
<file path=[Content_Types].xml><?xml version="1.0" encoding="utf-8"?>
<Types xmlns="http://schemas.openxmlformats.org/package/2006/content-types">
  <Override PartName="/xl/charts/chart6.xml" ContentType="application/vnd.openxmlformats-officedocument.drawingml.chart+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customXml/itemProps2.xml" ContentType="application/vnd.openxmlformats-officedocument.customXmlProperties+xml"/>
  <Override PartName="/xl/activeX/activeX1.bin" ContentType="application/vnd.ms-office.activeX"/>
  <Override PartName="/xl/charts/chart5.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BEoptWorkbook" defaultThemeVersion="124226"/>
  <bookViews>
    <workbookView xWindow="12630" yWindow="75" windowWidth="12525" windowHeight="11790" activeTab="1"/>
  </bookViews>
  <sheets>
    <sheet name="NewConst" sheetId="4" r:id="rId1"/>
    <sheet name="Hourly Profiles" sheetId="16" r:id="rId2"/>
    <sheet name="Monthly Profiles" sheetId="17" r:id="rId3"/>
    <sheet name="Detailed Lighting" sheetId="11" r:id="rId4"/>
    <sheet name="Detailed MEL" sheetId="15" r:id="rId5"/>
    <sheet name="LookupTables" sheetId="19" state="hidden" r:id="rId6"/>
    <sheet name="IntCalc" sheetId="18" state="hidden" r:id="rId7"/>
    <sheet name="DHW" sheetId="20" state="hidden" r:id="rId8"/>
    <sheet name="Appliances" sheetId="21" state="hidden" r:id="rId9"/>
    <sheet name="Lighting" sheetId="12" state="hidden" r:id="rId10"/>
    <sheet name="Sunrise Calc" sheetId="13" state="hidden" r:id="rId11"/>
    <sheet name="Locations" sheetId="22" state="hidden" r:id="rId12"/>
    <sheet name="Neutral Cost" sheetId="9" state="hidden" r:id="rId13"/>
  </sheets>
  <functionGroups/>
  <externalReferences>
    <externalReference r:id="rId14"/>
  </externalReferences>
  <definedNames>
    <definedName name="_xlnm._FilterDatabase" localSheetId="3" hidden="1">'Detailed Lighting'!$C$89:$W$101</definedName>
    <definedName name="_xlnm._FilterDatabase" localSheetId="11" hidden="1">Locations!$B$3:$CU$1012</definedName>
    <definedName name="_Ref248214679" localSheetId="8">Appliances!$B$52</definedName>
    <definedName name="_Toc271277634" localSheetId="5">LookupTables!$AX$2</definedName>
    <definedName name="A_ExWaBsm">IntCalc!$E$15</definedName>
    <definedName name="A_ExWaLiv">IntCalc!$E$14</definedName>
    <definedName name="AllElectric">IntCalc!$E$4</definedName>
    <definedName name="BOHomeType">NewConst!$E$11</definedName>
    <definedName name="CFA_ag">IntCalc!$E$11</definedName>
    <definedName name="CFA_bsmt">IntCalc!$E$36</definedName>
    <definedName name="CFA_total">IntCalc!$E$10</definedName>
    <definedName name="ClimateZone">NewConst!$E$8</definedName>
    <definedName name="ClimateZoneNum">Locations!$DA$2</definedName>
    <definedName name="CZLetter">Locations!$DB$2</definedName>
    <definedName name="CZNum">Locations!$DA$2</definedName>
    <definedName name="FFA">NewConst!$F$12</definedName>
    <definedName name="FndType">NewConst!$F$15</definedName>
    <definedName name="H_FlrToFlr">NewConst!$F$34</definedName>
    <definedName name="HomeType" localSheetId="4">[1]Inputs!$I$7</definedName>
    <definedName name="HomeType">NewConst!$F$11</definedName>
    <definedName name="kWh_to_Btu">IntCalc!$E$48</definedName>
    <definedName name="kWh_to_therms">IntCalc!$E$46</definedName>
    <definedName name="M">Lighting!$AL$50</definedName>
    <definedName name="methLightingNCTH">NewConst!$F$203</definedName>
    <definedName name="mf_ela_b1">NewConst!$E$166</definedName>
    <definedName name="mf_ela_b2">NewConst!$E$167</definedName>
    <definedName name="mf_ela_b3">NewConst!$E$168</definedName>
    <definedName name="mf_ela_b4">NewConst!$E$169</definedName>
    <definedName name="mf_ela_b5">NewConst!$E$170</definedName>
    <definedName name="mf_ela_b6">NewConst!$E$171</definedName>
    <definedName name="mf_ela_I">NewConst!$E$166:$E$172</definedName>
    <definedName name="mf_ela_J">NewConst!$F$166:$F$171</definedName>
    <definedName name="mf_ela1">NewConst!$F$166</definedName>
    <definedName name="mf_ela2">NewConst!$F$167</definedName>
    <definedName name="mf_ela3">NewConst!$F$168</definedName>
    <definedName name="mf_ela4">NewConst!$F$169</definedName>
    <definedName name="mf_ela5">NewConst!$F$170</definedName>
    <definedName name="mf_ela6">NewConst!$F$171</definedName>
    <definedName name="MultifamBlowerDoor">NewConst!$F$164</definedName>
    <definedName name="N_br">NewConst!$F$26</definedName>
    <definedName name="N_elev">NewConst!$F$48</definedName>
    <definedName name="N_emp">NewConst!$E$407</definedName>
    <definedName name="N_occ">NewConst!$E$399</definedName>
    <definedName name="Nbath">NewConst!$F$27</definedName>
    <definedName name="Nreturns">NewConst!$F$97</definedName>
    <definedName name="Nstories">NewConst!$F$13</definedName>
    <definedName name="Nunits">NewConst!$E$38</definedName>
    <definedName name="OverallSpecificLeakageArea" localSheetId="11">#REF!</definedName>
    <definedName name="OverallSpecificLeakageArea">#REF!</definedName>
    <definedName name="R_ins">NewConst!$F$152</definedName>
    <definedName name="selSchedule">'Hourly Profiles'!$P$5</definedName>
    <definedName name="SiteName">NewConst!$E$7</definedName>
    <definedName name="SLA_ag">NewConst!$E$161</definedName>
    <definedName name="SLA_bsmt">NewConst!$E$162</definedName>
    <definedName name="solver_adj" localSheetId="9" hidden="1">Lighting!$AL$51,Lighting!$AN$51,Lighting!$AP$51,Lighting!$AL$54,Lighting!$AN$54,Lighting!$AP$54</definedName>
    <definedName name="solver_cvg" localSheetId="9" hidden="1">0.0001</definedName>
    <definedName name="solver_drv" localSheetId="9" hidden="1">1</definedName>
    <definedName name="solver_est" localSheetId="9" hidden="1">1</definedName>
    <definedName name="solver_itr" localSheetId="9" hidden="1">100</definedName>
    <definedName name="solver_lhs1" localSheetId="9" hidden="1">Lighting!$AL$51</definedName>
    <definedName name="solver_lhs2" localSheetId="9" hidden="1">Lighting!$AN$51</definedName>
    <definedName name="solver_lhs3" localSheetId="9" hidden="1">Lighting!$AP$51</definedName>
    <definedName name="solver_lhs4" localSheetId="9" hidden="1">Lighting!$AL$54</definedName>
    <definedName name="solver_lhs5" localSheetId="9" hidden="1">Lighting!$AN$54</definedName>
    <definedName name="solver_lhs6" localSheetId="9" hidden="1">Lighting!$AP$54</definedName>
    <definedName name="solver_lin" localSheetId="9" hidden="1">2</definedName>
    <definedName name="solver_neg" localSheetId="9" hidden="1">2</definedName>
    <definedName name="solver_num" localSheetId="9" hidden="1">6</definedName>
    <definedName name="solver_nwt" localSheetId="9" hidden="1">1</definedName>
    <definedName name="solver_opt" localSheetId="9" hidden="1">Lighting!$O$133</definedName>
    <definedName name="solver_pre" localSheetId="9" hidden="1">0.000001</definedName>
    <definedName name="solver_rel1" localSheetId="9" hidden="1">3</definedName>
    <definedName name="solver_rel2" localSheetId="9" hidden="1">3</definedName>
    <definedName name="solver_rel3" localSheetId="9" hidden="1">3</definedName>
    <definedName name="solver_rel4" localSheetId="9" hidden="1">3</definedName>
    <definedName name="solver_rel5" localSheetId="9" hidden="1">3</definedName>
    <definedName name="solver_rel6" localSheetId="9" hidden="1">3</definedName>
    <definedName name="solver_rhs1" localSheetId="9" hidden="1">0</definedName>
    <definedName name="solver_rhs2" localSheetId="9" hidden="1">0</definedName>
    <definedName name="solver_rhs3" localSheetId="9" hidden="1">0</definedName>
    <definedName name="solver_rhs4" localSheetId="9" hidden="1">0</definedName>
    <definedName name="solver_rhs5" localSheetId="9" hidden="1">0</definedName>
    <definedName name="solver_rhs6" localSheetId="9" hidden="1">0</definedName>
    <definedName name="solver_scl" localSheetId="9" hidden="1">2</definedName>
    <definedName name="solver_sho" localSheetId="9" hidden="1">2</definedName>
    <definedName name="solver_tim" localSheetId="9" hidden="1">100</definedName>
    <definedName name="solver_tol" localSheetId="9" hidden="1">0.05</definedName>
    <definedName name="solver_typ" localSheetId="9" hidden="1">2</definedName>
    <definedName name="solver_val" localSheetId="9" hidden="1">0</definedName>
    <definedName name="SRF_BM">IntCalc!$E$40</definedName>
    <definedName name="SRF_NCTH">IntCalc!$F$40</definedName>
    <definedName name="SRF_NCTH_Ext">IntCalc!$F$41</definedName>
    <definedName name="SRF_NCTH_Gar">IntCalc!$F$42</definedName>
    <definedName name="T">IntCalc!$E$27</definedName>
    <definedName name="TCFA">IntCalc!$E$10</definedName>
    <definedName name="Therms_to_Btu">IntCalc!$E$47</definedName>
    <definedName name="Therms_to_kWh">IntCalc!$E$45</definedName>
    <definedName name="UnitLoc">NewConst!$F$37</definedName>
    <definedName name="V">NewConst!$E$113</definedName>
    <definedName name="Volume">IntCalc!$E$28</definedName>
    <definedName name="W_test">Appliances!$AG$216</definedName>
  </definedNames>
  <calcPr calcId="125725"/>
  <customWorkbookViews>
    <customWorkbookView name="bhendron - Personal View" guid="{9D9CC1BC-DB05-4217-B8C4-C7D781B7F8D2}" mergeInterval="0" personalView="1" maximized="1" xWindow="1" yWindow="1" windowWidth="1024" windowHeight="504" tabRatio="885" activeSheetId="2"/>
    <customWorkbookView name="cchristensen - Personal View" guid="{9269B2CD-A406-43DC-BA8B-F5A150AD6259}" mergeInterval="0" personalView="1" maximized="1" windowWidth="1276" windowHeight="847" tabRatio="882" activeSheetId="1"/>
    <customWorkbookView name="Administrator - Personal View" guid="{016B665E-0473-45CF-BD13-A0D080545E7D}" mergeInterval="0" personalView="1" maximized="1" windowWidth="1020" windowHeight="591" tabRatio="882" activeSheetId="1"/>
    <customWorkbookView name="nkruis - Personal View" guid="{34E9BAF4-8BCF-43B8-B517-138482F8DBA3}" mergeInterval="0" personalView="1" maximized="1" windowWidth="1276" windowHeight="825" tabRatio="882" activeSheetId="1"/>
    <customWorkbookView name="cchriste - Personal View" guid="{DFF7B4F0-17DD-4C86-BC12-8533022AC142}" mergeInterval="0" personalView="1" maximized="1" windowWidth="1276" windowHeight="860" tabRatio="882" activeSheetId="1"/>
    <customWorkbookView name="  - Personal View" guid="{8FC06A8F-4190-4B09-8DE3-F7E4A0370246}" mergeInterval="0" personalView="1" maximized="1" windowWidth="1020" windowHeight="568" tabRatio="882" activeSheetId="2"/>
    <customWorkbookView name="scott - Personal View" guid="{F8F77319-B8FE-4CA4-848B-9F1571935CC1}" mergeInterval="0" personalView="1" maximized="1" windowWidth="1020" windowHeight="595" tabRatio="882" activeSheetId="1"/>
    <customWorkbookView name="jspencer - Personal View" guid="{D81FF85B-F418-45E7-961F-850689E42C61}" mergeInterval="0" personalView="1" maximized="1" windowWidth="815" windowHeight="491" tabRatio="886" activeSheetId="1"/>
    <customWorkbookView name="Christine Dolliver - Personal View" guid="{87D4A3EE-F9D7-4FC5-AF5A-526B7CACC5E7}" mergeInterval="0" personalView="1" maximized="1" windowWidth="1020" windowHeight="569" tabRatio="882" activeSheetId="1"/>
    <customWorkbookView name="NREL - Personal View" guid="{0F82C062-395D-4B45-A1F8-64BDE1013040}" mergeInterval="0" personalView="1" maximized="1" windowWidth="1148" windowHeight="673" tabRatio="882" activeSheetId="1"/>
    <customWorkbookView name="Scott Horowitz - Personal View" guid="{82649DE9-B2C2-401B-BA46-C15576CBE14A}" mergeInterval="0" personalView="1" maximized="1" windowWidth="1276" windowHeight="825" tabRatio="885" activeSheetId="1"/>
  </customWorkbookViews>
</workbook>
</file>

<file path=xl/calcChain.xml><?xml version="1.0" encoding="utf-8"?>
<calcChain xmlns="http://schemas.openxmlformats.org/spreadsheetml/2006/main">
  <c r="E42" i="18"/>
  <c r="F42"/>
  <c r="F41"/>
  <c r="E41"/>
  <c r="E40"/>
  <c r="E219" i="4"/>
  <c r="F40" i="18"/>
  <c r="F219" i="4" s="1"/>
  <c r="E217"/>
  <c r="F217" l="1"/>
  <c r="E221"/>
  <c r="F221" s="1"/>
  <c r="Q9" i="16" l="1"/>
  <c r="Q43" s="1"/>
  <c r="R9"/>
  <c r="R43" s="1"/>
  <c r="S9"/>
  <c r="S43" s="1"/>
  <c r="T9"/>
  <c r="T43" s="1"/>
  <c r="U9"/>
  <c r="U43" s="1"/>
  <c r="V9"/>
  <c r="V43" s="1"/>
  <c r="W9"/>
  <c r="W43" s="1"/>
  <c r="X9"/>
  <c r="X43" s="1"/>
  <c r="Y9"/>
  <c r="Y43" s="1"/>
  <c r="Z9"/>
  <c r="Z43" s="1"/>
  <c r="AA9"/>
  <c r="AA43" s="1"/>
  <c r="AB9"/>
  <c r="AB43" s="1"/>
  <c r="AC9"/>
  <c r="AC43" s="1"/>
  <c r="AD9"/>
  <c r="AD43" s="1"/>
  <c r="Q10"/>
  <c r="Q44" s="1"/>
  <c r="R10"/>
  <c r="R44" s="1"/>
  <c r="S10"/>
  <c r="S44" s="1"/>
  <c r="T10"/>
  <c r="T44" s="1"/>
  <c r="U10"/>
  <c r="U44" s="1"/>
  <c r="V10"/>
  <c r="V44" s="1"/>
  <c r="W10"/>
  <c r="W44" s="1"/>
  <c r="X10"/>
  <c r="X44" s="1"/>
  <c r="Y10"/>
  <c r="Y44" s="1"/>
  <c r="Z10"/>
  <c r="Z44" s="1"/>
  <c r="AA10"/>
  <c r="AA44" s="1"/>
  <c r="AB10"/>
  <c r="AB44" s="1"/>
  <c r="AC10"/>
  <c r="AC44" s="1"/>
  <c r="AD10"/>
  <c r="AD44" s="1"/>
  <c r="Q11"/>
  <c r="Q45" s="1"/>
  <c r="R11"/>
  <c r="R45" s="1"/>
  <c r="S11"/>
  <c r="S45" s="1"/>
  <c r="T11"/>
  <c r="T45" s="1"/>
  <c r="U11"/>
  <c r="U45" s="1"/>
  <c r="V11"/>
  <c r="V45" s="1"/>
  <c r="W11"/>
  <c r="W45" s="1"/>
  <c r="X11"/>
  <c r="X45" s="1"/>
  <c r="Y11"/>
  <c r="Y45" s="1"/>
  <c r="Z11"/>
  <c r="Z45" s="1"/>
  <c r="AA11"/>
  <c r="AA45" s="1"/>
  <c r="AB11"/>
  <c r="AB45" s="1"/>
  <c r="AC11"/>
  <c r="AC45" s="1"/>
  <c r="AD11"/>
  <c r="AD45" s="1"/>
  <c r="Q12"/>
  <c r="Q46" s="1"/>
  <c r="R12"/>
  <c r="R46" s="1"/>
  <c r="S12"/>
  <c r="S46" s="1"/>
  <c r="T12"/>
  <c r="T46" s="1"/>
  <c r="U12"/>
  <c r="U46" s="1"/>
  <c r="V12"/>
  <c r="V46" s="1"/>
  <c r="W12"/>
  <c r="W46" s="1"/>
  <c r="X12"/>
  <c r="X46" s="1"/>
  <c r="Y12"/>
  <c r="Y46" s="1"/>
  <c r="Z12"/>
  <c r="Z46" s="1"/>
  <c r="AA12"/>
  <c r="AA46" s="1"/>
  <c r="AB12"/>
  <c r="AB46" s="1"/>
  <c r="AC12"/>
  <c r="AC46" s="1"/>
  <c r="AD12"/>
  <c r="AD46" s="1"/>
  <c r="Q13"/>
  <c r="Q47" s="1"/>
  <c r="R13"/>
  <c r="R47" s="1"/>
  <c r="S13"/>
  <c r="S47" s="1"/>
  <c r="T13"/>
  <c r="T47" s="1"/>
  <c r="U13"/>
  <c r="U47" s="1"/>
  <c r="V13"/>
  <c r="V47" s="1"/>
  <c r="W13"/>
  <c r="W47" s="1"/>
  <c r="X13"/>
  <c r="X47" s="1"/>
  <c r="Y13"/>
  <c r="Y47" s="1"/>
  <c r="Z13"/>
  <c r="Z47" s="1"/>
  <c r="AA13"/>
  <c r="AA47" s="1"/>
  <c r="AB13"/>
  <c r="AB47" s="1"/>
  <c r="AC13"/>
  <c r="AC47" s="1"/>
  <c r="AD13"/>
  <c r="AD47" s="1"/>
  <c r="Q14"/>
  <c r="Q48" s="1"/>
  <c r="R14"/>
  <c r="R48" s="1"/>
  <c r="S14"/>
  <c r="S48" s="1"/>
  <c r="T14"/>
  <c r="T48" s="1"/>
  <c r="U14"/>
  <c r="U48" s="1"/>
  <c r="V14"/>
  <c r="V48" s="1"/>
  <c r="W14"/>
  <c r="W48" s="1"/>
  <c r="X14"/>
  <c r="X48" s="1"/>
  <c r="Y14"/>
  <c r="Y48" s="1"/>
  <c r="Z14"/>
  <c r="Z48" s="1"/>
  <c r="AA14"/>
  <c r="AA48" s="1"/>
  <c r="AB14"/>
  <c r="AB48" s="1"/>
  <c r="AC14"/>
  <c r="AC48" s="1"/>
  <c r="AD14"/>
  <c r="AD48" s="1"/>
  <c r="Q15"/>
  <c r="Q49" s="1"/>
  <c r="R15"/>
  <c r="R49" s="1"/>
  <c r="S15"/>
  <c r="S49" s="1"/>
  <c r="T15"/>
  <c r="T49" s="1"/>
  <c r="U15"/>
  <c r="U49" s="1"/>
  <c r="V15"/>
  <c r="V49" s="1"/>
  <c r="W15"/>
  <c r="W49" s="1"/>
  <c r="X15"/>
  <c r="X49" s="1"/>
  <c r="Y15"/>
  <c r="Y49" s="1"/>
  <c r="Z15"/>
  <c r="Z49" s="1"/>
  <c r="AA15"/>
  <c r="AA49" s="1"/>
  <c r="AB15"/>
  <c r="AB49" s="1"/>
  <c r="AC15"/>
  <c r="AC49" s="1"/>
  <c r="AD15"/>
  <c r="AD49" s="1"/>
  <c r="Q16"/>
  <c r="Q50" s="1"/>
  <c r="R16"/>
  <c r="R50" s="1"/>
  <c r="S16"/>
  <c r="S50" s="1"/>
  <c r="T16"/>
  <c r="T50" s="1"/>
  <c r="U16"/>
  <c r="U50" s="1"/>
  <c r="V16"/>
  <c r="V50" s="1"/>
  <c r="W16"/>
  <c r="W50" s="1"/>
  <c r="X16"/>
  <c r="X50" s="1"/>
  <c r="Y16"/>
  <c r="Y50" s="1"/>
  <c r="Z16"/>
  <c r="Z50" s="1"/>
  <c r="AA16"/>
  <c r="AA50" s="1"/>
  <c r="AB16"/>
  <c r="AB50" s="1"/>
  <c r="AC16"/>
  <c r="AC50" s="1"/>
  <c r="AD16"/>
  <c r="AD50" s="1"/>
  <c r="Q17"/>
  <c r="Q51" s="1"/>
  <c r="R17"/>
  <c r="R51" s="1"/>
  <c r="S17"/>
  <c r="S51" s="1"/>
  <c r="T17"/>
  <c r="T51" s="1"/>
  <c r="U17"/>
  <c r="U51" s="1"/>
  <c r="V17"/>
  <c r="V51" s="1"/>
  <c r="W17"/>
  <c r="W51" s="1"/>
  <c r="X17"/>
  <c r="X51" s="1"/>
  <c r="Y17"/>
  <c r="Y51" s="1"/>
  <c r="Z17"/>
  <c r="Z51" s="1"/>
  <c r="AA17"/>
  <c r="AA51" s="1"/>
  <c r="AB17"/>
  <c r="AB51" s="1"/>
  <c r="AC17"/>
  <c r="AC51" s="1"/>
  <c r="AD17"/>
  <c r="AD51" s="1"/>
  <c r="Q18"/>
  <c r="Q52" s="1"/>
  <c r="R18"/>
  <c r="R52" s="1"/>
  <c r="S18"/>
  <c r="S52" s="1"/>
  <c r="T18"/>
  <c r="T52" s="1"/>
  <c r="U18"/>
  <c r="U52" s="1"/>
  <c r="V18"/>
  <c r="V52" s="1"/>
  <c r="W18"/>
  <c r="W52" s="1"/>
  <c r="X18"/>
  <c r="X52" s="1"/>
  <c r="Y18"/>
  <c r="Y52" s="1"/>
  <c r="Z18"/>
  <c r="Z52" s="1"/>
  <c r="AA18"/>
  <c r="AA52" s="1"/>
  <c r="AB18"/>
  <c r="AB52" s="1"/>
  <c r="AC18"/>
  <c r="AC52" s="1"/>
  <c r="AD18"/>
  <c r="AD52" s="1"/>
  <c r="Q19"/>
  <c r="Q53" s="1"/>
  <c r="R19"/>
  <c r="R53" s="1"/>
  <c r="S19"/>
  <c r="S53" s="1"/>
  <c r="T19"/>
  <c r="T53" s="1"/>
  <c r="U19"/>
  <c r="U53" s="1"/>
  <c r="V19"/>
  <c r="V53" s="1"/>
  <c r="W19"/>
  <c r="W53" s="1"/>
  <c r="X19"/>
  <c r="X53" s="1"/>
  <c r="Y19"/>
  <c r="Y53" s="1"/>
  <c r="Z19"/>
  <c r="Z53" s="1"/>
  <c r="AA19"/>
  <c r="AA53" s="1"/>
  <c r="AB19"/>
  <c r="AB53" s="1"/>
  <c r="AC19"/>
  <c r="AC53" s="1"/>
  <c r="AD19"/>
  <c r="AD53" s="1"/>
  <c r="Q20"/>
  <c r="Q54" s="1"/>
  <c r="R20"/>
  <c r="R54" s="1"/>
  <c r="S20"/>
  <c r="S54" s="1"/>
  <c r="T20"/>
  <c r="T54" s="1"/>
  <c r="U20"/>
  <c r="U54" s="1"/>
  <c r="V20"/>
  <c r="V54" s="1"/>
  <c r="W20"/>
  <c r="W54" s="1"/>
  <c r="X20"/>
  <c r="X54" s="1"/>
  <c r="Y20"/>
  <c r="Y54" s="1"/>
  <c r="Z20"/>
  <c r="Z54" s="1"/>
  <c r="AA20"/>
  <c r="AA54" s="1"/>
  <c r="AB20"/>
  <c r="AB54" s="1"/>
  <c r="AC20"/>
  <c r="AC54" s="1"/>
  <c r="AD20"/>
  <c r="AD54" s="1"/>
  <c r="Q21"/>
  <c r="Q55" s="1"/>
  <c r="R21"/>
  <c r="R55" s="1"/>
  <c r="S21"/>
  <c r="S55" s="1"/>
  <c r="T21"/>
  <c r="T55" s="1"/>
  <c r="U21"/>
  <c r="U55" s="1"/>
  <c r="V21"/>
  <c r="V55" s="1"/>
  <c r="W21"/>
  <c r="W55" s="1"/>
  <c r="X21"/>
  <c r="X55" s="1"/>
  <c r="Y21"/>
  <c r="Y55" s="1"/>
  <c r="Z21"/>
  <c r="Z55" s="1"/>
  <c r="AA21"/>
  <c r="AA55" s="1"/>
  <c r="AB21"/>
  <c r="AB55" s="1"/>
  <c r="AC21"/>
  <c r="AC55" s="1"/>
  <c r="AD21"/>
  <c r="AD55" s="1"/>
  <c r="Q22"/>
  <c r="Q56" s="1"/>
  <c r="R22"/>
  <c r="R56" s="1"/>
  <c r="S22"/>
  <c r="S56" s="1"/>
  <c r="T22"/>
  <c r="T56" s="1"/>
  <c r="U22"/>
  <c r="U56" s="1"/>
  <c r="V22"/>
  <c r="V56" s="1"/>
  <c r="W22"/>
  <c r="W56" s="1"/>
  <c r="X22"/>
  <c r="X56" s="1"/>
  <c r="Y22"/>
  <c r="Y56" s="1"/>
  <c r="Z22"/>
  <c r="Z56" s="1"/>
  <c r="AA22"/>
  <c r="AA56" s="1"/>
  <c r="AB22"/>
  <c r="AB56" s="1"/>
  <c r="AC22"/>
  <c r="AC56" s="1"/>
  <c r="AD22"/>
  <c r="AD56" s="1"/>
  <c r="Q23"/>
  <c r="Q57" s="1"/>
  <c r="R23"/>
  <c r="R57" s="1"/>
  <c r="S23"/>
  <c r="S57" s="1"/>
  <c r="T23"/>
  <c r="T57" s="1"/>
  <c r="U23"/>
  <c r="U57" s="1"/>
  <c r="V23"/>
  <c r="V57" s="1"/>
  <c r="W23"/>
  <c r="W57" s="1"/>
  <c r="X23"/>
  <c r="X57" s="1"/>
  <c r="Y23"/>
  <c r="Y57" s="1"/>
  <c r="Z23"/>
  <c r="Z57" s="1"/>
  <c r="AA23"/>
  <c r="AA57" s="1"/>
  <c r="AB23"/>
  <c r="AB57" s="1"/>
  <c r="AC23"/>
  <c r="AC57" s="1"/>
  <c r="AD23"/>
  <c r="AD57" s="1"/>
  <c r="Q24"/>
  <c r="Q58" s="1"/>
  <c r="R24"/>
  <c r="R58" s="1"/>
  <c r="S24"/>
  <c r="S58" s="1"/>
  <c r="T24"/>
  <c r="T58" s="1"/>
  <c r="U24"/>
  <c r="U58" s="1"/>
  <c r="V24"/>
  <c r="V58" s="1"/>
  <c r="W24"/>
  <c r="W58" s="1"/>
  <c r="X24"/>
  <c r="X58" s="1"/>
  <c r="Y24"/>
  <c r="Y58" s="1"/>
  <c r="Z24"/>
  <c r="Z58" s="1"/>
  <c r="AA24"/>
  <c r="AA58" s="1"/>
  <c r="AB24"/>
  <c r="AB58" s="1"/>
  <c r="AC24"/>
  <c r="AC58" s="1"/>
  <c r="AD24"/>
  <c r="AD58" s="1"/>
  <c r="Q25"/>
  <c r="Q59" s="1"/>
  <c r="R25"/>
  <c r="R59" s="1"/>
  <c r="S25"/>
  <c r="S59" s="1"/>
  <c r="T25"/>
  <c r="T59" s="1"/>
  <c r="U25"/>
  <c r="U59" s="1"/>
  <c r="V25"/>
  <c r="V59" s="1"/>
  <c r="W25"/>
  <c r="W59" s="1"/>
  <c r="X25"/>
  <c r="X59" s="1"/>
  <c r="Y25"/>
  <c r="Y59" s="1"/>
  <c r="Z25"/>
  <c r="Z59" s="1"/>
  <c r="AA25"/>
  <c r="AA59" s="1"/>
  <c r="AB25"/>
  <c r="AB59" s="1"/>
  <c r="AC25"/>
  <c r="AC59" s="1"/>
  <c r="AD25"/>
  <c r="AD59" s="1"/>
  <c r="Q26"/>
  <c r="Q60" s="1"/>
  <c r="R26"/>
  <c r="R60" s="1"/>
  <c r="S26"/>
  <c r="S60" s="1"/>
  <c r="T26"/>
  <c r="T60" s="1"/>
  <c r="U26"/>
  <c r="U60" s="1"/>
  <c r="V26"/>
  <c r="V60" s="1"/>
  <c r="W26"/>
  <c r="W60" s="1"/>
  <c r="X26"/>
  <c r="X60" s="1"/>
  <c r="Y26"/>
  <c r="Y60" s="1"/>
  <c r="Z26"/>
  <c r="Z60" s="1"/>
  <c r="AA26"/>
  <c r="AA60" s="1"/>
  <c r="AB26"/>
  <c r="AB60" s="1"/>
  <c r="AC26"/>
  <c r="AC60" s="1"/>
  <c r="AD26"/>
  <c r="AD60" s="1"/>
  <c r="Q27"/>
  <c r="Q61" s="1"/>
  <c r="R27"/>
  <c r="R61" s="1"/>
  <c r="S27"/>
  <c r="S61" s="1"/>
  <c r="T27"/>
  <c r="T61" s="1"/>
  <c r="U27"/>
  <c r="U61" s="1"/>
  <c r="V27"/>
  <c r="V61" s="1"/>
  <c r="W27"/>
  <c r="W61" s="1"/>
  <c r="X27"/>
  <c r="X61" s="1"/>
  <c r="Y27"/>
  <c r="Y61" s="1"/>
  <c r="Z27"/>
  <c r="Z61" s="1"/>
  <c r="AA27"/>
  <c r="AA61" s="1"/>
  <c r="AB27"/>
  <c r="AB61" s="1"/>
  <c r="AC27"/>
  <c r="AC61" s="1"/>
  <c r="AD27"/>
  <c r="AD61" s="1"/>
  <c r="Q28"/>
  <c r="Q62" s="1"/>
  <c r="R28"/>
  <c r="R62" s="1"/>
  <c r="S28"/>
  <c r="S62" s="1"/>
  <c r="T28"/>
  <c r="T62" s="1"/>
  <c r="U28"/>
  <c r="U62" s="1"/>
  <c r="V28"/>
  <c r="V62" s="1"/>
  <c r="W28"/>
  <c r="W62" s="1"/>
  <c r="X28"/>
  <c r="X62" s="1"/>
  <c r="Y28"/>
  <c r="Y62" s="1"/>
  <c r="Z28"/>
  <c r="Z62" s="1"/>
  <c r="AA28"/>
  <c r="AA62" s="1"/>
  <c r="AB28"/>
  <c r="AB62" s="1"/>
  <c r="AC28"/>
  <c r="AC62" s="1"/>
  <c r="AD28"/>
  <c r="AD62" s="1"/>
  <c r="Q29"/>
  <c r="Q63" s="1"/>
  <c r="R29"/>
  <c r="R63" s="1"/>
  <c r="S29"/>
  <c r="S63" s="1"/>
  <c r="T29"/>
  <c r="T63" s="1"/>
  <c r="U29"/>
  <c r="U63" s="1"/>
  <c r="V29"/>
  <c r="V63" s="1"/>
  <c r="W29"/>
  <c r="W63" s="1"/>
  <c r="X29"/>
  <c r="X63" s="1"/>
  <c r="Y29"/>
  <c r="Y63" s="1"/>
  <c r="Z29"/>
  <c r="Z63" s="1"/>
  <c r="AA29"/>
  <c r="AA63" s="1"/>
  <c r="AB29"/>
  <c r="AB63" s="1"/>
  <c r="AC29"/>
  <c r="AC63" s="1"/>
  <c r="AD29"/>
  <c r="AD63" s="1"/>
  <c r="Q30"/>
  <c r="Q64" s="1"/>
  <c r="R30"/>
  <c r="R64" s="1"/>
  <c r="S30"/>
  <c r="S64" s="1"/>
  <c r="T30"/>
  <c r="T64" s="1"/>
  <c r="U30"/>
  <c r="U64" s="1"/>
  <c r="V30"/>
  <c r="V64" s="1"/>
  <c r="W30"/>
  <c r="W64" s="1"/>
  <c r="X30"/>
  <c r="X64" s="1"/>
  <c r="Y30"/>
  <c r="Y64" s="1"/>
  <c r="Z30"/>
  <c r="Z64" s="1"/>
  <c r="AA30"/>
  <c r="AA64" s="1"/>
  <c r="AB30"/>
  <c r="AB64" s="1"/>
  <c r="AC30"/>
  <c r="AC64" s="1"/>
  <c r="AD30"/>
  <c r="AD64" s="1"/>
  <c r="Q31"/>
  <c r="Q65" s="1"/>
  <c r="R31"/>
  <c r="R65" s="1"/>
  <c r="S31"/>
  <c r="S65" s="1"/>
  <c r="T31"/>
  <c r="T65" s="1"/>
  <c r="U31"/>
  <c r="U65" s="1"/>
  <c r="V31"/>
  <c r="V65" s="1"/>
  <c r="W31"/>
  <c r="W65" s="1"/>
  <c r="X31"/>
  <c r="X65" s="1"/>
  <c r="Y31"/>
  <c r="Y65" s="1"/>
  <c r="Z31"/>
  <c r="Z65" s="1"/>
  <c r="AA31"/>
  <c r="AA65" s="1"/>
  <c r="AB31"/>
  <c r="AB65" s="1"/>
  <c r="AC31"/>
  <c r="AC65" s="1"/>
  <c r="AD31"/>
  <c r="AD65" s="1"/>
  <c r="Q32"/>
  <c r="Q66" s="1"/>
  <c r="R32"/>
  <c r="R66" s="1"/>
  <c r="S32"/>
  <c r="S66" s="1"/>
  <c r="T32"/>
  <c r="T66" s="1"/>
  <c r="U32"/>
  <c r="U66" s="1"/>
  <c r="V32"/>
  <c r="V66" s="1"/>
  <c r="W32"/>
  <c r="W66" s="1"/>
  <c r="X32"/>
  <c r="X66" s="1"/>
  <c r="Y32"/>
  <c r="Y66" s="1"/>
  <c r="Z32"/>
  <c r="Z66" s="1"/>
  <c r="AA32"/>
  <c r="AA66" s="1"/>
  <c r="AB32"/>
  <c r="AB66" s="1"/>
  <c r="AC32"/>
  <c r="AC66" s="1"/>
  <c r="AD32"/>
  <c r="AD66" s="1"/>
  <c r="P10"/>
  <c r="P44" s="1"/>
  <c r="P11"/>
  <c r="P45" s="1"/>
  <c r="P12"/>
  <c r="P46" s="1"/>
  <c r="P13"/>
  <c r="P47" s="1"/>
  <c r="P14"/>
  <c r="P48" s="1"/>
  <c r="P15"/>
  <c r="P49" s="1"/>
  <c r="P16"/>
  <c r="P50" s="1"/>
  <c r="P17"/>
  <c r="P51" s="1"/>
  <c r="P18"/>
  <c r="P52" s="1"/>
  <c r="P19"/>
  <c r="P53" s="1"/>
  <c r="P20"/>
  <c r="P54" s="1"/>
  <c r="P21"/>
  <c r="P55" s="1"/>
  <c r="P22"/>
  <c r="P56" s="1"/>
  <c r="P23"/>
  <c r="P57" s="1"/>
  <c r="P24"/>
  <c r="P58" s="1"/>
  <c r="P25"/>
  <c r="P59" s="1"/>
  <c r="P26"/>
  <c r="P60" s="1"/>
  <c r="P27"/>
  <c r="P61" s="1"/>
  <c r="P28"/>
  <c r="P62" s="1"/>
  <c r="P29"/>
  <c r="P63" s="1"/>
  <c r="P30"/>
  <c r="P64" s="1"/>
  <c r="P31"/>
  <c r="P65" s="1"/>
  <c r="P32"/>
  <c r="P66" s="1"/>
  <c r="P9"/>
  <c r="P43" s="1"/>
  <c r="AE152"/>
  <c r="AD152"/>
  <c r="AC152"/>
  <c r="AB152"/>
  <c r="AA152"/>
  <c r="Z152"/>
  <c r="Y152"/>
  <c r="X152"/>
  <c r="W152"/>
  <c r="V152"/>
  <c r="U152"/>
  <c r="T152"/>
  <c r="S152"/>
  <c r="R152"/>
  <c r="Q152"/>
  <c r="AE151"/>
  <c r="AD151"/>
  <c r="AC151"/>
  <c r="AB151"/>
  <c r="AA151"/>
  <c r="Z151"/>
  <c r="Y151"/>
  <c r="X151"/>
  <c r="W151"/>
  <c r="V151"/>
  <c r="U151"/>
  <c r="T151"/>
  <c r="S151"/>
  <c r="R151"/>
  <c r="Q151"/>
  <c r="AE150"/>
  <c r="AD150"/>
  <c r="AC150"/>
  <c r="AB150"/>
  <c r="AA150"/>
  <c r="Z150"/>
  <c r="Y150"/>
  <c r="X150"/>
  <c r="W150"/>
  <c r="V150"/>
  <c r="U150"/>
  <c r="T150"/>
  <c r="S150"/>
  <c r="R150"/>
  <c r="Q150"/>
  <c r="AE149"/>
  <c r="AD149"/>
  <c r="AC149"/>
  <c r="AB149"/>
  <c r="AA149"/>
  <c r="Z149"/>
  <c r="Y149"/>
  <c r="X149"/>
  <c r="W149"/>
  <c r="V149"/>
  <c r="U149"/>
  <c r="T149"/>
  <c r="S149"/>
  <c r="R149"/>
  <c r="Q149"/>
  <c r="AE148"/>
  <c r="AD148"/>
  <c r="AC148"/>
  <c r="AB148"/>
  <c r="AA148"/>
  <c r="Z148"/>
  <c r="Y148"/>
  <c r="X148"/>
  <c r="W148"/>
  <c r="V148"/>
  <c r="U148"/>
  <c r="T148"/>
  <c r="S148"/>
  <c r="R148"/>
  <c r="Q148"/>
  <c r="AE147"/>
  <c r="AD147"/>
  <c r="AC147"/>
  <c r="AB147"/>
  <c r="AA147"/>
  <c r="Z147"/>
  <c r="Y147"/>
  <c r="X147"/>
  <c r="W147"/>
  <c r="V147"/>
  <c r="U147"/>
  <c r="T147"/>
  <c r="S147"/>
  <c r="R147"/>
  <c r="Q147"/>
  <c r="AE146"/>
  <c r="AD146"/>
  <c r="AC146"/>
  <c r="AB146"/>
  <c r="AA146"/>
  <c r="Z146"/>
  <c r="Y146"/>
  <c r="X146"/>
  <c r="W146"/>
  <c r="V146"/>
  <c r="U146"/>
  <c r="T146"/>
  <c r="S146"/>
  <c r="R146"/>
  <c r="Q146"/>
  <c r="AE145"/>
  <c r="AD145"/>
  <c r="AC145"/>
  <c r="AB145"/>
  <c r="AA145"/>
  <c r="Z145"/>
  <c r="Y145"/>
  <c r="X145"/>
  <c r="W145"/>
  <c r="V145"/>
  <c r="U145"/>
  <c r="T145"/>
  <c r="S145"/>
  <c r="R145"/>
  <c r="Q145"/>
  <c r="AE144"/>
  <c r="AD144"/>
  <c r="AC144"/>
  <c r="AB144"/>
  <c r="AA144"/>
  <c r="Z144"/>
  <c r="Y144"/>
  <c r="X144"/>
  <c r="W144"/>
  <c r="V144"/>
  <c r="U144"/>
  <c r="T144"/>
  <c r="S144"/>
  <c r="R144"/>
  <c r="Q144"/>
  <c r="AE143"/>
  <c r="AD143"/>
  <c r="AC143"/>
  <c r="AB143"/>
  <c r="AA143"/>
  <c r="Z143"/>
  <c r="Y143"/>
  <c r="X143"/>
  <c r="W143"/>
  <c r="V143"/>
  <c r="U143"/>
  <c r="T143"/>
  <c r="S143"/>
  <c r="R143"/>
  <c r="Q143"/>
  <c r="AE142"/>
  <c r="AD142"/>
  <c r="AC142"/>
  <c r="AB142"/>
  <c r="AA142"/>
  <c r="Z142"/>
  <c r="Y142"/>
  <c r="X142"/>
  <c r="W142"/>
  <c r="V142"/>
  <c r="U142"/>
  <c r="T142"/>
  <c r="S142"/>
  <c r="R142"/>
  <c r="Q142"/>
  <c r="AE141"/>
  <c r="AD141"/>
  <c r="AC141"/>
  <c r="AB141"/>
  <c r="AA141"/>
  <c r="Z141"/>
  <c r="Y141"/>
  <c r="X141"/>
  <c r="W141"/>
  <c r="V141"/>
  <c r="U141"/>
  <c r="T141"/>
  <c r="S141"/>
  <c r="R141"/>
  <c r="Q141"/>
  <c r="AE140"/>
  <c r="AD140"/>
  <c r="AC140"/>
  <c r="AB140"/>
  <c r="AA140"/>
  <c r="Z140"/>
  <c r="Y140"/>
  <c r="X140"/>
  <c r="W140"/>
  <c r="V140"/>
  <c r="U140"/>
  <c r="T140"/>
  <c r="S140"/>
  <c r="R140"/>
  <c r="Q140"/>
  <c r="AE139"/>
  <c r="AD139"/>
  <c r="AC139"/>
  <c r="AB139"/>
  <c r="AA139"/>
  <c r="Z139"/>
  <c r="Y139"/>
  <c r="X139"/>
  <c r="W139"/>
  <c r="V139"/>
  <c r="U139"/>
  <c r="T139"/>
  <c r="S139"/>
  <c r="R139"/>
  <c r="Q139"/>
  <c r="AE138"/>
  <c r="AD138"/>
  <c r="AC138"/>
  <c r="AB138"/>
  <c r="AA138"/>
  <c r="Z138"/>
  <c r="Y138"/>
  <c r="X138"/>
  <c r="W138"/>
  <c r="V138"/>
  <c r="U138"/>
  <c r="T138"/>
  <c r="S138"/>
  <c r="R138"/>
  <c r="Q138"/>
  <c r="AE137"/>
  <c r="AD137"/>
  <c r="AC137"/>
  <c r="AB137"/>
  <c r="AA137"/>
  <c r="Z137"/>
  <c r="Y137"/>
  <c r="X137"/>
  <c r="W137"/>
  <c r="V137"/>
  <c r="U137"/>
  <c r="T137"/>
  <c r="S137"/>
  <c r="R137"/>
  <c r="Q137"/>
  <c r="AE136"/>
  <c r="AD136"/>
  <c r="AC136"/>
  <c r="AB136"/>
  <c r="AA136"/>
  <c r="Z136"/>
  <c r="Y136"/>
  <c r="X136"/>
  <c r="W136"/>
  <c r="V136"/>
  <c r="U136"/>
  <c r="T136"/>
  <c r="S136"/>
  <c r="R136"/>
  <c r="Q136"/>
  <c r="AE135"/>
  <c r="AD135"/>
  <c r="AC135"/>
  <c r="AB135"/>
  <c r="AA135"/>
  <c r="Z135"/>
  <c r="Y135"/>
  <c r="X135"/>
  <c r="W135"/>
  <c r="V135"/>
  <c r="U135"/>
  <c r="T135"/>
  <c r="S135"/>
  <c r="R135"/>
  <c r="Q135"/>
  <c r="AE134"/>
  <c r="AD134"/>
  <c r="AC134"/>
  <c r="AB134"/>
  <c r="AA134"/>
  <c r="Z134"/>
  <c r="Y134"/>
  <c r="X134"/>
  <c r="W134"/>
  <c r="V134"/>
  <c r="U134"/>
  <c r="T134"/>
  <c r="S134"/>
  <c r="R134"/>
  <c r="Q134"/>
  <c r="AE133"/>
  <c r="AD133"/>
  <c r="AC133"/>
  <c r="AB133"/>
  <c r="AA133"/>
  <c r="Z133"/>
  <c r="Y133"/>
  <c r="X133"/>
  <c r="W133"/>
  <c r="V133"/>
  <c r="U133"/>
  <c r="T133"/>
  <c r="S133"/>
  <c r="R133"/>
  <c r="Q133"/>
  <c r="AE132"/>
  <c r="AD132"/>
  <c r="AC132"/>
  <c r="AB132"/>
  <c r="AA132"/>
  <c r="Z132"/>
  <c r="Y132"/>
  <c r="X132"/>
  <c r="W132"/>
  <c r="V132"/>
  <c r="U132"/>
  <c r="T132"/>
  <c r="S132"/>
  <c r="R132"/>
  <c r="Q132"/>
  <c r="AE131"/>
  <c r="AD131"/>
  <c r="AC131"/>
  <c r="AB131"/>
  <c r="AA131"/>
  <c r="Z131"/>
  <c r="Y131"/>
  <c r="X131"/>
  <c r="W131"/>
  <c r="V131"/>
  <c r="U131"/>
  <c r="T131"/>
  <c r="S131"/>
  <c r="R131"/>
  <c r="Q131"/>
  <c r="AE130"/>
  <c r="AD130"/>
  <c r="AC130"/>
  <c r="AB130"/>
  <c r="AA130"/>
  <c r="Z130"/>
  <c r="Y130"/>
  <c r="X130"/>
  <c r="W130"/>
  <c r="V130"/>
  <c r="U130"/>
  <c r="T130"/>
  <c r="S130"/>
  <c r="R130"/>
  <c r="Q130"/>
  <c r="AE129"/>
  <c r="AD129"/>
  <c r="AC129"/>
  <c r="AB129"/>
  <c r="AA129"/>
  <c r="Z129"/>
  <c r="Y129"/>
  <c r="X129"/>
  <c r="W129"/>
  <c r="V129"/>
  <c r="U129"/>
  <c r="T129"/>
  <c r="S129"/>
  <c r="R129"/>
  <c r="Q129"/>
  <c r="P127"/>
  <c r="P99"/>
  <c r="P39"/>
  <c r="AD1"/>
  <c r="C203" i="4" l="1"/>
  <c r="E46" l="1"/>
  <c r="E199" s="1"/>
  <c r="V7" i="17" l="1"/>
  <c r="V8"/>
  <c r="V9"/>
  <c r="V10"/>
  <c r="V11"/>
  <c r="V12"/>
  <c r="V13"/>
  <c r="V14"/>
  <c r="V15"/>
  <c r="V16"/>
  <c r="V17"/>
  <c r="V6"/>
  <c r="G203" i="4"/>
  <c r="G124" l="1"/>
  <c r="BU59" i="11" l="1"/>
  <c r="BV59"/>
  <c r="BU60"/>
  <c r="BV60"/>
  <c r="BU61"/>
  <c r="BV61"/>
  <c r="BU62"/>
  <c r="BV62"/>
  <c r="BU63"/>
  <c r="BV63"/>
  <c r="BU64"/>
  <c r="BV64"/>
  <c r="BU65"/>
  <c r="BV65"/>
  <c r="BU66"/>
  <c r="BV66"/>
  <c r="BU67"/>
  <c r="BV67"/>
  <c r="BU68"/>
  <c r="BV68"/>
  <c r="BU69"/>
  <c r="BV69"/>
  <c r="BU70"/>
  <c r="BV70"/>
  <c r="BU71"/>
  <c r="BV71"/>
  <c r="BV58"/>
  <c r="BU58"/>
  <c r="R57" l="1"/>
  <c r="Q57"/>
  <c r="W57" s="1"/>
  <c r="C57"/>
  <c r="R56"/>
  <c r="Q56"/>
  <c r="W56" s="1"/>
  <c r="C56"/>
  <c r="R55"/>
  <c r="Q55"/>
  <c r="W55" s="1"/>
  <c r="C55"/>
  <c r="R60"/>
  <c r="Q60"/>
  <c r="W60" s="1"/>
  <c r="C60"/>
  <c r="R59"/>
  <c r="Q59"/>
  <c r="W59" s="1"/>
  <c r="C59"/>
  <c r="R58"/>
  <c r="Q58"/>
  <c r="W58" s="1"/>
  <c r="C58"/>
  <c r="R35"/>
  <c r="Q35"/>
  <c r="W35" s="1"/>
  <c r="P35"/>
  <c r="R34"/>
  <c r="Q34"/>
  <c r="W34" s="1"/>
  <c r="P34"/>
  <c r="R33"/>
  <c r="Q33"/>
  <c r="W33" s="1"/>
  <c r="P33"/>
  <c r="R32"/>
  <c r="Q32"/>
  <c r="W32" s="1"/>
  <c r="P32"/>
  <c r="R37"/>
  <c r="Q37"/>
  <c r="W37" s="1"/>
  <c r="P37"/>
  <c r="R36"/>
  <c r="Q36"/>
  <c r="W36" s="1"/>
  <c r="P36"/>
  <c r="E12" i="4"/>
  <c r="E13"/>
  <c r="V57" i="11" l="1"/>
  <c r="X36"/>
  <c r="X32"/>
  <c r="X34"/>
  <c r="T55"/>
  <c r="T56"/>
  <c r="T57"/>
  <c r="S55"/>
  <c r="S56"/>
  <c r="U56" s="1"/>
  <c r="S57"/>
  <c r="T58"/>
  <c r="T59"/>
  <c r="T60"/>
  <c r="S58"/>
  <c r="V58" s="1"/>
  <c r="S59"/>
  <c r="S60"/>
  <c r="X33"/>
  <c r="X35"/>
  <c r="T32"/>
  <c r="S33"/>
  <c r="S32"/>
  <c r="U32" s="1"/>
  <c r="T33"/>
  <c r="S34"/>
  <c r="V34" s="1"/>
  <c r="T35"/>
  <c r="T34"/>
  <c r="S35"/>
  <c r="U35" s="1"/>
  <c r="X37"/>
  <c r="T37"/>
  <c r="S36"/>
  <c r="T36"/>
  <c r="S37"/>
  <c r="F135" i="4"/>
  <c r="F143"/>
  <c r="F144"/>
  <c r="O37" i="16"/>
  <c r="AD67"/>
  <c r="AC67"/>
  <c r="AB67"/>
  <c r="AA67"/>
  <c r="Z67"/>
  <c r="Y67"/>
  <c r="X67"/>
  <c r="W67"/>
  <c r="V67"/>
  <c r="U67"/>
  <c r="T67"/>
  <c r="S67"/>
  <c r="R67"/>
  <c r="Q67"/>
  <c r="P67"/>
  <c r="P33"/>
  <c r="Q33"/>
  <c r="R33"/>
  <c r="S33"/>
  <c r="T33"/>
  <c r="U33"/>
  <c r="V33"/>
  <c r="W33"/>
  <c r="X33"/>
  <c r="Y33"/>
  <c r="Z33"/>
  <c r="AA33"/>
  <c r="AB33"/>
  <c r="AC33"/>
  <c r="AD33"/>
  <c r="AI38"/>
  <c r="AJ38"/>
  <c r="AI39"/>
  <c r="AJ39"/>
  <c r="AI40"/>
  <c r="AJ40"/>
  <c r="AH38"/>
  <c r="AH39"/>
  <c r="AH40"/>
  <c r="E44"/>
  <c r="E45"/>
  <c r="E46"/>
  <c r="E47"/>
  <c r="E48"/>
  <c r="E49"/>
  <c r="E50"/>
  <c r="E51"/>
  <c r="E52"/>
  <c r="E53"/>
  <c r="E54"/>
  <c r="E55"/>
  <c r="E56"/>
  <c r="E57"/>
  <c r="E58"/>
  <c r="E59"/>
  <c r="E60"/>
  <c r="E61"/>
  <c r="E62"/>
  <c r="E63"/>
  <c r="E64"/>
  <c r="E65"/>
  <c r="E66"/>
  <c r="E43"/>
  <c r="E67" s="1"/>
  <c r="E40"/>
  <c r="BB44"/>
  <c r="BB45"/>
  <c r="BB46"/>
  <c r="BB47"/>
  <c r="BB48"/>
  <c r="BB49"/>
  <c r="BB50"/>
  <c r="BB51"/>
  <c r="BB52"/>
  <c r="BB53"/>
  <c r="BB54"/>
  <c r="BB55"/>
  <c r="BB56"/>
  <c r="BB57"/>
  <c r="BB58"/>
  <c r="BB59"/>
  <c r="BB60"/>
  <c r="BB61"/>
  <c r="BB62"/>
  <c r="BB63"/>
  <c r="BB64"/>
  <c r="BB65"/>
  <c r="BB66"/>
  <c r="BB43"/>
  <c r="CG67"/>
  <c r="CI41"/>
  <c r="CH41"/>
  <c r="BS43"/>
  <c r="BO67"/>
  <c r="BN48"/>
  <c r="BN49"/>
  <c r="BN50"/>
  <c r="BN51"/>
  <c r="BN52"/>
  <c r="BN53"/>
  <c r="BN54"/>
  <c r="BN55"/>
  <c r="BN56"/>
  <c r="BN57"/>
  <c r="BN58"/>
  <c r="BN59"/>
  <c r="BN60"/>
  <c r="BN61"/>
  <c r="BN62"/>
  <c r="BN63"/>
  <c r="BN64"/>
  <c r="BN65"/>
  <c r="BN66"/>
  <c r="BN44"/>
  <c r="BN45"/>
  <c r="BN46"/>
  <c r="BN47"/>
  <c r="BN43"/>
  <c r="BB33"/>
  <c r="BB67"/>
  <c r="BK67"/>
  <c r="BL67"/>
  <c r="BM67"/>
  <c r="BU67"/>
  <c r="BC67"/>
  <c r="BF67"/>
  <c r="BG67"/>
  <c r="BH67"/>
  <c r="BI67"/>
  <c r="BJ67"/>
  <c r="BC33"/>
  <c r="BD33"/>
  <c r="BE33"/>
  <c r="BF33"/>
  <c r="BP44"/>
  <c r="BQ44"/>
  <c r="BR44"/>
  <c r="BP45"/>
  <c r="BQ45"/>
  <c r="BR45"/>
  <c r="BP46"/>
  <c r="BQ46"/>
  <c r="BR46"/>
  <c r="BP47"/>
  <c r="BQ47"/>
  <c r="BR47"/>
  <c r="BP48"/>
  <c r="BQ48"/>
  <c r="BR48"/>
  <c r="BP49"/>
  <c r="BQ49"/>
  <c r="BR49"/>
  <c r="BP50"/>
  <c r="BQ50"/>
  <c r="BR50"/>
  <c r="BP51"/>
  <c r="BR51"/>
  <c r="BP52"/>
  <c r="BR52"/>
  <c r="BP53"/>
  <c r="BR53"/>
  <c r="BP54"/>
  <c r="BR54"/>
  <c r="BP55"/>
  <c r="BR55"/>
  <c r="BP56"/>
  <c r="BR56"/>
  <c r="BP57"/>
  <c r="BR57"/>
  <c r="BP58"/>
  <c r="BR58"/>
  <c r="BP59"/>
  <c r="BR59"/>
  <c r="BP60"/>
  <c r="BQ60"/>
  <c r="BR60"/>
  <c r="BP61"/>
  <c r="BQ61"/>
  <c r="BR61"/>
  <c r="BP62"/>
  <c r="BQ62"/>
  <c r="BR62"/>
  <c r="BP63"/>
  <c r="BQ63"/>
  <c r="BR63"/>
  <c r="BP64"/>
  <c r="BQ64"/>
  <c r="BR64"/>
  <c r="BP65"/>
  <c r="BQ65"/>
  <c r="BR65"/>
  <c r="BP66"/>
  <c r="BQ66"/>
  <c r="BR66"/>
  <c r="BQ43"/>
  <c r="BR43"/>
  <c r="BP43"/>
  <c r="BP67" s="1"/>
  <c r="BQ40"/>
  <c r="BD44"/>
  <c r="BE44"/>
  <c r="BD45"/>
  <c r="BE45"/>
  <c r="BD46"/>
  <c r="BE46"/>
  <c r="BD47"/>
  <c r="BE47"/>
  <c r="BD48"/>
  <c r="BE48"/>
  <c r="BD49"/>
  <c r="BE49"/>
  <c r="BD50"/>
  <c r="BE50"/>
  <c r="BD51"/>
  <c r="BE51"/>
  <c r="BD52"/>
  <c r="BE52"/>
  <c r="BD53"/>
  <c r="BE53"/>
  <c r="BD54"/>
  <c r="BE54"/>
  <c r="BD55"/>
  <c r="BE55"/>
  <c r="BD56"/>
  <c r="BE56"/>
  <c r="BD57"/>
  <c r="BE57"/>
  <c r="BD58"/>
  <c r="BE58"/>
  <c r="BD59"/>
  <c r="BE59"/>
  <c r="BD60"/>
  <c r="BE60"/>
  <c r="BD61"/>
  <c r="BE61"/>
  <c r="BD62"/>
  <c r="BE62"/>
  <c r="BD63"/>
  <c r="BE63"/>
  <c r="BD64"/>
  <c r="BE64"/>
  <c r="BD65"/>
  <c r="BE65"/>
  <c r="BD66"/>
  <c r="BE66"/>
  <c r="BE43"/>
  <c r="BD43"/>
  <c r="U59" i="11" l="1"/>
  <c r="U57"/>
  <c r="U55"/>
  <c r="V55"/>
  <c r="V56"/>
  <c r="U60"/>
  <c r="U58"/>
  <c r="V59"/>
  <c r="V60"/>
  <c r="U34"/>
  <c r="V32"/>
  <c r="U33"/>
  <c r="V35"/>
  <c r="V33"/>
  <c r="U37"/>
  <c r="U36"/>
  <c r="V37"/>
  <c r="V36"/>
  <c r="BD67" i="16"/>
  <c r="BR67"/>
  <c r="BN67"/>
  <c r="BE67"/>
  <c r="N41" i="20" l="1"/>
  <c r="N46" l="1"/>
  <c r="N44"/>
  <c r="N43"/>
  <c r="I18" i="17"/>
  <c r="I26"/>
  <c r="I28"/>
  <c r="I29"/>
  <c r="I30"/>
  <c r="I31"/>
  <c r="I32"/>
  <c r="I33"/>
  <c r="I34"/>
  <c r="I35"/>
  <c r="I36"/>
  <c r="I37"/>
  <c r="I38"/>
  <c r="I39"/>
  <c r="J29"/>
  <c r="K29"/>
  <c r="L29"/>
  <c r="M29"/>
  <c r="N29"/>
  <c r="O29"/>
  <c r="P29"/>
  <c r="Q29"/>
  <c r="R29"/>
  <c r="S29"/>
  <c r="J30"/>
  <c r="K30"/>
  <c r="L30"/>
  <c r="M30"/>
  <c r="N30"/>
  <c r="O30"/>
  <c r="P30"/>
  <c r="Q30"/>
  <c r="R30"/>
  <c r="S30"/>
  <c r="J31"/>
  <c r="K31"/>
  <c r="L31"/>
  <c r="M31"/>
  <c r="N31"/>
  <c r="O31"/>
  <c r="P31"/>
  <c r="Q31"/>
  <c r="R31"/>
  <c r="S31"/>
  <c r="J32"/>
  <c r="K32"/>
  <c r="L32"/>
  <c r="M32"/>
  <c r="N32"/>
  <c r="O32"/>
  <c r="P32"/>
  <c r="Q32"/>
  <c r="R32"/>
  <c r="S32"/>
  <c r="J33"/>
  <c r="K33"/>
  <c r="L33"/>
  <c r="M33"/>
  <c r="N33"/>
  <c r="O33"/>
  <c r="P33"/>
  <c r="Q33"/>
  <c r="R33"/>
  <c r="S33"/>
  <c r="J34"/>
  <c r="K34"/>
  <c r="L34"/>
  <c r="M34"/>
  <c r="N34"/>
  <c r="O34"/>
  <c r="P34"/>
  <c r="Q34"/>
  <c r="R34"/>
  <c r="S34"/>
  <c r="J35"/>
  <c r="K35"/>
  <c r="L35"/>
  <c r="M35"/>
  <c r="N35"/>
  <c r="O35"/>
  <c r="P35"/>
  <c r="Q35"/>
  <c r="R35"/>
  <c r="S35"/>
  <c r="J36"/>
  <c r="K36"/>
  <c r="L36"/>
  <c r="M36"/>
  <c r="N36"/>
  <c r="O36"/>
  <c r="P36"/>
  <c r="Q36"/>
  <c r="R36"/>
  <c r="S36"/>
  <c r="J37"/>
  <c r="K37"/>
  <c r="L37"/>
  <c r="M37"/>
  <c r="N37"/>
  <c r="O37"/>
  <c r="P37"/>
  <c r="Q37"/>
  <c r="R37"/>
  <c r="S37"/>
  <c r="J38"/>
  <c r="K38"/>
  <c r="L38"/>
  <c r="M38"/>
  <c r="N38"/>
  <c r="O38"/>
  <c r="P38"/>
  <c r="Q38"/>
  <c r="R38"/>
  <c r="S38"/>
  <c r="J39"/>
  <c r="K39"/>
  <c r="L39"/>
  <c r="M39"/>
  <c r="N39"/>
  <c r="O39"/>
  <c r="P39"/>
  <c r="Q39"/>
  <c r="R39"/>
  <c r="S39"/>
  <c r="J28"/>
  <c r="J40" s="1"/>
  <c r="K28"/>
  <c r="L28"/>
  <c r="M28"/>
  <c r="N28"/>
  <c r="N40" s="1"/>
  <c r="O28"/>
  <c r="P28"/>
  <c r="Q28"/>
  <c r="R28"/>
  <c r="S28"/>
  <c r="R40"/>
  <c r="J18"/>
  <c r="K18"/>
  <c r="L18"/>
  <c r="M18"/>
  <c r="N18"/>
  <c r="O18"/>
  <c r="P18"/>
  <c r="Q18"/>
  <c r="R18"/>
  <c r="S18"/>
  <c r="M26"/>
  <c r="N26"/>
  <c r="O26"/>
  <c r="P26"/>
  <c r="Q26"/>
  <c r="R26"/>
  <c r="S26"/>
  <c r="J26"/>
  <c r="K26"/>
  <c r="L26"/>
  <c r="H26"/>
  <c r="H18"/>
  <c r="H29"/>
  <c r="H30"/>
  <c r="H31"/>
  <c r="H32"/>
  <c r="H33"/>
  <c r="H34"/>
  <c r="H35"/>
  <c r="H36"/>
  <c r="H37"/>
  <c r="H38"/>
  <c r="H39"/>
  <c r="H28"/>
  <c r="I40" l="1"/>
  <c r="H40"/>
  <c r="P40"/>
  <c r="L40"/>
  <c r="S40"/>
  <c r="Q40"/>
  <c r="O40"/>
  <c r="M40"/>
  <c r="K40"/>
  <c r="CI7" i="16"/>
  <c r="CH7"/>
  <c r="CD6"/>
  <c r="CE7" s="1"/>
  <c r="CA6"/>
  <c r="CC7" s="1"/>
  <c r="BX6"/>
  <c r="BY7" s="1"/>
  <c r="CI66" l="1"/>
  <c r="CI65"/>
  <c r="CI64"/>
  <c r="CI63"/>
  <c r="CI62"/>
  <c r="CI61"/>
  <c r="CI60"/>
  <c r="CI59"/>
  <c r="CI58"/>
  <c r="CI57"/>
  <c r="CI56"/>
  <c r="CI55"/>
  <c r="CI54"/>
  <c r="CI53"/>
  <c r="CI52"/>
  <c r="CI51"/>
  <c r="CI50"/>
  <c r="CI49"/>
  <c r="CI48"/>
  <c r="CI47"/>
  <c r="CI46"/>
  <c r="CI45"/>
  <c r="CI44"/>
  <c r="CI43"/>
  <c r="CH66"/>
  <c r="CH65"/>
  <c r="CH64"/>
  <c r="CH63"/>
  <c r="CH62"/>
  <c r="CH61"/>
  <c r="CH60"/>
  <c r="CH59"/>
  <c r="CH58"/>
  <c r="CH57"/>
  <c r="CH56"/>
  <c r="CH55"/>
  <c r="CH54"/>
  <c r="CH53"/>
  <c r="CH52"/>
  <c r="CH51"/>
  <c r="CH50"/>
  <c r="CH49"/>
  <c r="CH48"/>
  <c r="CH47"/>
  <c r="CH46"/>
  <c r="CH45"/>
  <c r="CH44"/>
  <c r="CH43"/>
  <c r="CB7"/>
  <c r="CH11"/>
  <c r="CH13"/>
  <c r="CH15"/>
  <c r="CH17"/>
  <c r="CH19"/>
  <c r="CH21"/>
  <c r="CH23"/>
  <c r="CH25"/>
  <c r="CH27"/>
  <c r="CH29"/>
  <c r="CH31"/>
  <c r="CH9"/>
  <c r="CH10"/>
  <c r="CH12"/>
  <c r="CH14"/>
  <c r="CH16"/>
  <c r="CH18"/>
  <c r="CH20"/>
  <c r="CH22"/>
  <c r="CH24"/>
  <c r="CH26"/>
  <c r="CH28"/>
  <c r="CH30"/>
  <c r="CH32"/>
  <c r="CI10"/>
  <c r="CI12"/>
  <c r="CI14"/>
  <c r="CI16"/>
  <c r="CI18"/>
  <c r="CI20"/>
  <c r="CI22"/>
  <c r="CI24"/>
  <c r="CI26"/>
  <c r="CI28"/>
  <c r="CI30"/>
  <c r="CI32"/>
  <c r="CI9"/>
  <c r="CI11"/>
  <c r="CI13"/>
  <c r="CI15"/>
  <c r="CI17"/>
  <c r="CI19"/>
  <c r="CI21"/>
  <c r="CI23"/>
  <c r="CI25"/>
  <c r="CI27"/>
  <c r="CI29"/>
  <c r="CI31"/>
  <c r="BZ7"/>
  <c r="CF7"/>
  <c r="AH411" i="21"/>
  <c r="AF252"/>
  <c r="CH67" i="16" l="1"/>
  <c r="CI67"/>
  <c r="CH33"/>
  <c r="E414" i="4" s="1"/>
  <c r="CG33" i="16"/>
  <c r="F414" i="4" l="1"/>
  <c r="BM41" i="16" s="1"/>
  <c r="BM7"/>
  <c r="CI33"/>
  <c r="E415" i="4" s="1"/>
  <c r="F415" l="1"/>
  <c r="BM42" i="16" s="1"/>
  <c r="BM8"/>
  <c r="AB94" i="21" l="1"/>
  <c r="E408" i="4"/>
  <c r="BQ18" i="16"/>
  <c r="BQ52" s="1"/>
  <c r="BQ19"/>
  <c r="BQ53" s="1"/>
  <c r="BQ20"/>
  <c r="BQ54" s="1"/>
  <c r="BQ21"/>
  <c r="BQ55" s="1"/>
  <c r="BQ22"/>
  <c r="BQ56" s="1"/>
  <c r="BQ23"/>
  <c r="BQ57" s="1"/>
  <c r="BQ24"/>
  <c r="BQ58" s="1"/>
  <c r="BQ25"/>
  <c r="BQ59" s="1"/>
  <c r="BQ17"/>
  <c r="BQ51" s="1"/>
  <c r="BQ67" l="1"/>
  <c r="BQ33"/>
  <c r="K128" i="12"/>
  <c r="K129"/>
  <c r="K130"/>
  <c r="K131"/>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DF1019" i="22"/>
  <c r="AA134" i="12"/>
  <c r="AA135"/>
  <c r="AA136"/>
  <c r="AA137"/>
  <c r="AA138"/>
  <c r="AA139"/>
  <c r="AA140"/>
  <c r="AA141"/>
  <c r="AA142"/>
  <c r="AA143"/>
  <c r="AA144"/>
  <c r="AA145"/>
  <c r="AA146"/>
  <c r="AA147"/>
  <c r="AA148"/>
  <c r="AA149"/>
  <c r="AA150"/>
  <c r="AA151"/>
  <c r="AA152"/>
  <c r="AA153"/>
  <c r="AA154"/>
  <c r="AA155"/>
  <c r="AA156"/>
  <c r="AA157"/>
  <c r="AA158"/>
  <c r="AA159"/>
  <c r="AA160"/>
  <c r="AA161"/>
  <c r="AA170"/>
  <c r="AA163"/>
  <c r="AA164"/>
  <c r="AA165"/>
  <c r="AA166"/>
  <c r="AA167"/>
  <c r="AA168"/>
  <c r="AA169"/>
  <c r="AA162"/>
  <c r="Z167"/>
  <c r="Z168"/>
  <c r="Z169"/>
  <c r="Z170"/>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22"/>
  <c r="DF1017" i="22"/>
  <c r="X20" i="12"/>
  <c r="Y20"/>
  <c r="Y122" s="1"/>
  <c r="Z20"/>
  <c r="AA20"/>
  <c r="AB20"/>
  <c r="AC20"/>
  <c r="AD20"/>
  <c r="AE20"/>
  <c r="AF20"/>
  <c r="AG20"/>
  <c r="AH20"/>
  <c r="W20"/>
  <c r="AV62"/>
  <c r="AW62"/>
  <c r="AX62"/>
  <c r="AY62"/>
  <c r="AZ62"/>
  <c r="BA62"/>
  <c r="BB62"/>
  <c r="BC62"/>
  <c r="BD62"/>
  <c r="BE62"/>
  <c r="BF62"/>
  <c r="AU62"/>
  <c r="DG1013" i="22"/>
  <c r="E433" i="4" l="1"/>
  <c r="G80" i="9" l="1"/>
  <c r="F80"/>
  <c r="E80"/>
  <c r="D80"/>
  <c r="C80"/>
  <c r="G79"/>
  <c r="F79"/>
  <c r="G78"/>
  <c r="F78"/>
  <c r="G77"/>
  <c r="F77"/>
  <c r="G76"/>
  <c r="F76"/>
  <c r="G75"/>
  <c r="F75"/>
  <c r="E75"/>
  <c r="D75"/>
  <c r="C75"/>
  <c r="G74"/>
  <c r="F74"/>
  <c r="E74"/>
  <c r="D74"/>
  <c r="C74"/>
  <c r="G73"/>
  <c r="F73"/>
  <c r="G72"/>
  <c r="F72"/>
  <c r="E72"/>
  <c r="D72"/>
  <c r="C72"/>
  <c r="G71"/>
  <c r="F71"/>
  <c r="G70"/>
  <c r="F70"/>
  <c r="G69"/>
  <c r="F69"/>
  <c r="G68"/>
  <c r="F68"/>
  <c r="G67"/>
  <c r="F67"/>
  <c r="E67"/>
  <c r="D67"/>
  <c r="C67"/>
  <c r="G66"/>
  <c r="F66"/>
  <c r="G65"/>
  <c r="F65"/>
  <c r="G64"/>
  <c r="F64"/>
  <c r="E64"/>
  <c r="D64"/>
  <c r="C64"/>
  <c r="G63"/>
  <c r="F63"/>
  <c r="G62"/>
  <c r="F62"/>
  <c r="G61"/>
  <c r="F61"/>
  <c r="G60"/>
  <c r="F60"/>
  <c r="E60"/>
  <c r="D60"/>
  <c r="C60"/>
  <c r="G59"/>
  <c r="F59"/>
  <c r="G58"/>
  <c r="F58"/>
  <c r="G57"/>
  <c r="F57"/>
  <c r="G56"/>
  <c r="F56"/>
  <c r="G55"/>
  <c r="F55"/>
  <c r="G54"/>
  <c r="F54"/>
  <c r="E54"/>
  <c r="D54"/>
  <c r="C54"/>
  <c r="G53"/>
  <c r="F53"/>
  <c r="G52"/>
  <c r="F52"/>
  <c r="G51"/>
  <c r="F51"/>
  <c r="G50"/>
  <c r="F50"/>
  <c r="G49"/>
  <c r="F49"/>
  <c r="G48"/>
  <c r="F48"/>
  <c r="E48"/>
  <c r="D48"/>
  <c r="C48"/>
  <c r="G47"/>
  <c r="F47"/>
  <c r="G46"/>
  <c r="F46"/>
  <c r="G45"/>
  <c r="F45"/>
  <c r="G44"/>
  <c r="F44"/>
  <c r="G43"/>
  <c r="F43"/>
  <c r="G42"/>
  <c r="F42"/>
  <c r="G41"/>
  <c r="F41"/>
  <c r="G40"/>
  <c r="F40"/>
  <c r="E40"/>
  <c r="D40"/>
  <c r="C40"/>
  <c r="G39"/>
  <c r="F39"/>
  <c r="G38"/>
  <c r="F38"/>
  <c r="G37"/>
  <c r="F37"/>
  <c r="G36"/>
  <c r="F36"/>
  <c r="G35"/>
  <c r="F35"/>
  <c r="G34"/>
  <c r="F34"/>
  <c r="E34"/>
  <c r="D34"/>
  <c r="C34"/>
  <c r="G33"/>
  <c r="F33"/>
  <c r="G32"/>
  <c r="F32"/>
  <c r="G31"/>
  <c r="F31"/>
  <c r="G30"/>
  <c r="F30"/>
  <c r="G29"/>
  <c r="F29"/>
  <c r="E29"/>
  <c r="D29"/>
  <c r="C29"/>
  <c r="G28"/>
  <c r="F28"/>
  <c r="G27"/>
  <c r="F27"/>
  <c r="G26"/>
  <c r="F26"/>
  <c r="G25"/>
  <c r="F25"/>
  <c r="G24"/>
  <c r="F24"/>
  <c r="E24"/>
  <c r="D24"/>
  <c r="C24"/>
  <c r="G23"/>
  <c r="F23"/>
  <c r="E23"/>
  <c r="D23"/>
  <c r="C23"/>
  <c r="N20"/>
  <c r="I20"/>
  <c r="I19"/>
  <c r="I18"/>
  <c r="I17"/>
  <c r="I16"/>
  <c r="H16"/>
  <c r="G16"/>
  <c r="F16"/>
  <c r="E16"/>
  <c r="D16"/>
  <c r="C16"/>
  <c r="I15"/>
  <c r="I14"/>
  <c r="H14"/>
  <c r="G14"/>
  <c r="F14"/>
  <c r="E14"/>
  <c r="D14"/>
  <c r="C14"/>
  <c r="I13"/>
  <c r="I12"/>
  <c r="I11"/>
  <c r="I10"/>
  <c r="I9"/>
  <c r="I8"/>
  <c r="DF1016" i="22"/>
  <c r="DE1016"/>
  <c r="DF1015"/>
  <c r="DE1015"/>
  <c r="DF1014"/>
  <c r="DE1014"/>
  <c r="DF1013"/>
  <c r="DE1013"/>
  <c r="DE1012"/>
  <c r="BJ1012"/>
  <c r="BI1012"/>
  <c r="BV1012" s="1"/>
  <c r="BH1012"/>
  <c r="BG1012"/>
  <c r="BT1012" s="1"/>
  <c r="BF1012"/>
  <c r="BE1012"/>
  <c r="BR1012" s="1"/>
  <c r="BD1012"/>
  <c r="BQ1012" s="1"/>
  <c r="BC1012"/>
  <c r="BP1012" s="1"/>
  <c r="BB1012"/>
  <c r="BO1012" s="1"/>
  <c r="BA1012"/>
  <c r="BN1012" s="1"/>
  <c r="AZ1012"/>
  <c r="BM1012" s="1"/>
  <c r="AY1012"/>
  <c r="BL1012" s="1"/>
  <c r="AX1012"/>
  <c r="BW1012" s="1"/>
  <c r="AW1012"/>
  <c r="CH1012" s="1"/>
  <c r="AV1012"/>
  <c r="CG1012" s="1"/>
  <c r="AU1012"/>
  <c r="CF1012" s="1"/>
  <c r="AT1012"/>
  <c r="CE1012" s="1"/>
  <c r="AS1012"/>
  <c r="CD1012" s="1"/>
  <c r="AR1012"/>
  <c r="CC1012" s="1"/>
  <c r="AQ1012"/>
  <c r="CB1012" s="1"/>
  <c r="AP1012"/>
  <c r="CA1012" s="1"/>
  <c r="AO1012"/>
  <c r="BZ1012" s="1"/>
  <c r="AN1012"/>
  <c r="BY1012" s="1"/>
  <c r="AM1012"/>
  <c r="BX1012" s="1"/>
  <c r="AL1012"/>
  <c r="AK1012"/>
  <c r="AJ1012"/>
  <c r="AI1012"/>
  <c r="AH1012"/>
  <c r="AG1012"/>
  <c r="AF1012"/>
  <c r="AE1012"/>
  <c r="AD1012"/>
  <c r="AC1012"/>
  <c r="AB1012"/>
  <c r="AA1012"/>
  <c r="DE1011"/>
  <c r="BJ1011"/>
  <c r="BI1011"/>
  <c r="BV1011" s="1"/>
  <c r="BH1011"/>
  <c r="BU1011" s="1"/>
  <c r="BG1011"/>
  <c r="BT1011" s="1"/>
  <c r="BF1011"/>
  <c r="BS1011" s="1"/>
  <c r="BE1011"/>
  <c r="BR1011" s="1"/>
  <c r="BD1011"/>
  <c r="BQ1011" s="1"/>
  <c r="BC1011"/>
  <c r="BP1011" s="1"/>
  <c r="BB1011"/>
  <c r="BO1011" s="1"/>
  <c r="BA1011"/>
  <c r="BN1011" s="1"/>
  <c r="AZ1011"/>
  <c r="BM1011" s="1"/>
  <c r="AY1011"/>
  <c r="BL1011" s="1"/>
  <c r="AX1011"/>
  <c r="BW1011" s="1"/>
  <c r="AW1011"/>
  <c r="CH1011" s="1"/>
  <c r="AV1011"/>
  <c r="CG1011" s="1"/>
  <c r="AU1011"/>
  <c r="CF1011" s="1"/>
  <c r="AT1011"/>
  <c r="CE1011" s="1"/>
  <c r="AS1011"/>
  <c r="CD1011" s="1"/>
  <c r="AR1011"/>
  <c r="CC1011" s="1"/>
  <c r="AQ1011"/>
  <c r="CB1011" s="1"/>
  <c r="AP1011"/>
  <c r="CA1011" s="1"/>
  <c r="AO1011"/>
  <c r="BZ1011" s="1"/>
  <c r="AN1011"/>
  <c r="BY1011" s="1"/>
  <c r="AM1011"/>
  <c r="BX1011" s="1"/>
  <c r="AL1011"/>
  <c r="AK1011"/>
  <c r="AJ1011"/>
  <c r="AI1011"/>
  <c r="AH1011"/>
  <c r="AG1011"/>
  <c r="AF1011"/>
  <c r="AE1011"/>
  <c r="AD1011"/>
  <c r="AC1011"/>
  <c r="AB1011"/>
  <c r="AA1011"/>
  <c r="DE1010"/>
  <c r="BJ1010"/>
  <c r="BI1010"/>
  <c r="BV1010" s="1"/>
  <c r="BH1010"/>
  <c r="BU1010" s="1"/>
  <c r="BG1010"/>
  <c r="BT1010" s="1"/>
  <c r="BF1010"/>
  <c r="BS1010" s="1"/>
  <c r="BE1010"/>
  <c r="BR1010" s="1"/>
  <c r="BD1010"/>
  <c r="BQ1010" s="1"/>
  <c r="BC1010"/>
  <c r="BP1010" s="1"/>
  <c r="BB1010"/>
  <c r="BO1010" s="1"/>
  <c r="BA1010"/>
  <c r="BN1010" s="1"/>
  <c r="AZ1010"/>
  <c r="BM1010" s="1"/>
  <c r="AY1010"/>
  <c r="BL1010" s="1"/>
  <c r="AX1010"/>
  <c r="BW1010" s="1"/>
  <c r="AW1010"/>
  <c r="CH1010" s="1"/>
  <c r="AV1010"/>
  <c r="CG1010" s="1"/>
  <c r="AU1010"/>
  <c r="CF1010" s="1"/>
  <c r="AT1010"/>
  <c r="CE1010" s="1"/>
  <c r="AS1010"/>
  <c r="CD1010" s="1"/>
  <c r="AR1010"/>
  <c r="CC1010" s="1"/>
  <c r="AQ1010"/>
  <c r="CB1010" s="1"/>
  <c r="AP1010"/>
  <c r="CA1010" s="1"/>
  <c r="AO1010"/>
  <c r="BZ1010" s="1"/>
  <c r="AN1010"/>
  <c r="BY1010" s="1"/>
  <c r="AM1010"/>
  <c r="BX1010" s="1"/>
  <c r="AL1010"/>
  <c r="AK1010"/>
  <c r="AJ1010"/>
  <c r="AI1010"/>
  <c r="AH1010"/>
  <c r="AG1010"/>
  <c r="AF1010"/>
  <c r="AE1010"/>
  <c r="AD1010"/>
  <c r="AC1010"/>
  <c r="AB1010"/>
  <c r="AA1010"/>
  <c r="DE1009"/>
  <c r="BJ1009"/>
  <c r="BI1009"/>
  <c r="BV1009" s="1"/>
  <c r="BH1009"/>
  <c r="BU1009" s="1"/>
  <c r="BG1009"/>
  <c r="BT1009" s="1"/>
  <c r="BF1009"/>
  <c r="BS1009" s="1"/>
  <c r="BE1009"/>
  <c r="BR1009" s="1"/>
  <c r="BD1009"/>
  <c r="BQ1009" s="1"/>
  <c r="BC1009"/>
  <c r="BP1009" s="1"/>
  <c r="BB1009"/>
  <c r="BO1009" s="1"/>
  <c r="BA1009"/>
  <c r="BN1009" s="1"/>
  <c r="AZ1009"/>
  <c r="BM1009" s="1"/>
  <c r="AY1009"/>
  <c r="BL1009" s="1"/>
  <c r="AX1009"/>
  <c r="BW1009" s="1"/>
  <c r="AW1009"/>
  <c r="CH1009" s="1"/>
  <c r="AV1009"/>
  <c r="CG1009" s="1"/>
  <c r="AU1009"/>
  <c r="CF1009" s="1"/>
  <c r="AT1009"/>
  <c r="CE1009" s="1"/>
  <c r="AS1009"/>
  <c r="CD1009" s="1"/>
  <c r="AR1009"/>
  <c r="CC1009" s="1"/>
  <c r="AQ1009"/>
  <c r="CB1009" s="1"/>
  <c r="AP1009"/>
  <c r="CA1009" s="1"/>
  <c r="AO1009"/>
  <c r="BZ1009" s="1"/>
  <c r="AN1009"/>
  <c r="BY1009" s="1"/>
  <c r="AM1009"/>
  <c r="BX1009" s="1"/>
  <c r="AL1009"/>
  <c r="AK1009"/>
  <c r="AJ1009"/>
  <c r="AI1009"/>
  <c r="AH1009"/>
  <c r="AG1009"/>
  <c r="AF1009"/>
  <c r="AE1009"/>
  <c r="AD1009"/>
  <c r="AC1009"/>
  <c r="AB1009"/>
  <c r="AA1009"/>
  <c r="DE1008"/>
  <c r="BJ1008"/>
  <c r="BV1008" s="1"/>
  <c r="BI1008"/>
  <c r="BH1008"/>
  <c r="BU1008" s="1"/>
  <c r="BG1008"/>
  <c r="BT1008" s="1"/>
  <c r="BF1008"/>
  <c r="BS1008" s="1"/>
  <c r="BE1008"/>
  <c r="BR1008" s="1"/>
  <c r="BD1008"/>
  <c r="BQ1008" s="1"/>
  <c r="BC1008"/>
  <c r="BP1008" s="1"/>
  <c r="BB1008"/>
  <c r="BO1008" s="1"/>
  <c r="BA1008"/>
  <c r="BN1008" s="1"/>
  <c r="AZ1008"/>
  <c r="BM1008" s="1"/>
  <c r="AY1008"/>
  <c r="BL1008" s="1"/>
  <c r="AX1008"/>
  <c r="BW1008" s="1"/>
  <c r="AW1008"/>
  <c r="CH1008" s="1"/>
  <c r="AV1008"/>
  <c r="CG1008" s="1"/>
  <c r="AU1008"/>
  <c r="CF1008" s="1"/>
  <c r="AT1008"/>
  <c r="CE1008" s="1"/>
  <c r="AS1008"/>
  <c r="CD1008" s="1"/>
  <c r="AR1008"/>
  <c r="CC1008" s="1"/>
  <c r="AQ1008"/>
  <c r="CB1008" s="1"/>
  <c r="AP1008"/>
  <c r="CA1008" s="1"/>
  <c r="AO1008"/>
  <c r="BZ1008" s="1"/>
  <c r="AN1008"/>
  <c r="BY1008" s="1"/>
  <c r="AM1008"/>
  <c r="BX1008" s="1"/>
  <c r="AL1008"/>
  <c r="AK1008"/>
  <c r="AJ1008"/>
  <c r="AI1008"/>
  <c r="AH1008"/>
  <c r="AG1008"/>
  <c r="AF1008"/>
  <c r="AE1008"/>
  <c r="AD1008"/>
  <c r="AC1008"/>
  <c r="AB1008"/>
  <c r="AA1008"/>
  <c r="DE1007"/>
  <c r="BJ1007"/>
  <c r="BV1007" s="1"/>
  <c r="BI1007"/>
  <c r="BH1007"/>
  <c r="BT1007" s="1"/>
  <c r="BG1007"/>
  <c r="BF1007"/>
  <c r="BR1007" s="1"/>
  <c r="BE1007"/>
  <c r="BD1007"/>
  <c r="BQ1007" s="1"/>
  <c r="BC1007"/>
  <c r="BP1007" s="1"/>
  <c r="BB1007"/>
  <c r="BO1007" s="1"/>
  <c r="BA1007"/>
  <c r="BN1007" s="1"/>
  <c r="AZ1007"/>
  <c r="BM1007" s="1"/>
  <c r="AY1007"/>
  <c r="BL1007" s="1"/>
  <c r="AX1007"/>
  <c r="BW1007" s="1"/>
  <c r="AW1007"/>
  <c r="CH1007" s="1"/>
  <c r="AV1007"/>
  <c r="CG1007" s="1"/>
  <c r="AU1007"/>
  <c r="CF1007" s="1"/>
  <c r="AT1007"/>
  <c r="CE1007" s="1"/>
  <c r="AS1007"/>
  <c r="CD1007" s="1"/>
  <c r="AR1007"/>
  <c r="CC1007" s="1"/>
  <c r="AQ1007"/>
  <c r="CB1007" s="1"/>
  <c r="AP1007"/>
  <c r="CA1007" s="1"/>
  <c r="AO1007"/>
  <c r="BZ1007" s="1"/>
  <c r="AN1007"/>
  <c r="BY1007" s="1"/>
  <c r="AM1007"/>
  <c r="BX1007" s="1"/>
  <c r="AL1007"/>
  <c r="AK1007"/>
  <c r="AJ1007"/>
  <c r="AI1007"/>
  <c r="AH1007"/>
  <c r="AG1007"/>
  <c r="AF1007"/>
  <c r="AE1007"/>
  <c r="AD1007"/>
  <c r="AC1007"/>
  <c r="AB1007"/>
  <c r="AA1007"/>
  <c r="DE1006"/>
  <c r="BJ1006"/>
  <c r="BV1006" s="1"/>
  <c r="BI1006"/>
  <c r="BH1006"/>
  <c r="BT1006" s="1"/>
  <c r="BG1006"/>
  <c r="BF1006"/>
  <c r="BR1006" s="1"/>
  <c r="BE1006"/>
  <c r="BD1006"/>
  <c r="BP1006" s="1"/>
  <c r="BC1006"/>
  <c r="BB1006"/>
  <c r="BN1006" s="1"/>
  <c r="BA1006"/>
  <c r="AZ1006"/>
  <c r="BM1006" s="1"/>
  <c r="AY1006"/>
  <c r="BL1006" s="1"/>
  <c r="AX1006"/>
  <c r="BW1006" s="1"/>
  <c r="AW1006"/>
  <c r="CH1006" s="1"/>
  <c r="AV1006"/>
  <c r="CG1006" s="1"/>
  <c r="AU1006"/>
  <c r="CF1006" s="1"/>
  <c r="AT1006"/>
  <c r="CE1006" s="1"/>
  <c r="AS1006"/>
  <c r="CD1006" s="1"/>
  <c r="AR1006"/>
  <c r="CC1006" s="1"/>
  <c r="AQ1006"/>
  <c r="CB1006" s="1"/>
  <c r="AP1006"/>
  <c r="CA1006" s="1"/>
  <c r="AO1006"/>
  <c r="BZ1006" s="1"/>
  <c r="AN1006"/>
  <c r="BY1006" s="1"/>
  <c r="AM1006"/>
  <c r="BX1006" s="1"/>
  <c r="AL1006"/>
  <c r="AK1006"/>
  <c r="AJ1006"/>
  <c r="AI1006"/>
  <c r="AH1006"/>
  <c r="AG1006"/>
  <c r="AF1006"/>
  <c r="AE1006"/>
  <c r="AD1006"/>
  <c r="AC1006"/>
  <c r="AB1006"/>
  <c r="AA1006"/>
  <c r="DE1005"/>
  <c r="BJ1005"/>
  <c r="BV1005" s="1"/>
  <c r="BI1005"/>
  <c r="BH1005"/>
  <c r="BT1005" s="1"/>
  <c r="BG1005"/>
  <c r="BF1005"/>
  <c r="BR1005" s="1"/>
  <c r="BE1005"/>
  <c r="BD1005"/>
  <c r="BP1005" s="1"/>
  <c r="BC1005"/>
  <c r="BB1005"/>
  <c r="BN1005" s="1"/>
  <c r="BA1005"/>
  <c r="AZ1005"/>
  <c r="BL1005" s="1"/>
  <c r="AY1005"/>
  <c r="BK1005" s="1"/>
  <c r="AX1005"/>
  <c r="BW1005" s="1"/>
  <c r="AW1005"/>
  <c r="CH1005" s="1"/>
  <c r="AV1005"/>
  <c r="CG1005" s="1"/>
  <c r="AU1005"/>
  <c r="CF1005" s="1"/>
  <c r="AT1005"/>
  <c r="CE1005" s="1"/>
  <c r="AS1005"/>
  <c r="CD1005" s="1"/>
  <c r="AR1005"/>
  <c r="CC1005" s="1"/>
  <c r="AQ1005"/>
  <c r="CB1005" s="1"/>
  <c r="AP1005"/>
  <c r="CA1005" s="1"/>
  <c r="AO1005"/>
  <c r="BZ1005" s="1"/>
  <c r="AN1005"/>
  <c r="BY1005" s="1"/>
  <c r="AM1005"/>
  <c r="BX1005" s="1"/>
  <c r="AL1005"/>
  <c r="AK1005"/>
  <c r="AJ1005"/>
  <c r="AI1005"/>
  <c r="AH1005"/>
  <c r="AG1005"/>
  <c r="AF1005"/>
  <c r="AE1005"/>
  <c r="AD1005"/>
  <c r="AC1005"/>
  <c r="AB1005"/>
  <c r="AA1005"/>
  <c r="DE1004"/>
  <c r="BJ1004"/>
  <c r="BV1004" s="1"/>
  <c r="BI1004"/>
  <c r="BH1004"/>
  <c r="BT1004" s="1"/>
  <c r="BG1004"/>
  <c r="BF1004"/>
  <c r="BR1004" s="1"/>
  <c r="BE1004"/>
  <c r="BD1004"/>
  <c r="BP1004" s="1"/>
  <c r="BC1004"/>
  <c r="BB1004"/>
  <c r="BN1004" s="1"/>
  <c r="BA1004"/>
  <c r="AZ1004"/>
  <c r="BL1004" s="1"/>
  <c r="AY1004"/>
  <c r="BK1004" s="1"/>
  <c r="AX1004"/>
  <c r="BW1004" s="1"/>
  <c r="AW1004"/>
  <c r="CH1004" s="1"/>
  <c r="AV1004"/>
  <c r="CG1004" s="1"/>
  <c r="AU1004"/>
  <c r="CF1004" s="1"/>
  <c r="AT1004"/>
  <c r="CE1004" s="1"/>
  <c r="AS1004"/>
  <c r="CD1004" s="1"/>
  <c r="AR1004"/>
  <c r="CC1004" s="1"/>
  <c r="AQ1004"/>
  <c r="CB1004" s="1"/>
  <c r="AP1004"/>
  <c r="CA1004" s="1"/>
  <c r="AO1004"/>
  <c r="BZ1004" s="1"/>
  <c r="AN1004"/>
  <c r="BY1004" s="1"/>
  <c r="AM1004"/>
  <c r="BX1004" s="1"/>
  <c r="AL1004"/>
  <c r="AK1004"/>
  <c r="AJ1004"/>
  <c r="AI1004"/>
  <c r="AH1004"/>
  <c r="AG1004"/>
  <c r="AF1004"/>
  <c r="AE1004"/>
  <c r="AD1004"/>
  <c r="AC1004"/>
  <c r="AB1004"/>
  <c r="AA1004"/>
  <c r="DE1003"/>
  <c r="BJ1003"/>
  <c r="BV1003" s="1"/>
  <c r="BI1003"/>
  <c r="BH1003"/>
  <c r="BT1003" s="1"/>
  <c r="BG1003"/>
  <c r="BF1003"/>
  <c r="BR1003" s="1"/>
  <c r="BE1003"/>
  <c r="BD1003"/>
  <c r="BP1003" s="1"/>
  <c r="BC1003"/>
  <c r="BB1003"/>
  <c r="BN1003" s="1"/>
  <c r="BA1003"/>
  <c r="AZ1003"/>
  <c r="BL1003" s="1"/>
  <c r="AY1003"/>
  <c r="BK1003" s="1"/>
  <c r="AX1003"/>
  <c r="CH1003" s="1"/>
  <c r="AW1003"/>
  <c r="AV1003"/>
  <c r="CF1003" s="1"/>
  <c r="AU1003"/>
  <c r="AT1003"/>
  <c r="CE1003" s="1"/>
  <c r="AS1003"/>
  <c r="CD1003" s="1"/>
  <c r="AR1003"/>
  <c r="CC1003" s="1"/>
  <c r="AQ1003"/>
  <c r="CB1003" s="1"/>
  <c r="AP1003"/>
  <c r="CA1003" s="1"/>
  <c r="AO1003"/>
  <c r="BZ1003" s="1"/>
  <c r="AN1003"/>
  <c r="BY1003" s="1"/>
  <c r="AM1003"/>
  <c r="BX1003" s="1"/>
  <c r="AL1003"/>
  <c r="AK1003"/>
  <c r="AJ1003"/>
  <c r="AI1003"/>
  <c r="AH1003"/>
  <c r="AG1003"/>
  <c r="AF1003"/>
  <c r="AE1003"/>
  <c r="AD1003"/>
  <c r="AC1003"/>
  <c r="AB1003"/>
  <c r="AA1003"/>
  <c r="DE1002"/>
  <c r="BJ1002"/>
  <c r="BV1002" s="1"/>
  <c r="BI1002"/>
  <c r="BH1002"/>
  <c r="BT1002" s="1"/>
  <c r="BG1002"/>
  <c r="BF1002"/>
  <c r="BR1002" s="1"/>
  <c r="BE1002"/>
  <c r="BD1002"/>
  <c r="BP1002" s="1"/>
  <c r="BC1002"/>
  <c r="BB1002"/>
  <c r="BN1002" s="1"/>
  <c r="BA1002"/>
  <c r="AZ1002"/>
  <c r="BL1002" s="1"/>
  <c r="AY1002"/>
  <c r="BK1002" s="1"/>
  <c r="AX1002"/>
  <c r="CH1002" s="1"/>
  <c r="AW1002"/>
  <c r="AV1002"/>
  <c r="CF1002" s="1"/>
  <c r="AU1002"/>
  <c r="AT1002"/>
  <c r="CD1002" s="1"/>
  <c r="AS1002"/>
  <c r="AR1002"/>
  <c r="CC1002" s="1"/>
  <c r="AQ1002"/>
  <c r="CB1002" s="1"/>
  <c r="AP1002"/>
  <c r="CA1002" s="1"/>
  <c r="AO1002"/>
  <c r="BZ1002" s="1"/>
  <c r="AN1002"/>
  <c r="BY1002" s="1"/>
  <c r="AM1002"/>
  <c r="BX1002" s="1"/>
  <c r="AL1002"/>
  <c r="AK1002"/>
  <c r="AJ1002"/>
  <c r="AI1002"/>
  <c r="AH1002"/>
  <c r="AG1002"/>
  <c r="AF1002"/>
  <c r="AE1002"/>
  <c r="AD1002"/>
  <c r="AC1002"/>
  <c r="AB1002"/>
  <c r="AA1002"/>
  <c r="DE1001"/>
  <c r="BJ1001"/>
  <c r="BV1001" s="1"/>
  <c r="BI1001"/>
  <c r="BH1001"/>
  <c r="BT1001" s="1"/>
  <c r="BG1001"/>
  <c r="BF1001"/>
  <c r="BR1001" s="1"/>
  <c r="BE1001"/>
  <c r="BD1001"/>
  <c r="BP1001" s="1"/>
  <c r="BC1001"/>
  <c r="BB1001"/>
  <c r="BN1001" s="1"/>
  <c r="BA1001"/>
  <c r="AZ1001"/>
  <c r="BL1001" s="1"/>
  <c r="AY1001"/>
  <c r="BK1001" s="1"/>
  <c r="AX1001"/>
  <c r="CH1001" s="1"/>
  <c r="AW1001"/>
  <c r="AV1001"/>
  <c r="CF1001" s="1"/>
  <c r="AU1001"/>
  <c r="AT1001"/>
  <c r="CD1001" s="1"/>
  <c r="AS1001"/>
  <c r="AR1001"/>
  <c r="CB1001" s="1"/>
  <c r="AQ1001"/>
  <c r="AP1001"/>
  <c r="BZ1001" s="1"/>
  <c r="AO1001"/>
  <c r="AN1001"/>
  <c r="BY1001" s="1"/>
  <c r="AM1001"/>
  <c r="BX1001" s="1"/>
  <c r="AL1001"/>
  <c r="AK1001"/>
  <c r="AJ1001"/>
  <c r="AI1001"/>
  <c r="AH1001"/>
  <c r="AG1001"/>
  <c r="AF1001"/>
  <c r="AE1001"/>
  <c r="AD1001"/>
  <c r="AC1001"/>
  <c r="AB1001"/>
  <c r="AA1001"/>
  <c r="DE1000"/>
  <c r="BJ1000"/>
  <c r="BV1000" s="1"/>
  <c r="BI1000"/>
  <c r="BH1000"/>
  <c r="BT1000" s="1"/>
  <c r="BG1000"/>
  <c r="BF1000"/>
  <c r="BR1000" s="1"/>
  <c r="BE1000"/>
  <c r="BD1000"/>
  <c r="BP1000" s="1"/>
  <c r="BC1000"/>
  <c r="BB1000"/>
  <c r="BN1000" s="1"/>
  <c r="BA1000"/>
  <c r="AZ1000"/>
  <c r="BL1000" s="1"/>
  <c r="AY1000"/>
  <c r="BK1000" s="1"/>
  <c r="AX1000"/>
  <c r="CH1000" s="1"/>
  <c r="AW1000"/>
  <c r="AV1000"/>
  <c r="CF1000" s="1"/>
  <c r="AU1000"/>
  <c r="AT1000"/>
  <c r="CD1000" s="1"/>
  <c r="AS1000"/>
  <c r="AR1000"/>
  <c r="CB1000" s="1"/>
  <c r="AQ1000"/>
  <c r="AP1000"/>
  <c r="BZ1000" s="1"/>
  <c r="AO1000"/>
  <c r="AN1000"/>
  <c r="BX1000" s="1"/>
  <c r="AM1000"/>
  <c r="AL1000"/>
  <c r="AK1000"/>
  <c r="AJ1000"/>
  <c r="AI1000"/>
  <c r="AH1000"/>
  <c r="AG1000"/>
  <c r="AF1000"/>
  <c r="AE1000"/>
  <c r="AD1000"/>
  <c r="AC1000"/>
  <c r="AB1000"/>
  <c r="AA1000"/>
  <c r="DE999"/>
  <c r="BJ999"/>
  <c r="BV999" s="1"/>
  <c r="BI999"/>
  <c r="BH999"/>
  <c r="BT999" s="1"/>
  <c r="BG999"/>
  <c r="BF999"/>
  <c r="BR999" s="1"/>
  <c r="BE999"/>
  <c r="BD999"/>
  <c r="BP999" s="1"/>
  <c r="BC999"/>
  <c r="BB999"/>
  <c r="BN999" s="1"/>
  <c r="BA999"/>
  <c r="AZ999"/>
  <c r="BL999" s="1"/>
  <c r="AY999"/>
  <c r="BK999" s="1"/>
  <c r="AX999"/>
  <c r="CH999" s="1"/>
  <c r="AW999"/>
  <c r="AV999"/>
  <c r="CF999" s="1"/>
  <c r="AU999"/>
  <c r="AT999"/>
  <c r="CD999" s="1"/>
  <c r="AS999"/>
  <c r="AR999"/>
  <c r="CB999" s="1"/>
  <c r="AQ999"/>
  <c r="AP999"/>
  <c r="BZ999" s="1"/>
  <c r="AO999"/>
  <c r="AN999"/>
  <c r="BX999" s="1"/>
  <c r="AM999"/>
  <c r="AL999"/>
  <c r="AK999"/>
  <c r="AJ999"/>
  <c r="AI999"/>
  <c r="AH999"/>
  <c r="AG999"/>
  <c r="AF999"/>
  <c r="AE999"/>
  <c r="AD999"/>
  <c r="AC999"/>
  <c r="AB999"/>
  <c r="AA999"/>
  <c r="DE998"/>
  <c r="BJ998"/>
  <c r="BV998" s="1"/>
  <c r="BI998"/>
  <c r="BH998"/>
  <c r="BT998" s="1"/>
  <c r="BG998"/>
  <c r="BF998"/>
  <c r="BR998" s="1"/>
  <c r="BE998"/>
  <c r="BD998"/>
  <c r="BP998" s="1"/>
  <c r="BC998"/>
  <c r="BB998"/>
  <c r="BN998" s="1"/>
  <c r="BA998"/>
  <c r="AZ998"/>
  <c r="BL998" s="1"/>
  <c r="AY998"/>
  <c r="BK998" s="1"/>
  <c r="AX998"/>
  <c r="CH998" s="1"/>
  <c r="AW998"/>
  <c r="AV998"/>
  <c r="CF998" s="1"/>
  <c r="AU998"/>
  <c r="AT998"/>
  <c r="CD998" s="1"/>
  <c r="AS998"/>
  <c r="AR998"/>
  <c r="CB998" s="1"/>
  <c r="AQ998"/>
  <c r="AP998"/>
  <c r="BZ998" s="1"/>
  <c r="AO998"/>
  <c r="AN998"/>
  <c r="BX998" s="1"/>
  <c r="AM998"/>
  <c r="AL998"/>
  <c r="AK998"/>
  <c r="AJ998"/>
  <c r="AI998"/>
  <c r="AH998"/>
  <c r="AG998"/>
  <c r="AF998"/>
  <c r="AE998"/>
  <c r="AD998"/>
  <c r="AC998"/>
  <c r="AB998"/>
  <c r="AA998"/>
  <c r="DE997"/>
  <c r="BJ997"/>
  <c r="BV997" s="1"/>
  <c r="BI997"/>
  <c r="BH997"/>
  <c r="BT997" s="1"/>
  <c r="BG997"/>
  <c r="BF997"/>
  <c r="BR997" s="1"/>
  <c r="BE997"/>
  <c r="BD997"/>
  <c r="BP997" s="1"/>
  <c r="BC997"/>
  <c r="BB997"/>
  <c r="BN997" s="1"/>
  <c r="BA997"/>
  <c r="AZ997"/>
  <c r="BL997" s="1"/>
  <c r="AY997"/>
  <c r="BK997" s="1"/>
  <c r="AX997"/>
  <c r="CH997" s="1"/>
  <c r="AW997"/>
  <c r="AV997"/>
  <c r="CF997" s="1"/>
  <c r="AU997"/>
  <c r="AT997"/>
  <c r="CD997" s="1"/>
  <c r="AS997"/>
  <c r="AR997"/>
  <c r="CB997" s="1"/>
  <c r="AQ997"/>
  <c r="AP997"/>
  <c r="BZ997" s="1"/>
  <c r="AO997"/>
  <c r="AN997"/>
  <c r="BX997" s="1"/>
  <c r="AM997"/>
  <c r="AL997"/>
  <c r="AK997"/>
  <c r="AJ997"/>
  <c r="AI997"/>
  <c r="AH997"/>
  <c r="AG997"/>
  <c r="AF997"/>
  <c r="AE997"/>
  <c r="AD997"/>
  <c r="AC997"/>
  <c r="AB997"/>
  <c r="AA997"/>
  <c r="DE996"/>
  <c r="BJ996"/>
  <c r="BV996" s="1"/>
  <c r="BI996"/>
  <c r="BH996"/>
  <c r="BT996" s="1"/>
  <c r="BG996"/>
  <c r="BF996"/>
  <c r="BR996" s="1"/>
  <c r="BE996"/>
  <c r="BD996"/>
  <c r="BP996" s="1"/>
  <c r="BC996"/>
  <c r="BB996"/>
  <c r="BN996" s="1"/>
  <c r="BA996"/>
  <c r="AZ996"/>
  <c r="BL996" s="1"/>
  <c r="AY996"/>
  <c r="BK996" s="1"/>
  <c r="AX996"/>
  <c r="CH996" s="1"/>
  <c r="AW996"/>
  <c r="AV996"/>
  <c r="CF996" s="1"/>
  <c r="AU996"/>
  <c r="AT996"/>
  <c r="CD996" s="1"/>
  <c r="AS996"/>
  <c r="AR996"/>
  <c r="CB996" s="1"/>
  <c r="AQ996"/>
  <c r="AP996"/>
  <c r="BZ996" s="1"/>
  <c r="AO996"/>
  <c r="AN996"/>
  <c r="BX996" s="1"/>
  <c r="AM996"/>
  <c r="AL996"/>
  <c r="AK996"/>
  <c r="AJ996"/>
  <c r="AI996"/>
  <c r="AH996"/>
  <c r="AG996"/>
  <c r="AF996"/>
  <c r="AE996"/>
  <c r="AD996"/>
  <c r="AC996"/>
  <c r="AB996"/>
  <c r="AA996"/>
  <c r="DE995"/>
  <c r="BJ995"/>
  <c r="BV995" s="1"/>
  <c r="BI995"/>
  <c r="BH995"/>
  <c r="BT995" s="1"/>
  <c r="BG995"/>
  <c r="BF995"/>
  <c r="BR995" s="1"/>
  <c r="BE995"/>
  <c r="BD995"/>
  <c r="BP995" s="1"/>
  <c r="BC995"/>
  <c r="BB995"/>
  <c r="BN995" s="1"/>
  <c r="BA995"/>
  <c r="AZ995"/>
  <c r="BL995" s="1"/>
  <c r="AY995"/>
  <c r="BK995" s="1"/>
  <c r="AX995"/>
  <c r="CH995" s="1"/>
  <c r="AW995"/>
  <c r="AV995"/>
  <c r="CF995" s="1"/>
  <c r="AU995"/>
  <c r="AT995"/>
  <c r="CD995" s="1"/>
  <c r="AS995"/>
  <c r="AR995"/>
  <c r="CB995" s="1"/>
  <c r="AQ995"/>
  <c r="AP995"/>
  <c r="BZ995" s="1"/>
  <c r="AO995"/>
  <c r="AN995"/>
  <c r="BX995" s="1"/>
  <c r="AM995"/>
  <c r="AL995"/>
  <c r="AK995"/>
  <c r="AJ995"/>
  <c r="AI995"/>
  <c r="AH995"/>
  <c r="AG995"/>
  <c r="AF995"/>
  <c r="AE995"/>
  <c r="AD995"/>
  <c r="AC995"/>
  <c r="AB995"/>
  <c r="AA995"/>
  <c r="DE994"/>
  <c r="BJ994"/>
  <c r="BI994"/>
  <c r="BH994"/>
  <c r="BG994"/>
  <c r="BF994"/>
  <c r="BE994"/>
  <c r="BD994"/>
  <c r="BC994"/>
  <c r="BB994"/>
  <c r="BA994"/>
  <c r="AZ994"/>
  <c r="AY994"/>
  <c r="BK994" s="1"/>
  <c r="AX994"/>
  <c r="AW994"/>
  <c r="AV994"/>
  <c r="AU994"/>
  <c r="AT994"/>
  <c r="AS994"/>
  <c r="AR994"/>
  <c r="AQ994"/>
  <c r="AP994"/>
  <c r="AO994"/>
  <c r="AN994"/>
  <c r="AM994"/>
  <c r="AL994"/>
  <c r="AK994"/>
  <c r="AJ994"/>
  <c r="AI994"/>
  <c r="AH994"/>
  <c r="AG994"/>
  <c r="AF994"/>
  <c r="AE994"/>
  <c r="AD994"/>
  <c r="AC994"/>
  <c r="AB994"/>
  <c r="AA994"/>
  <c r="DE993"/>
  <c r="BJ993"/>
  <c r="BI993"/>
  <c r="BV993" s="1"/>
  <c r="BH993"/>
  <c r="BG993"/>
  <c r="BT993" s="1"/>
  <c r="BF993"/>
  <c r="BE993"/>
  <c r="BR993" s="1"/>
  <c r="BD993"/>
  <c r="BC993"/>
  <c r="BP993" s="1"/>
  <c r="BB993"/>
  <c r="BA993"/>
  <c r="BN993" s="1"/>
  <c r="AZ993"/>
  <c r="AY993"/>
  <c r="BL993" s="1"/>
  <c r="AX993"/>
  <c r="AW993"/>
  <c r="CH993" s="1"/>
  <c r="AV993"/>
  <c r="AU993"/>
  <c r="CF993" s="1"/>
  <c r="AT993"/>
  <c r="AS993"/>
  <c r="CD993" s="1"/>
  <c r="AR993"/>
  <c r="AQ993"/>
  <c r="CB993" s="1"/>
  <c r="AP993"/>
  <c r="AO993"/>
  <c r="BZ993" s="1"/>
  <c r="AN993"/>
  <c r="AM993"/>
  <c r="BX993" s="1"/>
  <c r="AL993"/>
  <c r="AK993"/>
  <c r="AJ993"/>
  <c r="AI993"/>
  <c r="AH993"/>
  <c r="AG993"/>
  <c r="AF993"/>
  <c r="AE993"/>
  <c r="AD993"/>
  <c r="AC993"/>
  <c r="AB993"/>
  <c r="AA993"/>
  <c r="DE992"/>
  <c r="BJ992"/>
  <c r="BI992"/>
  <c r="BV992" s="1"/>
  <c r="BH992"/>
  <c r="BG992"/>
  <c r="BT992" s="1"/>
  <c r="BF992"/>
  <c r="BE992"/>
  <c r="BR992" s="1"/>
  <c r="BD992"/>
  <c r="BQ992" s="1"/>
  <c r="BC992"/>
  <c r="BP992" s="1"/>
  <c r="BB992"/>
  <c r="BO992" s="1"/>
  <c r="BA992"/>
  <c r="BN992" s="1"/>
  <c r="AZ992"/>
  <c r="BM992" s="1"/>
  <c r="AY992"/>
  <c r="BL992" s="1"/>
  <c r="AX992"/>
  <c r="BW992" s="1"/>
  <c r="AW992"/>
  <c r="CH992" s="1"/>
  <c r="AV992"/>
  <c r="CG992" s="1"/>
  <c r="AU992"/>
  <c r="CF992" s="1"/>
  <c r="AT992"/>
  <c r="CE992" s="1"/>
  <c r="AS992"/>
  <c r="CD992" s="1"/>
  <c r="AR992"/>
  <c r="CC992" s="1"/>
  <c r="AQ992"/>
  <c r="CB992" s="1"/>
  <c r="AP992"/>
  <c r="CA992" s="1"/>
  <c r="AO992"/>
  <c r="BZ992" s="1"/>
  <c r="AN992"/>
  <c r="BY992" s="1"/>
  <c r="AM992"/>
  <c r="BX992" s="1"/>
  <c r="AL992"/>
  <c r="AK992"/>
  <c r="AJ992"/>
  <c r="AI992"/>
  <c r="AH992"/>
  <c r="AG992"/>
  <c r="AF992"/>
  <c r="AE992"/>
  <c r="AD992"/>
  <c r="AC992"/>
  <c r="AB992"/>
  <c r="AA992"/>
  <c r="DE991"/>
  <c r="BJ991"/>
  <c r="BI991"/>
  <c r="BV991" s="1"/>
  <c r="BH991"/>
  <c r="BG991"/>
  <c r="BT991" s="1"/>
  <c r="BF991"/>
  <c r="BS991" s="1"/>
  <c r="BE991"/>
  <c r="BR991" s="1"/>
  <c r="BD991"/>
  <c r="BQ991" s="1"/>
  <c r="BC991"/>
  <c r="BP991" s="1"/>
  <c r="BB991"/>
  <c r="BO991" s="1"/>
  <c r="BA991"/>
  <c r="BN991" s="1"/>
  <c r="AZ991"/>
  <c r="BM991" s="1"/>
  <c r="AY991"/>
  <c r="BL991" s="1"/>
  <c r="AX991"/>
  <c r="BW991" s="1"/>
  <c r="AW991"/>
  <c r="CH991" s="1"/>
  <c r="AV991"/>
  <c r="CG991" s="1"/>
  <c r="AU991"/>
  <c r="CF991" s="1"/>
  <c r="AT991"/>
  <c r="CE991" s="1"/>
  <c r="AS991"/>
  <c r="CD991" s="1"/>
  <c r="AR991"/>
  <c r="CC991" s="1"/>
  <c r="AQ991"/>
  <c r="CB991" s="1"/>
  <c r="AP991"/>
  <c r="CA991" s="1"/>
  <c r="AO991"/>
  <c r="BZ991" s="1"/>
  <c r="AN991"/>
  <c r="BY991" s="1"/>
  <c r="AM991"/>
  <c r="BX991" s="1"/>
  <c r="AL991"/>
  <c r="AK991"/>
  <c r="AJ991"/>
  <c r="AI991"/>
  <c r="AH991"/>
  <c r="AG991"/>
  <c r="AF991"/>
  <c r="AE991"/>
  <c r="AD991"/>
  <c r="AC991"/>
  <c r="AB991"/>
  <c r="AA991"/>
  <c r="DE990"/>
  <c r="BJ990"/>
  <c r="BI990"/>
  <c r="BV990" s="1"/>
  <c r="BH990"/>
  <c r="BU990" s="1"/>
  <c r="BG990"/>
  <c r="BT990" s="1"/>
  <c r="BF990"/>
  <c r="BS990" s="1"/>
  <c r="BE990"/>
  <c r="BR990" s="1"/>
  <c r="BD990"/>
  <c r="BQ990" s="1"/>
  <c r="BC990"/>
  <c r="BP990" s="1"/>
  <c r="BB990"/>
  <c r="BO990" s="1"/>
  <c r="BA990"/>
  <c r="BN990" s="1"/>
  <c r="AZ990"/>
  <c r="BM990" s="1"/>
  <c r="AY990"/>
  <c r="BL990" s="1"/>
  <c r="AX990"/>
  <c r="BW990" s="1"/>
  <c r="AW990"/>
  <c r="CH990" s="1"/>
  <c r="AV990"/>
  <c r="CG990" s="1"/>
  <c r="AU990"/>
  <c r="CF990" s="1"/>
  <c r="AT990"/>
  <c r="CE990" s="1"/>
  <c r="AS990"/>
  <c r="CD990" s="1"/>
  <c r="AR990"/>
  <c r="CC990" s="1"/>
  <c r="AQ990"/>
  <c r="CB990" s="1"/>
  <c r="AP990"/>
  <c r="CA990" s="1"/>
  <c r="AO990"/>
  <c r="BZ990" s="1"/>
  <c r="AN990"/>
  <c r="BY990" s="1"/>
  <c r="AM990"/>
  <c r="BX990" s="1"/>
  <c r="AL990"/>
  <c r="AK990"/>
  <c r="AJ990"/>
  <c r="AI990"/>
  <c r="AH990"/>
  <c r="AG990"/>
  <c r="AF990"/>
  <c r="AE990"/>
  <c r="AD990"/>
  <c r="AC990"/>
  <c r="AB990"/>
  <c r="AA990"/>
  <c r="DE989"/>
  <c r="BJ989"/>
  <c r="BI989"/>
  <c r="BV989" s="1"/>
  <c r="BH989"/>
  <c r="BU989" s="1"/>
  <c r="BG989"/>
  <c r="BT989" s="1"/>
  <c r="BF989"/>
  <c r="BS989" s="1"/>
  <c r="BE989"/>
  <c r="BR989" s="1"/>
  <c r="BD989"/>
  <c r="BQ989" s="1"/>
  <c r="BC989"/>
  <c r="BP989" s="1"/>
  <c r="BB989"/>
  <c r="BO989" s="1"/>
  <c r="BA989"/>
  <c r="BN989" s="1"/>
  <c r="AZ989"/>
  <c r="BM989" s="1"/>
  <c r="AY989"/>
  <c r="BL989" s="1"/>
  <c r="AX989"/>
  <c r="BW989" s="1"/>
  <c r="AW989"/>
  <c r="CH989" s="1"/>
  <c r="AV989"/>
  <c r="CG989" s="1"/>
  <c r="AU989"/>
  <c r="CF989" s="1"/>
  <c r="AT989"/>
  <c r="CE989" s="1"/>
  <c r="AS989"/>
  <c r="CD989" s="1"/>
  <c r="AR989"/>
  <c r="CC989" s="1"/>
  <c r="AQ989"/>
  <c r="CB989" s="1"/>
  <c r="AP989"/>
  <c r="CA989" s="1"/>
  <c r="AO989"/>
  <c r="BZ989" s="1"/>
  <c r="AN989"/>
  <c r="BY989" s="1"/>
  <c r="AM989"/>
  <c r="BX989" s="1"/>
  <c r="AL989"/>
  <c r="AK989"/>
  <c r="AJ989"/>
  <c r="AI989"/>
  <c r="AH989"/>
  <c r="AG989"/>
  <c r="AF989"/>
  <c r="AE989"/>
  <c r="AD989"/>
  <c r="AC989"/>
  <c r="AB989"/>
  <c r="AA989"/>
  <c r="DE988"/>
  <c r="BJ988"/>
  <c r="BI988"/>
  <c r="BV988" s="1"/>
  <c r="BH988"/>
  <c r="BU988" s="1"/>
  <c r="BG988"/>
  <c r="BT988" s="1"/>
  <c r="BF988"/>
  <c r="BS988" s="1"/>
  <c r="BE988"/>
  <c r="BR988" s="1"/>
  <c r="BD988"/>
  <c r="BQ988" s="1"/>
  <c r="BC988"/>
  <c r="BP988" s="1"/>
  <c r="BB988"/>
  <c r="BO988" s="1"/>
  <c r="BA988"/>
  <c r="BN988" s="1"/>
  <c r="AZ988"/>
  <c r="BM988" s="1"/>
  <c r="AY988"/>
  <c r="BL988" s="1"/>
  <c r="AX988"/>
  <c r="BW988" s="1"/>
  <c r="AW988"/>
  <c r="CH988" s="1"/>
  <c r="AV988"/>
  <c r="CG988" s="1"/>
  <c r="AU988"/>
  <c r="CF988" s="1"/>
  <c r="AT988"/>
  <c r="CE988" s="1"/>
  <c r="AS988"/>
  <c r="CD988" s="1"/>
  <c r="AR988"/>
  <c r="CC988" s="1"/>
  <c r="AQ988"/>
  <c r="CB988" s="1"/>
  <c r="AP988"/>
  <c r="CA988" s="1"/>
  <c r="AO988"/>
  <c r="BZ988" s="1"/>
  <c r="AN988"/>
  <c r="BY988" s="1"/>
  <c r="AM988"/>
  <c r="BX988" s="1"/>
  <c r="AL988"/>
  <c r="AK988"/>
  <c r="AJ988"/>
  <c r="AI988"/>
  <c r="AH988"/>
  <c r="AG988"/>
  <c r="AF988"/>
  <c r="AE988"/>
  <c r="AD988"/>
  <c r="AC988"/>
  <c r="AB988"/>
  <c r="AA988"/>
  <c r="DE987"/>
  <c r="BJ987"/>
  <c r="BV987" s="1"/>
  <c r="BI987"/>
  <c r="BH987"/>
  <c r="BU987" s="1"/>
  <c r="BG987"/>
  <c r="BT987" s="1"/>
  <c r="BF987"/>
  <c r="BS987" s="1"/>
  <c r="BE987"/>
  <c r="BR987" s="1"/>
  <c r="BD987"/>
  <c r="BQ987" s="1"/>
  <c r="BC987"/>
  <c r="BP987" s="1"/>
  <c r="BB987"/>
  <c r="BO987" s="1"/>
  <c r="BA987"/>
  <c r="BN987" s="1"/>
  <c r="AZ987"/>
  <c r="BM987" s="1"/>
  <c r="AY987"/>
  <c r="BL987" s="1"/>
  <c r="AX987"/>
  <c r="BW987" s="1"/>
  <c r="AW987"/>
  <c r="CH987" s="1"/>
  <c r="AV987"/>
  <c r="CG987" s="1"/>
  <c r="AU987"/>
  <c r="CF987" s="1"/>
  <c r="AT987"/>
  <c r="CE987" s="1"/>
  <c r="AS987"/>
  <c r="CD987" s="1"/>
  <c r="AR987"/>
  <c r="CC987" s="1"/>
  <c r="AQ987"/>
  <c r="CB987" s="1"/>
  <c r="AP987"/>
  <c r="CA987" s="1"/>
  <c r="AO987"/>
  <c r="BZ987" s="1"/>
  <c r="AN987"/>
  <c r="BY987" s="1"/>
  <c r="AM987"/>
  <c r="BX987" s="1"/>
  <c r="AL987"/>
  <c r="AK987"/>
  <c r="AJ987"/>
  <c r="AI987"/>
  <c r="AH987"/>
  <c r="AG987"/>
  <c r="AF987"/>
  <c r="AE987"/>
  <c r="AD987"/>
  <c r="AC987"/>
  <c r="AB987"/>
  <c r="AA987"/>
  <c r="DE986"/>
  <c r="BJ986"/>
  <c r="BV986" s="1"/>
  <c r="BI986"/>
  <c r="BH986"/>
  <c r="BT986" s="1"/>
  <c r="BG986"/>
  <c r="BF986"/>
  <c r="BS986" s="1"/>
  <c r="BE986"/>
  <c r="BR986" s="1"/>
  <c r="BD986"/>
  <c r="BQ986" s="1"/>
  <c r="BC986"/>
  <c r="BP986" s="1"/>
  <c r="BB986"/>
  <c r="BO986" s="1"/>
  <c r="BA986"/>
  <c r="BN986" s="1"/>
  <c r="AZ986"/>
  <c r="BM986" s="1"/>
  <c r="AY986"/>
  <c r="BL986" s="1"/>
  <c r="AX986"/>
  <c r="BW986" s="1"/>
  <c r="AW986"/>
  <c r="CH986" s="1"/>
  <c r="AV986"/>
  <c r="CG986" s="1"/>
  <c r="AU986"/>
  <c r="CF986" s="1"/>
  <c r="AT986"/>
  <c r="CE986" s="1"/>
  <c r="AS986"/>
  <c r="CD986" s="1"/>
  <c r="AR986"/>
  <c r="CC986" s="1"/>
  <c r="AQ986"/>
  <c r="CB986" s="1"/>
  <c r="AP986"/>
  <c r="CA986" s="1"/>
  <c r="AO986"/>
  <c r="BZ986" s="1"/>
  <c r="AN986"/>
  <c r="BY986" s="1"/>
  <c r="AM986"/>
  <c r="BX986" s="1"/>
  <c r="AL986"/>
  <c r="AK986"/>
  <c r="AJ986"/>
  <c r="AI986"/>
  <c r="AH986"/>
  <c r="AG986"/>
  <c r="AF986"/>
  <c r="AE986"/>
  <c r="AD986"/>
  <c r="AC986"/>
  <c r="AB986"/>
  <c r="AA986"/>
  <c r="DE985"/>
  <c r="BJ985"/>
  <c r="BV985" s="1"/>
  <c r="BI985"/>
  <c r="BH985"/>
  <c r="BT985" s="1"/>
  <c r="BG985"/>
  <c r="BF985"/>
  <c r="BR985" s="1"/>
  <c r="BE985"/>
  <c r="BD985"/>
  <c r="BQ985" s="1"/>
  <c r="BC985"/>
  <c r="BP985" s="1"/>
  <c r="BB985"/>
  <c r="BO985" s="1"/>
  <c r="BA985"/>
  <c r="BN985" s="1"/>
  <c r="AZ985"/>
  <c r="BM985" s="1"/>
  <c r="AY985"/>
  <c r="BL985" s="1"/>
  <c r="AX985"/>
  <c r="BW985" s="1"/>
  <c r="AW985"/>
  <c r="CH985" s="1"/>
  <c r="AV985"/>
  <c r="CG985" s="1"/>
  <c r="AU985"/>
  <c r="CF985" s="1"/>
  <c r="AT985"/>
  <c r="CE985" s="1"/>
  <c r="AS985"/>
  <c r="CD985" s="1"/>
  <c r="AR985"/>
  <c r="CC985" s="1"/>
  <c r="AQ985"/>
  <c r="CB985" s="1"/>
  <c r="AP985"/>
  <c r="CA985" s="1"/>
  <c r="AO985"/>
  <c r="BZ985" s="1"/>
  <c r="AN985"/>
  <c r="BY985" s="1"/>
  <c r="AM985"/>
  <c r="BX985" s="1"/>
  <c r="AL985"/>
  <c r="AK985"/>
  <c r="AJ985"/>
  <c r="AI985"/>
  <c r="AH985"/>
  <c r="AG985"/>
  <c r="AF985"/>
  <c r="AE985"/>
  <c r="AD985"/>
  <c r="AC985"/>
  <c r="AB985"/>
  <c r="AA985"/>
  <c r="DE984"/>
  <c r="BJ984"/>
  <c r="BV984" s="1"/>
  <c r="BI984"/>
  <c r="BH984"/>
  <c r="BT984" s="1"/>
  <c r="BG984"/>
  <c r="BF984"/>
  <c r="BR984" s="1"/>
  <c r="BE984"/>
  <c r="BD984"/>
  <c r="BP984" s="1"/>
  <c r="BC984"/>
  <c r="BB984"/>
  <c r="BO984" s="1"/>
  <c r="BA984"/>
  <c r="BN984" s="1"/>
  <c r="AZ984"/>
  <c r="BM984" s="1"/>
  <c r="AY984"/>
  <c r="BL984" s="1"/>
  <c r="AX984"/>
  <c r="BW984" s="1"/>
  <c r="AW984"/>
  <c r="CH984" s="1"/>
  <c r="AV984"/>
  <c r="CG984" s="1"/>
  <c r="AU984"/>
  <c r="CF984" s="1"/>
  <c r="AT984"/>
  <c r="CE984" s="1"/>
  <c r="AS984"/>
  <c r="CD984" s="1"/>
  <c r="AR984"/>
  <c r="CC984" s="1"/>
  <c r="AQ984"/>
  <c r="CB984" s="1"/>
  <c r="AP984"/>
  <c r="CA984" s="1"/>
  <c r="AO984"/>
  <c r="BZ984" s="1"/>
  <c r="AN984"/>
  <c r="BY984" s="1"/>
  <c r="AM984"/>
  <c r="BX984" s="1"/>
  <c r="AL984"/>
  <c r="AK984"/>
  <c r="AJ984"/>
  <c r="AI984"/>
  <c r="AH984"/>
  <c r="AG984"/>
  <c r="AF984"/>
  <c r="AE984"/>
  <c r="AD984"/>
  <c r="AC984"/>
  <c r="AB984"/>
  <c r="AA984"/>
  <c r="DE983"/>
  <c r="BJ983"/>
  <c r="BV983" s="1"/>
  <c r="BI983"/>
  <c r="BH983"/>
  <c r="BT983" s="1"/>
  <c r="BG983"/>
  <c r="BF983"/>
  <c r="BR983" s="1"/>
  <c r="BE983"/>
  <c r="BD983"/>
  <c r="BP983" s="1"/>
  <c r="BC983"/>
  <c r="BB983"/>
  <c r="BN983" s="1"/>
  <c r="BA983"/>
  <c r="AZ983"/>
  <c r="BM983" s="1"/>
  <c r="AY983"/>
  <c r="BL983" s="1"/>
  <c r="AX983"/>
  <c r="BW983" s="1"/>
  <c r="AW983"/>
  <c r="CH983" s="1"/>
  <c r="AV983"/>
  <c r="CG983" s="1"/>
  <c r="AU983"/>
  <c r="CF983" s="1"/>
  <c r="AT983"/>
  <c r="CE983" s="1"/>
  <c r="AS983"/>
  <c r="CD983" s="1"/>
  <c r="AR983"/>
  <c r="CC983" s="1"/>
  <c r="AQ983"/>
  <c r="CB983" s="1"/>
  <c r="AP983"/>
  <c r="CA983" s="1"/>
  <c r="AO983"/>
  <c r="BZ983" s="1"/>
  <c r="AN983"/>
  <c r="BY983" s="1"/>
  <c r="AM983"/>
  <c r="BX983" s="1"/>
  <c r="AL983"/>
  <c r="AK983"/>
  <c r="AJ983"/>
  <c r="AI983"/>
  <c r="AH983"/>
  <c r="AG983"/>
  <c r="AF983"/>
  <c r="AE983"/>
  <c r="AD983"/>
  <c r="AC983"/>
  <c r="AB983"/>
  <c r="AA983"/>
  <c r="DE982"/>
  <c r="BJ982"/>
  <c r="BV982" s="1"/>
  <c r="BI982"/>
  <c r="BH982"/>
  <c r="BT982" s="1"/>
  <c r="BG982"/>
  <c r="BF982"/>
  <c r="BR982" s="1"/>
  <c r="BE982"/>
  <c r="BD982"/>
  <c r="BP982" s="1"/>
  <c r="BC982"/>
  <c r="BB982"/>
  <c r="BN982" s="1"/>
  <c r="BA982"/>
  <c r="AZ982"/>
  <c r="BL982" s="1"/>
  <c r="AY982"/>
  <c r="BK982" s="1"/>
  <c r="AX982"/>
  <c r="BW982" s="1"/>
  <c r="AW982"/>
  <c r="CH982" s="1"/>
  <c r="AV982"/>
  <c r="CG982" s="1"/>
  <c r="AU982"/>
  <c r="CF982" s="1"/>
  <c r="AT982"/>
  <c r="CE982" s="1"/>
  <c r="AS982"/>
  <c r="CD982" s="1"/>
  <c r="AR982"/>
  <c r="CC982" s="1"/>
  <c r="AQ982"/>
  <c r="CB982" s="1"/>
  <c r="AP982"/>
  <c r="CA982" s="1"/>
  <c r="AO982"/>
  <c r="BZ982" s="1"/>
  <c r="AN982"/>
  <c r="BY982" s="1"/>
  <c r="AM982"/>
  <c r="BX982" s="1"/>
  <c r="AL982"/>
  <c r="AK982"/>
  <c r="AJ982"/>
  <c r="AI982"/>
  <c r="AH982"/>
  <c r="AG982"/>
  <c r="AF982"/>
  <c r="AE982"/>
  <c r="AD982"/>
  <c r="AC982"/>
  <c r="AB982"/>
  <c r="AA982"/>
  <c r="DE981"/>
  <c r="BJ981"/>
  <c r="BV981" s="1"/>
  <c r="BI981"/>
  <c r="BH981"/>
  <c r="BT981" s="1"/>
  <c r="BG981"/>
  <c r="BF981"/>
  <c r="BR981" s="1"/>
  <c r="BE981"/>
  <c r="BD981"/>
  <c r="BP981" s="1"/>
  <c r="BC981"/>
  <c r="BB981"/>
  <c r="BN981" s="1"/>
  <c r="BA981"/>
  <c r="AZ981"/>
  <c r="BL981" s="1"/>
  <c r="AY981"/>
  <c r="BK981" s="1"/>
  <c r="AX981"/>
  <c r="BW981" s="1"/>
  <c r="AW981"/>
  <c r="CH981" s="1"/>
  <c r="AV981"/>
  <c r="CG981" s="1"/>
  <c r="AU981"/>
  <c r="CF981" s="1"/>
  <c r="AT981"/>
  <c r="CE981" s="1"/>
  <c r="AS981"/>
  <c r="CD981" s="1"/>
  <c r="AR981"/>
  <c r="CC981" s="1"/>
  <c r="AQ981"/>
  <c r="CB981" s="1"/>
  <c r="AP981"/>
  <c r="CA981" s="1"/>
  <c r="AO981"/>
  <c r="BZ981" s="1"/>
  <c r="AN981"/>
  <c r="BY981" s="1"/>
  <c r="AM981"/>
  <c r="BX981" s="1"/>
  <c r="AL981"/>
  <c r="AK981"/>
  <c r="AJ981"/>
  <c r="AI981"/>
  <c r="AH981"/>
  <c r="AG981"/>
  <c r="AF981"/>
  <c r="AE981"/>
  <c r="AD981"/>
  <c r="AC981"/>
  <c r="AB981"/>
  <c r="AA981"/>
  <c r="DE980"/>
  <c r="BJ980"/>
  <c r="BV980" s="1"/>
  <c r="BI980"/>
  <c r="BH980"/>
  <c r="BT980" s="1"/>
  <c r="BG980"/>
  <c r="BF980"/>
  <c r="BR980" s="1"/>
  <c r="BE980"/>
  <c r="BD980"/>
  <c r="BP980" s="1"/>
  <c r="BC980"/>
  <c r="BB980"/>
  <c r="BN980" s="1"/>
  <c r="BA980"/>
  <c r="AZ980"/>
  <c r="BL980" s="1"/>
  <c r="AY980"/>
  <c r="BK980" s="1"/>
  <c r="AX980"/>
  <c r="BW980" s="1"/>
  <c r="AW980"/>
  <c r="CH980" s="1"/>
  <c r="AV980"/>
  <c r="CG980" s="1"/>
  <c r="AU980"/>
  <c r="CF980" s="1"/>
  <c r="AT980"/>
  <c r="CE980" s="1"/>
  <c r="AS980"/>
  <c r="CD980" s="1"/>
  <c r="AR980"/>
  <c r="CC980" s="1"/>
  <c r="AQ980"/>
  <c r="CB980" s="1"/>
  <c r="AP980"/>
  <c r="CA980" s="1"/>
  <c r="AO980"/>
  <c r="BZ980" s="1"/>
  <c r="AN980"/>
  <c r="BY980" s="1"/>
  <c r="AM980"/>
  <c r="BX980" s="1"/>
  <c r="AL980"/>
  <c r="AK980"/>
  <c r="AJ980"/>
  <c r="AI980"/>
  <c r="AH980"/>
  <c r="AG980"/>
  <c r="AF980"/>
  <c r="AE980"/>
  <c r="AD980"/>
  <c r="AC980"/>
  <c r="AB980"/>
  <c r="AA980"/>
  <c r="DE979"/>
  <c r="BJ979"/>
  <c r="BV979" s="1"/>
  <c r="BI979"/>
  <c r="BH979"/>
  <c r="BT979" s="1"/>
  <c r="BG979"/>
  <c r="BF979"/>
  <c r="BR979" s="1"/>
  <c r="BE979"/>
  <c r="BD979"/>
  <c r="BP979" s="1"/>
  <c r="BC979"/>
  <c r="BB979"/>
  <c r="BN979" s="1"/>
  <c r="BA979"/>
  <c r="AZ979"/>
  <c r="BL979" s="1"/>
  <c r="AY979"/>
  <c r="BK979" s="1"/>
  <c r="AX979"/>
  <c r="CH979" s="1"/>
  <c r="AW979"/>
  <c r="AV979"/>
  <c r="CF979" s="1"/>
  <c r="AU979"/>
  <c r="AT979"/>
  <c r="CE979" s="1"/>
  <c r="AS979"/>
  <c r="CD979" s="1"/>
  <c r="AR979"/>
  <c r="CC979" s="1"/>
  <c r="AQ979"/>
  <c r="CB979" s="1"/>
  <c r="AP979"/>
  <c r="CA979" s="1"/>
  <c r="AO979"/>
  <c r="BZ979" s="1"/>
  <c r="AN979"/>
  <c r="BY979" s="1"/>
  <c r="AM979"/>
  <c r="BX979" s="1"/>
  <c r="AL979"/>
  <c r="AK979"/>
  <c r="AJ979"/>
  <c r="AI979"/>
  <c r="AH979"/>
  <c r="AG979"/>
  <c r="AF979"/>
  <c r="AE979"/>
  <c r="AD979"/>
  <c r="AC979"/>
  <c r="AB979"/>
  <c r="AA979"/>
  <c r="DE978"/>
  <c r="BJ978"/>
  <c r="BV978" s="1"/>
  <c r="BI978"/>
  <c r="BH978"/>
  <c r="BT978" s="1"/>
  <c r="BG978"/>
  <c r="BF978"/>
  <c r="BR978" s="1"/>
  <c r="BE978"/>
  <c r="BD978"/>
  <c r="BP978" s="1"/>
  <c r="BC978"/>
  <c r="BB978"/>
  <c r="BN978" s="1"/>
  <c r="BA978"/>
  <c r="AZ978"/>
  <c r="BL978" s="1"/>
  <c r="AY978"/>
  <c r="BK978" s="1"/>
  <c r="AX978"/>
  <c r="CH978" s="1"/>
  <c r="AW978"/>
  <c r="AV978"/>
  <c r="CF978" s="1"/>
  <c r="AU978"/>
  <c r="AT978"/>
  <c r="CD978" s="1"/>
  <c r="AS978"/>
  <c r="AR978"/>
  <c r="CC978" s="1"/>
  <c r="AQ978"/>
  <c r="CB978" s="1"/>
  <c r="AP978"/>
  <c r="CA978" s="1"/>
  <c r="AO978"/>
  <c r="BZ978" s="1"/>
  <c r="AN978"/>
  <c r="BY978" s="1"/>
  <c r="AM978"/>
  <c r="BX978" s="1"/>
  <c r="AL978"/>
  <c r="AK978"/>
  <c r="AJ978"/>
  <c r="AI978"/>
  <c r="AH978"/>
  <c r="AG978"/>
  <c r="AF978"/>
  <c r="AE978"/>
  <c r="AD978"/>
  <c r="AC978"/>
  <c r="AB978"/>
  <c r="AA978"/>
  <c r="DE977"/>
  <c r="BJ977"/>
  <c r="BV977" s="1"/>
  <c r="BI977"/>
  <c r="BH977"/>
  <c r="BT977" s="1"/>
  <c r="BG977"/>
  <c r="BF977"/>
  <c r="BR977" s="1"/>
  <c r="BE977"/>
  <c r="BD977"/>
  <c r="BP977" s="1"/>
  <c r="BC977"/>
  <c r="BB977"/>
  <c r="BN977" s="1"/>
  <c r="BA977"/>
  <c r="AZ977"/>
  <c r="BL977" s="1"/>
  <c r="AY977"/>
  <c r="BK977" s="1"/>
  <c r="AX977"/>
  <c r="CH977" s="1"/>
  <c r="AW977"/>
  <c r="AV977"/>
  <c r="CF977" s="1"/>
  <c r="AU977"/>
  <c r="AT977"/>
  <c r="CD977" s="1"/>
  <c r="AS977"/>
  <c r="AR977"/>
  <c r="CB977" s="1"/>
  <c r="AQ977"/>
  <c r="AP977"/>
  <c r="CA977" s="1"/>
  <c r="AO977"/>
  <c r="BZ977" s="1"/>
  <c r="AN977"/>
  <c r="BY977" s="1"/>
  <c r="AM977"/>
  <c r="BX977" s="1"/>
  <c r="AL977"/>
  <c r="AK977"/>
  <c r="AJ977"/>
  <c r="AI977"/>
  <c r="AH977"/>
  <c r="AG977"/>
  <c r="AF977"/>
  <c r="AE977"/>
  <c r="AD977"/>
  <c r="AC977"/>
  <c r="AB977"/>
  <c r="AA977"/>
  <c r="DE976"/>
  <c r="BJ976"/>
  <c r="BV976" s="1"/>
  <c r="BI976"/>
  <c r="BH976"/>
  <c r="BT976" s="1"/>
  <c r="BG976"/>
  <c r="BF976"/>
  <c r="BR976" s="1"/>
  <c r="BE976"/>
  <c r="BD976"/>
  <c r="BP976" s="1"/>
  <c r="BC976"/>
  <c r="BB976"/>
  <c r="BN976" s="1"/>
  <c r="BA976"/>
  <c r="AZ976"/>
  <c r="BL976" s="1"/>
  <c r="AY976"/>
  <c r="BK976" s="1"/>
  <c r="AX976"/>
  <c r="CH976" s="1"/>
  <c r="AW976"/>
  <c r="AV976"/>
  <c r="CF976" s="1"/>
  <c r="AU976"/>
  <c r="AT976"/>
  <c r="CD976" s="1"/>
  <c r="AS976"/>
  <c r="AR976"/>
  <c r="CB976" s="1"/>
  <c r="AQ976"/>
  <c r="AP976"/>
  <c r="BZ976" s="1"/>
  <c r="AO976"/>
  <c r="AN976"/>
  <c r="BY976" s="1"/>
  <c r="AM976"/>
  <c r="BX976" s="1"/>
  <c r="AL976"/>
  <c r="AK976"/>
  <c r="AJ976"/>
  <c r="AI976"/>
  <c r="AH976"/>
  <c r="AG976"/>
  <c r="AF976"/>
  <c r="AE976"/>
  <c r="AD976"/>
  <c r="AC976"/>
  <c r="AB976"/>
  <c r="AA976"/>
  <c r="DE975"/>
  <c r="BJ975"/>
  <c r="BV975" s="1"/>
  <c r="BI975"/>
  <c r="BH975"/>
  <c r="BT975" s="1"/>
  <c r="BG975"/>
  <c r="BF975"/>
  <c r="BR975" s="1"/>
  <c r="BE975"/>
  <c r="BD975"/>
  <c r="BP975" s="1"/>
  <c r="BC975"/>
  <c r="BB975"/>
  <c r="BN975" s="1"/>
  <c r="BA975"/>
  <c r="AZ975"/>
  <c r="BL975" s="1"/>
  <c r="AY975"/>
  <c r="BK975" s="1"/>
  <c r="AX975"/>
  <c r="CH975" s="1"/>
  <c r="AW975"/>
  <c r="AV975"/>
  <c r="CF975" s="1"/>
  <c r="AU975"/>
  <c r="AT975"/>
  <c r="CD975" s="1"/>
  <c r="AS975"/>
  <c r="AR975"/>
  <c r="CB975" s="1"/>
  <c r="AQ975"/>
  <c r="AP975"/>
  <c r="BZ975" s="1"/>
  <c r="AO975"/>
  <c r="AN975"/>
  <c r="BX975" s="1"/>
  <c r="AM975"/>
  <c r="AL975"/>
  <c r="AK975"/>
  <c r="AJ975"/>
  <c r="AI975"/>
  <c r="AH975"/>
  <c r="AG975"/>
  <c r="AF975"/>
  <c r="AE975"/>
  <c r="AD975"/>
  <c r="AC975"/>
  <c r="AB975"/>
  <c r="AA975"/>
  <c r="DE974"/>
  <c r="BJ974"/>
  <c r="BV974" s="1"/>
  <c r="BI974"/>
  <c r="BH974"/>
  <c r="BU974" s="1"/>
  <c r="BG974"/>
  <c r="BF974"/>
  <c r="BS974" s="1"/>
  <c r="BE974"/>
  <c r="BD974"/>
  <c r="BQ974" s="1"/>
  <c r="BC974"/>
  <c r="BB974"/>
  <c r="BO974" s="1"/>
  <c r="BA974"/>
  <c r="AZ974"/>
  <c r="BM974" s="1"/>
  <c r="AY974"/>
  <c r="AX974"/>
  <c r="AW974"/>
  <c r="AV974"/>
  <c r="CG974" s="1"/>
  <c r="AU974"/>
  <c r="AT974"/>
  <c r="CE974" s="1"/>
  <c r="AS974"/>
  <c r="AR974"/>
  <c r="CC974" s="1"/>
  <c r="AQ974"/>
  <c r="AP974"/>
  <c r="CA974" s="1"/>
  <c r="AO974"/>
  <c r="AN974"/>
  <c r="BY974" s="1"/>
  <c r="AM974"/>
  <c r="AL974"/>
  <c r="AK974"/>
  <c r="AJ974"/>
  <c r="AI974"/>
  <c r="AH974"/>
  <c r="AG974"/>
  <c r="AF974"/>
  <c r="AE974"/>
  <c r="AD974"/>
  <c r="AC974"/>
  <c r="AB974"/>
  <c r="AA974"/>
  <c r="DE973"/>
  <c r="BJ973"/>
  <c r="BV973" s="1"/>
  <c r="BI973"/>
  <c r="BH973"/>
  <c r="BT973" s="1"/>
  <c r="BG973"/>
  <c r="BF973"/>
  <c r="BR973" s="1"/>
  <c r="BE973"/>
  <c r="BD973"/>
  <c r="BP973" s="1"/>
  <c r="BC973"/>
  <c r="BB973"/>
  <c r="BN973" s="1"/>
  <c r="BA973"/>
  <c r="AZ973"/>
  <c r="BL973" s="1"/>
  <c r="AY973"/>
  <c r="BK973" s="1"/>
  <c r="AX973"/>
  <c r="CH973" s="1"/>
  <c r="AW973"/>
  <c r="AV973"/>
  <c r="CF973" s="1"/>
  <c r="AU973"/>
  <c r="AT973"/>
  <c r="CD973" s="1"/>
  <c r="AS973"/>
  <c r="AR973"/>
  <c r="CB973" s="1"/>
  <c r="AQ973"/>
  <c r="AP973"/>
  <c r="BZ973" s="1"/>
  <c r="AO973"/>
  <c r="AN973"/>
  <c r="BX973" s="1"/>
  <c r="AM973"/>
  <c r="AL973"/>
  <c r="AK973"/>
  <c r="AJ973"/>
  <c r="AI973"/>
  <c r="AH973"/>
  <c r="AG973"/>
  <c r="AF973"/>
  <c r="AE973"/>
  <c r="AD973"/>
  <c r="AC973"/>
  <c r="AB973"/>
  <c r="AA973"/>
  <c r="DE972"/>
  <c r="BJ972"/>
  <c r="BV972" s="1"/>
  <c r="BI972"/>
  <c r="BH972"/>
  <c r="BT972" s="1"/>
  <c r="BG972"/>
  <c r="BF972"/>
  <c r="BR972" s="1"/>
  <c r="BE972"/>
  <c r="BD972"/>
  <c r="BP972" s="1"/>
  <c r="BC972"/>
  <c r="BB972"/>
  <c r="BN972" s="1"/>
  <c r="BA972"/>
  <c r="AZ972"/>
  <c r="BL972" s="1"/>
  <c r="AY972"/>
  <c r="BK972" s="1"/>
  <c r="AX972"/>
  <c r="CH972" s="1"/>
  <c r="AW972"/>
  <c r="AV972"/>
  <c r="CF972" s="1"/>
  <c r="AU972"/>
  <c r="AT972"/>
  <c r="CD972" s="1"/>
  <c r="AS972"/>
  <c r="AR972"/>
  <c r="CB972" s="1"/>
  <c r="AQ972"/>
  <c r="AP972"/>
  <c r="BZ972" s="1"/>
  <c r="AO972"/>
  <c r="AN972"/>
  <c r="BX972" s="1"/>
  <c r="AM972"/>
  <c r="AL972"/>
  <c r="AK972"/>
  <c r="AJ972"/>
  <c r="AI972"/>
  <c r="AH972"/>
  <c r="AG972"/>
  <c r="AF972"/>
  <c r="AE972"/>
  <c r="AD972"/>
  <c r="AC972"/>
  <c r="AB972"/>
  <c r="AA972"/>
  <c r="DE971"/>
  <c r="BJ971"/>
  <c r="BV971" s="1"/>
  <c r="BI971"/>
  <c r="BH971"/>
  <c r="BT971" s="1"/>
  <c r="BG971"/>
  <c r="BF971"/>
  <c r="BR971" s="1"/>
  <c r="BE971"/>
  <c r="BD971"/>
  <c r="BP971" s="1"/>
  <c r="BC971"/>
  <c r="BB971"/>
  <c r="BN971" s="1"/>
  <c r="BA971"/>
  <c r="AZ971"/>
  <c r="BL971" s="1"/>
  <c r="AY971"/>
  <c r="BK971" s="1"/>
  <c r="AX971"/>
  <c r="CH971" s="1"/>
  <c r="AW971"/>
  <c r="AV971"/>
  <c r="CF971" s="1"/>
  <c r="AU971"/>
  <c r="AT971"/>
  <c r="CD971" s="1"/>
  <c r="AS971"/>
  <c r="AR971"/>
  <c r="CB971" s="1"/>
  <c r="AQ971"/>
  <c r="AP971"/>
  <c r="BZ971" s="1"/>
  <c r="AO971"/>
  <c r="AN971"/>
  <c r="BX971" s="1"/>
  <c r="AM971"/>
  <c r="AL971"/>
  <c r="AK971"/>
  <c r="AJ971"/>
  <c r="AI971"/>
  <c r="AH971"/>
  <c r="AG971"/>
  <c r="AF971"/>
  <c r="AE971"/>
  <c r="AD971"/>
  <c r="AC971"/>
  <c r="AB971"/>
  <c r="AA971"/>
  <c r="DE970"/>
  <c r="BJ970"/>
  <c r="BV970" s="1"/>
  <c r="BI970"/>
  <c r="BH970"/>
  <c r="BT970" s="1"/>
  <c r="BG970"/>
  <c r="BF970"/>
  <c r="BR970" s="1"/>
  <c r="BE970"/>
  <c r="BD970"/>
  <c r="BP970" s="1"/>
  <c r="BC970"/>
  <c r="BB970"/>
  <c r="BN970" s="1"/>
  <c r="BA970"/>
  <c r="AZ970"/>
  <c r="BL970" s="1"/>
  <c r="AY970"/>
  <c r="BK970" s="1"/>
  <c r="AX970"/>
  <c r="CH970" s="1"/>
  <c r="AW970"/>
  <c r="AV970"/>
  <c r="CF970" s="1"/>
  <c r="AU970"/>
  <c r="AT970"/>
  <c r="CD970" s="1"/>
  <c r="AS970"/>
  <c r="AR970"/>
  <c r="CB970" s="1"/>
  <c r="AQ970"/>
  <c r="AP970"/>
  <c r="BZ970" s="1"/>
  <c r="AO970"/>
  <c r="AN970"/>
  <c r="BX970" s="1"/>
  <c r="AM970"/>
  <c r="AL970"/>
  <c r="AK970"/>
  <c r="AJ970"/>
  <c r="AI970"/>
  <c r="AH970"/>
  <c r="AG970"/>
  <c r="AF970"/>
  <c r="AE970"/>
  <c r="AD970"/>
  <c r="AC970"/>
  <c r="AB970"/>
  <c r="AA970"/>
  <c r="DE969"/>
  <c r="BJ969"/>
  <c r="BV969" s="1"/>
  <c r="BI969"/>
  <c r="BH969"/>
  <c r="BT969" s="1"/>
  <c r="BG969"/>
  <c r="BF969"/>
  <c r="BR969" s="1"/>
  <c r="BE969"/>
  <c r="BD969"/>
  <c r="BP969" s="1"/>
  <c r="BC969"/>
  <c r="BB969"/>
  <c r="BN969" s="1"/>
  <c r="BA969"/>
  <c r="AZ969"/>
  <c r="BL969" s="1"/>
  <c r="AY969"/>
  <c r="BK969" s="1"/>
  <c r="AX969"/>
  <c r="CH969" s="1"/>
  <c r="AW969"/>
  <c r="AV969"/>
  <c r="CF969" s="1"/>
  <c r="AU969"/>
  <c r="AT969"/>
  <c r="CD969" s="1"/>
  <c r="AS969"/>
  <c r="AR969"/>
  <c r="CB969" s="1"/>
  <c r="AQ969"/>
  <c r="AP969"/>
  <c r="BZ969" s="1"/>
  <c r="AO969"/>
  <c r="AN969"/>
  <c r="BX969" s="1"/>
  <c r="AM969"/>
  <c r="AL969"/>
  <c r="AK969"/>
  <c r="AJ969"/>
  <c r="AI969"/>
  <c r="AH969"/>
  <c r="AG969"/>
  <c r="AF969"/>
  <c r="AE969"/>
  <c r="AD969"/>
  <c r="AC969"/>
  <c r="AB969"/>
  <c r="AA969"/>
  <c r="DE968"/>
  <c r="BJ968"/>
  <c r="BV968" s="1"/>
  <c r="BI968"/>
  <c r="BH968"/>
  <c r="BT968" s="1"/>
  <c r="BG968"/>
  <c r="BF968"/>
  <c r="BR968" s="1"/>
  <c r="BE968"/>
  <c r="BD968"/>
  <c r="BP968" s="1"/>
  <c r="BC968"/>
  <c r="BB968"/>
  <c r="BN968" s="1"/>
  <c r="BA968"/>
  <c r="AZ968"/>
  <c r="BL968" s="1"/>
  <c r="AY968"/>
  <c r="BK968" s="1"/>
  <c r="AX968"/>
  <c r="CH968" s="1"/>
  <c r="AW968"/>
  <c r="AV968"/>
  <c r="CF968" s="1"/>
  <c r="AU968"/>
  <c r="AT968"/>
  <c r="CD968" s="1"/>
  <c r="AS968"/>
  <c r="AR968"/>
  <c r="CB968" s="1"/>
  <c r="AQ968"/>
  <c r="AP968"/>
  <c r="BZ968" s="1"/>
  <c r="AO968"/>
  <c r="AN968"/>
  <c r="BX968" s="1"/>
  <c r="AM968"/>
  <c r="AL968"/>
  <c r="AK968"/>
  <c r="AJ968"/>
  <c r="AI968"/>
  <c r="AH968"/>
  <c r="AG968"/>
  <c r="AF968"/>
  <c r="AE968"/>
  <c r="AD968"/>
  <c r="AC968"/>
  <c r="AB968"/>
  <c r="AA968"/>
  <c r="DE967"/>
  <c r="BJ967"/>
  <c r="BV967" s="1"/>
  <c r="BI967"/>
  <c r="BH967"/>
  <c r="BT967" s="1"/>
  <c r="BG967"/>
  <c r="BF967"/>
  <c r="BR967" s="1"/>
  <c r="BE967"/>
  <c r="BD967"/>
  <c r="BP967" s="1"/>
  <c r="BC967"/>
  <c r="BB967"/>
  <c r="BN967" s="1"/>
  <c r="BA967"/>
  <c r="AZ967"/>
  <c r="BL967" s="1"/>
  <c r="AY967"/>
  <c r="BK967" s="1"/>
  <c r="AX967"/>
  <c r="CH967" s="1"/>
  <c r="AW967"/>
  <c r="AV967"/>
  <c r="CF967" s="1"/>
  <c r="AU967"/>
  <c r="AT967"/>
  <c r="CD967" s="1"/>
  <c r="AS967"/>
  <c r="AR967"/>
  <c r="CB967" s="1"/>
  <c r="AQ967"/>
  <c r="AP967"/>
  <c r="BZ967" s="1"/>
  <c r="AO967"/>
  <c r="AN967"/>
  <c r="BX967" s="1"/>
  <c r="AM967"/>
  <c r="AL967"/>
  <c r="AK967"/>
  <c r="AJ967"/>
  <c r="AI967"/>
  <c r="AH967"/>
  <c r="AG967"/>
  <c r="AF967"/>
  <c r="AE967"/>
  <c r="AD967"/>
  <c r="AC967"/>
  <c r="AB967"/>
  <c r="AA967"/>
  <c r="DE966"/>
  <c r="BJ966"/>
  <c r="BV966" s="1"/>
  <c r="BI966"/>
  <c r="BH966"/>
  <c r="BT966" s="1"/>
  <c r="BG966"/>
  <c r="BF966"/>
  <c r="BR966" s="1"/>
  <c r="BE966"/>
  <c r="BD966"/>
  <c r="BP966" s="1"/>
  <c r="BC966"/>
  <c r="BB966"/>
  <c r="BN966" s="1"/>
  <c r="BA966"/>
  <c r="AZ966"/>
  <c r="BL966" s="1"/>
  <c r="AY966"/>
  <c r="BK966" s="1"/>
  <c r="AX966"/>
  <c r="CH966" s="1"/>
  <c r="AW966"/>
  <c r="AV966"/>
  <c r="CF966" s="1"/>
  <c r="AU966"/>
  <c r="AT966"/>
  <c r="CD966" s="1"/>
  <c r="AS966"/>
  <c r="AR966"/>
  <c r="CB966" s="1"/>
  <c r="AQ966"/>
  <c r="AP966"/>
  <c r="BZ966" s="1"/>
  <c r="AO966"/>
  <c r="AN966"/>
  <c r="BX966" s="1"/>
  <c r="AM966"/>
  <c r="AL966"/>
  <c r="AK966"/>
  <c r="AJ966"/>
  <c r="AI966"/>
  <c r="AH966"/>
  <c r="AG966"/>
  <c r="AF966"/>
  <c r="AE966"/>
  <c r="AD966"/>
  <c r="AC966"/>
  <c r="AB966"/>
  <c r="AA966"/>
  <c r="DE965"/>
  <c r="BJ965"/>
  <c r="BV965" s="1"/>
  <c r="BI965"/>
  <c r="BH965"/>
  <c r="BT965" s="1"/>
  <c r="BG965"/>
  <c r="BF965"/>
  <c r="BR965" s="1"/>
  <c r="BE965"/>
  <c r="BD965"/>
  <c r="BP965" s="1"/>
  <c r="BC965"/>
  <c r="BB965"/>
  <c r="BN965" s="1"/>
  <c r="BA965"/>
  <c r="AZ965"/>
  <c r="BL965" s="1"/>
  <c r="AY965"/>
  <c r="BK965" s="1"/>
  <c r="AX965"/>
  <c r="CH965" s="1"/>
  <c r="AW965"/>
  <c r="AV965"/>
  <c r="CF965" s="1"/>
  <c r="AU965"/>
  <c r="AT965"/>
  <c r="CD965" s="1"/>
  <c r="AS965"/>
  <c r="AR965"/>
  <c r="CB965" s="1"/>
  <c r="AQ965"/>
  <c r="AP965"/>
  <c r="BZ965" s="1"/>
  <c r="AO965"/>
  <c r="AN965"/>
  <c r="BX965" s="1"/>
  <c r="AM965"/>
  <c r="AL965"/>
  <c r="AK965"/>
  <c r="AJ965"/>
  <c r="AI965"/>
  <c r="AH965"/>
  <c r="AG965"/>
  <c r="AF965"/>
  <c r="AE965"/>
  <c r="AD965"/>
  <c r="AC965"/>
  <c r="AB965"/>
  <c r="AA965"/>
  <c r="DE964"/>
  <c r="BJ964"/>
  <c r="BV964" s="1"/>
  <c r="BI964"/>
  <c r="BH964"/>
  <c r="BT964" s="1"/>
  <c r="BG964"/>
  <c r="BF964"/>
  <c r="BR964" s="1"/>
  <c r="BE964"/>
  <c r="BD964"/>
  <c r="BP964" s="1"/>
  <c r="BC964"/>
  <c r="BB964"/>
  <c r="BN964" s="1"/>
  <c r="BA964"/>
  <c r="AZ964"/>
  <c r="BL964" s="1"/>
  <c r="AY964"/>
  <c r="BK964" s="1"/>
  <c r="AX964"/>
  <c r="CH964" s="1"/>
  <c r="AW964"/>
  <c r="AV964"/>
  <c r="CF964" s="1"/>
  <c r="AU964"/>
  <c r="AT964"/>
  <c r="CD964" s="1"/>
  <c r="AS964"/>
  <c r="AR964"/>
  <c r="CB964" s="1"/>
  <c r="AQ964"/>
  <c r="AP964"/>
  <c r="BZ964" s="1"/>
  <c r="AO964"/>
  <c r="AN964"/>
  <c r="BX964" s="1"/>
  <c r="AM964"/>
  <c r="AL964"/>
  <c r="AK964"/>
  <c r="AJ964"/>
  <c r="AI964"/>
  <c r="AH964"/>
  <c r="AG964"/>
  <c r="AF964"/>
  <c r="AE964"/>
  <c r="AD964"/>
  <c r="AC964"/>
  <c r="AB964"/>
  <c r="AA964"/>
  <c r="DE963"/>
  <c r="BJ963"/>
  <c r="BV963" s="1"/>
  <c r="BI963"/>
  <c r="BH963"/>
  <c r="BT963" s="1"/>
  <c r="BG963"/>
  <c r="BF963"/>
  <c r="BR963" s="1"/>
  <c r="BE963"/>
  <c r="BD963"/>
  <c r="BP963" s="1"/>
  <c r="BC963"/>
  <c r="BB963"/>
  <c r="BN963" s="1"/>
  <c r="BA963"/>
  <c r="AZ963"/>
  <c r="BL963" s="1"/>
  <c r="AY963"/>
  <c r="BK963" s="1"/>
  <c r="AX963"/>
  <c r="CH963" s="1"/>
  <c r="AW963"/>
  <c r="AV963"/>
  <c r="CF963" s="1"/>
  <c r="AU963"/>
  <c r="AT963"/>
  <c r="CD963" s="1"/>
  <c r="AS963"/>
  <c r="AR963"/>
  <c r="CB963" s="1"/>
  <c r="AQ963"/>
  <c r="AP963"/>
  <c r="BZ963" s="1"/>
  <c r="AO963"/>
  <c r="AN963"/>
  <c r="BX963" s="1"/>
  <c r="AM963"/>
  <c r="AL963"/>
  <c r="AK963"/>
  <c r="AJ963"/>
  <c r="AI963"/>
  <c r="AH963"/>
  <c r="AG963"/>
  <c r="AF963"/>
  <c r="AE963"/>
  <c r="AD963"/>
  <c r="AC963"/>
  <c r="AB963"/>
  <c r="AA963"/>
  <c r="DE962"/>
  <c r="BJ962"/>
  <c r="BV962" s="1"/>
  <c r="BI962"/>
  <c r="BH962"/>
  <c r="BT962" s="1"/>
  <c r="BG962"/>
  <c r="BF962"/>
  <c r="BR962" s="1"/>
  <c r="BE962"/>
  <c r="BD962"/>
  <c r="BP962" s="1"/>
  <c r="BC962"/>
  <c r="BB962"/>
  <c r="BN962" s="1"/>
  <c r="BA962"/>
  <c r="AZ962"/>
  <c r="BL962" s="1"/>
  <c r="AY962"/>
  <c r="BK962" s="1"/>
  <c r="AX962"/>
  <c r="CH962" s="1"/>
  <c r="AW962"/>
  <c r="AV962"/>
  <c r="CF962" s="1"/>
  <c r="AU962"/>
  <c r="AT962"/>
  <c r="CD962" s="1"/>
  <c r="AS962"/>
  <c r="AR962"/>
  <c r="CB962" s="1"/>
  <c r="AQ962"/>
  <c r="AP962"/>
  <c r="BZ962" s="1"/>
  <c r="AO962"/>
  <c r="AN962"/>
  <c r="BX962" s="1"/>
  <c r="AM962"/>
  <c r="AL962"/>
  <c r="AK962"/>
  <c r="AJ962"/>
  <c r="AI962"/>
  <c r="AH962"/>
  <c r="AG962"/>
  <c r="AF962"/>
  <c r="AE962"/>
  <c r="AD962"/>
  <c r="AC962"/>
  <c r="AB962"/>
  <c r="AA962"/>
  <c r="DE961"/>
  <c r="BJ961"/>
  <c r="BV961" s="1"/>
  <c r="BI961"/>
  <c r="BH961"/>
  <c r="BT961" s="1"/>
  <c r="BG961"/>
  <c r="BF961"/>
  <c r="BR961" s="1"/>
  <c r="BE961"/>
  <c r="BD961"/>
  <c r="BP961" s="1"/>
  <c r="BC961"/>
  <c r="BB961"/>
  <c r="BN961" s="1"/>
  <c r="BA961"/>
  <c r="AZ961"/>
  <c r="BL961" s="1"/>
  <c r="AY961"/>
  <c r="BK961" s="1"/>
  <c r="AX961"/>
  <c r="CH961" s="1"/>
  <c r="AW961"/>
  <c r="AV961"/>
  <c r="CF961" s="1"/>
  <c r="AU961"/>
  <c r="AT961"/>
  <c r="CD961" s="1"/>
  <c r="AS961"/>
  <c r="AR961"/>
  <c r="CB961" s="1"/>
  <c r="AQ961"/>
  <c r="AP961"/>
  <c r="BZ961" s="1"/>
  <c r="AO961"/>
  <c r="AN961"/>
  <c r="BX961" s="1"/>
  <c r="AM961"/>
  <c r="AL961"/>
  <c r="AK961"/>
  <c r="AJ961"/>
  <c r="AI961"/>
  <c r="AH961"/>
  <c r="AG961"/>
  <c r="AF961"/>
  <c r="AE961"/>
  <c r="AD961"/>
  <c r="AC961"/>
  <c r="AB961"/>
  <c r="AA961"/>
  <c r="DE960"/>
  <c r="BJ960"/>
  <c r="BV960" s="1"/>
  <c r="BI960"/>
  <c r="BH960"/>
  <c r="BT960" s="1"/>
  <c r="BG960"/>
  <c r="BF960"/>
  <c r="BR960" s="1"/>
  <c r="BE960"/>
  <c r="BD960"/>
  <c r="BP960" s="1"/>
  <c r="BC960"/>
  <c r="BB960"/>
  <c r="BN960" s="1"/>
  <c r="BA960"/>
  <c r="AZ960"/>
  <c r="BL960" s="1"/>
  <c r="AY960"/>
  <c r="BK960" s="1"/>
  <c r="AX960"/>
  <c r="CH960" s="1"/>
  <c r="AW960"/>
  <c r="AV960"/>
  <c r="CF960" s="1"/>
  <c r="AU960"/>
  <c r="AT960"/>
  <c r="CD960" s="1"/>
  <c r="AS960"/>
  <c r="AR960"/>
  <c r="CB960" s="1"/>
  <c r="AQ960"/>
  <c r="AP960"/>
  <c r="BZ960" s="1"/>
  <c r="AO960"/>
  <c r="AN960"/>
  <c r="BX960" s="1"/>
  <c r="AM960"/>
  <c r="AL960"/>
  <c r="AK960"/>
  <c r="AJ960"/>
  <c r="AI960"/>
  <c r="AH960"/>
  <c r="AG960"/>
  <c r="AF960"/>
  <c r="AE960"/>
  <c r="AD960"/>
  <c r="AC960"/>
  <c r="AB960"/>
  <c r="AA960"/>
  <c r="DE959"/>
  <c r="BJ959"/>
  <c r="BV959" s="1"/>
  <c r="BI959"/>
  <c r="BH959"/>
  <c r="BT959" s="1"/>
  <c r="BG959"/>
  <c r="BF959"/>
  <c r="BR959" s="1"/>
  <c r="BE959"/>
  <c r="BD959"/>
  <c r="BP959" s="1"/>
  <c r="BC959"/>
  <c r="BB959"/>
  <c r="BN959" s="1"/>
  <c r="BA959"/>
  <c r="AZ959"/>
  <c r="BL959" s="1"/>
  <c r="AY959"/>
  <c r="BK959" s="1"/>
  <c r="AX959"/>
  <c r="CH959" s="1"/>
  <c r="AW959"/>
  <c r="AV959"/>
  <c r="CF959" s="1"/>
  <c r="AU959"/>
  <c r="AT959"/>
  <c r="CD959" s="1"/>
  <c r="AS959"/>
  <c r="AR959"/>
  <c r="CB959" s="1"/>
  <c r="AQ959"/>
  <c r="AP959"/>
  <c r="BZ959" s="1"/>
  <c r="AO959"/>
  <c r="AN959"/>
  <c r="BX959" s="1"/>
  <c r="AM959"/>
  <c r="AL959"/>
  <c r="AK959"/>
  <c r="AJ959"/>
  <c r="AI959"/>
  <c r="AH959"/>
  <c r="AG959"/>
  <c r="AF959"/>
  <c r="AE959"/>
  <c r="AD959"/>
  <c r="AC959"/>
  <c r="AB959"/>
  <c r="AA959"/>
  <c r="DE958"/>
  <c r="BJ958"/>
  <c r="BV958" s="1"/>
  <c r="BI958"/>
  <c r="BH958"/>
  <c r="BT958" s="1"/>
  <c r="BG958"/>
  <c r="BF958"/>
  <c r="BR958" s="1"/>
  <c r="BE958"/>
  <c r="BD958"/>
  <c r="BP958" s="1"/>
  <c r="BC958"/>
  <c r="BB958"/>
  <c r="BN958" s="1"/>
  <c r="BA958"/>
  <c r="AZ958"/>
  <c r="BL958" s="1"/>
  <c r="AY958"/>
  <c r="BK958" s="1"/>
  <c r="AX958"/>
  <c r="CH958" s="1"/>
  <c r="AW958"/>
  <c r="AV958"/>
  <c r="CF958" s="1"/>
  <c r="AU958"/>
  <c r="AT958"/>
  <c r="CD958" s="1"/>
  <c r="AS958"/>
  <c r="AR958"/>
  <c r="CB958" s="1"/>
  <c r="AQ958"/>
  <c r="AP958"/>
  <c r="BZ958" s="1"/>
  <c r="AO958"/>
  <c r="AN958"/>
  <c r="BX958" s="1"/>
  <c r="AM958"/>
  <c r="AL958"/>
  <c r="AK958"/>
  <c r="AJ958"/>
  <c r="AI958"/>
  <c r="AH958"/>
  <c r="AG958"/>
  <c r="AF958"/>
  <c r="AE958"/>
  <c r="AD958"/>
  <c r="AC958"/>
  <c r="AB958"/>
  <c r="AA958"/>
  <c r="DE957"/>
  <c r="BJ957"/>
  <c r="BV957" s="1"/>
  <c r="BI957"/>
  <c r="BH957"/>
  <c r="BT957" s="1"/>
  <c r="BG957"/>
  <c r="BF957"/>
  <c r="BR957" s="1"/>
  <c r="BE957"/>
  <c r="BD957"/>
  <c r="BP957" s="1"/>
  <c r="BC957"/>
  <c r="BB957"/>
  <c r="BN957" s="1"/>
  <c r="BA957"/>
  <c r="AZ957"/>
  <c r="BL957" s="1"/>
  <c r="AY957"/>
  <c r="BK957" s="1"/>
  <c r="AX957"/>
  <c r="CH957" s="1"/>
  <c r="AW957"/>
  <c r="AV957"/>
  <c r="CF957" s="1"/>
  <c r="AU957"/>
  <c r="AT957"/>
  <c r="CD957" s="1"/>
  <c r="AS957"/>
  <c r="AR957"/>
  <c r="CB957" s="1"/>
  <c r="AQ957"/>
  <c r="AP957"/>
  <c r="BZ957" s="1"/>
  <c r="AO957"/>
  <c r="AN957"/>
  <c r="BX957" s="1"/>
  <c r="AM957"/>
  <c r="AL957"/>
  <c r="AK957"/>
  <c r="AJ957"/>
  <c r="AI957"/>
  <c r="AH957"/>
  <c r="AG957"/>
  <c r="AF957"/>
  <c r="AE957"/>
  <c r="AD957"/>
  <c r="AC957"/>
  <c r="AB957"/>
  <c r="AA957"/>
  <c r="DE956"/>
  <c r="BJ956"/>
  <c r="BV956" s="1"/>
  <c r="BI956"/>
  <c r="BH956"/>
  <c r="BT956" s="1"/>
  <c r="BG956"/>
  <c r="BF956"/>
  <c r="BR956" s="1"/>
  <c r="BE956"/>
  <c r="BD956"/>
  <c r="BP956" s="1"/>
  <c r="BC956"/>
  <c r="BB956"/>
  <c r="BN956" s="1"/>
  <c r="BA956"/>
  <c r="AZ956"/>
  <c r="BL956" s="1"/>
  <c r="AY956"/>
  <c r="BK956" s="1"/>
  <c r="AX956"/>
  <c r="CH956" s="1"/>
  <c r="AW956"/>
  <c r="AV956"/>
  <c r="CF956" s="1"/>
  <c r="AU956"/>
  <c r="AT956"/>
  <c r="CD956" s="1"/>
  <c r="AS956"/>
  <c r="AR956"/>
  <c r="CB956" s="1"/>
  <c r="AQ956"/>
  <c r="AP956"/>
  <c r="BZ956" s="1"/>
  <c r="AO956"/>
  <c r="AN956"/>
  <c r="BX956" s="1"/>
  <c r="AM956"/>
  <c r="AL956"/>
  <c r="AK956"/>
  <c r="AJ956"/>
  <c r="AI956"/>
  <c r="AH956"/>
  <c r="AG956"/>
  <c r="AF956"/>
  <c r="AE956"/>
  <c r="AD956"/>
  <c r="AC956"/>
  <c r="AB956"/>
  <c r="AA956"/>
  <c r="DE955"/>
  <c r="BJ955"/>
  <c r="BV955" s="1"/>
  <c r="BI955"/>
  <c r="BH955"/>
  <c r="BT955" s="1"/>
  <c r="BG955"/>
  <c r="BF955"/>
  <c r="BR955" s="1"/>
  <c r="BE955"/>
  <c r="BD955"/>
  <c r="BP955" s="1"/>
  <c r="BC955"/>
  <c r="BB955"/>
  <c r="BN955" s="1"/>
  <c r="BA955"/>
  <c r="AZ955"/>
  <c r="BL955" s="1"/>
  <c r="AY955"/>
  <c r="BK955" s="1"/>
  <c r="AX955"/>
  <c r="CH955" s="1"/>
  <c r="AW955"/>
  <c r="AV955"/>
  <c r="CF955" s="1"/>
  <c r="AU955"/>
  <c r="AT955"/>
  <c r="CD955" s="1"/>
  <c r="AS955"/>
  <c r="AR955"/>
  <c r="CB955" s="1"/>
  <c r="AQ955"/>
  <c r="AP955"/>
  <c r="BZ955" s="1"/>
  <c r="AO955"/>
  <c r="AN955"/>
  <c r="BX955" s="1"/>
  <c r="AM955"/>
  <c r="AL955"/>
  <c r="AK955"/>
  <c r="AJ955"/>
  <c r="AI955"/>
  <c r="AH955"/>
  <c r="AG955"/>
  <c r="AF955"/>
  <c r="AE955"/>
  <c r="AD955"/>
  <c r="AC955"/>
  <c r="AB955"/>
  <c r="AA955"/>
  <c r="DE954"/>
  <c r="BJ954"/>
  <c r="BI954"/>
  <c r="BU954" s="1"/>
  <c r="BH954"/>
  <c r="BG954"/>
  <c r="BS954" s="1"/>
  <c r="BF954"/>
  <c r="BE954"/>
  <c r="BQ954" s="1"/>
  <c r="BD954"/>
  <c r="BC954"/>
  <c r="BO954" s="1"/>
  <c r="BB954"/>
  <c r="BA954"/>
  <c r="BM954" s="1"/>
  <c r="AZ954"/>
  <c r="AY954"/>
  <c r="BK954" s="1"/>
  <c r="AX954"/>
  <c r="AW954"/>
  <c r="CG954" s="1"/>
  <c r="AV954"/>
  <c r="AU954"/>
  <c r="CE954" s="1"/>
  <c r="AT954"/>
  <c r="AS954"/>
  <c r="CC954" s="1"/>
  <c r="AR954"/>
  <c r="AQ954"/>
  <c r="CA954" s="1"/>
  <c r="AP954"/>
  <c r="AO954"/>
  <c r="BY954" s="1"/>
  <c r="AN954"/>
  <c r="AM954"/>
  <c r="BW954" s="1"/>
  <c r="AL954"/>
  <c r="AK954"/>
  <c r="AJ954"/>
  <c r="AI954"/>
  <c r="AH954"/>
  <c r="AG954"/>
  <c r="AF954"/>
  <c r="AE954"/>
  <c r="AD954"/>
  <c r="AC954"/>
  <c r="AB954"/>
  <c r="AA954"/>
  <c r="DE953"/>
  <c r="BJ953"/>
  <c r="BI953"/>
  <c r="BU953" s="1"/>
  <c r="BH953"/>
  <c r="BG953"/>
  <c r="BS953" s="1"/>
  <c r="BF953"/>
  <c r="BE953"/>
  <c r="BQ953" s="1"/>
  <c r="BD953"/>
  <c r="BC953"/>
  <c r="BO953" s="1"/>
  <c r="BB953"/>
  <c r="BA953"/>
  <c r="BM953" s="1"/>
  <c r="AZ953"/>
  <c r="AY953"/>
  <c r="BK953" s="1"/>
  <c r="AX953"/>
  <c r="AW953"/>
  <c r="CG953" s="1"/>
  <c r="AV953"/>
  <c r="AU953"/>
  <c r="CE953" s="1"/>
  <c r="AT953"/>
  <c r="AS953"/>
  <c r="CC953" s="1"/>
  <c r="AR953"/>
  <c r="AQ953"/>
  <c r="CA953" s="1"/>
  <c r="AP953"/>
  <c r="AO953"/>
  <c r="BY953" s="1"/>
  <c r="AN953"/>
  <c r="AM953"/>
  <c r="BW953" s="1"/>
  <c r="AL953"/>
  <c r="AK953"/>
  <c r="AJ953"/>
  <c r="AI953"/>
  <c r="AH953"/>
  <c r="AG953"/>
  <c r="AF953"/>
  <c r="AE953"/>
  <c r="AD953"/>
  <c r="AC953"/>
  <c r="AB953"/>
  <c r="AA953"/>
  <c r="DE952"/>
  <c r="BJ952"/>
  <c r="BI952"/>
  <c r="BU952" s="1"/>
  <c r="BH952"/>
  <c r="BG952"/>
  <c r="BS952" s="1"/>
  <c r="BF952"/>
  <c r="BE952"/>
  <c r="BQ952" s="1"/>
  <c r="BD952"/>
  <c r="BC952"/>
  <c r="BO952" s="1"/>
  <c r="BB952"/>
  <c r="BA952"/>
  <c r="BM952" s="1"/>
  <c r="AZ952"/>
  <c r="AY952"/>
  <c r="BK952" s="1"/>
  <c r="AX952"/>
  <c r="AW952"/>
  <c r="CG952" s="1"/>
  <c r="AV952"/>
  <c r="AU952"/>
  <c r="CE952" s="1"/>
  <c r="AT952"/>
  <c r="AS952"/>
  <c r="CC952" s="1"/>
  <c r="AR952"/>
  <c r="AQ952"/>
  <c r="CA952" s="1"/>
  <c r="AP952"/>
  <c r="AO952"/>
  <c r="BY952" s="1"/>
  <c r="AN952"/>
  <c r="AM952"/>
  <c r="BW952" s="1"/>
  <c r="AL952"/>
  <c r="AK952"/>
  <c r="AJ952"/>
  <c r="AI952"/>
  <c r="AH952"/>
  <c r="AG952"/>
  <c r="AF952"/>
  <c r="AE952"/>
  <c r="AD952"/>
  <c r="AC952"/>
  <c r="AB952"/>
  <c r="AA952"/>
  <c r="DE951"/>
  <c r="BJ951"/>
  <c r="BI951"/>
  <c r="BU951" s="1"/>
  <c r="BH951"/>
  <c r="BG951"/>
  <c r="BS951" s="1"/>
  <c r="BF951"/>
  <c r="BE951"/>
  <c r="BQ951" s="1"/>
  <c r="BD951"/>
  <c r="BC951"/>
  <c r="BO951" s="1"/>
  <c r="BB951"/>
  <c r="BA951"/>
  <c r="BM951" s="1"/>
  <c r="AZ951"/>
  <c r="AY951"/>
  <c r="BK951" s="1"/>
  <c r="AX951"/>
  <c r="AW951"/>
  <c r="CG951" s="1"/>
  <c r="AV951"/>
  <c r="AU951"/>
  <c r="CE951" s="1"/>
  <c r="AT951"/>
  <c r="AS951"/>
  <c r="CC951" s="1"/>
  <c r="AR951"/>
  <c r="AQ951"/>
  <c r="CA951" s="1"/>
  <c r="AP951"/>
  <c r="AO951"/>
  <c r="BY951" s="1"/>
  <c r="AN951"/>
  <c r="AM951"/>
  <c r="BW951" s="1"/>
  <c r="AL951"/>
  <c r="AK951"/>
  <c r="AJ951"/>
  <c r="AI951"/>
  <c r="AH951"/>
  <c r="AG951"/>
  <c r="AF951"/>
  <c r="AE951"/>
  <c r="AD951"/>
  <c r="AC951"/>
  <c r="AB951"/>
  <c r="AA951"/>
  <c r="DE950"/>
  <c r="BJ950"/>
  <c r="BI950"/>
  <c r="BU950" s="1"/>
  <c r="BH950"/>
  <c r="BG950"/>
  <c r="BS950" s="1"/>
  <c r="BF950"/>
  <c r="BE950"/>
  <c r="BQ950" s="1"/>
  <c r="BD950"/>
  <c r="BC950"/>
  <c r="BO950" s="1"/>
  <c r="BB950"/>
  <c r="BA950"/>
  <c r="BM950" s="1"/>
  <c r="AZ950"/>
  <c r="AY950"/>
  <c r="BK950" s="1"/>
  <c r="AX950"/>
  <c r="AW950"/>
  <c r="CG950" s="1"/>
  <c r="AV950"/>
  <c r="AU950"/>
  <c r="CE950" s="1"/>
  <c r="AT950"/>
  <c r="AS950"/>
  <c r="CC950" s="1"/>
  <c r="AR950"/>
  <c r="AQ950"/>
  <c r="CA950" s="1"/>
  <c r="AP950"/>
  <c r="AO950"/>
  <c r="BY950" s="1"/>
  <c r="AN950"/>
  <c r="AM950"/>
  <c r="BW950" s="1"/>
  <c r="AL950"/>
  <c r="AK950"/>
  <c r="AJ950"/>
  <c r="AI950"/>
  <c r="AH950"/>
  <c r="AG950"/>
  <c r="AF950"/>
  <c r="AE950"/>
  <c r="AD950"/>
  <c r="AC950"/>
  <c r="AB950"/>
  <c r="AA950"/>
  <c r="DE949"/>
  <c r="BJ949"/>
  <c r="BI949"/>
  <c r="BU949" s="1"/>
  <c r="BH949"/>
  <c r="BG949"/>
  <c r="BS949" s="1"/>
  <c r="BF949"/>
  <c r="BE949"/>
  <c r="BQ949" s="1"/>
  <c r="BD949"/>
  <c r="BC949"/>
  <c r="BO949" s="1"/>
  <c r="BB949"/>
  <c r="BA949"/>
  <c r="BM949" s="1"/>
  <c r="AZ949"/>
  <c r="AY949"/>
  <c r="BK949" s="1"/>
  <c r="AX949"/>
  <c r="AW949"/>
  <c r="CG949" s="1"/>
  <c r="AV949"/>
  <c r="AU949"/>
  <c r="CE949" s="1"/>
  <c r="AT949"/>
  <c r="AS949"/>
  <c r="CC949" s="1"/>
  <c r="AR949"/>
  <c r="AQ949"/>
  <c r="CA949" s="1"/>
  <c r="AP949"/>
  <c r="AO949"/>
  <c r="BY949" s="1"/>
  <c r="AN949"/>
  <c r="AM949"/>
  <c r="BW949" s="1"/>
  <c r="AL949"/>
  <c r="AK949"/>
  <c r="AJ949"/>
  <c r="AI949"/>
  <c r="AH949"/>
  <c r="AG949"/>
  <c r="AF949"/>
  <c r="AE949"/>
  <c r="AD949"/>
  <c r="AC949"/>
  <c r="AB949"/>
  <c r="AA949"/>
  <c r="DE948"/>
  <c r="BJ948"/>
  <c r="BI948"/>
  <c r="BU948" s="1"/>
  <c r="BH948"/>
  <c r="BG948"/>
  <c r="BS948" s="1"/>
  <c r="BF948"/>
  <c r="BE948"/>
  <c r="BQ948" s="1"/>
  <c r="BD948"/>
  <c r="BC948"/>
  <c r="BO948" s="1"/>
  <c r="BB948"/>
  <c r="BA948"/>
  <c r="BM948" s="1"/>
  <c r="AZ948"/>
  <c r="AY948"/>
  <c r="BK948" s="1"/>
  <c r="AX948"/>
  <c r="AW948"/>
  <c r="CG948" s="1"/>
  <c r="AV948"/>
  <c r="AU948"/>
  <c r="CE948" s="1"/>
  <c r="AT948"/>
  <c r="AS948"/>
  <c r="CC948" s="1"/>
  <c r="AR948"/>
  <c r="AQ948"/>
  <c r="CA948" s="1"/>
  <c r="AP948"/>
  <c r="AO948"/>
  <c r="BY948" s="1"/>
  <c r="AN948"/>
  <c r="AM948"/>
  <c r="BW948" s="1"/>
  <c r="AL948"/>
  <c r="AK948"/>
  <c r="AJ948"/>
  <c r="AI948"/>
  <c r="AH948"/>
  <c r="AG948"/>
  <c r="AF948"/>
  <c r="AE948"/>
  <c r="AD948"/>
  <c r="AC948"/>
  <c r="AB948"/>
  <c r="AA948"/>
  <c r="DE947"/>
  <c r="BJ947"/>
  <c r="BI947"/>
  <c r="BU947" s="1"/>
  <c r="BH947"/>
  <c r="BG947"/>
  <c r="BS947" s="1"/>
  <c r="BF947"/>
  <c r="BE947"/>
  <c r="BQ947" s="1"/>
  <c r="BD947"/>
  <c r="BC947"/>
  <c r="BO947" s="1"/>
  <c r="BB947"/>
  <c r="BA947"/>
  <c r="BM947" s="1"/>
  <c r="AZ947"/>
  <c r="AY947"/>
  <c r="BK947" s="1"/>
  <c r="AX947"/>
  <c r="AW947"/>
  <c r="CG947" s="1"/>
  <c r="AV947"/>
  <c r="AU947"/>
  <c r="CE947" s="1"/>
  <c r="AT947"/>
  <c r="AS947"/>
  <c r="CC947" s="1"/>
  <c r="AR947"/>
  <c r="AQ947"/>
  <c r="CA947" s="1"/>
  <c r="AP947"/>
  <c r="AO947"/>
  <c r="BY947" s="1"/>
  <c r="AN947"/>
  <c r="AM947"/>
  <c r="BW947" s="1"/>
  <c r="AL947"/>
  <c r="AK947"/>
  <c r="AJ947"/>
  <c r="AI947"/>
  <c r="AH947"/>
  <c r="AG947"/>
  <c r="AF947"/>
  <c r="AE947"/>
  <c r="AD947"/>
  <c r="AC947"/>
  <c r="AB947"/>
  <c r="AA947"/>
  <c r="DE946"/>
  <c r="BJ946"/>
  <c r="BI946"/>
  <c r="BU946" s="1"/>
  <c r="BH946"/>
  <c r="BG946"/>
  <c r="BS946" s="1"/>
  <c r="BF946"/>
  <c r="BE946"/>
  <c r="BQ946" s="1"/>
  <c r="BD946"/>
  <c r="BC946"/>
  <c r="BO946" s="1"/>
  <c r="BB946"/>
  <c r="BA946"/>
  <c r="BM946" s="1"/>
  <c r="AZ946"/>
  <c r="AY946"/>
  <c r="BK946" s="1"/>
  <c r="AX946"/>
  <c r="AW946"/>
  <c r="CG946" s="1"/>
  <c r="AV946"/>
  <c r="AU946"/>
  <c r="CE946" s="1"/>
  <c r="AT946"/>
  <c r="AS946"/>
  <c r="CC946" s="1"/>
  <c r="AR946"/>
  <c r="AQ946"/>
  <c r="CA946" s="1"/>
  <c r="AP946"/>
  <c r="AO946"/>
  <c r="BY946" s="1"/>
  <c r="AN946"/>
  <c r="AM946"/>
  <c r="BW946" s="1"/>
  <c r="AL946"/>
  <c r="AK946"/>
  <c r="AJ946"/>
  <c r="AI946"/>
  <c r="AH946"/>
  <c r="AG946"/>
  <c r="AF946"/>
  <c r="AE946"/>
  <c r="AD946"/>
  <c r="AC946"/>
  <c r="AB946"/>
  <c r="AA946"/>
  <c r="DE945"/>
  <c r="BJ945"/>
  <c r="BI945"/>
  <c r="BU945" s="1"/>
  <c r="BH945"/>
  <c r="BG945"/>
  <c r="BS945" s="1"/>
  <c r="BF945"/>
  <c r="BE945"/>
  <c r="BQ945" s="1"/>
  <c r="BD945"/>
  <c r="BC945"/>
  <c r="BO945" s="1"/>
  <c r="BB945"/>
  <c r="BA945"/>
  <c r="BM945" s="1"/>
  <c r="AZ945"/>
  <c r="AY945"/>
  <c r="BK945" s="1"/>
  <c r="AX945"/>
  <c r="AW945"/>
  <c r="CG945" s="1"/>
  <c r="AV945"/>
  <c r="AU945"/>
  <c r="CE945" s="1"/>
  <c r="AT945"/>
  <c r="AS945"/>
  <c r="CC945" s="1"/>
  <c r="AR945"/>
  <c r="AQ945"/>
  <c r="CA945" s="1"/>
  <c r="AP945"/>
  <c r="AO945"/>
  <c r="BY945" s="1"/>
  <c r="AN945"/>
  <c r="AM945"/>
  <c r="BW945" s="1"/>
  <c r="AL945"/>
  <c r="AK945"/>
  <c r="AJ945"/>
  <c r="AI945"/>
  <c r="AH945"/>
  <c r="AG945"/>
  <c r="AF945"/>
  <c r="AE945"/>
  <c r="AD945"/>
  <c r="AC945"/>
  <c r="AB945"/>
  <c r="AA945"/>
  <c r="DE944"/>
  <c r="BJ944"/>
  <c r="BI944"/>
  <c r="BU944" s="1"/>
  <c r="BH944"/>
  <c r="BG944"/>
  <c r="BS944" s="1"/>
  <c r="BF944"/>
  <c r="BE944"/>
  <c r="BQ944" s="1"/>
  <c r="BD944"/>
  <c r="BC944"/>
  <c r="BO944" s="1"/>
  <c r="BB944"/>
  <c r="BA944"/>
  <c r="BM944" s="1"/>
  <c r="AZ944"/>
  <c r="AY944"/>
  <c r="BK944" s="1"/>
  <c r="AX944"/>
  <c r="AW944"/>
  <c r="CG944" s="1"/>
  <c r="AV944"/>
  <c r="AU944"/>
  <c r="CE944" s="1"/>
  <c r="AT944"/>
  <c r="AS944"/>
  <c r="CC944" s="1"/>
  <c r="AR944"/>
  <c r="AQ944"/>
  <c r="CA944" s="1"/>
  <c r="AP944"/>
  <c r="AO944"/>
  <c r="BY944" s="1"/>
  <c r="AN944"/>
  <c r="AM944"/>
  <c r="BW944" s="1"/>
  <c r="AL944"/>
  <c r="AK944"/>
  <c r="AJ944"/>
  <c r="AI944"/>
  <c r="AH944"/>
  <c r="AG944"/>
  <c r="AF944"/>
  <c r="AE944"/>
  <c r="AD944"/>
  <c r="AC944"/>
  <c r="AB944"/>
  <c r="AA944"/>
  <c r="DE943"/>
  <c r="BJ943"/>
  <c r="BI943"/>
  <c r="BU943" s="1"/>
  <c r="BH943"/>
  <c r="BG943"/>
  <c r="BS943" s="1"/>
  <c r="BF943"/>
  <c r="BE943"/>
  <c r="BQ943" s="1"/>
  <c r="BD943"/>
  <c r="BC943"/>
  <c r="BO943" s="1"/>
  <c r="BB943"/>
  <c r="BA943"/>
  <c r="BM943" s="1"/>
  <c r="AZ943"/>
  <c r="AY943"/>
  <c r="BK943" s="1"/>
  <c r="AX943"/>
  <c r="AW943"/>
  <c r="CG943" s="1"/>
  <c r="AV943"/>
  <c r="AU943"/>
  <c r="CE943" s="1"/>
  <c r="AT943"/>
  <c r="AS943"/>
  <c r="CC943" s="1"/>
  <c r="AR943"/>
  <c r="AQ943"/>
  <c r="CA943" s="1"/>
  <c r="AP943"/>
  <c r="AO943"/>
  <c r="BY943" s="1"/>
  <c r="AN943"/>
  <c r="AM943"/>
  <c r="BW943" s="1"/>
  <c r="AL943"/>
  <c r="AK943"/>
  <c r="AJ943"/>
  <c r="AI943"/>
  <c r="AH943"/>
  <c r="AG943"/>
  <c r="AF943"/>
  <c r="AE943"/>
  <c r="AD943"/>
  <c r="AC943"/>
  <c r="AB943"/>
  <c r="AA943"/>
  <c r="DE942"/>
  <c r="BJ942"/>
  <c r="BI942"/>
  <c r="BU942" s="1"/>
  <c r="BH942"/>
  <c r="BG942"/>
  <c r="BS942" s="1"/>
  <c r="BF942"/>
  <c r="BE942"/>
  <c r="BQ942" s="1"/>
  <c r="BD942"/>
  <c r="BC942"/>
  <c r="BO942" s="1"/>
  <c r="BB942"/>
  <c r="BA942"/>
  <c r="BM942" s="1"/>
  <c r="AZ942"/>
  <c r="AY942"/>
  <c r="BK942" s="1"/>
  <c r="AX942"/>
  <c r="AW942"/>
  <c r="CG942" s="1"/>
  <c r="AV942"/>
  <c r="AU942"/>
  <c r="CE942" s="1"/>
  <c r="AT942"/>
  <c r="AS942"/>
  <c r="CC942" s="1"/>
  <c r="AR942"/>
  <c r="AQ942"/>
  <c r="CA942" s="1"/>
  <c r="AP942"/>
  <c r="AO942"/>
  <c r="BY942" s="1"/>
  <c r="AN942"/>
  <c r="AM942"/>
  <c r="BW942" s="1"/>
  <c r="AL942"/>
  <c r="AK942"/>
  <c r="AJ942"/>
  <c r="AI942"/>
  <c r="AH942"/>
  <c r="AG942"/>
  <c r="AF942"/>
  <c r="AE942"/>
  <c r="AD942"/>
  <c r="AC942"/>
  <c r="AB942"/>
  <c r="AA942"/>
  <c r="DE941"/>
  <c r="BJ941"/>
  <c r="BI941"/>
  <c r="BU941" s="1"/>
  <c r="BH941"/>
  <c r="BG941"/>
  <c r="BS941" s="1"/>
  <c r="BF941"/>
  <c r="BE941"/>
  <c r="BQ941" s="1"/>
  <c r="BD941"/>
  <c r="BC941"/>
  <c r="BO941" s="1"/>
  <c r="BB941"/>
  <c r="BA941"/>
  <c r="BM941" s="1"/>
  <c r="AZ941"/>
  <c r="AY941"/>
  <c r="BK941" s="1"/>
  <c r="AX941"/>
  <c r="AW941"/>
  <c r="CG941" s="1"/>
  <c r="AV941"/>
  <c r="AU941"/>
  <c r="CE941" s="1"/>
  <c r="AT941"/>
  <c r="AS941"/>
  <c r="CC941" s="1"/>
  <c r="AR941"/>
  <c r="AQ941"/>
  <c r="CA941" s="1"/>
  <c r="AP941"/>
  <c r="AO941"/>
  <c r="BY941" s="1"/>
  <c r="AN941"/>
  <c r="AM941"/>
  <c r="BW941" s="1"/>
  <c r="AL941"/>
  <c r="AK941"/>
  <c r="AJ941"/>
  <c r="AI941"/>
  <c r="AH941"/>
  <c r="AG941"/>
  <c r="AF941"/>
  <c r="AE941"/>
  <c r="AD941"/>
  <c r="AC941"/>
  <c r="AB941"/>
  <c r="AA941"/>
  <c r="DE940"/>
  <c r="BJ940"/>
  <c r="BI940"/>
  <c r="BU940" s="1"/>
  <c r="BH940"/>
  <c r="BG940"/>
  <c r="BS940" s="1"/>
  <c r="BF940"/>
  <c r="BE940"/>
  <c r="BQ940" s="1"/>
  <c r="BD940"/>
  <c r="BC940"/>
  <c r="BO940" s="1"/>
  <c r="BB940"/>
  <c r="BA940"/>
  <c r="BM940" s="1"/>
  <c r="AZ940"/>
  <c r="AY940"/>
  <c r="BK940" s="1"/>
  <c r="AX940"/>
  <c r="AW940"/>
  <c r="CG940" s="1"/>
  <c r="AV940"/>
  <c r="AU940"/>
  <c r="CE940" s="1"/>
  <c r="AT940"/>
  <c r="AS940"/>
  <c r="CC940" s="1"/>
  <c r="AR940"/>
  <c r="AQ940"/>
  <c r="CA940" s="1"/>
  <c r="AP940"/>
  <c r="AO940"/>
  <c r="BY940" s="1"/>
  <c r="AN940"/>
  <c r="AM940"/>
  <c r="BW940" s="1"/>
  <c r="AL940"/>
  <c r="AK940"/>
  <c r="AJ940"/>
  <c r="AI940"/>
  <c r="AH940"/>
  <c r="AG940"/>
  <c r="AF940"/>
  <c r="AE940"/>
  <c r="AD940"/>
  <c r="AC940"/>
  <c r="AB940"/>
  <c r="AA940"/>
  <c r="DE939"/>
  <c r="BJ939"/>
  <c r="BI939"/>
  <c r="BU939" s="1"/>
  <c r="BH939"/>
  <c r="BG939"/>
  <c r="BS939" s="1"/>
  <c r="BF939"/>
  <c r="BE939"/>
  <c r="BQ939" s="1"/>
  <c r="BD939"/>
  <c r="BC939"/>
  <c r="BO939" s="1"/>
  <c r="BB939"/>
  <c r="BA939"/>
  <c r="BM939" s="1"/>
  <c r="AZ939"/>
  <c r="AY939"/>
  <c r="BK939" s="1"/>
  <c r="AX939"/>
  <c r="AW939"/>
  <c r="CG939" s="1"/>
  <c r="AV939"/>
  <c r="AU939"/>
  <c r="CE939" s="1"/>
  <c r="AT939"/>
  <c r="AS939"/>
  <c r="CC939" s="1"/>
  <c r="AR939"/>
  <c r="AQ939"/>
  <c r="CA939" s="1"/>
  <c r="AP939"/>
  <c r="AO939"/>
  <c r="BY939" s="1"/>
  <c r="AN939"/>
  <c r="AM939"/>
  <c r="BW939" s="1"/>
  <c r="AL939"/>
  <c r="AK939"/>
  <c r="AJ939"/>
  <c r="AI939"/>
  <c r="AH939"/>
  <c r="AG939"/>
  <c r="AF939"/>
  <c r="AE939"/>
  <c r="AD939"/>
  <c r="AC939"/>
  <c r="AB939"/>
  <c r="AA939"/>
  <c r="DE938"/>
  <c r="BJ938"/>
  <c r="BI938"/>
  <c r="BU938" s="1"/>
  <c r="BH938"/>
  <c r="BG938"/>
  <c r="BS938" s="1"/>
  <c r="BF938"/>
  <c r="BE938"/>
  <c r="BQ938" s="1"/>
  <c r="BD938"/>
  <c r="BC938"/>
  <c r="BO938" s="1"/>
  <c r="BB938"/>
  <c r="BA938"/>
  <c r="BM938" s="1"/>
  <c r="AZ938"/>
  <c r="AY938"/>
  <c r="BK938" s="1"/>
  <c r="AX938"/>
  <c r="AW938"/>
  <c r="CG938" s="1"/>
  <c r="AV938"/>
  <c r="AU938"/>
  <c r="CE938" s="1"/>
  <c r="AT938"/>
  <c r="AS938"/>
  <c r="CC938" s="1"/>
  <c r="AR938"/>
  <c r="AQ938"/>
  <c r="CA938" s="1"/>
  <c r="AP938"/>
  <c r="AO938"/>
  <c r="BY938" s="1"/>
  <c r="AN938"/>
  <c r="AM938"/>
  <c r="BW938" s="1"/>
  <c r="AL938"/>
  <c r="AK938"/>
  <c r="AJ938"/>
  <c r="AI938"/>
  <c r="AH938"/>
  <c r="AG938"/>
  <c r="AF938"/>
  <c r="AE938"/>
  <c r="AD938"/>
  <c r="AC938"/>
  <c r="AB938"/>
  <c r="AA938"/>
  <c r="DE937"/>
  <c r="BJ937"/>
  <c r="BI937"/>
  <c r="BU937" s="1"/>
  <c r="BH937"/>
  <c r="BG937"/>
  <c r="BS937" s="1"/>
  <c r="BF937"/>
  <c r="BE937"/>
  <c r="BQ937" s="1"/>
  <c r="BD937"/>
  <c r="BC937"/>
  <c r="BO937" s="1"/>
  <c r="BB937"/>
  <c r="BA937"/>
  <c r="BM937" s="1"/>
  <c r="AZ937"/>
  <c r="AY937"/>
  <c r="BK937" s="1"/>
  <c r="AX937"/>
  <c r="AW937"/>
  <c r="CG937" s="1"/>
  <c r="AV937"/>
  <c r="AU937"/>
  <c r="CE937" s="1"/>
  <c r="AT937"/>
  <c r="AS937"/>
  <c r="CC937" s="1"/>
  <c r="AR937"/>
  <c r="AQ937"/>
  <c r="CA937" s="1"/>
  <c r="AP937"/>
  <c r="AO937"/>
  <c r="BY937" s="1"/>
  <c r="AN937"/>
  <c r="AM937"/>
  <c r="BW937" s="1"/>
  <c r="AL937"/>
  <c r="AK937"/>
  <c r="AJ937"/>
  <c r="AI937"/>
  <c r="AH937"/>
  <c r="AG937"/>
  <c r="AF937"/>
  <c r="AE937"/>
  <c r="AD937"/>
  <c r="AC937"/>
  <c r="AB937"/>
  <c r="AA937"/>
  <c r="DE936"/>
  <c r="BQ936"/>
  <c r="BJ936"/>
  <c r="BI936"/>
  <c r="BV936" s="1"/>
  <c r="BH936"/>
  <c r="BG936"/>
  <c r="BT936" s="1"/>
  <c r="BF936"/>
  <c r="BE936"/>
  <c r="BR936" s="1"/>
  <c r="BD936"/>
  <c r="BC936"/>
  <c r="BP936" s="1"/>
  <c r="BB936"/>
  <c r="BA936"/>
  <c r="BN936" s="1"/>
  <c r="AZ936"/>
  <c r="AY936"/>
  <c r="BL936" s="1"/>
  <c r="AX936"/>
  <c r="AW936"/>
  <c r="AV936"/>
  <c r="AU936"/>
  <c r="CF936" s="1"/>
  <c r="AT936"/>
  <c r="AS936"/>
  <c r="CD936" s="1"/>
  <c r="AR936"/>
  <c r="AQ936"/>
  <c r="CB936" s="1"/>
  <c r="AP936"/>
  <c r="AO936"/>
  <c r="BZ936" s="1"/>
  <c r="AN936"/>
  <c r="AM936"/>
  <c r="BX936" s="1"/>
  <c r="AL936"/>
  <c r="AK936"/>
  <c r="AJ936"/>
  <c r="AI936"/>
  <c r="AH936"/>
  <c r="AG936"/>
  <c r="AF936"/>
  <c r="AE936"/>
  <c r="AD936"/>
  <c r="AC936"/>
  <c r="AB936"/>
  <c r="AA936"/>
  <c r="DE935"/>
  <c r="BJ935"/>
  <c r="BI935"/>
  <c r="BV935" s="1"/>
  <c r="BH935"/>
  <c r="BG935"/>
  <c r="BT935" s="1"/>
  <c r="BF935"/>
  <c r="BE935"/>
  <c r="BR935" s="1"/>
  <c r="BD935"/>
  <c r="BC935"/>
  <c r="BP935" s="1"/>
  <c r="BB935"/>
  <c r="BA935"/>
  <c r="BN935" s="1"/>
  <c r="AZ935"/>
  <c r="AY935"/>
  <c r="BL935" s="1"/>
  <c r="AX935"/>
  <c r="AW935"/>
  <c r="AV935"/>
  <c r="CG935" s="1"/>
  <c r="AU935"/>
  <c r="CF935" s="1"/>
  <c r="AT935"/>
  <c r="AS935"/>
  <c r="CD935" s="1"/>
  <c r="AR935"/>
  <c r="CC935" s="1"/>
  <c r="AQ935"/>
  <c r="CB935" s="1"/>
  <c r="AP935"/>
  <c r="AO935"/>
  <c r="BZ935" s="1"/>
  <c r="AN935"/>
  <c r="AM935"/>
  <c r="BX935" s="1"/>
  <c r="AL935"/>
  <c r="AK935"/>
  <c r="AJ935"/>
  <c r="AI935"/>
  <c r="AH935"/>
  <c r="AG935"/>
  <c r="AF935"/>
  <c r="AE935"/>
  <c r="AD935"/>
  <c r="AC935"/>
  <c r="AB935"/>
  <c r="AA935"/>
  <c r="DE934"/>
  <c r="BJ934"/>
  <c r="BI934"/>
  <c r="BV934" s="1"/>
  <c r="BH934"/>
  <c r="BG934"/>
  <c r="BT934" s="1"/>
  <c r="BF934"/>
  <c r="BE934"/>
  <c r="BR934" s="1"/>
  <c r="BD934"/>
  <c r="BC934"/>
  <c r="BP934" s="1"/>
  <c r="BB934"/>
  <c r="BA934"/>
  <c r="BN934" s="1"/>
  <c r="AZ934"/>
  <c r="AY934"/>
  <c r="BL934" s="1"/>
  <c r="AX934"/>
  <c r="AW934"/>
  <c r="CH934" s="1"/>
  <c r="AV934"/>
  <c r="AU934"/>
  <c r="CF934" s="1"/>
  <c r="AT934"/>
  <c r="AS934"/>
  <c r="CD934" s="1"/>
  <c r="AR934"/>
  <c r="AQ934"/>
  <c r="CB934" s="1"/>
  <c r="AP934"/>
  <c r="AO934"/>
  <c r="BZ934" s="1"/>
  <c r="AN934"/>
  <c r="AM934"/>
  <c r="BX934" s="1"/>
  <c r="AL934"/>
  <c r="AK934"/>
  <c r="AJ934"/>
  <c r="AI934"/>
  <c r="AH934"/>
  <c r="AG934"/>
  <c r="AF934"/>
  <c r="AE934"/>
  <c r="AD934"/>
  <c r="AC934"/>
  <c r="AB934"/>
  <c r="AA934"/>
  <c r="DE933"/>
  <c r="BJ933"/>
  <c r="BI933"/>
  <c r="BV933" s="1"/>
  <c r="BH933"/>
  <c r="BG933"/>
  <c r="BT933" s="1"/>
  <c r="BF933"/>
  <c r="BE933"/>
  <c r="BR933" s="1"/>
  <c r="BD933"/>
  <c r="BC933"/>
  <c r="BP933" s="1"/>
  <c r="BB933"/>
  <c r="BA933"/>
  <c r="BN933" s="1"/>
  <c r="AZ933"/>
  <c r="AY933"/>
  <c r="BL933" s="1"/>
  <c r="AX933"/>
  <c r="AW933"/>
  <c r="CH933" s="1"/>
  <c r="AV933"/>
  <c r="AU933"/>
  <c r="CF933" s="1"/>
  <c r="AT933"/>
  <c r="AS933"/>
  <c r="CD933" s="1"/>
  <c r="AR933"/>
  <c r="AQ933"/>
  <c r="CB933" s="1"/>
  <c r="AP933"/>
  <c r="AO933"/>
  <c r="BZ933" s="1"/>
  <c r="AN933"/>
  <c r="AM933"/>
  <c r="BX933" s="1"/>
  <c r="AL933"/>
  <c r="AK933"/>
  <c r="AJ933"/>
  <c r="AI933"/>
  <c r="AH933"/>
  <c r="AG933"/>
  <c r="AF933"/>
  <c r="AE933"/>
  <c r="AD933"/>
  <c r="AC933"/>
  <c r="AB933"/>
  <c r="AA933"/>
  <c r="DE932"/>
  <c r="BJ932"/>
  <c r="BI932"/>
  <c r="BV932" s="1"/>
  <c r="BH932"/>
  <c r="BG932"/>
  <c r="BT932" s="1"/>
  <c r="BF932"/>
  <c r="BE932"/>
  <c r="BR932" s="1"/>
  <c r="BD932"/>
  <c r="BC932"/>
  <c r="BP932" s="1"/>
  <c r="BB932"/>
  <c r="BA932"/>
  <c r="BN932" s="1"/>
  <c r="AZ932"/>
  <c r="AY932"/>
  <c r="BL932" s="1"/>
  <c r="AX932"/>
  <c r="AW932"/>
  <c r="CH932" s="1"/>
  <c r="AV932"/>
  <c r="AU932"/>
  <c r="CF932" s="1"/>
  <c r="AT932"/>
  <c r="CE932" s="1"/>
  <c r="AS932"/>
  <c r="CD932" s="1"/>
  <c r="AR932"/>
  <c r="CC932" s="1"/>
  <c r="AQ932"/>
  <c r="CB932" s="1"/>
  <c r="AP932"/>
  <c r="CA932" s="1"/>
  <c r="AO932"/>
  <c r="BZ932" s="1"/>
  <c r="AN932"/>
  <c r="BY932" s="1"/>
  <c r="AM932"/>
  <c r="BX932" s="1"/>
  <c r="AL932"/>
  <c r="AK932"/>
  <c r="AJ932"/>
  <c r="AI932"/>
  <c r="AH932"/>
  <c r="AG932"/>
  <c r="AF932"/>
  <c r="AE932"/>
  <c r="AD932"/>
  <c r="AC932"/>
  <c r="AB932"/>
  <c r="AA932"/>
  <c r="DE931"/>
  <c r="BJ931"/>
  <c r="BI931"/>
  <c r="BV931" s="1"/>
  <c r="BH931"/>
  <c r="BG931"/>
  <c r="BT931" s="1"/>
  <c r="BF931"/>
  <c r="BE931"/>
  <c r="BR931" s="1"/>
  <c r="BD931"/>
  <c r="BC931"/>
  <c r="BP931" s="1"/>
  <c r="BB931"/>
  <c r="BA931"/>
  <c r="BN931" s="1"/>
  <c r="AZ931"/>
  <c r="AY931"/>
  <c r="BL931" s="1"/>
  <c r="AX931"/>
  <c r="AW931"/>
  <c r="CH931" s="1"/>
  <c r="AV931"/>
  <c r="CG931" s="1"/>
  <c r="AU931"/>
  <c r="CF931" s="1"/>
  <c r="AT931"/>
  <c r="CE931" s="1"/>
  <c r="AS931"/>
  <c r="CD931" s="1"/>
  <c r="AR931"/>
  <c r="CC931" s="1"/>
  <c r="AQ931"/>
  <c r="CB931" s="1"/>
  <c r="AP931"/>
  <c r="CA931" s="1"/>
  <c r="AO931"/>
  <c r="BZ931" s="1"/>
  <c r="AN931"/>
  <c r="BY931" s="1"/>
  <c r="AM931"/>
  <c r="BX931" s="1"/>
  <c r="AL931"/>
  <c r="AK931"/>
  <c r="AJ931"/>
  <c r="AI931"/>
  <c r="AH931"/>
  <c r="AG931"/>
  <c r="AF931"/>
  <c r="AE931"/>
  <c r="AD931"/>
  <c r="AC931"/>
  <c r="AB931"/>
  <c r="AA931"/>
  <c r="DE930"/>
  <c r="BJ930"/>
  <c r="BI930"/>
  <c r="BV930" s="1"/>
  <c r="BH930"/>
  <c r="BG930"/>
  <c r="BT930" s="1"/>
  <c r="BF930"/>
  <c r="BE930"/>
  <c r="BR930" s="1"/>
  <c r="BD930"/>
  <c r="BC930"/>
  <c r="BP930" s="1"/>
  <c r="BB930"/>
  <c r="BA930"/>
  <c r="BN930" s="1"/>
  <c r="AZ930"/>
  <c r="AY930"/>
  <c r="BL930" s="1"/>
  <c r="AX930"/>
  <c r="BW930" s="1"/>
  <c r="AW930"/>
  <c r="CH930" s="1"/>
  <c r="AV930"/>
  <c r="CG930" s="1"/>
  <c r="AU930"/>
  <c r="CF930" s="1"/>
  <c r="AT930"/>
  <c r="CE930" s="1"/>
  <c r="AS930"/>
  <c r="CD930" s="1"/>
  <c r="AR930"/>
  <c r="CC930" s="1"/>
  <c r="AQ930"/>
  <c r="CB930" s="1"/>
  <c r="AP930"/>
  <c r="CA930" s="1"/>
  <c r="AO930"/>
  <c r="BZ930" s="1"/>
  <c r="AN930"/>
  <c r="BY930" s="1"/>
  <c r="AM930"/>
  <c r="BX930" s="1"/>
  <c r="AL930"/>
  <c r="AK930"/>
  <c r="AJ930"/>
  <c r="AI930"/>
  <c r="AH930"/>
  <c r="AG930"/>
  <c r="AF930"/>
  <c r="AE930"/>
  <c r="AD930"/>
  <c r="AC930"/>
  <c r="AB930"/>
  <c r="AA930"/>
  <c r="DE929"/>
  <c r="BJ929"/>
  <c r="BI929"/>
  <c r="BV929" s="1"/>
  <c r="BH929"/>
  <c r="BG929"/>
  <c r="BT929" s="1"/>
  <c r="BF929"/>
  <c r="BE929"/>
  <c r="BR929" s="1"/>
  <c r="BD929"/>
  <c r="BC929"/>
  <c r="BP929" s="1"/>
  <c r="BB929"/>
  <c r="BA929"/>
  <c r="BN929" s="1"/>
  <c r="AZ929"/>
  <c r="AY929"/>
  <c r="BL929" s="1"/>
  <c r="AX929"/>
  <c r="BW929" s="1"/>
  <c r="AW929"/>
  <c r="CH929" s="1"/>
  <c r="AV929"/>
  <c r="CG929" s="1"/>
  <c r="AU929"/>
  <c r="CF929" s="1"/>
  <c r="AT929"/>
  <c r="CE929" s="1"/>
  <c r="AS929"/>
  <c r="CD929" s="1"/>
  <c r="AR929"/>
  <c r="CC929" s="1"/>
  <c r="AQ929"/>
  <c r="CB929" s="1"/>
  <c r="AP929"/>
  <c r="CA929" s="1"/>
  <c r="AO929"/>
  <c r="BZ929" s="1"/>
  <c r="AN929"/>
  <c r="BY929" s="1"/>
  <c r="AM929"/>
  <c r="BX929" s="1"/>
  <c r="AL929"/>
  <c r="AK929"/>
  <c r="AJ929"/>
  <c r="AI929"/>
  <c r="AH929"/>
  <c r="AG929"/>
  <c r="AF929"/>
  <c r="AE929"/>
  <c r="AD929"/>
  <c r="AC929"/>
  <c r="AB929"/>
  <c r="AA929"/>
  <c r="DE928"/>
  <c r="BJ928"/>
  <c r="BI928"/>
  <c r="BV928" s="1"/>
  <c r="BH928"/>
  <c r="BG928"/>
  <c r="BT928" s="1"/>
  <c r="BF928"/>
  <c r="BE928"/>
  <c r="BR928" s="1"/>
  <c r="BD928"/>
  <c r="BQ928" s="1"/>
  <c r="BC928"/>
  <c r="BP928" s="1"/>
  <c r="BB928"/>
  <c r="BO928" s="1"/>
  <c r="BA928"/>
  <c r="BN928" s="1"/>
  <c r="AZ928"/>
  <c r="BM928" s="1"/>
  <c r="AY928"/>
  <c r="BL928" s="1"/>
  <c r="AX928"/>
  <c r="BW928" s="1"/>
  <c r="AW928"/>
  <c r="CH928" s="1"/>
  <c r="AV928"/>
  <c r="CG928" s="1"/>
  <c r="AU928"/>
  <c r="CF928" s="1"/>
  <c r="AT928"/>
  <c r="CE928" s="1"/>
  <c r="AS928"/>
  <c r="CD928" s="1"/>
  <c r="AR928"/>
  <c r="CC928" s="1"/>
  <c r="AQ928"/>
  <c r="CB928" s="1"/>
  <c r="AP928"/>
  <c r="CA928" s="1"/>
  <c r="AO928"/>
  <c r="BZ928" s="1"/>
  <c r="AN928"/>
  <c r="BY928" s="1"/>
  <c r="AM928"/>
  <c r="BX928" s="1"/>
  <c r="AL928"/>
  <c r="AK928"/>
  <c r="AJ928"/>
  <c r="AI928"/>
  <c r="AH928"/>
  <c r="AG928"/>
  <c r="AF928"/>
  <c r="AE928"/>
  <c r="AD928"/>
  <c r="AC928"/>
  <c r="AB928"/>
  <c r="AA928"/>
  <c r="DE927"/>
  <c r="BJ927"/>
  <c r="BI927"/>
  <c r="BV927" s="1"/>
  <c r="BH927"/>
  <c r="BG927"/>
  <c r="BT927" s="1"/>
  <c r="BF927"/>
  <c r="BS927" s="1"/>
  <c r="BE927"/>
  <c r="BR927" s="1"/>
  <c r="BD927"/>
  <c r="BQ927" s="1"/>
  <c r="BC927"/>
  <c r="BP927" s="1"/>
  <c r="BB927"/>
  <c r="BO927" s="1"/>
  <c r="BA927"/>
  <c r="BN927" s="1"/>
  <c r="AZ927"/>
  <c r="BM927" s="1"/>
  <c r="AY927"/>
  <c r="BL927" s="1"/>
  <c r="AX927"/>
  <c r="BW927" s="1"/>
  <c r="AW927"/>
  <c r="CH927" s="1"/>
  <c r="AV927"/>
  <c r="CG927" s="1"/>
  <c r="AU927"/>
  <c r="CF927" s="1"/>
  <c r="AT927"/>
  <c r="CE927" s="1"/>
  <c r="AS927"/>
  <c r="CD927" s="1"/>
  <c r="AR927"/>
  <c r="CC927" s="1"/>
  <c r="AQ927"/>
  <c r="CB927" s="1"/>
  <c r="AP927"/>
  <c r="CA927" s="1"/>
  <c r="AO927"/>
  <c r="BZ927" s="1"/>
  <c r="AN927"/>
  <c r="BY927" s="1"/>
  <c r="AM927"/>
  <c r="BX927" s="1"/>
  <c r="AL927"/>
  <c r="AK927"/>
  <c r="AJ927"/>
  <c r="AI927"/>
  <c r="AH927"/>
  <c r="AG927"/>
  <c r="AF927"/>
  <c r="AE927"/>
  <c r="AD927"/>
  <c r="AC927"/>
  <c r="AB927"/>
  <c r="AA927"/>
  <c r="DE926"/>
  <c r="BJ926"/>
  <c r="BI926"/>
  <c r="BV926" s="1"/>
  <c r="BH926"/>
  <c r="BU926" s="1"/>
  <c r="BG926"/>
  <c r="BT926" s="1"/>
  <c r="BF926"/>
  <c r="BS926" s="1"/>
  <c r="BE926"/>
  <c r="BR926" s="1"/>
  <c r="BD926"/>
  <c r="BQ926" s="1"/>
  <c r="BC926"/>
  <c r="BP926" s="1"/>
  <c r="BB926"/>
  <c r="BO926" s="1"/>
  <c r="BA926"/>
  <c r="BN926" s="1"/>
  <c r="AZ926"/>
  <c r="BM926" s="1"/>
  <c r="AY926"/>
  <c r="BL926" s="1"/>
  <c r="AX926"/>
  <c r="BW926" s="1"/>
  <c r="AW926"/>
  <c r="CH926" s="1"/>
  <c r="AV926"/>
  <c r="CG926" s="1"/>
  <c r="AU926"/>
  <c r="CF926" s="1"/>
  <c r="AT926"/>
  <c r="CE926" s="1"/>
  <c r="AS926"/>
  <c r="CD926" s="1"/>
  <c r="AR926"/>
  <c r="CC926" s="1"/>
  <c r="AQ926"/>
  <c r="CB926" s="1"/>
  <c r="AP926"/>
  <c r="CA926" s="1"/>
  <c r="AO926"/>
  <c r="BZ926" s="1"/>
  <c r="AN926"/>
  <c r="BY926" s="1"/>
  <c r="AM926"/>
  <c r="BX926" s="1"/>
  <c r="AL926"/>
  <c r="AK926"/>
  <c r="AJ926"/>
  <c r="AI926"/>
  <c r="AH926"/>
  <c r="AG926"/>
  <c r="AF926"/>
  <c r="AE926"/>
  <c r="AD926"/>
  <c r="AC926"/>
  <c r="AB926"/>
  <c r="AA926"/>
  <c r="DE925"/>
  <c r="BJ925"/>
  <c r="BI925"/>
  <c r="BV925" s="1"/>
  <c r="BH925"/>
  <c r="BU925" s="1"/>
  <c r="BG925"/>
  <c r="BT925" s="1"/>
  <c r="BF925"/>
  <c r="BS925" s="1"/>
  <c r="BE925"/>
  <c r="BR925" s="1"/>
  <c r="BD925"/>
  <c r="BQ925" s="1"/>
  <c r="BC925"/>
  <c r="BP925" s="1"/>
  <c r="BB925"/>
  <c r="BO925" s="1"/>
  <c r="BA925"/>
  <c r="BN925" s="1"/>
  <c r="AZ925"/>
  <c r="BM925" s="1"/>
  <c r="AY925"/>
  <c r="BL925" s="1"/>
  <c r="AX925"/>
  <c r="BW925" s="1"/>
  <c r="AW925"/>
  <c r="CH925" s="1"/>
  <c r="AV925"/>
  <c r="CG925" s="1"/>
  <c r="AU925"/>
  <c r="CF925" s="1"/>
  <c r="AT925"/>
  <c r="CE925" s="1"/>
  <c r="AS925"/>
  <c r="CD925" s="1"/>
  <c r="AR925"/>
  <c r="CC925" s="1"/>
  <c r="AQ925"/>
  <c r="CB925" s="1"/>
  <c r="AP925"/>
  <c r="CA925" s="1"/>
  <c r="AO925"/>
  <c r="BZ925" s="1"/>
  <c r="AN925"/>
  <c r="BY925" s="1"/>
  <c r="AM925"/>
  <c r="BX925" s="1"/>
  <c r="AL925"/>
  <c r="AK925"/>
  <c r="AJ925"/>
  <c r="AI925"/>
  <c r="AH925"/>
  <c r="AG925"/>
  <c r="AF925"/>
  <c r="AE925"/>
  <c r="AD925"/>
  <c r="AC925"/>
  <c r="AB925"/>
  <c r="AA925"/>
  <c r="DE924"/>
  <c r="BJ924"/>
  <c r="BI924"/>
  <c r="BV924" s="1"/>
  <c r="BH924"/>
  <c r="BU924" s="1"/>
  <c r="BG924"/>
  <c r="BT924" s="1"/>
  <c r="BF924"/>
  <c r="BS924" s="1"/>
  <c r="BE924"/>
  <c r="BR924" s="1"/>
  <c r="BD924"/>
  <c r="BQ924" s="1"/>
  <c r="BC924"/>
  <c r="BP924" s="1"/>
  <c r="BB924"/>
  <c r="BO924" s="1"/>
  <c r="BA924"/>
  <c r="BN924" s="1"/>
  <c r="AZ924"/>
  <c r="BM924" s="1"/>
  <c r="AY924"/>
  <c r="BL924" s="1"/>
  <c r="AX924"/>
  <c r="BW924" s="1"/>
  <c r="AW924"/>
  <c r="CH924" s="1"/>
  <c r="AV924"/>
  <c r="CG924" s="1"/>
  <c r="AU924"/>
  <c r="CF924" s="1"/>
  <c r="AT924"/>
  <c r="CE924" s="1"/>
  <c r="AS924"/>
  <c r="CD924" s="1"/>
  <c r="AR924"/>
  <c r="CC924" s="1"/>
  <c r="AQ924"/>
  <c r="CB924" s="1"/>
  <c r="AP924"/>
  <c r="CA924" s="1"/>
  <c r="AO924"/>
  <c r="BZ924" s="1"/>
  <c r="AN924"/>
  <c r="BY924" s="1"/>
  <c r="AM924"/>
  <c r="BX924" s="1"/>
  <c r="AL924"/>
  <c r="AK924"/>
  <c r="AJ924"/>
  <c r="AI924"/>
  <c r="AH924"/>
  <c r="AG924"/>
  <c r="AF924"/>
  <c r="AE924"/>
  <c r="AD924"/>
  <c r="AC924"/>
  <c r="AB924"/>
  <c r="AA924"/>
  <c r="DE923"/>
  <c r="BJ923"/>
  <c r="BV923" s="1"/>
  <c r="BI923"/>
  <c r="BH923"/>
  <c r="BU923" s="1"/>
  <c r="BG923"/>
  <c r="BT923" s="1"/>
  <c r="BF923"/>
  <c r="BS923" s="1"/>
  <c r="BE923"/>
  <c r="BR923" s="1"/>
  <c r="BD923"/>
  <c r="BQ923" s="1"/>
  <c r="BC923"/>
  <c r="BP923" s="1"/>
  <c r="BB923"/>
  <c r="BO923" s="1"/>
  <c r="BA923"/>
  <c r="BN923" s="1"/>
  <c r="AZ923"/>
  <c r="BM923" s="1"/>
  <c r="AY923"/>
  <c r="BL923" s="1"/>
  <c r="AX923"/>
  <c r="BW923" s="1"/>
  <c r="AW923"/>
  <c r="CH923" s="1"/>
  <c r="AV923"/>
  <c r="CG923" s="1"/>
  <c r="AU923"/>
  <c r="CF923" s="1"/>
  <c r="AT923"/>
  <c r="CE923" s="1"/>
  <c r="AS923"/>
  <c r="CD923" s="1"/>
  <c r="AR923"/>
  <c r="CC923" s="1"/>
  <c r="AQ923"/>
  <c r="CB923" s="1"/>
  <c r="AP923"/>
  <c r="CA923" s="1"/>
  <c r="AO923"/>
  <c r="BZ923" s="1"/>
  <c r="AN923"/>
  <c r="BY923" s="1"/>
  <c r="AM923"/>
  <c r="BX923" s="1"/>
  <c r="AL923"/>
  <c r="AK923"/>
  <c r="AJ923"/>
  <c r="AI923"/>
  <c r="AH923"/>
  <c r="AG923"/>
  <c r="AF923"/>
  <c r="AE923"/>
  <c r="AD923"/>
  <c r="AC923"/>
  <c r="AB923"/>
  <c r="AA923"/>
  <c r="DE922"/>
  <c r="BJ922"/>
  <c r="BV922" s="1"/>
  <c r="BI922"/>
  <c r="BH922"/>
  <c r="BT922" s="1"/>
  <c r="BG922"/>
  <c r="BF922"/>
  <c r="BR922" s="1"/>
  <c r="BE922"/>
  <c r="BD922"/>
  <c r="BQ922" s="1"/>
  <c r="BC922"/>
  <c r="BP922" s="1"/>
  <c r="BB922"/>
  <c r="BO922" s="1"/>
  <c r="BA922"/>
  <c r="BN922" s="1"/>
  <c r="AZ922"/>
  <c r="BM922" s="1"/>
  <c r="AY922"/>
  <c r="BL922" s="1"/>
  <c r="AX922"/>
  <c r="BW922" s="1"/>
  <c r="AW922"/>
  <c r="CH922" s="1"/>
  <c r="AV922"/>
  <c r="CG922" s="1"/>
  <c r="AU922"/>
  <c r="CF922" s="1"/>
  <c r="AT922"/>
  <c r="CE922" s="1"/>
  <c r="AS922"/>
  <c r="CD922" s="1"/>
  <c r="AR922"/>
  <c r="CC922" s="1"/>
  <c r="AQ922"/>
  <c r="CB922" s="1"/>
  <c r="AP922"/>
  <c r="CA922" s="1"/>
  <c r="AO922"/>
  <c r="BZ922" s="1"/>
  <c r="AN922"/>
  <c r="BY922" s="1"/>
  <c r="AM922"/>
  <c r="BX922" s="1"/>
  <c r="AL922"/>
  <c r="AK922"/>
  <c r="AJ922"/>
  <c r="AI922"/>
  <c r="AH922"/>
  <c r="AG922"/>
  <c r="AF922"/>
  <c r="AE922"/>
  <c r="AD922"/>
  <c r="AC922"/>
  <c r="AB922"/>
  <c r="AA922"/>
  <c r="DE921"/>
  <c r="BJ921"/>
  <c r="BV921" s="1"/>
  <c r="BI921"/>
  <c r="BH921"/>
  <c r="BT921" s="1"/>
  <c r="BG921"/>
  <c r="BF921"/>
  <c r="BR921" s="1"/>
  <c r="BE921"/>
  <c r="BD921"/>
  <c r="BP921" s="1"/>
  <c r="BC921"/>
  <c r="BB921"/>
  <c r="BN921" s="1"/>
  <c r="BA921"/>
  <c r="AZ921"/>
  <c r="BM921" s="1"/>
  <c r="AY921"/>
  <c r="BL921" s="1"/>
  <c r="AX921"/>
  <c r="BW921" s="1"/>
  <c r="AW921"/>
  <c r="CH921" s="1"/>
  <c r="AV921"/>
  <c r="CG921" s="1"/>
  <c r="AU921"/>
  <c r="CF921" s="1"/>
  <c r="AT921"/>
  <c r="CE921" s="1"/>
  <c r="AS921"/>
  <c r="CD921" s="1"/>
  <c r="AR921"/>
  <c r="CC921" s="1"/>
  <c r="AQ921"/>
  <c r="CB921" s="1"/>
  <c r="AP921"/>
  <c r="CA921" s="1"/>
  <c r="AO921"/>
  <c r="BZ921" s="1"/>
  <c r="AN921"/>
  <c r="BY921" s="1"/>
  <c r="AM921"/>
  <c r="BX921" s="1"/>
  <c r="AL921"/>
  <c r="AK921"/>
  <c r="AJ921"/>
  <c r="AI921"/>
  <c r="AH921"/>
  <c r="AG921"/>
  <c r="AF921"/>
  <c r="AE921"/>
  <c r="AD921"/>
  <c r="AC921"/>
  <c r="AB921"/>
  <c r="AA921"/>
  <c r="DE920"/>
  <c r="BJ920"/>
  <c r="BV920" s="1"/>
  <c r="BI920"/>
  <c r="BH920"/>
  <c r="BT920" s="1"/>
  <c r="BG920"/>
  <c r="BF920"/>
  <c r="BR920" s="1"/>
  <c r="BE920"/>
  <c r="BD920"/>
  <c r="BP920" s="1"/>
  <c r="BC920"/>
  <c r="BB920"/>
  <c r="BN920" s="1"/>
  <c r="BA920"/>
  <c r="AZ920"/>
  <c r="BL920" s="1"/>
  <c r="AY920"/>
  <c r="BK920" s="1"/>
  <c r="AX920"/>
  <c r="BW920" s="1"/>
  <c r="AW920"/>
  <c r="CH920" s="1"/>
  <c r="AV920"/>
  <c r="CG920" s="1"/>
  <c r="AU920"/>
  <c r="CF920" s="1"/>
  <c r="AT920"/>
  <c r="CE920" s="1"/>
  <c r="AS920"/>
  <c r="CD920" s="1"/>
  <c r="AR920"/>
  <c r="CC920" s="1"/>
  <c r="AQ920"/>
  <c r="CB920" s="1"/>
  <c r="AP920"/>
  <c r="CA920" s="1"/>
  <c r="AO920"/>
  <c r="BZ920" s="1"/>
  <c r="AN920"/>
  <c r="BY920" s="1"/>
  <c r="AM920"/>
  <c r="BX920" s="1"/>
  <c r="AL920"/>
  <c r="AK920"/>
  <c r="AJ920"/>
  <c r="AI920"/>
  <c r="AH920"/>
  <c r="AG920"/>
  <c r="AF920"/>
  <c r="AE920"/>
  <c r="AD920"/>
  <c r="AC920"/>
  <c r="AB920"/>
  <c r="AA920"/>
  <c r="DE919"/>
  <c r="BJ919"/>
  <c r="BV919" s="1"/>
  <c r="BI919"/>
  <c r="BH919"/>
  <c r="BT919" s="1"/>
  <c r="BG919"/>
  <c r="BF919"/>
  <c r="BR919" s="1"/>
  <c r="BE919"/>
  <c r="BD919"/>
  <c r="BP919" s="1"/>
  <c r="BC919"/>
  <c r="BB919"/>
  <c r="BN919" s="1"/>
  <c r="BA919"/>
  <c r="AZ919"/>
  <c r="BL919" s="1"/>
  <c r="AY919"/>
  <c r="BK919" s="1"/>
  <c r="AX919"/>
  <c r="BW919" s="1"/>
  <c r="AW919"/>
  <c r="CH919" s="1"/>
  <c r="AV919"/>
  <c r="CG919" s="1"/>
  <c r="AU919"/>
  <c r="CF919" s="1"/>
  <c r="AT919"/>
  <c r="CE919" s="1"/>
  <c r="AS919"/>
  <c r="CD919" s="1"/>
  <c r="AR919"/>
  <c r="CC919" s="1"/>
  <c r="AQ919"/>
  <c r="CB919" s="1"/>
  <c r="AP919"/>
  <c r="CA919" s="1"/>
  <c r="AO919"/>
  <c r="BZ919" s="1"/>
  <c r="AN919"/>
  <c r="BY919" s="1"/>
  <c r="AM919"/>
  <c r="BX919" s="1"/>
  <c r="AL919"/>
  <c r="AK919"/>
  <c r="AJ919"/>
  <c r="AI919"/>
  <c r="AH919"/>
  <c r="AG919"/>
  <c r="AF919"/>
  <c r="AE919"/>
  <c r="AD919"/>
  <c r="AC919"/>
  <c r="AB919"/>
  <c r="AA919"/>
  <c r="DE918"/>
  <c r="BJ918"/>
  <c r="BV918" s="1"/>
  <c r="BI918"/>
  <c r="BH918"/>
  <c r="BT918" s="1"/>
  <c r="BG918"/>
  <c r="BF918"/>
  <c r="BR918" s="1"/>
  <c r="BE918"/>
  <c r="BD918"/>
  <c r="BP918" s="1"/>
  <c r="BC918"/>
  <c r="BB918"/>
  <c r="BN918" s="1"/>
  <c r="BA918"/>
  <c r="AZ918"/>
  <c r="BL918" s="1"/>
  <c r="AY918"/>
  <c r="BK918" s="1"/>
  <c r="AX918"/>
  <c r="CH918" s="1"/>
  <c r="AW918"/>
  <c r="AV918"/>
  <c r="CG918" s="1"/>
  <c r="AU918"/>
  <c r="CF918" s="1"/>
  <c r="AT918"/>
  <c r="CE918" s="1"/>
  <c r="AS918"/>
  <c r="CD918" s="1"/>
  <c r="AR918"/>
  <c r="CC918" s="1"/>
  <c r="AQ918"/>
  <c r="CB918" s="1"/>
  <c r="AP918"/>
  <c r="CA918" s="1"/>
  <c r="AO918"/>
  <c r="BZ918" s="1"/>
  <c r="AN918"/>
  <c r="BY918" s="1"/>
  <c r="AM918"/>
  <c r="BX918" s="1"/>
  <c r="AL918"/>
  <c r="AK918"/>
  <c r="AJ918"/>
  <c r="AI918"/>
  <c r="AH918"/>
  <c r="AG918"/>
  <c r="AF918"/>
  <c r="AE918"/>
  <c r="AD918"/>
  <c r="AC918"/>
  <c r="AB918"/>
  <c r="AA918"/>
  <c r="DE917"/>
  <c r="BJ917"/>
  <c r="BV917" s="1"/>
  <c r="BI917"/>
  <c r="BH917"/>
  <c r="BT917" s="1"/>
  <c r="BG917"/>
  <c r="BF917"/>
  <c r="BR917" s="1"/>
  <c r="BE917"/>
  <c r="BD917"/>
  <c r="BP917" s="1"/>
  <c r="BC917"/>
  <c r="BB917"/>
  <c r="BN917" s="1"/>
  <c r="BA917"/>
  <c r="AZ917"/>
  <c r="BL917" s="1"/>
  <c r="AY917"/>
  <c r="BK917" s="1"/>
  <c r="AX917"/>
  <c r="CH917" s="1"/>
  <c r="AW917"/>
  <c r="AV917"/>
  <c r="CF917" s="1"/>
  <c r="AU917"/>
  <c r="AT917"/>
  <c r="CE917" s="1"/>
  <c r="AS917"/>
  <c r="CD917" s="1"/>
  <c r="AR917"/>
  <c r="CC917" s="1"/>
  <c r="AQ917"/>
  <c r="CB917" s="1"/>
  <c r="AP917"/>
  <c r="CA917" s="1"/>
  <c r="AO917"/>
  <c r="BZ917" s="1"/>
  <c r="AN917"/>
  <c r="BY917" s="1"/>
  <c r="AM917"/>
  <c r="BX917" s="1"/>
  <c r="AL917"/>
  <c r="AK917"/>
  <c r="AJ917"/>
  <c r="AI917"/>
  <c r="AH917"/>
  <c r="AG917"/>
  <c r="AF917"/>
  <c r="AE917"/>
  <c r="AD917"/>
  <c r="AC917"/>
  <c r="AB917"/>
  <c r="AA917"/>
  <c r="DE916"/>
  <c r="BJ916"/>
  <c r="BV916" s="1"/>
  <c r="BI916"/>
  <c r="BH916"/>
  <c r="BT916" s="1"/>
  <c r="BG916"/>
  <c r="BF916"/>
  <c r="BR916" s="1"/>
  <c r="BE916"/>
  <c r="BD916"/>
  <c r="BP916" s="1"/>
  <c r="BC916"/>
  <c r="BB916"/>
  <c r="BN916" s="1"/>
  <c r="BA916"/>
  <c r="AZ916"/>
  <c r="BL916" s="1"/>
  <c r="AY916"/>
  <c r="BK916" s="1"/>
  <c r="AX916"/>
  <c r="CH916" s="1"/>
  <c r="AW916"/>
  <c r="AV916"/>
  <c r="CF916" s="1"/>
  <c r="AU916"/>
  <c r="AT916"/>
  <c r="CD916" s="1"/>
  <c r="AS916"/>
  <c r="AR916"/>
  <c r="CB916" s="1"/>
  <c r="AQ916"/>
  <c r="AP916"/>
  <c r="CA916" s="1"/>
  <c r="AO916"/>
  <c r="BZ916" s="1"/>
  <c r="AN916"/>
  <c r="BY916" s="1"/>
  <c r="AM916"/>
  <c r="BX916" s="1"/>
  <c r="AL916"/>
  <c r="AK916"/>
  <c r="AJ916"/>
  <c r="AI916"/>
  <c r="AH916"/>
  <c r="AG916"/>
  <c r="AF916"/>
  <c r="AE916"/>
  <c r="AD916"/>
  <c r="AC916"/>
  <c r="AB916"/>
  <c r="AA916"/>
  <c r="DE915"/>
  <c r="BJ915"/>
  <c r="BV915" s="1"/>
  <c r="BI915"/>
  <c r="BH915"/>
  <c r="BT915" s="1"/>
  <c r="BG915"/>
  <c r="BF915"/>
  <c r="BR915" s="1"/>
  <c r="BE915"/>
  <c r="BD915"/>
  <c r="BP915" s="1"/>
  <c r="BC915"/>
  <c r="BB915"/>
  <c r="BN915" s="1"/>
  <c r="BA915"/>
  <c r="AZ915"/>
  <c r="BL915" s="1"/>
  <c r="AY915"/>
  <c r="BK915" s="1"/>
  <c r="AX915"/>
  <c r="CH915" s="1"/>
  <c r="AW915"/>
  <c r="AV915"/>
  <c r="CF915" s="1"/>
  <c r="AU915"/>
  <c r="AT915"/>
  <c r="CD915" s="1"/>
  <c r="AS915"/>
  <c r="AR915"/>
  <c r="CB915" s="1"/>
  <c r="AQ915"/>
  <c r="AP915"/>
  <c r="BZ915" s="1"/>
  <c r="AO915"/>
  <c r="AN915"/>
  <c r="BY915" s="1"/>
  <c r="AM915"/>
  <c r="BX915" s="1"/>
  <c r="AL915"/>
  <c r="AK915"/>
  <c r="AJ915"/>
  <c r="AI915"/>
  <c r="AH915"/>
  <c r="AG915"/>
  <c r="AF915"/>
  <c r="AE915"/>
  <c r="AD915"/>
  <c r="AC915"/>
  <c r="AB915"/>
  <c r="AA915"/>
  <c r="DE914"/>
  <c r="BJ914"/>
  <c r="BV914" s="1"/>
  <c r="BI914"/>
  <c r="BH914"/>
  <c r="BT914" s="1"/>
  <c r="BG914"/>
  <c r="BF914"/>
  <c r="BR914" s="1"/>
  <c r="BE914"/>
  <c r="BD914"/>
  <c r="BP914" s="1"/>
  <c r="BC914"/>
  <c r="BB914"/>
  <c r="BN914" s="1"/>
  <c r="BA914"/>
  <c r="AZ914"/>
  <c r="BL914" s="1"/>
  <c r="AY914"/>
  <c r="BK914" s="1"/>
  <c r="AX914"/>
  <c r="CH914" s="1"/>
  <c r="AW914"/>
  <c r="AV914"/>
  <c r="CF914" s="1"/>
  <c r="AU914"/>
  <c r="AT914"/>
  <c r="CD914" s="1"/>
  <c r="AS914"/>
  <c r="AR914"/>
  <c r="CB914" s="1"/>
  <c r="AQ914"/>
  <c r="AP914"/>
  <c r="BZ914" s="1"/>
  <c r="AO914"/>
  <c r="AN914"/>
  <c r="BX914" s="1"/>
  <c r="AM914"/>
  <c r="AL914"/>
  <c r="AK914"/>
  <c r="AJ914"/>
  <c r="AI914"/>
  <c r="AH914"/>
  <c r="AG914"/>
  <c r="AF914"/>
  <c r="AE914"/>
  <c r="AD914"/>
  <c r="AC914"/>
  <c r="AB914"/>
  <c r="AA914"/>
  <c r="DE913"/>
  <c r="BJ913"/>
  <c r="BV913" s="1"/>
  <c r="BI913"/>
  <c r="BH913"/>
  <c r="BT913" s="1"/>
  <c r="BG913"/>
  <c r="BF913"/>
  <c r="BR913" s="1"/>
  <c r="BE913"/>
  <c r="BD913"/>
  <c r="BP913" s="1"/>
  <c r="BC913"/>
  <c r="BB913"/>
  <c r="BN913" s="1"/>
  <c r="BA913"/>
  <c r="AZ913"/>
  <c r="BL913" s="1"/>
  <c r="AY913"/>
  <c r="BK913" s="1"/>
  <c r="AX913"/>
  <c r="CH913" s="1"/>
  <c r="AW913"/>
  <c r="AV913"/>
  <c r="CF913" s="1"/>
  <c r="AU913"/>
  <c r="AT913"/>
  <c r="CD913" s="1"/>
  <c r="AS913"/>
  <c r="AR913"/>
  <c r="CB913" s="1"/>
  <c r="AQ913"/>
  <c r="AP913"/>
  <c r="BZ913" s="1"/>
  <c r="AO913"/>
  <c r="AN913"/>
  <c r="BX913" s="1"/>
  <c r="AM913"/>
  <c r="AL913"/>
  <c r="AK913"/>
  <c r="AJ913"/>
  <c r="AI913"/>
  <c r="AH913"/>
  <c r="AG913"/>
  <c r="AF913"/>
  <c r="AE913"/>
  <c r="AD913"/>
  <c r="AC913"/>
  <c r="AB913"/>
  <c r="AA913"/>
  <c r="DE912"/>
  <c r="BJ912"/>
  <c r="BV912" s="1"/>
  <c r="BI912"/>
  <c r="BH912"/>
  <c r="BT912" s="1"/>
  <c r="BG912"/>
  <c r="BF912"/>
  <c r="BR912" s="1"/>
  <c r="BE912"/>
  <c r="BD912"/>
  <c r="BP912" s="1"/>
  <c r="BC912"/>
  <c r="BB912"/>
  <c r="BN912" s="1"/>
  <c r="BA912"/>
  <c r="AZ912"/>
  <c r="BL912" s="1"/>
  <c r="AY912"/>
  <c r="BK912" s="1"/>
  <c r="AX912"/>
  <c r="CH912" s="1"/>
  <c r="AW912"/>
  <c r="AV912"/>
  <c r="CF912" s="1"/>
  <c r="AU912"/>
  <c r="AT912"/>
  <c r="CD912" s="1"/>
  <c r="AS912"/>
  <c r="AR912"/>
  <c r="CB912" s="1"/>
  <c r="AQ912"/>
  <c r="AP912"/>
  <c r="BZ912" s="1"/>
  <c r="AO912"/>
  <c r="AN912"/>
  <c r="BX912" s="1"/>
  <c r="AM912"/>
  <c r="AL912"/>
  <c r="AK912"/>
  <c r="AJ912"/>
  <c r="AI912"/>
  <c r="AH912"/>
  <c r="AG912"/>
  <c r="AF912"/>
  <c r="AE912"/>
  <c r="AD912"/>
  <c r="AC912"/>
  <c r="AB912"/>
  <c r="AA912"/>
  <c r="DE911"/>
  <c r="BJ911"/>
  <c r="BV911" s="1"/>
  <c r="BI911"/>
  <c r="BH911"/>
  <c r="BT911" s="1"/>
  <c r="BG911"/>
  <c r="BF911"/>
  <c r="BR911" s="1"/>
  <c r="BE911"/>
  <c r="BD911"/>
  <c r="BP911" s="1"/>
  <c r="BC911"/>
  <c r="BB911"/>
  <c r="BN911" s="1"/>
  <c r="BA911"/>
  <c r="AZ911"/>
  <c r="BL911" s="1"/>
  <c r="AY911"/>
  <c r="BK911" s="1"/>
  <c r="AX911"/>
  <c r="CH911" s="1"/>
  <c r="AW911"/>
  <c r="AV911"/>
  <c r="CF911" s="1"/>
  <c r="AU911"/>
  <c r="AT911"/>
  <c r="CD911" s="1"/>
  <c r="AS911"/>
  <c r="AR911"/>
  <c r="CB911" s="1"/>
  <c r="AQ911"/>
  <c r="AP911"/>
  <c r="BZ911" s="1"/>
  <c r="AO911"/>
  <c r="AN911"/>
  <c r="BX911" s="1"/>
  <c r="AM911"/>
  <c r="AL911"/>
  <c r="AK911"/>
  <c r="AJ911"/>
  <c r="AI911"/>
  <c r="AH911"/>
  <c r="AG911"/>
  <c r="AF911"/>
  <c r="AE911"/>
  <c r="AD911"/>
  <c r="AC911"/>
  <c r="AB911"/>
  <c r="AA911"/>
  <c r="DE910"/>
  <c r="BJ910"/>
  <c r="BV910" s="1"/>
  <c r="BI910"/>
  <c r="BH910"/>
  <c r="BT910" s="1"/>
  <c r="BG910"/>
  <c r="BF910"/>
  <c r="BR910" s="1"/>
  <c r="BE910"/>
  <c r="BD910"/>
  <c r="BP910" s="1"/>
  <c r="BC910"/>
  <c r="BB910"/>
  <c r="BN910" s="1"/>
  <c r="BA910"/>
  <c r="AZ910"/>
  <c r="BL910" s="1"/>
  <c r="AY910"/>
  <c r="BK910" s="1"/>
  <c r="AX910"/>
  <c r="CH910" s="1"/>
  <c r="AW910"/>
  <c r="AV910"/>
  <c r="CF910" s="1"/>
  <c r="AU910"/>
  <c r="AT910"/>
  <c r="CD910" s="1"/>
  <c r="AS910"/>
  <c r="AR910"/>
  <c r="CB910" s="1"/>
  <c r="AQ910"/>
  <c r="AP910"/>
  <c r="BZ910" s="1"/>
  <c r="AO910"/>
  <c r="AN910"/>
  <c r="BX910" s="1"/>
  <c r="AM910"/>
  <c r="AL910"/>
  <c r="AK910"/>
  <c r="AJ910"/>
  <c r="AI910"/>
  <c r="AH910"/>
  <c r="AG910"/>
  <c r="AF910"/>
  <c r="AE910"/>
  <c r="AD910"/>
  <c r="AC910"/>
  <c r="AB910"/>
  <c r="AA910"/>
  <c r="DE909"/>
  <c r="BJ909"/>
  <c r="BV909" s="1"/>
  <c r="BI909"/>
  <c r="BH909"/>
  <c r="BT909" s="1"/>
  <c r="BG909"/>
  <c r="BF909"/>
  <c r="BR909" s="1"/>
  <c r="BE909"/>
  <c r="BD909"/>
  <c r="BP909" s="1"/>
  <c r="BC909"/>
  <c r="BB909"/>
  <c r="BN909" s="1"/>
  <c r="BA909"/>
  <c r="AZ909"/>
  <c r="BL909" s="1"/>
  <c r="AY909"/>
  <c r="BK909" s="1"/>
  <c r="AX909"/>
  <c r="CH909" s="1"/>
  <c r="AW909"/>
  <c r="AV909"/>
  <c r="CF909" s="1"/>
  <c r="AU909"/>
  <c r="AT909"/>
  <c r="CD909" s="1"/>
  <c r="AS909"/>
  <c r="AR909"/>
  <c r="CB909" s="1"/>
  <c r="AQ909"/>
  <c r="AP909"/>
  <c r="BZ909" s="1"/>
  <c r="AO909"/>
  <c r="AN909"/>
  <c r="BX909" s="1"/>
  <c r="AM909"/>
  <c r="AL909"/>
  <c r="AK909"/>
  <c r="AJ909"/>
  <c r="AI909"/>
  <c r="AH909"/>
  <c r="AG909"/>
  <c r="AF909"/>
  <c r="AE909"/>
  <c r="AD909"/>
  <c r="AC909"/>
  <c r="AB909"/>
  <c r="AA909"/>
  <c r="DE908"/>
  <c r="BJ908"/>
  <c r="BV908" s="1"/>
  <c r="BI908"/>
  <c r="BH908"/>
  <c r="BT908" s="1"/>
  <c r="BG908"/>
  <c r="BF908"/>
  <c r="BR908" s="1"/>
  <c r="BE908"/>
  <c r="BD908"/>
  <c r="BP908" s="1"/>
  <c r="BC908"/>
  <c r="BB908"/>
  <c r="BN908" s="1"/>
  <c r="BA908"/>
  <c r="AZ908"/>
  <c r="BL908" s="1"/>
  <c r="AY908"/>
  <c r="BK908" s="1"/>
  <c r="AX908"/>
  <c r="CH908" s="1"/>
  <c r="AW908"/>
  <c r="AV908"/>
  <c r="CF908" s="1"/>
  <c r="AU908"/>
  <c r="AT908"/>
  <c r="CD908" s="1"/>
  <c r="AS908"/>
  <c r="AR908"/>
  <c r="CB908" s="1"/>
  <c r="AQ908"/>
  <c r="AP908"/>
  <c r="BZ908" s="1"/>
  <c r="AO908"/>
  <c r="AN908"/>
  <c r="BX908" s="1"/>
  <c r="AM908"/>
  <c r="AL908"/>
  <c r="AK908"/>
  <c r="AJ908"/>
  <c r="AI908"/>
  <c r="AH908"/>
  <c r="AG908"/>
  <c r="AF908"/>
  <c r="AE908"/>
  <c r="AD908"/>
  <c r="AC908"/>
  <c r="AB908"/>
  <c r="AA908"/>
  <c r="DE907"/>
  <c r="BJ907"/>
  <c r="BV907" s="1"/>
  <c r="BI907"/>
  <c r="BH907"/>
  <c r="BT907" s="1"/>
  <c r="BG907"/>
  <c r="BF907"/>
  <c r="BR907" s="1"/>
  <c r="BE907"/>
  <c r="BD907"/>
  <c r="BP907" s="1"/>
  <c r="BC907"/>
  <c r="BB907"/>
  <c r="BN907" s="1"/>
  <c r="BA907"/>
  <c r="AZ907"/>
  <c r="BL907" s="1"/>
  <c r="AY907"/>
  <c r="BK907" s="1"/>
  <c r="AX907"/>
  <c r="CH907" s="1"/>
  <c r="AW907"/>
  <c r="AV907"/>
  <c r="CF907" s="1"/>
  <c r="AU907"/>
  <c r="AT907"/>
  <c r="CD907" s="1"/>
  <c r="AS907"/>
  <c r="AR907"/>
  <c r="CB907" s="1"/>
  <c r="AQ907"/>
  <c r="AP907"/>
  <c r="BZ907" s="1"/>
  <c r="AO907"/>
  <c r="AN907"/>
  <c r="BX907" s="1"/>
  <c r="AM907"/>
  <c r="AL907"/>
  <c r="AK907"/>
  <c r="AJ907"/>
  <c r="AI907"/>
  <c r="AH907"/>
  <c r="AG907"/>
  <c r="AF907"/>
  <c r="AE907"/>
  <c r="AD907"/>
  <c r="AC907"/>
  <c r="AB907"/>
  <c r="AA907"/>
  <c r="DE906"/>
  <c r="BJ906"/>
  <c r="BV906" s="1"/>
  <c r="BI906"/>
  <c r="BH906"/>
  <c r="BT906" s="1"/>
  <c r="BG906"/>
  <c r="BF906"/>
  <c r="BR906" s="1"/>
  <c r="BE906"/>
  <c r="BD906"/>
  <c r="BP906" s="1"/>
  <c r="BC906"/>
  <c r="BB906"/>
  <c r="BN906" s="1"/>
  <c r="BA906"/>
  <c r="AZ906"/>
  <c r="BL906" s="1"/>
  <c r="AY906"/>
  <c r="BK906" s="1"/>
  <c r="AX906"/>
  <c r="CH906" s="1"/>
  <c r="AW906"/>
  <c r="AV906"/>
  <c r="CF906" s="1"/>
  <c r="AU906"/>
  <c r="AT906"/>
  <c r="CD906" s="1"/>
  <c r="AS906"/>
  <c r="AR906"/>
  <c r="CB906" s="1"/>
  <c r="AQ906"/>
  <c r="AP906"/>
  <c r="BZ906" s="1"/>
  <c r="AO906"/>
  <c r="AN906"/>
  <c r="BX906" s="1"/>
  <c r="AM906"/>
  <c r="AL906"/>
  <c r="AK906"/>
  <c r="AJ906"/>
  <c r="AI906"/>
  <c r="AH906"/>
  <c r="AG906"/>
  <c r="AF906"/>
  <c r="AE906"/>
  <c r="AD906"/>
  <c r="AC906"/>
  <c r="AB906"/>
  <c r="AA906"/>
  <c r="DE905"/>
  <c r="BJ905"/>
  <c r="BV905" s="1"/>
  <c r="BI905"/>
  <c r="BH905"/>
  <c r="BT905" s="1"/>
  <c r="BG905"/>
  <c r="BF905"/>
  <c r="BR905" s="1"/>
  <c r="BE905"/>
  <c r="BD905"/>
  <c r="BP905" s="1"/>
  <c r="BC905"/>
  <c r="BB905"/>
  <c r="BN905" s="1"/>
  <c r="BA905"/>
  <c r="AZ905"/>
  <c r="BL905" s="1"/>
  <c r="AY905"/>
  <c r="BK905" s="1"/>
  <c r="AX905"/>
  <c r="CH905" s="1"/>
  <c r="AW905"/>
  <c r="AV905"/>
  <c r="CF905" s="1"/>
  <c r="AU905"/>
  <c r="AT905"/>
  <c r="CD905" s="1"/>
  <c r="AS905"/>
  <c r="AR905"/>
  <c r="CB905" s="1"/>
  <c r="AQ905"/>
  <c r="AP905"/>
  <c r="BZ905" s="1"/>
  <c r="AO905"/>
  <c r="AN905"/>
  <c r="BX905" s="1"/>
  <c r="AM905"/>
  <c r="AL905"/>
  <c r="AK905"/>
  <c r="AJ905"/>
  <c r="AI905"/>
  <c r="AH905"/>
  <c r="AG905"/>
  <c r="AF905"/>
  <c r="AE905"/>
  <c r="AD905"/>
  <c r="AC905"/>
  <c r="AB905"/>
  <c r="AA905"/>
  <c r="DE904"/>
  <c r="BJ904"/>
  <c r="BV904" s="1"/>
  <c r="BI904"/>
  <c r="BH904"/>
  <c r="BT904" s="1"/>
  <c r="BG904"/>
  <c r="BF904"/>
  <c r="BR904" s="1"/>
  <c r="BE904"/>
  <c r="BD904"/>
  <c r="BP904" s="1"/>
  <c r="BC904"/>
  <c r="BB904"/>
  <c r="BN904" s="1"/>
  <c r="BA904"/>
  <c r="AZ904"/>
  <c r="BL904" s="1"/>
  <c r="AY904"/>
  <c r="BK904" s="1"/>
  <c r="AX904"/>
  <c r="CH904" s="1"/>
  <c r="AW904"/>
  <c r="AV904"/>
  <c r="CF904" s="1"/>
  <c r="AU904"/>
  <c r="AT904"/>
  <c r="CD904" s="1"/>
  <c r="AS904"/>
  <c r="AR904"/>
  <c r="CB904" s="1"/>
  <c r="AQ904"/>
  <c r="AP904"/>
  <c r="BZ904" s="1"/>
  <c r="AO904"/>
  <c r="AN904"/>
  <c r="BX904" s="1"/>
  <c r="AM904"/>
  <c r="AL904"/>
  <c r="AK904"/>
  <c r="AJ904"/>
  <c r="AI904"/>
  <c r="AH904"/>
  <c r="AG904"/>
  <c r="AF904"/>
  <c r="AE904"/>
  <c r="AD904"/>
  <c r="AC904"/>
  <c r="AB904"/>
  <c r="AA904"/>
  <c r="DE903"/>
  <c r="BJ903"/>
  <c r="BV903" s="1"/>
  <c r="BI903"/>
  <c r="BH903"/>
  <c r="BT903" s="1"/>
  <c r="BG903"/>
  <c r="BF903"/>
  <c r="BR903" s="1"/>
  <c r="BE903"/>
  <c r="BD903"/>
  <c r="BP903" s="1"/>
  <c r="BC903"/>
  <c r="BB903"/>
  <c r="BN903" s="1"/>
  <c r="BA903"/>
  <c r="AZ903"/>
  <c r="BL903" s="1"/>
  <c r="AY903"/>
  <c r="BK903" s="1"/>
  <c r="AX903"/>
  <c r="CH903" s="1"/>
  <c r="AW903"/>
  <c r="AV903"/>
  <c r="CF903" s="1"/>
  <c r="AU903"/>
  <c r="AT903"/>
  <c r="CD903" s="1"/>
  <c r="AS903"/>
  <c r="AR903"/>
  <c r="CB903" s="1"/>
  <c r="AQ903"/>
  <c r="AP903"/>
  <c r="BZ903" s="1"/>
  <c r="AO903"/>
  <c r="AN903"/>
  <c r="BX903" s="1"/>
  <c r="AM903"/>
  <c r="AL903"/>
  <c r="AK903"/>
  <c r="AJ903"/>
  <c r="AI903"/>
  <c r="AH903"/>
  <c r="AG903"/>
  <c r="AF903"/>
  <c r="AE903"/>
  <c r="AD903"/>
  <c r="AC903"/>
  <c r="AB903"/>
  <c r="AA903"/>
  <c r="DE902"/>
  <c r="BJ902"/>
  <c r="BV902" s="1"/>
  <c r="BI902"/>
  <c r="BH902"/>
  <c r="BT902" s="1"/>
  <c r="BG902"/>
  <c r="BF902"/>
  <c r="BR902" s="1"/>
  <c r="BE902"/>
  <c r="BD902"/>
  <c r="BP902" s="1"/>
  <c r="BC902"/>
  <c r="BB902"/>
  <c r="BN902" s="1"/>
  <c r="BA902"/>
  <c r="AZ902"/>
  <c r="BL902" s="1"/>
  <c r="AY902"/>
  <c r="BK902" s="1"/>
  <c r="AX902"/>
  <c r="CH902" s="1"/>
  <c r="AW902"/>
  <c r="AV902"/>
  <c r="CF902" s="1"/>
  <c r="AU902"/>
  <c r="AT902"/>
  <c r="CD902" s="1"/>
  <c r="AS902"/>
  <c r="AR902"/>
  <c r="CB902" s="1"/>
  <c r="AQ902"/>
  <c r="AP902"/>
  <c r="BZ902" s="1"/>
  <c r="AO902"/>
  <c r="AN902"/>
  <c r="BX902" s="1"/>
  <c r="AM902"/>
  <c r="AL902"/>
  <c r="AK902"/>
  <c r="AJ902"/>
  <c r="AI902"/>
  <c r="AH902"/>
  <c r="AG902"/>
  <c r="AF902"/>
  <c r="AE902"/>
  <c r="AD902"/>
  <c r="AC902"/>
  <c r="AB902"/>
  <c r="AA902"/>
  <c r="DE901"/>
  <c r="BJ901"/>
  <c r="BV901" s="1"/>
  <c r="BI901"/>
  <c r="BH901"/>
  <c r="BT901" s="1"/>
  <c r="BG901"/>
  <c r="BF901"/>
  <c r="BR901" s="1"/>
  <c r="BE901"/>
  <c r="BD901"/>
  <c r="BP901" s="1"/>
  <c r="BC901"/>
  <c r="BB901"/>
  <c r="BN901" s="1"/>
  <c r="BA901"/>
  <c r="AZ901"/>
  <c r="BL901" s="1"/>
  <c r="AY901"/>
  <c r="BK901" s="1"/>
  <c r="AX901"/>
  <c r="CH901" s="1"/>
  <c r="AW901"/>
  <c r="AV901"/>
  <c r="CF901" s="1"/>
  <c r="AU901"/>
  <c r="AT901"/>
  <c r="CD901" s="1"/>
  <c r="AS901"/>
  <c r="AR901"/>
  <c r="CB901" s="1"/>
  <c r="AQ901"/>
  <c r="AP901"/>
  <c r="BZ901" s="1"/>
  <c r="AO901"/>
  <c r="AN901"/>
  <c r="BX901" s="1"/>
  <c r="AM901"/>
  <c r="AL901"/>
  <c r="AK901"/>
  <c r="AJ901"/>
  <c r="AI901"/>
  <c r="AH901"/>
  <c r="AG901"/>
  <c r="AF901"/>
  <c r="AE901"/>
  <c r="AD901"/>
  <c r="AC901"/>
  <c r="AB901"/>
  <c r="AA901"/>
  <c r="DE900"/>
  <c r="BJ900"/>
  <c r="BV900" s="1"/>
  <c r="BI900"/>
  <c r="BH900"/>
  <c r="BT900" s="1"/>
  <c r="BG900"/>
  <c r="BF900"/>
  <c r="BR900" s="1"/>
  <c r="BE900"/>
  <c r="BD900"/>
  <c r="BP900" s="1"/>
  <c r="BC900"/>
  <c r="BB900"/>
  <c r="BN900" s="1"/>
  <c r="BA900"/>
  <c r="AZ900"/>
  <c r="BL900" s="1"/>
  <c r="AY900"/>
  <c r="BK900" s="1"/>
  <c r="AX900"/>
  <c r="CH900" s="1"/>
  <c r="AW900"/>
  <c r="AV900"/>
  <c r="CF900" s="1"/>
  <c r="AU900"/>
  <c r="AT900"/>
  <c r="CD900" s="1"/>
  <c r="AS900"/>
  <c r="AR900"/>
  <c r="CB900" s="1"/>
  <c r="AQ900"/>
  <c r="AP900"/>
  <c r="BZ900" s="1"/>
  <c r="AO900"/>
  <c r="AN900"/>
  <c r="BX900" s="1"/>
  <c r="AM900"/>
  <c r="AL900"/>
  <c r="AK900"/>
  <c r="AJ900"/>
  <c r="AI900"/>
  <c r="AH900"/>
  <c r="AG900"/>
  <c r="AF900"/>
  <c r="AE900"/>
  <c r="AD900"/>
  <c r="AC900"/>
  <c r="AB900"/>
  <c r="AA900"/>
  <c r="DE899"/>
  <c r="BJ899"/>
  <c r="BV899" s="1"/>
  <c r="BI899"/>
  <c r="BH899"/>
  <c r="BT899" s="1"/>
  <c r="BG899"/>
  <c r="BF899"/>
  <c r="BR899" s="1"/>
  <c r="BE899"/>
  <c r="BD899"/>
  <c r="BP899" s="1"/>
  <c r="BC899"/>
  <c r="BB899"/>
  <c r="BN899" s="1"/>
  <c r="BA899"/>
  <c r="AZ899"/>
  <c r="BL899" s="1"/>
  <c r="AY899"/>
  <c r="BK899" s="1"/>
  <c r="AX899"/>
  <c r="CH899" s="1"/>
  <c r="AW899"/>
  <c r="AV899"/>
  <c r="CF899" s="1"/>
  <c r="AU899"/>
  <c r="AT899"/>
  <c r="CD899" s="1"/>
  <c r="AS899"/>
  <c r="AR899"/>
  <c r="CB899" s="1"/>
  <c r="AQ899"/>
  <c r="AP899"/>
  <c r="BZ899" s="1"/>
  <c r="AO899"/>
  <c r="AN899"/>
  <c r="BX899" s="1"/>
  <c r="AM899"/>
  <c r="AL899"/>
  <c r="AK899"/>
  <c r="AJ899"/>
  <c r="AI899"/>
  <c r="AH899"/>
  <c r="AG899"/>
  <c r="AF899"/>
  <c r="AE899"/>
  <c r="AD899"/>
  <c r="AC899"/>
  <c r="AB899"/>
  <c r="AA899"/>
  <c r="DE898"/>
  <c r="BJ898"/>
  <c r="BV898" s="1"/>
  <c r="BI898"/>
  <c r="BH898"/>
  <c r="BT898" s="1"/>
  <c r="BG898"/>
  <c r="BF898"/>
  <c r="BR898" s="1"/>
  <c r="BE898"/>
  <c r="BD898"/>
  <c r="BP898" s="1"/>
  <c r="BC898"/>
  <c r="BB898"/>
  <c r="BN898" s="1"/>
  <c r="BA898"/>
  <c r="AZ898"/>
  <c r="BL898" s="1"/>
  <c r="AY898"/>
  <c r="BK898" s="1"/>
  <c r="AX898"/>
  <c r="CH898" s="1"/>
  <c r="AW898"/>
  <c r="AV898"/>
  <c r="CF898" s="1"/>
  <c r="AU898"/>
  <c r="AT898"/>
  <c r="CD898" s="1"/>
  <c r="AS898"/>
  <c r="AR898"/>
  <c r="CB898" s="1"/>
  <c r="AQ898"/>
  <c r="AP898"/>
  <c r="BZ898" s="1"/>
  <c r="AO898"/>
  <c r="AN898"/>
  <c r="BX898" s="1"/>
  <c r="AM898"/>
  <c r="AL898"/>
  <c r="AK898"/>
  <c r="AJ898"/>
  <c r="AI898"/>
  <c r="AH898"/>
  <c r="AG898"/>
  <c r="AF898"/>
  <c r="AE898"/>
  <c r="AD898"/>
  <c r="AC898"/>
  <c r="AB898"/>
  <c r="AA898"/>
  <c r="DE897"/>
  <c r="BJ897"/>
  <c r="BI897"/>
  <c r="BH897"/>
  <c r="BU897" s="1"/>
  <c r="BG897"/>
  <c r="BF897"/>
  <c r="BS897" s="1"/>
  <c r="BE897"/>
  <c r="BD897"/>
  <c r="BQ897" s="1"/>
  <c r="BC897"/>
  <c r="BB897"/>
  <c r="BO897" s="1"/>
  <c r="BA897"/>
  <c r="AZ897"/>
  <c r="BM897" s="1"/>
  <c r="AY897"/>
  <c r="AX897"/>
  <c r="AW897"/>
  <c r="AV897"/>
  <c r="AU897"/>
  <c r="AT897"/>
  <c r="AS897"/>
  <c r="AR897"/>
  <c r="AQ897"/>
  <c r="AP897"/>
  <c r="AO897"/>
  <c r="AN897"/>
  <c r="AM897"/>
  <c r="AL897"/>
  <c r="AK897"/>
  <c r="AJ897"/>
  <c r="AI897"/>
  <c r="AH897"/>
  <c r="AG897"/>
  <c r="AF897"/>
  <c r="AE897"/>
  <c r="AD897"/>
  <c r="AC897"/>
  <c r="AB897"/>
  <c r="AA897"/>
  <c r="DE896"/>
  <c r="CF896"/>
  <c r="BT896"/>
  <c r="BP896"/>
  <c r="BL896"/>
  <c r="BJ896"/>
  <c r="BV896" s="1"/>
  <c r="BI896"/>
  <c r="BH896"/>
  <c r="BU896" s="1"/>
  <c r="BG896"/>
  <c r="BF896"/>
  <c r="BS896" s="1"/>
  <c r="BE896"/>
  <c r="BD896"/>
  <c r="BQ896" s="1"/>
  <c r="BC896"/>
  <c r="BB896"/>
  <c r="BA896"/>
  <c r="AZ896"/>
  <c r="AY896"/>
  <c r="AX896"/>
  <c r="AW896"/>
  <c r="AV896"/>
  <c r="CG896" s="1"/>
  <c r="AU896"/>
  <c r="AT896"/>
  <c r="CE896" s="1"/>
  <c r="AS896"/>
  <c r="AR896"/>
  <c r="CC896" s="1"/>
  <c r="AQ896"/>
  <c r="CB896" s="1"/>
  <c r="AP896"/>
  <c r="AO896"/>
  <c r="BZ896" s="1"/>
  <c r="AN896"/>
  <c r="AM896"/>
  <c r="BX896" s="1"/>
  <c r="AL896"/>
  <c r="AK896"/>
  <c r="AJ896"/>
  <c r="AI896"/>
  <c r="AH896"/>
  <c r="AG896"/>
  <c r="AF896"/>
  <c r="AE896"/>
  <c r="AD896"/>
  <c r="AC896"/>
  <c r="AB896"/>
  <c r="AA896"/>
  <c r="DE895"/>
  <c r="BJ895"/>
  <c r="BI895"/>
  <c r="BU895" s="1"/>
  <c r="BH895"/>
  <c r="BG895"/>
  <c r="BS895" s="1"/>
  <c r="BF895"/>
  <c r="BE895"/>
  <c r="BQ895" s="1"/>
  <c r="BD895"/>
  <c r="BC895"/>
  <c r="BO895" s="1"/>
  <c r="BB895"/>
  <c r="BA895"/>
  <c r="BM895" s="1"/>
  <c r="AZ895"/>
  <c r="AY895"/>
  <c r="BK895" s="1"/>
  <c r="AX895"/>
  <c r="AW895"/>
  <c r="CG895" s="1"/>
  <c r="AV895"/>
  <c r="AU895"/>
  <c r="CE895" s="1"/>
  <c r="AT895"/>
  <c r="AS895"/>
  <c r="CC895" s="1"/>
  <c r="AR895"/>
  <c r="AQ895"/>
  <c r="CA895" s="1"/>
  <c r="AP895"/>
  <c r="AO895"/>
  <c r="BY895" s="1"/>
  <c r="AN895"/>
  <c r="AM895"/>
  <c r="BW895" s="1"/>
  <c r="AL895"/>
  <c r="AK895"/>
  <c r="AJ895"/>
  <c r="AI895"/>
  <c r="AH895"/>
  <c r="AG895"/>
  <c r="AF895"/>
  <c r="AE895"/>
  <c r="AD895"/>
  <c r="AC895"/>
  <c r="AB895"/>
  <c r="AA895"/>
  <c r="DE894"/>
  <c r="BJ894"/>
  <c r="BI894"/>
  <c r="BU894" s="1"/>
  <c r="BH894"/>
  <c r="BG894"/>
  <c r="BS894" s="1"/>
  <c r="BF894"/>
  <c r="BE894"/>
  <c r="BQ894" s="1"/>
  <c r="BD894"/>
  <c r="BC894"/>
  <c r="BO894" s="1"/>
  <c r="BB894"/>
  <c r="BA894"/>
  <c r="BM894" s="1"/>
  <c r="AZ894"/>
  <c r="AY894"/>
  <c r="BK894" s="1"/>
  <c r="AX894"/>
  <c r="AW894"/>
  <c r="CG894" s="1"/>
  <c r="AV894"/>
  <c r="AU894"/>
  <c r="CE894" s="1"/>
  <c r="AT894"/>
  <c r="AS894"/>
  <c r="CC894" s="1"/>
  <c r="AR894"/>
  <c r="AQ894"/>
  <c r="CA894" s="1"/>
  <c r="AP894"/>
  <c r="AO894"/>
  <c r="BY894" s="1"/>
  <c r="AN894"/>
  <c r="AM894"/>
  <c r="BW894" s="1"/>
  <c r="AL894"/>
  <c r="AK894"/>
  <c r="AJ894"/>
  <c r="AI894"/>
  <c r="AH894"/>
  <c r="AG894"/>
  <c r="AF894"/>
  <c r="AE894"/>
  <c r="AD894"/>
  <c r="AC894"/>
  <c r="AB894"/>
  <c r="AA894"/>
  <c r="DE893"/>
  <c r="BJ893"/>
  <c r="BI893"/>
  <c r="BU893" s="1"/>
  <c r="BH893"/>
  <c r="BG893"/>
  <c r="BS893" s="1"/>
  <c r="BF893"/>
  <c r="BE893"/>
  <c r="BQ893" s="1"/>
  <c r="BD893"/>
  <c r="BC893"/>
  <c r="BO893" s="1"/>
  <c r="BB893"/>
  <c r="BA893"/>
  <c r="BM893" s="1"/>
  <c r="AZ893"/>
  <c r="AY893"/>
  <c r="BK893" s="1"/>
  <c r="AX893"/>
  <c r="AW893"/>
  <c r="CG893" s="1"/>
  <c r="AV893"/>
  <c r="AU893"/>
  <c r="CE893" s="1"/>
  <c r="AT893"/>
  <c r="AS893"/>
  <c r="CC893" s="1"/>
  <c r="AR893"/>
  <c r="AQ893"/>
  <c r="CA893" s="1"/>
  <c r="AP893"/>
  <c r="AO893"/>
  <c r="BY893" s="1"/>
  <c r="AN893"/>
  <c r="AM893"/>
  <c r="BW893" s="1"/>
  <c r="AL893"/>
  <c r="AK893"/>
  <c r="AJ893"/>
  <c r="AI893"/>
  <c r="AH893"/>
  <c r="AG893"/>
  <c r="AF893"/>
  <c r="AE893"/>
  <c r="AD893"/>
  <c r="AC893"/>
  <c r="AB893"/>
  <c r="AA893"/>
  <c r="DE892"/>
  <c r="BJ892"/>
  <c r="BI892"/>
  <c r="BU892" s="1"/>
  <c r="BH892"/>
  <c r="BG892"/>
  <c r="BS892" s="1"/>
  <c r="BF892"/>
  <c r="BE892"/>
  <c r="BQ892" s="1"/>
  <c r="BD892"/>
  <c r="BC892"/>
  <c r="BO892" s="1"/>
  <c r="BB892"/>
  <c r="BA892"/>
  <c r="BM892" s="1"/>
  <c r="AZ892"/>
  <c r="AY892"/>
  <c r="BK892" s="1"/>
  <c r="AX892"/>
  <c r="AW892"/>
  <c r="CG892" s="1"/>
  <c r="AV892"/>
  <c r="AU892"/>
  <c r="CE892" s="1"/>
  <c r="AT892"/>
  <c r="AS892"/>
  <c r="CC892" s="1"/>
  <c r="AR892"/>
  <c r="AQ892"/>
  <c r="CA892" s="1"/>
  <c r="AP892"/>
  <c r="AO892"/>
  <c r="BY892" s="1"/>
  <c r="AN892"/>
  <c r="AM892"/>
  <c r="BW892" s="1"/>
  <c r="AL892"/>
  <c r="AK892"/>
  <c r="AJ892"/>
  <c r="AI892"/>
  <c r="AH892"/>
  <c r="AG892"/>
  <c r="AF892"/>
  <c r="AE892"/>
  <c r="AD892"/>
  <c r="AC892"/>
  <c r="AB892"/>
  <c r="AA892"/>
  <c r="DE891"/>
  <c r="BJ891"/>
  <c r="BI891"/>
  <c r="BU891" s="1"/>
  <c r="BH891"/>
  <c r="BG891"/>
  <c r="BS891" s="1"/>
  <c r="BF891"/>
  <c r="BE891"/>
  <c r="BQ891" s="1"/>
  <c r="BD891"/>
  <c r="BC891"/>
  <c r="BO891" s="1"/>
  <c r="BB891"/>
  <c r="BA891"/>
  <c r="BM891" s="1"/>
  <c r="AZ891"/>
  <c r="AY891"/>
  <c r="BK891" s="1"/>
  <c r="AX891"/>
  <c r="AW891"/>
  <c r="CG891" s="1"/>
  <c r="AV891"/>
  <c r="AU891"/>
  <c r="CE891" s="1"/>
  <c r="AT891"/>
  <c r="AS891"/>
  <c r="CC891" s="1"/>
  <c r="AR891"/>
  <c r="AQ891"/>
  <c r="CA891" s="1"/>
  <c r="AP891"/>
  <c r="AO891"/>
  <c r="BY891" s="1"/>
  <c r="AN891"/>
  <c r="AM891"/>
  <c r="BW891" s="1"/>
  <c r="AL891"/>
  <c r="AK891"/>
  <c r="AJ891"/>
  <c r="AI891"/>
  <c r="AH891"/>
  <c r="AG891"/>
  <c r="AF891"/>
  <c r="AE891"/>
  <c r="AD891"/>
  <c r="AC891"/>
  <c r="AB891"/>
  <c r="AA891"/>
  <c r="DE890"/>
  <c r="BJ890"/>
  <c r="BI890"/>
  <c r="BU890" s="1"/>
  <c r="BH890"/>
  <c r="BG890"/>
  <c r="BS890" s="1"/>
  <c r="BF890"/>
  <c r="BE890"/>
  <c r="BQ890" s="1"/>
  <c r="BD890"/>
  <c r="BC890"/>
  <c r="BO890" s="1"/>
  <c r="BB890"/>
  <c r="BA890"/>
  <c r="BM890" s="1"/>
  <c r="AZ890"/>
  <c r="AY890"/>
  <c r="BK890" s="1"/>
  <c r="AX890"/>
  <c r="AW890"/>
  <c r="CG890" s="1"/>
  <c r="AV890"/>
  <c r="AU890"/>
  <c r="CE890" s="1"/>
  <c r="AT890"/>
  <c r="AS890"/>
  <c r="CC890" s="1"/>
  <c r="AR890"/>
  <c r="AQ890"/>
  <c r="CA890" s="1"/>
  <c r="AP890"/>
  <c r="AO890"/>
  <c r="BY890" s="1"/>
  <c r="AN890"/>
  <c r="AM890"/>
  <c r="BW890" s="1"/>
  <c r="AL890"/>
  <c r="AK890"/>
  <c r="AJ890"/>
  <c r="AI890"/>
  <c r="AH890"/>
  <c r="AG890"/>
  <c r="AF890"/>
  <c r="AE890"/>
  <c r="AD890"/>
  <c r="AC890"/>
  <c r="AB890"/>
  <c r="AA890"/>
  <c r="DE889"/>
  <c r="BJ889"/>
  <c r="BI889"/>
  <c r="BU889" s="1"/>
  <c r="BH889"/>
  <c r="BG889"/>
  <c r="BS889" s="1"/>
  <c r="BF889"/>
  <c r="BE889"/>
  <c r="BQ889" s="1"/>
  <c r="BD889"/>
  <c r="BC889"/>
  <c r="BO889" s="1"/>
  <c r="BB889"/>
  <c r="BA889"/>
  <c r="BM889" s="1"/>
  <c r="AZ889"/>
  <c r="AY889"/>
  <c r="BK889" s="1"/>
  <c r="AX889"/>
  <c r="AW889"/>
  <c r="CG889" s="1"/>
  <c r="AV889"/>
  <c r="AU889"/>
  <c r="CE889" s="1"/>
  <c r="AT889"/>
  <c r="AS889"/>
  <c r="CC889" s="1"/>
  <c r="AR889"/>
  <c r="AQ889"/>
  <c r="CA889" s="1"/>
  <c r="AP889"/>
  <c r="AO889"/>
  <c r="BY889" s="1"/>
  <c r="AN889"/>
  <c r="AM889"/>
  <c r="BW889" s="1"/>
  <c r="AL889"/>
  <c r="AK889"/>
  <c r="AJ889"/>
  <c r="AI889"/>
  <c r="AH889"/>
  <c r="AG889"/>
  <c r="AF889"/>
  <c r="AE889"/>
  <c r="AD889"/>
  <c r="AC889"/>
  <c r="AB889"/>
  <c r="AA889"/>
  <c r="DE888"/>
  <c r="BJ888"/>
  <c r="BI888"/>
  <c r="BU888" s="1"/>
  <c r="BH888"/>
  <c r="BG888"/>
  <c r="BS888" s="1"/>
  <c r="BF888"/>
  <c r="BE888"/>
  <c r="BQ888" s="1"/>
  <c r="BD888"/>
  <c r="BC888"/>
  <c r="BO888" s="1"/>
  <c r="BB888"/>
  <c r="BA888"/>
  <c r="BM888" s="1"/>
  <c r="AZ888"/>
  <c r="AY888"/>
  <c r="BK888" s="1"/>
  <c r="AX888"/>
  <c r="AW888"/>
  <c r="CG888" s="1"/>
  <c r="AV888"/>
  <c r="AU888"/>
  <c r="CE888" s="1"/>
  <c r="AT888"/>
  <c r="AS888"/>
  <c r="CC888" s="1"/>
  <c r="AR888"/>
  <c r="AQ888"/>
  <c r="CA888" s="1"/>
  <c r="AP888"/>
  <c r="AO888"/>
  <c r="BY888" s="1"/>
  <c r="AN888"/>
  <c r="AM888"/>
  <c r="BW888" s="1"/>
  <c r="AL888"/>
  <c r="AK888"/>
  <c r="AJ888"/>
  <c r="AI888"/>
  <c r="AH888"/>
  <c r="AG888"/>
  <c r="AF888"/>
  <c r="AE888"/>
  <c r="AD888"/>
  <c r="AC888"/>
  <c r="AB888"/>
  <c r="AA888"/>
  <c r="DE887"/>
  <c r="BJ887"/>
  <c r="BI887"/>
  <c r="BU887" s="1"/>
  <c r="BH887"/>
  <c r="BG887"/>
  <c r="BS887" s="1"/>
  <c r="BF887"/>
  <c r="BE887"/>
  <c r="BQ887" s="1"/>
  <c r="BD887"/>
  <c r="BC887"/>
  <c r="BO887" s="1"/>
  <c r="BB887"/>
  <c r="BA887"/>
  <c r="BM887" s="1"/>
  <c r="AZ887"/>
  <c r="AY887"/>
  <c r="BK887" s="1"/>
  <c r="AX887"/>
  <c r="AW887"/>
  <c r="CG887" s="1"/>
  <c r="AV887"/>
  <c r="AU887"/>
  <c r="CE887" s="1"/>
  <c r="AT887"/>
  <c r="AS887"/>
  <c r="CC887" s="1"/>
  <c r="AR887"/>
  <c r="AQ887"/>
  <c r="CA887" s="1"/>
  <c r="AP887"/>
  <c r="AO887"/>
  <c r="BY887" s="1"/>
  <c r="AN887"/>
  <c r="AM887"/>
  <c r="BW887" s="1"/>
  <c r="AL887"/>
  <c r="AK887"/>
  <c r="AJ887"/>
  <c r="AI887"/>
  <c r="AH887"/>
  <c r="AG887"/>
  <c r="AF887"/>
  <c r="AE887"/>
  <c r="AD887"/>
  <c r="AC887"/>
  <c r="AB887"/>
  <c r="AA887"/>
  <c r="DE886"/>
  <c r="BJ886"/>
  <c r="BI886"/>
  <c r="BU886" s="1"/>
  <c r="BH886"/>
  <c r="BG886"/>
  <c r="BS886" s="1"/>
  <c r="BF886"/>
  <c r="BE886"/>
  <c r="BQ886" s="1"/>
  <c r="BD886"/>
  <c r="BC886"/>
  <c r="BO886" s="1"/>
  <c r="BB886"/>
  <c r="BA886"/>
  <c r="BM886" s="1"/>
  <c r="AZ886"/>
  <c r="AY886"/>
  <c r="BK886" s="1"/>
  <c r="AX886"/>
  <c r="AW886"/>
  <c r="CG886" s="1"/>
  <c r="AV886"/>
  <c r="AU886"/>
  <c r="CE886" s="1"/>
  <c r="AT886"/>
  <c r="AS886"/>
  <c r="CC886" s="1"/>
  <c r="AR886"/>
  <c r="AQ886"/>
  <c r="CA886" s="1"/>
  <c r="AP886"/>
  <c r="AO886"/>
  <c r="BY886" s="1"/>
  <c r="AN886"/>
  <c r="AM886"/>
  <c r="BW886" s="1"/>
  <c r="AL886"/>
  <c r="AK886"/>
  <c r="AJ886"/>
  <c r="AI886"/>
  <c r="AH886"/>
  <c r="AG886"/>
  <c r="AF886"/>
  <c r="AE886"/>
  <c r="AD886"/>
  <c r="AC886"/>
  <c r="AB886"/>
  <c r="AA886"/>
  <c r="DE885"/>
  <c r="BJ885"/>
  <c r="BI885"/>
  <c r="BU885" s="1"/>
  <c r="BH885"/>
  <c r="BG885"/>
  <c r="BS885" s="1"/>
  <c r="BF885"/>
  <c r="BE885"/>
  <c r="BQ885" s="1"/>
  <c r="BD885"/>
  <c r="BC885"/>
  <c r="BO885" s="1"/>
  <c r="BB885"/>
  <c r="BA885"/>
  <c r="BM885" s="1"/>
  <c r="AZ885"/>
  <c r="AY885"/>
  <c r="BK885" s="1"/>
  <c r="AX885"/>
  <c r="AW885"/>
  <c r="CG885" s="1"/>
  <c r="AV885"/>
  <c r="AU885"/>
  <c r="CE885" s="1"/>
  <c r="AT885"/>
  <c r="AS885"/>
  <c r="CC885" s="1"/>
  <c r="AR885"/>
  <c r="AQ885"/>
  <c r="CA885" s="1"/>
  <c r="AP885"/>
  <c r="AO885"/>
  <c r="BZ885" s="1"/>
  <c r="AN885"/>
  <c r="BY885" s="1"/>
  <c r="AM885"/>
  <c r="BW885" s="1"/>
  <c r="AL885"/>
  <c r="AK885"/>
  <c r="AJ885"/>
  <c r="AI885"/>
  <c r="AH885"/>
  <c r="AG885"/>
  <c r="AF885"/>
  <c r="AE885"/>
  <c r="AD885"/>
  <c r="AC885"/>
  <c r="AB885"/>
  <c r="AA885"/>
  <c r="DE884"/>
  <c r="BJ884"/>
  <c r="BI884"/>
  <c r="BU884" s="1"/>
  <c r="BH884"/>
  <c r="BG884"/>
  <c r="BS884" s="1"/>
  <c r="BF884"/>
  <c r="BE884"/>
  <c r="BQ884" s="1"/>
  <c r="BD884"/>
  <c r="BC884"/>
  <c r="BO884" s="1"/>
  <c r="BB884"/>
  <c r="BA884"/>
  <c r="BM884" s="1"/>
  <c r="AZ884"/>
  <c r="AY884"/>
  <c r="BK884" s="1"/>
  <c r="AX884"/>
  <c r="AW884"/>
  <c r="CG884" s="1"/>
  <c r="AV884"/>
  <c r="AU884"/>
  <c r="CE884" s="1"/>
  <c r="AT884"/>
  <c r="AS884"/>
  <c r="CD884" s="1"/>
  <c r="AR884"/>
  <c r="CC884" s="1"/>
  <c r="AQ884"/>
  <c r="CB884" s="1"/>
  <c r="AP884"/>
  <c r="CA884" s="1"/>
  <c r="AO884"/>
  <c r="BZ884" s="1"/>
  <c r="AN884"/>
  <c r="BY884" s="1"/>
  <c r="AM884"/>
  <c r="BW884" s="1"/>
  <c r="AL884"/>
  <c r="AK884"/>
  <c r="AJ884"/>
  <c r="AI884"/>
  <c r="AH884"/>
  <c r="AG884"/>
  <c r="AF884"/>
  <c r="AE884"/>
  <c r="AD884"/>
  <c r="AC884"/>
  <c r="AB884"/>
  <c r="AA884"/>
  <c r="DE883"/>
  <c r="BJ883"/>
  <c r="BI883"/>
  <c r="BU883" s="1"/>
  <c r="BH883"/>
  <c r="BG883"/>
  <c r="BS883" s="1"/>
  <c r="BF883"/>
  <c r="BE883"/>
  <c r="BQ883" s="1"/>
  <c r="BD883"/>
  <c r="BC883"/>
  <c r="BO883" s="1"/>
  <c r="BB883"/>
  <c r="BA883"/>
  <c r="BM883" s="1"/>
  <c r="AZ883"/>
  <c r="AY883"/>
  <c r="BK883" s="1"/>
  <c r="AX883"/>
  <c r="AW883"/>
  <c r="CG883" s="1"/>
  <c r="AV883"/>
  <c r="AU883"/>
  <c r="CF883" s="1"/>
  <c r="AT883"/>
  <c r="CE883" s="1"/>
  <c r="AS883"/>
  <c r="CD883" s="1"/>
  <c r="AR883"/>
  <c r="CC883" s="1"/>
  <c r="AQ883"/>
  <c r="CB883" s="1"/>
  <c r="AP883"/>
  <c r="CA883" s="1"/>
  <c r="AO883"/>
  <c r="BZ883" s="1"/>
  <c r="AN883"/>
  <c r="BY883" s="1"/>
  <c r="AM883"/>
  <c r="BW883" s="1"/>
  <c r="AL883"/>
  <c r="AK883"/>
  <c r="AJ883"/>
  <c r="AI883"/>
  <c r="AH883"/>
  <c r="AG883"/>
  <c r="AF883"/>
  <c r="AE883"/>
  <c r="AD883"/>
  <c r="AC883"/>
  <c r="AB883"/>
  <c r="AA883"/>
  <c r="DE882"/>
  <c r="BJ882"/>
  <c r="BI882"/>
  <c r="BU882" s="1"/>
  <c r="BH882"/>
  <c r="BG882"/>
  <c r="BS882" s="1"/>
  <c r="BF882"/>
  <c r="BE882"/>
  <c r="BQ882" s="1"/>
  <c r="BD882"/>
  <c r="BC882"/>
  <c r="BO882" s="1"/>
  <c r="BB882"/>
  <c r="BA882"/>
  <c r="BM882" s="1"/>
  <c r="AZ882"/>
  <c r="AY882"/>
  <c r="BK882" s="1"/>
  <c r="AX882"/>
  <c r="AW882"/>
  <c r="CH882" s="1"/>
  <c r="AV882"/>
  <c r="CG882" s="1"/>
  <c r="AU882"/>
  <c r="CF882" s="1"/>
  <c r="AT882"/>
  <c r="CE882" s="1"/>
  <c r="AS882"/>
  <c r="CD882" s="1"/>
  <c r="AR882"/>
  <c r="CC882" s="1"/>
  <c r="AQ882"/>
  <c r="CB882" s="1"/>
  <c r="AP882"/>
  <c r="CA882" s="1"/>
  <c r="AO882"/>
  <c r="BZ882" s="1"/>
  <c r="AN882"/>
  <c r="BY882" s="1"/>
  <c r="AM882"/>
  <c r="BW882" s="1"/>
  <c r="AL882"/>
  <c r="AK882"/>
  <c r="AJ882"/>
  <c r="AI882"/>
  <c r="AH882"/>
  <c r="AG882"/>
  <c r="AF882"/>
  <c r="AE882"/>
  <c r="AD882"/>
  <c r="AC882"/>
  <c r="AB882"/>
  <c r="AA882"/>
  <c r="DE881"/>
  <c r="BJ881"/>
  <c r="BI881"/>
  <c r="BU881" s="1"/>
  <c r="BH881"/>
  <c r="BG881"/>
  <c r="BS881" s="1"/>
  <c r="BF881"/>
  <c r="BE881"/>
  <c r="BQ881" s="1"/>
  <c r="BD881"/>
  <c r="BC881"/>
  <c r="BO881" s="1"/>
  <c r="BB881"/>
  <c r="BA881"/>
  <c r="BM881" s="1"/>
  <c r="AZ881"/>
  <c r="AY881"/>
  <c r="BK881" s="1"/>
  <c r="AX881"/>
  <c r="BW881" s="1"/>
  <c r="AW881"/>
  <c r="CH881" s="1"/>
  <c r="AV881"/>
  <c r="CG881" s="1"/>
  <c r="AU881"/>
  <c r="CF881" s="1"/>
  <c r="AT881"/>
  <c r="CE881" s="1"/>
  <c r="AS881"/>
  <c r="CD881" s="1"/>
  <c r="AR881"/>
  <c r="CC881" s="1"/>
  <c r="AQ881"/>
  <c r="CB881" s="1"/>
  <c r="AP881"/>
  <c r="CA881" s="1"/>
  <c r="AO881"/>
  <c r="BZ881" s="1"/>
  <c r="AN881"/>
  <c r="BY881" s="1"/>
  <c r="AM881"/>
  <c r="BX881" s="1"/>
  <c r="AL881"/>
  <c r="AK881"/>
  <c r="AJ881"/>
  <c r="AI881"/>
  <c r="AH881"/>
  <c r="AG881"/>
  <c r="AF881"/>
  <c r="AE881"/>
  <c r="AD881"/>
  <c r="AC881"/>
  <c r="AB881"/>
  <c r="AA881"/>
  <c r="DE880"/>
  <c r="BJ880"/>
  <c r="BI880"/>
  <c r="BU880" s="1"/>
  <c r="BH880"/>
  <c r="BG880"/>
  <c r="BS880" s="1"/>
  <c r="BF880"/>
  <c r="BE880"/>
  <c r="BQ880" s="1"/>
  <c r="BD880"/>
  <c r="BC880"/>
  <c r="BO880" s="1"/>
  <c r="BB880"/>
  <c r="BA880"/>
  <c r="BN880" s="1"/>
  <c r="AZ880"/>
  <c r="BM880" s="1"/>
  <c r="AY880"/>
  <c r="BK880" s="1"/>
  <c r="AX880"/>
  <c r="BW880" s="1"/>
  <c r="AW880"/>
  <c r="CH880" s="1"/>
  <c r="AV880"/>
  <c r="CG880" s="1"/>
  <c r="AU880"/>
  <c r="CF880" s="1"/>
  <c r="AT880"/>
  <c r="CE880" s="1"/>
  <c r="AS880"/>
  <c r="CD880" s="1"/>
  <c r="AR880"/>
  <c r="CC880" s="1"/>
  <c r="AQ880"/>
  <c r="CB880" s="1"/>
  <c r="AP880"/>
  <c r="CA880" s="1"/>
  <c r="AO880"/>
  <c r="BZ880" s="1"/>
  <c r="AN880"/>
  <c r="BY880" s="1"/>
  <c r="AM880"/>
  <c r="BX880" s="1"/>
  <c r="AL880"/>
  <c r="AK880"/>
  <c r="AJ880"/>
  <c r="AI880"/>
  <c r="AH880"/>
  <c r="AG880"/>
  <c r="AF880"/>
  <c r="AE880"/>
  <c r="AD880"/>
  <c r="AC880"/>
  <c r="AB880"/>
  <c r="AA880"/>
  <c r="DE879"/>
  <c r="BJ879"/>
  <c r="BI879"/>
  <c r="BU879" s="1"/>
  <c r="BH879"/>
  <c r="BG879"/>
  <c r="BS879" s="1"/>
  <c r="BF879"/>
  <c r="BE879"/>
  <c r="BQ879" s="1"/>
  <c r="BD879"/>
  <c r="BC879"/>
  <c r="BP879" s="1"/>
  <c r="BB879"/>
  <c r="BO879" s="1"/>
  <c r="BA879"/>
  <c r="BN879" s="1"/>
  <c r="AZ879"/>
  <c r="BM879" s="1"/>
  <c r="AY879"/>
  <c r="BK879" s="1"/>
  <c r="AX879"/>
  <c r="BW879" s="1"/>
  <c r="AW879"/>
  <c r="CH879" s="1"/>
  <c r="AV879"/>
  <c r="CG879" s="1"/>
  <c r="AU879"/>
  <c r="CF879" s="1"/>
  <c r="AT879"/>
  <c r="CE879" s="1"/>
  <c r="AS879"/>
  <c r="CD879" s="1"/>
  <c r="AR879"/>
  <c r="CC879" s="1"/>
  <c r="AQ879"/>
  <c r="CB879" s="1"/>
  <c r="AP879"/>
  <c r="CA879" s="1"/>
  <c r="AO879"/>
  <c r="BZ879" s="1"/>
  <c r="AN879"/>
  <c r="BY879" s="1"/>
  <c r="AM879"/>
  <c r="BX879" s="1"/>
  <c r="AL879"/>
  <c r="AK879"/>
  <c r="AJ879"/>
  <c r="AI879"/>
  <c r="AH879"/>
  <c r="AG879"/>
  <c r="AF879"/>
  <c r="AE879"/>
  <c r="AD879"/>
  <c r="AC879"/>
  <c r="AB879"/>
  <c r="AA879"/>
  <c r="DE878"/>
  <c r="BJ878"/>
  <c r="BI878"/>
  <c r="BU878" s="1"/>
  <c r="BH878"/>
  <c r="BG878"/>
  <c r="BT878" s="1"/>
  <c r="BF878"/>
  <c r="BS878" s="1"/>
  <c r="BE878"/>
  <c r="BR878" s="1"/>
  <c r="BD878"/>
  <c r="BQ878" s="1"/>
  <c r="BC878"/>
  <c r="BP878" s="1"/>
  <c r="BB878"/>
  <c r="BO878" s="1"/>
  <c r="BA878"/>
  <c r="BN878" s="1"/>
  <c r="AZ878"/>
  <c r="BM878" s="1"/>
  <c r="AY878"/>
  <c r="BK878" s="1"/>
  <c r="AX878"/>
  <c r="BW878" s="1"/>
  <c r="AW878"/>
  <c r="CH878" s="1"/>
  <c r="AV878"/>
  <c r="CG878" s="1"/>
  <c r="AU878"/>
  <c r="CF878" s="1"/>
  <c r="AT878"/>
  <c r="CE878" s="1"/>
  <c r="AS878"/>
  <c r="CD878" s="1"/>
  <c r="AR878"/>
  <c r="CC878" s="1"/>
  <c r="AQ878"/>
  <c r="CB878" s="1"/>
  <c r="AP878"/>
  <c r="CA878" s="1"/>
  <c r="AO878"/>
  <c r="BZ878" s="1"/>
  <c r="AN878"/>
  <c r="BY878" s="1"/>
  <c r="AM878"/>
  <c r="BX878" s="1"/>
  <c r="AL878"/>
  <c r="AK878"/>
  <c r="AJ878"/>
  <c r="AI878"/>
  <c r="AH878"/>
  <c r="AG878"/>
  <c r="AF878"/>
  <c r="AE878"/>
  <c r="AD878"/>
  <c r="AC878"/>
  <c r="AB878"/>
  <c r="AA878"/>
  <c r="DE877"/>
  <c r="BJ877"/>
  <c r="BI877"/>
  <c r="BV877" s="1"/>
  <c r="BH877"/>
  <c r="BU877" s="1"/>
  <c r="BG877"/>
  <c r="BT877" s="1"/>
  <c r="BF877"/>
  <c r="BS877" s="1"/>
  <c r="BE877"/>
  <c r="BR877" s="1"/>
  <c r="BD877"/>
  <c r="BQ877" s="1"/>
  <c r="BC877"/>
  <c r="BP877" s="1"/>
  <c r="BB877"/>
  <c r="BO877" s="1"/>
  <c r="BA877"/>
  <c r="BN877" s="1"/>
  <c r="AZ877"/>
  <c r="BM877" s="1"/>
  <c r="AY877"/>
  <c r="BK877" s="1"/>
  <c r="AX877"/>
  <c r="BW877" s="1"/>
  <c r="AW877"/>
  <c r="CH877" s="1"/>
  <c r="AV877"/>
  <c r="CG877" s="1"/>
  <c r="AU877"/>
  <c r="CF877" s="1"/>
  <c r="AT877"/>
  <c r="CE877" s="1"/>
  <c r="AS877"/>
  <c r="CD877" s="1"/>
  <c r="AR877"/>
  <c r="CC877" s="1"/>
  <c r="AQ877"/>
  <c r="CB877" s="1"/>
  <c r="AP877"/>
  <c r="CA877" s="1"/>
  <c r="AO877"/>
  <c r="BZ877" s="1"/>
  <c r="AN877"/>
  <c r="BY877" s="1"/>
  <c r="AM877"/>
  <c r="BX877" s="1"/>
  <c r="AL877"/>
  <c r="AK877"/>
  <c r="AJ877"/>
  <c r="AI877"/>
  <c r="AH877"/>
  <c r="AG877"/>
  <c r="AF877"/>
  <c r="AE877"/>
  <c r="AD877"/>
  <c r="AC877"/>
  <c r="AB877"/>
  <c r="AA877"/>
  <c r="DE876"/>
  <c r="BJ876"/>
  <c r="BI876"/>
  <c r="BV876" s="1"/>
  <c r="BH876"/>
  <c r="BU876" s="1"/>
  <c r="BG876"/>
  <c r="BT876" s="1"/>
  <c r="BF876"/>
  <c r="BS876" s="1"/>
  <c r="BE876"/>
  <c r="BR876" s="1"/>
  <c r="BD876"/>
  <c r="BQ876" s="1"/>
  <c r="BC876"/>
  <c r="BP876" s="1"/>
  <c r="BB876"/>
  <c r="BO876" s="1"/>
  <c r="BA876"/>
  <c r="BN876" s="1"/>
  <c r="AZ876"/>
  <c r="BM876" s="1"/>
  <c r="AY876"/>
  <c r="BK876" s="1"/>
  <c r="AX876"/>
  <c r="BW876" s="1"/>
  <c r="AW876"/>
  <c r="CH876" s="1"/>
  <c r="AV876"/>
  <c r="CG876" s="1"/>
  <c r="AU876"/>
  <c r="CF876" s="1"/>
  <c r="AT876"/>
  <c r="CE876" s="1"/>
  <c r="AS876"/>
  <c r="CD876" s="1"/>
  <c r="AR876"/>
  <c r="CC876" s="1"/>
  <c r="AQ876"/>
  <c r="CB876" s="1"/>
  <c r="AP876"/>
  <c r="CA876" s="1"/>
  <c r="AO876"/>
  <c r="BZ876" s="1"/>
  <c r="AN876"/>
  <c r="BY876" s="1"/>
  <c r="AM876"/>
  <c r="BX876" s="1"/>
  <c r="AL876"/>
  <c r="AK876"/>
  <c r="AJ876"/>
  <c r="AI876"/>
  <c r="AH876"/>
  <c r="AG876"/>
  <c r="AF876"/>
  <c r="AE876"/>
  <c r="AD876"/>
  <c r="AC876"/>
  <c r="AB876"/>
  <c r="AA876"/>
  <c r="DE875"/>
  <c r="BJ875"/>
  <c r="BI875"/>
  <c r="BV875" s="1"/>
  <c r="BH875"/>
  <c r="BU875" s="1"/>
  <c r="BG875"/>
  <c r="BT875" s="1"/>
  <c r="BF875"/>
  <c r="BS875" s="1"/>
  <c r="BE875"/>
  <c r="BR875" s="1"/>
  <c r="BD875"/>
  <c r="BQ875" s="1"/>
  <c r="BC875"/>
  <c r="BP875" s="1"/>
  <c r="BB875"/>
  <c r="BO875" s="1"/>
  <c r="BA875"/>
  <c r="BN875" s="1"/>
  <c r="AZ875"/>
  <c r="BM875" s="1"/>
  <c r="AY875"/>
  <c r="BK875" s="1"/>
  <c r="AX875"/>
  <c r="BW875" s="1"/>
  <c r="AW875"/>
  <c r="CH875" s="1"/>
  <c r="AV875"/>
  <c r="CG875" s="1"/>
  <c r="AU875"/>
  <c r="CF875" s="1"/>
  <c r="AT875"/>
  <c r="CE875" s="1"/>
  <c r="AS875"/>
  <c r="CD875" s="1"/>
  <c r="AR875"/>
  <c r="CC875" s="1"/>
  <c r="AQ875"/>
  <c r="CB875" s="1"/>
  <c r="AP875"/>
  <c r="CA875" s="1"/>
  <c r="AO875"/>
  <c r="BZ875" s="1"/>
  <c r="AN875"/>
  <c r="BY875" s="1"/>
  <c r="AM875"/>
  <c r="BX875" s="1"/>
  <c r="AL875"/>
  <c r="AK875"/>
  <c r="AJ875"/>
  <c r="AI875"/>
  <c r="AH875"/>
  <c r="AG875"/>
  <c r="AF875"/>
  <c r="AE875"/>
  <c r="AD875"/>
  <c r="AC875"/>
  <c r="AB875"/>
  <c r="AA875"/>
  <c r="DE874"/>
  <c r="BJ874"/>
  <c r="BV874" s="1"/>
  <c r="BI874"/>
  <c r="BH874"/>
  <c r="BU874" s="1"/>
  <c r="BG874"/>
  <c r="BF874"/>
  <c r="BS874" s="1"/>
  <c r="BE874"/>
  <c r="BR874" s="1"/>
  <c r="BD874"/>
  <c r="BQ874" s="1"/>
  <c r="BC874"/>
  <c r="BP874" s="1"/>
  <c r="BB874"/>
  <c r="BO874" s="1"/>
  <c r="BA874"/>
  <c r="BN874" s="1"/>
  <c r="AZ874"/>
  <c r="BM874" s="1"/>
  <c r="AY874"/>
  <c r="BK874" s="1"/>
  <c r="AX874"/>
  <c r="BW874" s="1"/>
  <c r="AW874"/>
  <c r="CH874" s="1"/>
  <c r="AV874"/>
  <c r="CG874" s="1"/>
  <c r="AU874"/>
  <c r="CF874" s="1"/>
  <c r="AT874"/>
  <c r="CE874" s="1"/>
  <c r="AS874"/>
  <c r="CD874" s="1"/>
  <c r="AR874"/>
  <c r="CC874" s="1"/>
  <c r="AQ874"/>
  <c r="CB874" s="1"/>
  <c r="AP874"/>
  <c r="CA874" s="1"/>
  <c r="AO874"/>
  <c r="BZ874" s="1"/>
  <c r="AN874"/>
  <c r="BY874" s="1"/>
  <c r="AM874"/>
  <c r="BX874" s="1"/>
  <c r="AL874"/>
  <c r="AK874"/>
  <c r="AJ874"/>
  <c r="AI874"/>
  <c r="AH874"/>
  <c r="AG874"/>
  <c r="AF874"/>
  <c r="AE874"/>
  <c r="AD874"/>
  <c r="AC874"/>
  <c r="AB874"/>
  <c r="AA874"/>
  <c r="DE873"/>
  <c r="BJ873"/>
  <c r="BV873" s="1"/>
  <c r="BI873"/>
  <c r="BH873"/>
  <c r="BU873" s="1"/>
  <c r="BG873"/>
  <c r="BF873"/>
  <c r="BS873" s="1"/>
  <c r="BE873"/>
  <c r="BD873"/>
  <c r="BQ873" s="1"/>
  <c r="BC873"/>
  <c r="BB873"/>
  <c r="BO873" s="1"/>
  <c r="BA873"/>
  <c r="BN873" s="1"/>
  <c r="AZ873"/>
  <c r="BM873" s="1"/>
  <c r="AY873"/>
  <c r="BK873" s="1"/>
  <c r="AX873"/>
  <c r="BW873" s="1"/>
  <c r="AW873"/>
  <c r="CH873" s="1"/>
  <c r="AV873"/>
  <c r="CG873" s="1"/>
  <c r="AU873"/>
  <c r="CF873" s="1"/>
  <c r="AT873"/>
  <c r="CE873" s="1"/>
  <c r="AS873"/>
  <c r="CD873" s="1"/>
  <c r="AR873"/>
  <c r="CC873" s="1"/>
  <c r="AQ873"/>
  <c r="CB873" s="1"/>
  <c r="AP873"/>
  <c r="CA873" s="1"/>
  <c r="AO873"/>
  <c r="BZ873" s="1"/>
  <c r="AN873"/>
  <c r="BY873" s="1"/>
  <c r="AM873"/>
  <c r="BX873" s="1"/>
  <c r="AL873"/>
  <c r="AK873"/>
  <c r="AJ873"/>
  <c r="AI873"/>
  <c r="AH873"/>
  <c r="AG873"/>
  <c r="AF873"/>
  <c r="AE873"/>
  <c r="AD873"/>
  <c r="AC873"/>
  <c r="AB873"/>
  <c r="AA873"/>
  <c r="DE872"/>
  <c r="BJ872"/>
  <c r="BV872" s="1"/>
  <c r="BI872"/>
  <c r="BH872"/>
  <c r="BU872" s="1"/>
  <c r="BG872"/>
  <c r="BF872"/>
  <c r="BS872" s="1"/>
  <c r="BE872"/>
  <c r="BD872"/>
  <c r="BQ872" s="1"/>
  <c r="BC872"/>
  <c r="BB872"/>
  <c r="BO872" s="1"/>
  <c r="BA872"/>
  <c r="AZ872"/>
  <c r="BM872" s="1"/>
  <c r="AY872"/>
  <c r="BK872" s="1"/>
  <c r="AX872"/>
  <c r="BW872" s="1"/>
  <c r="AW872"/>
  <c r="CH872" s="1"/>
  <c r="AV872"/>
  <c r="CG872" s="1"/>
  <c r="AU872"/>
  <c r="CF872" s="1"/>
  <c r="AT872"/>
  <c r="CE872" s="1"/>
  <c r="AS872"/>
  <c r="CD872" s="1"/>
  <c r="AR872"/>
  <c r="CC872" s="1"/>
  <c r="AQ872"/>
  <c r="CB872" s="1"/>
  <c r="AP872"/>
  <c r="CA872" s="1"/>
  <c r="AO872"/>
  <c r="BZ872" s="1"/>
  <c r="AN872"/>
  <c r="BY872" s="1"/>
  <c r="AM872"/>
  <c r="BX872" s="1"/>
  <c r="AL872"/>
  <c r="AK872"/>
  <c r="AJ872"/>
  <c r="AI872"/>
  <c r="AH872"/>
  <c r="AG872"/>
  <c r="AF872"/>
  <c r="AE872"/>
  <c r="AD872"/>
  <c r="AC872"/>
  <c r="AB872"/>
  <c r="AA872"/>
  <c r="DE871"/>
  <c r="BJ871"/>
  <c r="BV871" s="1"/>
  <c r="BI871"/>
  <c r="BH871"/>
  <c r="BU871" s="1"/>
  <c r="BG871"/>
  <c r="BF871"/>
  <c r="BS871" s="1"/>
  <c r="BE871"/>
  <c r="BD871"/>
  <c r="BQ871" s="1"/>
  <c r="BC871"/>
  <c r="BB871"/>
  <c r="BO871" s="1"/>
  <c r="BA871"/>
  <c r="AZ871"/>
  <c r="BM871" s="1"/>
  <c r="AY871"/>
  <c r="BK871" s="1"/>
  <c r="AX871"/>
  <c r="BW871" s="1"/>
  <c r="AW871"/>
  <c r="CH871" s="1"/>
  <c r="AV871"/>
  <c r="CG871" s="1"/>
  <c r="AU871"/>
  <c r="CF871" s="1"/>
  <c r="AT871"/>
  <c r="CE871" s="1"/>
  <c r="AS871"/>
  <c r="CD871" s="1"/>
  <c r="AR871"/>
  <c r="CC871" s="1"/>
  <c r="AQ871"/>
  <c r="CB871" s="1"/>
  <c r="AP871"/>
  <c r="CA871" s="1"/>
  <c r="AO871"/>
  <c r="BZ871" s="1"/>
  <c r="AN871"/>
  <c r="BY871" s="1"/>
  <c r="AM871"/>
  <c r="BX871" s="1"/>
  <c r="AL871"/>
  <c r="AK871"/>
  <c r="AJ871"/>
  <c r="AI871"/>
  <c r="AH871"/>
  <c r="AG871"/>
  <c r="AF871"/>
  <c r="AE871"/>
  <c r="AD871"/>
  <c r="AC871"/>
  <c r="AB871"/>
  <c r="AA871"/>
  <c r="DE870"/>
  <c r="BJ870"/>
  <c r="BV870" s="1"/>
  <c r="BI870"/>
  <c r="BH870"/>
  <c r="BU870" s="1"/>
  <c r="BG870"/>
  <c r="BF870"/>
  <c r="BS870" s="1"/>
  <c r="BE870"/>
  <c r="BD870"/>
  <c r="BQ870" s="1"/>
  <c r="BC870"/>
  <c r="BB870"/>
  <c r="BO870" s="1"/>
  <c r="BA870"/>
  <c r="AZ870"/>
  <c r="BM870" s="1"/>
  <c r="AY870"/>
  <c r="BK870" s="1"/>
  <c r="AX870"/>
  <c r="BW870" s="1"/>
  <c r="AW870"/>
  <c r="CH870" s="1"/>
  <c r="AV870"/>
  <c r="CG870" s="1"/>
  <c r="AU870"/>
  <c r="CF870" s="1"/>
  <c r="AT870"/>
  <c r="CE870" s="1"/>
  <c r="AS870"/>
  <c r="CD870" s="1"/>
  <c r="AR870"/>
  <c r="CC870" s="1"/>
  <c r="AQ870"/>
  <c r="CB870" s="1"/>
  <c r="AP870"/>
  <c r="CA870" s="1"/>
  <c r="AO870"/>
  <c r="BZ870" s="1"/>
  <c r="AN870"/>
  <c r="BY870" s="1"/>
  <c r="AM870"/>
  <c r="BX870" s="1"/>
  <c r="AL870"/>
  <c r="AK870"/>
  <c r="AJ870"/>
  <c r="AI870"/>
  <c r="AH870"/>
  <c r="AG870"/>
  <c r="AF870"/>
  <c r="AE870"/>
  <c r="AD870"/>
  <c r="AC870"/>
  <c r="AB870"/>
  <c r="AA870"/>
  <c r="DE869"/>
  <c r="BJ869"/>
  <c r="BV869" s="1"/>
  <c r="BI869"/>
  <c r="BH869"/>
  <c r="BU869" s="1"/>
  <c r="BG869"/>
  <c r="BF869"/>
  <c r="BS869" s="1"/>
  <c r="BE869"/>
  <c r="BD869"/>
  <c r="BQ869" s="1"/>
  <c r="BC869"/>
  <c r="BB869"/>
  <c r="BO869" s="1"/>
  <c r="BA869"/>
  <c r="AZ869"/>
  <c r="BM869" s="1"/>
  <c r="AY869"/>
  <c r="BK869" s="1"/>
  <c r="AX869"/>
  <c r="BW869" s="1"/>
  <c r="AW869"/>
  <c r="AV869"/>
  <c r="CG869" s="1"/>
  <c r="AU869"/>
  <c r="CF869" s="1"/>
  <c r="AT869"/>
  <c r="CE869" s="1"/>
  <c r="AS869"/>
  <c r="CD869" s="1"/>
  <c r="AR869"/>
  <c r="CC869" s="1"/>
  <c r="AQ869"/>
  <c r="CB869" s="1"/>
  <c r="AP869"/>
  <c r="CA869" s="1"/>
  <c r="AO869"/>
  <c r="BZ869" s="1"/>
  <c r="AN869"/>
  <c r="BY869" s="1"/>
  <c r="AM869"/>
  <c r="BX869" s="1"/>
  <c r="AL869"/>
  <c r="AK869"/>
  <c r="AJ869"/>
  <c r="AI869"/>
  <c r="AH869"/>
  <c r="AG869"/>
  <c r="AF869"/>
  <c r="AE869"/>
  <c r="AD869"/>
  <c r="AC869"/>
  <c r="AB869"/>
  <c r="AA869"/>
  <c r="DE868"/>
  <c r="BJ868"/>
  <c r="BV868" s="1"/>
  <c r="BI868"/>
  <c r="BH868"/>
  <c r="BU868" s="1"/>
  <c r="BG868"/>
  <c r="BF868"/>
  <c r="BS868" s="1"/>
  <c r="BE868"/>
  <c r="BD868"/>
  <c r="BQ868" s="1"/>
  <c r="BC868"/>
  <c r="BB868"/>
  <c r="BO868" s="1"/>
  <c r="BA868"/>
  <c r="AZ868"/>
  <c r="BM868" s="1"/>
  <c r="AY868"/>
  <c r="BK868" s="1"/>
  <c r="AX868"/>
  <c r="BW868" s="1"/>
  <c r="AW868"/>
  <c r="AV868"/>
  <c r="CG868" s="1"/>
  <c r="AU868"/>
  <c r="AT868"/>
  <c r="CE868" s="1"/>
  <c r="AS868"/>
  <c r="CD868" s="1"/>
  <c r="AR868"/>
  <c r="CC868" s="1"/>
  <c r="AQ868"/>
  <c r="CB868" s="1"/>
  <c r="AP868"/>
  <c r="CA868" s="1"/>
  <c r="AO868"/>
  <c r="BZ868" s="1"/>
  <c r="AN868"/>
  <c r="BY868" s="1"/>
  <c r="AM868"/>
  <c r="BX868" s="1"/>
  <c r="AL868"/>
  <c r="AK868"/>
  <c r="AJ868"/>
  <c r="AI868"/>
  <c r="AH868"/>
  <c r="AG868"/>
  <c r="AF868"/>
  <c r="AE868"/>
  <c r="AD868"/>
  <c r="AC868"/>
  <c r="AB868"/>
  <c r="AA868"/>
  <c r="DE867"/>
  <c r="BJ867"/>
  <c r="BV867" s="1"/>
  <c r="BI867"/>
  <c r="BH867"/>
  <c r="BU867" s="1"/>
  <c r="BG867"/>
  <c r="BF867"/>
  <c r="BS867" s="1"/>
  <c r="BE867"/>
  <c r="BD867"/>
  <c r="BQ867" s="1"/>
  <c r="BC867"/>
  <c r="BB867"/>
  <c r="BO867" s="1"/>
  <c r="BA867"/>
  <c r="AZ867"/>
  <c r="BM867" s="1"/>
  <c r="AY867"/>
  <c r="BK867" s="1"/>
  <c r="AX867"/>
  <c r="BW867" s="1"/>
  <c r="AW867"/>
  <c r="AV867"/>
  <c r="CG867" s="1"/>
  <c r="AU867"/>
  <c r="AT867"/>
  <c r="CE867" s="1"/>
  <c r="AS867"/>
  <c r="AR867"/>
  <c r="CC867" s="1"/>
  <c r="AQ867"/>
  <c r="CB867" s="1"/>
  <c r="AP867"/>
  <c r="CA867" s="1"/>
  <c r="AO867"/>
  <c r="BZ867" s="1"/>
  <c r="AN867"/>
  <c r="BY867" s="1"/>
  <c r="AM867"/>
  <c r="BX867" s="1"/>
  <c r="AL867"/>
  <c r="AK867"/>
  <c r="AJ867"/>
  <c r="AI867"/>
  <c r="AH867"/>
  <c r="AG867"/>
  <c r="AF867"/>
  <c r="AE867"/>
  <c r="AD867"/>
  <c r="AC867"/>
  <c r="AB867"/>
  <c r="AA867"/>
  <c r="DE866"/>
  <c r="BJ866"/>
  <c r="BV866" s="1"/>
  <c r="BI866"/>
  <c r="BH866"/>
  <c r="BU866" s="1"/>
  <c r="BG866"/>
  <c r="BF866"/>
  <c r="BS866" s="1"/>
  <c r="BE866"/>
  <c r="BD866"/>
  <c r="BQ866" s="1"/>
  <c r="BC866"/>
  <c r="BB866"/>
  <c r="BO866" s="1"/>
  <c r="BA866"/>
  <c r="AZ866"/>
  <c r="BM866" s="1"/>
  <c r="AY866"/>
  <c r="BK866" s="1"/>
  <c r="AX866"/>
  <c r="BW866" s="1"/>
  <c r="AW866"/>
  <c r="AV866"/>
  <c r="CG866" s="1"/>
  <c r="AU866"/>
  <c r="AT866"/>
  <c r="CE866" s="1"/>
  <c r="AS866"/>
  <c r="AR866"/>
  <c r="CC866" s="1"/>
  <c r="AQ866"/>
  <c r="AP866"/>
  <c r="CA866" s="1"/>
  <c r="AO866"/>
  <c r="BZ866" s="1"/>
  <c r="AN866"/>
  <c r="BY866" s="1"/>
  <c r="AM866"/>
  <c r="BX866" s="1"/>
  <c r="AL866"/>
  <c r="AK866"/>
  <c r="AJ866"/>
  <c r="AI866"/>
  <c r="AH866"/>
  <c r="AG866"/>
  <c r="AF866"/>
  <c r="AE866"/>
  <c r="AD866"/>
  <c r="AC866"/>
  <c r="AB866"/>
  <c r="AA866"/>
  <c r="DE865"/>
  <c r="BJ865"/>
  <c r="BV865" s="1"/>
  <c r="BI865"/>
  <c r="BH865"/>
  <c r="BU865" s="1"/>
  <c r="BG865"/>
  <c r="BF865"/>
  <c r="BS865" s="1"/>
  <c r="BE865"/>
  <c r="BD865"/>
  <c r="BQ865" s="1"/>
  <c r="BC865"/>
  <c r="BB865"/>
  <c r="BO865" s="1"/>
  <c r="BA865"/>
  <c r="AZ865"/>
  <c r="BM865" s="1"/>
  <c r="AY865"/>
  <c r="BK865" s="1"/>
  <c r="AX865"/>
  <c r="BW865" s="1"/>
  <c r="AW865"/>
  <c r="AV865"/>
  <c r="CG865" s="1"/>
  <c r="AU865"/>
  <c r="AT865"/>
  <c r="CE865" s="1"/>
  <c r="AS865"/>
  <c r="AR865"/>
  <c r="CC865" s="1"/>
  <c r="AQ865"/>
  <c r="AP865"/>
  <c r="CA865" s="1"/>
  <c r="AO865"/>
  <c r="AN865"/>
  <c r="BY865" s="1"/>
  <c r="AM865"/>
  <c r="AL865"/>
  <c r="AK865"/>
  <c r="AJ865"/>
  <c r="AI865"/>
  <c r="AH865"/>
  <c r="AG865"/>
  <c r="AF865"/>
  <c r="AE865"/>
  <c r="AD865"/>
  <c r="AC865"/>
  <c r="AB865"/>
  <c r="AA865"/>
  <c r="DE864"/>
  <c r="BJ864"/>
  <c r="BV864" s="1"/>
  <c r="BI864"/>
  <c r="BH864"/>
  <c r="BU864" s="1"/>
  <c r="BG864"/>
  <c r="BF864"/>
  <c r="BS864" s="1"/>
  <c r="BE864"/>
  <c r="BD864"/>
  <c r="BQ864" s="1"/>
  <c r="BC864"/>
  <c r="BB864"/>
  <c r="BO864" s="1"/>
  <c r="BA864"/>
  <c r="AZ864"/>
  <c r="BM864" s="1"/>
  <c r="AY864"/>
  <c r="BK864" s="1"/>
  <c r="AX864"/>
  <c r="BW864" s="1"/>
  <c r="AW864"/>
  <c r="AV864"/>
  <c r="CG864" s="1"/>
  <c r="AU864"/>
  <c r="AT864"/>
  <c r="CE864" s="1"/>
  <c r="AS864"/>
  <c r="AR864"/>
  <c r="CC864" s="1"/>
  <c r="AQ864"/>
  <c r="AP864"/>
  <c r="CA864" s="1"/>
  <c r="AO864"/>
  <c r="AN864"/>
  <c r="BY864" s="1"/>
  <c r="AM864"/>
  <c r="AL864"/>
  <c r="AK864"/>
  <c r="AJ864"/>
  <c r="AI864"/>
  <c r="AH864"/>
  <c r="AG864"/>
  <c r="AF864"/>
  <c r="AE864"/>
  <c r="AD864"/>
  <c r="AC864"/>
  <c r="AB864"/>
  <c r="AA864"/>
  <c r="DE863"/>
  <c r="BJ863"/>
  <c r="BV863" s="1"/>
  <c r="BI863"/>
  <c r="BH863"/>
  <c r="BU863" s="1"/>
  <c r="BG863"/>
  <c r="BF863"/>
  <c r="BS863" s="1"/>
  <c r="BE863"/>
  <c r="BD863"/>
  <c r="BQ863" s="1"/>
  <c r="BC863"/>
  <c r="BB863"/>
  <c r="BO863" s="1"/>
  <c r="BA863"/>
  <c r="AZ863"/>
  <c r="BM863" s="1"/>
  <c r="AY863"/>
  <c r="BK863" s="1"/>
  <c r="AX863"/>
  <c r="BW863" s="1"/>
  <c r="AW863"/>
  <c r="AV863"/>
  <c r="CG863" s="1"/>
  <c r="AU863"/>
  <c r="AT863"/>
  <c r="CE863" s="1"/>
  <c r="AS863"/>
  <c r="AR863"/>
  <c r="CC863" s="1"/>
  <c r="AQ863"/>
  <c r="AP863"/>
  <c r="CA863" s="1"/>
  <c r="AO863"/>
  <c r="AN863"/>
  <c r="BY863" s="1"/>
  <c r="AM863"/>
  <c r="AL863"/>
  <c r="AK863"/>
  <c r="AJ863"/>
  <c r="AI863"/>
  <c r="AH863"/>
  <c r="AG863"/>
  <c r="AF863"/>
  <c r="AE863"/>
  <c r="AD863"/>
  <c r="AC863"/>
  <c r="AB863"/>
  <c r="AA863"/>
  <c r="DE862"/>
  <c r="BJ862"/>
  <c r="BV862" s="1"/>
  <c r="BI862"/>
  <c r="BH862"/>
  <c r="BU862" s="1"/>
  <c r="BG862"/>
  <c r="BF862"/>
  <c r="BS862" s="1"/>
  <c r="BE862"/>
  <c r="BD862"/>
  <c r="BQ862" s="1"/>
  <c r="BC862"/>
  <c r="BB862"/>
  <c r="BO862" s="1"/>
  <c r="BA862"/>
  <c r="AZ862"/>
  <c r="BM862" s="1"/>
  <c r="AY862"/>
  <c r="BK862" s="1"/>
  <c r="AX862"/>
  <c r="BW862" s="1"/>
  <c r="AW862"/>
  <c r="AV862"/>
  <c r="CG862" s="1"/>
  <c r="AU862"/>
  <c r="AT862"/>
  <c r="CE862" s="1"/>
  <c r="AS862"/>
  <c r="AR862"/>
  <c r="CC862" s="1"/>
  <c r="AQ862"/>
  <c r="AP862"/>
  <c r="CA862" s="1"/>
  <c r="AO862"/>
  <c r="AN862"/>
  <c r="BY862" s="1"/>
  <c r="AM862"/>
  <c r="AL862"/>
  <c r="AK862"/>
  <c r="AJ862"/>
  <c r="AI862"/>
  <c r="AH862"/>
  <c r="AG862"/>
  <c r="AF862"/>
  <c r="AE862"/>
  <c r="AD862"/>
  <c r="AC862"/>
  <c r="AB862"/>
  <c r="AA862"/>
  <c r="DE861"/>
  <c r="BJ861"/>
  <c r="BV861" s="1"/>
  <c r="BI861"/>
  <c r="BH861"/>
  <c r="BU861" s="1"/>
  <c r="BG861"/>
  <c r="BF861"/>
  <c r="BS861" s="1"/>
  <c r="BE861"/>
  <c r="BD861"/>
  <c r="BQ861" s="1"/>
  <c r="BC861"/>
  <c r="BB861"/>
  <c r="BO861" s="1"/>
  <c r="BA861"/>
  <c r="AZ861"/>
  <c r="BM861" s="1"/>
  <c r="AY861"/>
  <c r="BK861" s="1"/>
  <c r="AX861"/>
  <c r="BW861" s="1"/>
  <c r="AW861"/>
  <c r="AV861"/>
  <c r="CG861" s="1"/>
  <c r="AU861"/>
  <c r="AT861"/>
  <c r="CE861" s="1"/>
  <c r="AS861"/>
  <c r="AR861"/>
  <c r="CC861" s="1"/>
  <c r="AQ861"/>
  <c r="AP861"/>
  <c r="CA861" s="1"/>
  <c r="AO861"/>
  <c r="AN861"/>
  <c r="BY861" s="1"/>
  <c r="AM861"/>
  <c r="AL861"/>
  <c r="AK861"/>
  <c r="AJ861"/>
  <c r="AI861"/>
  <c r="AH861"/>
  <c r="AG861"/>
  <c r="AF861"/>
  <c r="AE861"/>
  <c r="AD861"/>
  <c r="AC861"/>
  <c r="AB861"/>
  <c r="AA861"/>
  <c r="DE860"/>
  <c r="BJ860"/>
  <c r="BV860" s="1"/>
  <c r="BI860"/>
  <c r="BH860"/>
  <c r="BU860" s="1"/>
  <c r="BG860"/>
  <c r="BF860"/>
  <c r="BS860" s="1"/>
  <c r="BE860"/>
  <c r="BD860"/>
  <c r="BQ860" s="1"/>
  <c r="BC860"/>
  <c r="BB860"/>
  <c r="BO860" s="1"/>
  <c r="BA860"/>
  <c r="AZ860"/>
  <c r="BM860" s="1"/>
  <c r="AY860"/>
  <c r="BK860" s="1"/>
  <c r="AX860"/>
  <c r="BW860" s="1"/>
  <c r="AW860"/>
  <c r="AV860"/>
  <c r="CG860" s="1"/>
  <c r="AU860"/>
  <c r="AT860"/>
  <c r="CE860" s="1"/>
  <c r="AS860"/>
  <c r="AR860"/>
  <c r="CC860" s="1"/>
  <c r="AQ860"/>
  <c r="AP860"/>
  <c r="CA860" s="1"/>
  <c r="AO860"/>
  <c r="AN860"/>
  <c r="BY860" s="1"/>
  <c r="AM860"/>
  <c r="AL860"/>
  <c r="AK860"/>
  <c r="AJ860"/>
  <c r="AI860"/>
  <c r="AH860"/>
  <c r="AG860"/>
  <c r="AF860"/>
  <c r="AE860"/>
  <c r="AD860"/>
  <c r="AC860"/>
  <c r="AB860"/>
  <c r="AA860"/>
  <c r="DE859"/>
  <c r="BJ859"/>
  <c r="BV859" s="1"/>
  <c r="BI859"/>
  <c r="BH859"/>
  <c r="BU859" s="1"/>
  <c r="BG859"/>
  <c r="BF859"/>
  <c r="BS859" s="1"/>
  <c r="BE859"/>
  <c r="BD859"/>
  <c r="BQ859" s="1"/>
  <c r="BC859"/>
  <c r="BB859"/>
  <c r="BO859" s="1"/>
  <c r="BA859"/>
  <c r="AZ859"/>
  <c r="BM859" s="1"/>
  <c r="AY859"/>
  <c r="BK859" s="1"/>
  <c r="AX859"/>
  <c r="BW859" s="1"/>
  <c r="AW859"/>
  <c r="AV859"/>
  <c r="CG859" s="1"/>
  <c r="AU859"/>
  <c r="AT859"/>
  <c r="CE859" s="1"/>
  <c r="AS859"/>
  <c r="AR859"/>
  <c r="CC859" s="1"/>
  <c r="AQ859"/>
  <c r="AP859"/>
  <c r="CA859" s="1"/>
  <c r="AO859"/>
  <c r="AN859"/>
  <c r="BY859" s="1"/>
  <c r="AM859"/>
  <c r="AL859"/>
  <c r="AK859"/>
  <c r="AJ859"/>
  <c r="AI859"/>
  <c r="AH859"/>
  <c r="AG859"/>
  <c r="AF859"/>
  <c r="AE859"/>
  <c r="AD859"/>
  <c r="AC859"/>
  <c r="AB859"/>
  <c r="AA859"/>
  <c r="DE858"/>
  <c r="BJ858"/>
  <c r="BV858" s="1"/>
  <c r="BI858"/>
  <c r="BH858"/>
  <c r="BU858" s="1"/>
  <c r="BG858"/>
  <c r="BF858"/>
  <c r="BS858" s="1"/>
  <c r="BE858"/>
  <c r="BD858"/>
  <c r="BQ858" s="1"/>
  <c r="BC858"/>
  <c r="BB858"/>
  <c r="BO858" s="1"/>
  <c r="BA858"/>
  <c r="AZ858"/>
  <c r="BM858" s="1"/>
  <c r="AY858"/>
  <c r="BK858" s="1"/>
  <c r="AX858"/>
  <c r="BW858" s="1"/>
  <c r="AW858"/>
  <c r="AV858"/>
  <c r="CG858" s="1"/>
  <c r="AU858"/>
  <c r="AT858"/>
  <c r="CE858" s="1"/>
  <c r="AS858"/>
  <c r="AR858"/>
  <c r="CC858" s="1"/>
  <c r="AQ858"/>
  <c r="AP858"/>
  <c r="CA858" s="1"/>
  <c r="AO858"/>
  <c r="AN858"/>
  <c r="BY858" s="1"/>
  <c r="AM858"/>
  <c r="AL858"/>
  <c r="AK858"/>
  <c r="AJ858"/>
  <c r="AI858"/>
  <c r="AH858"/>
  <c r="AG858"/>
  <c r="AF858"/>
  <c r="AE858"/>
  <c r="AD858"/>
  <c r="AC858"/>
  <c r="AB858"/>
  <c r="AA858"/>
  <c r="DE857"/>
  <c r="BJ857"/>
  <c r="BV857" s="1"/>
  <c r="BI857"/>
  <c r="BH857"/>
  <c r="BU857" s="1"/>
  <c r="BG857"/>
  <c r="BF857"/>
  <c r="BS857" s="1"/>
  <c r="BE857"/>
  <c r="BD857"/>
  <c r="BQ857" s="1"/>
  <c r="BC857"/>
  <c r="BB857"/>
  <c r="BO857" s="1"/>
  <c r="BA857"/>
  <c r="AZ857"/>
  <c r="BM857" s="1"/>
  <c r="AY857"/>
  <c r="BK857" s="1"/>
  <c r="AX857"/>
  <c r="BW857" s="1"/>
  <c r="AW857"/>
  <c r="AV857"/>
  <c r="CG857" s="1"/>
  <c r="AU857"/>
  <c r="AT857"/>
  <c r="CE857" s="1"/>
  <c r="AS857"/>
  <c r="AR857"/>
  <c r="CC857" s="1"/>
  <c r="AQ857"/>
  <c r="AP857"/>
  <c r="CA857" s="1"/>
  <c r="AO857"/>
  <c r="AN857"/>
  <c r="BY857" s="1"/>
  <c r="AM857"/>
  <c r="AL857"/>
  <c r="AK857"/>
  <c r="AJ857"/>
  <c r="AI857"/>
  <c r="AH857"/>
  <c r="AG857"/>
  <c r="AF857"/>
  <c r="AE857"/>
  <c r="AD857"/>
  <c r="AC857"/>
  <c r="AB857"/>
  <c r="AA857"/>
  <c r="DE856"/>
  <c r="BJ856"/>
  <c r="BV856" s="1"/>
  <c r="BI856"/>
  <c r="BH856"/>
  <c r="BU856" s="1"/>
  <c r="BG856"/>
  <c r="BF856"/>
  <c r="BS856" s="1"/>
  <c r="BE856"/>
  <c r="BD856"/>
  <c r="BQ856" s="1"/>
  <c r="BC856"/>
  <c r="BB856"/>
  <c r="BO856" s="1"/>
  <c r="BA856"/>
  <c r="AZ856"/>
  <c r="BM856" s="1"/>
  <c r="AY856"/>
  <c r="BK856" s="1"/>
  <c r="AX856"/>
  <c r="BW856" s="1"/>
  <c r="AW856"/>
  <c r="AV856"/>
  <c r="CG856" s="1"/>
  <c r="AU856"/>
  <c r="AT856"/>
  <c r="CE856" s="1"/>
  <c r="AS856"/>
  <c r="AR856"/>
  <c r="CC856" s="1"/>
  <c r="AQ856"/>
  <c r="AP856"/>
  <c r="CA856" s="1"/>
  <c r="AO856"/>
  <c r="AN856"/>
  <c r="BY856" s="1"/>
  <c r="AM856"/>
  <c r="AL856"/>
  <c r="AK856"/>
  <c r="AJ856"/>
  <c r="AI856"/>
  <c r="AH856"/>
  <c r="AG856"/>
  <c r="AF856"/>
  <c r="AE856"/>
  <c r="AD856"/>
  <c r="AC856"/>
  <c r="AB856"/>
  <c r="AA856"/>
  <c r="DE855"/>
  <c r="BJ855"/>
  <c r="BV855" s="1"/>
  <c r="BI855"/>
  <c r="BH855"/>
  <c r="BU855" s="1"/>
  <c r="BG855"/>
  <c r="BF855"/>
  <c r="BS855" s="1"/>
  <c r="BE855"/>
  <c r="BD855"/>
  <c r="BQ855" s="1"/>
  <c r="BC855"/>
  <c r="BB855"/>
  <c r="BO855" s="1"/>
  <c r="BA855"/>
  <c r="AZ855"/>
  <c r="BM855" s="1"/>
  <c r="AY855"/>
  <c r="BK855" s="1"/>
  <c r="AX855"/>
  <c r="BW855" s="1"/>
  <c r="AW855"/>
  <c r="AV855"/>
  <c r="CG855" s="1"/>
  <c r="AU855"/>
  <c r="AT855"/>
  <c r="CE855" s="1"/>
  <c r="AS855"/>
  <c r="AR855"/>
  <c r="CC855" s="1"/>
  <c r="AQ855"/>
  <c r="AP855"/>
  <c r="CA855" s="1"/>
  <c r="AO855"/>
  <c r="AN855"/>
  <c r="BY855" s="1"/>
  <c r="AM855"/>
  <c r="AL855"/>
  <c r="AK855"/>
  <c r="AJ855"/>
  <c r="AI855"/>
  <c r="AH855"/>
  <c r="AG855"/>
  <c r="AF855"/>
  <c r="AE855"/>
  <c r="AD855"/>
  <c r="AC855"/>
  <c r="AB855"/>
  <c r="AA855"/>
  <c r="DE854"/>
  <c r="BJ854"/>
  <c r="BV854" s="1"/>
  <c r="BI854"/>
  <c r="BH854"/>
  <c r="BU854" s="1"/>
  <c r="BG854"/>
  <c r="BF854"/>
  <c r="BS854" s="1"/>
  <c r="BE854"/>
  <c r="BD854"/>
  <c r="BQ854" s="1"/>
  <c r="BC854"/>
  <c r="BB854"/>
  <c r="BO854" s="1"/>
  <c r="BA854"/>
  <c r="AZ854"/>
  <c r="BM854" s="1"/>
  <c r="AY854"/>
  <c r="BK854" s="1"/>
  <c r="AX854"/>
  <c r="BW854" s="1"/>
  <c r="AW854"/>
  <c r="AV854"/>
  <c r="CG854" s="1"/>
  <c r="AU854"/>
  <c r="AT854"/>
  <c r="CE854" s="1"/>
  <c r="AS854"/>
  <c r="AR854"/>
  <c r="CC854" s="1"/>
  <c r="AQ854"/>
  <c r="AP854"/>
  <c r="CA854" s="1"/>
  <c r="AO854"/>
  <c r="AN854"/>
  <c r="BY854" s="1"/>
  <c r="AM854"/>
  <c r="AL854"/>
  <c r="AK854"/>
  <c r="AJ854"/>
  <c r="AI854"/>
  <c r="AH854"/>
  <c r="AG854"/>
  <c r="AF854"/>
  <c r="AE854"/>
  <c r="AD854"/>
  <c r="AC854"/>
  <c r="AB854"/>
  <c r="AA854"/>
  <c r="DE853"/>
  <c r="BJ853"/>
  <c r="BV853" s="1"/>
  <c r="BI853"/>
  <c r="BH853"/>
  <c r="BU853" s="1"/>
  <c r="BG853"/>
  <c r="BF853"/>
  <c r="BS853" s="1"/>
  <c r="BE853"/>
  <c r="BD853"/>
  <c r="BQ853" s="1"/>
  <c r="BC853"/>
  <c r="BB853"/>
  <c r="BO853" s="1"/>
  <c r="BA853"/>
  <c r="AZ853"/>
  <c r="BM853" s="1"/>
  <c r="AY853"/>
  <c r="BK853" s="1"/>
  <c r="AX853"/>
  <c r="BW853" s="1"/>
  <c r="AW853"/>
  <c r="AV853"/>
  <c r="CG853" s="1"/>
  <c r="AU853"/>
  <c r="AT853"/>
  <c r="CE853" s="1"/>
  <c r="AS853"/>
  <c r="AR853"/>
  <c r="CC853" s="1"/>
  <c r="AQ853"/>
  <c r="AP853"/>
  <c r="CA853" s="1"/>
  <c r="AO853"/>
  <c r="AN853"/>
  <c r="BY853" s="1"/>
  <c r="AM853"/>
  <c r="AL853"/>
  <c r="AK853"/>
  <c r="AJ853"/>
  <c r="AI853"/>
  <c r="AH853"/>
  <c r="AG853"/>
  <c r="AF853"/>
  <c r="AE853"/>
  <c r="AD853"/>
  <c r="AC853"/>
  <c r="AB853"/>
  <c r="AA853"/>
  <c r="DE852"/>
  <c r="BJ852"/>
  <c r="BV852" s="1"/>
  <c r="BI852"/>
  <c r="BH852"/>
  <c r="BU852" s="1"/>
  <c r="BG852"/>
  <c r="BF852"/>
  <c r="BS852" s="1"/>
  <c r="BE852"/>
  <c r="BD852"/>
  <c r="BQ852" s="1"/>
  <c r="BC852"/>
  <c r="BB852"/>
  <c r="BO852" s="1"/>
  <c r="BA852"/>
  <c r="AZ852"/>
  <c r="BM852" s="1"/>
  <c r="AY852"/>
  <c r="BK852" s="1"/>
  <c r="AX852"/>
  <c r="BW852" s="1"/>
  <c r="AW852"/>
  <c r="AV852"/>
  <c r="CG852" s="1"/>
  <c r="AU852"/>
  <c r="AT852"/>
  <c r="CE852" s="1"/>
  <c r="AS852"/>
  <c r="AR852"/>
  <c r="CC852" s="1"/>
  <c r="AQ852"/>
  <c r="AP852"/>
  <c r="CA852" s="1"/>
  <c r="AO852"/>
  <c r="AN852"/>
  <c r="BY852" s="1"/>
  <c r="AM852"/>
  <c r="AL852"/>
  <c r="AK852"/>
  <c r="AJ852"/>
  <c r="AI852"/>
  <c r="AH852"/>
  <c r="AG852"/>
  <c r="AF852"/>
  <c r="AE852"/>
  <c r="AD852"/>
  <c r="AC852"/>
  <c r="AB852"/>
  <c r="AA852"/>
  <c r="DE851"/>
  <c r="BJ851"/>
  <c r="BV851" s="1"/>
  <c r="BI851"/>
  <c r="BH851"/>
  <c r="BU851" s="1"/>
  <c r="BG851"/>
  <c r="BF851"/>
  <c r="BS851" s="1"/>
  <c r="BE851"/>
  <c r="BD851"/>
  <c r="BQ851" s="1"/>
  <c r="BC851"/>
  <c r="BB851"/>
  <c r="BO851" s="1"/>
  <c r="BA851"/>
  <c r="AZ851"/>
  <c r="BM851" s="1"/>
  <c r="AY851"/>
  <c r="BK851" s="1"/>
  <c r="AX851"/>
  <c r="BW851" s="1"/>
  <c r="AW851"/>
  <c r="AV851"/>
  <c r="CG851" s="1"/>
  <c r="AU851"/>
  <c r="AT851"/>
  <c r="CE851" s="1"/>
  <c r="AS851"/>
  <c r="AR851"/>
  <c r="CC851" s="1"/>
  <c r="AQ851"/>
  <c r="AP851"/>
  <c r="CA851" s="1"/>
  <c r="AO851"/>
  <c r="AN851"/>
  <c r="BY851" s="1"/>
  <c r="AM851"/>
  <c r="AL851"/>
  <c r="AK851"/>
  <c r="AJ851"/>
  <c r="AI851"/>
  <c r="AH851"/>
  <c r="AG851"/>
  <c r="AF851"/>
  <c r="AE851"/>
  <c r="AD851"/>
  <c r="AC851"/>
  <c r="AB851"/>
  <c r="AA851"/>
  <c r="DE850"/>
  <c r="BJ850"/>
  <c r="BV850" s="1"/>
  <c r="BI850"/>
  <c r="BH850"/>
  <c r="BU850" s="1"/>
  <c r="BG850"/>
  <c r="BF850"/>
  <c r="BS850" s="1"/>
  <c r="BE850"/>
  <c r="BD850"/>
  <c r="BQ850" s="1"/>
  <c r="BC850"/>
  <c r="BB850"/>
  <c r="BO850" s="1"/>
  <c r="BA850"/>
  <c r="AZ850"/>
  <c r="BM850" s="1"/>
  <c r="AY850"/>
  <c r="BK850" s="1"/>
  <c r="AX850"/>
  <c r="BW850" s="1"/>
  <c r="AW850"/>
  <c r="AV850"/>
  <c r="CG850" s="1"/>
  <c r="AU850"/>
  <c r="AT850"/>
  <c r="CE850" s="1"/>
  <c r="AS850"/>
  <c r="AR850"/>
  <c r="CC850" s="1"/>
  <c r="AQ850"/>
  <c r="AP850"/>
  <c r="CA850" s="1"/>
  <c r="AO850"/>
  <c r="AN850"/>
  <c r="BY850" s="1"/>
  <c r="AM850"/>
  <c r="AL850"/>
  <c r="AK850"/>
  <c r="AJ850"/>
  <c r="AI850"/>
  <c r="AH850"/>
  <c r="AG850"/>
  <c r="AF850"/>
  <c r="AE850"/>
  <c r="AD850"/>
  <c r="AC850"/>
  <c r="AB850"/>
  <c r="AA850"/>
  <c r="DE849"/>
  <c r="BJ849"/>
  <c r="BV849" s="1"/>
  <c r="BI849"/>
  <c r="BH849"/>
  <c r="BU849" s="1"/>
  <c r="BG849"/>
  <c r="BF849"/>
  <c r="BS849" s="1"/>
  <c r="BE849"/>
  <c r="BD849"/>
  <c r="BQ849" s="1"/>
  <c r="BC849"/>
  <c r="BB849"/>
  <c r="BO849" s="1"/>
  <c r="BA849"/>
  <c r="AZ849"/>
  <c r="BM849" s="1"/>
  <c r="AY849"/>
  <c r="BK849" s="1"/>
  <c r="AX849"/>
  <c r="BW849" s="1"/>
  <c r="AW849"/>
  <c r="AV849"/>
  <c r="CG849" s="1"/>
  <c r="AU849"/>
  <c r="AT849"/>
  <c r="CE849" s="1"/>
  <c r="AS849"/>
  <c r="AR849"/>
  <c r="CC849" s="1"/>
  <c r="AQ849"/>
  <c r="AP849"/>
  <c r="CA849" s="1"/>
  <c r="AO849"/>
  <c r="AN849"/>
  <c r="BY849" s="1"/>
  <c r="AM849"/>
  <c r="AL849"/>
  <c r="AK849"/>
  <c r="AJ849"/>
  <c r="AI849"/>
  <c r="AH849"/>
  <c r="AG849"/>
  <c r="AF849"/>
  <c r="AE849"/>
  <c r="AD849"/>
  <c r="AC849"/>
  <c r="AB849"/>
  <c r="AA849"/>
  <c r="DE848"/>
  <c r="BJ848"/>
  <c r="BV848" s="1"/>
  <c r="BI848"/>
  <c r="BH848"/>
  <c r="BU848" s="1"/>
  <c r="BG848"/>
  <c r="BF848"/>
  <c r="BS848" s="1"/>
  <c r="BE848"/>
  <c r="BD848"/>
  <c r="BQ848" s="1"/>
  <c r="BC848"/>
  <c r="BB848"/>
  <c r="BO848" s="1"/>
  <c r="BA848"/>
  <c r="AZ848"/>
  <c r="BM848" s="1"/>
  <c r="AY848"/>
  <c r="BK848" s="1"/>
  <c r="AX848"/>
  <c r="BW848" s="1"/>
  <c r="AW848"/>
  <c r="AV848"/>
  <c r="CG848" s="1"/>
  <c r="AU848"/>
  <c r="AT848"/>
  <c r="CE848" s="1"/>
  <c r="AS848"/>
  <c r="AR848"/>
  <c r="CC848" s="1"/>
  <c r="AQ848"/>
  <c r="AP848"/>
  <c r="CA848" s="1"/>
  <c r="AO848"/>
  <c r="AN848"/>
  <c r="BY848" s="1"/>
  <c r="AM848"/>
  <c r="AL848"/>
  <c r="AK848"/>
  <c r="AJ848"/>
  <c r="AI848"/>
  <c r="AH848"/>
  <c r="AG848"/>
  <c r="AF848"/>
  <c r="AE848"/>
  <c r="AD848"/>
  <c r="AC848"/>
  <c r="AB848"/>
  <c r="AA848"/>
  <c r="DE847"/>
  <c r="BJ847"/>
  <c r="BV847" s="1"/>
  <c r="BI847"/>
  <c r="BH847"/>
  <c r="BU847" s="1"/>
  <c r="BG847"/>
  <c r="BF847"/>
  <c r="BS847" s="1"/>
  <c r="BE847"/>
  <c r="BD847"/>
  <c r="BQ847" s="1"/>
  <c r="BC847"/>
  <c r="BB847"/>
  <c r="BO847" s="1"/>
  <c r="BA847"/>
  <c r="AZ847"/>
  <c r="BM847" s="1"/>
  <c r="AY847"/>
  <c r="BK847" s="1"/>
  <c r="AX847"/>
  <c r="BW847" s="1"/>
  <c r="AW847"/>
  <c r="AV847"/>
  <c r="CG847" s="1"/>
  <c r="AU847"/>
  <c r="AT847"/>
  <c r="CE847" s="1"/>
  <c r="AS847"/>
  <c r="AR847"/>
  <c r="CC847" s="1"/>
  <c r="AQ847"/>
  <c r="AP847"/>
  <c r="CA847" s="1"/>
  <c r="AO847"/>
  <c r="AN847"/>
  <c r="BY847" s="1"/>
  <c r="AM847"/>
  <c r="AL847"/>
  <c r="AK847"/>
  <c r="AJ847"/>
  <c r="AI847"/>
  <c r="AH847"/>
  <c r="AG847"/>
  <c r="AF847"/>
  <c r="AE847"/>
  <c r="AD847"/>
  <c r="AC847"/>
  <c r="AB847"/>
  <c r="AA847"/>
  <c r="DE846"/>
  <c r="BJ846"/>
  <c r="BV846" s="1"/>
  <c r="BI846"/>
  <c r="BH846"/>
  <c r="BU846" s="1"/>
  <c r="BG846"/>
  <c r="BF846"/>
  <c r="BS846" s="1"/>
  <c r="BE846"/>
  <c r="BD846"/>
  <c r="BQ846" s="1"/>
  <c r="BC846"/>
  <c r="BB846"/>
  <c r="BO846" s="1"/>
  <c r="BA846"/>
  <c r="AZ846"/>
  <c r="BM846" s="1"/>
  <c r="AY846"/>
  <c r="BK846" s="1"/>
  <c r="AX846"/>
  <c r="BW846" s="1"/>
  <c r="AW846"/>
  <c r="AV846"/>
  <c r="CG846" s="1"/>
  <c r="AU846"/>
  <c r="AT846"/>
  <c r="CE846" s="1"/>
  <c r="AS846"/>
  <c r="AR846"/>
  <c r="CC846" s="1"/>
  <c r="AQ846"/>
  <c r="AP846"/>
  <c r="CA846" s="1"/>
  <c r="AO846"/>
  <c r="AN846"/>
  <c r="BY846" s="1"/>
  <c r="AM846"/>
  <c r="AL846"/>
  <c r="AK846"/>
  <c r="AJ846"/>
  <c r="AI846"/>
  <c r="AH846"/>
  <c r="AG846"/>
  <c r="AF846"/>
  <c r="AE846"/>
  <c r="AD846"/>
  <c r="AC846"/>
  <c r="AB846"/>
  <c r="AA846"/>
  <c r="DE845"/>
  <c r="BJ845"/>
  <c r="BV845" s="1"/>
  <c r="BI845"/>
  <c r="BH845"/>
  <c r="BU845" s="1"/>
  <c r="BG845"/>
  <c r="BF845"/>
  <c r="BS845" s="1"/>
  <c r="BE845"/>
  <c r="BD845"/>
  <c r="BQ845" s="1"/>
  <c r="BC845"/>
  <c r="BB845"/>
  <c r="BO845" s="1"/>
  <c r="BA845"/>
  <c r="AZ845"/>
  <c r="BM845" s="1"/>
  <c r="AY845"/>
  <c r="BK845" s="1"/>
  <c r="AX845"/>
  <c r="BW845" s="1"/>
  <c r="AW845"/>
  <c r="AV845"/>
  <c r="CG845" s="1"/>
  <c r="AU845"/>
  <c r="AT845"/>
  <c r="CE845" s="1"/>
  <c r="AS845"/>
  <c r="AR845"/>
  <c r="CC845" s="1"/>
  <c r="AQ845"/>
  <c r="AP845"/>
  <c r="CA845" s="1"/>
  <c r="AO845"/>
  <c r="AN845"/>
  <c r="BY845" s="1"/>
  <c r="AM845"/>
  <c r="AL845"/>
  <c r="AK845"/>
  <c r="AJ845"/>
  <c r="AI845"/>
  <c r="AH845"/>
  <c r="AG845"/>
  <c r="AF845"/>
  <c r="AE845"/>
  <c r="AD845"/>
  <c r="AC845"/>
  <c r="AB845"/>
  <c r="AA845"/>
  <c r="DE844"/>
  <c r="BJ844"/>
  <c r="BV844" s="1"/>
  <c r="BI844"/>
  <c r="BH844"/>
  <c r="BU844" s="1"/>
  <c r="BG844"/>
  <c r="BF844"/>
  <c r="BS844" s="1"/>
  <c r="BE844"/>
  <c r="BD844"/>
  <c r="BQ844" s="1"/>
  <c r="BC844"/>
  <c r="BB844"/>
  <c r="BO844" s="1"/>
  <c r="BA844"/>
  <c r="AZ844"/>
  <c r="BM844" s="1"/>
  <c r="AY844"/>
  <c r="BK844" s="1"/>
  <c r="AX844"/>
  <c r="BW844" s="1"/>
  <c r="AW844"/>
  <c r="AV844"/>
  <c r="CG844" s="1"/>
  <c r="AU844"/>
  <c r="AT844"/>
  <c r="CE844" s="1"/>
  <c r="AS844"/>
  <c r="AR844"/>
  <c r="CC844" s="1"/>
  <c r="AQ844"/>
  <c r="AP844"/>
  <c r="CA844" s="1"/>
  <c r="AO844"/>
  <c r="AN844"/>
  <c r="BY844" s="1"/>
  <c r="AM844"/>
  <c r="AL844"/>
  <c r="AK844"/>
  <c r="AJ844"/>
  <c r="AI844"/>
  <c r="AH844"/>
  <c r="AG844"/>
  <c r="AF844"/>
  <c r="AE844"/>
  <c r="AD844"/>
  <c r="AC844"/>
  <c r="AB844"/>
  <c r="AA844"/>
  <c r="DE843"/>
  <c r="BJ843"/>
  <c r="BV843" s="1"/>
  <c r="BI843"/>
  <c r="BH843"/>
  <c r="BU843" s="1"/>
  <c r="BG843"/>
  <c r="BF843"/>
  <c r="BS843" s="1"/>
  <c r="BE843"/>
  <c r="BD843"/>
  <c r="BQ843" s="1"/>
  <c r="BC843"/>
  <c r="BB843"/>
  <c r="BO843" s="1"/>
  <c r="BA843"/>
  <c r="AZ843"/>
  <c r="BM843" s="1"/>
  <c r="AY843"/>
  <c r="BK843" s="1"/>
  <c r="AX843"/>
  <c r="BW843" s="1"/>
  <c r="AW843"/>
  <c r="AV843"/>
  <c r="CG843" s="1"/>
  <c r="AU843"/>
  <c r="AT843"/>
  <c r="CE843" s="1"/>
  <c r="AS843"/>
  <c r="AR843"/>
  <c r="CC843" s="1"/>
  <c r="AQ843"/>
  <c r="AP843"/>
  <c r="CA843" s="1"/>
  <c r="AO843"/>
  <c r="AN843"/>
  <c r="BY843" s="1"/>
  <c r="AM843"/>
  <c r="AL843"/>
  <c r="AK843"/>
  <c r="AJ843"/>
  <c r="AI843"/>
  <c r="AH843"/>
  <c r="AG843"/>
  <c r="AF843"/>
  <c r="AE843"/>
  <c r="AD843"/>
  <c r="AC843"/>
  <c r="AB843"/>
  <c r="AA843"/>
  <c r="DE842"/>
  <c r="BJ842"/>
  <c r="BV842" s="1"/>
  <c r="BI842"/>
  <c r="BH842"/>
  <c r="BU842" s="1"/>
  <c r="BG842"/>
  <c r="BF842"/>
  <c r="BS842" s="1"/>
  <c r="BE842"/>
  <c r="BD842"/>
  <c r="BQ842" s="1"/>
  <c r="BC842"/>
  <c r="BB842"/>
  <c r="BO842" s="1"/>
  <c r="BA842"/>
  <c r="AZ842"/>
  <c r="BM842" s="1"/>
  <c r="AY842"/>
  <c r="BK842" s="1"/>
  <c r="AX842"/>
  <c r="BW842" s="1"/>
  <c r="AW842"/>
  <c r="AV842"/>
  <c r="CG842" s="1"/>
  <c r="AU842"/>
  <c r="AT842"/>
  <c r="CE842" s="1"/>
  <c r="AS842"/>
  <c r="AR842"/>
  <c r="CC842" s="1"/>
  <c r="AQ842"/>
  <c r="AP842"/>
  <c r="CA842" s="1"/>
  <c r="AO842"/>
  <c r="AN842"/>
  <c r="BY842" s="1"/>
  <c r="AM842"/>
  <c r="AL842"/>
  <c r="AK842"/>
  <c r="AJ842"/>
  <c r="AI842"/>
  <c r="AH842"/>
  <c r="AG842"/>
  <c r="AF842"/>
  <c r="AE842"/>
  <c r="AD842"/>
  <c r="AC842"/>
  <c r="AB842"/>
  <c r="AA842"/>
  <c r="DE841"/>
  <c r="BJ841"/>
  <c r="BV841" s="1"/>
  <c r="BI841"/>
  <c r="BH841"/>
  <c r="BU841" s="1"/>
  <c r="BG841"/>
  <c r="BF841"/>
  <c r="BS841" s="1"/>
  <c r="BE841"/>
  <c r="BD841"/>
  <c r="BQ841" s="1"/>
  <c r="BC841"/>
  <c r="BB841"/>
  <c r="BO841" s="1"/>
  <c r="BA841"/>
  <c r="AZ841"/>
  <c r="BM841" s="1"/>
  <c r="AY841"/>
  <c r="BK841" s="1"/>
  <c r="AX841"/>
  <c r="BW841" s="1"/>
  <c r="AW841"/>
  <c r="AV841"/>
  <c r="CG841" s="1"/>
  <c r="AU841"/>
  <c r="AT841"/>
  <c r="CE841" s="1"/>
  <c r="AS841"/>
  <c r="AR841"/>
  <c r="CC841" s="1"/>
  <c r="AQ841"/>
  <c r="AP841"/>
  <c r="CA841" s="1"/>
  <c r="AO841"/>
  <c r="AN841"/>
  <c r="BY841" s="1"/>
  <c r="AM841"/>
  <c r="AL841"/>
  <c r="AK841"/>
  <c r="AJ841"/>
  <c r="AI841"/>
  <c r="AH841"/>
  <c r="AG841"/>
  <c r="AF841"/>
  <c r="AE841"/>
  <c r="AD841"/>
  <c r="AC841"/>
  <c r="AB841"/>
  <c r="AA841"/>
  <c r="DE840"/>
  <c r="BJ840"/>
  <c r="BV840" s="1"/>
  <c r="BI840"/>
  <c r="BH840"/>
  <c r="BU840" s="1"/>
  <c r="BG840"/>
  <c r="BF840"/>
  <c r="BS840" s="1"/>
  <c r="BE840"/>
  <c r="BD840"/>
  <c r="BQ840" s="1"/>
  <c r="BC840"/>
  <c r="BB840"/>
  <c r="BO840" s="1"/>
  <c r="BA840"/>
  <c r="AZ840"/>
  <c r="BM840" s="1"/>
  <c r="AY840"/>
  <c r="BK840" s="1"/>
  <c r="AX840"/>
  <c r="BW840" s="1"/>
  <c r="AW840"/>
  <c r="AV840"/>
  <c r="CG840" s="1"/>
  <c r="AU840"/>
  <c r="AT840"/>
  <c r="CE840" s="1"/>
  <c r="AS840"/>
  <c r="AR840"/>
  <c r="CC840" s="1"/>
  <c r="AQ840"/>
  <c r="AP840"/>
  <c r="CA840" s="1"/>
  <c r="AO840"/>
  <c r="AN840"/>
  <c r="BY840" s="1"/>
  <c r="AM840"/>
  <c r="AL840"/>
  <c r="AK840"/>
  <c r="AJ840"/>
  <c r="AI840"/>
  <c r="AH840"/>
  <c r="AG840"/>
  <c r="AF840"/>
  <c r="AE840"/>
  <c r="AD840"/>
  <c r="AC840"/>
  <c r="AB840"/>
  <c r="AA840"/>
  <c r="DE839"/>
  <c r="BJ839"/>
  <c r="BV839" s="1"/>
  <c r="BI839"/>
  <c r="BH839"/>
  <c r="BU839" s="1"/>
  <c r="BG839"/>
  <c r="BF839"/>
  <c r="BS839" s="1"/>
  <c r="BE839"/>
  <c r="BD839"/>
  <c r="BQ839" s="1"/>
  <c r="BC839"/>
  <c r="BB839"/>
  <c r="BO839" s="1"/>
  <c r="BA839"/>
  <c r="AZ839"/>
  <c r="BM839" s="1"/>
  <c r="AY839"/>
  <c r="BK839" s="1"/>
  <c r="AX839"/>
  <c r="BW839" s="1"/>
  <c r="AW839"/>
  <c r="AV839"/>
  <c r="CG839" s="1"/>
  <c r="AU839"/>
  <c r="AT839"/>
  <c r="CE839" s="1"/>
  <c r="AS839"/>
  <c r="AR839"/>
  <c r="CC839" s="1"/>
  <c r="AQ839"/>
  <c r="AP839"/>
  <c r="CA839" s="1"/>
  <c r="AO839"/>
  <c r="AN839"/>
  <c r="BY839" s="1"/>
  <c r="AM839"/>
  <c r="AL839"/>
  <c r="AK839"/>
  <c r="AJ839"/>
  <c r="AI839"/>
  <c r="AH839"/>
  <c r="AG839"/>
  <c r="AF839"/>
  <c r="AE839"/>
  <c r="AD839"/>
  <c r="AC839"/>
  <c r="AB839"/>
  <c r="AA839"/>
  <c r="DE838"/>
  <c r="BJ838"/>
  <c r="BV838" s="1"/>
  <c r="BI838"/>
  <c r="BH838"/>
  <c r="BU838" s="1"/>
  <c r="BG838"/>
  <c r="BF838"/>
  <c r="BS838" s="1"/>
  <c r="BE838"/>
  <c r="BD838"/>
  <c r="BQ838" s="1"/>
  <c r="BC838"/>
  <c r="BB838"/>
  <c r="BO838" s="1"/>
  <c r="BA838"/>
  <c r="AZ838"/>
  <c r="BM838" s="1"/>
  <c r="AY838"/>
  <c r="BK838" s="1"/>
  <c r="AX838"/>
  <c r="BW838" s="1"/>
  <c r="AW838"/>
  <c r="AV838"/>
  <c r="CG838" s="1"/>
  <c r="AU838"/>
  <c r="AT838"/>
  <c r="CE838" s="1"/>
  <c r="AS838"/>
  <c r="AR838"/>
  <c r="CC838" s="1"/>
  <c r="AQ838"/>
  <c r="AP838"/>
  <c r="CA838" s="1"/>
  <c r="AO838"/>
  <c r="AN838"/>
  <c r="BY838" s="1"/>
  <c r="AM838"/>
  <c r="AL838"/>
  <c r="AK838"/>
  <c r="AJ838"/>
  <c r="AI838"/>
  <c r="AH838"/>
  <c r="AG838"/>
  <c r="AF838"/>
  <c r="AE838"/>
  <c r="AD838"/>
  <c r="AC838"/>
  <c r="AB838"/>
  <c r="AA838"/>
  <c r="DE837"/>
  <c r="BJ837"/>
  <c r="BV837" s="1"/>
  <c r="BI837"/>
  <c r="BH837"/>
  <c r="BU837" s="1"/>
  <c r="BG837"/>
  <c r="BF837"/>
  <c r="BS837" s="1"/>
  <c r="BE837"/>
  <c r="BD837"/>
  <c r="BQ837" s="1"/>
  <c r="BC837"/>
  <c r="BB837"/>
  <c r="BO837" s="1"/>
  <c r="BA837"/>
  <c r="AZ837"/>
  <c r="BM837" s="1"/>
  <c r="AY837"/>
  <c r="BK837" s="1"/>
  <c r="AX837"/>
  <c r="BW837" s="1"/>
  <c r="AW837"/>
  <c r="AV837"/>
  <c r="CG837" s="1"/>
  <c r="AU837"/>
  <c r="AT837"/>
  <c r="CE837" s="1"/>
  <c r="AS837"/>
  <c r="AR837"/>
  <c r="CC837" s="1"/>
  <c r="AQ837"/>
  <c r="AP837"/>
  <c r="CA837" s="1"/>
  <c r="AO837"/>
  <c r="AN837"/>
  <c r="BY837" s="1"/>
  <c r="AM837"/>
  <c r="AL837"/>
  <c r="AK837"/>
  <c r="AJ837"/>
  <c r="AI837"/>
  <c r="AH837"/>
  <c r="AG837"/>
  <c r="AF837"/>
  <c r="AE837"/>
  <c r="AD837"/>
  <c r="AC837"/>
  <c r="AB837"/>
  <c r="AA837"/>
  <c r="DE836"/>
  <c r="BJ836"/>
  <c r="BV836" s="1"/>
  <c r="BI836"/>
  <c r="BH836"/>
  <c r="BU836" s="1"/>
  <c r="BG836"/>
  <c r="BF836"/>
  <c r="BS836" s="1"/>
  <c r="BE836"/>
  <c r="BD836"/>
  <c r="BQ836" s="1"/>
  <c r="BC836"/>
  <c r="BB836"/>
  <c r="BO836" s="1"/>
  <c r="BA836"/>
  <c r="AZ836"/>
  <c r="BM836" s="1"/>
  <c r="AY836"/>
  <c r="BK836" s="1"/>
  <c r="AX836"/>
  <c r="BW836" s="1"/>
  <c r="AW836"/>
  <c r="AV836"/>
  <c r="CG836" s="1"/>
  <c r="AU836"/>
  <c r="AT836"/>
  <c r="CE836" s="1"/>
  <c r="AS836"/>
  <c r="AR836"/>
  <c r="CC836" s="1"/>
  <c r="AQ836"/>
  <c r="AP836"/>
  <c r="CA836" s="1"/>
  <c r="AO836"/>
  <c r="AN836"/>
  <c r="BY836" s="1"/>
  <c r="AM836"/>
  <c r="AL836"/>
  <c r="AK836"/>
  <c r="AJ836"/>
  <c r="AI836"/>
  <c r="AH836"/>
  <c r="AG836"/>
  <c r="AF836"/>
  <c r="AE836"/>
  <c r="AD836"/>
  <c r="AC836"/>
  <c r="AB836"/>
  <c r="AA836"/>
  <c r="DE835"/>
  <c r="BJ835"/>
  <c r="BV835" s="1"/>
  <c r="BI835"/>
  <c r="BH835"/>
  <c r="BU835" s="1"/>
  <c r="BG835"/>
  <c r="BF835"/>
  <c r="BS835" s="1"/>
  <c r="BE835"/>
  <c r="BD835"/>
  <c r="BQ835" s="1"/>
  <c r="BC835"/>
  <c r="BB835"/>
  <c r="BO835" s="1"/>
  <c r="BA835"/>
  <c r="AZ835"/>
  <c r="BM835" s="1"/>
  <c r="AY835"/>
  <c r="BK835" s="1"/>
  <c r="AX835"/>
  <c r="BW835" s="1"/>
  <c r="AW835"/>
  <c r="AV835"/>
  <c r="CG835" s="1"/>
  <c r="AU835"/>
  <c r="AT835"/>
  <c r="CE835" s="1"/>
  <c r="AS835"/>
  <c r="AR835"/>
  <c r="CC835" s="1"/>
  <c r="AQ835"/>
  <c r="AP835"/>
  <c r="CA835" s="1"/>
  <c r="AO835"/>
  <c r="AN835"/>
  <c r="BY835" s="1"/>
  <c r="AM835"/>
  <c r="AL835"/>
  <c r="AK835"/>
  <c r="AJ835"/>
  <c r="AI835"/>
  <c r="AH835"/>
  <c r="AG835"/>
  <c r="AF835"/>
  <c r="AE835"/>
  <c r="AD835"/>
  <c r="AC835"/>
  <c r="AB835"/>
  <c r="AA835"/>
  <c r="DE834"/>
  <c r="BJ834"/>
  <c r="BV834" s="1"/>
  <c r="BI834"/>
  <c r="BH834"/>
  <c r="BU834" s="1"/>
  <c r="BG834"/>
  <c r="BF834"/>
  <c r="BS834" s="1"/>
  <c r="BE834"/>
  <c r="BD834"/>
  <c r="BQ834" s="1"/>
  <c r="BC834"/>
  <c r="BB834"/>
  <c r="BO834" s="1"/>
  <c r="BA834"/>
  <c r="AZ834"/>
  <c r="BM834" s="1"/>
  <c r="AY834"/>
  <c r="BK834" s="1"/>
  <c r="AX834"/>
  <c r="BW834" s="1"/>
  <c r="AW834"/>
  <c r="AV834"/>
  <c r="CG834" s="1"/>
  <c r="AU834"/>
  <c r="AT834"/>
  <c r="CE834" s="1"/>
  <c r="AS834"/>
  <c r="AR834"/>
  <c r="CC834" s="1"/>
  <c r="AQ834"/>
  <c r="AP834"/>
  <c r="CA834" s="1"/>
  <c r="AO834"/>
  <c r="AN834"/>
  <c r="BY834" s="1"/>
  <c r="AM834"/>
  <c r="AL834"/>
  <c r="AK834"/>
  <c r="AJ834"/>
  <c r="AI834"/>
  <c r="AH834"/>
  <c r="AG834"/>
  <c r="AF834"/>
  <c r="AE834"/>
  <c r="AD834"/>
  <c r="AC834"/>
  <c r="AB834"/>
  <c r="AA834"/>
  <c r="DE833"/>
  <c r="BJ833"/>
  <c r="BV833" s="1"/>
  <c r="BI833"/>
  <c r="BH833"/>
  <c r="BU833" s="1"/>
  <c r="BG833"/>
  <c r="BF833"/>
  <c r="BS833" s="1"/>
  <c r="BE833"/>
  <c r="BD833"/>
  <c r="BQ833" s="1"/>
  <c r="BC833"/>
  <c r="BB833"/>
  <c r="BO833" s="1"/>
  <c r="BA833"/>
  <c r="AZ833"/>
  <c r="BM833" s="1"/>
  <c r="AY833"/>
  <c r="BK833" s="1"/>
  <c r="AX833"/>
  <c r="BW833" s="1"/>
  <c r="AW833"/>
  <c r="AV833"/>
  <c r="CG833" s="1"/>
  <c r="AU833"/>
  <c r="AT833"/>
  <c r="CE833" s="1"/>
  <c r="AS833"/>
  <c r="AR833"/>
  <c r="CC833" s="1"/>
  <c r="AQ833"/>
  <c r="AP833"/>
  <c r="CA833" s="1"/>
  <c r="AO833"/>
  <c r="AN833"/>
  <c r="BY833" s="1"/>
  <c r="AM833"/>
  <c r="AL833"/>
  <c r="AK833"/>
  <c r="AJ833"/>
  <c r="AI833"/>
  <c r="AH833"/>
  <c r="AG833"/>
  <c r="AF833"/>
  <c r="AE833"/>
  <c r="AD833"/>
  <c r="AC833"/>
  <c r="AB833"/>
  <c r="AA833"/>
  <c r="DE832"/>
  <c r="BJ832"/>
  <c r="BV832" s="1"/>
  <c r="BI832"/>
  <c r="BH832"/>
  <c r="BU832" s="1"/>
  <c r="BG832"/>
  <c r="BF832"/>
  <c r="BS832" s="1"/>
  <c r="BE832"/>
  <c r="BD832"/>
  <c r="BQ832" s="1"/>
  <c r="BC832"/>
  <c r="BB832"/>
  <c r="BO832" s="1"/>
  <c r="BA832"/>
  <c r="AZ832"/>
  <c r="BM832" s="1"/>
  <c r="AY832"/>
  <c r="BK832" s="1"/>
  <c r="AX832"/>
  <c r="BW832" s="1"/>
  <c r="AW832"/>
  <c r="AV832"/>
  <c r="CG832" s="1"/>
  <c r="AU832"/>
  <c r="AT832"/>
  <c r="CE832" s="1"/>
  <c r="AS832"/>
  <c r="AR832"/>
  <c r="CC832" s="1"/>
  <c r="AQ832"/>
  <c r="AP832"/>
  <c r="CA832" s="1"/>
  <c r="AO832"/>
  <c r="AN832"/>
  <c r="BY832" s="1"/>
  <c r="AM832"/>
  <c r="AL832"/>
  <c r="AK832"/>
  <c r="AJ832"/>
  <c r="AI832"/>
  <c r="AH832"/>
  <c r="AG832"/>
  <c r="AF832"/>
  <c r="AE832"/>
  <c r="AD832"/>
  <c r="AC832"/>
  <c r="AB832"/>
  <c r="AA832"/>
  <c r="DE831"/>
  <c r="BJ831"/>
  <c r="BV831" s="1"/>
  <c r="BI831"/>
  <c r="BH831"/>
  <c r="BU831" s="1"/>
  <c r="BG831"/>
  <c r="BF831"/>
  <c r="BS831" s="1"/>
  <c r="BE831"/>
  <c r="BD831"/>
  <c r="BQ831" s="1"/>
  <c r="BC831"/>
  <c r="BB831"/>
  <c r="BO831" s="1"/>
  <c r="BA831"/>
  <c r="AZ831"/>
  <c r="BM831" s="1"/>
  <c r="AY831"/>
  <c r="BK831" s="1"/>
  <c r="AX831"/>
  <c r="BW831" s="1"/>
  <c r="AW831"/>
  <c r="AV831"/>
  <c r="CG831" s="1"/>
  <c r="AU831"/>
  <c r="AT831"/>
  <c r="CE831" s="1"/>
  <c r="AS831"/>
  <c r="AR831"/>
  <c r="CC831" s="1"/>
  <c r="AQ831"/>
  <c r="AP831"/>
  <c r="CA831" s="1"/>
  <c r="AO831"/>
  <c r="AN831"/>
  <c r="BY831" s="1"/>
  <c r="AM831"/>
  <c r="AL831"/>
  <c r="AK831"/>
  <c r="AJ831"/>
  <c r="AI831"/>
  <c r="AH831"/>
  <c r="AG831"/>
  <c r="AF831"/>
  <c r="AE831"/>
  <c r="AD831"/>
  <c r="AC831"/>
  <c r="AB831"/>
  <c r="AA831"/>
  <c r="DE830"/>
  <c r="BJ830"/>
  <c r="BV830" s="1"/>
  <c r="BI830"/>
  <c r="BH830"/>
  <c r="BU830" s="1"/>
  <c r="BG830"/>
  <c r="BF830"/>
  <c r="BS830" s="1"/>
  <c r="BE830"/>
  <c r="BD830"/>
  <c r="BQ830" s="1"/>
  <c r="BC830"/>
  <c r="BB830"/>
  <c r="BO830" s="1"/>
  <c r="BA830"/>
  <c r="AZ830"/>
  <c r="BM830" s="1"/>
  <c r="AY830"/>
  <c r="BK830" s="1"/>
  <c r="AX830"/>
  <c r="BW830" s="1"/>
  <c r="AW830"/>
  <c r="AV830"/>
  <c r="CG830" s="1"/>
  <c r="AU830"/>
  <c r="AT830"/>
  <c r="CE830" s="1"/>
  <c r="AS830"/>
  <c r="AR830"/>
  <c r="CC830" s="1"/>
  <c r="AQ830"/>
  <c r="AP830"/>
  <c r="CA830" s="1"/>
  <c r="AO830"/>
  <c r="AN830"/>
  <c r="BY830" s="1"/>
  <c r="AM830"/>
  <c r="AL830"/>
  <c r="AK830"/>
  <c r="AJ830"/>
  <c r="AI830"/>
  <c r="AH830"/>
  <c r="AG830"/>
  <c r="AF830"/>
  <c r="AE830"/>
  <c r="AD830"/>
  <c r="AC830"/>
  <c r="AB830"/>
  <c r="AA830"/>
  <c r="DE829"/>
  <c r="BJ829"/>
  <c r="BV829" s="1"/>
  <c r="BI829"/>
  <c r="BH829"/>
  <c r="BU829" s="1"/>
  <c r="BG829"/>
  <c r="BF829"/>
  <c r="BS829" s="1"/>
  <c r="BE829"/>
  <c r="BD829"/>
  <c r="BQ829" s="1"/>
  <c r="BC829"/>
  <c r="BB829"/>
  <c r="BO829" s="1"/>
  <c r="BA829"/>
  <c r="AZ829"/>
  <c r="BM829" s="1"/>
  <c r="AY829"/>
  <c r="BK829" s="1"/>
  <c r="AX829"/>
  <c r="BW829" s="1"/>
  <c r="AW829"/>
  <c r="AV829"/>
  <c r="CG829" s="1"/>
  <c r="AU829"/>
  <c r="AT829"/>
  <c r="CE829" s="1"/>
  <c r="AS829"/>
  <c r="AR829"/>
  <c r="CC829" s="1"/>
  <c r="AQ829"/>
  <c r="AP829"/>
  <c r="CA829" s="1"/>
  <c r="AO829"/>
  <c r="AN829"/>
  <c r="BY829" s="1"/>
  <c r="AM829"/>
  <c r="AL829"/>
  <c r="AK829"/>
  <c r="AJ829"/>
  <c r="AI829"/>
  <c r="AH829"/>
  <c r="AG829"/>
  <c r="AF829"/>
  <c r="AE829"/>
  <c r="AD829"/>
  <c r="AC829"/>
  <c r="AB829"/>
  <c r="AA829"/>
  <c r="DE828"/>
  <c r="BJ828"/>
  <c r="BV828" s="1"/>
  <c r="BI828"/>
  <c r="BH828"/>
  <c r="BU828" s="1"/>
  <c r="BG828"/>
  <c r="BF828"/>
  <c r="BS828" s="1"/>
  <c r="BE828"/>
  <c r="BD828"/>
  <c r="BQ828" s="1"/>
  <c r="BC828"/>
  <c r="BB828"/>
  <c r="BO828" s="1"/>
  <c r="BA828"/>
  <c r="AZ828"/>
  <c r="BM828" s="1"/>
  <c r="AY828"/>
  <c r="BK828" s="1"/>
  <c r="AX828"/>
  <c r="BW828" s="1"/>
  <c r="AW828"/>
  <c r="AV828"/>
  <c r="CG828" s="1"/>
  <c r="AU828"/>
  <c r="AT828"/>
  <c r="CE828" s="1"/>
  <c r="AS828"/>
  <c r="AR828"/>
  <c r="CC828" s="1"/>
  <c r="AQ828"/>
  <c r="AP828"/>
  <c r="CA828" s="1"/>
  <c r="AO828"/>
  <c r="AN828"/>
  <c r="BY828" s="1"/>
  <c r="AM828"/>
  <c r="AL828"/>
  <c r="AK828"/>
  <c r="AJ828"/>
  <c r="AI828"/>
  <c r="AH828"/>
  <c r="AG828"/>
  <c r="AF828"/>
  <c r="AE828"/>
  <c r="AD828"/>
  <c r="AC828"/>
  <c r="AB828"/>
  <c r="AA828"/>
  <c r="DE827"/>
  <c r="BJ827"/>
  <c r="BV827" s="1"/>
  <c r="BI827"/>
  <c r="BH827"/>
  <c r="BU827" s="1"/>
  <c r="BG827"/>
  <c r="BF827"/>
  <c r="BS827" s="1"/>
  <c r="BE827"/>
  <c r="BD827"/>
  <c r="BQ827" s="1"/>
  <c r="BC827"/>
  <c r="BB827"/>
  <c r="BO827" s="1"/>
  <c r="BA827"/>
  <c r="AZ827"/>
  <c r="BM827" s="1"/>
  <c r="AY827"/>
  <c r="BK827" s="1"/>
  <c r="AX827"/>
  <c r="BW827" s="1"/>
  <c r="AW827"/>
  <c r="AV827"/>
  <c r="CG827" s="1"/>
  <c r="AU827"/>
  <c r="AT827"/>
  <c r="CE827" s="1"/>
  <c r="AS827"/>
  <c r="AR827"/>
  <c r="CC827" s="1"/>
  <c r="AQ827"/>
  <c r="AP827"/>
  <c r="CA827" s="1"/>
  <c r="AO827"/>
  <c r="AN827"/>
  <c r="BY827" s="1"/>
  <c r="AM827"/>
  <c r="AL827"/>
  <c r="AK827"/>
  <c r="AJ827"/>
  <c r="AI827"/>
  <c r="AH827"/>
  <c r="AG827"/>
  <c r="AF827"/>
  <c r="AE827"/>
  <c r="AD827"/>
  <c r="AC827"/>
  <c r="AB827"/>
  <c r="AA827"/>
  <c r="DE826"/>
  <c r="BJ826"/>
  <c r="BV826" s="1"/>
  <c r="BI826"/>
  <c r="BH826"/>
  <c r="BU826" s="1"/>
  <c r="BG826"/>
  <c r="BF826"/>
  <c r="BS826" s="1"/>
  <c r="BE826"/>
  <c r="BD826"/>
  <c r="BQ826" s="1"/>
  <c r="BC826"/>
  <c r="BB826"/>
  <c r="BO826" s="1"/>
  <c r="BA826"/>
  <c r="AZ826"/>
  <c r="BM826" s="1"/>
  <c r="AY826"/>
  <c r="BK826" s="1"/>
  <c r="AX826"/>
  <c r="BW826" s="1"/>
  <c r="AW826"/>
  <c r="AV826"/>
  <c r="CG826" s="1"/>
  <c r="AU826"/>
  <c r="AT826"/>
  <c r="CE826" s="1"/>
  <c r="AS826"/>
  <c r="AR826"/>
  <c r="CC826" s="1"/>
  <c r="AQ826"/>
  <c r="AP826"/>
  <c r="CA826" s="1"/>
  <c r="AO826"/>
  <c r="AN826"/>
  <c r="BY826" s="1"/>
  <c r="AM826"/>
  <c r="AL826"/>
  <c r="AK826"/>
  <c r="AJ826"/>
  <c r="AI826"/>
  <c r="AH826"/>
  <c r="AG826"/>
  <c r="AF826"/>
  <c r="AE826"/>
  <c r="AD826"/>
  <c r="AC826"/>
  <c r="AB826"/>
  <c r="AA826"/>
  <c r="DE825"/>
  <c r="BJ825"/>
  <c r="BV825" s="1"/>
  <c r="BI825"/>
  <c r="BH825"/>
  <c r="BU825" s="1"/>
  <c r="BG825"/>
  <c r="BF825"/>
  <c r="BS825" s="1"/>
  <c r="BE825"/>
  <c r="BD825"/>
  <c r="BQ825" s="1"/>
  <c r="BC825"/>
  <c r="BB825"/>
  <c r="BO825" s="1"/>
  <c r="BA825"/>
  <c r="AZ825"/>
  <c r="BM825" s="1"/>
  <c r="AY825"/>
  <c r="BK825" s="1"/>
  <c r="AX825"/>
  <c r="BW825" s="1"/>
  <c r="AW825"/>
  <c r="AV825"/>
  <c r="CG825" s="1"/>
  <c r="AU825"/>
  <c r="AT825"/>
  <c r="CE825" s="1"/>
  <c r="AS825"/>
  <c r="AR825"/>
  <c r="CC825" s="1"/>
  <c r="AQ825"/>
  <c r="AP825"/>
  <c r="CA825" s="1"/>
  <c r="AO825"/>
  <c r="AN825"/>
  <c r="BY825" s="1"/>
  <c r="AM825"/>
  <c r="AL825"/>
  <c r="AK825"/>
  <c r="AJ825"/>
  <c r="AI825"/>
  <c r="AH825"/>
  <c r="AG825"/>
  <c r="AF825"/>
  <c r="AE825"/>
  <c r="AD825"/>
  <c r="AC825"/>
  <c r="AB825"/>
  <c r="AA825"/>
  <c r="DE824"/>
  <c r="BJ824"/>
  <c r="BV824" s="1"/>
  <c r="BI824"/>
  <c r="BH824"/>
  <c r="BU824" s="1"/>
  <c r="BG824"/>
  <c r="BF824"/>
  <c r="BS824" s="1"/>
  <c r="BE824"/>
  <c r="BD824"/>
  <c r="BQ824" s="1"/>
  <c r="BC824"/>
  <c r="BB824"/>
  <c r="BO824" s="1"/>
  <c r="BA824"/>
  <c r="AZ824"/>
  <c r="BM824" s="1"/>
  <c r="AY824"/>
  <c r="BK824" s="1"/>
  <c r="AX824"/>
  <c r="BW824" s="1"/>
  <c r="AW824"/>
  <c r="AV824"/>
  <c r="CG824" s="1"/>
  <c r="AU824"/>
  <c r="AT824"/>
  <c r="CE824" s="1"/>
  <c r="AS824"/>
  <c r="AR824"/>
  <c r="CC824" s="1"/>
  <c r="AQ824"/>
  <c r="AP824"/>
  <c r="CA824" s="1"/>
  <c r="AO824"/>
  <c r="AN824"/>
  <c r="BY824" s="1"/>
  <c r="AM824"/>
  <c r="AL824"/>
  <c r="AK824"/>
  <c r="AJ824"/>
  <c r="AI824"/>
  <c r="AH824"/>
  <c r="AG824"/>
  <c r="AF824"/>
  <c r="AE824"/>
  <c r="AD824"/>
  <c r="AC824"/>
  <c r="AB824"/>
  <c r="AA824"/>
  <c r="DE823"/>
  <c r="BJ823"/>
  <c r="BV823" s="1"/>
  <c r="BI823"/>
  <c r="BH823"/>
  <c r="BU823" s="1"/>
  <c r="BG823"/>
  <c r="BF823"/>
  <c r="BS823" s="1"/>
  <c r="BE823"/>
  <c r="BD823"/>
  <c r="BQ823" s="1"/>
  <c r="BC823"/>
  <c r="BB823"/>
  <c r="BO823" s="1"/>
  <c r="BA823"/>
  <c r="AZ823"/>
  <c r="BM823" s="1"/>
  <c r="AY823"/>
  <c r="BK823" s="1"/>
  <c r="AX823"/>
  <c r="BW823" s="1"/>
  <c r="AW823"/>
  <c r="AV823"/>
  <c r="CG823" s="1"/>
  <c r="AU823"/>
  <c r="AT823"/>
  <c r="CE823" s="1"/>
  <c r="AS823"/>
  <c r="AR823"/>
  <c r="CC823" s="1"/>
  <c r="AQ823"/>
  <c r="AP823"/>
  <c r="CA823" s="1"/>
  <c r="AO823"/>
  <c r="AN823"/>
  <c r="BY823" s="1"/>
  <c r="AM823"/>
  <c r="AL823"/>
  <c r="AK823"/>
  <c r="AJ823"/>
  <c r="AI823"/>
  <c r="AH823"/>
  <c r="AG823"/>
  <c r="AF823"/>
  <c r="AE823"/>
  <c r="AD823"/>
  <c r="AC823"/>
  <c r="AB823"/>
  <c r="AA823"/>
  <c r="DE822"/>
  <c r="BJ822"/>
  <c r="BV822" s="1"/>
  <c r="BI822"/>
  <c r="BH822"/>
  <c r="BU822" s="1"/>
  <c r="BG822"/>
  <c r="BF822"/>
  <c r="BS822" s="1"/>
  <c r="BE822"/>
  <c r="BD822"/>
  <c r="BQ822" s="1"/>
  <c r="BC822"/>
  <c r="BB822"/>
  <c r="BO822" s="1"/>
  <c r="BA822"/>
  <c r="AZ822"/>
  <c r="BM822" s="1"/>
  <c r="AY822"/>
  <c r="BK822" s="1"/>
  <c r="AX822"/>
  <c r="BW822" s="1"/>
  <c r="AW822"/>
  <c r="AV822"/>
  <c r="CG822" s="1"/>
  <c r="AU822"/>
  <c r="AT822"/>
  <c r="CE822" s="1"/>
  <c r="AS822"/>
  <c r="AR822"/>
  <c r="CC822" s="1"/>
  <c r="AQ822"/>
  <c r="AP822"/>
  <c r="CA822" s="1"/>
  <c r="AO822"/>
  <c r="AN822"/>
  <c r="BY822" s="1"/>
  <c r="AM822"/>
  <c r="AL822"/>
  <c r="AK822"/>
  <c r="AJ822"/>
  <c r="AI822"/>
  <c r="AH822"/>
  <c r="AG822"/>
  <c r="AF822"/>
  <c r="AE822"/>
  <c r="AD822"/>
  <c r="AC822"/>
  <c r="AB822"/>
  <c r="AA822"/>
  <c r="DE821"/>
  <c r="BJ821"/>
  <c r="BV821" s="1"/>
  <c r="BI821"/>
  <c r="BH821"/>
  <c r="BU821" s="1"/>
  <c r="BG821"/>
  <c r="BF821"/>
  <c r="BS821" s="1"/>
  <c r="BE821"/>
  <c r="BD821"/>
  <c r="BQ821" s="1"/>
  <c r="BC821"/>
  <c r="BB821"/>
  <c r="BO821" s="1"/>
  <c r="BA821"/>
  <c r="AZ821"/>
  <c r="BM821" s="1"/>
  <c r="AY821"/>
  <c r="BK821" s="1"/>
  <c r="AX821"/>
  <c r="AW821"/>
  <c r="AV821"/>
  <c r="AU821"/>
  <c r="AT821"/>
  <c r="AS821"/>
  <c r="AR821"/>
  <c r="AQ821"/>
  <c r="AP821"/>
  <c r="AO821"/>
  <c r="AN821"/>
  <c r="AM821"/>
  <c r="AL821"/>
  <c r="AK821"/>
  <c r="AJ821"/>
  <c r="AI821"/>
  <c r="AH821"/>
  <c r="AG821"/>
  <c r="AF821"/>
  <c r="AE821"/>
  <c r="AD821"/>
  <c r="AC821"/>
  <c r="AB821"/>
  <c r="AA821"/>
  <c r="DE820"/>
  <c r="BJ820"/>
  <c r="BV820" s="1"/>
  <c r="BI820"/>
  <c r="BH820"/>
  <c r="BU820" s="1"/>
  <c r="BG820"/>
  <c r="BF820"/>
  <c r="BS820" s="1"/>
  <c r="BE820"/>
  <c r="BD820"/>
  <c r="BQ820" s="1"/>
  <c r="BC820"/>
  <c r="BB820"/>
  <c r="BO820" s="1"/>
  <c r="BA820"/>
  <c r="AZ820"/>
  <c r="BM820" s="1"/>
  <c r="AY820"/>
  <c r="BK820" s="1"/>
  <c r="AX820"/>
  <c r="AW820"/>
  <c r="AV820"/>
  <c r="CG820" s="1"/>
  <c r="AU820"/>
  <c r="AT820"/>
  <c r="CE820" s="1"/>
  <c r="AS820"/>
  <c r="AR820"/>
  <c r="CC820" s="1"/>
  <c r="AQ820"/>
  <c r="AP820"/>
  <c r="CA820" s="1"/>
  <c r="AO820"/>
  <c r="AN820"/>
  <c r="BY820" s="1"/>
  <c r="AM820"/>
  <c r="AL820"/>
  <c r="AK820"/>
  <c r="AJ820"/>
  <c r="AI820"/>
  <c r="AH820"/>
  <c r="AG820"/>
  <c r="AF820"/>
  <c r="AE820"/>
  <c r="AD820"/>
  <c r="AC820"/>
  <c r="AB820"/>
  <c r="AA820"/>
  <c r="DE819"/>
  <c r="CF819"/>
  <c r="CB819"/>
  <c r="BX819"/>
  <c r="BT819"/>
  <c r="BP819"/>
  <c r="BL819"/>
  <c r="BJ819"/>
  <c r="BV819" s="1"/>
  <c r="BI819"/>
  <c r="BH819"/>
  <c r="BU819" s="1"/>
  <c r="BG819"/>
  <c r="BF819"/>
  <c r="BS819" s="1"/>
  <c r="BE819"/>
  <c r="BD819"/>
  <c r="BQ819" s="1"/>
  <c r="BC819"/>
  <c r="BB819"/>
  <c r="BO819" s="1"/>
  <c r="BA819"/>
  <c r="AZ819"/>
  <c r="BM819" s="1"/>
  <c r="AY819"/>
  <c r="BK819" s="1"/>
  <c r="AX819"/>
  <c r="AW819"/>
  <c r="AV819"/>
  <c r="CG819" s="1"/>
  <c r="AU819"/>
  <c r="AT819"/>
  <c r="CE819" s="1"/>
  <c r="AS819"/>
  <c r="AR819"/>
  <c r="CC819" s="1"/>
  <c r="AQ819"/>
  <c r="AP819"/>
  <c r="CA819" s="1"/>
  <c r="AO819"/>
  <c r="AN819"/>
  <c r="BY819" s="1"/>
  <c r="AM819"/>
  <c r="AL819"/>
  <c r="AK819"/>
  <c r="AJ819"/>
  <c r="AI819"/>
  <c r="AH819"/>
  <c r="AG819"/>
  <c r="AF819"/>
  <c r="AE819"/>
  <c r="AD819"/>
  <c r="AC819"/>
  <c r="AB819"/>
  <c r="AA819"/>
  <c r="DE818"/>
  <c r="BJ818"/>
  <c r="BI818"/>
  <c r="BV818" s="1"/>
  <c r="BH818"/>
  <c r="BG818"/>
  <c r="BT818" s="1"/>
  <c r="BF818"/>
  <c r="BE818"/>
  <c r="BR818" s="1"/>
  <c r="BD818"/>
  <c r="BQ818" s="1"/>
  <c r="BC818"/>
  <c r="BP818" s="1"/>
  <c r="BB818"/>
  <c r="BO818" s="1"/>
  <c r="BA818"/>
  <c r="BN818" s="1"/>
  <c r="AZ818"/>
  <c r="BM818" s="1"/>
  <c r="AY818"/>
  <c r="BK818" s="1"/>
  <c r="AX818"/>
  <c r="AW818"/>
  <c r="CH818" s="1"/>
  <c r="AV818"/>
  <c r="CG818" s="1"/>
  <c r="AU818"/>
  <c r="CF818" s="1"/>
  <c r="AT818"/>
  <c r="CE818" s="1"/>
  <c r="AS818"/>
  <c r="CD818" s="1"/>
  <c r="AR818"/>
  <c r="CC818" s="1"/>
  <c r="AQ818"/>
  <c r="CB818" s="1"/>
  <c r="AP818"/>
  <c r="CA818" s="1"/>
  <c r="AO818"/>
  <c r="BZ818" s="1"/>
  <c r="AN818"/>
  <c r="BY818" s="1"/>
  <c r="AM818"/>
  <c r="BX818" s="1"/>
  <c r="AL818"/>
  <c r="AK818"/>
  <c r="AJ818"/>
  <c r="AI818"/>
  <c r="AH818"/>
  <c r="AG818"/>
  <c r="AF818"/>
  <c r="AE818"/>
  <c r="AD818"/>
  <c r="AC818"/>
  <c r="AB818"/>
  <c r="AA818"/>
  <c r="DE817"/>
  <c r="BJ817"/>
  <c r="BV817" s="1"/>
  <c r="BI817"/>
  <c r="BH817"/>
  <c r="BU817" s="1"/>
  <c r="BG817"/>
  <c r="BF817"/>
  <c r="BS817" s="1"/>
  <c r="BE817"/>
  <c r="BD817"/>
  <c r="BQ817" s="1"/>
  <c r="BC817"/>
  <c r="BB817"/>
  <c r="BO817" s="1"/>
  <c r="BA817"/>
  <c r="AZ817"/>
  <c r="BM817" s="1"/>
  <c r="AY817"/>
  <c r="BK817" s="1"/>
  <c r="AX817"/>
  <c r="BW817" s="1"/>
  <c r="AW817"/>
  <c r="CH817" s="1"/>
  <c r="AV817"/>
  <c r="CG817" s="1"/>
  <c r="AU817"/>
  <c r="CF817" s="1"/>
  <c r="AT817"/>
  <c r="CE817" s="1"/>
  <c r="AS817"/>
  <c r="CD817" s="1"/>
  <c r="AR817"/>
  <c r="CC817" s="1"/>
  <c r="AQ817"/>
  <c r="CB817" s="1"/>
  <c r="AP817"/>
  <c r="CA817" s="1"/>
  <c r="AO817"/>
  <c r="BZ817" s="1"/>
  <c r="AN817"/>
  <c r="BY817" s="1"/>
  <c r="AM817"/>
  <c r="BX817" s="1"/>
  <c r="AL817"/>
  <c r="AK817"/>
  <c r="AJ817"/>
  <c r="AI817"/>
  <c r="AH817"/>
  <c r="AG817"/>
  <c r="AF817"/>
  <c r="AE817"/>
  <c r="AD817"/>
  <c r="AC817"/>
  <c r="AB817"/>
  <c r="AA817"/>
  <c r="DE816"/>
  <c r="BJ816"/>
  <c r="BV816" s="1"/>
  <c r="BI816"/>
  <c r="BH816"/>
  <c r="BU816" s="1"/>
  <c r="BG816"/>
  <c r="BF816"/>
  <c r="BS816" s="1"/>
  <c r="BE816"/>
  <c r="BD816"/>
  <c r="BQ816" s="1"/>
  <c r="BC816"/>
  <c r="BB816"/>
  <c r="BO816" s="1"/>
  <c r="BA816"/>
  <c r="AZ816"/>
  <c r="BM816" s="1"/>
  <c r="AY816"/>
  <c r="BK816" s="1"/>
  <c r="AX816"/>
  <c r="BW816" s="1"/>
  <c r="AW816"/>
  <c r="CH816" s="1"/>
  <c r="AV816"/>
  <c r="CG816" s="1"/>
  <c r="AU816"/>
  <c r="CF816" s="1"/>
  <c r="AT816"/>
  <c r="CE816" s="1"/>
  <c r="AS816"/>
  <c r="CD816" s="1"/>
  <c r="AR816"/>
  <c r="CC816" s="1"/>
  <c r="AQ816"/>
  <c r="CB816" s="1"/>
  <c r="AP816"/>
  <c r="CA816" s="1"/>
  <c r="AO816"/>
  <c r="BZ816" s="1"/>
  <c r="AN816"/>
  <c r="BY816" s="1"/>
  <c r="AM816"/>
  <c r="BX816" s="1"/>
  <c r="AL816"/>
  <c r="AK816"/>
  <c r="AJ816"/>
  <c r="AI816"/>
  <c r="AH816"/>
  <c r="AG816"/>
  <c r="AF816"/>
  <c r="AE816"/>
  <c r="AD816"/>
  <c r="AC816"/>
  <c r="AB816"/>
  <c r="AA816"/>
  <c r="DE815"/>
  <c r="BJ815"/>
  <c r="BV815" s="1"/>
  <c r="BI815"/>
  <c r="BH815"/>
  <c r="BU815" s="1"/>
  <c r="BG815"/>
  <c r="BF815"/>
  <c r="BS815" s="1"/>
  <c r="BE815"/>
  <c r="BD815"/>
  <c r="BQ815" s="1"/>
  <c r="BC815"/>
  <c r="BB815"/>
  <c r="BO815" s="1"/>
  <c r="BA815"/>
  <c r="AZ815"/>
  <c r="BM815" s="1"/>
  <c r="AY815"/>
  <c r="BK815" s="1"/>
  <c r="AX815"/>
  <c r="BW815" s="1"/>
  <c r="AW815"/>
  <c r="AV815"/>
  <c r="CG815" s="1"/>
  <c r="AU815"/>
  <c r="CF815" s="1"/>
  <c r="AT815"/>
  <c r="CE815" s="1"/>
  <c r="AS815"/>
  <c r="CD815" s="1"/>
  <c r="AR815"/>
  <c r="CC815" s="1"/>
  <c r="AQ815"/>
  <c r="CB815" s="1"/>
  <c r="AP815"/>
  <c r="CA815" s="1"/>
  <c r="AO815"/>
  <c r="BZ815" s="1"/>
  <c r="AN815"/>
  <c r="BY815" s="1"/>
  <c r="AM815"/>
  <c r="BX815" s="1"/>
  <c r="AL815"/>
  <c r="AK815"/>
  <c r="AJ815"/>
  <c r="AI815"/>
  <c r="AH815"/>
  <c r="AG815"/>
  <c r="AF815"/>
  <c r="AE815"/>
  <c r="AD815"/>
  <c r="AC815"/>
  <c r="AB815"/>
  <c r="AA815"/>
  <c r="DE814"/>
  <c r="BJ814"/>
  <c r="BV814" s="1"/>
  <c r="BI814"/>
  <c r="BH814"/>
  <c r="BU814" s="1"/>
  <c r="BG814"/>
  <c r="BF814"/>
  <c r="BS814" s="1"/>
  <c r="BE814"/>
  <c r="BD814"/>
  <c r="BQ814" s="1"/>
  <c r="BC814"/>
  <c r="BB814"/>
  <c r="BO814" s="1"/>
  <c r="BA814"/>
  <c r="AZ814"/>
  <c r="BM814" s="1"/>
  <c r="AY814"/>
  <c r="BK814" s="1"/>
  <c r="AX814"/>
  <c r="BW814" s="1"/>
  <c r="AW814"/>
  <c r="AV814"/>
  <c r="CG814" s="1"/>
  <c r="AU814"/>
  <c r="AT814"/>
  <c r="CE814" s="1"/>
  <c r="AS814"/>
  <c r="CD814" s="1"/>
  <c r="AR814"/>
  <c r="CC814" s="1"/>
  <c r="AQ814"/>
  <c r="CB814" s="1"/>
  <c r="AP814"/>
  <c r="CA814" s="1"/>
  <c r="AO814"/>
  <c r="BZ814" s="1"/>
  <c r="AN814"/>
  <c r="BY814" s="1"/>
  <c r="AM814"/>
  <c r="BX814" s="1"/>
  <c r="AL814"/>
  <c r="AK814"/>
  <c r="AJ814"/>
  <c r="AI814"/>
  <c r="AH814"/>
  <c r="AG814"/>
  <c r="AF814"/>
  <c r="AE814"/>
  <c r="AD814"/>
  <c r="AC814"/>
  <c r="AB814"/>
  <c r="AA814"/>
  <c r="DE813"/>
  <c r="BJ813"/>
  <c r="BV813" s="1"/>
  <c r="BI813"/>
  <c r="BH813"/>
  <c r="BU813" s="1"/>
  <c r="BG813"/>
  <c r="BF813"/>
  <c r="BS813" s="1"/>
  <c r="BE813"/>
  <c r="BD813"/>
  <c r="BQ813" s="1"/>
  <c r="BC813"/>
  <c r="BB813"/>
  <c r="BO813" s="1"/>
  <c r="BA813"/>
  <c r="AZ813"/>
  <c r="BM813" s="1"/>
  <c r="AY813"/>
  <c r="BK813" s="1"/>
  <c r="AX813"/>
  <c r="BW813" s="1"/>
  <c r="AW813"/>
  <c r="AV813"/>
  <c r="CG813" s="1"/>
  <c r="AU813"/>
  <c r="AT813"/>
  <c r="CE813" s="1"/>
  <c r="AS813"/>
  <c r="AR813"/>
  <c r="CC813" s="1"/>
  <c r="AQ813"/>
  <c r="CB813" s="1"/>
  <c r="AP813"/>
  <c r="CA813" s="1"/>
  <c r="AO813"/>
  <c r="BZ813" s="1"/>
  <c r="AN813"/>
  <c r="BY813" s="1"/>
  <c r="AM813"/>
  <c r="BX813" s="1"/>
  <c r="AL813"/>
  <c r="AK813"/>
  <c r="AJ813"/>
  <c r="AI813"/>
  <c r="AH813"/>
  <c r="AG813"/>
  <c r="AF813"/>
  <c r="AE813"/>
  <c r="AD813"/>
  <c r="AC813"/>
  <c r="AB813"/>
  <c r="AA813"/>
  <c r="DE812"/>
  <c r="BJ812"/>
  <c r="BV812" s="1"/>
  <c r="BI812"/>
  <c r="BH812"/>
  <c r="BU812" s="1"/>
  <c r="BG812"/>
  <c r="BF812"/>
  <c r="BS812" s="1"/>
  <c r="BE812"/>
  <c r="BD812"/>
  <c r="BQ812" s="1"/>
  <c r="BC812"/>
  <c r="BB812"/>
  <c r="BO812" s="1"/>
  <c r="BA812"/>
  <c r="AZ812"/>
  <c r="BM812" s="1"/>
  <c r="AY812"/>
  <c r="BK812" s="1"/>
  <c r="AX812"/>
  <c r="BW812" s="1"/>
  <c r="AW812"/>
  <c r="AV812"/>
  <c r="CG812" s="1"/>
  <c r="AU812"/>
  <c r="AT812"/>
  <c r="CE812" s="1"/>
  <c r="AS812"/>
  <c r="AR812"/>
  <c r="CC812" s="1"/>
  <c r="AQ812"/>
  <c r="AP812"/>
  <c r="CA812" s="1"/>
  <c r="AO812"/>
  <c r="BZ812" s="1"/>
  <c r="AN812"/>
  <c r="BY812" s="1"/>
  <c r="AM812"/>
  <c r="BX812" s="1"/>
  <c r="AL812"/>
  <c r="AK812"/>
  <c r="AJ812"/>
  <c r="AI812"/>
  <c r="AH812"/>
  <c r="AG812"/>
  <c r="AF812"/>
  <c r="AE812"/>
  <c r="AD812"/>
  <c r="AC812"/>
  <c r="AB812"/>
  <c r="AA812"/>
  <c r="DE811"/>
  <c r="BJ811"/>
  <c r="BV811" s="1"/>
  <c r="BI811"/>
  <c r="BH811"/>
  <c r="BU811" s="1"/>
  <c r="BG811"/>
  <c r="BF811"/>
  <c r="BS811" s="1"/>
  <c r="BE811"/>
  <c r="BD811"/>
  <c r="BQ811" s="1"/>
  <c r="BC811"/>
  <c r="BB811"/>
  <c r="BO811" s="1"/>
  <c r="BA811"/>
  <c r="AZ811"/>
  <c r="BM811" s="1"/>
  <c r="AY811"/>
  <c r="BK811" s="1"/>
  <c r="AX811"/>
  <c r="BW811" s="1"/>
  <c r="AW811"/>
  <c r="AV811"/>
  <c r="CG811" s="1"/>
  <c r="AU811"/>
  <c r="AT811"/>
  <c r="CE811" s="1"/>
  <c r="AS811"/>
  <c r="AR811"/>
  <c r="CC811" s="1"/>
  <c r="AQ811"/>
  <c r="AP811"/>
  <c r="CA811" s="1"/>
  <c r="AO811"/>
  <c r="AN811"/>
  <c r="BY811" s="1"/>
  <c r="AM811"/>
  <c r="BX811" s="1"/>
  <c r="AL811"/>
  <c r="AK811"/>
  <c r="AJ811"/>
  <c r="AI811"/>
  <c r="AH811"/>
  <c r="AG811"/>
  <c r="AF811"/>
  <c r="AE811"/>
  <c r="AD811"/>
  <c r="AC811"/>
  <c r="AB811"/>
  <c r="AA811"/>
  <c r="DE810"/>
  <c r="BJ810"/>
  <c r="BV810" s="1"/>
  <c r="BI810"/>
  <c r="BH810"/>
  <c r="BU810" s="1"/>
  <c r="BG810"/>
  <c r="BF810"/>
  <c r="BS810" s="1"/>
  <c r="BE810"/>
  <c r="BD810"/>
  <c r="BQ810" s="1"/>
  <c r="BC810"/>
  <c r="BB810"/>
  <c r="BO810" s="1"/>
  <c r="BA810"/>
  <c r="AZ810"/>
  <c r="BM810" s="1"/>
  <c r="AY810"/>
  <c r="BK810" s="1"/>
  <c r="AX810"/>
  <c r="BW810" s="1"/>
  <c r="AW810"/>
  <c r="AV810"/>
  <c r="CG810" s="1"/>
  <c r="AU810"/>
  <c r="AT810"/>
  <c r="CE810" s="1"/>
  <c r="AS810"/>
  <c r="AR810"/>
  <c r="CC810" s="1"/>
  <c r="AQ810"/>
  <c r="AP810"/>
  <c r="CA810" s="1"/>
  <c r="AO810"/>
  <c r="AN810"/>
  <c r="BY810" s="1"/>
  <c r="AM810"/>
  <c r="AL810"/>
  <c r="AK810"/>
  <c r="AJ810"/>
  <c r="AI810"/>
  <c r="AH810"/>
  <c r="AG810"/>
  <c r="AF810"/>
  <c r="AE810"/>
  <c r="AD810"/>
  <c r="AC810"/>
  <c r="AB810"/>
  <c r="AA810"/>
  <c r="DE809"/>
  <c r="BJ809"/>
  <c r="BV809" s="1"/>
  <c r="BI809"/>
  <c r="BH809"/>
  <c r="BU809" s="1"/>
  <c r="BG809"/>
  <c r="BF809"/>
  <c r="BS809" s="1"/>
  <c r="BE809"/>
  <c r="BD809"/>
  <c r="BQ809" s="1"/>
  <c r="BC809"/>
  <c r="BB809"/>
  <c r="BO809" s="1"/>
  <c r="BA809"/>
  <c r="AZ809"/>
  <c r="BM809" s="1"/>
  <c r="AY809"/>
  <c r="BK809" s="1"/>
  <c r="AX809"/>
  <c r="BW809" s="1"/>
  <c r="AW809"/>
  <c r="AV809"/>
  <c r="CG809" s="1"/>
  <c r="AU809"/>
  <c r="AT809"/>
  <c r="CE809" s="1"/>
  <c r="AS809"/>
  <c r="AR809"/>
  <c r="CC809" s="1"/>
  <c r="AQ809"/>
  <c r="AP809"/>
  <c r="CA809" s="1"/>
  <c r="AO809"/>
  <c r="AN809"/>
  <c r="BY809" s="1"/>
  <c r="AM809"/>
  <c r="AL809"/>
  <c r="AK809"/>
  <c r="AJ809"/>
  <c r="AI809"/>
  <c r="AH809"/>
  <c r="AG809"/>
  <c r="AF809"/>
  <c r="AE809"/>
  <c r="AD809"/>
  <c r="AC809"/>
  <c r="AB809"/>
  <c r="AA809"/>
  <c r="DE808"/>
  <c r="BJ808"/>
  <c r="BV808" s="1"/>
  <c r="BI808"/>
  <c r="BH808"/>
  <c r="BU808" s="1"/>
  <c r="BG808"/>
  <c r="BF808"/>
  <c r="BS808" s="1"/>
  <c r="BE808"/>
  <c r="BD808"/>
  <c r="BQ808" s="1"/>
  <c r="BC808"/>
  <c r="BB808"/>
  <c r="BO808" s="1"/>
  <c r="BA808"/>
  <c r="AZ808"/>
  <c r="BM808" s="1"/>
  <c r="AY808"/>
  <c r="BK808" s="1"/>
  <c r="AX808"/>
  <c r="BW808" s="1"/>
  <c r="AW808"/>
  <c r="AV808"/>
  <c r="CG808" s="1"/>
  <c r="AU808"/>
  <c r="AT808"/>
  <c r="CE808" s="1"/>
  <c r="AS808"/>
  <c r="AR808"/>
  <c r="CC808" s="1"/>
  <c r="AQ808"/>
  <c r="AP808"/>
  <c r="CA808" s="1"/>
  <c r="AO808"/>
  <c r="AN808"/>
  <c r="BY808" s="1"/>
  <c r="AM808"/>
  <c r="AL808"/>
  <c r="AK808"/>
  <c r="AJ808"/>
  <c r="AI808"/>
  <c r="AH808"/>
  <c r="AG808"/>
  <c r="AF808"/>
  <c r="AE808"/>
  <c r="AD808"/>
  <c r="AC808"/>
  <c r="AB808"/>
  <c r="AA808"/>
  <c r="DE807"/>
  <c r="BJ807"/>
  <c r="BV807" s="1"/>
  <c r="BI807"/>
  <c r="BH807"/>
  <c r="BU807" s="1"/>
  <c r="BG807"/>
  <c r="BF807"/>
  <c r="BS807" s="1"/>
  <c r="BE807"/>
  <c r="BD807"/>
  <c r="BQ807" s="1"/>
  <c r="BC807"/>
  <c r="BB807"/>
  <c r="BO807" s="1"/>
  <c r="BA807"/>
  <c r="AZ807"/>
  <c r="BM807" s="1"/>
  <c r="AY807"/>
  <c r="BK807" s="1"/>
  <c r="AX807"/>
  <c r="BW807" s="1"/>
  <c r="AW807"/>
  <c r="AV807"/>
  <c r="CG807" s="1"/>
  <c r="AU807"/>
  <c r="AT807"/>
  <c r="CE807" s="1"/>
  <c r="AS807"/>
  <c r="AR807"/>
  <c r="CC807" s="1"/>
  <c r="AQ807"/>
  <c r="AP807"/>
  <c r="CA807" s="1"/>
  <c r="AO807"/>
  <c r="AN807"/>
  <c r="BY807" s="1"/>
  <c r="AM807"/>
  <c r="AL807"/>
  <c r="AK807"/>
  <c r="AJ807"/>
  <c r="AI807"/>
  <c r="AH807"/>
  <c r="AG807"/>
  <c r="AF807"/>
  <c r="AE807"/>
  <c r="AD807"/>
  <c r="AC807"/>
  <c r="AB807"/>
  <c r="AA807"/>
  <c r="DE806"/>
  <c r="BJ806"/>
  <c r="BV806" s="1"/>
  <c r="BI806"/>
  <c r="BH806"/>
  <c r="BU806" s="1"/>
  <c r="BG806"/>
  <c r="BF806"/>
  <c r="BS806" s="1"/>
  <c r="BE806"/>
  <c r="BD806"/>
  <c r="BQ806" s="1"/>
  <c r="BC806"/>
  <c r="BB806"/>
  <c r="BO806" s="1"/>
  <c r="BA806"/>
  <c r="AZ806"/>
  <c r="BM806" s="1"/>
  <c r="AY806"/>
  <c r="BK806" s="1"/>
  <c r="AX806"/>
  <c r="BW806" s="1"/>
  <c r="AW806"/>
  <c r="AV806"/>
  <c r="CG806" s="1"/>
  <c r="AU806"/>
  <c r="AT806"/>
  <c r="CE806" s="1"/>
  <c r="AS806"/>
  <c r="AR806"/>
  <c r="CC806" s="1"/>
  <c r="AQ806"/>
  <c r="AP806"/>
  <c r="CA806" s="1"/>
  <c r="AO806"/>
  <c r="AN806"/>
  <c r="BY806" s="1"/>
  <c r="AM806"/>
  <c r="AL806"/>
  <c r="AK806"/>
  <c r="AJ806"/>
  <c r="AI806"/>
  <c r="AH806"/>
  <c r="AG806"/>
  <c r="AF806"/>
  <c r="AE806"/>
  <c r="AD806"/>
  <c r="AC806"/>
  <c r="AB806"/>
  <c r="AA806"/>
  <c r="DE805"/>
  <c r="BJ805"/>
  <c r="BV805" s="1"/>
  <c r="BI805"/>
  <c r="BH805"/>
  <c r="BU805" s="1"/>
  <c r="BG805"/>
  <c r="BF805"/>
  <c r="BS805" s="1"/>
  <c r="BE805"/>
  <c r="BD805"/>
  <c r="BQ805" s="1"/>
  <c r="BC805"/>
  <c r="BB805"/>
  <c r="BO805" s="1"/>
  <c r="BA805"/>
  <c r="AZ805"/>
  <c r="BM805" s="1"/>
  <c r="AY805"/>
  <c r="BK805" s="1"/>
  <c r="AX805"/>
  <c r="BW805" s="1"/>
  <c r="AW805"/>
  <c r="AV805"/>
  <c r="CG805" s="1"/>
  <c r="AU805"/>
  <c r="AT805"/>
  <c r="CE805" s="1"/>
  <c r="AS805"/>
  <c r="AR805"/>
  <c r="CC805" s="1"/>
  <c r="AQ805"/>
  <c r="AP805"/>
  <c r="CA805" s="1"/>
  <c r="AO805"/>
  <c r="AN805"/>
  <c r="BY805" s="1"/>
  <c r="AM805"/>
  <c r="AL805"/>
  <c r="AK805"/>
  <c r="AJ805"/>
  <c r="AI805"/>
  <c r="AH805"/>
  <c r="AG805"/>
  <c r="AF805"/>
  <c r="AE805"/>
  <c r="AD805"/>
  <c r="AC805"/>
  <c r="AB805"/>
  <c r="AA805"/>
  <c r="DE804"/>
  <c r="BJ804"/>
  <c r="BV804" s="1"/>
  <c r="BI804"/>
  <c r="BH804"/>
  <c r="BU804" s="1"/>
  <c r="BG804"/>
  <c r="BF804"/>
  <c r="BS804" s="1"/>
  <c r="BE804"/>
  <c r="BD804"/>
  <c r="BQ804" s="1"/>
  <c r="BC804"/>
  <c r="BB804"/>
  <c r="BO804" s="1"/>
  <c r="BA804"/>
  <c r="AZ804"/>
  <c r="BM804" s="1"/>
  <c r="AY804"/>
  <c r="BK804" s="1"/>
  <c r="AX804"/>
  <c r="BW804" s="1"/>
  <c r="AW804"/>
  <c r="AV804"/>
  <c r="CG804" s="1"/>
  <c r="AU804"/>
  <c r="AT804"/>
  <c r="CE804" s="1"/>
  <c r="AS804"/>
  <c r="AR804"/>
  <c r="CC804" s="1"/>
  <c r="AQ804"/>
  <c r="AP804"/>
  <c r="CA804" s="1"/>
  <c r="AO804"/>
  <c r="AN804"/>
  <c r="BY804" s="1"/>
  <c r="AM804"/>
  <c r="AL804"/>
  <c r="AK804"/>
  <c r="AJ804"/>
  <c r="AI804"/>
  <c r="AH804"/>
  <c r="AG804"/>
  <c r="AF804"/>
  <c r="AE804"/>
  <c r="AD804"/>
  <c r="AC804"/>
  <c r="AB804"/>
  <c r="AA804"/>
  <c r="DE803"/>
  <c r="BJ803"/>
  <c r="BV803" s="1"/>
  <c r="BI803"/>
  <c r="BH803"/>
  <c r="BU803" s="1"/>
  <c r="BG803"/>
  <c r="BF803"/>
  <c r="BS803" s="1"/>
  <c r="BE803"/>
  <c r="BD803"/>
  <c r="BQ803" s="1"/>
  <c r="BC803"/>
  <c r="BB803"/>
  <c r="BO803" s="1"/>
  <c r="BA803"/>
  <c r="AZ803"/>
  <c r="BM803" s="1"/>
  <c r="AY803"/>
  <c r="BK803" s="1"/>
  <c r="AX803"/>
  <c r="BW803" s="1"/>
  <c r="AW803"/>
  <c r="AV803"/>
  <c r="CG803" s="1"/>
  <c r="AU803"/>
  <c r="AT803"/>
  <c r="CE803" s="1"/>
  <c r="AS803"/>
  <c r="AR803"/>
  <c r="CC803" s="1"/>
  <c r="AQ803"/>
  <c r="AP803"/>
  <c r="CA803" s="1"/>
  <c r="AO803"/>
  <c r="AN803"/>
  <c r="BY803" s="1"/>
  <c r="AM803"/>
  <c r="AL803"/>
  <c r="AK803"/>
  <c r="AJ803"/>
  <c r="AI803"/>
  <c r="AH803"/>
  <c r="AG803"/>
  <c r="AF803"/>
  <c r="AE803"/>
  <c r="AD803"/>
  <c r="AC803"/>
  <c r="AB803"/>
  <c r="AA803"/>
  <c r="DE802"/>
  <c r="BJ802"/>
  <c r="BV802" s="1"/>
  <c r="BI802"/>
  <c r="BH802"/>
  <c r="BU802" s="1"/>
  <c r="BG802"/>
  <c r="BF802"/>
  <c r="BS802" s="1"/>
  <c r="BE802"/>
  <c r="BD802"/>
  <c r="BQ802" s="1"/>
  <c r="BC802"/>
  <c r="BB802"/>
  <c r="BO802" s="1"/>
  <c r="BA802"/>
  <c r="AZ802"/>
  <c r="BM802" s="1"/>
  <c r="AY802"/>
  <c r="BK802" s="1"/>
  <c r="AX802"/>
  <c r="BW802" s="1"/>
  <c r="AW802"/>
  <c r="AV802"/>
  <c r="CG802" s="1"/>
  <c r="AU802"/>
  <c r="AT802"/>
  <c r="CE802" s="1"/>
  <c r="AS802"/>
  <c r="AR802"/>
  <c r="CC802" s="1"/>
  <c r="AQ802"/>
  <c r="AP802"/>
  <c r="CA802" s="1"/>
  <c r="AO802"/>
  <c r="AN802"/>
  <c r="BY802" s="1"/>
  <c r="AM802"/>
  <c r="AL802"/>
  <c r="AK802"/>
  <c r="AJ802"/>
  <c r="AI802"/>
  <c r="AH802"/>
  <c r="AG802"/>
  <c r="AF802"/>
  <c r="AE802"/>
  <c r="AD802"/>
  <c r="AC802"/>
  <c r="AB802"/>
  <c r="AA802"/>
  <c r="DE801"/>
  <c r="BJ801"/>
  <c r="BV801" s="1"/>
  <c r="BI801"/>
  <c r="BH801"/>
  <c r="BU801" s="1"/>
  <c r="BG801"/>
  <c r="BF801"/>
  <c r="BS801" s="1"/>
  <c r="BE801"/>
  <c r="BD801"/>
  <c r="BQ801" s="1"/>
  <c r="BC801"/>
  <c r="BB801"/>
  <c r="BO801" s="1"/>
  <c r="BA801"/>
  <c r="AZ801"/>
  <c r="BM801" s="1"/>
  <c r="AY801"/>
  <c r="BK801" s="1"/>
  <c r="AX801"/>
  <c r="BW801" s="1"/>
  <c r="AW801"/>
  <c r="AV801"/>
  <c r="CG801" s="1"/>
  <c r="AU801"/>
  <c r="AT801"/>
  <c r="CE801" s="1"/>
  <c r="AS801"/>
  <c r="AR801"/>
  <c r="CC801" s="1"/>
  <c r="AQ801"/>
  <c r="AP801"/>
  <c r="CA801" s="1"/>
  <c r="AO801"/>
  <c r="AN801"/>
  <c r="BY801" s="1"/>
  <c r="AM801"/>
  <c r="AL801"/>
  <c r="AK801"/>
  <c r="AJ801"/>
  <c r="AI801"/>
  <c r="AH801"/>
  <c r="AG801"/>
  <c r="AF801"/>
  <c r="AE801"/>
  <c r="AD801"/>
  <c r="AC801"/>
  <c r="AB801"/>
  <c r="AA801"/>
  <c r="DE800"/>
  <c r="BJ800"/>
  <c r="BV800" s="1"/>
  <c r="BI800"/>
  <c r="BH800"/>
  <c r="BU800" s="1"/>
  <c r="BG800"/>
  <c r="BF800"/>
  <c r="BS800" s="1"/>
  <c r="BE800"/>
  <c r="BD800"/>
  <c r="BQ800" s="1"/>
  <c r="BC800"/>
  <c r="BB800"/>
  <c r="BO800" s="1"/>
  <c r="BA800"/>
  <c r="AZ800"/>
  <c r="BM800" s="1"/>
  <c r="AY800"/>
  <c r="BK800" s="1"/>
  <c r="AX800"/>
  <c r="BW800" s="1"/>
  <c r="AW800"/>
  <c r="AV800"/>
  <c r="CG800" s="1"/>
  <c r="AU800"/>
  <c r="AT800"/>
  <c r="CE800" s="1"/>
  <c r="AS800"/>
  <c r="AR800"/>
  <c r="CC800" s="1"/>
  <c r="AQ800"/>
  <c r="AP800"/>
  <c r="CA800" s="1"/>
  <c r="AO800"/>
  <c r="AN800"/>
  <c r="BY800" s="1"/>
  <c r="AM800"/>
  <c r="AL800"/>
  <c r="AK800"/>
  <c r="AJ800"/>
  <c r="AI800"/>
  <c r="AH800"/>
  <c r="AG800"/>
  <c r="AF800"/>
  <c r="AE800"/>
  <c r="AD800"/>
  <c r="AC800"/>
  <c r="AB800"/>
  <c r="AA800"/>
  <c r="DE799"/>
  <c r="BJ799"/>
  <c r="BV799" s="1"/>
  <c r="BI799"/>
  <c r="BH799"/>
  <c r="BU799" s="1"/>
  <c r="BG799"/>
  <c r="BF799"/>
  <c r="BS799" s="1"/>
  <c r="BE799"/>
  <c r="BD799"/>
  <c r="BQ799" s="1"/>
  <c r="BC799"/>
  <c r="BB799"/>
  <c r="BO799" s="1"/>
  <c r="BA799"/>
  <c r="AZ799"/>
  <c r="BM799" s="1"/>
  <c r="AY799"/>
  <c r="BK799" s="1"/>
  <c r="AX799"/>
  <c r="BW799" s="1"/>
  <c r="AW799"/>
  <c r="AV799"/>
  <c r="CG799" s="1"/>
  <c r="AU799"/>
  <c r="AT799"/>
  <c r="CE799" s="1"/>
  <c r="AS799"/>
  <c r="AR799"/>
  <c r="CC799" s="1"/>
  <c r="AQ799"/>
  <c r="AP799"/>
  <c r="CA799" s="1"/>
  <c r="AO799"/>
  <c r="AN799"/>
  <c r="BY799" s="1"/>
  <c r="AM799"/>
  <c r="AL799"/>
  <c r="AK799"/>
  <c r="AJ799"/>
  <c r="AI799"/>
  <c r="AH799"/>
  <c r="AG799"/>
  <c r="AF799"/>
  <c r="AE799"/>
  <c r="AD799"/>
  <c r="AC799"/>
  <c r="AB799"/>
  <c r="AA799"/>
  <c r="DE798"/>
  <c r="BJ798"/>
  <c r="BV798" s="1"/>
  <c r="BI798"/>
  <c r="BH798"/>
  <c r="BU798" s="1"/>
  <c r="BG798"/>
  <c r="BF798"/>
  <c r="BS798" s="1"/>
  <c r="BE798"/>
  <c r="BD798"/>
  <c r="BQ798" s="1"/>
  <c r="BC798"/>
  <c r="BB798"/>
  <c r="BO798" s="1"/>
  <c r="BA798"/>
  <c r="AZ798"/>
  <c r="BM798" s="1"/>
  <c r="AY798"/>
  <c r="BK798" s="1"/>
  <c r="AX798"/>
  <c r="BW798" s="1"/>
  <c r="AW798"/>
  <c r="AV798"/>
  <c r="CG798" s="1"/>
  <c r="AU798"/>
  <c r="AT798"/>
  <c r="CE798" s="1"/>
  <c r="AS798"/>
  <c r="AR798"/>
  <c r="CC798" s="1"/>
  <c r="AQ798"/>
  <c r="AP798"/>
  <c r="CA798" s="1"/>
  <c r="AO798"/>
  <c r="AN798"/>
  <c r="BY798" s="1"/>
  <c r="AM798"/>
  <c r="AL798"/>
  <c r="AK798"/>
  <c r="AJ798"/>
  <c r="AI798"/>
  <c r="AH798"/>
  <c r="AG798"/>
  <c r="AF798"/>
  <c r="AE798"/>
  <c r="AD798"/>
  <c r="AC798"/>
  <c r="AB798"/>
  <c r="AA798"/>
  <c r="DE797"/>
  <c r="BJ797"/>
  <c r="BV797" s="1"/>
  <c r="BI797"/>
  <c r="BH797"/>
  <c r="BU797" s="1"/>
  <c r="BG797"/>
  <c r="BF797"/>
  <c r="BS797" s="1"/>
  <c r="BE797"/>
  <c r="BD797"/>
  <c r="BQ797" s="1"/>
  <c r="BC797"/>
  <c r="BB797"/>
  <c r="BO797" s="1"/>
  <c r="BA797"/>
  <c r="AZ797"/>
  <c r="BM797" s="1"/>
  <c r="AY797"/>
  <c r="BK797" s="1"/>
  <c r="AX797"/>
  <c r="BW797" s="1"/>
  <c r="AW797"/>
  <c r="AV797"/>
  <c r="CG797" s="1"/>
  <c r="AU797"/>
  <c r="AT797"/>
  <c r="CE797" s="1"/>
  <c r="AS797"/>
  <c r="AR797"/>
  <c r="CC797" s="1"/>
  <c r="AQ797"/>
  <c r="AP797"/>
  <c r="CA797" s="1"/>
  <c r="AO797"/>
  <c r="AN797"/>
  <c r="BY797" s="1"/>
  <c r="AM797"/>
  <c r="AL797"/>
  <c r="AK797"/>
  <c r="AJ797"/>
  <c r="AI797"/>
  <c r="AH797"/>
  <c r="AG797"/>
  <c r="AF797"/>
  <c r="AE797"/>
  <c r="AD797"/>
  <c r="AC797"/>
  <c r="AB797"/>
  <c r="AA797"/>
  <c r="DE796"/>
  <c r="BJ796"/>
  <c r="BV796" s="1"/>
  <c r="BI796"/>
  <c r="BH796"/>
  <c r="BU796" s="1"/>
  <c r="BG796"/>
  <c r="BF796"/>
  <c r="BS796" s="1"/>
  <c r="BE796"/>
  <c r="BD796"/>
  <c r="BQ796" s="1"/>
  <c r="BC796"/>
  <c r="BB796"/>
  <c r="BO796" s="1"/>
  <c r="BA796"/>
  <c r="AZ796"/>
  <c r="BM796" s="1"/>
  <c r="AY796"/>
  <c r="BK796" s="1"/>
  <c r="AX796"/>
  <c r="BW796" s="1"/>
  <c r="AW796"/>
  <c r="AV796"/>
  <c r="CG796" s="1"/>
  <c r="AU796"/>
  <c r="AT796"/>
  <c r="CE796" s="1"/>
  <c r="AS796"/>
  <c r="AR796"/>
  <c r="CC796" s="1"/>
  <c r="AQ796"/>
  <c r="AP796"/>
  <c r="CA796" s="1"/>
  <c r="AO796"/>
  <c r="AN796"/>
  <c r="BY796" s="1"/>
  <c r="AM796"/>
  <c r="AL796"/>
  <c r="AK796"/>
  <c r="AJ796"/>
  <c r="AI796"/>
  <c r="AH796"/>
  <c r="AG796"/>
  <c r="AF796"/>
  <c r="AE796"/>
  <c r="AD796"/>
  <c r="AC796"/>
  <c r="AB796"/>
  <c r="AA796"/>
  <c r="DE795"/>
  <c r="BJ795"/>
  <c r="BV795" s="1"/>
  <c r="BI795"/>
  <c r="BH795"/>
  <c r="BU795" s="1"/>
  <c r="BG795"/>
  <c r="BF795"/>
  <c r="BS795" s="1"/>
  <c r="BE795"/>
  <c r="BD795"/>
  <c r="BQ795" s="1"/>
  <c r="BC795"/>
  <c r="BB795"/>
  <c r="BO795" s="1"/>
  <c r="BA795"/>
  <c r="AZ795"/>
  <c r="BM795" s="1"/>
  <c r="AY795"/>
  <c r="BK795" s="1"/>
  <c r="AX795"/>
  <c r="BW795" s="1"/>
  <c r="AW795"/>
  <c r="AV795"/>
  <c r="CG795" s="1"/>
  <c r="AU795"/>
  <c r="AT795"/>
  <c r="CE795" s="1"/>
  <c r="AS795"/>
  <c r="AR795"/>
  <c r="CC795" s="1"/>
  <c r="AQ795"/>
  <c r="AP795"/>
  <c r="CA795" s="1"/>
  <c r="AO795"/>
  <c r="AN795"/>
  <c r="BY795" s="1"/>
  <c r="AM795"/>
  <c r="AL795"/>
  <c r="AK795"/>
  <c r="AJ795"/>
  <c r="AI795"/>
  <c r="AH795"/>
  <c r="AG795"/>
  <c r="AF795"/>
  <c r="AE795"/>
  <c r="AD795"/>
  <c r="AC795"/>
  <c r="AB795"/>
  <c r="AA795"/>
  <c r="DE794"/>
  <c r="BJ794"/>
  <c r="BV794" s="1"/>
  <c r="BI794"/>
  <c r="BH794"/>
  <c r="BU794" s="1"/>
  <c r="BG794"/>
  <c r="BF794"/>
  <c r="BS794" s="1"/>
  <c r="BE794"/>
  <c r="BD794"/>
  <c r="BQ794" s="1"/>
  <c r="BC794"/>
  <c r="BB794"/>
  <c r="BO794" s="1"/>
  <c r="BA794"/>
  <c r="AZ794"/>
  <c r="BM794" s="1"/>
  <c r="AY794"/>
  <c r="BK794" s="1"/>
  <c r="AX794"/>
  <c r="BW794" s="1"/>
  <c r="AW794"/>
  <c r="AV794"/>
  <c r="CG794" s="1"/>
  <c r="AU794"/>
  <c r="AT794"/>
  <c r="CE794" s="1"/>
  <c r="AS794"/>
  <c r="AR794"/>
  <c r="CC794" s="1"/>
  <c r="AQ794"/>
  <c r="AP794"/>
  <c r="CA794" s="1"/>
  <c r="AO794"/>
  <c r="AN794"/>
  <c r="BY794" s="1"/>
  <c r="AM794"/>
  <c r="AL794"/>
  <c r="AK794"/>
  <c r="AJ794"/>
  <c r="AI794"/>
  <c r="AH794"/>
  <c r="AG794"/>
  <c r="AF794"/>
  <c r="AE794"/>
  <c r="AD794"/>
  <c r="AC794"/>
  <c r="AB794"/>
  <c r="AA794"/>
  <c r="DE793"/>
  <c r="BJ793"/>
  <c r="BV793" s="1"/>
  <c r="BI793"/>
  <c r="BH793"/>
  <c r="BU793" s="1"/>
  <c r="BG793"/>
  <c r="BF793"/>
  <c r="BS793" s="1"/>
  <c r="BE793"/>
  <c r="BD793"/>
  <c r="BQ793" s="1"/>
  <c r="BC793"/>
  <c r="BB793"/>
  <c r="BO793" s="1"/>
  <c r="BA793"/>
  <c r="AZ793"/>
  <c r="BM793" s="1"/>
  <c r="AY793"/>
  <c r="BK793" s="1"/>
  <c r="AX793"/>
  <c r="BW793" s="1"/>
  <c r="AW793"/>
  <c r="AV793"/>
  <c r="CG793" s="1"/>
  <c r="AU793"/>
  <c r="AT793"/>
  <c r="CE793" s="1"/>
  <c r="AS793"/>
  <c r="AR793"/>
  <c r="CC793" s="1"/>
  <c r="AQ793"/>
  <c r="AP793"/>
  <c r="CA793" s="1"/>
  <c r="AO793"/>
  <c r="AN793"/>
  <c r="BY793" s="1"/>
  <c r="AM793"/>
  <c r="AL793"/>
  <c r="AK793"/>
  <c r="AJ793"/>
  <c r="AI793"/>
  <c r="AH793"/>
  <c r="AG793"/>
  <c r="AF793"/>
  <c r="AE793"/>
  <c r="AD793"/>
  <c r="AC793"/>
  <c r="AB793"/>
  <c r="AA793"/>
  <c r="DE792"/>
  <c r="BJ792"/>
  <c r="BV792" s="1"/>
  <c r="BI792"/>
  <c r="BH792"/>
  <c r="BU792" s="1"/>
  <c r="BG792"/>
  <c r="BF792"/>
  <c r="BS792" s="1"/>
  <c r="BE792"/>
  <c r="BD792"/>
  <c r="BQ792" s="1"/>
  <c r="BC792"/>
  <c r="BB792"/>
  <c r="BO792" s="1"/>
  <c r="BA792"/>
  <c r="AZ792"/>
  <c r="BM792" s="1"/>
  <c r="AY792"/>
  <c r="BK792" s="1"/>
  <c r="AX792"/>
  <c r="BW792" s="1"/>
  <c r="AW792"/>
  <c r="AV792"/>
  <c r="CG792" s="1"/>
  <c r="AU792"/>
  <c r="AT792"/>
  <c r="CE792" s="1"/>
  <c r="AS792"/>
  <c r="AR792"/>
  <c r="CC792" s="1"/>
  <c r="AQ792"/>
  <c r="AP792"/>
  <c r="CA792" s="1"/>
  <c r="AO792"/>
  <c r="AN792"/>
  <c r="BY792" s="1"/>
  <c r="AM792"/>
  <c r="AL792"/>
  <c r="AK792"/>
  <c r="AJ792"/>
  <c r="AI792"/>
  <c r="AH792"/>
  <c r="AG792"/>
  <c r="AF792"/>
  <c r="AE792"/>
  <c r="AD792"/>
  <c r="AC792"/>
  <c r="AB792"/>
  <c r="AA792"/>
  <c r="DE791"/>
  <c r="BJ791"/>
  <c r="BV791" s="1"/>
  <c r="BI791"/>
  <c r="BH791"/>
  <c r="BU791" s="1"/>
  <c r="BG791"/>
  <c r="BF791"/>
  <c r="BS791" s="1"/>
  <c r="BE791"/>
  <c r="BD791"/>
  <c r="BQ791" s="1"/>
  <c r="BC791"/>
  <c r="BB791"/>
  <c r="BO791" s="1"/>
  <c r="BA791"/>
  <c r="AZ791"/>
  <c r="BM791" s="1"/>
  <c r="AY791"/>
  <c r="BK791" s="1"/>
  <c r="AX791"/>
  <c r="BW791" s="1"/>
  <c r="AW791"/>
  <c r="AV791"/>
  <c r="CG791" s="1"/>
  <c r="AU791"/>
  <c r="AT791"/>
  <c r="CE791" s="1"/>
  <c r="AS791"/>
  <c r="AR791"/>
  <c r="CC791" s="1"/>
  <c r="AQ791"/>
  <c r="AP791"/>
  <c r="CA791" s="1"/>
  <c r="AO791"/>
  <c r="AN791"/>
  <c r="BY791" s="1"/>
  <c r="AM791"/>
  <c r="AL791"/>
  <c r="AK791"/>
  <c r="AJ791"/>
  <c r="AI791"/>
  <c r="AH791"/>
  <c r="AG791"/>
  <c r="AF791"/>
  <c r="AE791"/>
  <c r="AD791"/>
  <c r="AC791"/>
  <c r="AB791"/>
  <c r="AA791"/>
  <c r="DE790"/>
  <c r="BJ790"/>
  <c r="BV790" s="1"/>
  <c r="BI790"/>
  <c r="BH790"/>
  <c r="BU790" s="1"/>
  <c r="BG790"/>
  <c r="BF790"/>
  <c r="BS790" s="1"/>
  <c r="BE790"/>
  <c r="BD790"/>
  <c r="BQ790" s="1"/>
  <c r="BC790"/>
  <c r="BB790"/>
  <c r="BO790" s="1"/>
  <c r="BA790"/>
  <c r="AZ790"/>
  <c r="BM790" s="1"/>
  <c r="AY790"/>
  <c r="BK790" s="1"/>
  <c r="AX790"/>
  <c r="BW790" s="1"/>
  <c r="AW790"/>
  <c r="AV790"/>
  <c r="CG790" s="1"/>
  <c r="AU790"/>
  <c r="AT790"/>
  <c r="CE790" s="1"/>
  <c r="AS790"/>
  <c r="AR790"/>
  <c r="CC790" s="1"/>
  <c r="AQ790"/>
  <c r="AP790"/>
  <c r="CA790" s="1"/>
  <c r="AO790"/>
  <c r="AN790"/>
  <c r="BY790" s="1"/>
  <c r="AM790"/>
  <c r="AL790"/>
  <c r="AK790"/>
  <c r="AJ790"/>
  <c r="AI790"/>
  <c r="AH790"/>
  <c r="AG790"/>
  <c r="AF790"/>
  <c r="AE790"/>
  <c r="AD790"/>
  <c r="AC790"/>
  <c r="AB790"/>
  <c r="AA790"/>
  <c r="DE789"/>
  <c r="BJ789"/>
  <c r="BV789" s="1"/>
  <c r="BI789"/>
  <c r="BH789"/>
  <c r="BU789" s="1"/>
  <c r="BG789"/>
  <c r="BF789"/>
  <c r="BS789" s="1"/>
  <c r="BE789"/>
  <c r="BD789"/>
  <c r="BQ789" s="1"/>
  <c r="BC789"/>
  <c r="BB789"/>
  <c r="BO789" s="1"/>
  <c r="BA789"/>
  <c r="AZ789"/>
  <c r="BM789" s="1"/>
  <c r="AY789"/>
  <c r="BK789" s="1"/>
  <c r="AX789"/>
  <c r="BW789" s="1"/>
  <c r="AW789"/>
  <c r="AV789"/>
  <c r="CG789" s="1"/>
  <c r="AU789"/>
  <c r="AT789"/>
  <c r="CE789" s="1"/>
  <c r="AS789"/>
  <c r="AR789"/>
  <c r="CC789" s="1"/>
  <c r="AQ789"/>
  <c r="AP789"/>
  <c r="CA789" s="1"/>
  <c r="AO789"/>
  <c r="AN789"/>
  <c r="BY789" s="1"/>
  <c r="AM789"/>
  <c r="AL789"/>
  <c r="AK789"/>
  <c r="AJ789"/>
  <c r="AI789"/>
  <c r="AH789"/>
  <c r="AG789"/>
  <c r="AF789"/>
  <c r="AE789"/>
  <c r="AD789"/>
  <c r="AC789"/>
  <c r="AB789"/>
  <c r="AA789"/>
  <c r="DE788"/>
  <c r="BJ788"/>
  <c r="BV788" s="1"/>
  <c r="BI788"/>
  <c r="BH788"/>
  <c r="BU788" s="1"/>
  <c r="BG788"/>
  <c r="BF788"/>
  <c r="BS788" s="1"/>
  <c r="BE788"/>
  <c r="BD788"/>
  <c r="BQ788" s="1"/>
  <c r="BC788"/>
  <c r="BB788"/>
  <c r="BO788" s="1"/>
  <c r="BA788"/>
  <c r="AZ788"/>
  <c r="BM788" s="1"/>
  <c r="AY788"/>
  <c r="BK788" s="1"/>
  <c r="AX788"/>
  <c r="BW788" s="1"/>
  <c r="AW788"/>
  <c r="AV788"/>
  <c r="CG788" s="1"/>
  <c r="AU788"/>
  <c r="AT788"/>
  <c r="CE788" s="1"/>
  <c r="AS788"/>
  <c r="AR788"/>
  <c r="CC788" s="1"/>
  <c r="AQ788"/>
  <c r="AP788"/>
  <c r="CA788" s="1"/>
  <c r="AO788"/>
  <c r="AN788"/>
  <c r="BY788" s="1"/>
  <c r="AM788"/>
  <c r="AL788"/>
  <c r="AK788"/>
  <c r="AJ788"/>
  <c r="AI788"/>
  <c r="AH788"/>
  <c r="AG788"/>
  <c r="AF788"/>
  <c r="AE788"/>
  <c r="AD788"/>
  <c r="AC788"/>
  <c r="AB788"/>
  <c r="AA788"/>
  <c r="DE787"/>
  <c r="BJ787"/>
  <c r="BV787" s="1"/>
  <c r="BI787"/>
  <c r="BH787"/>
  <c r="BU787" s="1"/>
  <c r="BG787"/>
  <c r="BF787"/>
  <c r="BS787" s="1"/>
  <c r="BE787"/>
  <c r="BD787"/>
  <c r="BQ787" s="1"/>
  <c r="BC787"/>
  <c r="BB787"/>
  <c r="BO787" s="1"/>
  <c r="BA787"/>
  <c r="AZ787"/>
  <c r="BM787" s="1"/>
  <c r="AY787"/>
  <c r="BK787" s="1"/>
  <c r="AX787"/>
  <c r="BW787" s="1"/>
  <c r="AW787"/>
  <c r="AV787"/>
  <c r="CG787" s="1"/>
  <c r="AU787"/>
  <c r="AT787"/>
  <c r="CE787" s="1"/>
  <c r="AS787"/>
  <c r="AR787"/>
  <c r="CC787" s="1"/>
  <c r="AQ787"/>
  <c r="AP787"/>
  <c r="CA787" s="1"/>
  <c r="AO787"/>
  <c r="AN787"/>
  <c r="BY787" s="1"/>
  <c r="AM787"/>
  <c r="AL787"/>
  <c r="AK787"/>
  <c r="AJ787"/>
  <c r="AI787"/>
  <c r="AH787"/>
  <c r="AG787"/>
  <c r="AF787"/>
  <c r="AE787"/>
  <c r="AD787"/>
  <c r="AC787"/>
  <c r="AB787"/>
  <c r="AA787"/>
  <c r="DE786"/>
  <c r="BJ786"/>
  <c r="BV786" s="1"/>
  <c r="BI786"/>
  <c r="BH786"/>
  <c r="BU786" s="1"/>
  <c r="BG786"/>
  <c r="BF786"/>
  <c r="BS786" s="1"/>
  <c r="BE786"/>
  <c r="BD786"/>
  <c r="BQ786" s="1"/>
  <c r="BC786"/>
  <c r="BB786"/>
  <c r="BO786" s="1"/>
  <c r="BA786"/>
  <c r="AZ786"/>
  <c r="BM786" s="1"/>
  <c r="AY786"/>
  <c r="BK786" s="1"/>
  <c r="AX786"/>
  <c r="BW786" s="1"/>
  <c r="AW786"/>
  <c r="AV786"/>
  <c r="CG786" s="1"/>
  <c r="AU786"/>
  <c r="AT786"/>
  <c r="CE786" s="1"/>
  <c r="AS786"/>
  <c r="AR786"/>
  <c r="CC786" s="1"/>
  <c r="AQ786"/>
  <c r="AP786"/>
  <c r="CA786" s="1"/>
  <c r="AO786"/>
  <c r="AN786"/>
  <c r="BY786" s="1"/>
  <c r="AM786"/>
  <c r="AL786"/>
  <c r="AK786"/>
  <c r="AJ786"/>
  <c r="AI786"/>
  <c r="AH786"/>
  <c r="AG786"/>
  <c r="AF786"/>
  <c r="AE786"/>
  <c r="AD786"/>
  <c r="AC786"/>
  <c r="AB786"/>
  <c r="AA786"/>
  <c r="DE785"/>
  <c r="BJ785"/>
  <c r="BV785" s="1"/>
  <c r="BI785"/>
  <c r="BH785"/>
  <c r="BU785" s="1"/>
  <c r="BG785"/>
  <c r="BF785"/>
  <c r="BS785" s="1"/>
  <c r="BE785"/>
  <c r="BD785"/>
  <c r="BQ785" s="1"/>
  <c r="BC785"/>
  <c r="BB785"/>
  <c r="BO785" s="1"/>
  <c r="BA785"/>
  <c r="AZ785"/>
  <c r="BM785" s="1"/>
  <c r="AY785"/>
  <c r="BK785" s="1"/>
  <c r="AX785"/>
  <c r="BW785" s="1"/>
  <c r="AW785"/>
  <c r="AV785"/>
  <c r="CG785" s="1"/>
  <c r="AU785"/>
  <c r="AT785"/>
  <c r="CE785" s="1"/>
  <c r="AS785"/>
  <c r="AR785"/>
  <c r="CC785" s="1"/>
  <c r="AQ785"/>
  <c r="AP785"/>
  <c r="CA785" s="1"/>
  <c r="AO785"/>
  <c r="AN785"/>
  <c r="BY785" s="1"/>
  <c r="AM785"/>
  <c r="AL785"/>
  <c r="AK785"/>
  <c r="AJ785"/>
  <c r="AI785"/>
  <c r="AH785"/>
  <c r="AG785"/>
  <c r="AF785"/>
  <c r="AE785"/>
  <c r="AD785"/>
  <c r="AC785"/>
  <c r="AB785"/>
  <c r="AA785"/>
  <c r="DE784"/>
  <c r="BJ784"/>
  <c r="BV784" s="1"/>
  <c r="BI784"/>
  <c r="BH784"/>
  <c r="BU784" s="1"/>
  <c r="BG784"/>
  <c r="BF784"/>
  <c r="BS784" s="1"/>
  <c r="BE784"/>
  <c r="BD784"/>
  <c r="BQ784" s="1"/>
  <c r="BC784"/>
  <c r="BB784"/>
  <c r="BO784" s="1"/>
  <c r="BA784"/>
  <c r="AZ784"/>
  <c r="BM784" s="1"/>
  <c r="AY784"/>
  <c r="BK784" s="1"/>
  <c r="AX784"/>
  <c r="BW784" s="1"/>
  <c r="AW784"/>
  <c r="AV784"/>
  <c r="CG784" s="1"/>
  <c r="AU784"/>
  <c r="AT784"/>
  <c r="CE784" s="1"/>
  <c r="AS784"/>
  <c r="AR784"/>
  <c r="CC784" s="1"/>
  <c r="AQ784"/>
  <c r="AP784"/>
  <c r="CA784" s="1"/>
  <c r="AO784"/>
  <c r="AN784"/>
  <c r="BY784" s="1"/>
  <c r="AM784"/>
  <c r="AL784"/>
  <c r="AK784"/>
  <c r="AJ784"/>
  <c r="AI784"/>
  <c r="AH784"/>
  <c r="AG784"/>
  <c r="AF784"/>
  <c r="AE784"/>
  <c r="AD784"/>
  <c r="AC784"/>
  <c r="AB784"/>
  <c r="AA784"/>
  <c r="DE783"/>
  <c r="BJ783"/>
  <c r="BV783" s="1"/>
  <c r="BI783"/>
  <c r="BH783"/>
  <c r="BU783" s="1"/>
  <c r="BG783"/>
  <c r="BF783"/>
  <c r="BS783" s="1"/>
  <c r="BE783"/>
  <c r="BD783"/>
  <c r="BQ783" s="1"/>
  <c r="BC783"/>
  <c r="BB783"/>
  <c r="BO783" s="1"/>
  <c r="BA783"/>
  <c r="AZ783"/>
  <c r="BM783" s="1"/>
  <c r="AY783"/>
  <c r="BK783" s="1"/>
  <c r="AX783"/>
  <c r="BW783" s="1"/>
  <c r="AW783"/>
  <c r="AV783"/>
  <c r="CG783" s="1"/>
  <c r="AU783"/>
  <c r="AT783"/>
  <c r="CE783" s="1"/>
  <c r="AS783"/>
  <c r="AR783"/>
  <c r="CC783" s="1"/>
  <c r="AQ783"/>
  <c r="AP783"/>
  <c r="CA783" s="1"/>
  <c r="AO783"/>
  <c r="AN783"/>
  <c r="BY783" s="1"/>
  <c r="AM783"/>
  <c r="AL783"/>
  <c r="AK783"/>
  <c r="AJ783"/>
  <c r="AI783"/>
  <c r="AH783"/>
  <c r="AG783"/>
  <c r="AF783"/>
  <c r="AE783"/>
  <c r="AD783"/>
  <c r="AC783"/>
  <c r="AB783"/>
  <c r="AA783"/>
  <c r="DE782"/>
  <c r="BJ782"/>
  <c r="BV782" s="1"/>
  <c r="BI782"/>
  <c r="BH782"/>
  <c r="BU782" s="1"/>
  <c r="BG782"/>
  <c r="BF782"/>
  <c r="BS782" s="1"/>
  <c r="BE782"/>
  <c r="BD782"/>
  <c r="BQ782" s="1"/>
  <c r="BC782"/>
  <c r="BB782"/>
  <c r="BO782" s="1"/>
  <c r="BA782"/>
  <c r="AZ782"/>
  <c r="BM782" s="1"/>
  <c r="AY782"/>
  <c r="BK782" s="1"/>
  <c r="AX782"/>
  <c r="BW782" s="1"/>
  <c r="AW782"/>
  <c r="AV782"/>
  <c r="CG782" s="1"/>
  <c r="AU782"/>
  <c r="AT782"/>
  <c r="CE782" s="1"/>
  <c r="AS782"/>
  <c r="AR782"/>
  <c r="CC782" s="1"/>
  <c r="AQ782"/>
  <c r="AP782"/>
  <c r="CA782" s="1"/>
  <c r="AO782"/>
  <c r="AN782"/>
  <c r="BY782" s="1"/>
  <c r="AM782"/>
  <c r="AL782"/>
  <c r="AK782"/>
  <c r="AJ782"/>
  <c r="AI782"/>
  <c r="AH782"/>
  <c r="AG782"/>
  <c r="AF782"/>
  <c r="AE782"/>
  <c r="AD782"/>
  <c r="AC782"/>
  <c r="AB782"/>
  <c r="AA782"/>
  <c r="DE781"/>
  <c r="BJ781"/>
  <c r="BV781" s="1"/>
  <c r="BI781"/>
  <c r="BH781"/>
  <c r="BU781" s="1"/>
  <c r="BG781"/>
  <c r="BF781"/>
  <c r="BS781" s="1"/>
  <c r="BE781"/>
  <c r="BD781"/>
  <c r="BQ781" s="1"/>
  <c r="BC781"/>
  <c r="BB781"/>
  <c r="BO781" s="1"/>
  <c r="BA781"/>
  <c r="AZ781"/>
  <c r="BM781" s="1"/>
  <c r="AY781"/>
  <c r="BK781" s="1"/>
  <c r="AX781"/>
  <c r="BW781" s="1"/>
  <c r="AW781"/>
  <c r="AV781"/>
  <c r="CG781" s="1"/>
  <c r="AU781"/>
  <c r="AT781"/>
  <c r="CE781" s="1"/>
  <c r="AS781"/>
  <c r="AR781"/>
  <c r="CC781" s="1"/>
  <c r="AQ781"/>
  <c r="AP781"/>
  <c r="CA781" s="1"/>
  <c r="AO781"/>
  <c r="AN781"/>
  <c r="BY781" s="1"/>
  <c r="AM781"/>
  <c r="AL781"/>
  <c r="AK781"/>
  <c r="AJ781"/>
  <c r="AI781"/>
  <c r="AH781"/>
  <c r="AG781"/>
  <c r="AF781"/>
  <c r="AE781"/>
  <c r="AD781"/>
  <c r="AC781"/>
  <c r="AB781"/>
  <c r="AA781"/>
  <c r="DE780"/>
  <c r="BJ780"/>
  <c r="BV780" s="1"/>
  <c r="BI780"/>
  <c r="BH780"/>
  <c r="BU780" s="1"/>
  <c r="BG780"/>
  <c r="BF780"/>
  <c r="BS780" s="1"/>
  <c r="BE780"/>
  <c r="BD780"/>
  <c r="BQ780" s="1"/>
  <c r="BC780"/>
  <c r="BB780"/>
  <c r="BO780" s="1"/>
  <c r="BA780"/>
  <c r="AZ780"/>
  <c r="BM780" s="1"/>
  <c r="AY780"/>
  <c r="BK780" s="1"/>
  <c r="AX780"/>
  <c r="BW780" s="1"/>
  <c r="AW780"/>
  <c r="AV780"/>
  <c r="CG780" s="1"/>
  <c r="AU780"/>
  <c r="AT780"/>
  <c r="CE780" s="1"/>
  <c r="AS780"/>
  <c r="AR780"/>
  <c r="CC780" s="1"/>
  <c r="AQ780"/>
  <c r="AP780"/>
  <c r="CA780" s="1"/>
  <c r="AO780"/>
  <c r="AN780"/>
  <c r="BY780" s="1"/>
  <c r="AM780"/>
  <c r="AL780"/>
  <c r="AK780"/>
  <c r="AJ780"/>
  <c r="AI780"/>
  <c r="AH780"/>
  <c r="AG780"/>
  <c r="AF780"/>
  <c r="AE780"/>
  <c r="AD780"/>
  <c r="AC780"/>
  <c r="AB780"/>
  <c r="AA780"/>
  <c r="DE779"/>
  <c r="BJ779"/>
  <c r="BV779" s="1"/>
  <c r="BI779"/>
  <c r="BH779"/>
  <c r="BU779" s="1"/>
  <c r="BG779"/>
  <c r="BF779"/>
  <c r="BS779" s="1"/>
  <c r="BE779"/>
  <c r="BD779"/>
  <c r="BQ779" s="1"/>
  <c r="BC779"/>
  <c r="BB779"/>
  <c r="BO779" s="1"/>
  <c r="BA779"/>
  <c r="AZ779"/>
  <c r="BM779" s="1"/>
  <c r="AY779"/>
  <c r="BK779" s="1"/>
  <c r="AX779"/>
  <c r="BW779" s="1"/>
  <c r="AW779"/>
  <c r="AV779"/>
  <c r="CG779" s="1"/>
  <c r="AU779"/>
  <c r="AT779"/>
  <c r="CE779" s="1"/>
  <c r="AS779"/>
  <c r="AR779"/>
  <c r="CC779" s="1"/>
  <c r="AQ779"/>
  <c r="AP779"/>
  <c r="CA779" s="1"/>
  <c r="AO779"/>
  <c r="AN779"/>
  <c r="BY779" s="1"/>
  <c r="AM779"/>
  <c r="AL779"/>
  <c r="AK779"/>
  <c r="AJ779"/>
  <c r="AI779"/>
  <c r="AH779"/>
  <c r="AG779"/>
  <c r="AF779"/>
  <c r="AE779"/>
  <c r="AD779"/>
  <c r="AC779"/>
  <c r="AB779"/>
  <c r="AA779"/>
  <c r="DE778"/>
  <c r="BJ778"/>
  <c r="BV778" s="1"/>
  <c r="BI778"/>
  <c r="BH778"/>
  <c r="BU778" s="1"/>
  <c r="BG778"/>
  <c r="BF778"/>
  <c r="BS778" s="1"/>
  <c r="BE778"/>
  <c r="BD778"/>
  <c r="BQ778" s="1"/>
  <c r="BC778"/>
  <c r="BB778"/>
  <c r="BO778" s="1"/>
  <c r="BA778"/>
  <c r="AZ778"/>
  <c r="BM778" s="1"/>
  <c r="AY778"/>
  <c r="BK778" s="1"/>
  <c r="AX778"/>
  <c r="BW778" s="1"/>
  <c r="AW778"/>
  <c r="AV778"/>
  <c r="CG778" s="1"/>
  <c r="AU778"/>
  <c r="AT778"/>
  <c r="CE778" s="1"/>
  <c r="AS778"/>
  <c r="AR778"/>
  <c r="CC778" s="1"/>
  <c r="AQ778"/>
  <c r="AP778"/>
  <c r="CA778" s="1"/>
  <c r="AO778"/>
  <c r="AN778"/>
  <c r="BY778" s="1"/>
  <c r="AM778"/>
  <c r="AL778"/>
  <c r="AK778"/>
  <c r="AJ778"/>
  <c r="AI778"/>
  <c r="AH778"/>
  <c r="AG778"/>
  <c r="AF778"/>
  <c r="AE778"/>
  <c r="AD778"/>
  <c r="AC778"/>
  <c r="AB778"/>
  <c r="AA778"/>
  <c r="DE777"/>
  <c r="BJ777"/>
  <c r="BV777" s="1"/>
  <c r="BI777"/>
  <c r="BH777"/>
  <c r="BU777" s="1"/>
  <c r="BG777"/>
  <c r="BF777"/>
  <c r="BS777" s="1"/>
  <c r="BE777"/>
  <c r="BD777"/>
  <c r="BQ777" s="1"/>
  <c r="BC777"/>
  <c r="BB777"/>
  <c r="BO777" s="1"/>
  <c r="BA777"/>
  <c r="AZ777"/>
  <c r="BM777" s="1"/>
  <c r="AY777"/>
  <c r="BK777" s="1"/>
  <c r="AX777"/>
  <c r="BW777" s="1"/>
  <c r="AW777"/>
  <c r="AV777"/>
  <c r="CG777" s="1"/>
  <c r="AU777"/>
  <c r="AT777"/>
  <c r="CE777" s="1"/>
  <c r="AS777"/>
  <c r="AR777"/>
  <c r="CC777" s="1"/>
  <c r="AQ777"/>
  <c r="AP777"/>
  <c r="CA777" s="1"/>
  <c r="AO777"/>
  <c r="AN777"/>
  <c r="BY777" s="1"/>
  <c r="AM777"/>
  <c r="AL777"/>
  <c r="AK777"/>
  <c r="AJ777"/>
  <c r="AI777"/>
  <c r="AH777"/>
  <c r="AG777"/>
  <c r="AF777"/>
  <c r="AE777"/>
  <c r="AD777"/>
  <c r="AC777"/>
  <c r="AB777"/>
  <c r="AA777"/>
  <c r="DE776"/>
  <c r="BJ776"/>
  <c r="BV776" s="1"/>
  <c r="BI776"/>
  <c r="BH776"/>
  <c r="BU776" s="1"/>
  <c r="BG776"/>
  <c r="BF776"/>
  <c r="BS776" s="1"/>
  <c r="BE776"/>
  <c r="BD776"/>
  <c r="BQ776" s="1"/>
  <c r="BC776"/>
  <c r="BB776"/>
  <c r="BO776" s="1"/>
  <c r="BA776"/>
  <c r="AZ776"/>
  <c r="BM776" s="1"/>
  <c r="AY776"/>
  <c r="BK776" s="1"/>
  <c r="AX776"/>
  <c r="BW776" s="1"/>
  <c r="AW776"/>
  <c r="AV776"/>
  <c r="CG776" s="1"/>
  <c r="AU776"/>
  <c r="AT776"/>
  <c r="CE776" s="1"/>
  <c r="AS776"/>
  <c r="AR776"/>
  <c r="CC776" s="1"/>
  <c r="AQ776"/>
  <c r="AP776"/>
  <c r="CA776" s="1"/>
  <c r="AO776"/>
  <c r="AN776"/>
  <c r="BY776" s="1"/>
  <c r="AM776"/>
  <c r="AL776"/>
  <c r="AK776"/>
  <c r="AJ776"/>
  <c r="AI776"/>
  <c r="AH776"/>
  <c r="AG776"/>
  <c r="AF776"/>
  <c r="AE776"/>
  <c r="AD776"/>
  <c r="AC776"/>
  <c r="AB776"/>
  <c r="AA776"/>
  <c r="DE775"/>
  <c r="BJ775"/>
  <c r="BV775" s="1"/>
  <c r="BI775"/>
  <c r="BH775"/>
  <c r="BU775" s="1"/>
  <c r="BG775"/>
  <c r="BF775"/>
  <c r="BS775" s="1"/>
  <c r="BE775"/>
  <c r="BD775"/>
  <c r="BQ775" s="1"/>
  <c r="BC775"/>
  <c r="BB775"/>
  <c r="BO775" s="1"/>
  <c r="BA775"/>
  <c r="AZ775"/>
  <c r="BM775" s="1"/>
  <c r="AY775"/>
  <c r="BK775" s="1"/>
  <c r="AX775"/>
  <c r="BW775" s="1"/>
  <c r="AW775"/>
  <c r="AV775"/>
  <c r="CG775" s="1"/>
  <c r="AU775"/>
  <c r="AT775"/>
  <c r="CE775" s="1"/>
  <c r="AS775"/>
  <c r="AR775"/>
  <c r="CC775" s="1"/>
  <c r="AQ775"/>
  <c r="AP775"/>
  <c r="CA775" s="1"/>
  <c r="AO775"/>
  <c r="AN775"/>
  <c r="BY775" s="1"/>
  <c r="AM775"/>
  <c r="AL775"/>
  <c r="AK775"/>
  <c r="AJ775"/>
  <c r="AI775"/>
  <c r="AH775"/>
  <c r="AG775"/>
  <c r="AF775"/>
  <c r="AE775"/>
  <c r="AD775"/>
  <c r="AC775"/>
  <c r="AB775"/>
  <c r="AA775"/>
  <c r="DE774"/>
  <c r="BJ774"/>
  <c r="BV774" s="1"/>
  <c r="BI774"/>
  <c r="BH774"/>
  <c r="BU774" s="1"/>
  <c r="BG774"/>
  <c r="BF774"/>
  <c r="BS774" s="1"/>
  <c r="BE774"/>
  <c r="BD774"/>
  <c r="BQ774" s="1"/>
  <c r="BC774"/>
  <c r="BB774"/>
  <c r="BO774" s="1"/>
  <c r="BA774"/>
  <c r="AZ774"/>
  <c r="BM774" s="1"/>
  <c r="AY774"/>
  <c r="BK774" s="1"/>
  <c r="AX774"/>
  <c r="BW774" s="1"/>
  <c r="AW774"/>
  <c r="AV774"/>
  <c r="CG774" s="1"/>
  <c r="AU774"/>
  <c r="AT774"/>
  <c r="CE774" s="1"/>
  <c r="AS774"/>
  <c r="AR774"/>
  <c r="CC774" s="1"/>
  <c r="AQ774"/>
  <c r="AP774"/>
  <c r="CA774" s="1"/>
  <c r="AO774"/>
  <c r="AN774"/>
  <c r="BY774" s="1"/>
  <c r="AM774"/>
  <c r="AL774"/>
  <c r="AK774"/>
  <c r="AJ774"/>
  <c r="AI774"/>
  <c r="AH774"/>
  <c r="AG774"/>
  <c r="AF774"/>
  <c r="AE774"/>
  <c r="AD774"/>
  <c r="AC774"/>
  <c r="AB774"/>
  <c r="AA774"/>
  <c r="DE773"/>
  <c r="BJ773"/>
  <c r="BV773" s="1"/>
  <c r="BI773"/>
  <c r="BH773"/>
  <c r="BU773" s="1"/>
  <c r="BG773"/>
  <c r="BF773"/>
  <c r="BS773" s="1"/>
  <c r="BE773"/>
  <c r="BD773"/>
  <c r="BQ773" s="1"/>
  <c r="BC773"/>
  <c r="BB773"/>
  <c r="BO773" s="1"/>
  <c r="BA773"/>
  <c r="AZ773"/>
  <c r="BM773" s="1"/>
  <c r="AY773"/>
  <c r="BK773" s="1"/>
  <c r="AX773"/>
  <c r="BW773" s="1"/>
  <c r="AW773"/>
  <c r="AV773"/>
  <c r="CG773" s="1"/>
  <c r="AU773"/>
  <c r="AT773"/>
  <c r="CE773" s="1"/>
  <c r="AS773"/>
  <c r="AR773"/>
  <c r="CC773" s="1"/>
  <c r="AQ773"/>
  <c r="AP773"/>
  <c r="CA773" s="1"/>
  <c r="AO773"/>
  <c r="AN773"/>
  <c r="BY773" s="1"/>
  <c r="AM773"/>
  <c r="AL773"/>
  <c r="AK773"/>
  <c r="AJ773"/>
  <c r="AI773"/>
  <c r="AH773"/>
  <c r="AG773"/>
  <c r="AF773"/>
  <c r="AE773"/>
  <c r="AD773"/>
  <c r="AC773"/>
  <c r="AB773"/>
  <c r="AA773"/>
  <c r="DE772"/>
  <c r="BJ772"/>
  <c r="BV772" s="1"/>
  <c r="BI772"/>
  <c r="BH772"/>
  <c r="BU772" s="1"/>
  <c r="BG772"/>
  <c r="BF772"/>
  <c r="BS772" s="1"/>
  <c r="BE772"/>
  <c r="BD772"/>
  <c r="BQ772" s="1"/>
  <c r="BC772"/>
  <c r="BB772"/>
  <c r="BO772" s="1"/>
  <c r="BA772"/>
  <c r="AZ772"/>
  <c r="BM772" s="1"/>
  <c r="AY772"/>
  <c r="BK772" s="1"/>
  <c r="AX772"/>
  <c r="BW772" s="1"/>
  <c r="AW772"/>
  <c r="AV772"/>
  <c r="CG772" s="1"/>
  <c r="AU772"/>
  <c r="AT772"/>
  <c r="CE772" s="1"/>
  <c r="AS772"/>
  <c r="AR772"/>
  <c r="CC772" s="1"/>
  <c r="AQ772"/>
  <c r="AP772"/>
  <c r="CA772" s="1"/>
  <c r="AO772"/>
  <c r="AN772"/>
  <c r="BY772" s="1"/>
  <c r="AM772"/>
  <c r="AL772"/>
  <c r="AK772"/>
  <c r="AJ772"/>
  <c r="AI772"/>
  <c r="AH772"/>
  <c r="AG772"/>
  <c r="AF772"/>
  <c r="AE772"/>
  <c r="AD772"/>
  <c r="AC772"/>
  <c r="AB772"/>
  <c r="AA772"/>
  <c r="DE771"/>
  <c r="BJ771"/>
  <c r="BV771" s="1"/>
  <c r="BI771"/>
  <c r="BH771"/>
  <c r="BU771" s="1"/>
  <c r="BG771"/>
  <c r="BF771"/>
  <c r="BS771" s="1"/>
  <c r="BE771"/>
  <c r="BD771"/>
  <c r="BQ771" s="1"/>
  <c r="BC771"/>
  <c r="BB771"/>
  <c r="BO771" s="1"/>
  <c r="BA771"/>
  <c r="AZ771"/>
  <c r="BM771" s="1"/>
  <c r="AY771"/>
  <c r="BK771" s="1"/>
  <c r="AX771"/>
  <c r="BW771" s="1"/>
  <c r="AW771"/>
  <c r="AV771"/>
  <c r="CG771" s="1"/>
  <c r="AU771"/>
  <c r="AT771"/>
  <c r="CE771" s="1"/>
  <c r="AS771"/>
  <c r="AR771"/>
  <c r="CC771" s="1"/>
  <c r="AQ771"/>
  <c r="AP771"/>
  <c r="CA771" s="1"/>
  <c r="AO771"/>
  <c r="AN771"/>
  <c r="BY771" s="1"/>
  <c r="AM771"/>
  <c r="AL771"/>
  <c r="AK771"/>
  <c r="AJ771"/>
  <c r="AI771"/>
  <c r="AH771"/>
  <c r="AG771"/>
  <c r="AF771"/>
  <c r="AE771"/>
  <c r="AD771"/>
  <c r="AC771"/>
  <c r="AB771"/>
  <c r="AA771"/>
  <c r="DE770"/>
  <c r="BJ770"/>
  <c r="BV770" s="1"/>
  <c r="BI770"/>
  <c r="BH770"/>
  <c r="BU770" s="1"/>
  <c r="BG770"/>
  <c r="BF770"/>
  <c r="BS770" s="1"/>
  <c r="BE770"/>
  <c r="BD770"/>
  <c r="BQ770" s="1"/>
  <c r="BC770"/>
  <c r="BB770"/>
  <c r="BO770" s="1"/>
  <c r="BA770"/>
  <c r="AZ770"/>
  <c r="BM770" s="1"/>
  <c r="AY770"/>
  <c r="BK770" s="1"/>
  <c r="AX770"/>
  <c r="BW770" s="1"/>
  <c r="AW770"/>
  <c r="AV770"/>
  <c r="CG770" s="1"/>
  <c r="AU770"/>
  <c r="AT770"/>
  <c r="CE770" s="1"/>
  <c r="AS770"/>
  <c r="AR770"/>
  <c r="CC770" s="1"/>
  <c r="AQ770"/>
  <c r="AP770"/>
  <c r="CA770" s="1"/>
  <c r="AO770"/>
  <c r="AN770"/>
  <c r="BY770" s="1"/>
  <c r="AM770"/>
  <c r="AL770"/>
  <c r="AK770"/>
  <c r="AJ770"/>
  <c r="AI770"/>
  <c r="AH770"/>
  <c r="AG770"/>
  <c r="AF770"/>
  <c r="AE770"/>
  <c r="AD770"/>
  <c r="AC770"/>
  <c r="AB770"/>
  <c r="AA770"/>
  <c r="DE769"/>
  <c r="BJ769"/>
  <c r="BV769" s="1"/>
  <c r="BI769"/>
  <c r="BH769"/>
  <c r="BU769" s="1"/>
  <c r="BG769"/>
  <c r="BF769"/>
  <c r="BS769" s="1"/>
  <c r="BE769"/>
  <c r="BD769"/>
  <c r="BQ769" s="1"/>
  <c r="BC769"/>
  <c r="BB769"/>
  <c r="BO769" s="1"/>
  <c r="BA769"/>
  <c r="AZ769"/>
  <c r="BM769" s="1"/>
  <c r="AY769"/>
  <c r="BK769" s="1"/>
  <c r="AX769"/>
  <c r="BW769" s="1"/>
  <c r="AW769"/>
  <c r="AV769"/>
  <c r="CG769" s="1"/>
  <c r="AU769"/>
  <c r="AT769"/>
  <c r="CE769" s="1"/>
  <c r="AS769"/>
  <c r="AR769"/>
  <c r="CC769" s="1"/>
  <c r="AQ769"/>
  <c r="AP769"/>
  <c r="CA769" s="1"/>
  <c r="AO769"/>
  <c r="AN769"/>
  <c r="BY769" s="1"/>
  <c r="AM769"/>
  <c r="AL769"/>
  <c r="AK769"/>
  <c r="AJ769"/>
  <c r="AI769"/>
  <c r="AH769"/>
  <c r="AG769"/>
  <c r="AF769"/>
  <c r="AE769"/>
  <c r="AD769"/>
  <c r="AC769"/>
  <c r="AB769"/>
  <c r="AA769"/>
  <c r="DE768"/>
  <c r="BJ768"/>
  <c r="BV768" s="1"/>
  <c r="BI768"/>
  <c r="BH768"/>
  <c r="BU768" s="1"/>
  <c r="BG768"/>
  <c r="BF768"/>
  <c r="BS768" s="1"/>
  <c r="BE768"/>
  <c r="BD768"/>
  <c r="BQ768" s="1"/>
  <c r="BC768"/>
  <c r="BB768"/>
  <c r="BO768" s="1"/>
  <c r="BA768"/>
  <c r="AZ768"/>
  <c r="BM768" s="1"/>
  <c r="AY768"/>
  <c r="BK768" s="1"/>
  <c r="AX768"/>
  <c r="BW768" s="1"/>
  <c r="AW768"/>
  <c r="AV768"/>
  <c r="CG768" s="1"/>
  <c r="AU768"/>
  <c r="AT768"/>
  <c r="CE768" s="1"/>
  <c r="AS768"/>
  <c r="AR768"/>
  <c r="CC768" s="1"/>
  <c r="AQ768"/>
  <c r="AP768"/>
  <c r="CA768" s="1"/>
  <c r="AO768"/>
  <c r="AN768"/>
  <c r="BY768" s="1"/>
  <c r="AM768"/>
  <c r="AL768"/>
  <c r="AK768"/>
  <c r="AJ768"/>
  <c r="AI768"/>
  <c r="AH768"/>
  <c r="AG768"/>
  <c r="AF768"/>
  <c r="AE768"/>
  <c r="AD768"/>
  <c r="AC768"/>
  <c r="AB768"/>
  <c r="AA768"/>
  <c r="DE767"/>
  <c r="BJ767"/>
  <c r="BV767" s="1"/>
  <c r="BI767"/>
  <c r="BH767"/>
  <c r="BU767" s="1"/>
  <c r="BG767"/>
  <c r="BF767"/>
  <c r="BS767" s="1"/>
  <c r="BE767"/>
  <c r="BD767"/>
  <c r="BQ767" s="1"/>
  <c r="BC767"/>
  <c r="BB767"/>
  <c r="BO767" s="1"/>
  <c r="BA767"/>
  <c r="AZ767"/>
  <c r="BM767" s="1"/>
  <c r="AY767"/>
  <c r="BK767" s="1"/>
  <c r="AX767"/>
  <c r="BW767" s="1"/>
  <c r="AW767"/>
  <c r="AV767"/>
  <c r="CG767" s="1"/>
  <c r="AU767"/>
  <c r="AT767"/>
  <c r="CE767" s="1"/>
  <c r="AS767"/>
  <c r="AR767"/>
  <c r="CC767" s="1"/>
  <c r="AQ767"/>
  <c r="AP767"/>
  <c r="CA767" s="1"/>
  <c r="AO767"/>
  <c r="AN767"/>
  <c r="BY767" s="1"/>
  <c r="AM767"/>
  <c r="AL767"/>
  <c r="AK767"/>
  <c r="AJ767"/>
  <c r="AI767"/>
  <c r="AH767"/>
  <c r="AG767"/>
  <c r="AF767"/>
  <c r="AE767"/>
  <c r="AD767"/>
  <c r="AC767"/>
  <c r="AB767"/>
  <c r="AA767"/>
  <c r="DE766"/>
  <c r="BJ766"/>
  <c r="BV766" s="1"/>
  <c r="BI766"/>
  <c r="BH766"/>
  <c r="BU766" s="1"/>
  <c r="BG766"/>
  <c r="BF766"/>
  <c r="BS766" s="1"/>
  <c r="BE766"/>
  <c r="BD766"/>
  <c r="BQ766" s="1"/>
  <c r="BC766"/>
  <c r="BB766"/>
  <c r="BO766" s="1"/>
  <c r="BA766"/>
  <c r="AZ766"/>
  <c r="BM766" s="1"/>
  <c r="AY766"/>
  <c r="BK766" s="1"/>
  <c r="AX766"/>
  <c r="BW766" s="1"/>
  <c r="AW766"/>
  <c r="AV766"/>
  <c r="CG766" s="1"/>
  <c r="AU766"/>
  <c r="AT766"/>
  <c r="CE766" s="1"/>
  <c r="AS766"/>
  <c r="AR766"/>
  <c r="CC766" s="1"/>
  <c r="AQ766"/>
  <c r="AP766"/>
  <c r="CA766" s="1"/>
  <c r="AO766"/>
  <c r="AN766"/>
  <c r="BY766" s="1"/>
  <c r="AM766"/>
  <c r="AL766"/>
  <c r="AK766"/>
  <c r="AJ766"/>
  <c r="AI766"/>
  <c r="AH766"/>
  <c r="AG766"/>
  <c r="AF766"/>
  <c r="AE766"/>
  <c r="AD766"/>
  <c r="AC766"/>
  <c r="AB766"/>
  <c r="AA766"/>
  <c r="DE765"/>
  <c r="BJ765"/>
  <c r="BV765" s="1"/>
  <c r="BI765"/>
  <c r="BH765"/>
  <c r="BU765" s="1"/>
  <c r="BG765"/>
  <c r="BF765"/>
  <c r="BS765" s="1"/>
  <c r="BE765"/>
  <c r="BD765"/>
  <c r="BQ765" s="1"/>
  <c r="BC765"/>
  <c r="BB765"/>
  <c r="BO765" s="1"/>
  <c r="BA765"/>
  <c r="AZ765"/>
  <c r="BM765" s="1"/>
  <c r="AY765"/>
  <c r="BK765" s="1"/>
  <c r="AX765"/>
  <c r="BW765" s="1"/>
  <c r="AW765"/>
  <c r="AV765"/>
  <c r="CG765" s="1"/>
  <c r="AU765"/>
  <c r="AT765"/>
  <c r="CE765" s="1"/>
  <c r="AS765"/>
  <c r="AR765"/>
  <c r="CC765" s="1"/>
  <c r="AQ765"/>
  <c r="AP765"/>
  <c r="CA765" s="1"/>
  <c r="AO765"/>
  <c r="AN765"/>
  <c r="BY765" s="1"/>
  <c r="AM765"/>
  <c r="AL765"/>
  <c r="AK765"/>
  <c r="AJ765"/>
  <c r="AI765"/>
  <c r="AH765"/>
  <c r="AG765"/>
  <c r="AF765"/>
  <c r="AE765"/>
  <c r="AD765"/>
  <c r="AC765"/>
  <c r="AB765"/>
  <c r="AA765"/>
  <c r="DE764"/>
  <c r="BJ764"/>
  <c r="BV764" s="1"/>
  <c r="BI764"/>
  <c r="BH764"/>
  <c r="BU764" s="1"/>
  <c r="BG764"/>
  <c r="BF764"/>
  <c r="BS764" s="1"/>
  <c r="BE764"/>
  <c r="BD764"/>
  <c r="BQ764" s="1"/>
  <c r="BC764"/>
  <c r="BB764"/>
  <c r="BO764" s="1"/>
  <c r="BA764"/>
  <c r="AZ764"/>
  <c r="BM764" s="1"/>
  <c r="AY764"/>
  <c r="BK764" s="1"/>
  <c r="AX764"/>
  <c r="BW764" s="1"/>
  <c r="AW764"/>
  <c r="AV764"/>
  <c r="CG764" s="1"/>
  <c r="AU764"/>
  <c r="AT764"/>
  <c r="CE764" s="1"/>
  <c r="AS764"/>
  <c r="AR764"/>
  <c r="CC764" s="1"/>
  <c r="AQ764"/>
  <c r="AP764"/>
  <c r="CA764" s="1"/>
  <c r="AO764"/>
  <c r="AN764"/>
  <c r="BY764" s="1"/>
  <c r="AM764"/>
  <c r="AL764"/>
  <c r="AK764"/>
  <c r="AJ764"/>
  <c r="AI764"/>
  <c r="AH764"/>
  <c r="AG764"/>
  <c r="AF764"/>
  <c r="AE764"/>
  <c r="AD764"/>
  <c r="AC764"/>
  <c r="AB764"/>
  <c r="AA764"/>
  <c r="DE763"/>
  <c r="BJ763"/>
  <c r="BV763" s="1"/>
  <c r="BI763"/>
  <c r="BH763"/>
  <c r="BU763" s="1"/>
  <c r="BG763"/>
  <c r="BF763"/>
  <c r="BS763" s="1"/>
  <c r="BE763"/>
  <c r="BD763"/>
  <c r="BQ763" s="1"/>
  <c r="BC763"/>
  <c r="BB763"/>
  <c r="BO763" s="1"/>
  <c r="BA763"/>
  <c r="AZ763"/>
  <c r="BM763" s="1"/>
  <c r="AY763"/>
  <c r="BK763" s="1"/>
  <c r="AX763"/>
  <c r="BW763" s="1"/>
  <c r="AW763"/>
  <c r="AV763"/>
  <c r="CG763" s="1"/>
  <c r="AU763"/>
  <c r="AT763"/>
  <c r="CE763" s="1"/>
  <c r="AS763"/>
  <c r="AR763"/>
  <c r="CC763" s="1"/>
  <c r="AQ763"/>
  <c r="AP763"/>
  <c r="CA763" s="1"/>
  <c r="AO763"/>
  <c r="AN763"/>
  <c r="BY763" s="1"/>
  <c r="AM763"/>
  <c r="AL763"/>
  <c r="AK763"/>
  <c r="AJ763"/>
  <c r="AI763"/>
  <c r="AH763"/>
  <c r="AG763"/>
  <c r="AF763"/>
  <c r="AE763"/>
  <c r="AD763"/>
  <c r="AC763"/>
  <c r="AB763"/>
  <c r="AA763"/>
  <c r="DE762"/>
  <c r="BJ762"/>
  <c r="BV762" s="1"/>
  <c r="BI762"/>
  <c r="BH762"/>
  <c r="BU762" s="1"/>
  <c r="BG762"/>
  <c r="BF762"/>
  <c r="BS762" s="1"/>
  <c r="BE762"/>
  <c r="BD762"/>
  <c r="BQ762" s="1"/>
  <c r="BC762"/>
  <c r="BB762"/>
  <c r="BO762" s="1"/>
  <c r="BA762"/>
  <c r="AZ762"/>
  <c r="BM762" s="1"/>
  <c r="AY762"/>
  <c r="BK762" s="1"/>
  <c r="AX762"/>
  <c r="BW762" s="1"/>
  <c r="AW762"/>
  <c r="AV762"/>
  <c r="CG762" s="1"/>
  <c r="AU762"/>
  <c r="AT762"/>
  <c r="CE762" s="1"/>
  <c r="AS762"/>
  <c r="AR762"/>
  <c r="CC762" s="1"/>
  <c r="AQ762"/>
  <c r="AP762"/>
  <c r="CA762" s="1"/>
  <c r="AO762"/>
  <c r="AN762"/>
  <c r="BY762" s="1"/>
  <c r="AM762"/>
  <c r="AL762"/>
  <c r="AK762"/>
  <c r="AJ762"/>
  <c r="AI762"/>
  <c r="AH762"/>
  <c r="AG762"/>
  <c r="AF762"/>
  <c r="AE762"/>
  <c r="AD762"/>
  <c r="AC762"/>
  <c r="AB762"/>
  <c r="AA762"/>
  <c r="DE761"/>
  <c r="BJ761"/>
  <c r="BV761" s="1"/>
  <c r="BI761"/>
  <c r="BH761"/>
  <c r="BU761" s="1"/>
  <c r="BG761"/>
  <c r="BF761"/>
  <c r="BS761" s="1"/>
  <c r="BE761"/>
  <c r="BD761"/>
  <c r="BQ761" s="1"/>
  <c r="BC761"/>
  <c r="BB761"/>
  <c r="BO761" s="1"/>
  <c r="BA761"/>
  <c r="AZ761"/>
  <c r="BM761" s="1"/>
  <c r="AY761"/>
  <c r="BK761" s="1"/>
  <c r="AX761"/>
  <c r="BW761" s="1"/>
  <c r="AW761"/>
  <c r="AV761"/>
  <c r="CG761" s="1"/>
  <c r="AU761"/>
  <c r="AT761"/>
  <c r="CE761" s="1"/>
  <c r="AS761"/>
  <c r="AR761"/>
  <c r="CC761" s="1"/>
  <c r="AQ761"/>
  <c r="AP761"/>
  <c r="CA761" s="1"/>
  <c r="AO761"/>
  <c r="AN761"/>
  <c r="BY761" s="1"/>
  <c r="AM761"/>
  <c r="AL761"/>
  <c r="AK761"/>
  <c r="AJ761"/>
  <c r="AI761"/>
  <c r="AH761"/>
  <c r="AG761"/>
  <c r="AF761"/>
  <c r="AE761"/>
  <c r="AD761"/>
  <c r="AC761"/>
  <c r="AB761"/>
  <c r="AA761"/>
  <c r="DE760"/>
  <c r="BJ760"/>
  <c r="BV760" s="1"/>
  <c r="BI760"/>
  <c r="BH760"/>
  <c r="BU760" s="1"/>
  <c r="BG760"/>
  <c r="BF760"/>
  <c r="BS760" s="1"/>
  <c r="BE760"/>
  <c r="BD760"/>
  <c r="BQ760" s="1"/>
  <c r="BC760"/>
  <c r="BB760"/>
  <c r="BO760" s="1"/>
  <c r="BA760"/>
  <c r="AZ760"/>
  <c r="BM760" s="1"/>
  <c r="AY760"/>
  <c r="BK760" s="1"/>
  <c r="AX760"/>
  <c r="BW760" s="1"/>
  <c r="AW760"/>
  <c r="AV760"/>
  <c r="CG760" s="1"/>
  <c r="AU760"/>
  <c r="AT760"/>
  <c r="CE760" s="1"/>
  <c r="AS760"/>
  <c r="AR760"/>
  <c r="CC760" s="1"/>
  <c r="AQ760"/>
  <c r="AP760"/>
  <c r="CA760" s="1"/>
  <c r="AO760"/>
  <c r="AN760"/>
  <c r="BY760" s="1"/>
  <c r="AM760"/>
  <c r="AL760"/>
  <c r="AK760"/>
  <c r="AJ760"/>
  <c r="AI760"/>
  <c r="AH760"/>
  <c r="AG760"/>
  <c r="AF760"/>
  <c r="AE760"/>
  <c r="AD760"/>
  <c r="AC760"/>
  <c r="AB760"/>
  <c r="AA760"/>
  <c r="DE759"/>
  <c r="BJ759"/>
  <c r="BV759" s="1"/>
  <c r="BI759"/>
  <c r="BH759"/>
  <c r="BU759" s="1"/>
  <c r="BG759"/>
  <c r="BF759"/>
  <c r="BS759" s="1"/>
  <c r="BE759"/>
  <c r="BD759"/>
  <c r="BQ759" s="1"/>
  <c r="BC759"/>
  <c r="BB759"/>
  <c r="BO759" s="1"/>
  <c r="BA759"/>
  <c r="AZ759"/>
  <c r="BM759" s="1"/>
  <c r="AY759"/>
  <c r="BK759" s="1"/>
  <c r="AX759"/>
  <c r="BW759" s="1"/>
  <c r="AW759"/>
  <c r="AV759"/>
  <c r="CG759" s="1"/>
  <c r="AU759"/>
  <c r="AT759"/>
  <c r="CE759" s="1"/>
  <c r="AS759"/>
  <c r="AR759"/>
  <c r="CC759" s="1"/>
  <c r="AQ759"/>
  <c r="AP759"/>
  <c r="CA759" s="1"/>
  <c r="AO759"/>
  <c r="AN759"/>
  <c r="BY759" s="1"/>
  <c r="AM759"/>
  <c r="AL759"/>
  <c r="AK759"/>
  <c r="AJ759"/>
  <c r="AI759"/>
  <c r="AH759"/>
  <c r="AG759"/>
  <c r="AF759"/>
  <c r="AE759"/>
  <c r="AD759"/>
  <c r="AC759"/>
  <c r="AB759"/>
  <c r="AA759"/>
  <c r="DE758"/>
  <c r="BJ758"/>
  <c r="BV758" s="1"/>
  <c r="BI758"/>
  <c r="BH758"/>
  <c r="BU758" s="1"/>
  <c r="BG758"/>
  <c r="BF758"/>
  <c r="BS758" s="1"/>
  <c r="BE758"/>
  <c r="BD758"/>
  <c r="BQ758" s="1"/>
  <c r="BC758"/>
  <c r="BB758"/>
  <c r="BO758" s="1"/>
  <c r="BA758"/>
  <c r="AZ758"/>
  <c r="BM758" s="1"/>
  <c r="AY758"/>
  <c r="BK758" s="1"/>
  <c r="AX758"/>
  <c r="BW758" s="1"/>
  <c r="AW758"/>
  <c r="AV758"/>
  <c r="CG758" s="1"/>
  <c r="AU758"/>
  <c r="AT758"/>
  <c r="CE758" s="1"/>
  <c r="AS758"/>
  <c r="AR758"/>
  <c r="CC758" s="1"/>
  <c r="AQ758"/>
  <c r="AP758"/>
  <c r="CA758" s="1"/>
  <c r="AO758"/>
  <c r="AN758"/>
  <c r="BY758" s="1"/>
  <c r="AM758"/>
  <c r="AL758"/>
  <c r="AK758"/>
  <c r="AJ758"/>
  <c r="AI758"/>
  <c r="AH758"/>
  <c r="AG758"/>
  <c r="AF758"/>
  <c r="AE758"/>
  <c r="AD758"/>
  <c r="AC758"/>
  <c r="AB758"/>
  <c r="AA758"/>
  <c r="DE757"/>
  <c r="BJ757"/>
  <c r="BV757" s="1"/>
  <c r="BI757"/>
  <c r="BH757"/>
  <c r="BU757" s="1"/>
  <c r="BG757"/>
  <c r="BF757"/>
  <c r="BS757" s="1"/>
  <c r="BE757"/>
  <c r="BD757"/>
  <c r="BQ757" s="1"/>
  <c r="BC757"/>
  <c r="BB757"/>
  <c r="BO757" s="1"/>
  <c r="BA757"/>
  <c r="AZ757"/>
  <c r="BM757" s="1"/>
  <c r="AY757"/>
  <c r="BK757" s="1"/>
  <c r="AX757"/>
  <c r="BW757" s="1"/>
  <c r="AW757"/>
  <c r="AV757"/>
  <c r="CG757" s="1"/>
  <c r="AU757"/>
  <c r="AT757"/>
  <c r="CE757" s="1"/>
  <c r="AS757"/>
  <c r="AR757"/>
  <c r="CC757" s="1"/>
  <c r="AQ757"/>
  <c r="AP757"/>
  <c r="CA757" s="1"/>
  <c r="AO757"/>
  <c r="AN757"/>
  <c r="BY757" s="1"/>
  <c r="AM757"/>
  <c r="AL757"/>
  <c r="AK757"/>
  <c r="AJ757"/>
  <c r="AI757"/>
  <c r="AH757"/>
  <c r="AG757"/>
  <c r="AF757"/>
  <c r="AE757"/>
  <c r="AD757"/>
  <c r="AC757"/>
  <c r="AB757"/>
  <c r="AA757"/>
  <c r="DE756"/>
  <c r="BJ756"/>
  <c r="BV756" s="1"/>
  <c r="BI756"/>
  <c r="BH756"/>
  <c r="BU756" s="1"/>
  <c r="BG756"/>
  <c r="BF756"/>
  <c r="BS756" s="1"/>
  <c r="BE756"/>
  <c r="BD756"/>
  <c r="BQ756" s="1"/>
  <c r="BC756"/>
  <c r="BB756"/>
  <c r="BO756" s="1"/>
  <c r="BA756"/>
  <c r="AZ756"/>
  <c r="BM756" s="1"/>
  <c r="AY756"/>
  <c r="BK756" s="1"/>
  <c r="AX756"/>
  <c r="BW756" s="1"/>
  <c r="AW756"/>
  <c r="AV756"/>
  <c r="CG756" s="1"/>
  <c r="AU756"/>
  <c r="AT756"/>
  <c r="CE756" s="1"/>
  <c r="AS756"/>
  <c r="AR756"/>
  <c r="CC756" s="1"/>
  <c r="AQ756"/>
  <c r="AP756"/>
  <c r="CA756" s="1"/>
  <c r="AO756"/>
  <c r="AN756"/>
  <c r="BY756" s="1"/>
  <c r="AM756"/>
  <c r="AL756"/>
  <c r="AK756"/>
  <c r="AJ756"/>
  <c r="AI756"/>
  <c r="AH756"/>
  <c r="AG756"/>
  <c r="AF756"/>
  <c r="AE756"/>
  <c r="AD756"/>
  <c r="AC756"/>
  <c r="AB756"/>
  <c r="AA756"/>
  <c r="DE755"/>
  <c r="BJ755"/>
  <c r="BV755" s="1"/>
  <c r="BI755"/>
  <c r="BH755"/>
  <c r="BU755" s="1"/>
  <c r="BG755"/>
  <c r="BF755"/>
  <c r="BS755" s="1"/>
  <c r="BE755"/>
  <c r="BD755"/>
  <c r="BQ755" s="1"/>
  <c r="BC755"/>
  <c r="BB755"/>
  <c r="BO755" s="1"/>
  <c r="BA755"/>
  <c r="AZ755"/>
  <c r="BM755" s="1"/>
  <c r="AY755"/>
  <c r="BK755" s="1"/>
  <c r="AX755"/>
  <c r="BW755" s="1"/>
  <c r="AW755"/>
  <c r="AV755"/>
  <c r="CG755" s="1"/>
  <c r="AU755"/>
  <c r="AT755"/>
  <c r="CE755" s="1"/>
  <c r="AS755"/>
  <c r="AR755"/>
  <c r="CC755" s="1"/>
  <c r="AQ755"/>
  <c r="AP755"/>
  <c r="CA755" s="1"/>
  <c r="AO755"/>
  <c r="AN755"/>
  <c r="BY755" s="1"/>
  <c r="AM755"/>
  <c r="AL755"/>
  <c r="AK755"/>
  <c r="AJ755"/>
  <c r="AI755"/>
  <c r="AH755"/>
  <c r="AG755"/>
  <c r="AF755"/>
  <c r="AE755"/>
  <c r="AD755"/>
  <c r="AC755"/>
  <c r="AB755"/>
  <c r="AA755"/>
  <c r="DE754"/>
  <c r="BJ754"/>
  <c r="BV754" s="1"/>
  <c r="BI754"/>
  <c r="BH754"/>
  <c r="BU754" s="1"/>
  <c r="BG754"/>
  <c r="BF754"/>
  <c r="BS754" s="1"/>
  <c r="BE754"/>
  <c r="BD754"/>
  <c r="BQ754" s="1"/>
  <c r="BC754"/>
  <c r="BB754"/>
  <c r="BO754" s="1"/>
  <c r="BA754"/>
  <c r="AZ754"/>
  <c r="BM754" s="1"/>
  <c r="AY754"/>
  <c r="BK754" s="1"/>
  <c r="AX754"/>
  <c r="BW754" s="1"/>
  <c r="AW754"/>
  <c r="AV754"/>
  <c r="CG754" s="1"/>
  <c r="AU754"/>
  <c r="AT754"/>
  <c r="CE754" s="1"/>
  <c r="AS754"/>
  <c r="AR754"/>
  <c r="CC754" s="1"/>
  <c r="AQ754"/>
  <c r="AP754"/>
  <c r="CA754" s="1"/>
  <c r="AO754"/>
  <c r="AN754"/>
  <c r="BY754" s="1"/>
  <c r="AM754"/>
  <c r="AL754"/>
  <c r="AK754"/>
  <c r="AJ754"/>
  <c r="AI754"/>
  <c r="AH754"/>
  <c r="AG754"/>
  <c r="AF754"/>
  <c r="AE754"/>
  <c r="AD754"/>
  <c r="AC754"/>
  <c r="AB754"/>
  <c r="AA754"/>
  <c r="DE753"/>
  <c r="BJ753"/>
  <c r="BV753" s="1"/>
  <c r="BI753"/>
  <c r="BH753"/>
  <c r="BU753" s="1"/>
  <c r="BG753"/>
  <c r="BF753"/>
  <c r="BS753" s="1"/>
  <c r="BE753"/>
  <c r="BD753"/>
  <c r="BQ753" s="1"/>
  <c r="BC753"/>
  <c r="BB753"/>
  <c r="BO753" s="1"/>
  <c r="BA753"/>
  <c r="AZ753"/>
  <c r="BM753" s="1"/>
  <c r="AY753"/>
  <c r="BK753" s="1"/>
  <c r="AX753"/>
  <c r="BW753" s="1"/>
  <c r="AW753"/>
  <c r="AV753"/>
  <c r="CG753" s="1"/>
  <c r="AU753"/>
  <c r="AT753"/>
  <c r="CE753" s="1"/>
  <c r="AS753"/>
  <c r="AR753"/>
  <c r="CC753" s="1"/>
  <c r="AQ753"/>
  <c r="AP753"/>
  <c r="CA753" s="1"/>
  <c r="AO753"/>
  <c r="AN753"/>
  <c r="BY753" s="1"/>
  <c r="AM753"/>
  <c r="AL753"/>
  <c r="AK753"/>
  <c r="AJ753"/>
  <c r="AI753"/>
  <c r="AH753"/>
  <c r="AG753"/>
  <c r="AF753"/>
  <c r="AE753"/>
  <c r="AD753"/>
  <c r="AC753"/>
  <c r="AB753"/>
  <c r="AA753"/>
  <c r="DE752"/>
  <c r="BJ752"/>
  <c r="BV752" s="1"/>
  <c r="BI752"/>
  <c r="BH752"/>
  <c r="BU752" s="1"/>
  <c r="BG752"/>
  <c r="BF752"/>
  <c r="BS752" s="1"/>
  <c r="BE752"/>
  <c r="BD752"/>
  <c r="BQ752" s="1"/>
  <c r="BC752"/>
  <c r="BB752"/>
  <c r="BO752" s="1"/>
  <c r="BA752"/>
  <c r="AZ752"/>
  <c r="BM752" s="1"/>
  <c r="AY752"/>
  <c r="BK752" s="1"/>
  <c r="AX752"/>
  <c r="BW752" s="1"/>
  <c r="AW752"/>
  <c r="AV752"/>
  <c r="CG752" s="1"/>
  <c r="AU752"/>
  <c r="AT752"/>
  <c r="CE752" s="1"/>
  <c r="AS752"/>
  <c r="AR752"/>
  <c r="CC752" s="1"/>
  <c r="AQ752"/>
  <c r="AP752"/>
  <c r="CA752" s="1"/>
  <c r="AO752"/>
  <c r="AN752"/>
  <c r="BY752" s="1"/>
  <c r="AM752"/>
  <c r="AL752"/>
  <c r="AK752"/>
  <c r="AJ752"/>
  <c r="AI752"/>
  <c r="AH752"/>
  <c r="AG752"/>
  <c r="AF752"/>
  <c r="AE752"/>
  <c r="AD752"/>
  <c r="AC752"/>
  <c r="AB752"/>
  <c r="AA752"/>
  <c r="DE751"/>
  <c r="BJ751"/>
  <c r="BV751" s="1"/>
  <c r="BI751"/>
  <c r="BH751"/>
  <c r="BU751" s="1"/>
  <c r="BG751"/>
  <c r="BF751"/>
  <c r="BS751" s="1"/>
  <c r="BE751"/>
  <c r="BD751"/>
  <c r="BQ751" s="1"/>
  <c r="BC751"/>
  <c r="BB751"/>
  <c r="BO751" s="1"/>
  <c r="BA751"/>
  <c r="AZ751"/>
  <c r="BM751" s="1"/>
  <c r="AY751"/>
  <c r="BK751" s="1"/>
  <c r="AX751"/>
  <c r="BW751" s="1"/>
  <c r="AW751"/>
  <c r="AV751"/>
  <c r="CG751" s="1"/>
  <c r="AU751"/>
  <c r="AT751"/>
  <c r="CE751" s="1"/>
  <c r="AS751"/>
  <c r="AR751"/>
  <c r="CC751" s="1"/>
  <c r="AQ751"/>
  <c r="AP751"/>
  <c r="CA751" s="1"/>
  <c r="AO751"/>
  <c r="AN751"/>
  <c r="BY751" s="1"/>
  <c r="AM751"/>
  <c r="AL751"/>
  <c r="AK751"/>
  <c r="AJ751"/>
  <c r="AI751"/>
  <c r="AH751"/>
  <c r="AG751"/>
  <c r="AF751"/>
  <c r="AE751"/>
  <c r="AD751"/>
  <c r="AC751"/>
  <c r="AB751"/>
  <c r="AA751"/>
  <c r="DE750"/>
  <c r="BJ750"/>
  <c r="BV750" s="1"/>
  <c r="BI750"/>
  <c r="BH750"/>
  <c r="BU750" s="1"/>
  <c r="BG750"/>
  <c r="BF750"/>
  <c r="BS750" s="1"/>
  <c r="BE750"/>
  <c r="BD750"/>
  <c r="BQ750" s="1"/>
  <c r="BC750"/>
  <c r="BB750"/>
  <c r="BO750" s="1"/>
  <c r="BA750"/>
  <c r="AZ750"/>
  <c r="BM750" s="1"/>
  <c r="AY750"/>
  <c r="BK750" s="1"/>
  <c r="AX750"/>
  <c r="BW750" s="1"/>
  <c r="AW750"/>
  <c r="AV750"/>
  <c r="CG750" s="1"/>
  <c r="AU750"/>
  <c r="AT750"/>
  <c r="CE750" s="1"/>
  <c r="AS750"/>
  <c r="AR750"/>
  <c r="CC750" s="1"/>
  <c r="AQ750"/>
  <c r="AP750"/>
  <c r="CA750" s="1"/>
  <c r="AO750"/>
  <c r="AN750"/>
  <c r="BY750" s="1"/>
  <c r="AM750"/>
  <c r="AL750"/>
  <c r="AK750"/>
  <c r="AJ750"/>
  <c r="AI750"/>
  <c r="AH750"/>
  <c r="AG750"/>
  <c r="AF750"/>
  <c r="AE750"/>
  <c r="AD750"/>
  <c r="AC750"/>
  <c r="AB750"/>
  <c r="AA750"/>
  <c r="DE749"/>
  <c r="BJ749"/>
  <c r="BV749" s="1"/>
  <c r="BI749"/>
  <c r="BH749"/>
  <c r="BU749" s="1"/>
  <c r="BG749"/>
  <c r="BF749"/>
  <c r="BS749" s="1"/>
  <c r="BE749"/>
  <c r="BD749"/>
  <c r="BQ749" s="1"/>
  <c r="BC749"/>
  <c r="BB749"/>
  <c r="BO749" s="1"/>
  <c r="BA749"/>
  <c r="AZ749"/>
  <c r="BM749" s="1"/>
  <c r="AY749"/>
  <c r="BK749" s="1"/>
  <c r="AX749"/>
  <c r="BW749" s="1"/>
  <c r="AW749"/>
  <c r="AV749"/>
  <c r="CG749" s="1"/>
  <c r="AU749"/>
  <c r="AT749"/>
  <c r="CE749" s="1"/>
  <c r="AS749"/>
  <c r="AR749"/>
  <c r="CC749" s="1"/>
  <c r="AQ749"/>
  <c r="AP749"/>
  <c r="CA749" s="1"/>
  <c r="AO749"/>
  <c r="AN749"/>
  <c r="BY749" s="1"/>
  <c r="AM749"/>
  <c r="AL749"/>
  <c r="AK749"/>
  <c r="AJ749"/>
  <c r="AI749"/>
  <c r="AH749"/>
  <c r="AG749"/>
  <c r="AF749"/>
  <c r="AE749"/>
  <c r="AD749"/>
  <c r="AC749"/>
  <c r="AB749"/>
  <c r="AA749"/>
  <c r="DE748"/>
  <c r="BJ748"/>
  <c r="BV748" s="1"/>
  <c r="BI748"/>
  <c r="BH748"/>
  <c r="BU748" s="1"/>
  <c r="BG748"/>
  <c r="BF748"/>
  <c r="BS748" s="1"/>
  <c r="BE748"/>
  <c r="BD748"/>
  <c r="BQ748" s="1"/>
  <c r="BC748"/>
  <c r="BB748"/>
  <c r="BO748" s="1"/>
  <c r="BA748"/>
  <c r="AZ748"/>
  <c r="BM748" s="1"/>
  <c r="AY748"/>
  <c r="BK748" s="1"/>
  <c r="AX748"/>
  <c r="BW748" s="1"/>
  <c r="AW748"/>
  <c r="AV748"/>
  <c r="CG748" s="1"/>
  <c r="AU748"/>
  <c r="AT748"/>
  <c r="CE748" s="1"/>
  <c r="AS748"/>
  <c r="AR748"/>
  <c r="CC748" s="1"/>
  <c r="AQ748"/>
  <c r="AP748"/>
  <c r="CA748" s="1"/>
  <c r="AO748"/>
  <c r="AN748"/>
  <c r="BY748" s="1"/>
  <c r="AM748"/>
  <c r="AL748"/>
  <c r="AK748"/>
  <c r="AJ748"/>
  <c r="AI748"/>
  <c r="AH748"/>
  <c r="AG748"/>
  <c r="AF748"/>
  <c r="AE748"/>
  <c r="AD748"/>
  <c r="AC748"/>
  <c r="AB748"/>
  <c r="AA748"/>
  <c r="DE747"/>
  <c r="BJ747"/>
  <c r="BV747" s="1"/>
  <c r="BI747"/>
  <c r="BH747"/>
  <c r="BU747" s="1"/>
  <c r="BG747"/>
  <c r="BF747"/>
  <c r="BS747" s="1"/>
  <c r="BE747"/>
  <c r="BD747"/>
  <c r="BQ747" s="1"/>
  <c r="BC747"/>
  <c r="BB747"/>
  <c r="BO747" s="1"/>
  <c r="BA747"/>
  <c r="AZ747"/>
  <c r="BM747" s="1"/>
  <c r="AY747"/>
  <c r="BK747" s="1"/>
  <c r="AX747"/>
  <c r="BW747" s="1"/>
  <c r="AW747"/>
  <c r="AV747"/>
  <c r="CG747" s="1"/>
  <c r="AU747"/>
  <c r="AT747"/>
  <c r="CE747" s="1"/>
  <c r="AS747"/>
  <c r="AR747"/>
  <c r="CC747" s="1"/>
  <c r="AQ747"/>
  <c r="AP747"/>
  <c r="CA747" s="1"/>
  <c r="AO747"/>
  <c r="AN747"/>
  <c r="BY747" s="1"/>
  <c r="AM747"/>
  <c r="AL747"/>
  <c r="AK747"/>
  <c r="AJ747"/>
  <c r="AI747"/>
  <c r="AH747"/>
  <c r="AG747"/>
  <c r="AF747"/>
  <c r="AE747"/>
  <c r="AD747"/>
  <c r="AC747"/>
  <c r="AB747"/>
  <c r="AA747"/>
  <c r="DE746"/>
  <c r="BJ746"/>
  <c r="BV746" s="1"/>
  <c r="BI746"/>
  <c r="BH746"/>
  <c r="BU746" s="1"/>
  <c r="BG746"/>
  <c r="BF746"/>
  <c r="BS746" s="1"/>
  <c r="BE746"/>
  <c r="BD746"/>
  <c r="BQ746" s="1"/>
  <c r="BC746"/>
  <c r="BB746"/>
  <c r="BO746" s="1"/>
  <c r="BA746"/>
  <c r="AZ746"/>
  <c r="BM746" s="1"/>
  <c r="AY746"/>
  <c r="BK746" s="1"/>
  <c r="AX746"/>
  <c r="BW746" s="1"/>
  <c r="AW746"/>
  <c r="AV746"/>
  <c r="CG746" s="1"/>
  <c r="AU746"/>
  <c r="AT746"/>
  <c r="CE746" s="1"/>
  <c r="AS746"/>
  <c r="AR746"/>
  <c r="CC746" s="1"/>
  <c r="AQ746"/>
  <c r="AP746"/>
  <c r="CA746" s="1"/>
  <c r="AO746"/>
  <c r="AN746"/>
  <c r="BY746" s="1"/>
  <c r="AM746"/>
  <c r="AL746"/>
  <c r="AK746"/>
  <c r="AJ746"/>
  <c r="AI746"/>
  <c r="AH746"/>
  <c r="AG746"/>
  <c r="AF746"/>
  <c r="AE746"/>
  <c r="AD746"/>
  <c r="AC746"/>
  <c r="AB746"/>
  <c r="AA746"/>
  <c r="DE745"/>
  <c r="BJ745"/>
  <c r="BV745" s="1"/>
  <c r="BI745"/>
  <c r="BH745"/>
  <c r="BU745" s="1"/>
  <c r="BG745"/>
  <c r="BF745"/>
  <c r="BS745" s="1"/>
  <c r="BE745"/>
  <c r="BD745"/>
  <c r="BQ745" s="1"/>
  <c r="BC745"/>
  <c r="BB745"/>
  <c r="BO745" s="1"/>
  <c r="BA745"/>
  <c r="AZ745"/>
  <c r="BM745" s="1"/>
  <c r="AY745"/>
  <c r="BK745" s="1"/>
  <c r="AX745"/>
  <c r="BW745" s="1"/>
  <c r="AW745"/>
  <c r="AV745"/>
  <c r="CG745" s="1"/>
  <c r="AU745"/>
  <c r="AT745"/>
  <c r="CE745" s="1"/>
  <c r="AS745"/>
  <c r="AR745"/>
  <c r="CC745" s="1"/>
  <c r="AQ745"/>
  <c r="AP745"/>
  <c r="CA745" s="1"/>
  <c r="AO745"/>
  <c r="AN745"/>
  <c r="BY745" s="1"/>
  <c r="AM745"/>
  <c r="AL745"/>
  <c r="AK745"/>
  <c r="AJ745"/>
  <c r="AI745"/>
  <c r="AH745"/>
  <c r="AG745"/>
  <c r="AF745"/>
  <c r="AE745"/>
  <c r="AD745"/>
  <c r="AC745"/>
  <c r="AB745"/>
  <c r="AA745"/>
  <c r="DE744"/>
  <c r="BJ744"/>
  <c r="BI744"/>
  <c r="BH744"/>
  <c r="BG744"/>
  <c r="BF744"/>
  <c r="BE744"/>
  <c r="BD744"/>
  <c r="BC744"/>
  <c r="BB744"/>
  <c r="BA744"/>
  <c r="AZ744"/>
  <c r="BM744" s="1"/>
  <c r="AY744"/>
  <c r="BK744" s="1"/>
  <c r="AX744"/>
  <c r="AW744"/>
  <c r="AV744"/>
  <c r="AU744"/>
  <c r="AT744"/>
  <c r="AS744"/>
  <c r="AR744"/>
  <c r="AQ744"/>
  <c r="AP744"/>
  <c r="AO744"/>
  <c r="AN744"/>
  <c r="AM744"/>
  <c r="AL744"/>
  <c r="AK744"/>
  <c r="AJ744"/>
  <c r="AI744"/>
  <c r="AH744"/>
  <c r="AG744"/>
  <c r="AF744"/>
  <c r="AE744"/>
  <c r="AD744"/>
  <c r="AC744"/>
  <c r="AB744"/>
  <c r="AA744"/>
  <c r="DE743"/>
  <c r="CF743"/>
  <c r="CB743"/>
  <c r="BX743"/>
  <c r="BT743"/>
  <c r="BP743"/>
  <c r="BL743"/>
  <c r="BJ743"/>
  <c r="BV743" s="1"/>
  <c r="BI743"/>
  <c r="BH743"/>
  <c r="BU743" s="1"/>
  <c r="BG743"/>
  <c r="BF743"/>
  <c r="BS743" s="1"/>
  <c r="BE743"/>
  <c r="BD743"/>
  <c r="BQ743" s="1"/>
  <c r="BC743"/>
  <c r="BB743"/>
  <c r="BO743" s="1"/>
  <c r="BA743"/>
  <c r="AZ743"/>
  <c r="BM743" s="1"/>
  <c r="AY743"/>
  <c r="BK743" s="1"/>
  <c r="AX743"/>
  <c r="AW743"/>
  <c r="AV743"/>
  <c r="CG743" s="1"/>
  <c r="AU743"/>
  <c r="AT743"/>
  <c r="CE743" s="1"/>
  <c r="AS743"/>
  <c r="AR743"/>
  <c r="CC743" s="1"/>
  <c r="AQ743"/>
  <c r="AP743"/>
  <c r="CA743" s="1"/>
  <c r="AO743"/>
  <c r="AN743"/>
  <c r="BY743" s="1"/>
  <c r="AM743"/>
  <c r="AL743"/>
  <c r="AK743"/>
  <c r="AJ743"/>
  <c r="AI743"/>
  <c r="AH743"/>
  <c r="AG743"/>
  <c r="AF743"/>
  <c r="AE743"/>
  <c r="AD743"/>
  <c r="AC743"/>
  <c r="AB743"/>
  <c r="AA743"/>
  <c r="DE742"/>
  <c r="BJ742"/>
  <c r="BV742" s="1"/>
  <c r="BI742"/>
  <c r="BH742"/>
  <c r="BU742" s="1"/>
  <c r="BG742"/>
  <c r="BF742"/>
  <c r="BS742" s="1"/>
  <c r="BE742"/>
  <c r="BD742"/>
  <c r="BQ742" s="1"/>
  <c r="BC742"/>
  <c r="BB742"/>
  <c r="BO742" s="1"/>
  <c r="BA742"/>
  <c r="AZ742"/>
  <c r="BM742" s="1"/>
  <c r="AY742"/>
  <c r="BK742" s="1"/>
  <c r="AX742"/>
  <c r="AW742"/>
  <c r="AV742"/>
  <c r="CG742" s="1"/>
  <c r="AU742"/>
  <c r="AT742"/>
  <c r="CE742" s="1"/>
  <c r="AS742"/>
  <c r="AR742"/>
  <c r="CC742" s="1"/>
  <c r="AQ742"/>
  <c r="AP742"/>
  <c r="CA742" s="1"/>
  <c r="AO742"/>
  <c r="AN742"/>
  <c r="BY742" s="1"/>
  <c r="AM742"/>
  <c r="AL742"/>
  <c r="AK742"/>
  <c r="AJ742"/>
  <c r="AI742"/>
  <c r="AH742"/>
  <c r="AG742"/>
  <c r="AF742"/>
  <c r="AE742"/>
  <c r="AD742"/>
  <c r="AC742"/>
  <c r="AB742"/>
  <c r="AA742"/>
  <c r="DE741"/>
  <c r="CF741"/>
  <c r="CB741"/>
  <c r="BX741"/>
  <c r="BT741"/>
  <c r="BP741"/>
  <c r="BL741"/>
  <c r="BJ741"/>
  <c r="BV741" s="1"/>
  <c r="BI741"/>
  <c r="BH741"/>
  <c r="BU741" s="1"/>
  <c r="BG741"/>
  <c r="BF741"/>
  <c r="BS741" s="1"/>
  <c r="BE741"/>
  <c r="BD741"/>
  <c r="BQ741" s="1"/>
  <c r="BC741"/>
  <c r="BB741"/>
  <c r="BO741" s="1"/>
  <c r="BA741"/>
  <c r="AZ741"/>
  <c r="BM741" s="1"/>
  <c r="AY741"/>
  <c r="BK741" s="1"/>
  <c r="AX741"/>
  <c r="AW741"/>
  <c r="AV741"/>
  <c r="CG741" s="1"/>
  <c r="AU741"/>
  <c r="AT741"/>
  <c r="CE741" s="1"/>
  <c r="AS741"/>
  <c r="AR741"/>
  <c r="CC741" s="1"/>
  <c r="AQ741"/>
  <c r="AP741"/>
  <c r="CA741" s="1"/>
  <c r="AO741"/>
  <c r="AN741"/>
  <c r="BY741" s="1"/>
  <c r="AM741"/>
  <c r="AL741"/>
  <c r="AK741"/>
  <c r="AJ741"/>
  <c r="AI741"/>
  <c r="AH741"/>
  <c r="AG741"/>
  <c r="AF741"/>
  <c r="AE741"/>
  <c r="AD741"/>
  <c r="AC741"/>
  <c r="AB741"/>
  <c r="AA741"/>
  <c r="DE740"/>
  <c r="BJ740"/>
  <c r="BI740"/>
  <c r="BV740" s="1"/>
  <c r="BH740"/>
  <c r="BU740" s="1"/>
  <c r="BG740"/>
  <c r="BT740" s="1"/>
  <c r="BF740"/>
  <c r="BS740" s="1"/>
  <c r="BE740"/>
  <c r="BR740" s="1"/>
  <c r="BD740"/>
  <c r="BQ740" s="1"/>
  <c r="BC740"/>
  <c r="BP740" s="1"/>
  <c r="BB740"/>
  <c r="BO740" s="1"/>
  <c r="BA740"/>
  <c r="BN740" s="1"/>
  <c r="AZ740"/>
  <c r="BM740" s="1"/>
  <c r="AY740"/>
  <c r="BL740" s="1"/>
  <c r="AX740"/>
  <c r="BW740" s="1"/>
  <c r="AW740"/>
  <c r="CH740" s="1"/>
  <c r="AV740"/>
  <c r="CG740" s="1"/>
  <c r="AU740"/>
  <c r="CF740" s="1"/>
  <c r="AT740"/>
  <c r="CE740" s="1"/>
  <c r="AS740"/>
  <c r="CD740" s="1"/>
  <c r="AR740"/>
  <c r="CC740" s="1"/>
  <c r="AQ740"/>
  <c r="CB740" s="1"/>
  <c r="AP740"/>
  <c r="CA740" s="1"/>
  <c r="AO740"/>
  <c r="BZ740" s="1"/>
  <c r="AN740"/>
  <c r="BY740" s="1"/>
  <c r="AM740"/>
  <c r="BX740" s="1"/>
  <c r="AL740"/>
  <c r="AK740"/>
  <c r="AJ740"/>
  <c r="AI740"/>
  <c r="AH740"/>
  <c r="AG740"/>
  <c r="AF740"/>
  <c r="AE740"/>
  <c r="AD740"/>
  <c r="AC740"/>
  <c r="AB740"/>
  <c r="AA740"/>
  <c r="DE739"/>
  <c r="BJ739"/>
  <c r="BI739"/>
  <c r="BV739" s="1"/>
  <c r="BH739"/>
  <c r="BU739" s="1"/>
  <c r="BG739"/>
  <c r="BT739" s="1"/>
  <c r="BF739"/>
  <c r="BS739" s="1"/>
  <c r="BE739"/>
  <c r="BR739" s="1"/>
  <c r="BD739"/>
  <c r="BQ739" s="1"/>
  <c r="BC739"/>
  <c r="BP739" s="1"/>
  <c r="BB739"/>
  <c r="BO739" s="1"/>
  <c r="BA739"/>
  <c r="BN739" s="1"/>
  <c r="AZ739"/>
  <c r="BM739" s="1"/>
  <c r="AY739"/>
  <c r="BL739" s="1"/>
  <c r="AX739"/>
  <c r="BW739" s="1"/>
  <c r="AW739"/>
  <c r="CH739" s="1"/>
  <c r="AV739"/>
  <c r="CG739" s="1"/>
  <c r="AU739"/>
  <c r="CF739" s="1"/>
  <c r="AT739"/>
  <c r="CE739" s="1"/>
  <c r="AS739"/>
  <c r="CD739" s="1"/>
  <c r="AR739"/>
  <c r="CC739" s="1"/>
  <c r="AQ739"/>
  <c r="CB739" s="1"/>
  <c r="AP739"/>
  <c r="CA739" s="1"/>
  <c r="AO739"/>
  <c r="BZ739" s="1"/>
  <c r="AN739"/>
  <c r="BY739" s="1"/>
  <c r="AM739"/>
  <c r="BX739" s="1"/>
  <c r="AL739"/>
  <c r="AK739"/>
  <c r="AJ739"/>
  <c r="AI739"/>
  <c r="AH739"/>
  <c r="AG739"/>
  <c r="AF739"/>
  <c r="AE739"/>
  <c r="AD739"/>
  <c r="AC739"/>
  <c r="AB739"/>
  <c r="AA739"/>
  <c r="DE738"/>
  <c r="BJ738"/>
  <c r="BI738"/>
  <c r="BV738" s="1"/>
  <c r="BH738"/>
  <c r="BU738" s="1"/>
  <c r="BG738"/>
  <c r="BT738" s="1"/>
  <c r="BF738"/>
  <c r="BS738" s="1"/>
  <c r="BE738"/>
  <c r="BR738" s="1"/>
  <c r="BD738"/>
  <c r="BQ738" s="1"/>
  <c r="BC738"/>
  <c r="BP738" s="1"/>
  <c r="BB738"/>
  <c r="BO738" s="1"/>
  <c r="BA738"/>
  <c r="BN738" s="1"/>
  <c r="AZ738"/>
  <c r="BM738" s="1"/>
  <c r="AY738"/>
  <c r="BL738" s="1"/>
  <c r="AX738"/>
  <c r="BW738" s="1"/>
  <c r="AW738"/>
  <c r="CH738" s="1"/>
  <c r="AV738"/>
  <c r="CG738" s="1"/>
  <c r="AU738"/>
  <c r="CF738" s="1"/>
  <c r="AT738"/>
  <c r="CE738" s="1"/>
  <c r="AS738"/>
  <c r="CD738" s="1"/>
  <c r="AR738"/>
  <c r="CC738" s="1"/>
  <c r="AQ738"/>
  <c r="CB738" s="1"/>
  <c r="AP738"/>
  <c r="CA738" s="1"/>
  <c r="AO738"/>
  <c r="BZ738" s="1"/>
  <c r="AN738"/>
  <c r="BY738" s="1"/>
  <c r="AM738"/>
  <c r="BX738" s="1"/>
  <c r="AL738"/>
  <c r="AK738"/>
  <c r="AJ738"/>
  <c r="AI738"/>
  <c r="AH738"/>
  <c r="AG738"/>
  <c r="AF738"/>
  <c r="AE738"/>
  <c r="AD738"/>
  <c r="AC738"/>
  <c r="AB738"/>
  <c r="AA738"/>
  <c r="DE737"/>
  <c r="BJ737"/>
  <c r="BV737" s="1"/>
  <c r="BI737"/>
  <c r="BH737"/>
  <c r="BU737" s="1"/>
  <c r="BG737"/>
  <c r="BT737" s="1"/>
  <c r="BF737"/>
  <c r="BS737" s="1"/>
  <c r="BE737"/>
  <c r="BR737" s="1"/>
  <c r="BD737"/>
  <c r="BQ737" s="1"/>
  <c r="BC737"/>
  <c r="BP737" s="1"/>
  <c r="BB737"/>
  <c r="BO737" s="1"/>
  <c r="BA737"/>
  <c r="BN737" s="1"/>
  <c r="AZ737"/>
  <c r="BM737" s="1"/>
  <c r="AY737"/>
  <c r="BL737" s="1"/>
  <c r="AX737"/>
  <c r="BW737" s="1"/>
  <c r="AW737"/>
  <c r="CH737" s="1"/>
  <c r="AV737"/>
  <c r="CG737" s="1"/>
  <c r="AU737"/>
  <c r="CF737" s="1"/>
  <c r="AT737"/>
  <c r="CE737" s="1"/>
  <c r="AS737"/>
  <c r="CD737" s="1"/>
  <c r="AR737"/>
  <c r="CC737" s="1"/>
  <c r="AQ737"/>
  <c r="CB737" s="1"/>
  <c r="AP737"/>
  <c r="CA737" s="1"/>
  <c r="AO737"/>
  <c r="BZ737" s="1"/>
  <c r="AN737"/>
  <c r="BY737" s="1"/>
  <c r="AM737"/>
  <c r="BX737" s="1"/>
  <c r="AL737"/>
  <c r="AK737"/>
  <c r="AJ737"/>
  <c r="AI737"/>
  <c r="AH737"/>
  <c r="AG737"/>
  <c r="AF737"/>
  <c r="AE737"/>
  <c r="AD737"/>
  <c r="AC737"/>
  <c r="AB737"/>
  <c r="AA737"/>
  <c r="DE736"/>
  <c r="BJ736"/>
  <c r="BV736" s="1"/>
  <c r="BI736"/>
  <c r="BH736"/>
  <c r="BT736" s="1"/>
  <c r="BG736"/>
  <c r="BF736"/>
  <c r="BS736" s="1"/>
  <c r="BE736"/>
  <c r="BR736" s="1"/>
  <c r="BD736"/>
  <c r="BQ736" s="1"/>
  <c r="BC736"/>
  <c r="BP736" s="1"/>
  <c r="BB736"/>
  <c r="BO736" s="1"/>
  <c r="BA736"/>
  <c r="BN736" s="1"/>
  <c r="AZ736"/>
  <c r="BM736" s="1"/>
  <c r="AY736"/>
  <c r="BL736" s="1"/>
  <c r="AX736"/>
  <c r="BW736" s="1"/>
  <c r="AW736"/>
  <c r="CH736" s="1"/>
  <c r="AV736"/>
  <c r="CG736" s="1"/>
  <c r="AU736"/>
  <c r="CF736" s="1"/>
  <c r="AT736"/>
  <c r="CE736" s="1"/>
  <c r="AS736"/>
  <c r="CD736" s="1"/>
  <c r="AR736"/>
  <c r="CC736" s="1"/>
  <c r="AQ736"/>
  <c r="CB736" s="1"/>
  <c r="AP736"/>
  <c r="CA736" s="1"/>
  <c r="AO736"/>
  <c r="BZ736" s="1"/>
  <c r="AN736"/>
  <c r="BY736" s="1"/>
  <c r="AM736"/>
  <c r="BX736" s="1"/>
  <c r="AL736"/>
  <c r="AK736"/>
  <c r="AJ736"/>
  <c r="AI736"/>
  <c r="AH736"/>
  <c r="AG736"/>
  <c r="AF736"/>
  <c r="AE736"/>
  <c r="AD736"/>
  <c r="AC736"/>
  <c r="AB736"/>
  <c r="AA736"/>
  <c r="DE735"/>
  <c r="BJ735"/>
  <c r="BV735" s="1"/>
  <c r="BI735"/>
  <c r="BH735"/>
  <c r="BT735" s="1"/>
  <c r="BG735"/>
  <c r="BF735"/>
  <c r="BR735" s="1"/>
  <c r="BE735"/>
  <c r="BD735"/>
  <c r="BQ735" s="1"/>
  <c r="BC735"/>
  <c r="BP735" s="1"/>
  <c r="BB735"/>
  <c r="BO735" s="1"/>
  <c r="BA735"/>
  <c r="BN735" s="1"/>
  <c r="AZ735"/>
  <c r="BM735" s="1"/>
  <c r="AY735"/>
  <c r="BL735" s="1"/>
  <c r="AX735"/>
  <c r="BW735" s="1"/>
  <c r="AW735"/>
  <c r="CH735" s="1"/>
  <c r="AV735"/>
  <c r="CG735" s="1"/>
  <c r="AU735"/>
  <c r="CF735" s="1"/>
  <c r="AT735"/>
  <c r="CE735" s="1"/>
  <c r="AS735"/>
  <c r="CD735" s="1"/>
  <c r="AR735"/>
  <c r="CC735" s="1"/>
  <c r="AQ735"/>
  <c r="CB735" s="1"/>
  <c r="AP735"/>
  <c r="CA735" s="1"/>
  <c r="AO735"/>
  <c r="BZ735" s="1"/>
  <c r="AN735"/>
  <c r="BY735" s="1"/>
  <c r="AM735"/>
  <c r="BX735" s="1"/>
  <c r="AL735"/>
  <c r="AK735"/>
  <c r="AJ735"/>
  <c r="AI735"/>
  <c r="AH735"/>
  <c r="AG735"/>
  <c r="AF735"/>
  <c r="AE735"/>
  <c r="AD735"/>
  <c r="AC735"/>
  <c r="AB735"/>
  <c r="AA735"/>
  <c r="DE734"/>
  <c r="BJ734"/>
  <c r="BV734" s="1"/>
  <c r="BI734"/>
  <c r="BH734"/>
  <c r="BT734" s="1"/>
  <c r="BG734"/>
  <c r="BF734"/>
  <c r="BR734" s="1"/>
  <c r="BE734"/>
  <c r="BD734"/>
  <c r="BP734" s="1"/>
  <c r="BC734"/>
  <c r="BB734"/>
  <c r="BO734" s="1"/>
  <c r="BA734"/>
  <c r="BN734" s="1"/>
  <c r="AZ734"/>
  <c r="BM734" s="1"/>
  <c r="AY734"/>
  <c r="BL734" s="1"/>
  <c r="AX734"/>
  <c r="BW734" s="1"/>
  <c r="AW734"/>
  <c r="CH734" s="1"/>
  <c r="AV734"/>
  <c r="CG734" s="1"/>
  <c r="AU734"/>
  <c r="CF734" s="1"/>
  <c r="AT734"/>
  <c r="CE734" s="1"/>
  <c r="AS734"/>
  <c r="CD734" s="1"/>
  <c r="AR734"/>
  <c r="CC734" s="1"/>
  <c r="AQ734"/>
  <c r="CB734" s="1"/>
  <c r="AP734"/>
  <c r="CA734" s="1"/>
  <c r="AO734"/>
  <c r="BZ734" s="1"/>
  <c r="AN734"/>
  <c r="BY734" s="1"/>
  <c r="AM734"/>
  <c r="BX734" s="1"/>
  <c r="AL734"/>
  <c r="AK734"/>
  <c r="AJ734"/>
  <c r="AI734"/>
  <c r="AH734"/>
  <c r="AG734"/>
  <c r="AF734"/>
  <c r="AE734"/>
  <c r="AD734"/>
  <c r="AC734"/>
  <c r="AB734"/>
  <c r="AA734"/>
  <c r="DE733"/>
  <c r="BJ733"/>
  <c r="BV733" s="1"/>
  <c r="BI733"/>
  <c r="BH733"/>
  <c r="BT733" s="1"/>
  <c r="BG733"/>
  <c r="BF733"/>
  <c r="BR733" s="1"/>
  <c r="BE733"/>
  <c r="BD733"/>
  <c r="BP733" s="1"/>
  <c r="BC733"/>
  <c r="BB733"/>
  <c r="BN733" s="1"/>
  <c r="BA733"/>
  <c r="AZ733"/>
  <c r="BL733" s="1"/>
  <c r="AY733"/>
  <c r="BK733" s="1"/>
  <c r="AX733"/>
  <c r="BW733" s="1"/>
  <c r="AW733"/>
  <c r="CH733" s="1"/>
  <c r="AV733"/>
  <c r="CG733" s="1"/>
  <c r="AU733"/>
  <c r="CF733" s="1"/>
  <c r="AT733"/>
  <c r="CE733" s="1"/>
  <c r="AS733"/>
  <c r="CD733" s="1"/>
  <c r="AR733"/>
  <c r="CC733" s="1"/>
  <c r="AQ733"/>
  <c r="CB733" s="1"/>
  <c r="AP733"/>
  <c r="CA733" s="1"/>
  <c r="AO733"/>
  <c r="BZ733" s="1"/>
  <c r="AN733"/>
  <c r="BY733" s="1"/>
  <c r="AM733"/>
  <c r="BX733" s="1"/>
  <c r="AL733"/>
  <c r="AK733"/>
  <c r="AJ733"/>
  <c r="AI733"/>
  <c r="AH733"/>
  <c r="AG733"/>
  <c r="AF733"/>
  <c r="AE733"/>
  <c r="AD733"/>
  <c r="AC733"/>
  <c r="AB733"/>
  <c r="AA733"/>
  <c r="DE732"/>
  <c r="BJ732"/>
  <c r="BV732" s="1"/>
  <c r="BI732"/>
  <c r="BH732"/>
  <c r="BT732" s="1"/>
  <c r="BG732"/>
  <c r="BF732"/>
  <c r="BR732" s="1"/>
  <c r="BE732"/>
  <c r="BD732"/>
  <c r="BP732" s="1"/>
  <c r="BC732"/>
  <c r="BB732"/>
  <c r="BN732" s="1"/>
  <c r="BA732"/>
  <c r="AZ732"/>
  <c r="BL732" s="1"/>
  <c r="AY732"/>
  <c r="BK732" s="1"/>
  <c r="AX732"/>
  <c r="BW732" s="1"/>
  <c r="AW732"/>
  <c r="CH732" s="1"/>
  <c r="AV732"/>
  <c r="CG732" s="1"/>
  <c r="AU732"/>
  <c r="CF732" s="1"/>
  <c r="AT732"/>
  <c r="CE732" s="1"/>
  <c r="AS732"/>
  <c r="CD732" s="1"/>
  <c r="AR732"/>
  <c r="CC732" s="1"/>
  <c r="AQ732"/>
  <c r="CB732" s="1"/>
  <c r="AP732"/>
  <c r="CA732" s="1"/>
  <c r="AO732"/>
  <c r="BZ732" s="1"/>
  <c r="AN732"/>
  <c r="BY732" s="1"/>
  <c r="AM732"/>
  <c r="BX732" s="1"/>
  <c r="AL732"/>
  <c r="AK732"/>
  <c r="AJ732"/>
  <c r="AI732"/>
  <c r="AH732"/>
  <c r="AG732"/>
  <c r="AF732"/>
  <c r="AE732"/>
  <c r="AD732"/>
  <c r="AC732"/>
  <c r="AB732"/>
  <c r="AA732"/>
  <c r="DE731"/>
  <c r="BJ731"/>
  <c r="BV731" s="1"/>
  <c r="BI731"/>
  <c r="BH731"/>
  <c r="BT731" s="1"/>
  <c r="BG731"/>
  <c r="BF731"/>
  <c r="BR731" s="1"/>
  <c r="BE731"/>
  <c r="BD731"/>
  <c r="BP731" s="1"/>
  <c r="BC731"/>
  <c r="BB731"/>
  <c r="BN731" s="1"/>
  <c r="BA731"/>
  <c r="AZ731"/>
  <c r="BL731" s="1"/>
  <c r="AY731"/>
  <c r="BK731" s="1"/>
  <c r="AX731"/>
  <c r="BW731" s="1"/>
  <c r="AW731"/>
  <c r="CH731" s="1"/>
  <c r="AV731"/>
  <c r="CG731" s="1"/>
  <c r="AU731"/>
  <c r="CF731" s="1"/>
  <c r="AT731"/>
  <c r="CE731" s="1"/>
  <c r="AS731"/>
  <c r="CD731" s="1"/>
  <c r="AR731"/>
  <c r="CC731" s="1"/>
  <c r="AQ731"/>
  <c r="CB731" s="1"/>
  <c r="AP731"/>
  <c r="CA731" s="1"/>
  <c r="AO731"/>
  <c r="BZ731" s="1"/>
  <c r="AN731"/>
  <c r="BY731" s="1"/>
  <c r="AM731"/>
  <c r="BX731" s="1"/>
  <c r="AL731"/>
  <c r="AK731"/>
  <c r="AJ731"/>
  <c r="AI731"/>
  <c r="AH731"/>
  <c r="AG731"/>
  <c r="AF731"/>
  <c r="AE731"/>
  <c r="AD731"/>
  <c r="AC731"/>
  <c r="AB731"/>
  <c r="AA731"/>
  <c r="DE730"/>
  <c r="BJ730"/>
  <c r="BV730" s="1"/>
  <c r="BI730"/>
  <c r="BH730"/>
  <c r="BT730" s="1"/>
  <c r="BG730"/>
  <c r="BF730"/>
  <c r="BR730" s="1"/>
  <c r="BE730"/>
  <c r="BD730"/>
  <c r="BP730" s="1"/>
  <c r="BC730"/>
  <c r="BB730"/>
  <c r="BN730" s="1"/>
  <c r="BA730"/>
  <c r="AZ730"/>
  <c r="BL730" s="1"/>
  <c r="AY730"/>
  <c r="BK730" s="1"/>
  <c r="AX730"/>
  <c r="CH730" s="1"/>
  <c r="AW730"/>
  <c r="AV730"/>
  <c r="CG730" s="1"/>
  <c r="AU730"/>
  <c r="CF730" s="1"/>
  <c r="AT730"/>
  <c r="CE730" s="1"/>
  <c r="AS730"/>
  <c r="CD730" s="1"/>
  <c r="AR730"/>
  <c r="CC730" s="1"/>
  <c r="AQ730"/>
  <c r="CB730" s="1"/>
  <c r="AP730"/>
  <c r="CA730" s="1"/>
  <c r="AO730"/>
  <c r="BZ730" s="1"/>
  <c r="AN730"/>
  <c r="BY730" s="1"/>
  <c r="AM730"/>
  <c r="BX730" s="1"/>
  <c r="AL730"/>
  <c r="AK730"/>
  <c r="AJ730"/>
  <c r="AI730"/>
  <c r="AH730"/>
  <c r="AG730"/>
  <c r="AF730"/>
  <c r="AE730"/>
  <c r="AD730"/>
  <c r="AC730"/>
  <c r="AB730"/>
  <c r="AA730"/>
  <c r="DE729"/>
  <c r="BJ729"/>
  <c r="BV729" s="1"/>
  <c r="BI729"/>
  <c r="BH729"/>
  <c r="BT729" s="1"/>
  <c r="BG729"/>
  <c r="BF729"/>
  <c r="BR729" s="1"/>
  <c r="BE729"/>
  <c r="BD729"/>
  <c r="BP729" s="1"/>
  <c r="BC729"/>
  <c r="BB729"/>
  <c r="BN729" s="1"/>
  <c r="BA729"/>
  <c r="AZ729"/>
  <c r="BL729" s="1"/>
  <c r="AY729"/>
  <c r="BK729" s="1"/>
  <c r="AX729"/>
  <c r="CH729" s="1"/>
  <c r="AW729"/>
  <c r="AV729"/>
  <c r="CF729" s="1"/>
  <c r="AU729"/>
  <c r="AT729"/>
  <c r="CE729" s="1"/>
  <c r="AS729"/>
  <c r="CD729" s="1"/>
  <c r="AR729"/>
  <c r="CC729" s="1"/>
  <c r="AQ729"/>
  <c r="CB729" s="1"/>
  <c r="AP729"/>
  <c r="CA729" s="1"/>
  <c r="AO729"/>
  <c r="BZ729" s="1"/>
  <c r="AN729"/>
  <c r="BY729" s="1"/>
  <c r="AM729"/>
  <c r="BX729" s="1"/>
  <c r="AL729"/>
  <c r="AK729"/>
  <c r="AJ729"/>
  <c r="AI729"/>
  <c r="AH729"/>
  <c r="AG729"/>
  <c r="AF729"/>
  <c r="AE729"/>
  <c r="AD729"/>
  <c r="AC729"/>
  <c r="AB729"/>
  <c r="AA729"/>
  <c r="DE728"/>
  <c r="BJ728"/>
  <c r="BV728" s="1"/>
  <c r="BI728"/>
  <c r="BH728"/>
  <c r="BT728" s="1"/>
  <c r="BG728"/>
  <c r="BF728"/>
  <c r="BR728" s="1"/>
  <c r="BE728"/>
  <c r="BD728"/>
  <c r="BP728" s="1"/>
  <c r="BC728"/>
  <c r="BB728"/>
  <c r="BN728" s="1"/>
  <c r="BA728"/>
  <c r="AZ728"/>
  <c r="BL728" s="1"/>
  <c r="AY728"/>
  <c r="BK728" s="1"/>
  <c r="AX728"/>
  <c r="CH728" s="1"/>
  <c r="AW728"/>
  <c r="AV728"/>
  <c r="CF728" s="1"/>
  <c r="AU728"/>
  <c r="AT728"/>
  <c r="CD728" s="1"/>
  <c r="AS728"/>
  <c r="AR728"/>
  <c r="CC728" s="1"/>
  <c r="AQ728"/>
  <c r="CB728" s="1"/>
  <c r="AP728"/>
  <c r="CA728" s="1"/>
  <c r="AO728"/>
  <c r="BZ728" s="1"/>
  <c r="AN728"/>
  <c r="BY728" s="1"/>
  <c r="AM728"/>
  <c r="BX728" s="1"/>
  <c r="AL728"/>
  <c r="AK728"/>
  <c r="AJ728"/>
  <c r="AI728"/>
  <c r="AH728"/>
  <c r="AG728"/>
  <c r="AF728"/>
  <c r="AE728"/>
  <c r="AD728"/>
  <c r="AC728"/>
  <c r="AB728"/>
  <c r="AA728"/>
  <c r="DE727"/>
  <c r="BJ727"/>
  <c r="BV727" s="1"/>
  <c r="BI727"/>
  <c r="BH727"/>
  <c r="BT727" s="1"/>
  <c r="BG727"/>
  <c r="BF727"/>
  <c r="BR727" s="1"/>
  <c r="BE727"/>
  <c r="BD727"/>
  <c r="BP727" s="1"/>
  <c r="BC727"/>
  <c r="BB727"/>
  <c r="BN727" s="1"/>
  <c r="BA727"/>
  <c r="AZ727"/>
  <c r="BL727" s="1"/>
  <c r="AY727"/>
  <c r="BK727" s="1"/>
  <c r="AX727"/>
  <c r="CH727" s="1"/>
  <c r="AW727"/>
  <c r="AV727"/>
  <c r="CF727" s="1"/>
  <c r="AU727"/>
  <c r="AT727"/>
  <c r="CD727" s="1"/>
  <c r="AS727"/>
  <c r="AR727"/>
  <c r="CB727" s="1"/>
  <c r="AQ727"/>
  <c r="AP727"/>
  <c r="CA727" s="1"/>
  <c r="AO727"/>
  <c r="BZ727" s="1"/>
  <c r="AN727"/>
  <c r="BY727" s="1"/>
  <c r="AM727"/>
  <c r="BX727" s="1"/>
  <c r="AL727"/>
  <c r="AK727"/>
  <c r="AJ727"/>
  <c r="AI727"/>
  <c r="AH727"/>
  <c r="AG727"/>
  <c r="AF727"/>
  <c r="AE727"/>
  <c r="AD727"/>
  <c r="AC727"/>
  <c r="AB727"/>
  <c r="AA727"/>
  <c r="DE726"/>
  <c r="BJ726"/>
  <c r="BV726" s="1"/>
  <c r="BI726"/>
  <c r="BH726"/>
  <c r="BT726" s="1"/>
  <c r="BG726"/>
  <c r="BF726"/>
  <c r="BR726" s="1"/>
  <c r="BE726"/>
  <c r="BD726"/>
  <c r="BP726" s="1"/>
  <c r="BC726"/>
  <c r="BB726"/>
  <c r="BN726" s="1"/>
  <c r="BA726"/>
  <c r="AZ726"/>
  <c r="BL726" s="1"/>
  <c r="AY726"/>
  <c r="BK726" s="1"/>
  <c r="AX726"/>
  <c r="CH726" s="1"/>
  <c r="AW726"/>
  <c r="AV726"/>
  <c r="CF726" s="1"/>
  <c r="AU726"/>
  <c r="AT726"/>
  <c r="CD726" s="1"/>
  <c r="AS726"/>
  <c r="AR726"/>
  <c r="CB726" s="1"/>
  <c r="AQ726"/>
  <c r="AP726"/>
  <c r="BZ726" s="1"/>
  <c r="AO726"/>
  <c r="AN726"/>
  <c r="BY726" s="1"/>
  <c r="AM726"/>
  <c r="BX726" s="1"/>
  <c r="AL726"/>
  <c r="AK726"/>
  <c r="AJ726"/>
  <c r="AI726"/>
  <c r="AH726"/>
  <c r="AG726"/>
  <c r="AF726"/>
  <c r="AE726"/>
  <c r="AD726"/>
  <c r="AC726"/>
  <c r="AB726"/>
  <c r="AA726"/>
  <c r="DE725"/>
  <c r="BJ725"/>
  <c r="BV725" s="1"/>
  <c r="BI725"/>
  <c r="BH725"/>
  <c r="BT725" s="1"/>
  <c r="BG725"/>
  <c r="BF725"/>
  <c r="BR725" s="1"/>
  <c r="BE725"/>
  <c r="BD725"/>
  <c r="BP725" s="1"/>
  <c r="BC725"/>
  <c r="BB725"/>
  <c r="BN725" s="1"/>
  <c r="BA725"/>
  <c r="AZ725"/>
  <c r="BL725" s="1"/>
  <c r="AY725"/>
  <c r="BK725" s="1"/>
  <c r="AX725"/>
  <c r="CH725" s="1"/>
  <c r="AW725"/>
  <c r="AV725"/>
  <c r="CF725" s="1"/>
  <c r="AU725"/>
  <c r="AT725"/>
  <c r="CD725" s="1"/>
  <c r="AS725"/>
  <c r="AR725"/>
  <c r="CB725" s="1"/>
  <c r="AQ725"/>
  <c r="AP725"/>
  <c r="BZ725" s="1"/>
  <c r="AO725"/>
  <c r="AN725"/>
  <c r="BX725" s="1"/>
  <c r="AM725"/>
  <c r="AL725"/>
  <c r="AK725"/>
  <c r="AJ725"/>
  <c r="AI725"/>
  <c r="AH725"/>
  <c r="AG725"/>
  <c r="AF725"/>
  <c r="AE725"/>
  <c r="AD725"/>
  <c r="AC725"/>
  <c r="AB725"/>
  <c r="AA725"/>
  <c r="DE724"/>
  <c r="BJ724"/>
  <c r="BV724" s="1"/>
  <c r="BI724"/>
  <c r="BH724"/>
  <c r="BT724" s="1"/>
  <c r="BG724"/>
  <c r="BF724"/>
  <c r="BR724" s="1"/>
  <c r="BE724"/>
  <c r="BD724"/>
  <c r="BP724" s="1"/>
  <c r="BC724"/>
  <c r="BB724"/>
  <c r="BN724" s="1"/>
  <c r="BA724"/>
  <c r="AZ724"/>
  <c r="BL724" s="1"/>
  <c r="AY724"/>
  <c r="BK724" s="1"/>
  <c r="AX724"/>
  <c r="CH724" s="1"/>
  <c r="AW724"/>
  <c r="AV724"/>
  <c r="CF724" s="1"/>
  <c r="AU724"/>
  <c r="AT724"/>
  <c r="CD724" s="1"/>
  <c r="AS724"/>
  <c r="AR724"/>
  <c r="CB724" s="1"/>
  <c r="AQ724"/>
  <c r="AP724"/>
  <c r="BZ724" s="1"/>
  <c r="AO724"/>
  <c r="AN724"/>
  <c r="BX724" s="1"/>
  <c r="AM724"/>
  <c r="AL724"/>
  <c r="AK724"/>
  <c r="AJ724"/>
  <c r="AI724"/>
  <c r="AH724"/>
  <c r="AG724"/>
  <c r="AF724"/>
  <c r="AE724"/>
  <c r="AD724"/>
  <c r="AC724"/>
  <c r="AB724"/>
  <c r="AA724"/>
  <c r="DE723"/>
  <c r="BJ723"/>
  <c r="BV723" s="1"/>
  <c r="BI723"/>
  <c r="BH723"/>
  <c r="BT723" s="1"/>
  <c r="BG723"/>
  <c r="BF723"/>
  <c r="BR723" s="1"/>
  <c r="BE723"/>
  <c r="BD723"/>
  <c r="BQ723" s="1"/>
  <c r="BC723"/>
  <c r="BP723" s="1"/>
  <c r="BB723"/>
  <c r="BO723" s="1"/>
  <c r="BA723"/>
  <c r="BN723" s="1"/>
  <c r="AZ723"/>
  <c r="BM723" s="1"/>
  <c r="AY723"/>
  <c r="BL723" s="1"/>
  <c r="AX723"/>
  <c r="BW723" s="1"/>
  <c r="AW723"/>
  <c r="CH723" s="1"/>
  <c r="AV723"/>
  <c r="CG723" s="1"/>
  <c r="AU723"/>
  <c r="CF723" s="1"/>
  <c r="AT723"/>
  <c r="CE723" s="1"/>
  <c r="AS723"/>
  <c r="CD723" s="1"/>
  <c r="AR723"/>
  <c r="CC723" s="1"/>
  <c r="AQ723"/>
  <c r="CB723" s="1"/>
  <c r="AP723"/>
  <c r="CA723" s="1"/>
  <c r="AO723"/>
  <c r="BZ723" s="1"/>
  <c r="AN723"/>
  <c r="BY723" s="1"/>
  <c r="AM723"/>
  <c r="BX723" s="1"/>
  <c r="AL723"/>
  <c r="AK723"/>
  <c r="AJ723"/>
  <c r="AI723"/>
  <c r="AH723"/>
  <c r="AG723"/>
  <c r="AF723"/>
  <c r="AE723"/>
  <c r="AD723"/>
  <c r="AC723"/>
  <c r="AB723"/>
  <c r="AA723"/>
  <c r="DE722"/>
  <c r="BJ722"/>
  <c r="BI722"/>
  <c r="BV722" s="1"/>
  <c r="BH722"/>
  <c r="BG722"/>
  <c r="BT722" s="1"/>
  <c r="BF722"/>
  <c r="BE722"/>
  <c r="BR722" s="1"/>
  <c r="BD722"/>
  <c r="BC722"/>
  <c r="BP722" s="1"/>
  <c r="BB722"/>
  <c r="BO722" s="1"/>
  <c r="BA722"/>
  <c r="BN722" s="1"/>
  <c r="AZ722"/>
  <c r="BM722" s="1"/>
  <c r="AY722"/>
  <c r="BL722" s="1"/>
  <c r="AX722"/>
  <c r="BW722" s="1"/>
  <c r="AW722"/>
  <c r="CH722" s="1"/>
  <c r="AV722"/>
  <c r="CG722" s="1"/>
  <c r="AU722"/>
  <c r="CF722" s="1"/>
  <c r="AT722"/>
  <c r="CE722" s="1"/>
  <c r="AS722"/>
  <c r="CD722" s="1"/>
  <c r="AR722"/>
  <c r="CC722" s="1"/>
  <c r="AQ722"/>
  <c r="CB722" s="1"/>
  <c r="AP722"/>
  <c r="CA722" s="1"/>
  <c r="AO722"/>
  <c r="BZ722" s="1"/>
  <c r="AN722"/>
  <c r="BY722" s="1"/>
  <c r="AM722"/>
  <c r="BX722" s="1"/>
  <c r="AL722"/>
  <c r="AK722"/>
  <c r="AJ722"/>
  <c r="AI722"/>
  <c r="AH722"/>
  <c r="AG722"/>
  <c r="AF722"/>
  <c r="AE722"/>
  <c r="AD722"/>
  <c r="AC722"/>
  <c r="AB722"/>
  <c r="AA722"/>
  <c r="DE721"/>
  <c r="BJ721"/>
  <c r="BI721"/>
  <c r="BV721" s="1"/>
  <c r="BH721"/>
  <c r="BG721"/>
  <c r="BT721" s="1"/>
  <c r="BF721"/>
  <c r="BS721" s="1"/>
  <c r="BE721"/>
  <c r="BR721" s="1"/>
  <c r="BD721"/>
  <c r="BQ721" s="1"/>
  <c r="BC721"/>
  <c r="BP721" s="1"/>
  <c r="BB721"/>
  <c r="BO721" s="1"/>
  <c r="BA721"/>
  <c r="BN721" s="1"/>
  <c r="AZ721"/>
  <c r="BM721" s="1"/>
  <c r="AY721"/>
  <c r="BL721" s="1"/>
  <c r="AX721"/>
  <c r="BW721" s="1"/>
  <c r="AW721"/>
  <c r="CH721" s="1"/>
  <c r="AV721"/>
  <c r="CG721" s="1"/>
  <c r="AU721"/>
  <c r="CF721" s="1"/>
  <c r="AT721"/>
  <c r="CE721" s="1"/>
  <c r="AS721"/>
  <c r="CD721" s="1"/>
  <c r="AR721"/>
  <c r="CC721" s="1"/>
  <c r="AQ721"/>
  <c r="CB721" s="1"/>
  <c r="AP721"/>
  <c r="CA721" s="1"/>
  <c r="AO721"/>
  <c r="BZ721" s="1"/>
  <c r="AN721"/>
  <c r="BY721" s="1"/>
  <c r="AM721"/>
  <c r="BX721" s="1"/>
  <c r="AL721"/>
  <c r="AK721"/>
  <c r="AJ721"/>
  <c r="AI721"/>
  <c r="AH721"/>
  <c r="AG721"/>
  <c r="AF721"/>
  <c r="AE721"/>
  <c r="AD721"/>
  <c r="AC721"/>
  <c r="AB721"/>
  <c r="AA721"/>
  <c r="DE720"/>
  <c r="BJ720"/>
  <c r="BI720"/>
  <c r="BV720" s="1"/>
  <c r="BH720"/>
  <c r="BU720" s="1"/>
  <c r="BG720"/>
  <c r="BT720" s="1"/>
  <c r="BF720"/>
  <c r="BS720" s="1"/>
  <c r="BE720"/>
  <c r="BR720" s="1"/>
  <c r="BD720"/>
  <c r="BQ720" s="1"/>
  <c r="BC720"/>
  <c r="BP720" s="1"/>
  <c r="BB720"/>
  <c r="BO720" s="1"/>
  <c r="BA720"/>
  <c r="BN720" s="1"/>
  <c r="AZ720"/>
  <c r="BM720" s="1"/>
  <c r="AY720"/>
  <c r="BL720" s="1"/>
  <c r="AX720"/>
  <c r="BW720" s="1"/>
  <c r="AW720"/>
  <c r="CH720" s="1"/>
  <c r="AV720"/>
  <c r="CG720" s="1"/>
  <c r="AU720"/>
  <c r="CF720" s="1"/>
  <c r="AT720"/>
  <c r="CE720" s="1"/>
  <c r="AS720"/>
  <c r="CD720" s="1"/>
  <c r="AR720"/>
  <c r="CC720" s="1"/>
  <c r="AQ720"/>
  <c r="CB720" s="1"/>
  <c r="AP720"/>
  <c r="CA720" s="1"/>
  <c r="AO720"/>
  <c r="BZ720" s="1"/>
  <c r="AN720"/>
  <c r="BY720" s="1"/>
  <c r="AM720"/>
  <c r="BX720" s="1"/>
  <c r="AL720"/>
  <c r="AK720"/>
  <c r="AJ720"/>
  <c r="AI720"/>
  <c r="AH720"/>
  <c r="AG720"/>
  <c r="AF720"/>
  <c r="AE720"/>
  <c r="AD720"/>
  <c r="AC720"/>
  <c r="AB720"/>
  <c r="AA720"/>
  <c r="DE719"/>
  <c r="BJ719"/>
  <c r="BI719"/>
  <c r="BV719" s="1"/>
  <c r="BH719"/>
  <c r="BU719" s="1"/>
  <c r="BG719"/>
  <c r="BT719" s="1"/>
  <c r="BF719"/>
  <c r="BS719" s="1"/>
  <c r="BE719"/>
  <c r="BR719" s="1"/>
  <c r="BD719"/>
  <c r="BQ719" s="1"/>
  <c r="BC719"/>
  <c r="BP719" s="1"/>
  <c r="BB719"/>
  <c r="BO719" s="1"/>
  <c r="BA719"/>
  <c r="BN719" s="1"/>
  <c r="AZ719"/>
  <c r="BM719" s="1"/>
  <c r="AY719"/>
  <c r="BL719" s="1"/>
  <c r="AX719"/>
  <c r="BW719" s="1"/>
  <c r="AW719"/>
  <c r="CH719" s="1"/>
  <c r="AV719"/>
  <c r="CG719" s="1"/>
  <c r="AU719"/>
  <c r="CF719" s="1"/>
  <c r="AT719"/>
  <c r="CE719" s="1"/>
  <c r="AS719"/>
  <c r="CD719" s="1"/>
  <c r="AR719"/>
  <c r="CC719" s="1"/>
  <c r="AQ719"/>
  <c r="CB719" s="1"/>
  <c r="AP719"/>
  <c r="CA719" s="1"/>
  <c r="AO719"/>
  <c r="BZ719" s="1"/>
  <c r="AN719"/>
  <c r="BY719" s="1"/>
  <c r="AM719"/>
  <c r="BX719" s="1"/>
  <c r="AL719"/>
  <c r="AK719"/>
  <c r="AJ719"/>
  <c r="AI719"/>
  <c r="AH719"/>
  <c r="AG719"/>
  <c r="AF719"/>
  <c r="AE719"/>
  <c r="AD719"/>
  <c r="AC719"/>
  <c r="AB719"/>
  <c r="AA719"/>
  <c r="DE718"/>
  <c r="BJ718"/>
  <c r="BI718"/>
  <c r="BV718" s="1"/>
  <c r="BH718"/>
  <c r="BU718" s="1"/>
  <c r="BG718"/>
  <c r="BT718" s="1"/>
  <c r="BF718"/>
  <c r="BS718" s="1"/>
  <c r="BE718"/>
  <c r="BR718" s="1"/>
  <c r="BD718"/>
  <c r="BQ718" s="1"/>
  <c r="BC718"/>
  <c r="BP718" s="1"/>
  <c r="BB718"/>
  <c r="BO718" s="1"/>
  <c r="BA718"/>
  <c r="BN718" s="1"/>
  <c r="AZ718"/>
  <c r="BM718" s="1"/>
  <c r="AY718"/>
  <c r="BL718" s="1"/>
  <c r="AX718"/>
  <c r="BW718" s="1"/>
  <c r="AW718"/>
  <c r="CH718" s="1"/>
  <c r="AV718"/>
  <c r="CG718" s="1"/>
  <c r="AU718"/>
  <c r="CF718" s="1"/>
  <c r="AT718"/>
  <c r="CE718" s="1"/>
  <c r="AS718"/>
  <c r="CD718" s="1"/>
  <c r="AR718"/>
  <c r="CC718" s="1"/>
  <c r="AQ718"/>
  <c r="CB718" s="1"/>
  <c r="AP718"/>
  <c r="CA718" s="1"/>
  <c r="AO718"/>
  <c r="BZ718" s="1"/>
  <c r="AN718"/>
  <c r="BY718" s="1"/>
  <c r="AM718"/>
  <c r="BX718" s="1"/>
  <c r="AL718"/>
  <c r="AK718"/>
  <c r="AJ718"/>
  <c r="AI718"/>
  <c r="AH718"/>
  <c r="AG718"/>
  <c r="AF718"/>
  <c r="AE718"/>
  <c r="AD718"/>
  <c r="AC718"/>
  <c r="AB718"/>
  <c r="AA718"/>
  <c r="DE717"/>
  <c r="BJ717"/>
  <c r="BI717"/>
  <c r="BV717" s="1"/>
  <c r="BH717"/>
  <c r="BU717" s="1"/>
  <c r="BG717"/>
  <c r="BT717" s="1"/>
  <c r="BF717"/>
  <c r="BS717" s="1"/>
  <c r="BE717"/>
  <c r="BR717" s="1"/>
  <c r="BD717"/>
  <c r="BQ717" s="1"/>
  <c r="BC717"/>
  <c r="BP717" s="1"/>
  <c r="BB717"/>
  <c r="BO717" s="1"/>
  <c r="BA717"/>
  <c r="BN717" s="1"/>
  <c r="AZ717"/>
  <c r="BM717" s="1"/>
  <c r="AY717"/>
  <c r="BL717" s="1"/>
  <c r="AX717"/>
  <c r="BW717" s="1"/>
  <c r="AW717"/>
  <c r="CH717" s="1"/>
  <c r="AV717"/>
  <c r="CG717" s="1"/>
  <c r="AU717"/>
  <c r="CF717" s="1"/>
  <c r="AT717"/>
  <c r="CE717" s="1"/>
  <c r="AS717"/>
  <c r="CD717" s="1"/>
  <c r="AR717"/>
  <c r="CC717" s="1"/>
  <c r="AQ717"/>
  <c r="CB717" s="1"/>
  <c r="AP717"/>
  <c r="CA717" s="1"/>
  <c r="AO717"/>
  <c r="BZ717" s="1"/>
  <c r="AN717"/>
  <c r="BY717" s="1"/>
  <c r="AM717"/>
  <c r="BX717" s="1"/>
  <c r="AL717"/>
  <c r="AK717"/>
  <c r="AJ717"/>
  <c r="AI717"/>
  <c r="AH717"/>
  <c r="AG717"/>
  <c r="AF717"/>
  <c r="AE717"/>
  <c r="AD717"/>
  <c r="AC717"/>
  <c r="AB717"/>
  <c r="AA717"/>
  <c r="DE716"/>
  <c r="BJ716"/>
  <c r="BV716" s="1"/>
  <c r="BI716"/>
  <c r="BH716"/>
  <c r="BU716" s="1"/>
  <c r="BG716"/>
  <c r="BT716" s="1"/>
  <c r="BF716"/>
  <c r="BS716" s="1"/>
  <c r="BE716"/>
  <c r="BR716" s="1"/>
  <c r="BD716"/>
  <c r="BQ716" s="1"/>
  <c r="BC716"/>
  <c r="BP716" s="1"/>
  <c r="BB716"/>
  <c r="BO716" s="1"/>
  <c r="BA716"/>
  <c r="BN716" s="1"/>
  <c r="AZ716"/>
  <c r="BM716" s="1"/>
  <c r="AY716"/>
  <c r="BL716" s="1"/>
  <c r="AX716"/>
  <c r="BW716" s="1"/>
  <c r="AW716"/>
  <c r="CH716" s="1"/>
  <c r="AV716"/>
  <c r="CG716" s="1"/>
  <c r="AU716"/>
  <c r="CF716" s="1"/>
  <c r="AT716"/>
  <c r="CE716" s="1"/>
  <c r="AS716"/>
  <c r="CD716" s="1"/>
  <c r="AR716"/>
  <c r="CC716" s="1"/>
  <c r="AQ716"/>
  <c r="CB716" s="1"/>
  <c r="AP716"/>
  <c r="CA716" s="1"/>
  <c r="AO716"/>
  <c r="BZ716" s="1"/>
  <c r="AN716"/>
  <c r="BY716" s="1"/>
  <c r="AM716"/>
  <c r="BX716" s="1"/>
  <c r="AL716"/>
  <c r="AK716"/>
  <c r="AJ716"/>
  <c r="AI716"/>
  <c r="AH716"/>
  <c r="AG716"/>
  <c r="AF716"/>
  <c r="AE716"/>
  <c r="AD716"/>
  <c r="AC716"/>
  <c r="AB716"/>
  <c r="AA716"/>
  <c r="DE715"/>
  <c r="BJ715"/>
  <c r="BV715" s="1"/>
  <c r="BI715"/>
  <c r="BH715"/>
  <c r="BT715" s="1"/>
  <c r="BG715"/>
  <c r="BF715"/>
  <c r="BS715" s="1"/>
  <c r="BE715"/>
  <c r="BR715" s="1"/>
  <c r="BD715"/>
  <c r="BQ715" s="1"/>
  <c r="BC715"/>
  <c r="BP715" s="1"/>
  <c r="BB715"/>
  <c r="BO715" s="1"/>
  <c r="BA715"/>
  <c r="BN715" s="1"/>
  <c r="AZ715"/>
  <c r="BM715" s="1"/>
  <c r="AY715"/>
  <c r="BL715" s="1"/>
  <c r="AX715"/>
  <c r="BW715" s="1"/>
  <c r="AW715"/>
  <c r="CH715" s="1"/>
  <c r="AV715"/>
  <c r="CG715" s="1"/>
  <c r="AU715"/>
  <c r="CF715" s="1"/>
  <c r="AT715"/>
  <c r="CE715" s="1"/>
  <c r="AS715"/>
  <c r="CD715" s="1"/>
  <c r="AR715"/>
  <c r="CC715" s="1"/>
  <c r="AQ715"/>
  <c r="CB715" s="1"/>
  <c r="AP715"/>
  <c r="CA715" s="1"/>
  <c r="AO715"/>
  <c r="BZ715" s="1"/>
  <c r="AN715"/>
  <c r="BY715" s="1"/>
  <c r="AM715"/>
  <c r="BX715" s="1"/>
  <c r="AL715"/>
  <c r="AK715"/>
  <c r="AJ715"/>
  <c r="AI715"/>
  <c r="AH715"/>
  <c r="AG715"/>
  <c r="AF715"/>
  <c r="AE715"/>
  <c r="AD715"/>
  <c r="AC715"/>
  <c r="AB715"/>
  <c r="AA715"/>
  <c r="DE714"/>
  <c r="BJ714"/>
  <c r="BV714" s="1"/>
  <c r="BI714"/>
  <c r="BH714"/>
  <c r="BT714" s="1"/>
  <c r="BG714"/>
  <c r="BF714"/>
  <c r="BR714" s="1"/>
  <c r="BE714"/>
  <c r="BD714"/>
  <c r="BP714" s="1"/>
  <c r="BC714"/>
  <c r="BB714"/>
  <c r="BO714" s="1"/>
  <c r="BA714"/>
  <c r="BN714" s="1"/>
  <c r="AZ714"/>
  <c r="BM714" s="1"/>
  <c r="AY714"/>
  <c r="BL714" s="1"/>
  <c r="AX714"/>
  <c r="BW714" s="1"/>
  <c r="AW714"/>
  <c r="CH714" s="1"/>
  <c r="AV714"/>
  <c r="CG714" s="1"/>
  <c r="AU714"/>
  <c r="CF714" s="1"/>
  <c r="AT714"/>
  <c r="CE714" s="1"/>
  <c r="AS714"/>
  <c r="CD714" s="1"/>
  <c r="AR714"/>
  <c r="CC714" s="1"/>
  <c r="AQ714"/>
  <c r="CB714" s="1"/>
  <c r="AP714"/>
  <c r="CA714" s="1"/>
  <c r="AO714"/>
  <c r="BZ714" s="1"/>
  <c r="AN714"/>
  <c r="BY714" s="1"/>
  <c r="AM714"/>
  <c r="BX714" s="1"/>
  <c r="AL714"/>
  <c r="AK714"/>
  <c r="AJ714"/>
  <c r="AI714"/>
  <c r="AH714"/>
  <c r="AG714"/>
  <c r="AF714"/>
  <c r="AE714"/>
  <c r="AD714"/>
  <c r="AC714"/>
  <c r="AB714"/>
  <c r="AA714"/>
  <c r="DE713"/>
  <c r="BJ713"/>
  <c r="BV713" s="1"/>
  <c r="BI713"/>
  <c r="BH713"/>
  <c r="BT713" s="1"/>
  <c r="BG713"/>
  <c r="BF713"/>
  <c r="BR713" s="1"/>
  <c r="BE713"/>
  <c r="BD713"/>
  <c r="BP713" s="1"/>
  <c r="BC713"/>
  <c r="BB713"/>
  <c r="BN713" s="1"/>
  <c r="BA713"/>
  <c r="AZ713"/>
  <c r="BM713" s="1"/>
  <c r="AY713"/>
  <c r="BL713" s="1"/>
  <c r="AX713"/>
  <c r="BW713" s="1"/>
  <c r="AW713"/>
  <c r="CH713" s="1"/>
  <c r="AV713"/>
  <c r="CG713" s="1"/>
  <c r="AU713"/>
  <c r="CF713" s="1"/>
  <c r="AT713"/>
  <c r="CE713" s="1"/>
  <c r="AS713"/>
  <c r="CD713" s="1"/>
  <c r="AR713"/>
  <c r="CC713" s="1"/>
  <c r="AQ713"/>
  <c r="CB713" s="1"/>
  <c r="AP713"/>
  <c r="CA713" s="1"/>
  <c r="AO713"/>
  <c r="BZ713" s="1"/>
  <c r="AN713"/>
  <c r="BY713" s="1"/>
  <c r="AM713"/>
  <c r="BX713" s="1"/>
  <c r="AL713"/>
  <c r="AK713"/>
  <c r="AJ713"/>
  <c r="AI713"/>
  <c r="AH713"/>
  <c r="AG713"/>
  <c r="AF713"/>
  <c r="AE713"/>
  <c r="AD713"/>
  <c r="AC713"/>
  <c r="AB713"/>
  <c r="AA713"/>
  <c r="DE712"/>
  <c r="BJ712"/>
  <c r="BV712" s="1"/>
  <c r="BI712"/>
  <c r="BH712"/>
  <c r="BT712" s="1"/>
  <c r="BG712"/>
  <c r="BF712"/>
  <c r="BR712" s="1"/>
  <c r="BE712"/>
  <c r="BD712"/>
  <c r="BP712" s="1"/>
  <c r="BC712"/>
  <c r="BB712"/>
  <c r="BN712" s="1"/>
  <c r="BA712"/>
  <c r="AZ712"/>
  <c r="BL712" s="1"/>
  <c r="AY712"/>
  <c r="BK712" s="1"/>
  <c r="AX712"/>
  <c r="BW712" s="1"/>
  <c r="AW712"/>
  <c r="CH712" s="1"/>
  <c r="AV712"/>
  <c r="CG712" s="1"/>
  <c r="AU712"/>
  <c r="CF712" s="1"/>
  <c r="AT712"/>
  <c r="CE712" s="1"/>
  <c r="AS712"/>
  <c r="CD712" s="1"/>
  <c r="AR712"/>
  <c r="CC712" s="1"/>
  <c r="AQ712"/>
  <c r="CB712" s="1"/>
  <c r="AP712"/>
  <c r="CA712" s="1"/>
  <c r="AO712"/>
  <c r="BZ712" s="1"/>
  <c r="AN712"/>
  <c r="BY712" s="1"/>
  <c r="AM712"/>
  <c r="BX712" s="1"/>
  <c r="AL712"/>
  <c r="AK712"/>
  <c r="AJ712"/>
  <c r="AI712"/>
  <c r="AH712"/>
  <c r="AG712"/>
  <c r="AF712"/>
  <c r="AE712"/>
  <c r="AD712"/>
  <c r="AC712"/>
  <c r="AB712"/>
  <c r="AA712"/>
  <c r="DE711"/>
  <c r="BJ711"/>
  <c r="BV711" s="1"/>
  <c r="BI711"/>
  <c r="BH711"/>
  <c r="BT711" s="1"/>
  <c r="BG711"/>
  <c r="BF711"/>
  <c r="BR711" s="1"/>
  <c r="BE711"/>
  <c r="BD711"/>
  <c r="BP711" s="1"/>
  <c r="BC711"/>
  <c r="BB711"/>
  <c r="BN711" s="1"/>
  <c r="BA711"/>
  <c r="AZ711"/>
  <c r="BL711" s="1"/>
  <c r="AY711"/>
  <c r="BK711" s="1"/>
  <c r="AX711"/>
  <c r="BW711" s="1"/>
  <c r="AW711"/>
  <c r="CH711" s="1"/>
  <c r="AV711"/>
  <c r="CG711" s="1"/>
  <c r="AU711"/>
  <c r="CF711" s="1"/>
  <c r="AT711"/>
  <c r="CE711" s="1"/>
  <c r="AS711"/>
  <c r="CD711" s="1"/>
  <c r="AR711"/>
  <c r="CC711" s="1"/>
  <c r="AQ711"/>
  <c r="CB711" s="1"/>
  <c r="AP711"/>
  <c r="CA711" s="1"/>
  <c r="AO711"/>
  <c r="BZ711" s="1"/>
  <c r="AN711"/>
  <c r="BY711" s="1"/>
  <c r="AM711"/>
  <c r="BX711" s="1"/>
  <c r="AL711"/>
  <c r="AK711"/>
  <c r="AJ711"/>
  <c r="AI711"/>
  <c r="AH711"/>
  <c r="AG711"/>
  <c r="AF711"/>
  <c r="AE711"/>
  <c r="AD711"/>
  <c r="AC711"/>
  <c r="AB711"/>
  <c r="AA711"/>
  <c r="DE710"/>
  <c r="BJ710"/>
  <c r="BV710" s="1"/>
  <c r="BI710"/>
  <c r="BH710"/>
  <c r="BT710" s="1"/>
  <c r="BG710"/>
  <c r="BF710"/>
  <c r="BR710" s="1"/>
  <c r="BE710"/>
  <c r="BD710"/>
  <c r="BP710" s="1"/>
  <c r="BC710"/>
  <c r="BB710"/>
  <c r="BN710" s="1"/>
  <c r="BA710"/>
  <c r="AZ710"/>
  <c r="BL710" s="1"/>
  <c r="AY710"/>
  <c r="BK710" s="1"/>
  <c r="AX710"/>
  <c r="CH710" s="1"/>
  <c r="AW710"/>
  <c r="AV710"/>
  <c r="CG710" s="1"/>
  <c r="AU710"/>
  <c r="CF710" s="1"/>
  <c r="AT710"/>
  <c r="CE710" s="1"/>
  <c r="AS710"/>
  <c r="CD710" s="1"/>
  <c r="AR710"/>
  <c r="CC710" s="1"/>
  <c r="AQ710"/>
  <c r="CB710" s="1"/>
  <c r="AP710"/>
  <c r="CA710" s="1"/>
  <c r="AO710"/>
  <c r="BZ710" s="1"/>
  <c r="AN710"/>
  <c r="BY710" s="1"/>
  <c r="AM710"/>
  <c r="BX710" s="1"/>
  <c r="AL710"/>
  <c r="AK710"/>
  <c r="AJ710"/>
  <c r="AI710"/>
  <c r="AH710"/>
  <c r="AG710"/>
  <c r="AF710"/>
  <c r="AE710"/>
  <c r="AD710"/>
  <c r="AC710"/>
  <c r="AB710"/>
  <c r="AA710"/>
  <c r="DE709"/>
  <c r="BJ709"/>
  <c r="BV709" s="1"/>
  <c r="BI709"/>
  <c r="BH709"/>
  <c r="BT709" s="1"/>
  <c r="BG709"/>
  <c r="BF709"/>
  <c r="BR709" s="1"/>
  <c r="BE709"/>
  <c r="BD709"/>
  <c r="BP709" s="1"/>
  <c r="BC709"/>
  <c r="BB709"/>
  <c r="BN709" s="1"/>
  <c r="BA709"/>
  <c r="AZ709"/>
  <c r="BL709" s="1"/>
  <c r="AY709"/>
  <c r="BK709" s="1"/>
  <c r="AX709"/>
  <c r="CH709" s="1"/>
  <c r="AW709"/>
  <c r="AV709"/>
  <c r="CF709" s="1"/>
  <c r="AU709"/>
  <c r="AT709"/>
  <c r="CE709" s="1"/>
  <c r="AS709"/>
  <c r="CD709" s="1"/>
  <c r="AR709"/>
  <c r="CC709" s="1"/>
  <c r="AQ709"/>
  <c r="CB709" s="1"/>
  <c r="AP709"/>
  <c r="CA709" s="1"/>
  <c r="AO709"/>
  <c r="BZ709" s="1"/>
  <c r="AN709"/>
  <c r="BY709" s="1"/>
  <c r="AM709"/>
  <c r="BX709" s="1"/>
  <c r="AL709"/>
  <c r="AK709"/>
  <c r="AJ709"/>
  <c r="AI709"/>
  <c r="AH709"/>
  <c r="AG709"/>
  <c r="AF709"/>
  <c r="AE709"/>
  <c r="AD709"/>
  <c r="AC709"/>
  <c r="AB709"/>
  <c r="AA709"/>
  <c r="DE708"/>
  <c r="BJ708"/>
  <c r="BV708" s="1"/>
  <c r="BI708"/>
  <c r="BH708"/>
  <c r="BT708" s="1"/>
  <c r="BG708"/>
  <c r="BF708"/>
  <c r="BR708" s="1"/>
  <c r="BE708"/>
  <c r="BD708"/>
  <c r="BP708" s="1"/>
  <c r="BC708"/>
  <c r="BB708"/>
  <c r="BN708" s="1"/>
  <c r="BA708"/>
  <c r="AZ708"/>
  <c r="BL708" s="1"/>
  <c r="AY708"/>
  <c r="BK708" s="1"/>
  <c r="AX708"/>
  <c r="CH708" s="1"/>
  <c r="AW708"/>
  <c r="AV708"/>
  <c r="CF708" s="1"/>
  <c r="AU708"/>
  <c r="AT708"/>
  <c r="CD708" s="1"/>
  <c r="AS708"/>
  <c r="AR708"/>
  <c r="CC708" s="1"/>
  <c r="AQ708"/>
  <c r="CB708" s="1"/>
  <c r="AP708"/>
  <c r="CA708" s="1"/>
  <c r="AO708"/>
  <c r="BZ708" s="1"/>
  <c r="AN708"/>
  <c r="BY708" s="1"/>
  <c r="AM708"/>
  <c r="BX708" s="1"/>
  <c r="AL708"/>
  <c r="AK708"/>
  <c r="AJ708"/>
  <c r="AI708"/>
  <c r="AH708"/>
  <c r="AG708"/>
  <c r="AF708"/>
  <c r="AE708"/>
  <c r="AD708"/>
  <c r="AC708"/>
  <c r="AB708"/>
  <c r="AA708"/>
  <c r="DE707"/>
  <c r="BJ707"/>
  <c r="BV707" s="1"/>
  <c r="BI707"/>
  <c r="BH707"/>
  <c r="BT707" s="1"/>
  <c r="BG707"/>
  <c r="BF707"/>
  <c r="BR707" s="1"/>
  <c r="BE707"/>
  <c r="BD707"/>
  <c r="BP707" s="1"/>
  <c r="BC707"/>
  <c r="BB707"/>
  <c r="BN707" s="1"/>
  <c r="BA707"/>
  <c r="AZ707"/>
  <c r="BL707" s="1"/>
  <c r="AY707"/>
  <c r="BK707" s="1"/>
  <c r="AX707"/>
  <c r="CH707" s="1"/>
  <c r="AW707"/>
  <c r="AV707"/>
  <c r="CF707" s="1"/>
  <c r="AU707"/>
  <c r="AT707"/>
  <c r="CD707" s="1"/>
  <c r="AS707"/>
  <c r="AR707"/>
  <c r="CB707" s="1"/>
  <c r="AQ707"/>
  <c r="AP707"/>
  <c r="CA707" s="1"/>
  <c r="AO707"/>
  <c r="BZ707" s="1"/>
  <c r="AN707"/>
  <c r="BY707" s="1"/>
  <c r="AM707"/>
  <c r="BX707" s="1"/>
  <c r="AL707"/>
  <c r="AK707"/>
  <c r="AJ707"/>
  <c r="AI707"/>
  <c r="AH707"/>
  <c r="AG707"/>
  <c r="AF707"/>
  <c r="AE707"/>
  <c r="AD707"/>
  <c r="AC707"/>
  <c r="AB707"/>
  <c r="AA707"/>
  <c r="DE706"/>
  <c r="BJ706"/>
  <c r="BV706" s="1"/>
  <c r="BI706"/>
  <c r="BH706"/>
  <c r="BT706" s="1"/>
  <c r="BG706"/>
  <c r="BF706"/>
  <c r="BR706" s="1"/>
  <c r="BE706"/>
  <c r="BD706"/>
  <c r="BP706" s="1"/>
  <c r="BC706"/>
  <c r="BB706"/>
  <c r="BN706" s="1"/>
  <c r="BA706"/>
  <c r="AZ706"/>
  <c r="BL706" s="1"/>
  <c r="AY706"/>
  <c r="BK706" s="1"/>
  <c r="AX706"/>
  <c r="CH706" s="1"/>
  <c r="AW706"/>
  <c r="AV706"/>
  <c r="CF706" s="1"/>
  <c r="AU706"/>
  <c r="AT706"/>
  <c r="CD706" s="1"/>
  <c r="AS706"/>
  <c r="AR706"/>
  <c r="CB706" s="1"/>
  <c r="AQ706"/>
  <c r="AP706"/>
  <c r="BZ706" s="1"/>
  <c r="AO706"/>
  <c r="AN706"/>
  <c r="BY706" s="1"/>
  <c r="AM706"/>
  <c r="BX706" s="1"/>
  <c r="AL706"/>
  <c r="AK706"/>
  <c r="AJ706"/>
  <c r="AI706"/>
  <c r="AH706"/>
  <c r="AG706"/>
  <c r="AF706"/>
  <c r="AE706"/>
  <c r="AD706"/>
  <c r="AC706"/>
  <c r="AB706"/>
  <c r="AA706"/>
  <c r="DE705"/>
  <c r="BJ705"/>
  <c r="BV705" s="1"/>
  <c r="BI705"/>
  <c r="BH705"/>
  <c r="BT705" s="1"/>
  <c r="BG705"/>
  <c r="BF705"/>
  <c r="BR705" s="1"/>
  <c r="BE705"/>
  <c r="BD705"/>
  <c r="BP705" s="1"/>
  <c r="BC705"/>
  <c r="BB705"/>
  <c r="BN705" s="1"/>
  <c r="BA705"/>
  <c r="AZ705"/>
  <c r="BL705" s="1"/>
  <c r="AY705"/>
  <c r="BK705" s="1"/>
  <c r="AX705"/>
  <c r="CH705" s="1"/>
  <c r="AW705"/>
  <c r="AV705"/>
  <c r="CF705" s="1"/>
  <c r="AU705"/>
  <c r="AT705"/>
  <c r="CD705" s="1"/>
  <c r="AS705"/>
  <c r="AR705"/>
  <c r="CB705" s="1"/>
  <c r="AQ705"/>
  <c r="AP705"/>
  <c r="BZ705" s="1"/>
  <c r="AO705"/>
  <c r="AN705"/>
  <c r="BX705" s="1"/>
  <c r="AM705"/>
  <c r="AL705"/>
  <c r="AK705"/>
  <c r="AJ705"/>
  <c r="AI705"/>
  <c r="AH705"/>
  <c r="AG705"/>
  <c r="AF705"/>
  <c r="AE705"/>
  <c r="AD705"/>
  <c r="AC705"/>
  <c r="AB705"/>
  <c r="AA705"/>
  <c r="DE704"/>
  <c r="BJ704"/>
  <c r="BV704" s="1"/>
  <c r="BI704"/>
  <c r="BH704"/>
  <c r="BT704" s="1"/>
  <c r="BG704"/>
  <c r="BF704"/>
  <c r="BR704" s="1"/>
  <c r="BE704"/>
  <c r="BD704"/>
  <c r="BP704" s="1"/>
  <c r="BC704"/>
  <c r="BB704"/>
  <c r="BN704" s="1"/>
  <c r="BA704"/>
  <c r="AZ704"/>
  <c r="BL704" s="1"/>
  <c r="AY704"/>
  <c r="BK704" s="1"/>
  <c r="AX704"/>
  <c r="CH704" s="1"/>
  <c r="AW704"/>
  <c r="AV704"/>
  <c r="CF704" s="1"/>
  <c r="AU704"/>
  <c r="AT704"/>
  <c r="CD704" s="1"/>
  <c r="AS704"/>
  <c r="AR704"/>
  <c r="CB704" s="1"/>
  <c r="AQ704"/>
  <c r="AP704"/>
  <c r="BZ704" s="1"/>
  <c r="AO704"/>
  <c r="AN704"/>
  <c r="BX704" s="1"/>
  <c r="AM704"/>
  <c r="AL704"/>
  <c r="AK704"/>
  <c r="AJ704"/>
  <c r="AI704"/>
  <c r="AH704"/>
  <c r="AG704"/>
  <c r="AF704"/>
  <c r="AE704"/>
  <c r="AD704"/>
  <c r="AC704"/>
  <c r="AB704"/>
  <c r="AA704"/>
  <c r="DE703"/>
  <c r="BJ703"/>
  <c r="BV703" s="1"/>
  <c r="BI703"/>
  <c r="BH703"/>
  <c r="BT703" s="1"/>
  <c r="BG703"/>
  <c r="BF703"/>
  <c r="BR703" s="1"/>
  <c r="BE703"/>
  <c r="BD703"/>
  <c r="BP703" s="1"/>
  <c r="BC703"/>
  <c r="BB703"/>
  <c r="BN703" s="1"/>
  <c r="BA703"/>
  <c r="AZ703"/>
  <c r="BL703" s="1"/>
  <c r="AY703"/>
  <c r="BK703" s="1"/>
  <c r="AX703"/>
  <c r="CH703" s="1"/>
  <c r="AW703"/>
  <c r="AV703"/>
  <c r="CF703" s="1"/>
  <c r="AU703"/>
  <c r="AT703"/>
  <c r="CD703" s="1"/>
  <c r="AS703"/>
  <c r="AR703"/>
  <c r="CB703" s="1"/>
  <c r="AQ703"/>
  <c r="AP703"/>
  <c r="BZ703" s="1"/>
  <c r="AO703"/>
  <c r="AN703"/>
  <c r="BX703" s="1"/>
  <c r="AM703"/>
  <c r="AL703"/>
  <c r="AK703"/>
  <c r="AJ703"/>
  <c r="AI703"/>
  <c r="AH703"/>
  <c r="AG703"/>
  <c r="AF703"/>
  <c r="AE703"/>
  <c r="AD703"/>
  <c r="AC703"/>
  <c r="AB703"/>
  <c r="AA703"/>
  <c r="DE702"/>
  <c r="BJ702"/>
  <c r="BV702" s="1"/>
  <c r="BI702"/>
  <c r="BH702"/>
  <c r="BT702" s="1"/>
  <c r="BG702"/>
  <c r="BF702"/>
  <c r="BR702" s="1"/>
  <c r="BE702"/>
  <c r="BD702"/>
  <c r="BP702" s="1"/>
  <c r="BC702"/>
  <c r="BB702"/>
  <c r="BN702" s="1"/>
  <c r="BA702"/>
  <c r="AZ702"/>
  <c r="BL702" s="1"/>
  <c r="AY702"/>
  <c r="BK702" s="1"/>
  <c r="AX702"/>
  <c r="CH702" s="1"/>
  <c r="AW702"/>
  <c r="AV702"/>
  <c r="CF702" s="1"/>
  <c r="AU702"/>
  <c r="AT702"/>
  <c r="CD702" s="1"/>
  <c r="AS702"/>
  <c r="AR702"/>
  <c r="CB702" s="1"/>
  <c r="AQ702"/>
  <c r="AP702"/>
  <c r="BZ702" s="1"/>
  <c r="AO702"/>
  <c r="AN702"/>
  <c r="BX702" s="1"/>
  <c r="AM702"/>
  <c r="AL702"/>
  <c r="AK702"/>
  <c r="AJ702"/>
  <c r="AI702"/>
  <c r="AH702"/>
  <c r="AG702"/>
  <c r="AF702"/>
  <c r="AE702"/>
  <c r="AD702"/>
  <c r="AC702"/>
  <c r="AB702"/>
  <c r="AA702"/>
  <c r="DE701"/>
  <c r="BJ701"/>
  <c r="BV701" s="1"/>
  <c r="BI701"/>
  <c r="BH701"/>
  <c r="BT701" s="1"/>
  <c r="BG701"/>
  <c r="BF701"/>
  <c r="BR701" s="1"/>
  <c r="BE701"/>
  <c r="BD701"/>
  <c r="BP701" s="1"/>
  <c r="BC701"/>
  <c r="BB701"/>
  <c r="BN701" s="1"/>
  <c r="BA701"/>
  <c r="AZ701"/>
  <c r="BL701" s="1"/>
  <c r="AY701"/>
  <c r="BK701" s="1"/>
  <c r="AX701"/>
  <c r="CH701" s="1"/>
  <c r="AW701"/>
  <c r="AV701"/>
  <c r="CF701" s="1"/>
  <c r="AU701"/>
  <c r="AT701"/>
  <c r="CD701" s="1"/>
  <c r="AS701"/>
  <c r="AR701"/>
  <c r="CB701" s="1"/>
  <c r="AQ701"/>
  <c r="AP701"/>
  <c r="BZ701" s="1"/>
  <c r="AO701"/>
  <c r="AN701"/>
  <c r="BX701" s="1"/>
  <c r="AM701"/>
  <c r="AL701"/>
  <c r="AK701"/>
  <c r="AJ701"/>
  <c r="AI701"/>
  <c r="AH701"/>
  <c r="AG701"/>
  <c r="AF701"/>
  <c r="AE701"/>
  <c r="AD701"/>
  <c r="AC701"/>
  <c r="AB701"/>
  <c r="AA701"/>
  <c r="DE700"/>
  <c r="BJ700"/>
  <c r="BV700" s="1"/>
  <c r="BI700"/>
  <c r="BH700"/>
  <c r="BT700" s="1"/>
  <c r="BG700"/>
  <c r="BF700"/>
  <c r="BR700" s="1"/>
  <c r="BE700"/>
  <c r="BD700"/>
  <c r="BP700" s="1"/>
  <c r="BC700"/>
  <c r="BB700"/>
  <c r="BN700" s="1"/>
  <c r="BA700"/>
  <c r="AZ700"/>
  <c r="BL700" s="1"/>
  <c r="AY700"/>
  <c r="BK700" s="1"/>
  <c r="AX700"/>
  <c r="CH700" s="1"/>
  <c r="AW700"/>
  <c r="AV700"/>
  <c r="CF700" s="1"/>
  <c r="AU700"/>
  <c r="AT700"/>
  <c r="CD700" s="1"/>
  <c r="AS700"/>
  <c r="AR700"/>
  <c r="CB700" s="1"/>
  <c r="AQ700"/>
  <c r="AP700"/>
  <c r="BZ700" s="1"/>
  <c r="AO700"/>
  <c r="AN700"/>
  <c r="BX700" s="1"/>
  <c r="AM700"/>
  <c r="AL700"/>
  <c r="AK700"/>
  <c r="AJ700"/>
  <c r="AI700"/>
  <c r="AH700"/>
  <c r="AG700"/>
  <c r="AF700"/>
  <c r="AE700"/>
  <c r="AD700"/>
  <c r="AC700"/>
  <c r="AB700"/>
  <c r="AA700"/>
  <c r="DE699"/>
  <c r="BJ699"/>
  <c r="BV699" s="1"/>
  <c r="BI699"/>
  <c r="BH699"/>
  <c r="BT699" s="1"/>
  <c r="BG699"/>
  <c r="BF699"/>
  <c r="BR699" s="1"/>
  <c r="BE699"/>
  <c r="BD699"/>
  <c r="BP699" s="1"/>
  <c r="BC699"/>
  <c r="BB699"/>
  <c r="BN699" s="1"/>
  <c r="BA699"/>
  <c r="AZ699"/>
  <c r="BL699" s="1"/>
  <c r="AY699"/>
  <c r="BK699" s="1"/>
  <c r="AX699"/>
  <c r="CH699" s="1"/>
  <c r="AW699"/>
  <c r="AV699"/>
  <c r="CF699" s="1"/>
  <c r="AU699"/>
  <c r="AT699"/>
  <c r="CD699" s="1"/>
  <c r="AS699"/>
  <c r="AR699"/>
  <c r="CB699" s="1"/>
  <c r="AQ699"/>
  <c r="AP699"/>
  <c r="BZ699" s="1"/>
  <c r="AO699"/>
  <c r="AN699"/>
  <c r="BX699" s="1"/>
  <c r="AM699"/>
  <c r="AL699"/>
  <c r="AK699"/>
  <c r="AJ699"/>
  <c r="AI699"/>
  <c r="AH699"/>
  <c r="AG699"/>
  <c r="AF699"/>
  <c r="AE699"/>
  <c r="AD699"/>
  <c r="AC699"/>
  <c r="AB699"/>
  <c r="AA699"/>
  <c r="DE698"/>
  <c r="BJ698"/>
  <c r="BV698" s="1"/>
  <c r="BI698"/>
  <c r="BH698"/>
  <c r="BT698" s="1"/>
  <c r="BG698"/>
  <c r="BF698"/>
  <c r="BR698" s="1"/>
  <c r="BE698"/>
  <c r="BD698"/>
  <c r="BP698" s="1"/>
  <c r="BC698"/>
  <c r="BB698"/>
  <c r="BN698" s="1"/>
  <c r="BA698"/>
  <c r="AZ698"/>
  <c r="BL698" s="1"/>
  <c r="AY698"/>
  <c r="BK698" s="1"/>
  <c r="AX698"/>
  <c r="CH698" s="1"/>
  <c r="AW698"/>
  <c r="AV698"/>
  <c r="CF698" s="1"/>
  <c r="AU698"/>
  <c r="AT698"/>
  <c r="CD698" s="1"/>
  <c r="AS698"/>
  <c r="AR698"/>
  <c r="CB698" s="1"/>
  <c r="AQ698"/>
  <c r="AP698"/>
  <c r="BZ698" s="1"/>
  <c r="AO698"/>
  <c r="AN698"/>
  <c r="BX698" s="1"/>
  <c r="AM698"/>
  <c r="AL698"/>
  <c r="AK698"/>
  <c r="AJ698"/>
  <c r="AI698"/>
  <c r="AH698"/>
  <c r="AG698"/>
  <c r="AF698"/>
  <c r="AE698"/>
  <c r="AD698"/>
  <c r="AC698"/>
  <c r="AB698"/>
  <c r="AA698"/>
  <c r="DE697"/>
  <c r="BJ697"/>
  <c r="BV697" s="1"/>
  <c r="BI697"/>
  <c r="BH697"/>
  <c r="BT697" s="1"/>
  <c r="BG697"/>
  <c r="BF697"/>
  <c r="BR697" s="1"/>
  <c r="BE697"/>
  <c r="BD697"/>
  <c r="BP697" s="1"/>
  <c r="BC697"/>
  <c r="BB697"/>
  <c r="BN697" s="1"/>
  <c r="BA697"/>
  <c r="AZ697"/>
  <c r="BL697" s="1"/>
  <c r="AY697"/>
  <c r="BK697" s="1"/>
  <c r="AX697"/>
  <c r="CH697" s="1"/>
  <c r="AW697"/>
  <c r="AV697"/>
  <c r="CF697" s="1"/>
  <c r="AU697"/>
  <c r="AT697"/>
  <c r="CD697" s="1"/>
  <c r="AS697"/>
  <c r="AR697"/>
  <c r="CB697" s="1"/>
  <c r="AQ697"/>
  <c r="AP697"/>
  <c r="BZ697" s="1"/>
  <c r="AO697"/>
  <c r="AN697"/>
  <c r="BX697" s="1"/>
  <c r="AM697"/>
  <c r="AL697"/>
  <c r="AK697"/>
  <c r="AJ697"/>
  <c r="AI697"/>
  <c r="AH697"/>
  <c r="AG697"/>
  <c r="AF697"/>
  <c r="AE697"/>
  <c r="AD697"/>
  <c r="AC697"/>
  <c r="AB697"/>
  <c r="AA697"/>
  <c r="DE696"/>
  <c r="BJ696"/>
  <c r="BV696" s="1"/>
  <c r="BI696"/>
  <c r="BH696"/>
  <c r="BT696" s="1"/>
  <c r="BG696"/>
  <c r="BF696"/>
  <c r="BR696" s="1"/>
  <c r="BE696"/>
  <c r="BD696"/>
  <c r="BP696" s="1"/>
  <c r="BC696"/>
  <c r="BB696"/>
  <c r="BN696" s="1"/>
  <c r="BA696"/>
  <c r="AZ696"/>
  <c r="BL696" s="1"/>
  <c r="AY696"/>
  <c r="BK696" s="1"/>
  <c r="AX696"/>
  <c r="CH696" s="1"/>
  <c r="AW696"/>
  <c r="AV696"/>
  <c r="CF696" s="1"/>
  <c r="AU696"/>
  <c r="AT696"/>
  <c r="CD696" s="1"/>
  <c r="AS696"/>
  <c r="AR696"/>
  <c r="CB696" s="1"/>
  <c r="AQ696"/>
  <c r="AP696"/>
  <c r="BZ696" s="1"/>
  <c r="AO696"/>
  <c r="AN696"/>
  <c r="BX696" s="1"/>
  <c r="AM696"/>
  <c r="AL696"/>
  <c r="AK696"/>
  <c r="AJ696"/>
  <c r="AI696"/>
  <c r="AH696"/>
  <c r="AG696"/>
  <c r="AF696"/>
  <c r="AE696"/>
  <c r="AD696"/>
  <c r="AC696"/>
  <c r="AB696"/>
  <c r="AA696"/>
  <c r="DE695"/>
  <c r="BJ695"/>
  <c r="BV695" s="1"/>
  <c r="BI695"/>
  <c r="BH695"/>
  <c r="BT695" s="1"/>
  <c r="BG695"/>
  <c r="BF695"/>
  <c r="BR695" s="1"/>
  <c r="BE695"/>
  <c r="BD695"/>
  <c r="BP695" s="1"/>
  <c r="BC695"/>
  <c r="BB695"/>
  <c r="BN695" s="1"/>
  <c r="BA695"/>
  <c r="AZ695"/>
  <c r="BL695" s="1"/>
  <c r="AY695"/>
  <c r="BK695" s="1"/>
  <c r="AX695"/>
  <c r="CH695" s="1"/>
  <c r="AW695"/>
  <c r="AV695"/>
  <c r="CF695" s="1"/>
  <c r="AU695"/>
  <c r="AT695"/>
  <c r="CD695" s="1"/>
  <c r="AS695"/>
  <c r="AR695"/>
  <c r="CB695" s="1"/>
  <c r="AQ695"/>
  <c r="AP695"/>
  <c r="BZ695" s="1"/>
  <c r="AO695"/>
  <c r="AN695"/>
  <c r="BX695" s="1"/>
  <c r="AM695"/>
  <c r="AL695"/>
  <c r="AK695"/>
  <c r="AJ695"/>
  <c r="AI695"/>
  <c r="AH695"/>
  <c r="AG695"/>
  <c r="AF695"/>
  <c r="AE695"/>
  <c r="AD695"/>
  <c r="AC695"/>
  <c r="AB695"/>
  <c r="AA695"/>
  <c r="DE694"/>
  <c r="BJ694"/>
  <c r="BV694" s="1"/>
  <c r="BI694"/>
  <c r="BH694"/>
  <c r="BT694" s="1"/>
  <c r="BG694"/>
  <c r="BF694"/>
  <c r="BR694" s="1"/>
  <c r="BE694"/>
  <c r="BD694"/>
  <c r="BP694" s="1"/>
  <c r="BC694"/>
  <c r="BB694"/>
  <c r="BN694" s="1"/>
  <c r="BA694"/>
  <c r="AZ694"/>
  <c r="BL694" s="1"/>
  <c r="AY694"/>
  <c r="BK694" s="1"/>
  <c r="AX694"/>
  <c r="CH694" s="1"/>
  <c r="AW694"/>
  <c r="AV694"/>
  <c r="CF694" s="1"/>
  <c r="AU694"/>
  <c r="AT694"/>
  <c r="CD694" s="1"/>
  <c r="AS694"/>
  <c r="AR694"/>
  <c r="CB694" s="1"/>
  <c r="AQ694"/>
  <c r="AP694"/>
  <c r="BZ694" s="1"/>
  <c r="AO694"/>
  <c r="AN694"/>
  <c r="BX694" s="1"/>
  <c r="AM694"/>
  <c r="AL694"/>
  <c r="AK694"/>
  <c r="AJ694"/>
  <c r="AI694"/>
  <c r="AH694"/>
  <c r="AG694"/>
  <c r="AF694"/>
  <c r="AE694"/>
  <c r="AD694"/>
  <c r="AC694"/>
  <c r="AB694"/>
  <c r="AA694"/>
  <c r="DE693"/>
  <c r="BJ693"/>
  <c r="BV693" s="1"/>
  <c r="BI693"/>
  <c r="BH693"/>
  <c r="BT693" s="1"/>
  <c r="BG693"/>
  <c r="BF693"/>
  <c r="BR693" s="1"/>
  <c r="BE693"/>
  <c r="BD693"/>
  <c r="BP693" s="1"/>
  <c r="BC693"/>
  <c r="BB693"/>
  <c r="BN693" s="1"/>
  <c r="BA693"/>
  <c r="AZ693"/>
  <c r="BL693" s="1"/>
  <c r="AY693"/>
  <c r="BK693" s="1"/>
  <c r="AX693"/>
  <c r="CH693" s="1"/>
  <c r="AW693"/>
  <c r="AV693"/>
  <c r="CF693" s="1"/>
  <c r="AU693"/>
  <c r="AT693"/>
  <c r="CD693" s="1"/>
  <c r="AS693"/>
  <c r="AR693"/>
  <c r="CB693" s="1"/>
  <c r="AQ693"/>
  <c r="AP693"/>
  <c r="BZ693" s="1"/>
  <c r="AO693"/>
  <c r="AN693"/>
  <c r="BX693" s="1"/>
  <c r="AM693"/>
  <c r="AL693"/>
  <c r="AK693"/>
  <c r="AJ693"/>
  <c r="AI693"/>
  <c r="AH693"/>
  <c r="AG693"/>
  <c r="AF693"/>
  <c r="AE693"/>
  <c r="AD693"/>
  <c r="AC693"/>
  <c r="AB693"/>
  <c r="AA693"/>
  <c r="DE692"/>
  <c r="BJ692"/>
  <c r="BV692" s="1"/>
  <c r="BI692"/>
  <c r="BH692"/>
  <c r="BT692" s="1"/>
  <c r="BG692"/>
  <c r="BF692"/>
  <c r="BR692" s="1"/>
  <c r="BE692"/>
  <c r="BD692"/>
  <c r="BP692" s="1"/>
  <c r="BC692"/>
  <c r="BB692"/>
  <c r="BN692" s="1"/>
  <c r="BA692"/>
  <c r="AZ692"/>
  <c r="BL692" s="1"/>
  <c r="AY692"/>
  <c r="BK692" s="1"/>
  <c r="AX692"/>
  <c r="CH692" s="1"/>
  <c r="AW692"/>
  <c r="AV692"/>
  <c r="CF692" s="1"/>
  <c r="AU692"/>
  <c r="AT692"/>
  <c r="CD692" s="1"/>
  <c r="AS692"/>
  <c r="AR692"/>
  <c r="CB692" s="1"/>
  <c r="AQ692"/>
  <c r="AP692"/>
  <c r="BZ692" s="1"/>
  <c r="AO692"/>
  <c r="AN692"/>
  <c r="BX692" s="1"/>
  <c r="AM692"/>
  <c r="AL692"/>
  <c r="AK692"/>
  <c r="AJ692"/>
  <c r="AI692"/>
  <c r="AH692"/>
  <c r="AG692"/>
  <c r="AF692"/>
  <c r="AE692"/>
  <c r="AD692"/>
  <c r="AC692"/>
  <c r="AB692"/>
  <c r="AA692"/>
  <c r="DE691"/>
  <c r="BJ691"/>
  <c r="BV691" s="1"/>
  <c r="BI691"/>
  <c r="BH691"/>
  <c r="BT691" s="1"/>
  <c r="BG691"/>
  <c r="BF691"/>
  <c r="BR691" s="1"/>
  <c r="BE691"/>
  <c r="BD691"/>
  <c r="BP691" s="1"/>
  <c r="BC691"/>
  <c r="BB691"/>
  <c r="BN691" s="1"/>
  <c r="BA691"/>
  <c r="AZ691"/>
  <c r="BL691" s="1"/>
  <c r="AY691"/>
  <c r="BK691" s="1"/>
  <c r="AX691"/>
  <c r="CH691" s="1"/>
  <c r="AW691"/>
  <c r="AV691"/>
  <c r="CF691" s="1"/>
  <c r="AU691"/>
  <c r="AT691"/>
  <c r="CD691" s="1"/>
  <c r="AS691"/>
  <c r="AR691"/>
  <c r="CB691" s="1"/>
  <c r="AQ691"/>
  <c r="AP691"/>
  <c r="BZ691" s="1"/>
  <c r="AO691"/>
  <c r="AN691"/>
  <c r="BX691" s="1"/>
  <c r="AM691"/>
  <c r="AL691"/>
  <c r="AK691"/>
  <c r="AJ691"/>
  <c r="AI691"/>
  <c r="AH691"/>
  <c r="AG691"/>
  <c r="AF691"/>
  <c r="AE691"/>
  <c r="AD691"/>
  <c r="AC691"/>
  <c r="AB691"/>
  <c r="AA691"/>
  <c r="DE690"/>
  <c r="BJ690"/>
  <c r="BV690" s="1"/>
  <c r="BI690"/>
  <c r="BH690"/>
  <c r="BT690" s="1"/>
  <c r="BG690"/>
  <c r="BF690"/>
  <c r="BR690" s="1"/>
  <c r="BE690"/>
  <c r="BD690"/>
  <c r="BP690" s="1"/>
  <c r="BC690"/>
  <c r="BB690"/>
  <c r="BN690" s="1"/>
  <c r="BA690"/>
  <c r="AZ690"/>
  <c r="BL690" s="1"/>
  <c r="AY690"/>
  <c r="BK690" s="1"/>
  <c r="AX690"/>
  <c r="CH690" s="1"/>
  <c r="AW690"/>
  <c r="AV690"/>
  <c r="CF690" s="1"/>
  <c r="AU690"/>
  <c r="AT690"/>
  <c r="CD690" s="1"/>
  <c r="AS690"/>
  <c r="AR690"/>
  <c r="CB690" s="1"/>
  <c r="AQ690"/>
  <c r="AP690"/>
  <c r="BZ690" s="1"/>
  <c r="AO690"/>
  <c r="AN690"/>
  <c r="BX690" s="1"/>
  <c r="AM690"/>
  <c r="AL690"/>
  <c r="AK690"/>
  <c r="AJ690"/>
  <c r="AI690"/>
  <c r="AH690"/>
  <c r="AG690"/>
  <c r="AF690"/>
  <c r="AE690"/>
  <c r="AD690"/>
  <c r="AC690"/>
  <c r="AB690"/>
  <c r="AA690"/>
  <c r="DE689"/>
  <c r="BJ689"/>
  <c r="BV689" s="1"/>
  <c r="BI689"/>
  <c r="BH689"/>
  <c r="BT689" s="1"/>
  <c r="BG689"/>
  <c r="BF689"/>
  <c r="BR689" s="1"/>
  <c r="BE689"/>
  <c r="BD689"/>
  <c r="BP689" s="1"/>
  <c r="BC689"/>
  <c r="BB689"/>
  <c r="BN689" s="1"/>
  <c r="BA689"/>
  <c r="AZ689"/>
  <c r="BL689" s="1"/>
  <c r="AY689"/>
  <c r="BK689" s="1"/>
  <c r="AX689"/>
  <c r="CH689" s="1"/>
  <c r="AW689"/>
  <c r="AV689"/>
  <c r="CF689" s="1"/>
  <c r="AU689"/>
  <c r="AT689"/>
  <c r="CD689" s="1"/>
  <c r="AS689"/>
  <c r="AR689"/>
  <c r="CB689" s="1"/>
  <c r="AQ689"/>
  <c r="AP689"/>
  <c r="BZ689" s="1"/>
  <c r="AO689"/>
  <c r="AN689"/>
  <c r="BX689" s="1"/>
  <c r="AM689"/>
  <c r="AL689"/>
  <c r="AK689"/>
  <c r="AJ689"/>
  <c r="AI689"/>
  <c r="AH689"/>
  <c r="AG689"/>
  <c r="AF689"/>
  <c r="AE689"/>
  <c r="AD689"/>
  <c r="AC689"/>
  <c r="AB689"/>
  <c r="AA689"/>
  <c r="DE688"/>
  <c r="BJ688"/>
  <c r="BV688" s="1"/>
  <c r="BI688"/>
  <c r="BH688"/>
  <c r="BT688" s="1"/>
  <c r="BG688"/>
  <c r="BF688"/>
  <c r="BR688" s="1"/>
  <c r="BE688"/>
  <c r="BD688"/>
  <c r="BP688" s="1"/>
  <c r="BC688"/>
  <c r="BB688"/>
  <c r="BN688" s="1"/>
  <c r="BA688"/>
  <c r="AZ688"/>
  <c r="BL688" s="1"/>
  <c r="AY688"/>
  <c r="BK688" s="1"/>
  <c r="AX688"/>
  <c r="CH688" s="1"/>
  <c r="AW688"/>
  <c r="AV688"/>
  <c r="CF688" s="1"/>
  <c r="AU688"/>
  <c r="AT688"/>
  <c r="CD688" s="1"/>
  <c r="AS688"/>
  <c r="AR688"/>
  <c r="CB688" s="1"/>
  <c r="AQ688"/>
  <c r="AP688"/>
  <c r="BZ688" s="1"/>
  <c r="AO688"/>
  <c r="AN688"/>
  <c r="BX688" s="1"/>
  <c r="AM688"/>
  <c r="AL688"/>
  <c r="AK688"/>
  <c r="AJ688"/>
  <c r="AI688"/>
  <c r="AH688"/>
  <c r="AG688"/>
  <c r="AF688"/>
  <c r="AE688"/>
  <c r="AD688"/>
  <c r="AC688"/>
  <c r="AB688"/>
  <c r="AA688"/>
  <c r="DE687"/>
  <c r="BJ687"/>
  <c r="BV687" s="1"/>
  <c r="BI687"/>
  <c r="BH687"/>
  <c r="BT687" s="1"/>
  <c r="BG687"/>
  <c r="BF687"/>
  <c r="BR687" s="1"/>
  <c r="BE687"/>
  <c r="BD687"/>
  <c r="BP687" s="1"/>
  <c r="BC687"/>
  <c r="BB687"/>
  <c r="BN687" s="1"/>
  <c r="BA687"/>
  <c r="AZ687"/>
  <c r="BL687" s="1"/>
  <c r="AY687"/>
  <c r="BK687" s="1"/>
  <c r="AX687"/>
  <c r="CH687" s="1"/>
  <c r="AW687"/>
  <c r="AV687"/>
  <c r="CF687" s="1"/>
  <c r="AU687"/>
  <c r="AT687"/>
  <c r="CD687" s="1"/>
  <c r="AS687"/>
  <c r="AR687"/>
  <c r="CB687" s="1"/>
  <c r="AQ687"/>
  <c r="AP687"/>
  <c r="BZ687" s="1"/>
  <c r="AO687"/>
  <c r="AN687"/>
  <c r="BX687" s="1"/>
  <c r="AM687"/>
  <c r="AL687"/>
  <c r="AK687"/>
  <c r="AJ687"/>
  <c r="AI687"/>
  <c r="AH687"/>
  <c r="AG687"/>
  <c r="AF687"/>
  <c r="AE687"/>
  <c r="AD687"/>
  <c r="AC687"/>
  <c r="AB687"/>
  <c r="AA687"/>
  <c r="DE686"/>
  <c r="BJ686"/>
  <c r="BV686" s="1"/>
  <c r="BI686"/>
  <c r="BH686"/>
  <c r="BT686" s="1"/>
  <c r="BG686"/>
  <c r="BF686"/>
  <c r="BR686" s="1"/>
  <c r="BE686"/>
  <c r="BD686"/>
  <c r="BP686" s="1"/>
  <c r="BC686"/>
  <c r="BB686"/>
  <c r="BN686" s="1"/>
  <c r="BA686"/>
  <c r="AZ686"/>
  <c r="BL686" s="1"/>
  <c r="AY686"/>
  <c r="BK686" s="1"/>
  <c r="AX686"/>
  <c r="CH686" s="1"/>
  <c r="AW686"/>
  <c r="AV686"/>
  <c r="CF686" s="1"/>
  <c r="AU686"/>
  <c r="AT686"/>
  <c r="CD686" s="1"/>
  <c r="AS686"/>
  <c r="AR686"/>
  <c r="CB686" s="1"/>
  <c r="AQ686"/>
  <c r="AP686"/>
  <c r="BZ686" s="1"/>
  <c r="AO686"/>
  <c r="AN686"/>
  <c r="BX686" s="1"/>
  <c r="AM686"/>
  <c r="AL686"/>
  <c r="AK686"/>
  <c r="AJ686"/>
  <c r="AI686"/>
  <c r="AH686"/>
  <c r="AG686"/>
  <c r="AF686"/>
  <c r="AE686"/>
  <c r="AD686"/>
  <c r="AC686"/>
  <c r="AB686"/>
  <c r="AA686"/>
  <c r="DE685"/>
  <c r="BJ685"/>
  <c r="BV685" s="1"/>
  <c r="BI685"/>
  <c r="BH685"/>
  <c r="BT685" s="1"/>
  <c r="BG685"/>
  <c r="BF685"/>
  <c r="BR685" s="1"/>
  <c r="BE685"/>
  <c r="BD685"/>
  <c r="BP685" s="1"/>
  <c r="BC685"/>
  <c r="BB685"/>
  <c r="BN685" s="1"/>
  <c r="BA685"/>
  <c r="AZ685"/>
  <c r="BL685" s="1"/>
  <c r="AY685"/>
  <c r="BK685" s="1"/>
  <c r="AX685"/>
  <c r="CH685" s="1"/>
  <c r="AW685"/>
  <c r="AV685"/>
  <c r="CF685" s="1"/>
  <c r="AU685"/>
  <c r="AT685"/>
  <c r="CD685" s="1"/>
  <c r="AS685"/>
  <c r="AR685"/>
  <c r="CB685" s="1"/>
  <c r="AQ685"/>
  <c r="AP685"/>
  <c r="BZ685" s="1"/>
  <c r="AO685"/>
  <c r="AN685"/>
  <c r="BX685" s="1"/>
  <c r="AM685"/>
  <c r="AL685"/>
  <c r="AK685"/>
  <c r="AJ685"/>
  <c r="AI685"/>
  <c r="AH685"/>
  <c r="AG685"/>
  <c r="AF685"/>
  <c r="AE685"/>
  <c r="AD685"/>
  <c r="AC685"/>
  <c r="AB685"/>
  <c r="AA685"/>
  <c r="DE684"/>
  <c r="BJ684"/>
  <c r="BV684" s="1"/>
  <c r="BI684"/>
  <c r="BH684"/>
  <c r="BT684" s="1"/>
  <c r="BG684"/>
  <c r="BF684"/>
  <c r="BR684" s="1"/>
  <c r="BE684"/>
  <c r="BD684"/>
  <c r="BP684" s="1"/>
  <c r="BC684"/>
  <c r="BB684"/>
  <c r="BN684" s="1"/>
  <c r="BA684"/>
  <c r="AZ684"/>
  <c r="BL684" s="1"/>
  <c r="AY684"/>
  <c r="BK684" s="1"/>
  <c r="AX684"/>
  <c r="CH684" s="1"/>
  <c r="AW684"/>
  <c r="AV684"/>
  <c r="CF684" s="1"/>
  <c r="AU684"/>
  <c r="AT684"/>
  <c r="CD684" s="1"/>
  <c r="AS684"/>
  <c r="AR684"/>
  <c r="CB684" s="1"/>
  <c r="AQ684"/>
  <c r="AP684"/>
  <c r="BZ684" s="1"/>
  <c r="AO684"/>
  <c r="AN684"/>
  <c r="BX684" s="1"/>
  <c r="AM684"/>
  <c r="AL684"/>
  <c r="AK684"/>
  <c r="AJ684"/>
  <c r="AI684"/>
  <c r="AH684"/>
  <c r="AG684"/>
  <c r="AF684"/>
  <c r="AE684"/>
  <c r="AD684"/>
  <c r="AC684"/>
  <c r="AB684"/>
  <c r="AA684"/>
  <c r="DE683"/>
  <c r="BJ683"/>
  <c r="BV683" s="1"/>
  <c r="BI683"/>
  <c r="BH683"/>
  <c r="BT683" s="1"/>
  <c r="BG683"/>
  <c r="BF683"/>
  <c r="BR683" s="1"/>
  <c r="BE683"/>
  <c r="BD683"/>
  <c r="BP683" s="1"/>
  <c r="BC683"/>
  <c r="BB683"/>
  <c r="BN683" s="1"/>
  <c r="BA683"/>
  <c r="AZ683"/>
  <c r="BL683" s="1"/>
  <c r="AY683"/>
  <c r="BK683" s="1"/>
  <c r="AX683"/>
  <c r="CH683" s="1"/>
  <c r="AW683"/>
  <c r="AV683"/>
  <c r="CF683" s="1"/>
  <c r="AU683"/>
  <c r="AT683"/>
  <c r="CD683" s="1"/>
  <c r="AS683"/>
  <c r="AR683"/>
  <c r="CB683" s="1"/>
  <c r="AQ683"/>
  <c r="AP683"/>
  <c r="BZ683" s="1"/>
  <c r="AO683"/>
  <c r="AN683"/>
  <c r="BX683" s="1"/>
  <c r="AM683"/>
  <c r="AL683"/>
  <c r="AK683"/>
  <c r="AJ683"/>
  <c r="AI683"/>
  <c r="AH683"/>
  <c r="AG683"/>
  <c r="AF683"/>
  <c r="AE683"/>
  <c r="AD683"/>
  <c r="AC683"/>
  <c r="AB683"/>
  <c r="AA683"/>
  <c r="DE682"/>
  <c r="BJ682"/>
  <c r="BV682" s="1"/>
  <c r="BI682"/>
  <c r="BH682"/>
  <c r="BT682" s="1"/>
  <c r="BG682"/>
  <c r="BF682"/>
  <c r="BR682" s="1"/>
  <c r="BE682"/>
  <c r="BD682"/>
  <c r="BP682" s="1"/>
  <c r="BC682"/>
  <c r="BB682"/>
  <c r="BN682" s="1"/>
  <c r="BA682"/>
  <c r="AZ682"/>
  <c r="BL682" s="1"/>
  <c r="AY682"/>
  <c r="BK682" s="1"/>
  <c r="AX682"/>
  <c r="CH682" s="1"/>
  <c r="AW682"/>
  <c r="AV682"/>
  <c r="CF682" s="1"/>
  <c r="AU682"/>
  <c r="AT682"/>
  <c r="CD682" s="1"/>
  <c r="AS682"/>
  <c r="AR682"/>
  <c r="CB682" s="1"/>
  <c r="AQ682"/>
  <c r="AP682"/>
  <c r="BZ682" s="1"/>
  <c r="AO682"/>
  <c r="AN682"/>
  <c r="BX682" s="1"/>
  <c r="AM682"/>
  <c r="AL682"/>
  <c r="AK682"/>
  <c r="AJ682"/>
  <c r="AI682"/>
  <c r="AH682"/>
  <c r="AG682"/>
  <c r="AF682"/>
  <c r="AE682"/>
  <c r="AD682"/>
  <c r="AC682"/>
  <c r="AB682"/>
  <c r="AA682"/>
  <c r="DE681"/>
  <c r="BJ681"/>
  <c r="BV681" s="1"/>
  <c r="BI681"/>
  <c r="BH681"/>
  <c r="BT681" s="1"/>
  <c r="BG681"/>
  <c r="BF681"/>
  <c r="BR681" s="1"/>
  <c r="BE681"/>
  <c r="BD681"/>
  <c r="BP681" s="1"/>
  <c r="BC681"/>
  <c r="BB681"/>
  <c r="BN681" s="1"/>
  <c r="BA681"/>
  <c r="AZ681"/>
  <c r="BL681" s="1"/>
  <c r="AY681"/>
  <c r="BK681" s="1"/>
  <c r="AX681"/>
  <c r="CH681" s="1"/>
  <c r="AW681"/>
  <c r="AV681"/>
  <c r="CF681" s="1"/>
  <c r="AU681"/>
  <c r="AT681"/>
  <c r="CD681" s="1"/>
  <c r="AS681"/>
  <c r="AR681"/>
  <c r="CB681" s="1"/>
  <c r="AQ681"/>
  <c r="AP681"/>
  <c r="BZ681" s="1"/>
  <c r="AO681"/>
  <c r="AN681"/>
  <c r="BX681" s="1"/>
  <c r="AM681"/>
  <c r="AL681"/>
  <c r="AK681"/>
  <c r="AJ681"/>
  <c r="AI681"/>
  <c r="AH681"/>
  <c r="AG681"/>
  <c r="AF681"/>
  <c r="AE681"/>
  <c r="AD681"/>
  <c r="AC681"/>
  <c r="AB681"/>
  <c r="AA681"/>
  <c r="DE680"/>
  <c r="BJ680"/>
  <c r="BV680" s="1"/>
  <c r="BI680"/>
  <c r="BH680"/>
  <c r="BT680" s="1"/>
  <c r="BG680"/>
  <c r="BF680"/>
  <c r="BR680" s="1"/>
  <c r="BE680"/>
  <c r="BD680"/>
  <c r="BP680" s="1"/>
  <c r="BC680"/>
  <c r="BB680"/>
  <c r="BN680" s="1"/>
  <c r="BA680"/>
  <c r="AZ680"/>
  <c r="BL680" s="1"/>
  <c r="AY680"/>
  <c r="BK680" s="1"/>
  <c r="AX680"/>
  <c r="CH680" s="1"/>
  <c r="AW680"/>
  <c r="AV680"/>
  <c r="CF680" s="1"/>
  <c r="AU680"/>
  <c r="AT680"/>
  <c r="CD680" s="1"/>
  <c r="AS680"/>
  <c r="AR680"/>
  <c r="CB680" s="1"/>
  <c r="AQ680"/>
  <c r="AP680"/>
  <c r="BZ680" s="1"/>
  <c r="AO680"/>
  <c r="AN680"/>
  <c r="BX680" s="1"/>
  <c r="AM680"/>
  <c r="AL680"/>
  <c r="AK680"/>
  <c r="AJ680"/>
  <c r="AI680"/>
  <c r="AH680"/>
  <c r="AG680"/>
  <c r="AF680"/>
  <c r="AE680"/>
  <c r="AD680"/>
  <c r="AC680"/>
  <c r="AB680"/>
  <c r="AA680"/>
  <c r="DE679"/>
  <c r="BJ679"/>
  <c r="BV679" s="1"/>
  <c r="BI679"/>
  <c r="BH679"/>
  <c r="BT679" s="1"/>
  <c r="BG679"/>
  <c r="BF679"/>
  <c r="BR679" s="1"/>
  <c r="BE679"/>
  <c r="BD679"/>
  <c r="BP679" s="1"/>
  <c r="BC679"/>
  <c r="BB679"/>
  <c r="BN679" s="1"/>
  <c r="BA679"/>
  <c r="AZ679"/>
  <c r="BL679" s="1"/>
  <c r="AY679"/>
  <c r="BK679" s="1"/>
  <c r="AX679"/>
  <c r="CH679" s="1"/>
  <c r="AW679"/>
  <c r="AV679"/>
  <c r="CF679" s="1"/>
  <c r="AU679"/>
  <c r="AT679"/>
  <c r="CD679" s="1"/>
  <c r="AS679"/>
  <c r="AR679"/>
  <c r="CB679" s="1"/>
  <c r="AQ679"/>
  <c r="AP679"/>
  <c r="BZ679" s="1"/>
  <c r="AO679"/>
  <c r="AN679"/>
  <c r="BX679" s="1"/>
  <c r="AM679"/>
  <c r="AL679"/>
  <c r="AK679"/>
  <c r="AJ679"/>
  <c r="AI679"/>
  <c r="AH679"/>
  <c r="AG679"/>
  <c r="AF679"/>
  <c r="AE679"/>
  <c r="AD679"/>
  <c r="AC679"/>
  <c r="AB679"/>
  <c r="AA679"/>
  <c r="DE678"/>
  <c r="BJ678"/>
  <c r="BV678" s="1"/>
  <c r="BI678"/>
  <c r="BH678"/>
  <c r="BT678" s="1"/>
  <c r="BG678"/>
  <c r="BF678"/>
  <c r="BR678" s="1"/>
  <c r="BE678"/>
  <c r="BD678"/>
  <c r="BP678" s="1"/>
  <c r="BC678"/>
  <c r="BB678"/>
  <c r="BN678" s="1"/>
  <c r="BA678"/>
  <c r="AZ678"/>
  <c r="BL678" s="1"/>
  <c r="AY678"/>
  <c r="BK678" s="1"/>
  <c r="AX678"/>
  <c r="CH678" s="1"/>
  <c r="AW678"/>
  <c r="AV678"/>
  <c r="CF678" s="1"/>
  <c r="AU678"/>
  <c r="AT678"/>
  <c r="CD678" s="1"/>
  <c r="AS678"/>
  <c r="AR678"/>
  <c r="CB678" s="1"/>
  <c r="AQ678"/>
  <c r="AP678"/>
  <c r="BZ678" s="1"/>
  <c r="AO678"/>
  <c r="AN678"/>
  <c r="BX678" s="1"/>
  <c r="AM678"/>
  <c r="AL678"/>
  <c r="AK678"/>
  <c r="AJ678"/>
  <c r="AI678"/>
  <c r="AH678"/>
  <c r="AG678"/>
  <c r="AF678"/>
  <c r="AE678"/>
  <c r="AD678"/>
  <c r="AC678"/>
  <c r="AB678"/>
  <c r="AA678"/>
  <c r="DE677"/>
  <c r="BJ677"/>
  <c r="BV677" s="1"/>
  <c r="BI677"/>
  <c r="BH677"/>
  <c r="BT677" s="1"/>
  <c r="BG677"/>
  <c r="BF677"/>
  <c r="BR677" s="1"/>
  <c r="BE677"/>
  <c r="BD677"/>
  <c r="BP677" s="1"/>
  <c r="BC677"/>
  <c r="BB677"/>
  <c r="BN677" s="1"/>
  <c r="BA677"/>
  <c r="AZ677"/>
  <c r="BL677" s="1"/>
  <c r="AY677"/>
  <c r="BK677" s="1"/>
  <c r="AX677"/>
  <c r="CH677" s="1"/>
  <c r="AW677"/>
  <c r="AV677"/>
  <c r="CF677" s="1"/>
  <c r="AU677"/>
  <c r="AT677"/>
  <c r="CD677" s="1"/>
  <c r="AS677"/>
  <c r="AR677"/>
  <c r="CB677" s="1"/>
  <c r="AQ677"/>
  <c r="AP677"/>
  <c r="BZ677" s="1"/>
  <c r="AO677"/>
  <c r="AN677"/>
  <c r="BX677" s="1"/>
  <c r="AM677"/>
  <c r="AL677"/>
  <c r="AK677"/>
  <c r="AJ677"/>
  <c r="AI677"/>
  <c r="AH677"/>
  <c r="AG677"/>
  <c r="AF677"/>
  <c r="AE677"/>
  <c r="AD677"/>
  <c r="AC677"/>
  <c r="AB677"/>
  <c r="AA677"/>
  <c r="DE676"/>
  <c r="BJ676"/>
  <c r="BV676" s="1"/>
  <c r="BI676"/>
  <c r="BH676"/>
  <c r="BT676" s="1"/>
  <c r="BG676"/>
  <c r="BF676"/>
  <c r="BR676" s="1"/>
  <c r="BE676"/>
  <c r="BD676"/>
  <c r="BP676" s="1"/>
  <c r="BC676"/>
  <c r="BB676"/>
  <c r="BN676" s="1"/>
  <c r="BA676"/>
  <c r="AZ676"/>
  <c r="BL676" s="1"/>
  <c r="AY676"/>
  <c r="BK676" s="1"/>
  <c r="AX676"/>
  <c r="CH676" s="1"/>
  <c r="AW676"/>
  <c r="AV676"/>
  <c r="CF676" s="1"/>
  <c r="AU676"/>
  <c r="AT676"/>
  <c r="CD676" s="1"/>
  <c r="AS676"/>
  <c r="AR676"/>
  <c r="CB676" s="1"/>
  <c r="AQ676"/>
  <c r="AP676"/>
  <c r="BZ676" s="1"/>
  <c r="AO676"/>
  <c r="AN676"/>
  <c r="BX676" s="1"/>
  <c r="AM676"/>
  <c r="AL676"/>
  <c r="AK676"/>
  <c r="AJ676"/>
  <c r="AI676"/>
  <c r="AH676"/>
  <c r="AG676"/>
  <c r="AF676"/>
  <c r="AE676"/>
  <c r="AD676"/>
  <c r="AC676"/>
  <c r="AB676"/>
  <c r="AA676"/>
  <c r="DE675"/>
  <c r="BJ675"/>
  <c r="BV675" s="1"/>
  <c r="BI675"/>
  <c r="BH675"/>
  <c r="BT675" s="1"/>
  <c r="BG675"/>
  <c r="BF675"/>
  <c r="BR675" s="1"/>
  <c r="BE675"/>
  <c r="BD675"/>
  <c r="BP675" s="1"/>
  <c r="BC675"/>
  <c r="BB675"/>
  <c r="BN675" s="1"/>
  <c r="BA675"/>
  <c r="AZ675"/>
  <c r="BL675" s="1"/>
  <c r="AY675"/>
  <c r="BK675" s="1"/>
  <c r="AX675"/>
  <c r="CH675" s="1"/>
  <c r="AW675"/>
  <c r="AV675"/>
  <c r="CF675" s="1"/>
  <c r="AU675"/>
  <c r="AT675"/>
  <c r="CD675" s="1"/>
  <c r="AS675"/>
  <c r="AR675"/>
  <c r="CB675" s="1"/>
  <c r="AQ675"/>
  <c r="AP675"/>
  <c r="BZ675" s="1"/>
  <c r="AO675"/>
  <c r="AN675"/>
  <c r="BX675" s="1"/>
  <c r="AM675"/>
  <c r="AL675"/>
  <c r="AK675"/>
  <c r="AJ675"/>
  <c r="AI675"/>
  <c r="AH675"/>
  <c r="AG675"/>
  <c r="AF675"/>
  <c r="AE675"/>
  <c r="AD675"/>
  <c r="AC675"/>
  <c r="AB675"/>
  <c r="AA675"/>
  <c r="DE674"/>
  <c r="BJ674"/>
  <c r="BV674" s="1"/>
  <c r="BI674"/>
  <c r="BH674"/>
  <c r="BT674" s="1"/>
  <c r="BG674"/>
  <c r="BF674"/>
  <c r="BR674" s="1"/>
  <c r="BE674"/>
  <c r="BD674"/>
  <c r="BP674" s="1"/>
  <c r="BC674"/>
  <c r="BB674"/>
  <c r="BN674" s="1"/>
  <c r="BA674"/>
  <c r="AZ674"/>
  <c r="BL674" s="1"/>
  <c r="AY674"/>
  <c r="BK674" s="1"/>
  <c r="AX674"/>
  <c r="CH674" s="1"/>
  <c r="AW674"/>
  <c r="AV674"/>
  <c r="CF674" s="1"/>
  <c r="AU674"/>
  <c r="AT674"/>
  <c r="CD674" s="1"/>
  <c r="AS674"/>
  <c r="AR674"/>
  <c r="CB674" s="1"/>
  <c r="AQ674"/>
  <c r="AP674"/>
  <c r="BZ674" s="1"/>
  <c r="AO674"/>
  <c r="AN674"/>
  <c r="BX674" s="1"/>
  <c r="AM674"/>
  <c r="AL674"/>
  <c r="AK674"/>
  <c r="AJ674"/>
  <c r="AI674"/>
  <c r="AH674"/>
  <c r="AG674"/>
  <c r="AF674"/>
  <c r="AE674"/>
  <c r="AD674"/>
  <c r="AC674"/>
  <c r="AB674"/>
  <c r="AA674"/>
  <c r="DE673"/>
  <c r="BJ673"/>
  <c r="BV673" s="1"/>
  <c r="BI673"/>
  <c r="BH673"/>
  <c r="BT673" s="1"/>
  <c r="BG673"/>
  <c r="BF673"/>
  <c r="BR673" s="1"/>
  <c r="BE673"/>
  <c r="BD673"/>
  <c r="BP673" s="1"/>
  <c r="BC673"/>
  <c r="BB673"/>
  <c r="BN673" s="1"/>
  <c r="BA673"/>
  <c r="AZ673"/>
  <c r="BL673" s="1"/>
  <c r="AY673"/>
  <c r="BK673" s="1"/>
  <c r="AX673"/>
  <c r="CH673" s="1"/>
  <c r="AW673"/>
  <c r="AV673"/>
  <c r="CF673" s="1"/>
  <c r="AU673"/>
  <c r="AT673"/>
  <c r="CD673" s="1"/>
  <c r="AS673"/>
  <c r="AR673"/>
  <c r="CB673" s="1"/>
  <c r="AQ673"/>
  <c r="AP673"/>
  <c r="BZ673" s="1"/>
  <c r="AO673"/>
  <c r="AN673"/>
  <c r="BX673" s="1"/>
  <c r="AM673"/>
  <c r="AL673"/>
  <c r="AK673"/>
  <c r="AJ673"/>
  <c r="AI673"/>
  <c r="AH673"/>
  <c r="AG673"/>
  <c r="AF673"/>
  <c r="AE673"/>
  <c r="AD673"/>
  <c r="AC673"/>
  <c r="AB673"/>
  <c r="AA673"/>
  <c r="DE672"/>
  <c r="BJ672"/>
  <c r="BV672" s="1"/>
  <c r="BI672"/>
  <c r="BH672"/>
  <c r="BT672" s="1"/>
  <c r="BG672"/>
  <c r="BF672"/>
  <c r="BR672" s="1"/>
  <c r="BE672"/>
  <c r="BD672"/>
  <c r="BP672" s="1"/>
  <c r="BC672"/>
  <c r="BB672"/>
  <c r="BN672" s="1"/>
  <c r="BA672"/>
  <c r="AZ672"/>
  <c r="BL672" s="1"/>
  <c r="AY672"/>
  <c r="BK672" s="1"/>
  <c r="AX672"/>
  <c r="CH672" s="1"/>
  <c r="AW672"/>
  <c r="AV672"/>
  <c r="CF672" s="1"/>
  <c r="AU672"/>
  <c r="AT672"/>
  <c r="CD672" s="1"/>
  <c r="AS672"/>
  <c r="AR672"/>
  <c r="CB672" s="1"/>
  <c r="AQ672"/>
  <c r="AP672"/>
  <c r="BZ672" s="1"/>
  <c r="AO672"/>
  <c r="AN672"/>
  <c r="BX672" s="1"/>
  <c r="AM672"/>
  <c r="AL672"/>
  <c r="AK672"/>
  <c r="AJ672"/>
  <c r="AI672"/>
  <c r="AH672"/>
  <c r="AG672"/>
  <c r="AF672"/>
  <c r="AE672"/>
  <c r="AD672"/>
  <c r="AC672"/>
  <c r="AB672"/>
  <c r="AA672"/>
  <c r="DE671"/>
  <c r="BJ671"/>
  <c r="BV671" s="1"/>
  <c r="BI671"/>
  <c r="BH671"/>
  <c r="BT671" s="1"/>
  <c r="BG671"/>
  <c r="BF671"/>
  <c r="BR671" s="1"/>
  <c r="BE671"/>
  <c r="BD671"/>
  <c r="BP671" s="1"/>
  <c r="BC671"/>
  <c r="BB671"/>
  <c r="BN671" s="1"/>
  <c r="BA671"/>
  <c r="AZ671"/>
  <c r="BL671" s="1"/>
  <c r="AY671"/>
  <c r="BK671" s="1"/>
  <c r="AX671"/>
  <c r="CH671" s="1"/>
  <c r="AW671"/>
  <c r="AV671"/>
  <c r="CF671" s="1"/>
  <c r="AU671"/>
  <c r="AT671"/>
  <c r="CD671" s="1"/>
  <c r="AS671"/>
  <c r="AR671"/>
  <c r="CB671" s="1"/>
  <c r="AQ671"/>
  <c r="AP671"/>
  <c r="BZ671" s="1"/>
  <c r="AO671"/>
  <c r="AN671"/>
  <c r="BX671" s="1"/>
  <c r="AM671"/>
  <c r="AL671"/>
  <c r="AK671"/>
  <c r="AJ671"/>
  <c r="AI671"/>
  <c r="AH671"/>
  <c r="AG671"/>
  <c r="AF671"/>
  <c r="AE671"/>
  <c r="AD671"/>
  <c r="AC671"/>
  <c r="AB671"/>
  <c r="AA671"/>
  <c r="DE670"/>
  <c r="BJ670"/>
  <c r="BV670" s="1"/>
  <c r="BI670"/>
  <c r="BH670"/>
  <c r="BT670" s="1"/>
  <c r="BG670"/>
  <c r="BF670"/>
  <c r="BR670" s="1"/>
  <c r="BE670"/>
  <c r="BD670"/>
  <c r="BP670" s="1"/>
  <c r="BC670"/>
  <c r="BB670"/>
  <c r="BN670" s="1"/>
  <c r="BA670"/>
  <c r="AZ670"/>
  <c r="BL670" s="1"/>
  <c r="AY670"/>
  <c r="BK670" s="1"/>
  <c r="AX670"/>
  <c r="CH670" s="1"/>
  <c r="AW670"/>
  <c r="AV670"/>
  <c r="CF670" s="1"/>
  <c r="AU670"/>
  <c r="AT670"/>
  <c r="CD670" s="1"/>
  <c r="AS670"/>
  <c r="AR670"/>
  <c r="CB670" s="1"/>
  <c r="AQ670"/>
  <c r="AP670"/>
  <c r="BZ670" s="1"/>
  <c r="AO670"/>
  <c r="AN670"/>
  <c r="BX670" s="1"/>
  <c r="AM670"/>
  <c r="AL670"/>
  <c r="AK670"/>
  <c r="AJ670"/>
  <c r="AI670"/>
  <c r="AH670"/>
  <c r="AG670"/>
  <c r="AF670"/>
  <c r="AE670"/>
  <c r="AD670"/>
  <c r="AC670"/>
  <c r="AB670"/>
  <c r="AA670"/>
  <c r="DE669"/>
  <c r="BJ669"/>
  <c r="BV669" s="1"/>
  <c r="BI669"/>
  <c r="BH669"/>
  <c r="BT669" s="1"/>
  <c r="BG669"/>
  <c r="BF669"/>
  <c r="BR669" s="1"/>
  <c r="BE669"/>
  <c r="BD669"/>
  <c r="BP669" s="1"/>
  <c r="BC669"/>
  <c r="BB669"/>
  <c r="BN669" s="1"/>
  <c r="BA669"/>
  <c r="AZ669"/>
  <c r="BL669" s="1"/>
  <c r="AY669"/>
  <c r="BK669" s="1"/>
  <c r="AX669"/>
  <c r="CH669" s="1"/>
  <c r="AW669"/>
  <c r="AV669"/>
  <c r="CF669" s="1"/>
  <c r="AU669"/>
  <c r="AT669"/>
  <c r="CD669" s="1"/>
  <c r="AS669"/>
  <c r="AR669"/>
  <c r="CB669" s="1"/>
  <c r="AQ669"/>
  <c r="AP669"/>
  <c r="BZ669" s="1"/>
  <c r="AO669"/>
  <c r="AN669"/>
  <c r="BX669" s="1"/>
  <c r="AM669"/>
  <c r="AL669"/>
  <c r="AK669"/>
  <c r="AJ669"/>
  <c r="AI669"/>
  <c r="AH669"/>
  <c r="AG669"/>
  <c r="AF669"/>
  <c r="AE669"/>
  <c r="AD669"/>
  <c r="AC669"/>
  <c r="AB669"/>
  <c r="AA669"/>
  <c r="DE668"/>
  <c r="BJ668"/>
  <c r="BV668" s="1"/>
  <c r="BI668"/>
  <c r="BH668"/>
  <c r="BT668" s="1"/>
  <c r="BG668"/>
  <c r="BF668"/>
  <c r="BR668" s="1"/>
  <c r="BE668"/>
  <c r="BD668"/>
  <c r="BP668" s="1"/>
  <c r="BC668"/>
  <c r="BB668"/>
  <c r="BN668" s="1"/>
  <c r="BA668"/>
  <c r="AZ668"/>
  <c r="BL668" s="1"/>
  <c r="AY668"/>
  <c r="BK668" s="1"/>
  <c r="AX668"/>
  <c r="CH668" s="1"/>
  <c r="AW668"/>
  <c r="AV668"/>
  <c r="CF668" s="1"/>
  <c r="AU668"/>
  <c r="AT668"/>
  <c r="CD668" s="1"/>
  <c r="AS668"/>
  <c r="AR668"/>
  <c r="CB668" s="1"/>
  <c r="AQ668"/>
  <c r="AP668"/>
  <c r="BZ668" s="1"/>
  <c r="AO668"/>
  <c r="AN668"/>
  <c r="BX668" s="1"/>
  <c r="AM668"/>
  <c r="AL668"/>
  <c r="AK668"/>
  <c r="AJ668"/>
  <c r="AI668"/>
  <c r="AH668"/>
  <c r="AG668"/>
  <c r="AF668"/>
  <c r="AE668"/>
  <c r="AD668"/>
  <c r="AC668"/>
  <c r="AB668"/>
  <c r="AA668"/>
  <c r="DE667"/>
  <c r="BJ667"/>
  <c r="BV667" s="1"/>
  <c r="BI667"/>
  <c r="BH667"/>
  <c r="BT667" s="1"/>
  <c r="BG667"/>
  <c r="BF667"/>
  <c r="BR667" s="1"/>
  <c r="BE667"/>
  <c r="BD667"/>
  <c r="BP667" s="1"/>
  <c r="BC667"/>
  <c r="BB667"/>
  <c r="BN667" s="1"/>
  <c r="BA667"/>
  <c r="AZ667"/>
  <c r="BL667" s="1"/>
  <c r="AY667"/>
  <c r="BK667" s="1"/>
  <c r="AX667"/>
  <c r="CH667" s="1"/>
  <c r="AW667"/>
  <c r="AV667"/>
  <c r="CF667" s="1"/>
  <c r="AU667"/>
  <c r="AT667"/>
  <c r="CD667" s="1"/>
  <c r="AS667"/>
  <c r="AR667"/>
  <c r="CB667" s="1"/>
  <c r="AQ667"/>
  <c r="AP667"/>
  <c r="BZ667" s="1"/>
  <c r="AO667"/>
  <c r="AN667"/>
  <c r="BX667" s="1"/>
  <c r="AM667"/>
  <c r="AL667"/>
  <c r="AK667"/>
  <c r="AJ667"/>
  <c r="AI667"/>
  <c r="AH667"/>
  <c r="AG667"/>
  <c r="AF667"/>
  <c r="AE667"/>
  <c r="AD667"/>
  <c r="AC667"/>
  <c r="AB667"/>
  <c r="AA667"/>
  <c r="DE666"/>
  <c r="BJ666"/>
  <c r="BV666" s="1"/>
  <c r="BI666"/>
  <c r="BH666"/>
  <c r="BT666" s="1"/>
  <c r="BG666"/>
  <c r="BF666"/>
  <c r="BR666" s="1"/>
  <c r="BE666"/>
  <c r="BD666"/>
  <c r="BP666" s="1"/>
  <c r="BC666"/>
  <c r="BB666"/>
  <c r="BN666" s="1"/>
  <c r="BA666"/>
  <c r="AZ666"/>
  <c r="BL666" s="1"/>
  <c r="AY666"/>
  <c r="BK666" s="1"/>
  <c r="AX666"/>
  <c r="CH666" s="1"/>
  <c r="AW666"/>
  <c r="AV666"/>
  <c r="CF666" s="1"/>
  <c r="AU666"/>
  <c r="AT666"/>
  <c r="CD666" s="1"/>
  <c r="AS666"/>
  <c r="AR666"/>
  <c r="CB666" s="1"/>
  <c r="AQ666"/>
  <c r="AP666"/>
  <c r="BZ666" s="1"/>
  <c r="AO666"/>
  <c r="AN666"/>
  <c r="BX666" s="1"/>
  <c r="AM666"/>
  <c r="AL666"/>
  <c r="AK666"/>
  <c r="AJ666"/>
  <c r="AI666"/>
  <c r="AH666"/>
  <c r="AG666"/>
  <c r="AF666"/>
  <c r="AE666"/>
  <c r="AD666"/>
  <c r="AC666"/>
  <c r="AB666"/>
  <c r="AA666"/>
  <c r="DE665"/>
  <c r="BJ665"/>
  <c r="BV665" s="1"/>
  <c r="BI665"/>
  <c r="BH665"/>
  <c r="BT665" s="1"/>
  <c r="BG665"/>
  <c r="BF665"/>
  <c r="BR665" s="1"/>
  <c r="BE665"/>
  <c r="BD665"/>
  <c r="BP665" s="1"/>
  <c r="BC665"/>
  <c r="BB665"/>
  <c r="BN665" s="1"/>
  <c r="BA665"/>
  <c r="AZ665"/>
  <c r="BL665" s="1"/>
  <c r="AY665"/>
  <c r="BK665" s="1"/>
  <c r="AX665"/>
  <c r="CH665" s="1"/>
  <c r="AW665"/>
  <c r="AV665"/>
  <c r="CF665" s="1"/>
  <c r="AU665"/>
  <c r="AT665"/>
  <c r="CD665" s="1"/>
  <c r="AS665"/>
  <c r="AR665"/>
  <c r="CB665" s="1"/>
  <c r="AQ665"/>
  <c r="AP665"/>
  <c r="BZ665" s="1"/>
  <c r="AO665"/>
  <c r="AN665"/>
  <c r="BX665" s="1"/>
  <c r="AM665"/>
  <c r="AL665"/>
  <c r="AK665"/>
  <c r="AJ665"/>
  <c r="AI665"/>
  <c r="AH665"/>
  <c r="AG665"/>
  <c r="AF665"/>
  <c r="AE665"/>
  <c r="AD665"/>
  <c r="AC665"/>
  <c r="AB665"/>
  <c r="AA665"/>
  <c r="DE664"/>
  <c r="BJ664"/>
  <c r="BV664" s="1"/>
  <c r="BI664"/>
  <c r="BH664"/>
  <c r="BT664" s="1"/>
  <c r="BG664"/>
  <c r="BF664"/>
  <c r="BR664" s="1"/>
  <c r="BE664"/>
  <c r="BD664"/>
  <c r="BP664" s="1"/>
  <c r="BC664"/>
  <c r="BB664"/>
  <c r="BN664" s="1"/>
  <c r="BA664"/>
  <c r="AZ664"/>
  <c r="BL664" s="1"/>
  <c r="AY664"/>
  <c r="BK664" s="1"/>
  <c r="AX664"/>
  <c r="CH664" s="1"/>
  <c r="AW664"/>
  <c r="AV664"/>
  <c r="CF664" s="1"/>
  <c r="AU664"/>
  <c r="AT664"/>
  <c r="CD664" s="1"/>
  <c r="AS664"/>
  <c r="AR664"/>
  <c r="CB664" s="1"/>
  <c r="AQ664"/>
  <c r="AP664"/>
  <c r="BZ664" s="1"/>
  <c r="AO664"/>
  <c r="AN664"/>
  <c r="BX664" s="1"/>
  <c r="AM664"/>
  <c r="AL664"/>
  <c r="AK664"/>
  <c r="AJ664"/>
  <c r="AI664"/>
  <c r="AH664"/>
  <c r="AG664"/>
  <c r="AF664"/>
  <c r="AE664"/>
  <c r="AD664"/>
  <c r="AC664"/>
  <c r="AB664"/>
  <c r="AA664"/>
  <c r="DE663"/>
  <c r="BJ663"/>
  <c r="BV663" s="1"/>
  <c r="BI663"/>
  <c r="BH663"/>
  <c r="BT663" s="1"/>
  <c r="BG663"/>
  <c r="BF663"/>
  <c r="BR663" s="1"/>
  <c r="BE663"/>
  <c r="BD663"/>
  <c r="BP663" s="1"/>
  <c r="BC663"/>
  <c r="BB663"/>
  <c r="BN663" s="1"/>
  <c r="BA663"/>
  <c r="AZ663"/>
  <c r="BL663" s="1"/>
  <c r="AY663"/>
  <c r="BK663" s="1"/>
  <c r="AX663"/>
  <c r="CH663" s="1"/>
  <c r="AW663"/>
  <c r="AV663"/>
  <c r="CF663" s="1"/>
  <c r="AU663"/>
  <c r="AT663"/>
  <c r="CD663" s="1"/>
  <c r="AS663"/>
  <c r="AR663"/>
  <c r="CB663" s="1"/>
  <c r="AQ663"/>
  <c r="AP663"/>
  <c r="BZ663" s="1"/>
  <c r="AO663"/>
  <c r="AN663"/>
  <c r="BX663" s="1"/>
  <c r="AM663"/>
  <c r="AL663"/>
  <c r="AK663"/>
  <c r="AJ663"/>
  <c r="AI663"/>
  <c r="AH663"/>
  <c r="AG663"/>
  <c r="AF663"/>
  <c r="AE663"/>
  <c r="AD663"/>
  <c r="AC663"/>
  <c r="AB663"/>
  <c r="AA663"/>
  <c r="DE662"/>
  <c r="BJ662"/>
  <c r="BV662" s="1"/>
  <c r="BI662"/>
  <c r="BH662"/>
  <c r="BT662" s="1"/>
  <c r="BG662"/>
  <c r="BF662"/>
  <c r="BR662" s="1"/>
  <c r="BE662"/>
  <c r="BD662"/>
  <c r="BP662" s="1"/>
  <c r="BC662"/>
  <c r="BB662"/>
  <c r="BN662" s="1"/>
  <c r="BA662"/>
  <c r="AZ662"/>
  <c r="BL662" s="1"/>
  <c r="AY662"/>
  <c r="BK662" s="1"/>
  <c r="AX662"/>
  <c r="CH662" s="1"/>
  <c r="AW662"/>
  <c r="AV662"/>
  <c r="CF662" s="1"/>
  <c r="AU662"/>
  <c r="AT662"/>
  <c r="CD662" s="1"/>
  <c r="AS662"/>
  <c r="AR662"/>
  <c r="CB662" s="1"/>
  <c r="AQ662"/>
  <c r="AP662"/>
  <c r="BZ662" s="1"/>
  <c r="AO662"/>
  <c r="AN662"/>
  <c r="BX662" s="1"/>
  <c r="AM662"/>
  <c r="AL662"/>
  <c r="AK662"/>
  <c r="AJ662"/>
  <c r="AI662"/>
  <c r="AH662"/>
  <c r="AG662"/>
  <c r="AF662"/>
  <c r="AE662"/>
  <c r="AD662"/>
  <c r="AC662"/>
  <c r="AB662"/>
  <c r="AA662"/>
  <c r="DE661"/>
  <c r="BJ661"/>
  <c r="BV661" s="1"/>
  <c r="BI661"/>
  <c r="BH661"/>
  <c r="BT661" s="1"/>
  <c r="BG661"/>
  <c r="BF661"/>
  <c r="BR661" s="1"/>
  <c r="BE661"/>
  <c r="BD661"/>
  <c r="BP661" s="1"/>
  <c r="BC661"/>
  <c r="BB661"/>
  <c r="BN661" s="1"/>
  <c r="BA661"/>
  <c r="AZ661"/>
  <c r="BL661" s="1"/>
  <c r="AY661"/>
  <c r="BK661" s="1"/>
  <c r="AX661"/>
  <c r="CH661" s="1"/>
  <c r="AW661"/>
  <c r="AV661"/>
  <c r="CF661" s="1"/>
  <c r="AU661"/>
  <c r="AT661"/>
  <c r="CD661" s="1"/>
  <c r="AS661"/>
  <c r="AR661"/>
  <c r="CB661" s="1"/>
  <c r="AQ661"/>
  <c r="AP661"/>
  <c r="BZ661" s="1"/>
  <c r="AO661"/>
  <c r="AN661"/>
  <c r="BX661" s="1"/>
  <c r="AM661"/>
  <c r="AL661"/>
  <c r="AK661"/>
  <c r="AJ661"/>
  <c r="AI661"/>
  <c r="AH661"/>
  <c r="AG661"/>
  <c r="AF661"/>
  <c r="AE661"/>
  <c r="AD661"/>
  <c r="AC661"/>
  <c r="AB661"/>
  <c r="AA661"/>
  <c r="DE660"/>
  <c r="BJ660"/>
  <c r="BV660" s="1"/>
  <c r="BI660"/>
  <c r="BH660"/>
  <c r="BT660" s="1"/>
  <c r="BG660"/>
  <c r="BF660"/>
  <c r="BR660" s="1"/>
  <c r="BE660"/>
  <c r="BD660"/>
  <c r="BP660" s="1"/>
  <c r="BC660"/>
  <c r="BB660"/>
  <c r="BN660" s="1"/>
  <c r="BA660"/>
  <c r="AZ660"/>
  <c r="BL660" s="1"/>
  <c r="AY660"/>
  <c r="BK660" s="1"/>
  <c r="AX660"/>
  <c r="CH660" s="1"/>
  <c r="AW660"/>
  <c r="AV660"/>
  <c r="CF660" s="1"/>
  <c r="AU660"/>
  <c r="AT660"/>
  <c r="CD660" s="1"/>
  <c r="AS660"/>
  <c r="AR660"/>
  <c r="CB660" s="1"/>
  <c r="AQ660"/>
  <c r="AP660"/>
  <c r="BZ660" s="1"/>
  <c r="AO660"/>
  <c r="AN660"/>
  <c r="BX660" s="1"/>
  <c r="AM660"/>
  <c r="AL660"/>
  <c r="AK660"/>
  <c r="AJ660"/>
  <c r="AI660"/>
  <c r="AH660"/>
  <c r="AG660"/>
  <c r="AF660"/>
  <c r="AE660"/>
  <c r="AD660"/>
  <c r="AC660"/>
  <c r="AB660"/>
  <c r="AA660"/>
  <c r="DE659"/>
  <c r="BJ659"/>
  <c r="BV659" s="1"/>
  <c r="BI659"/>
  <c r="BH659"/>
  <c r="BT659" s="1"/>
  <c r="BG659"/>
  <c r="BF659"/>
  <c r="BR659" s="1"/>
  <c r="BE659"/>
  <c r="BD659"/>
  <c r="BP659" s="1"/>
  <c r="BC659"/>
  <c r="BB659"/>
  <c r="BN659" s="1"/>
  <c r="BA659"/>
  <c r="AZ659"/>
  <c r="BL659" s="1"/>
  <c r="AY659"/>
  <c r="BK659" s="1"/>
  <c r="AX659"/>
  <c r="CH659" s="1"/>
  <c r="AW659"/>
  <c r="AV659"/>
  <c r="CF659" s="1"/>
  <c r="AU659"/>
  <c r="AT659"/>
  <c r="CD659" s="1"/>
  <c r="AS659"/>
  <c r="AR659"/>
  <c r="CB659" s="1"/>
  <c r="AQ659"/>
  <c r="AP659"/>
  <c r="BZ659" s="1"/>
  <c r="AO659"/>
  <c r="AN659"/>
  <c r="BX659" s="1"/>
  <c r="AM659"/>
  <c r="AL659"/>
  <c r="AK659"/>
  <c r="AJ659"/>
  <c r="AI659"/>
  <c r="AH659"/>
  <c r="AG659"/>
  <c r="AF659"/>
  <c r="AE659"/>
  <c r="AD659"/>
  <c r="AC659"/>
  <c r="AB659"/>
  <c r="AA659"/>
  <c r="DE658"/>
  <c r="BJ658"/>
  <c r="BV658" s="1"/>
  <c r="BI658"/>
  <c r="BH658"/>
  <c r="BT658" s="1"/>
  <c r="BG658"/>
  <c r="BF658"/>
  <c r="BR658" s="1"/>
  <c r="BE658"/>
  <c r="BD658"/>
  <c r="BP658" s="1"/>
  <c r="BC658"/>
  <c r="BB658"/>
  <c r="BN658" s="1"/>
  <c r="BA658"/>
  <c r="AZ658"/>
  <c r="BL658" s="1"/>
  <c r="AY658"/>
  <c r="BK658" s="1"/>
  <c r="AX658"/>
  <c r="CH658" s="1"/>
  <c r="AW658"/>
  <c r="AV658"/>
  <c r="CF658" s="1"/>
  <c r="AU658"/>
  <c r="AT658"/>
  <c r="CD658" s="1"/>
  <c r="AS658"/>
  <c r="AR658"/>
  <c r="CB658" s="1"/>
  <c r="AQ658"/>
  <c r="AP658"/>
  <c r="BZ658" s="1"/>
  <c r="AO658"/>
  <c r="AN658"/>
  <c r="BX658" s="1"/>
  <c r="AM658"/>
  <c r="AL658"/>
  <c r="AK658"/>
  <c r="AJ658"/>
  <c r="AI658"/>
  <c r="AH658"/>
  <c r="AG658"/>
  <c r="AF658"/>
  <c r="AE658"/>
  <c r="AD658"/>
  <c r="AC658"/>
  <c r="AB658"/>
  <c r="AA658"/>
  <c r="DE657"/>
  <c r="BJ657"/>
  <c r="BV657" s="1"/>
  <c r="BI657"/>
  <c r="BH657"/>
  <c r="BT657" s="1"/>
  <c r="BG657"/>
  <c r="BF657"/>
  <c r="BR657" s="1"/>
  <c r="BE657"/>
  <c r="BD657"/>
  <c r="BP657" s="1"/>
  <c r="BC657"/>
  <c r="BB657"/>
  <c r="BN657" s="1"/>
  <c r="BA657"/>
  <c r="AZ657"/>
  <c r="BL657" s="1"/>
  <c r="AY657"/>
  <c r="BK657" s="1"/>
  <c r="AX657"/>
  <c r="CH657" s="1"/>
  <c r="AW657"/>
  <c r="AV657"/>
  <c r="CF657" s="1"/>
  <c r="AU657"/>
  <c r="AT657"/>
  <c r="CD657" s="1"/>
  <c r="AS657"/>
  <c r="AR657"/>
  <c r="CB657" s="1"/>
  <c r="AQ657"/>
  <c r="AP657"/>
  <c r="BZ657" s="1"/>
  <c r="AO657"/>
  <c r="AN657"/>
  <c r="BX657" s="1"/>
  <c r="AM657"/>
  <c r="AL657"/>
  <c r="AK657"/>
  <c r="AJ657"/>
  <c r="AI657"/>
  <c r="AH657"/>
  <c r="AG657"/>
  <c r="AF657"/>
  <c r="AE657"/>
  <c r="AD657"/>
  <c r="AC657"/>
  <c r="AB657"/>
  <c r="AA657"/>
  <c r="DE656"/>
  <c r="BJ656"/>
  <c r="BV656" s="1"/>
  <c r="BI656"/>
  <c r="BH656"/>
  <c r="BT656" s="1"/>
  <c r="BG656"/>
  <c r="BF656"/>
  <c r="BR656" s="1"/>
  <c r="BE656"/>
  <c r="BD656"/>
  <c r="BP656" s="1"/>
  <c r="BC656"/>
  <c r="BB656"/>
  <c r="BN656" s="1"/>
  <c r="BA656"/>
  <c r="AZ656"/>
  <c r="BL656" s="1"/>
  <c r="AY656"/>
  <c r="BK656" s="1"/>
  <c r="AX656"/>
  <c r="CH656" s="1"/>
  <c r="AW656"/>
  <c r="AV656"/>
  <c r="CF656" s="1"/>
  <c r="AU656"/>
  <c r="AT656"/>
  <c r="CD656" s="1"/>
  <c r="AS656"/>
  <c r="AR656"/>
  <c r="CB656" s="1"/>
  <c r="AQ656"/>
  <c r="AP656"/>
  <c r="BZ656" s="1"/>
  <c r="AO656"/>
  <c r="AN656"/>
  <c r="BX656" s="1"/>
  <c r="AM656"/>
  <c r="AL656"/>
  <c r="AK656"/>
  <c r="AJ656"/>
  <c r="AI656"/>
  <c r="AH656"/>
  <c r="AG656"/>
  <c r="AF656"/>
  <c r="AE656"/>
  <c r="AD656"/>
  <c r="AC656"/>
  <c r="AB656"/>
  <c r="AA656"/>
  <c r="DE655"/>
  <c r="BJ655"/>
  <c r="BV655" s="1"/>
  <c r="BI655"/>
  <c r="BH655"/>
  <c r="BT655" s="1"/>
  <c r="BG655"/>
  <c r="BF655"/>
  <c r="BR655" s="1"/>
  <c r="BE655"/>
  <c r="BD655"/>
  <c r="BP655" s="1"/>
  <c r="BC655"/>
  <c r="BB655"/>
  <c r="BN655" s="1"/>
  <c r="BA655"/>
  <c r="AZ655"/>
  <c r="BL655" s="1"/>
  <c r="AY655"/>
  <c r="BK655" s="1"/>
  <c r="AX655"/>
  <c r="CH655" s="1"/>
  <c r="AW655"/>
  <c r="AV655"/>
  <c r="CF655" s="1"/>
  <c r="AU655"/>
  <c r="AT655"/>
  <c r="CD655" s="1"/>
  <c r="AS655"/>
  <c r="AR655"/>
  <c r="CB655" s="1"/>
  <c r="AQ655"/>
  <c r="AP655"/>
  <c r="BZ655" s="1"/>
  <c r="AO655"/>
  <c r="AN655"/>
  <c r="BX655" s="1"/>
  <c r="AM655"/>
  <c r="AL655"/>
  <c r="AK655"/>
  <c r="AJ655"/>
  <c r="AI655"/>
  <c r="AH655"/>
  <c r="AG655"/>
  <c r="AF655"/>
  <c r="AE655"/>
  <c r="AD655"/>
  <c r="AC655"/>
  <c r="AB655"/>
  <c r="AA655"/>
  <c r="DE654"/>
  <c r="BJ654"/>
  <c r="BV654" s="1"/>
  <c r="BI654"/>
  <c r="BH654"/>
  <c r="BT654" s="1"/>
  <c r="BG654"/>
  <c r="BF654"/>
  <c r="BR654" s="1"/>
  <c r="BE654"/>
  <c r="BD654"/>
  <c r="BP654" s="1"/>
  <c r="BC654"/>
  <c r="BB654"/>
  <c r="BN654" s="1"/>
  <c r="BA654"/>
  <c r="AZ654"/>
  <c r="BL654" s="1"/>
  <c r="AY654"/>
  <c r="BK654" s="1"/>
  <c r="AX654"/>
  <c r="CH654" s="1"/>
  <c r="AW654"/>
  <c r="AV654"/>
  <c r="CF654" s="1"/>
  <c r="AU654"/>
  <c r="AT654"/>
  <c r="CD654" s="1"/>
  <c r="AS654"/>
  <c r="AR654"/>
  <c r="CB654" s="1"/>
  <c r="AQ654"/>
  <c r="AP654"/>
  <c r="BZ654" s="1"/>
  <c r="AO654"/>
  <c r="AN654"/>
  <c r="BX654" s="1"/>
  <c r="AM654"/>
  <c r="AL654"/>
  <c r="AK654"/>
  <c r="AJ654"/>
  <c r="AI654"/>
  <c r="AH654"/>
  <c r="AG654"/>
  <c r="AF654"/>
  <c r="AE654"/>
  <c r="AD654"/>
  <c r="AC654"/>
  <c r="AB654"/>
  <c r="AA654"/>
  <c r="DE653"/>
  <c r="BJ653"/>
  <c r="BV653" s="1"/>
  <c r="BI653"/>
  <c r="BH653"/>
  <c r="BT653" s="1"/>
  <c r="BG653"/>
  <c r="BF653"/>
  <c r="BR653" s="1"/>
  <c r="BE653"/>
  <c r="BD653"/>
  <c r="BP653" s="1"/>
  <c r="BC653"/>
  <c r="BB653"/>
  <c r="BN653" s="1"/>
  <c r="BA653"/>
  <c r="AZ653"/>
  <c r="BL653" s="1"/>
  <c r="AY653"/>
  <c r="BK653" s="1"/>
  <c r="AX653"/>
  <c r="CH653" s="1"/>
  <c r="AW653"/>
  <c r="AV653"/>
  <c r="CF653" s="1"/>
  <c r="AU653"/>
  <c r="AT653"/>
  <c r="CD653" s="1"/>
  <c r="AS653"/>
  <c r="AR653"/>
  <c r="CB653" s="1"/>
  <c r="AQ653"/>
  <c r="AP653"/>
  <c r="BZ653" s="1"/>
  <c r="AO653"/>
  <c r="AN653"/>
  <c r="BX653" s="1"/>
  <c r="AM653"/>
  <c r="AL653"/>
  <c r="AK653"/>
  <c r="AJ653"/>
  <c r="AI653"/>
  <c r="AH653"/>
  <c r="AG653"/>
  <c r="AF653"/>
  <c r="AE653"/>
  <c r="AD653"/>
  <c r="AC653"/>
  <c r="AB653"/>
  <c r="AA653"/>
  <c r="DE652"/>
  <c r="BJ652"/>
  <c r="BV652" s="1"/>
  <c r="BI652"/>
  <c r="BH652"/>
  <c r="BT652" s="1"/>
  <c r="BG652"/>
  <c r="BF652"/>
  <c r="BR652" s="1"/>
  <c r="BE652"/>
  <c r="BD652"/>
  <c r="BP652" s="1"/>
  <c r="BC652"/>
  <c r="BB652"/>
  <c r="BN652" s="1"/>
  <c r="BA652"/>
  <c r="AZ652"/>
  <c r="BL652" s="1"/>
  <c r="AY652"/>
  <c r="BK652" s="1"/>
  <c r="AX652"/>
  <c r="CH652" s="1"/>
  <c r="AW652"/>
  <c r="AV652"/>
  <c r="CF652" s="1"/>
  <c r="AU652"/>
  <c r="AT652"/>
  <c r="CD652" s="1"/>
  <c r="AS652"/>
  <c r="AR652"/>
  <c r="CB652" s="1"/>
  <c r="AQ652"/>
  <c r="AP652"/>
  <c r="BZ652" s="1"/>
  <c r="AO652"/>
  <c r="AN652"/>
  <c r="BX652" s="1"/>
  <c r="AM652"/>
  <c r="AL652"/>
  <c r="AK652"/>
  <c r="AJ652"/>
  <c r="AI652"/>
  <c r="AH652"/>
  <c r="AG652"/>
  <c r="AF652"/>
  <c r="AE652"/>
  <c r="AD652"/>
  <c r="AC652"/>
  <c r="AB652"/>
  <c r="AA652"/>
  <c r="DE651"/>
  <c r="BJ651"/>
  <c r="BV651" s="1"/>
  <c r="BI651"/>
  <c r="BH651"/>
  <c r="BT651" s="1"/>
  <c r="BG651"/>
  <c r="BF651"/>
  <c r="BR651" s="1"/>
  <c r="BE651"/>
  <c r="BD651"/>
  <c r="BP651" s="1"/>
  <c r="BC651"/>
  <c r="BB651"/>
  <c r="BN651" s="1"/>
  <c r="BA651"/>
  <c r="AZ651"/>
  <c r="BL651" s="1"/>
  <c r="AY651"/>
  <c r="BK651" s="1"/>
  <c r="AX651"/>
  <c r="CH651" s="1"/>
  <c r="AW651"/>
  <c r="AV651"/>
  <c r="CF651" s="1"/>
  <c r="AU651"/>
  <c r="AT651"/>
  <c r="CD651" s="1"/>
  <c r="AS651"/>
  <c r="AR651"/>
  <c r="CB651" s="1"/>
  <c r="AQ651"/>
  <c r="AP651"/>
  <c r="BZ651" s="1"/>
  <c r="AO651"/>
  <c r="AN651"/>
  <c r="BX651" s="1"/>
  <c r="AM651"/>
  <c r="AL651"/>
  <c r="AK651"/>
  <c r="AJ651"/>
  <c r="AI651"/>
  <c r="AH651"/>
  <c r="AG651"/>
  <c r="AF651"/>
  <c r="AE651"/>
  <c r="AD651"/>
  <c r="AC651"/>
  <c r="AB651"/>
  <c r="AA651"/>
  <c r="DE650"/>
  <c r="BJ650"/>
  <c r="BV650" s="1"/>
  <c r="BI650"/>
  <c r="BH650"/>
  <c r="BT650" s="1"/>
  <c r="BG650"/>
  <c r="BF650"/>
  <c r="BR650" s="1"/>
  <c r="BE650"/>
  <c r="BD650"/>
  <c r="BP650" s="1"/>
  <c r="BC650"/>
  <c r="BB650"/>
  <c r="BN650" s="1"/>
  <c r="BA650"/>
  <c r="AZ650"/>
  <c r="BL650" s="1"/>
  <c r="AY650"/>
  <c r="BK650" s="1"/>
  <c r="AX650"/>
  <c r="CH650" s="1"/>
  <c r="AW650"/>
  <c r="AV650"/>
  <c r="CF650" s="1"/>
  <c r="AU650"/>
  <c r="AT650"/>
  <c r="CD650" s="1"/>
  <c r="AS650"/>
  <c r="AR650"/>
  <c r="CB650" s="1"/>
  <c r="AQ650"/>
  <c r="AP650"/>
  <c r="BZ650" s="1"/>
  <c r="AO650"/>
  <c r="AN650"/>
  <c r="BX650" s="1"/>
  <c r="AM650"/>
  <c r="AL650"/>
  <c r="AK650"/>
  <c r="AJ650"/>
  <c r="AI650"/>
  <c r="AH650"/>
  <c r="AG650"/>
  <c r="AF650"/>
  <c r="AE650"/>
  <c r="AD650"/>
  <c r="AC650"/>
  <c r="AB650"/>
  <c r="AA650"/>
  <c r="DE649"/>
  <c r="BJ649"/>
  <c r="BV649" s="1"/>
  <c r="BI649"/>
  <c r="BH649"/>
  <c r="BT649" s="1"/>
  <c r="BG649"/>
  <c r="BF649"/>
  <c r="BR649" s="1"/>
  <c r="BE649"/>
  <c r="BD649"/>
  <c r="BP649" s="1"/>
  <c r="BC649"/>
  <c r="BB649"/>
  <c r="BN649" s="1"/>
  <c r="BA649"/>
  <c r="AZ649"/>
  <c r="BL649" s="1"/>
  <c r="AY649"/>
  <c r="BK649" s="1"/>
  <c r="AX649"/>
  <c r="CH649" s="1"/>
  <c r="AW649"/>
  <c r="AV649"/>
  <c r="CF649" s="1"/>
  <c r="AU649"/>
  <c r="AT649"/>
  <c r="CD649" s="1"/>
  <c r="AS649"/>
  <c r="AR649"/>
  <c r="CB649" s="1"/>
  <c r="AQ649"/>
  <c r="AP649"/>
  <c r="BZ649" s="1"/>
  <c r="AO649"/>
  <c r="AN649"/>
  <c r="BX649" s="1"/>
  <c r="AM649"/>
  <c r="AL649"/>
  <c r="AK649"/>
  <c r="AJ649"/>
  <c r="AI649"/>
  <c r="AH649"/>
  <c r="AG649"/>
  <c r="AF649"/>
  <c r="AE649"/>
  <c r="AD649"/>
  <c r="AC649"/>
  <c r="AB649"/>
  <c r="AA649"/>
  <c r="DE648"/>
  <c r="BJ648"/>
  <c r="BV648" s="1"/>
  <c r="BI648"/>
  <c r="BH648"/>
  <c r="BT648" s="1"/>
  <c r="BG648"/>
  <c r="BF648"/>
  <c r="BR648" s="1"/>
  <c r="BE648"/>
  <c r="BD648"/>
  <c r="BP648" s="1"/>
  <c r="BC648"/>
  <c r="BB648"/>
  <c r="BN648" s="1"/>
  <c r="BA648"/>
  <c r="AZ648"/>
  <c r="BL648" s="1"/>
  <c r="AY648"/>
  <c r="BK648" s="1"/>
  <c r="AX648"/>
  <c r="CH648" s="1"/>
  <c r="AW648"/>
  <c r="AV648"/>
  <c r="CF648" s="1"/>
  <c r="AU648"/>
  <c r="AT648"/>
  <c r="CD648" s="1"/>
  <c r="AS648"/>
  <c r="AR648"/>
  <c r="CB648" s="1"/>
  <c r="AQ648"/>
  <c r="AP648"/>
  <c r="BZ648" s="1"/>
  <c r="AO648"/>
  <c r="AN648"/>
  <c r="BX648" s="1"/>
  <c r="AM648"/>
  <c r="AL648"/>
  <c r="AK648"/>
  <c r="AJ648"/>
  <c r="AI648"/>
  <c r="AH648"/>
  <c r="AG648"/>
  <c r="AF648"/>
  <c r="AE648"/>
  <c r="AD648"/>
  <c r="AC648"/>
  <c r="AB648"/>
  <c r="AA648"/>
  <c r="DE647"/>
  <c r="BJ647"/>
  <c r="BV647" s="1"/>
  <c r="BI647"/>
  <c r="BH647"/>
  <c r="BT647" s="1"/>
  <c r="BG647"/>
  <c r="BF647"/>
  <c r="BR647" s="1"/>
  <c r="BE647"/>
  <c r="BD647"/>
  <c r="BP647" s="1"/>
  <c r="BC647"/>
  <c r="BB647"/>
  <c r="BN647" s="1"/>
  <c r="BA647"/>
  <c r="AZ647"/>
  <c r="BL647" s="1"/>
  <c r="AY647"/>
  <c r="BK647" s="1"/>
  <c r="AX647"/>
  <c r="CH647" s="1"/>
  <c r="AW647"/>
  <c r="AV647"/>
  <c r="CF647" s="1"/>
  <c r="AU647"/>
  <c r="AT647"/>
  <c r="CD647" s="1"/>
  <c r="AS647"/>
  <c r="AR647"/>
  <c r="CB647" s="1"/>
  <c r="AQ647"/>
  <c r="AP647"/>
  <c r="BZ647" s="1"/>
  <c r="AO647"/>
  <c r="AN647"/>
  <c r="BX647" s="1"/>
  <c r="AM647"/>
  <c r="AL647"/>
  <c r="AK647"/>
  <c r="AJ647"/>
  <c r="AI647"/>
  <c r="AH647"/>
  <c r="AG647"/>
  <c r="AF647"/>
  <c r="AE647"/>
  <c r="AD647"/>
  <c r="AC647"/>
  <c r="AB647"/>
  <c r="AA647"/>
  <c r="DE646"/>
  <c r="BJ646"/>
  <c r="BV646" s="1"/>
  <c r="BI646"/>
  <c r="BH646"/>
  <c r="BT646" s="1"/>
  <c r="BG646"/>
  <c r="BF646"/>
  <c r="BR646" s="1"/>
  <c r="BE646"/>
  <c r="BD646"/>
  <c r="BP646" s="1"/>
  <c r="BC646"/>
  <c r="BB646"/>
  <c r="BN646" s="1"/>
  <c r="BA646"/>
  <c r="AZ646"/>
  <c r="BL646" s="1"/>
  <c r="AY646"/>
  <c r="BK646" s="1"/>
  <c r="AX646"/>
  <c r="CH646" s="1"/>
  <c r="AW646"/>
  <c r="AV646"/>
  <c r="CF646" s="1"/>
  <c r="AU646"/>
  <c r="AT646"/>
  <c r="CD646" s="1"/>
  <c r="AS646"/>
  <c r="AR646"/>
  <c r="CB646" s="1"/>
  <c r="AQ646"/>
  <c r="AP646"/>
  <c r="BZ646" s="1"/>
  <c r="AO646"/>
  <c r="AN646"/>
  <c r="BX646" s="1"/>
  <c r="AM646"/>
  <c r="AL646"/>
  <c r="AK646"/>
  <c r="AJ646"/>
  <c r="AI646"/>
  <c r="AH646"/>
  <c r="AG646"/>
  <c r="AF646"/>
  <c r="AE646"/>
  <c r="AD646"/>
  <c r="AC646"/>
  <c r="AB646"/>
  <c r="AA646"/>
  <c r="DE645"/>
  <c r="BJ645"/>
  <c r="BV645" s="1"/>
  <c r="BI645"/>
  <c r="BH645"/>
  <c r="BT645" s="1"/>
  <c r="BG645"/>
  <c r="BF645"/>
  <c r="BR645" s="1"/>
  <c r="BE645"/>
  <c r="BD645"/>
  <c r="BP645" s="1"/>
  <c r="BC645"/>
  <c r="BB645"/>
  <c r="BN645" s="1"/>
  <c r="BA645"/>
  <c r="AZ645"/>
  <c r="BL645" s="1"/>
  <c r="AY645"/>
  <c r="BK645" s="1"/>
  <c r="AX645"/>
  <c r="CH645" s="1"/>
  <c r="AW645"/>
  <c r="AV645"/>
  <c r="CF645" s="1"/>
  <c r="AU645"/>
  <c r="AT645"/>
  <c r="CD645" s="1"/>
  <c r="AS645"/>
  <c r="AR645"/>
  <c r="CB645" s="1"/>
  <c r="AQ645"/>
  <c r="AP645"/>
  <c r="BZ645" s="1"/>
  <c r="AO645"/>
  <c r="AN645"/>
  <c r="BX645" s="1"/>
  <c r="AM645"/>
  <c r="AL645"/>
  <c r="AK645"/>
  <c r="AJ645"/>
  <c r="AI645"/>
  <c r="AH645"/>
  <c r="AG645"/>
  <c r="AF645"/>
  <c r="AE645"/>
  <c r="AD645"/>
  <c r="AC645"/>
  <c r="AB645"/>
  <c r="AA645"/>
  <c r="DE644"/>
  <c r="BJ644"/>
  <c r="BV644" s="1"/>
  <c r="BI644"/>
  <c r="BH644"/>
  <c r="BT644" s="1"/>
  <c r="BG644"/>
  <c r="BF644"/>
  <c r="BR644" s="1"/>
  <c r="BE644"/>
  <c r="BD644"/>
  <c r="BP644" s="1"/>
  <c r="BC644"/>
  <c r="BB644"/>
  <c r="BN644" s="1"/>
  <c r="BA644"/>
  <c r="AZ644"/>
  <c r="BL644" s="1"/>
  <c r="AY644"/>
  <c r="BK644" s="1"/>
  <c r="AX644"/>
  <c r="CH644" s="1"/>
  <c r="AW644"/>
  <c r="AV644"/>
  <c r="CF644" s="1"/>
  <c r="AU644"/>
  <c r="AT644"/>
  <c r="CD644" s="1"/>
  <c r="AS644"/>
  <c r="AR644"/>
  <c r="CB644" s="1"/>
  <c r="AQ644"/>
  <c r="AP644"/>
  <c r="BZ644" s="1"/>
  <c r="AO644"/>
  <c r="AN644"/>
  <c r="BX644" s="1"/>
  <c r="AM644"/>
  <c r="AL644"/>
  <c r="AK644"/>
  <c r="AJ644"/>
  <c r="AI644"/>
  <c r="AH644"/>
  <c r="AG644"/>
  <c r="AF644"/>
  <c r="AE644"/>
  <c r="AD644"/>
  <c r="AC644"/>
  <c r="AB644"/>
  <c r="AA644"/>
  <c r="DE643"/>
  <c r="BJ643"/>
  <c r="BV643" s="1"/>
  <c r="BI643"/>
  <c r="BH643"/>
  <c r="BT643" s="1"/>
  <c r="BG643"/>
  <c r="BF643"/>
  <c r="BR643" s="1"/>
  <c r="BE643"/>
  <c r="BD643"/>
  <c r="BP643" s="1"/>
  <c r="BC643"/>
  <c r="BB643"/>
  <c r="BN643" s="1"/>
  <c r="BA643"/>
  <c r="AZ643"/>
  <c r="BL643" s="1"/>
  <c r="AY643"/>
  <c r="BK643" s="1"/>
  <c r="AX643"/>
  <c r="CH643" s="1"/>
  <c r="AW643"/>
  <c r="AV643"/>
  <c r="CF643" s="1"/>
  <c r="AU643"/>
  <c r="AT643"/>
  <c r="CD643" s="1"/>
  <c r="AS643"/>
  <c r="AR643"/>
  <c r="CB643" s="1"/>
  <c r="AQ643"/>
  <c r="AP643"/>
  <c r="BZ643" s="1"/>
  <c r="AO643"/>
  <c r="AN643"/>
  <c r="BX643" s="1"/>
  <c r="AM643"/>
  <c r="AL643"/>
  <c r="AK643"/>
  <c r="AJ643"/>
  <c r="AI643"/>
  <c r="AH643"/>
  <c r="AG643"/>
  <c r="AF643"/>
  <c r="AE643"/>
  <c r="AD643"/>
  <c r="AC643"/>
  <c r="AB643"/>
  <c r="AA643"/>
  <c r="DE642"/>
  <c r="BJ642"/>
  <c r="BV642" s="1"/>
  <c r="BI642"/>
  <c r="BH642"/>
  <c r="BT642" s="1"/>
  <c r="BG642"/>
  <c r="BF642"/>
  <c r="BR642" s="1"/>
  <c r="BE642"/>
  <c r="BD642"/>
  <c r="BP642" s="1"/>
  <c r="BC642"/>
  <c r="BB642"/>
  <c r="BN642" s="1"/>
  <c r="BA642"/>
  <c r="AZ642"/>
  <c r="BL642" s="1"/>
  <c r="AY642"/>
  <c r="BK642" s="1"/>
  <c r="AX642"/>
  <c r="CH642" s="1"/>
  <c r="AW642"/>
  <c r="AV642"/>
  <c r="CF642" s="1"/>
  <c r="AU642"/>
  <c r="AT642"/>
  <c r="CD642" s="1"/>
  <c r="AS642"/>
  <c r="AR642"/>
  <c r="CB642" s="1"/>
  <c r="AQ642"/>
  <c r="AP642"/>
  <c r="BZ642" s="1"/>
  <c r="AO642"/>
  <c r="AN642"/>
  <c r="BX642" s="1"/>
  <c r="AM642"/>
  <c r="AL642"/>
  <c r="AK642"/>
  <c r="AJ642"/>
  <c r="AI642"/>
  <c r="AH642"/>
  <c r="AG642"/>
  <c r="AF642"/>
  <c r="AE642"/>
  <c r="AD642"/>
  <c r="AC642"/>
  <c r="AB642"/>
  <c r="AA642"/>
  <c r="DE641"/>
  <c r="BJ641"/>
  <c r="BV641" s="1"/>
  <c r="BI641"/>
  <c r="BH641"/>
  <c r="BT641" s="1"/>
  <c r="BG641"/>
  <c r="BF641"/>
  <c r="BR641" s="1"/>
  <c r="BE641"/>
  <c r="BD641"/>
  <c r="BP641" s="1"/>
  <c r="BC641"/>
  <c r="BB641"/>
  <c r="BN641" s="1"/>
  <c r="BA641"/>
  <c r="AZ641"/>
  <c r="BL641" s="1"/>
  <c r="AY641"/>
  <c r="BK641" s="1"/>
  <c r="AX641"/>
  <c r="CH641" s="1"/>
  <c r="AW641"/>
  <c r="AV641"/>
  <c r="CF641" s="1"/>
  <c r="AU641"/>
  <c r="AT641"/>
  <c r="CD641" s="1"/>
  <c r="AS641"/>
  <c r="AR641"/>
  <c r="CB641" s="1"/>
  <c r="AQ641"/>
  <c r="AP641"/>
  <c r="BZ641" s="1"/>
  <c r="AO641"/>
  <c r="AN641"/>
  <c r="BX641" s="1"/>
  <c r="AM641"/>
  <c r="AL641"/>
  <c r="AK641"/>
  <c r="AJ641"/>
  <c r="AI641"/>
  <c r="AH641"/>
  <c r="AG641"/>
  <c r="AF641"/>
  <c r="AE641"/>
  <c r="AD641"/>
  <c r="AC641"/>
  <c r="AB641"/>
  <c r="AA641"/>
  <c r="DE640"/>
  <c r="BJ640"/>
  <c r="BV640" s="1"/>
  <c r="BI640"/>
  <c r="BH640"/>
  <c r="BT640" s="1"/>
  <c r="BG640"/>
  <c r="BF640"/>
  <c r="BR640" s="1"/>
  <c r="BE640"/>
  <c r="BD640"/>
  <c r="BP640" s="1"/>
  <c r="BC640"/>
  <c r="BB640"/>
  <c r="BN640" s="1"/>
  <c r="BA640"/>
  <c r="AZ640"/>
  <c r="BL640" s="1"/>
  <c r="AY640"/>
  <c r="BK640" s="1"/>
  <c r="AX640"/>
  <c r="CH640" s="1"/>
  <c r="AW640"/>
  <c r="AV640"/>
  <c r="CF640" s="1"/>
  <c r="AU640"/>
  <c r="AT640"/>
  <c r="CD640" s="1"/>
  <c r="AS640"/>
  <c r="AR640"/>
  <c r="CB640" s="1"/>
  <c r="AQ640"/>
  <c r="AP640"/>
  <c r="BZ640" s="1"/>
  <c r="AO640"/>
  <c r="AN640"/>
  <c r="BX640" s="1"/>
  <c r="AM640"/>
  <c r="AL640"/>
  <c r="AK640"/>
  <c r="AJ640"/>
  <c r="AI640"/>
  <c r="AH640"/>
  <c r="AG640"/>
  <c r="AF640"/>
  <c r="AE640"/>
  <c r="AD640"/>
  <c r="AC640"/>
  <c r="AB640"/>
  <c r="AA640"/>
  <c r="DE639"/>
  <c r="BJ639"/>
  <c r="BV639" s="1"/>
  <c r="BI639"/>
  <c r="BH639"/>
  <c r="BT639" s="1"/>
  <c r="BG639"/>
  <c r="BF639"/>
  <c r="BR639" s="1"/>
  <c r="BE639"/>
  <c r="BD639"/>
  <c r="BP639" s="1"/>
  <c r="BC639"/>
  <c r="BB639"/>
  <c r="BN639" s="1"/>
  <c r="BA639"/>
  <c r="AZ639"/>
  <c r="BL639" s="1"/>
  <c r="AY639"/>
  <c r="BK639" s="1"/>
  <c r="AX639"/>
  <c r="CH639" s="1"/>
  <c r="AW639"/>
  <c r="AV639"/>
  <c r="CF639" s="1"/>
  <c r="AU639"/>
  <c r="AT639"/>
  <c r="CD639" s="1"/>
  <c r="AS639"/>
  <c r="AR639"/>
  <c r="CB639" s="1"/>
  <c r="AQ639"/>
  <c r="AP639"/>
  <c r="BZ639" s="1"/>
  <c r="AO639"/>
  <c r="AN639"/>
  <c r="BX639" s="1"/>
  <c r="AM639"/>
  <c r="AL639"/>
  <c r="AK639"/>
  <c r="AJ639"/>
  <c r="AI639"/>
  <c r="AH639"/>
  <c r="AG639"/>
  <c r="AF639"/>
  <c r="AE639"/>
  <c r="AD639"/>
  <c r="AC639"/>
  <c r="AB639"/>
  <c r="AA639"/>
  <c r="DE638"/>
  <c r="BJ638"/>
  <c r="BV638" s="1"/>
  <c r="BI638"/>
  <c r="BH638"/>
  <c r="BT638" s="1"/>
  <c r="BG638"/>
  <c r="BF638"/>
  <c r="BR638" s="1"/>
  <c r="BE638"/>
  <c r="BD638"/>
  <c r="BP638" s="1"/>
  <c r="BC638"/>
  <c r="BB638"/>
  <c r="BN638" s="1"/>
  <c r="BA638"/>
  <c r="AZ638"/>
  <c r="BL638" s="1"/>
  <c r="AY638"/>
  <c r="BK638" s="1"/>
  <c r="AX638"/>
  <c r="CH638" s="1"/>
  <c r="AW638"/>
  <c r="AV638"/>
  <c r="CF638" s="1"/>
  <c r="AU638"/>
  <c r="AT638"/>
  <c r="CD638" s="1"/>
  <c r="AS638"/>
  <c r="AR638"/>
  <c r="CB638" s="1"/>
  <c r="AQ638"/>
  <c r="AP638"/>
  <c r="BZ638" s="1"/>
  <c r="AO638"/>
  <c r="AN638"/>
  <c r="BX638" s="1"/>
  <c r="AM638"/>
  <c r="AL638"/>
  <c r="AK638"/>
  <c r="AJ638"/>
  <c r="AI638"/>
  <c r="AH638"/>
  <c r="AG638"/>
  <c r="AF638"/>
  <c r="AE638"/>
  <c r="AD638"/>
  <c r="AC638"/>
  <c r="AB638"/>
  <c r="AA638"/>
  <c r="DE637"/>
  <c r="BJ637"/>
  <c r="BV637" s="1"/>
  <c r="BI637"/>
  <c r="BH637"/>
  <c r="BT637" s="1"/>
  <c r="BG637"/>
  <c r="BF637"/>
  <c r="BR637" s="1"/>
  <c r="BE637"/>
  <c r="BD637"/>
  <c r="BP637" s="1"/>
  <c r="BC637"/>
  <c r="BB637"/>
  <c r="BN637" s="1"/>
  <c r="BA637"/>
  <c r="AZ637"/>
  <c r="BL637" s="1"/>
  <c r="AY637"/>
  <c r="BK637" s="1"/>
  <c r="AX637"/>
  <c r="CH637" s="1"/>
  <c r="AW637"/>
  <c r="AV637"/>
  <c r="CF637" s="1"/>
  <c r="AU637"/>
  <c r="AT637"/>
  <c r="CD637" s="1"/>
  <c r="AS637"/>
  <c r="AR637"/>
  <c r="CB637" s="1"/>
  <c r="AQ637"/>
  <c r="AP637"/>
  <c r="BZ637" s="1"/>
  <c r="AO637"/>
  <c r="AN637"/>
  <c r="BX637" s="1"/>
  <c r="AM637"/>
  <c r="AL637"/>
  <c r="AK637"/>
  <c r="AJ637"/>
  <c r="AI637"/>
  <c r="AH637"/>
  <c r="AG637"/>
  <c r="AF637"/>
  <c r="AE637"/>
  <c r="AD637"/>
  <c r="AC637"/>
  <c r="AB637"/>
  <c r="AA637"/>
  <c r="DE636"/>
  <c r="BJ636"/>
  <c r="BV636" s="1"/>
  <c r="BI636"/>
  <c r="BH636"/>
  <c r="BT636" s="1"/>
  <c r="BG636"/>
  <c r="BF636"/>
  <c r="BR636" s="1"/>
  <c r="BE636"/>
  <c r="BD636"/>
  <c r="BP636" s="1"/>
  <c r="BC636"/>
  <c r="BB636"/>
  <c r="BN636" s="1"/>
  <c r="BA636"/>
  <c r="AZ636"/>
  <c r="BL636" s="1"/>
  <c r="AY636"/>
  <c r="BK636" s="1"/>
  <c r="AX636"/>
  <c r="CH636" s="1"/>
  <c r="AW636"/>
  <c r="AV636"/>
  <c r="CF636" s="1"/>
  <c r="AU636"/>
  <c r="AT636"/>
  <c r="CD636" s="1"/>
  <c r="AS636"/>
  <c r="AR636"/>
  <c r="CB636" s="1"/>
  <c r="AQ636"/>
  <c r="AP636"/>
  <c r="BZ636" s="1"/>
  <c r="AO636"/>
  <c r="AN636"/>
  <c r="BX636" s="1"/>
  <c r="AM636"/>
  <c r="AL636"/>
  <c r="AK636"/>
  <c r="AJ636"/>
  <c r="AI636"/>
  <c r="AH636"/>
  <c r="AG636"/>
  <c r="AF636"/>
  <c r="AE636"/>
  <c r="AD636"/>
  <c r="AC636"/>
  <c r="AB636"/>
  <c r="AA636"/>
  <c r="DE635"/>
  <c r="BJ635"/>
  <c r="BV635" s="1"/>
  <c r="BI635"/>
  <c r="BH635"/>
  <c r="BT635" s="1"/>
  <c r="BG635"/>
  <c r="BF635"/>
  <c r="BR635" s="1"/>
  <c r="BE635"/>
  <c r="BD635"/>
  <c r="BP635" s="1"/>
  <c r="BC635"/>
  <c r="BB635"/>
  <c r="BN635" s="1"/>
  <c r="BA635"/>
  <c r="AZ635"/>
  <c r="BL635" s="1"/>
  <c r="AY635"/>
  <c r="BK635" s="1"/>
  <c r="AX635"/>
  <c r="CH635" s="1"/>
  <c r="AW635"/>
  <c r="AV635"/>
  <c r="CF635" s="1"/>
  <c r="AU635"/>
  <c r="AT635"/>
  <c r="CD635" s="1"/>
  <c r="AS635"/>
  <c r="AR635"/>
  <c r="CB635" s="1"/>
  <c r="AQ635"/>
  <c r="AP635"/>
  <c r="BZ635" s="1"/>
  <c r="AO635"/>
  <c r="AN635"/>
  <c r="BX635" s="1"/>
  <c r="AM635"/>
  <c r="AL635"/>
  <c r="AK635"/>
  <c r="AJ635"/>
  <c r="AI635"/>
  <c r="AH635"/>
  <c r="AG635"/>
  <c r="AF635"/>
  <c r="AE635"/>
  <c r="AD635"/>
  <c r="AC635"/>
  <c r="AB635"/>
  <c r="AA635"/>
  <c r="DE634"/>
  <c r="BJ634"/>
  <c r="BV634" s="1"/>
  <c r="BI634"/>
  <c r="BH634"/>
  <c r="BT634" s="1"/>
  <c r="BG634"/>
  <c r="BF634"/>
  <c r="BR634" s="1"/>
  <c r="BE634"/>
  <c r="BD634"/>
  <c r="BP634" s="1"/>
  <c r="BC634"/>
  <c r="BB634"/>
  <c r="BN634" s="1"/>
  <c r="BA634"/>
  <c r="AZ634"/>
  <c r="BL634" s="1"/>
  <c r="AY634"/>
  <c r="BK634" s="1"/>
  <c r="AX634"/>
  <c r="CH634" s="1"/>
  <c r="AW634"/>
  <c r="AV634"/>
  <c r="CF634" s="1"/>
  <c r="AU634"/>
  <c r="AT634"/>
  <c r="CD634" s="1"/>
  <c r="AS634"/>
  <c r="AR634"/>
  <c r="CB634" s="1"/>
  <c r="AQ634"/>
  <c r="AP634"/>
  <c r="BZ634" s="1"/>
  <c r="AO634"/>
  <c r="AN634"/>
  <c r="BX634" s="1"/>
  <c r="AM634"/>
  <c r="AL634"/>
  <c r="AK634"/>
  <c r="AJ634"/>
  <c r="AI634"/>
  <c r="AH634"/>
  <c r="AG634"/>
  <c r="AF634"/>
  <c r="AE634"/>
  <c r="AD634"/>
  <c r="AC634"/>
  <c r="AB634"/>
  <c r="AA634"/>
  <c r="DE633"/>
  <c r="BJ633"/>
  <c r="BV633" s="1"/>
  <c r="BI633"/>
  <c r="BH633"/>
  <c r="BT633" s="1"/>
  <c r="BG633"/>
  <c r="BF633"/>
  <c r="BR633" s="1"/>
  <c r="BE633"/>
  <c r="BD633"/>
  <c r="BP633" s="1"/>
  <c r="BC633"/>
  <c r="BB633"/>
  <c r="BN633" s="1"/>
  <c r="BA633"/>
  <c r="AZ633"/>
  <c r="BL633" s="1"/>
  <c r="AY633"/>
  <c r="BK633" s="1"/>
  <c r="AX633"/>
  <c r="CH633" s="1"/>
  <c r="AW633"/>
  <c r="AV633"/>
  <c r="CF633" s="1"/>
  <c r="AU633"/>
  <c r="AT633"/>
  <c r="CD633" s="1"/>
  <c r="AS633"/>
  <c r="AR633"/>
  <c r="CB633" s="1"/>
  <c r="AQ633"/>
  <c r="AP633"/>
  <c r="BZ633" s="1"/>
  <c r="AO633"/>
  <c r="AN633"/>
  <c r="BX633" s="1"/>
  <c r="AM633"/>
  <c r="AL633"/>
  <c r="AK633"/>
  <c r="AJ633"/>
  <c r="AI633"/>
  <c r="AH633"/>
  <c r="AG633"/>
  <c r="AF633"/>
  <c r="AE633"/>
  <c r="AD633"/>
  <c r="AC633"/>
  <c r="AB633"/>
  <c r="AA633"/>
  <c r="DE632"/>
  <c r="BJ632"/>
  <c r="BV632" s="1"/>
  <c r="BI632"/>
  <c r="BH632"/>
  <c r="BT632" s="1"/>
  <c r="BG632"/>
  <c r="BF632"/>
  <c r="BR632" s="1"/>
  <c r="BE632"/>
  <c r="BD632"/>
  <c r="BP632" s="1"/>
  <c r="BC632"/>
  <c r="BB632"/>
  <c r="BN632" s="1"/>
  <c r="BA632"/>
  <c r="AZ632"/>
  <c r="BL632" s="1"/>
  <c r="AY632"/>
  <c r="BK632" s="1"/>
  <c r="AX632"/>
  <c r="CH632" s="1"/>
  <c r="AW632"/>
  <c r="AV632"/>
  <c r="CF632" s="1"/>
  <c r="AU632"/>
  <c r="AT632"/>
  <c r="CD632" s="1"/>
  <c r="AS632"/>
  <c r="AR632"/>
  <c r="CB632" s="1"/>
  <c r="AQ632"/>
  <c r="AP632"/>
  <c r="BZ632" s="1"/>
  <c r="AO632"/>
  <c r="AN632"/>
  <c r="BX632" s="1"/>
  <c r="AM632"/>
  <c r="AL632"/>
  <c r="AK632"/>
  <c r="AJ632"/>
  <c r="AI632"/>
  <c r="AH632"/>
  <c r="AG632"/>
  <c r="AF632"/>
  <c r="AE632"/>
  <c r="AD632"/>
  <c r="AC632"/>
  <c r="AB632"/>
  <c r="AA632"/>
  <c r="DE631"/>
  <c r="BJ631"/>
  <c r="BV631" s="1"/>
  <c r="BI631"/>
  <c r="BH631"/>
  <c r="BT631" s="1"/>
  <c r="BG631"/>
  <c r="BF631"/>
  <c r="BR631" s="1"/>
  <c r="BE631"/>
  <c r="BD631"/>
  <c r="BP631" s="1"/>
  <c r="BC631"/>
  <c r="BB631"/>
  <c r="BN631" s="1"/>
  <c r="BA631"/>
  <c r="AZ631"/>
  <c r="BL631" s="1"/>
  <c r="AY631"/>
  <c r="BK631" s="1"/>
  <c r="AX631"/>
  <c r="CH631" s="1"/>
  <c r="AW631"/>
  <c r="AV631"/>
  <c r="CF631" s="1"/>
  <c r="AU631"/>
  <c r="AT631"/>
  <c r="CD631" s="1"/>
  <c r="AS631"/>
  <c r="AR631"/>
  <c r="CB631" s="1"/>
  <c r="AQ631"/>
  <c r="AP631"/>
  <c r="BZ631" s="1"/>
  <c r="AO631"/>
  <c r="AN631"/>
  <c r="BX631" s="1"/>
  <c r="AM631"/>
  <c r="AL631"/>
  <c r="AK631"/>
  <c r="AJ631"/>
  <c r="AI631"/>
  <c r="AH631"/>
  <c r="AG631"/>
  <c r="AF631"/>
  <c r="AE631"/>
  <c r="AD631"/>
  <c r="AC631"/>
  <c r="AB631"/>
  <c r="AA631"/>
  <c r="DE630"/>
  <c r="BJ630"/>
  <c r="BV630" s="1"/>
  <c r="BI630"/>
  <c r="BH630"/>
  <c r="BT630" s="1"/>
  <c r="BG630"/>
  <c r="BF630"/>
  <c r="BR630" s="1"/>
  <c r="BE630"/>
  <c r="BD630"/>
  <c r="BP630" s="1"/>
  <c r="BC630"/>
  <c r="BB630"/>
  <c r="BN630" s="1"/>
  <c r="BA630"/>
  <c r="AZ630"/>
  <c r="BL630" s="1"/>
  <c r="AY630"/>
  <c r="BK630" s="1"/>
  <c r="AX630"/>
  <c r="CH630" s="1"/>
  <c r="AW630"/>
  <c r="AV630"/>
  <c r="CF630" s="1"/>
  <c r="AU630"/>
  <c r="AT630"/>
  <c r="CD630" s="1"/>
  <c r="AS630"/>
  <c r="AR630"/>
  <c r="CB630" s="1"/>
  <c r="AQ630"/>
  <c r="AP630"/>
  <c r="BZ630" s="1"/>
  <c r="AO630"/>
  <c r="AN630"/>
  <c r="BX630" s="1"/>
  <c r="AM630"/>
  <c r="AL630"/>
  <c r="AK630"/>
  <c r="AJ630"/>
  <c r="AI630"/>
  <c r="AH630"/>
  <c r="AG630"/>
  <c r="AF630"/>
  <c r="AE630"/>
  <c r="AD630"/>
  <c r="AC630"/>
  <c r="AB630"/>
  <c r="AA630"/>
  <c r="DE629"/>
  <c r="BJ629"/>
  <c r="BV629" s="1"/>
  <c r="BI629"/>
  <c r="BH629"/>
  <c r="BT629" s="1"/>
  <c r="BG629"/>
  <c r="BF629"/>
  <c r="BR629" s="1"/>
  <c r="BE629"/>
  <c r="BD629"/>
  <c r="BP629" s="1"/>
  <c r="BC629"/>
  <c r="BB629"/>
  <c r="BN629" s="1"/>
  <c r="BA629"/>
  <c r="AZ629"/>
  <c r="BL629" s="1"/>
  <c r="AY629"/>
  <c r="BK629" s="1"/>
  <c r="AX629"/>
  <c r="CH629" s="1"/>
  <c r="AW629"/>
  <c r="AV629"/>
  <c r="CF629" s="1"/>
  <c r="AU629"/>
  <c r="AT629"/>
  <c r="CD629" s="1"/>
  <c r="AS629"/>
  <c r="AR629"/>
  <c r="CB629" s="1"/>
  <c r="AQ629"/>
  <c r="AP629"/>
  <c r="BZ629" s="1"/>
  <c r="AO629"/>
  <c r="AN629"/>
  <c r="BX629" s="1"/>
  <c r="AM629"/>
  <c r="AL629"/>
  <c r="AK629"/>
  <c r="AJ629"/>
  <c r="AI629"/>
  <c r="AH629"/>
  <c r="AG629"/>
  <c r="AF629"/>
  <c r="AE629"/>
  <c r="AD629"/>
  <c r="AC629"/>
  <c r="AB629"/>
  <c r="AA629"/>
  <c r="DE628"/>
  <c r="BJ628"/>
  <c r="BV628" s="1"/>
  <c r="BI628"/>
  <c r="BH628"/>
  <c r="BT628" s="1"/>
  <c r="BG628"/>
  <c r="BF628"/>
  <c r="BR628" s="1"/>
  <c r="BE628"/>
  <c r="BD628"/>
  <c r="BP628" s="1"/>
  <c r="BC628"/>
  <c r="BB628"/>
  <c r="BN628" s="1"/>
  <c r="BA628"/>
  <c r="AZ628"/>
  <c r="BL628" s="1"/>
  <c r="AY628"/>
  <c r="BK628" s="1"/>
  <c r="AX628"/>
  <c r="CH628" s="1"/>
  <c r="AW628"/>
  <c r="AV628"/>
  <c r="CF628" s="1"/>
  <c r="AU628"/>
  <c r="AT628"/>
  <c r="CD628" s="1"/>
  <c r="AS628"/>
  <c r="AR628"/>
  <c r="CB628" s="1"/>
  <c r="AQ628"/>
  <c r="AP628"/>
  <c r="BZ628" s="1"/>
  <c r="AO628"/>
  <c r="AN628"/>
  <c r="BX628" s="1"/>
  <c r="AM628"/>
  <c r="AL628"/>
  <c r="AK628"/>
  <c r="AJ628"/>
  <c r="AI628"/>
  <c r="AH628"/>
  <c r="AG628"/>
  <c r="AF628"/>
  <c r="AE628"/>
  <c r="AD628"/>
  <c r="AC628"/>
  <c r="AB628"/>
  <c r="AA628"/>
  <c r="DE627"/>
  <c r="BJ627"/>
  <c r="BV627" s="1"/>
  <c r="BI627"/>
  <c r="BH627"/>
  <c r="BT627" s="1"/>
  <c r="BG627"/>
  <c r="BF627"/>
  <c r="BR627" s="1"/>
  <c r="BE627"/>
  <c r="BD627"/>
  <c r="BP627" s="1"/>
  <c r="BC627"/>
  <c r="BB627"/>
  <c r="BN627" s="1"/>
  <c r="BA627"/>
  <c r="AZ627"/>
  <c r="BL627" s="1"/>
  <c r="AY627"/>
  <c r="BK627" s="1"/>
  <c r="AX627"/>
  <c r="CH627" s="1"/>
  <c r="AW627"/>
  <c r="AV627"/>
  <c r="CF627" s="1"/>
  <c r="AU627"/>
  <c r="AT627"/>
  <c r="CD627" s="1"/>
  <c r="AS627"/>
  <c r="AR627"/>
  <c r="CB627" s="1"/>
  <c r="AQ627"/>
  <c r="AP627"/>
  <c r="BZ627" s="1"/>
  <c r="AO627"/>
  <c r="AN627"/>
  <c r="BX627" s="1"/>
  <c r="AM627"/>
  <c r="AL627"/>
  <c r="AK627"/>
  <c r="AJ627"/>
  <c r="AI627"/>
  <c r="AH627"/>
  <c r="AG627"/>
  <c r="AF627"/>
  <c r="AE627"/>
  <c r="AD627"/>
  <c r="AC627"/>
  <c r="AB627"/>
  <c r="AA627"/>
  <c r="DE626"/>
  <c r="BJ626"/>
  <c r="BV626" s="1"/>
  <c r="BI626"/>
  <c r="BH626"/>
  <c r="BT626" s="1"/>
  <c r="BG626"/>
  <c r="BF626"/>
  <c r="BR626" s="1"/>
  <c r="BE626"/>
  <c r="BD626"/>
  <c r="BP626" s="1"/>
  <c r="BC626"/>
  <c r="BB626"/>
  <c r="BN626" s="1"/>
  <c r="BA626"/>
  <c r="AZ626"/>
  <c r="BL626" s="1"/>
  <c r="AY626"/>
  <c r="BK626" s="1"/>
  <c r="AX626"/>
  <c r="CH626" s="1"/>
  <c r="AW626"/>
  <c r="AV626"/>
  <c r="CF626" s="1"/>
  <c r="AU626"/>
  <c r="AT626"/>
  <c r="CD626" s="1"/>
  <c r="AS626"/>
  <c r="AR626"/>
  <c r="CB626" s="1"/>
  <c r="AQ626"/>
  <c r="AP626"/>
  <c r="BZ626" s="1"/>
  <c r="AO626"/>
  <c r="AN626"/>
  <c r="BX626" s="1"/>
  <c r="AM626"/>
  <c r="AL626"/>
  <c r="AK626"/>
  <c r="AJ626"/>
  <c r="AI626"/>
  <c r="AH626"/>
  <c r="AG626"/>
  <c r="AF626"/>
  <c r="AE626"/>
  <c r="AD626"/>
  <c r="AC626"/>
  <c r="AB626"/>
  <c r="AA626"/>
  <c r="DE625"/>
  <c r="BJ625"/>
  <c r="BV625" s="1"/>
  <c r="BI625"/>
  <c r="BH625"/>
  <c r="BT625" s="1"/>
  <c r="BG625"/>
  <c r="BF625"/>
  <c r="BR625" s="1"/>
  <c r="BE625"/>
  <c r="BD625"/>
  <c r="BP625" s="1"/>
  <c r="BC625"/>
  <c r="BB625"/>
  <c r="BN625" s="1"/>
  <c r="BA625"/>
  <c r="AZ625"/>
  <c r="BL625" s="1"/>
  <c r="AY625"/>
  <c r="BK625" s="1"/>
  <c r="AX625"/>
  <c r="CH625" s="1"/>
  <c r="AW625"/>
  <c r="AV625"/>
  <c r="CF625" s="1"/>
  <c r="AU625"/>
  <c r="AT625"/>
  <c r="CD625" s="1"/>
  <c r="AS625"/>
  <c r="AR625"/>
  <c r="CB625" s="1"/>
  <c r="AQ625"/>
  <c r="AP625"/>
  <c r="BZ625" s="1"/>
  <c r="AO625"/>
  <c r="AN625"/>
  <c r="BX625" s="1"/>
  <c r="AM625"/>
  <c r="AL625"/>
  <c r="AK625"/>
  <c r="AJ625"/>
  <c r="AI625"/>
  <c r="AH625"/>
  <c r="AG625"/>
  <c r="AF625"/>
  <c r="AE625"/>
  <c r="AD625"/>
  <c r="AC625"/>
  <c r="AB625"/>
  <c r="AA625"/>
  <c r="DE624"/>
  <c r="BJ624"/>
  <c r="BV624" s="1"/>
  <c r="BI624"/>
  <c r="BH624"/>
  <c r="BT624" s="1"/>
  <c r="BG624"/>
  <c r="BF624"/>
  <c r="BR624" s="1"/>
  <c r="BE624"/>
  <c r="BD624"/>
  <c r="BP624" s="1"/>
  <c r="BC624"/>
  <c r="BB624"/>
  <c r="BN624" s="1"/>
  <c r="BA624"/>
  <c r="AZ624"/>
  <c r="BL624" s="1"/>
  <c r="AY624"/>
  <c r="BK624" s="1"/>
  <c r="AX624"/>
  <c r="CH624" s="1"/>
  <c r="AW624"/>
  <c r="AV624"/>
  <c r="CF624" s="1"/>
  <c r="AU624"/>
  <c r="AT624"/>
  <c r="CD624" s="1"/>
  <c r="AS624"/>
  <c r="AR624"/>
  <c r="CB624" s="1"/>
  <c r="AQ624"/>
  <c r="AP624"/>
  <c r="BZ624" s="1"/>
  <c r="AO624"/>
  <c r="AN624"/>
  <c r="BX624" s="1"/>
  <c r="AM624"/>
  <c r="AL624"/>
  <c r="AK624"/>
  <c r="AJ624"/>
  <c r="AI624"/>
  <c r="AH624"/>
  <c r="AG624"/>
  <c r="AF624"/>
  <c r="AE624"/>
  <c r="AD624"/>
  <c r="AC624"/>
  <c r="AB624"/>
  <c r="AA624"/>
  <c r="DE623"/>
  <c r="BJ623"/>
  <c r="BV623" s="1"/>
  <c r="BI623"/>
  <c r="BH623"/>
  <c r="BT623" s="1"/>
  <c r="BG623"/>
  <c r="BF623"/>
  <c r="BR623" s="1"/>
  <c r="BE623"/>
  <c r="BD623"/>
  <c r="BP623" s="1"/>
  <c r="BC623"/>
  <c r="BB623"/>
  <c r="BN623" s="1"/>
  <c r="BA623"/>
  <c r="AZ623"/>
  <c r="BL623" s="1"/>
  <c r="AY623"/>
  <c r="BK623" s="1"/>
  <c r="AX623"/>
  <c r="CH623" s="1"/>
  <c r="AW623"/>
  <c r="AV623"/>
  <c r="CF623" s="1"/>
  <c r="AU623"/>
  <c r="AT623"/>
  <c r="CD623" s="1"/>
  <c r="AS623"/>
  <c r="AR623"/>
  <c r="CB623" s="1"/>
  <c r="AQ623"/>
  <c r="AP623"/>
  <c r="BZ623" s="1"/>
  <c r="AO623"/>
  <c r="AN623"/>
  <c r="BX623" s="1"/>
  <c r="AM623"/>
  <c r="AL623"/>
  <c r="AK623"/>
  <c r="AJ623"/>
  <c r="AI623"/>
  <c r="AH623"/>
  <c r="AG623"/>
  <c r="AF623"/>
  <c r="AE623"/>
  <c r="AD623"/>
  <c r="AC623"/>
  <c r="AB623"/>
  <c r="AA623"/>
  <c r="DE622"/>
  <c r="BJ622"/>
  <c r="BV622" s="1"/>
  <c r="BI622"/>
  <c r="BH622"/>
  <c r="BT622" s="1"/>
  <c r="BG622"/>
  <c r="BF622"/>
  <c r="BR622" s="1"/>
  <c r="BE622"/>
  <c r="BD622"/>
  <c r="BP622" s="1"/>
  <c r="BC622"/>
  <c r="BB622"/>
  <c r="BN622" s="1"/>
  <c r="BA622"/>
  <c r="AZ622"/>
  <c r="BL622" s="1"/>
  <c r="AY622"/>
  <c r="BK622" s="1"/>
  <c r="AX622"/>
  <c r="CH622" s="1"/>
  <c r="AW622"/>
  <c r="AV622"/>
  <c r="CF622" s="1"/>
  <c r="AU622"/>
  <c r="AT622"/>
  <c r="CD622" s="1"/>
  <c r="AS622"/>
  <c r="AR622"/>
  <c r="CB622" s="1"/>
  <c r="AQ622"/>
  <c r="AP622"/>
  <c r="BZ622" s="1"/>
  <c r="AO622"/>
  <c r="AN622"/>
  <c r="BX622" s="1"/>
  <c r="AM622"/>
  <c r="AL622"/>
  <c r="AK622"/>
  <c r="AJ622"/>
  <c r="AI622"/>
  <c r="AH622"/>
  <c r="AG622"/>
  <c r="AF622"/>
  <c r="AE622"/>
  <c r="AD622"/>
  <c r="AC622"/>
  <c r="AB622"/>
  <c r="AA622"/>
  <c r="DE621"/>
  <c r="BJ621"/>
  <c r="BV621" s="1"/>
  <c r="BI621"/>
  <c r="BH621"/>
  <c r="BT621" s="1"/>
  <c r="BG621"/>
  <c r="BF621"/>
  <c r="BR621" s="1"/>
  <c r="BE621"/>
  <c r="BD621"/>
  <c r="BP621" s="1"/>
  <c r="BC621"/>
  <c r="BB621"/>
  <c r="BN621" s="1"/>
  <c r="BA621"/>
  <c r="AZ621"/>
  <c r="BL621" s="1"/>
  <c r="AY621"/>
  <c r="BK621" s="1"/>
  <c r="AX621"/>
  <c r="CH621" s="1"/>
  <c r="AW621"/>
  <c r="AV621"/>
  <c r="CF621" s="1"/>
  <c r="AU621"/>
  <c r="AT621"/>
  <c r="CD621" s="1"/>
  <c r="AS621"/>
  <c r="AR621"/>
  <c r="CB621" s="1"/>
  <c r="AQ621"/>
  <c r="AP621"/>
  <c r="BZ621" s="1"/>
  <c r="AO621"/>
  <c r="AN621"/>
  <c r="BX621" s="1"/>
  <c r="AM621"/>
  <c r="AL621"/>
  <c r="AK621"/>
  <c r="AJ621"/>
  <c r="AI621"/>
  <c r="AH621"/>
  <c r="AG621"/>
  <c r="AF621"/>
  <c r="AE621"/>
  <c r="AD621"/>
  <c r="AC621"/>
  <c r="AB621"/>
  <c r="AA621"/>
  <c r="DE620"/>
  <c r="BJ620"/>
  <c r="BV620" s="1"/>
  <c r="BI620"/>
  <c r="BH620"/>
  <c r="BT620" s="1"/>
  <c r="BG620"/>
  <c r="BF620"/>
  <c r="BR620" s="1"/>
  <c r="BE620"/>
  <c r="BD620"/>
  <c r="BP620" s="1"/>
  <c r="BC620"/>
  <c r="BB620"/>
  <c r="BN620" s="1"/>
  <c r="BA620"/>
  <c r="AZ620"/>
  <c r="BL620" s="1"/>
  <c r="AY620"/>
  <c r="BK620" s="1"/>
  <c r="AX620"/>
  <c r="CH620" s="1"/>
  <c r="AW620"/>
  <c r="AV620"/>
  <c r="CF620" s="1"/>
  <c r="AU620"/>
  <c r="AT620"/>
  <c r="CD620" s="1"/>
  <c r="AS620"/>
  <c r="AR620"/>
  <c r="CB620" s="1"/>
  <c r="AQ620"/>
  <c r="AP620"/>
  <c r="BZ620" s="1"/>
  <c r="AO620"/>
  <c r="AN620"/>
  <c r="BX620" s="1"/>
  <c r="AM620"/>
  <c r="AL620"/>
  <c r="AK620"/>
  <c r="AJ620"/>
  <c r="AI620"/>
  <c r="AH620"/>
  <c r="AG620"/>
  <c r="AF620"/>
  <c r="AE620"/>
  <c r="AD620"/>
  <c r="AC620"/>
  <c r="AB620"/>
  <c r="AA620"/>
  <c r="DE619"/>
  <c r="BJ619"/>
  <c r="BV619" s="1"/>
  <c r="BI619"/>
  <c r="BH619"/>
  <c r="BT619" s="1"/>
  <c r="BG619"/>
  <c r="BF619"/>
  <c r="BR619" s="1"/>
  <c r="BE619"/>
  <c r="BD619"/>
  <c r="BP619" s="1"/>
  <c r="BC619"/>
  <c r="BB619"/>
  <c r="BN619" s="1"/>
  <c r="BA619"/>
  <c r="AZ619"/>
  <c r="BL619" s="1"/>
  <c r="AY619"/>
  <c r="BK619" s="1"/>
  <c r="AX619"/>
  <c r="CH619" s="1"/>
  <c r="AW619"/>
  <c r="AV619"/>
  <c r="CF619" s="1"/>
  <c r="AU619"/>
  <c r="AT619"/>
  <c r="CD619" s="1"/>
  <c r="AS619"/>
  <c r="AR619"/>
  <c r="CB619" s="1"/>
  <c r="AQ619"/>
  <c r="AP619"/>
  <c r="BZ619" s="1"/>
  <c r="AO619"/>
  <c r="AN619"/>
  <c r="BX619" s="1"/>
  <c r="AM619"/>
  <c r="AL619"/>
  <c r="AK619"/>
  <c r="AJ619"/>
  <c r="AI619"/>
  <c r="AH619"/>
  <c r="AG619"/>
  <c r="AF619"/>
  <c r="AE619"/>
  <c r="AD619"/>
  <c r="AC619"/>
  <c r="AB619"/>
  <c r="AA619"/>
  <c r="DE618"/>
  <c r="BJ618"/>
  <c r="BV618" s="1"/>
  <c r="BI618"/>
  <c r="BH618"/>
  <c r="BT618" s="1"/>
  <c r="BG618"/>
  <c r="BF618"/>
  <c r="BR618" s="1"/>
  <c r="BE618"/>
  <c r="BD618"/>
  <c r="BP618" s="1"/>
  <c r="BC618"/>
  <c r="BB618"/>
  <c r="BN618" s="1"/>
  <c r="BA618"/>
  <c r="AZ618"/>
  <c r="BL618" s="1"/>
  <c r="AY618"/>
  <c r="BK618" s="1"/>
  <c r="AX618"/>
  <c r="CH618" s="1"/>
  <c r="AW618"/>
  <c r="AV618"/>
  <c r="CF618" s="1"/>
  <c r="AU618"/>
  <c r="AT618"/>
  <c r="CD618" s="1"/>
  <c r="AS618"/>
  <c r="AR618"/>
  <c r="CB618" s="1"/>
  <c r="AQ618"/>
  <c r="AP618"/>
  <c r="BZ618" s="1"/>
  <c r="AO618"/>
  <c r="AN618"/>
  <c r="BX618" s="1"/>
  <c r="AM618"/>
  <c r="AL618"/>
  <c r="AK618"/>
  <c r="AJ618"/>
  <c r="AI618"/>
  <c r="AH618"/>
  <c r="AG618"/>
  <c r="AF618"/>
  <c r="AE618"/>
  <c r="AD618"/>
  <c r="AC618"/>
  <c r="AB618"/>
  <c r="AA618"/>
  <c r="DE617"/>
  <c r="BJ617"/>
  <c r="BV617" s="1"/>
  <c r="BI617"/>
  <c r="BH617"/>
  <c r="BT617" s="1"/>
  <c r="BG617"/>
  <c r="BF617"/>
  <c r="BR617" s="1"/>
  <c r="BE617"/>
  <c r="BD617"/>
  <c r="BP617" s="1"/>
  <c r="BC617"/>
  <c r="BB617"/>
  <c r="BN617" s="1"/>
  <c r="BA617"/>
  <c r="AZ617"/>
  <c r="BL617" s="1"/>
  <c r="AY617"/>
  <c r="BK617" s="1"/>
  <c r="AX617"/>
  <c r="CH617" s="1"/>
  <c r="AW617"/>
  <c r="AV617"/>
  <c r="CF617" s="1"/>
  <c r="AU617"/>
  <c r="AT617"/>
  <c r="CD617" s="1"/>
  <c r="AS617"/>
  <c r="AR617"/>
  <c r="CB617" s="1"/>
  <c r="AQ617"/>
  <c r="AP617"/>
  <c r="BZ617" s="1"/>
  <c r="AO617"/>
  <c r="AN617"/>
  <c r="BX617" s="1"/>
  <c r="AM617"/>
  <c r="AL617"/>
  <c r="AK617"/>
  <c r="AJ617"/>
  <c r="AI617"/>
  <c r="AH617"/>
  <c r="AG617"/>
  <c r="AF617"/>
  <c r="AE617"/>
  <c r="AD617"/>
  <c r="AC617"/>
  <c r="AB617"/>
  <c r="AA617"/>
  <c r="DE616"/>
  <c r="BJ616"/>
  <c r="BV616" s="1"/>
  <c r="BI616"/>
  <c r="BH616"/>
  <c r="BT616" s="1"/>
  <c r="BG616"/>
  <c r="BF616"/>
  <c r="BR616" s="1"/>
  <c r="BE616"/>
  <c r="BD616"/>
  <c r="BP616" s="1"/>
  <c r="BC616"/>
  <c r="BB616"/>
  <c r="BN616" s="1"/>
  <c r="BA616"/>
  <c r="AZ616"/>
  <c r="BL616" s="1"/>
  <c r="AY616"/>
  <c r="BK616" s="1"/>
  <c r="AX616"/>
  <c r="CH616" s="1"/>
  <c r="AW616"/>
  <c r="AV616"/>
  <c r="CF616" s="1"/>
  <c r="AU616"/>
  <c r="AT616"/>
  <c r="CD616" s="1"/>
  <c r="AS616"/>
  <c r="AR616"/>
  <c r="CB616" s="1"/>
  <c r="AQ616"/>
  <c r="AP616"/>
  <c r="BZ616" s="1"/>
  <c r="AO616"/>
  <c r="AN616"/>
  <c r="BX616" s="1"/>
  <c r="AM616"/>
  <c r="AL616"/>
  <c r="AK616"/>
  <c r="AJ616"/>
  <c r="AI616"/>
  <c r="AH616"/>
  <c r="AG616"/>
  <c r="AF616"/>
  <c r="AE616"/>
  <c r="AD616"/>
  <c r="AC616"/>
  <c r="AB616"/>
  <c r="AA616"/>
  <c r="DE615"/>
  <c r="BJ615"/>
  <c r="BV615" s="1"/>
  <c r="BI615"/>
  <c r="BH615"/>
  <c r="BT615" s="1"/>
  <c r="BG615"/>
  <c r="BF615"/>
  <c r="BR615" s="1"/>
  <c r="BE615"/>
  <c r="BD615"/>
  <c r="BP615" s="1"/>
  <c r="BC615"/>
  <c r="BB615"/>
  <c r="BN615" s="1"/>
  <c r="BA615"/>
  <c r="AZ615"/>
  <c r="BL615" s="1"/>
  <c r="AY615"/>
  <c r="BK615" s="1"/>
  <c r="AX615"/>
  <c r="CH615" s="1"/>
  <c r="AW615"/>
  <c r="AV615"/>
  <c r="CF615" s="1"/>
  <c r="AU615"/>
  <c r="AT615"/>
  <c r="CD615" s="1"/>
  <c r="AS615"/>
  <c r="AR615"/>
  <c r="CB615" s="1"/>
  <c r="AQ615"/>
  <c r="AP615"/>
  <c r="BZ615" s="1"/>
  <c r="AO615"/>
  <c r="AN615"/>
  <c r="BX615" s="1"/>
  <c r="AM615"/>
  <c r="AL615"/>
  <c r="AK615"/>
  <c r="AJ615"/>
  <c r="AI615"/>
  <c r="AH615"/>
  <c r="AG615"/>
  <c r="AF615"/>
  <c r="AE615"/>
  <c r="AD615"/>
  <c r="AC615"/>
  <c r="AB615"/>
  <c r="AA615"/>
  <c r="DE614"/>
  <c r="BJ614"/>
  <c r="BV614" s="1"/>
  <c r="BI614"/>
  <c r="BH614"/>
  <c r="BT614" s="1"/>
  <c r="BG614"/>
  <c r="BF614"/>
  <c r="BR614" s="1"/>
  <c r="BE614"/>
  <c r="BD614"/>
  <c r="BP614" s="1"/>
  <c r="BC614"/>
  <c r="BB614"/>
  <c r="BN614" s="1"/>
  <c r="BA614"/>
  <c r="AZ614"/>
  <c r="BL614" s="1"/>
  <c r="AY614"/>
  <c r="BK614" s="1"/>
  <c r="AX614"/>
  <c r="CH614" s="1"/>
  <c r="AW614"/>
  <c r="AV614"/>
  <c r="CF614" s="1"/>
  <c r="AU614"/>
  <c r="AT614"/>
  <c r="CD614" s="1"/>
  <c r="AS614"/>
  <c r="AR614"/>
  <c r="CB614" s="1"/>
  <c r="AQ614"/>
  <c r="AP614"/>
  <c r="BZ614" s="1"/>
  <c r="AO614"/>
  <c r="AN614"/>
  <c r="BX614" s="1"/>
  <c r="AM614"/>
  <c r="AL614"/>
  <c r="AK614"/>
  <c r="AJ614"/>
  <c r="AI614"/>
  <c r="AH614"/>
  <c r="AG614"/>
  <c r="AF614"/>
  <c r="AE614"/>
  <c r="AD614"/>
  <c r="AC614"/>
  <c r="AB614"/>
  <c r="AA614"/>
  <c r="DE613"/>
  <c r="BJ613"/>
  <c r="BV613" s="1"/>
  <c r="BI613"/>
  <c r="BH613"/>
  <c r="BT613" s="1"/>
  <c r="BG613"/>
  <c r="BF613"/>
  <c r="BR613" s="1"/>
  <c r="BE613"/>
  <c r="BD613"/>
  <c r="BP613" s="1"/>
  <c r="BC613"/>
  <c r="BB613"/>
  <c r="BN613" s="1"/>
  <c r="BA613"/>
  <c r="AZ613"/>
  <c r="BL613" s="1"/>
  <c r="AY613"/>
  <c r="BK613" s="1"/>
  <c r="AX613"/>
  <c r="CH613" s="1"/>
  <c r="AW613"/>
  <c r="AV613"/>
  <c r="CF613" s="1"/>
  <c r="AU613"/>
  <c r="AT613"/>
  <c r="CD613" s="1"/>
  <c r="AS613"/>
  <c r="AR613"/>
  <c r="CB613" s="1"/>
  <c r="AQ613"/>
  <c r="AP613"/>
  <c r="BZ613" s="1"/>
  <c r="AO613"/>
  <c r="AN613"/>
  <c r="BX613" s="1"/>
  <c r="AM613"/>
  <c r="AL613"/>
  <c r="AK613"/>
  <c r="AJ613"/>
  <c r="AI613"/>
  <c r="AH613"/>
  <c r="AG613"/>
  <c r="AF613"/>
  <c r="AE613"/>
  <c r="AD613"/>
  <c r="AC613"/>
  <c r="AB613"/>
  <c r="AA613"/>
  <c r="DE612"/>
  <c r="BJ612"/>
  <c r="BV612" s="1"/>
  <c r="BI612"/>
  <c r="BH612"/>
  <c r="BT612" s="1"/>
  <c r="BG612"/>
  <c r="BF612"/>
  <c r="BR612" s="1"/>
  <c r="BE612"/>
  <c r="BD612"/>
  <c r="BP612" s="1"/>
  <c r="BC612"/>
  <c r="BB612"/>
  <c r="BN612" s="1"/>
  <c r="BA612"/>
  <c r="AZ612"/>
  <c r="BL612" s="1"/>
  <c r="AY612"/>
  <c r="BK612" s="1"/>
  <c r="AX612"/>
  <c r="CH612" s="1"/>
  <c r="AW612"/>
  <c r="AV612"/>
  <c r="CF612" s="1"/>
  <c r="AU612"/>
  <c r="AT612"/>
  <c r="CD612" s="1"/>
  <c r="AS612"/>
  <c r="AR612"/>
  <c r="CB612" s="1"/>
  <c r="AQ612"/>
  <c r="AP612"/>
  <c r="BZ612" s="1"/>
  <c r="AO612"/>
  <c r="AN612"/>
  <c r="BX612" s="1"/>
  <c r="AM612"/>
  <c r="AL612"/>
  <c r="AK612"/>
  <c r="AJ612"/>
  <c r="AI612"/>
  <c r="AH612"/>
  <c r="AG612"/>
  <c r="AF612"/>
  <c r="AE612"/>
  <c r="AD612"/>
  <c r="AC612"/>
  <c r="AB612"/>
  <c r="AA612"/>
  <c r="DE611"/>
  <c r="BJ611"/>
  <c r="BV611" s="1"/>
  <c r="BI611"/>
  <c r="BH611"/>
  <c r="BT611" s="1"/>
  <c r="BG611"/>
  <c r="BF611"/>
  <c r="BR611" s="1"/>
  <c r="BE611"/>
  <c r="BD611"/>
  <c r="BP611" s="1"/>
  <c r="BC611"/>
  <c r="BB611"/>
  <c r="BN611" s="1"/>
  <c r="BA611"/>
  <c r="AZ611"/>
  <c r="BL611" s="1"/>
  <c r="AY611"/>
  <c r="BK611" s="1"/>
  <c r="AX611"/>
  <c r="CH611" s="1"/>
  <c r="AW611"/>
  <c r="AV611"/>
  <c r="CF611" s="1"/>
  <c r="AU611"/>
  <c r="AT611"/>
  <c r="CD611" s="1"/>
  <c r="AS611"/>
  <c r="AR611"/>
  <c r="CB611" s="1"/>
  <c r="AQ611"/>
  <c r="AP611"/>
  <c r="BZ611" s="1"/>
  <c r="AO611"/>
  <c r="AN611"/>
  <c r="BX611" s="1"/>
  <c r="AM611"/>
  <c r="AL611"/>
  <c r="AK611"/>
  <c r="AJ611"/>
  <c r="AI611"/>
  <c r="AH611"/>
  <c r="AG611"/>
  <c r="AF611"/>
  <c r="AE611"/>
  <c r="AD611"/>
  <c r="AC611"/>
  <c r="AB611"/>
  <c r="AA611"/>
  <c r="DE610"/>
  <c r="BJ610"/>
  <c r="BV610" s="1"/>
  <c r="BI610"/>
  <c r="BH610"/>
  <c r="BT610" s="1"/>
  <c r="BG610"/>
  <c r="BF610"/>
  <c r="BR610" s="1"/>
  <c r="BE610"/>
  <c r="BD610"/>
  <c r="BP610" s="1"/>
  <c r="BC610"/>
  <c r="BB610"/>
  <c r="BN610" s="1"/>
  <c r="BA610"/>
  <c r="AZ610"/>
  <c r="BL610" s="1"/>
  <c r="AY610"/>
  <c r="BK610" s="1"/>
  <c r="AX610"/>
  <c r="CH610" s="1"/>
  <c r="AW610"/>
  <c r="AV610"/>
  <c r="CF610" s="1"/>
  <c r="AU610"/>
  <c r="AT610"/>
  <c r="CD610" s="1"/>
  <c r="AS610"/>
  <c r="AR610"/>
  <c r="CB610" s="1"/>
  <c r="AQ610"/>
  <c r="AP610"/>
  <c r="BZ610" s="1"/>
  <c r="AO610"/>
  <c r="AN610"/>
  <c r="BX610" s="1"/>
  <c r="AM610"/>
  <c r="AL610"/>
  <c r="AK610"/>
  <c r="AJ610"/>
  <c r="AI610"/>
  <c r="AH610"/>
  <c r="AG610"/>
  <c r="AF610"/>
  <c r="AE610"/>
  <c r="AD610"/>
  <c r="AC610"/>
  <c r="AB610"/>
  <c r="AA610"/>
  <c r="DE609"/>
  <c r="BJ609"/>
  <c r="BV609" s="1"/>
  <c r="BI609"/>
  <c r="BH609"/>
  <c r="BT609" s="1"/>
  <c r="BG609"/>
  <c r="BF609"/>
  <c r="BR609" s="1"/>
  <c r="BE609"/>
  <c r="BD609"/>
  <c r="BP609" s="1"/>
  <c r="BC609"/>
  <c r="BB609"/>
  <c r="BN609" s="1"/>
  <c r="BA609"/>
  <c r="AZ609"/>
  <c r="BL609" s="1"/>
  <c r="AY609"/>
  <c r="BK609" s="1"/>
  <c r="AX609"/>
  <c r="CH609" s="1"/>
  <c r="AW609"/>
  <c r="AV609"/>
  <c r="CF609" s="1"/>
  <c r="AU609"/>
  <c r="AT609"/>
  <c r="CD609" s="1"/>
  <c r="AS609"/>
  <c r="AR609"/>
  <c r="CB609" s="1"/>
  <c r="AQ609"/>
  <c r="AP609"/>
  <c r="BZ609" s="1"/>
  <c r="AO609"/>
  <c r="AN609"/>
  <c r="BX609" s="1"/>
  <c r="AM609"/>
  <c r="AL609"/>
  <c r="AK609"/>
  <c r="AJ609"/>
  <c r="AI609"/>
  <c r="AH609"/>
  <c r="AG609"/>
  <c r="AF609"/>
  <c r="AE609"/>
  <c r="AD609"/>
  <c r="AC609"/>
  <c r="AB609"/>
  <c r="AA609"/>
  <c r="DE608"/>
  <c r="BJ608"/>
  <c r="BV608" s="1"/>
  <c r="BI608"/>
  <c r="BH608"/>
  <c r="BT608" s="1"/>
  <c r="BG608"/>
  <c r="BF608"/>
  <c r="BR608" s="1"/>
  <c r="BE608"/>
  <c r="BD608"/>
  <c r="BP608" s="1"/>
  <c r="BC608"/>
  <c r="BB608"/>
  <c r="BN608" s="1"/>
  <c r="BA608"/>
  <c r="AZ608"/>
  <c r="BL608" s="1"/>
  <c r="AY608"/>
  <c r="BK608" s="1"/>
  <c r="AX608"/>
  <c r="CH608" s="1"/>
  <c r="AW608"/>
  <c r="AV608"/>
  <c r="CF608" s="1"/>
  <c r="AU608"/>
  <c r="AT608"/>
  <c r="CD608" s="1"/>
  <c r="AS608"/>
  <c r="AR608"/>
  <c r="CB608" s="1"/>
  <c r="AQ608"/>
  <c r="AP608"/>
  <c r="BZ608" s="1"/>
  <c r="AO608"/>
  <c r="AN608"/>
  <c r="BX608" s="1"/>
  <c r="AM608"/>
  <c r="AL608"/>
  <c r="AK608"/>
  <c r="AJ608"/>
  <c r="AI608"/>
  <c r="AH608"/>
  <c r="AG608"/>
  <c r="AF608"/>
  <c r="AE608"/>
  <c r="AD608"/>
  <c r="AC608"/>
  <c r="AB608"/>
  <c r="AA608"/>
  <c r="DE607"/>
  <c r="BJ607"/>
  <c r="BV607" s="1"/>
  <c r="BI607"/>
  <c r="BH607"/>
  <c r="BT607" s="1"/>
  <c r="BG607"/>
  <c r="BF607"/>
  <c r="BR607" s="1"/>
  <c r="BE607"/>
  <c r="BD607"/>
  <c r="BP607" s="1"/>
  <c r="BC607"/>
  <c r="BB607"/>
  <c r="BN607" s="1"/>
  <c r="BA607"/>
  <c r="AZ607"/>
  <c r="BL607" s="1"/>
  <c r="AY607"/>
  <c r="BK607" s="1"/>
  <c r="AX607"/>
  <c r="CH607" s="1"/>
  <c r="AW607"/>
  <c r="AV607"/>
  <c r="CF607" s="1"/>
  <c r="AU607"/>
  <c r="AT607"/>
  <c r="CD607" s="1"/>
  <c r="AS607"/>
  <c r="AR607"/>
  <c r="CB607" s="1"/>
  <c r="AQ607"/>
  <c r="AP607"/>
  <c r="BZ607" s="1"/>
  <c r="AO607"/>
  <c r="AN607"/>
  <c r="BX607" s="1"/>
  <c r="AM607"/>
  <c r="AL607"/>
  <c r="AK607"/>
  <c r="AJ607"/>
  <c r="AI607"/>
  <c r="AH607"/>
  <c r="AG607"/>
  <c r="AF607"/>
  <c r="AE607"/>
  <c r="AD607"/>
  <c r="AC607"/>
  <c r="AB607"/>
  <c r="AA607"/>
  <c r="DE606"/>
  <c r="BJ606"/>
  <c r="BV606" s="1"/>
  <c r="BI606"/>
  <c r="BH606"/>
  <c r="BT606" s="1"/>
  <c r="BG606"/>
  <c r="BF606"/>
  <c r="BR606" s="1"/>
  <c r="BE606"/>
  <c r="BD606"/>
  <c r="BP606" s="1"/>
  <c r="BC606"/>
  <c r="BB606"/>
  <c r="BN606" s="1"/>
  <c r="BA606"/>
  <c r="AZ606"/>
  <c r="BL606" s="1"/>
  <c r="AY606"/>
  <c r="BK606" s="1"/>
  <c r="AX606"/>
  <c r="CH606" s="1"/>
  <c r="AW606"/>
  <c r="AV606"/>
  <c r="CF606" s="1"/>
  <c r="AU606"/>
  <c r="AT606"/>
  <c r="CD606" s="1"/>
  <c r="AS606"/>
  <c r="AR606"/>
  <c r="CB606" s="1"/>
  <c r="AQ606"/>
  <c r="AP606"/>
  <c r="BZ606" s="1"/>
  <c r="AO606"/>
  <c r="AN606"/>
  <c r="BX606" s="1"/>
  <c r="AM606"/>
  <c r="AL606"/>
  <c r="AK606"/>
  <c r="AJ606"/>
  <c r="AI606"/>
  <c r="AH606"/>
  <c r="AG606"/>
  <c r="AF606"/>
  <c r="AE606"/>
  <c r="AD606"/>
  <c r="AC606"/>
  <c r="AB606"/>
  <c r="AA606"/>
  <c r="DE605"/>
  <c r="BJ605"/>
  <c r="BV605" s="1"/>
  <c r="BI605"/>
  <c r="BH605"/>
  <c r="BT605" s="1"/>
  <c r="BG605"/>
  <c r="BF605"/>
  <c r="BR605" s="1"/>
  <c r="BE605"/>
  <c r="BD605"/>
  <c r="BP605" s="1"/>
  <c r="BC605"/>
  <c r="BB605"/>
  <c r="BN605" s="1"/>
  <c r="BA605"/>
  <c r="AZ605"/>
  <c r="BL605" s="1"/>
  <c r="AY605"/>
  <c r="BK605" s="1"/>
  <c r="AX605"/>
  <c r="CH605" s="1"/>
  <c r="AW605"/>
  <c r="AV605"/>
  <c r="CF605" s="1"/>
  <c r="AU605"/>
  <c r="AT605"/>
  <c r="CD605" s="1"/>
  <c r="AS605"/>
  <c r="AR605"/>
  <c r="CB605" s="1"/>
  <c r="AQ605"/>
  <c r="AP605"/>
  <c r="BZ605" s="1"/>
  <c r="AO605"/>
  <c r="AN605"/>
  <c r="BX605" s="1"/>
  <c r="AM605"/>
  <c r="AL605"/>
  <c r="AK605"/>
  <c r="AJ605"/>
  <c r="AI605"/>
  <c r="AH605"/>
  <c r="AG605"/>
  <c r="AF605"/>
  <c r="AE605"/>
  <c r="AD605"/>
  <c r="AC605"/>
  <c r="AB605"/>
  <c r="AA605"/>
  <c r="DE604"/>
  <c r="BJ604"/>
  <c r="BV604" s="1"/>
  <c r="BI604"/>
  <c r="BH604"/>
  <c r="BT604" s="1"/>
  <c r="BG604"/>
  <c r="BF604"/>
  <c r="BR604" s="1"/>
  <c r="BE604"/>
  <c r="BD604"/>
  <c r="BP604" s="1"/>
  <c r="BC604"/>
  <c r="BB604"/>
  <c r="BN604" s="1"/>
  <c r="BA604"/>
  <c r="AZ604"/>
  <c r="BL604" s="1"/>
  <c r="AY604"/>
  <c r="BK604" s="1"/>
  <c r="AX604"/>
  <c r="CH604" s="1"/>
  <c r="AW604"/>
  <c r="AV604"/>
  <c r="CF604" s="1"/>
  <c r="AU604"/>
  <c r="AT604"/>
  <c r="CD604" s="1"/>
  <c r="AS604"/>
  <c r="AR604"/>
  <c r="CB604" s="1"/>
  <c r="AQ604"/>
  <c r="AP604"/>
  <c r="BZ604" s="1"/>
  <c r="AO604"/>
  <c r="AN604"/>
  <c r="BX604" s="1"/>
  <c r="AM604"/>
  <c r="AL604"/>
  <c r="AK604"/>
  <c r="AJ604"/>
  <c r="AI604"/>
  <c r="AH604"/>
  <c r="AG604"/>
  <c r="AF604"/>
  <c r="AE604"/>
  <c r="AD604"/>
  <c r="AC604"/>
  <c r="AB604"/>
  <c r="AA604"/>
  <c r="DE603"/>
  <c r="BJ603"/>
  <c r="BV603" s="1"/>
  <c r="BI603"/>
  <c r="BH603"/>
  <c r="BT603" s="1"/>
  <c r="BG603"/>
  <c r="BF603"/>
  <c r="BR603" s="1"/>
  <c r="BE603"/>
  <c r="BD603"/>
  <c r="BP603" s="1"/>
  <c r="BC603"/>
  <c r="BB603"/>
  <c r="BN603" s="1"/>
  <c r="BA603"/>
  <c r="AZ603"/>
  <c r="BL603" s="1"/>
  <c r="AY603"/>
  <c r="BK603" s="1"/>
  <c r="AX603"/>
  <c r="CH603" s="1"/>
  <c r="AW603"/>
  <c r="AV603"/>
  <c r="CF603" s="1"/>
  <c r="AU603"/>
  <c r="AT603"/>
  <c r="CD603" s="1"/>
  <c r="AS603"/>
  <c r="AR603"/>
  <c r="CB603" s="1"/>
  <c r="AQ603"/>
  <c r="AP603"/>
  <c r="BZ603" s="1"/>
  <c r="AO603"/>
  <c r="AN603"/>
  <c r="BX603" s="1"/>
  <c r="AM603"/>
  <c r="AL603"/>
  <c r="AK603"/>
  <c r="AJ603"/>
  <c r="AI603"/>
  <c r="AH603"/>
  <c r="AG603"/>
  <c r="AF603"/>
  <c r="AE603"/>
  <c r="AD603"/>
  <c r="AC603"/>
  <c r="AB603"/>
  <c r="AA603"/>
  <c r="DE602"/>
  <c r="BJ602"/>
  <c r="BV602" s="1"/>
  <c r="BI602"/>
  <c r="BH602"/>
  <c r="BT602" s="1"/>
  <c r="BG602"/>
  <c r="BF602"/>
  <c r="BR602" s="1"/>
  <c r="BE602"/>
  <c r="BD602"/>
  <c r="BP602" s="1"/>
  <c r="BC602"/>
  <c r="BB602"/>
  <c r="BN602" s="1"/>
  <c r="BA602"/>
  <c r="AZ602"/>
  <c r="BL602" s="1"/>
  <c r="AY602"/>
  <c r="BK602" s="1"/>
  <c r="AX602"/>
  <c r="CH602" s="1"/>
  <c r="AW602"/>
  <c r="AV602"/>
  <c r="CF602" s="1"/>
  <c r="AU602"/>
  <c r="AT602"/>
  <c r="CD602" s="1"/>
  <c r="AS602"/>
  <c r="AR602"/>
  <c r="CB602" s="1"/>
  <c r="AQ602"/>
  <c r="AP602"/>
  <c r="BZ602" s="1"/>
  <c r="AO602"/>
  <c r="AN602"/>
  <c r="BX602" s="1"/>
  <c r="AM602"/>
  <c r="AL602"/>
  <c r="AK602"/>
  <c r="AJ602"/>
  <c r="AI602"/>
  <c r="AH602"/>
  <c r="AG602"/>
  <c r="AF602"/>
  <c r="AE602"/>
  <c r="AD602"/>
  <c r="AC602"/>
  <c r="AB602"/>
  <c r="AA602"/>
  <c r="DE601"/>
  <c r="BJ601"/>
  <c r="BV601" s="1"/>
  <c r="BI601"/>
  <c r="BH601"/>
  <c r="BT601" s="1"/>
  <c r="BG601"/>
  <c r="BF601"/>
  <c r="BR601" s="1"/>
  <c r="BE601"/>
  <c r="BD601"/>
  <c r="BP601" s="1"/>
  <c r="BC601"/>
  <c r="BB601"/>
  <c r="BN601" s="1"/>
  <c r="BA601"/>
  <c r="AZ601"/>
  <c r="BL601" s="1"/>
  <c r="AY601"/>
  <c r="BK601" s="1"/>
  <c r="AX601"/>
  <c r="CH601" s="1"/>
  <c r="AW601"/>
  <c r="AV601"/>
  <c r="CF601" s="1"/>
  <c r="AU601"/>
  <c r="AT601"/>
  <c r="CD601" s="1"/>
  <c r="AS601"/>
  <c r="AR601"/>
  <c r="CB601" s="1"/>
  <c r="AQ601"/>
  <c r="AP601"/>
  <c r="BZ601" s="1"/>
  <c r="AO601"/>
  <c r="AN601"/>
  <c r="BX601" s="1"/>
  <c r="AM601"/>
  <c r="AL601"/>
  <c r="AK601"/>
  <c r="AJ601"/>
  <c r="AI601"/>
  <c r="AH601"/>
  <c r="AG601"/>
  <c r="AF601"/>
  <c r="AE601"/>
  <c r="AD601"/>
  <c r="AC601"/>
  <c r="AB601"/>
  <c r="AA601"/>
  <c r="DE600"/>
  <c r="BJ600"/>
  <c r="BV600" s="1"/>
  <c r="BI600"/>
  <c r="BH600"/>
  <c r="BT600" s="1"/>
  <c r="BG600"/>
  <c r="BF600"/>
  <c r="BR600" s="1"/>
  <c r="BE600"/>
  <c r="BD600"/>
  <c r="BP600" s="1"/>
  <c r="BC600"/>
  <c r="BB600"/>
  <c r="BN600" s="1"/>
  <c r="BA600"/>
  <c r="AZ600"/>
  <c r="BL600" s="1"/>
  <c r="AY600"/>
  <c r="BK600" s="1"/>
  <c r="AX600"/>
  <c r="CH600" s="1"/>
  <c r="AW600"/>
  <c r="AV600"/>
  <c r="CF600" s="1"/>
  <c r="AU600"/>
  <c r="AT600"/>
  <c r="CD600" s="1"/>
  <c r="AS600"/>
  <c r="AR600"/>
  <c r="CB600" s="1"/>
  <c r="AQ600"/>
  <c r="AP600"/>
  <c r="BZ600" s="1"/>
  <c r="AO600"/>
  <c r="AN600"/>
  <c r="BX600" s="1"/>
  <c r="AM600"/>
  <c r="AL600"/>
  <c r="AK600"/>
  <c r="AJ600"/>
  <c r="AI600"/>
  <c r="AH600"/>
  <c r="AG600"/>
  <c r="AF600"/>
  <c r="AE600"/>
  <c r="AD600"/>
  <c r="AC600"/>
  <c r="AB600"/>
  <c r="AA600"/>
  <c r="DE599"/>
  <c r="BJ599"/>
  <c r="BV599" s="1"/>
  <c r="BI599"/>
  <c r="BH599"/>
  <c r="BT599" s="1"/>
  <c r="BG599"/>
  <c r="BF599"/>
  <c r="BR599" s="1"/>
  <c r="BE599"/>
  <c r="BD599"/>
  <c r="BP599" s="1"/>
  <c r="BC599"/>
  <c r="BB599"/>
  <c r="BN599" s="1"/>
  <c r="BA599"/>
  <c r="AZ599"/>
  <c r="BL599" s="1"/>
  <c r="AY599"/>
  <c r="BK599" s="1"/>
  <c r="AX599"/>
  <c r="CH599" s="1"/>
  <c r="AW599"/>
  <c r="AV599"/>
  <c r="CF599" s="1"/>
  <c r="AU599"/>
  <c r="AT599"/>
  <c r="CD599" s="1"/>
  <c r="AS599"/>
  <c r="AR599"/>
  <c r="CB599" s="1"/>
  <c r="AQ599"/>
  <c r="AP599"/>
  <c r="BZ599" s="1"/>
  <c r="AO599"/>
  <c r="AN599"/>
  <c r="BX599" s="1"/>
  <c r="AM599"/>
  <c r="AL599"/>
  <c r="AK599"/>
  <c r="AJ599"/>
  <c r="AI599"/>
  <c r="AH599"/>
  <c r="AG599"/>
  <c r="AF599"/>
  <c r="AE599"/>
  <c r="AD599"/>
  <c r="AC599"/>
  <c r="AB599"/>
  <c r="AA599"/>
  <c r="DE598"/>
  <c r="BJ598"/>
  <c r="BV598" s="1"/>
  <c r="BI598"/>
  <c r="BH598"/>
  <c r="BT598" s="1"/>
  <c r="BG598"/>
  <c r="BF598"/>
  <c r="BR598" s="1"/>
  <c r="BE598"/>
  <c r="BD598"/>
  <c r="BP598" s="1"/>
  <c r="BC598"/>
  <c r="BB598"/>
  <c r="BN598" s="1"/>
  <c r="BA598"/>
  <c r="AZ598"/>
  <c r="BL598" s="1"/>
  <c r="AY598"/>
  <c r="BK598" s="1"/>
  <c r="AX598"/>
  <c r="CH598" s="1"/>
  <c r="AW598"/>
  <c r="AV598"/>
  <c r="CF598" s="1"/>
  <c r="AU598"/>
  <c r="AT598"/>
  <c r="CD598" s="1"/>
  <c r="AS598"/>
  <c r="AR598"/>
  <c r="CB598" s="1"/>
  <c r="AQ598"/>
  <c r="AP598"/>
  <c r="BZ598" s="1"/>
  <c r="AO598"/>
  <c r="AN598"/>
  <c r="BX598" s="1"/>
  <c r="AM598"/>
  <c r="AL598"/>
  <c r="AK598"/>
  <c r="AJ598"/>
  <c r="AI598"/>
  <c r="AH598"/>
  <c r="AG598"/>
  <c r="AF598"/>
  <c r="AE598"/>
  <c r="AD598"/>
  <c r="AC598"/>
  <c r="AB598"/>
  <c r="AA598"/>
  <c r="DE597"/>
  <c r="BJ597"/>
  <c r="BV597" s="1"/>
  <c r="BI597"/>
  <c r="BH597"/>
  <c r="BT597" s="1"/>
  <c r="BG597"/>
  <c r="BF597"/>
  <c r="BR597" s="1"/>
  <c r="BE597"/>
  <c r="BD597"/>
  <c r="BP597" s="1"/>
  <c r="BC597"/>
  <c r="BB597"/>
  <c r="BN597" s="1"/>
  <c r="BA597"/>
  <c r="AZ597"/>
  <c r="BL597" s="1"/>
  <c r="AY597"/>
  <c r="BK597" s="1"/>
  <c r="AX597"/>
  <c r="CH597" s="1"/>
  <c r="AW597"/>
  <c r="AV597"/>
  <c r="CF597" s="1"/>
  <c r="AU597"/>
  <c r="AT597"/>
  <c r="CD597" s="1"/>
  <c r="AS597"/>
  <c r="AR597"/>
  <c r="CB597" s="1"/>
  <c r="AQ597"/>
  <c r="AP597"/>
  <c r="BZ597" s="1"/>
  <c r="AO597"/>
  <c r="AN597"/>
  <c r="BX597" s="1"/>
  <c r="AM597"/>
  <c r="AL597"/>
  <c r="AK597"/>
  <c r="AJ597"/>
  <c r="AI597"/>
  <c r="AH597"/>
  <c r="AG597"/>
  <c r="AF597"/>
  <c r="AE597"/>
  <c r="AD597"/>
  <c r="AC597"/>
  <c r="AB597"/>
  <c r="AA597"/>
  <c r="DE596"/>
  <c r="BJ596"/>
  <c r="BV596" s="1"/>
  <c r="BI596"/>
  <c r="BH596"/>
  <c r="BT596" s="1"/>
  <c r="BG596"/>
  <c r="BF596"/>
  <c r="BR596" s="1"/>
  <c r="BE596"/>
  <c r="BD596"/>
  <c r="BP596" s="1"/>
  <c r="BC596"/>
  <c r="BB596"/>
  <c r="BN596" s="1"/>
  <c r="BA596"/>
  <c r="AZ596"/>
  <c r="BL596" s="1"/>
  <c r="AY596"/>
  <c r="BK596" s="1"/>
  <c r="AX596"/>
  <c r="CH596" s="1"/>
  <c r="AW596"/>
  <c r="AV596"/>
  <c r="CF596" s="1"/>
  <c r="AU596"/>
  <c r="AT596"/>
  <c r="CD596" s="1"/>
  <c r="AS596"/>
  <c r="AR596"/>
  <c r="CB596" s="1"/>
  <c r="AQ596"/>
  <c r="AP596"/>
  <c r="BZ596" s="1"/>
  <c r="AO596"/>
  <c r="AN596"/>
  <c r="BX596" s="1"/>
  <c r="AM596"/>
  <c r="AL596"/>
  <c r="AK596"/>
  <c r="AJ596"/>
  <c r="AI596"/>
  <c r="AH596"/>
  <c r="AG596"/>
  <c r="AF596"/>
  <c r="AE596"/>
  <c r="AD596"/>
  <c r="AC596"/>
  <c r="AB596"/>
  <c r="AA596"/>
  <c r="DE595"/>
  <c r="BJ595"/>
  <c r="BV595" s="1"/>
  <c r="BI595"/>
  <c r="BH595"/>
  <c r="BT595" s="1"/>
  <c r="BG595"/>
  <c r="BF595"/>
  <c r="BR595" s="1"/>
  <c r="BE595"/>
  <c r="BD595"/>
  <c r="BP595" s="1"/>
  <c r="BC595"/>
  <c r="BB595"/>
  <c r="BN595" s="1"/>
  <c r="BA595"/>
  <c r="AZ595"/>
  <c r="BL595" s="1"/>
  <c r="AY595"/>
  <c r="BK595" s="1"/>
  <c r="AX595"/>
  <c r="CH595" s="1"/>
  <c r="AW595"/>
  <c r="AV595"/>
  <c r="CF595" s="1"/>
  <c r="AU595"/>
  <c r="AT595"/>
  <c r="CD595" s="1"/>
  <c r="AS595"/>
  <c r="AR595"/>
  <c r="CB595" s="1"/>
  <c r="AQ595"/>
  <c r="AP595"/>
  <c r="BZ595" s="1"/>
  <c r="AO595"/>
  <c r="AN595"/>
  <c r="BX595" s="1"/>
  <c r="AM595"/>
  <c r="AL595"/>
  <c r="AK595"/>
  <c r="AJ595"/>
  <c r="AI595"/>
  <c r="AH595"/>
  <c r="AG595"/>
  <c r="AF595"/>
  <c r="AE595"/>
  <c r="AD595"/>
  <c r="AC595"/>
  <c r="AB595"/>
  <c r="AA595"/>
  <c r="DE594"/>
  <c r="BJ594"/>
  <c r="BV594" s="1"/>
  <c r="BI594"/>
  <c r="BH594"/>
  <c r="BT594" s="1"/>
  <c r="BG594"/>
  <c r="BF594"/>
  <c r="BR594" s="1"/>
  <c r="BE594"/>
  <c r="BD594"/>
  <c r="BP594" s="1"/>
  <c r="BC594"/>
  <c r="BB594"/>
  <c r="BN594" s="1"/>
  <c r="BA594"/>
  <c r="AZ594"/>
  <c r="BL594" s="1"/>
  <c r="AY594"/>
  <c r="BK594" s="1"/>
  <c r="AX594"/>
  <c r="CH594" s="1"/>
  <c r="AW594"/>
  <c r="AV594"/>
  <c r="CF594" s="1"/>
  <c r="AU594"/>
  <c r="AT594"/>
  <c r="CD594" s="1"/>
  <c r="AS594"/>
  <c r="AR594"/>
  <c r="CB594" s="1"/>
  <c r="AQ594"/>
  <c r="AP594"/>
  <c r="BZ594" s="1"/>
  <c r="AO594"/>
  <c r="AN594"/>
  <c r="BX594" s="1"/>
  <c r="AM594"/>
  <c r="AL594"/>
  <c r="AK594"/>
  <c r="AJ594"/>
  <c r="AI594"/>
  <c r="AH594"/>
  <c r="AG594"/>
  <c r="AF594"/>
  <c r="AE594"/>
  <c r="AD594"/>
  <c r="AC594"/>
  <c r="AB594"/>
  <c r="AA594"/>
  <c r="DE593"/>
  <c r="BJ593"/>
  <c r="BV593" s="1"/>
  <c r="BI593"/>
  <c r="BH593"/>
  <c r="BU593" s="1"/>
  <c r="BG593"/>
  <c r="BF593"/>
  <c r="BS593" s="1"/>
  <c r="BE593"/>
  <c r="BD593"/>
  <c r="BQ593" s="1"/>
  <c r="BC593"/>
  <c r="BB593"/>
  <c r="BO593" s="1"/>
  <c r="BA593"/>
  <c r="AZ593"/>
  <c r="BM593" s="1"/>
  <c r="AY593"/>
  <c r="AX593"/>
  <c r="AW593"/>
  <c r="AV593"/>
  <c r="CG593" s="1"/>
  <c r="AU593"/>
  <c r="AT593"/>
  <c r="CE593" s="1"/>
  <c r="AS593"/>
  <c r="AR593"/>
  <c r="CC593" s="1"/>
  <c r="AQ593"/>
  <c r="AP593"/>
  <c r="CA593" s="1"/>
  <c r="AO593"/>
  <c r="AN593"/>
  <c r="BY593" s="1"/>
  <c r="AM593"/>
  <c r="AL593"/>
  <c r="AK593"/>
  <c r="AJ593"/>
  <c r="AI593"/>
  <c r="AH593"/>
  <c r="AG593"/>
  <c r="AF593"/>
  <c r="AE593"/>
  <c r="AD593"/>
  <c r="AC593"/>
  <c r="AB593"/>
  <c r="AA593"/>
  <c r="DE592"/>
  <c r="CF592"/>
  <c r="CB592"/>
  <c r="BX592"/>
  <c r="BT592"/>
  <c r="BP592"/>
  <c r="BL592"/>
  <c r="BJ592"/>
  <c r="BV592" s="1"/>
  <c r="BI592"/>
  <c r="BH592"/>
  <c r="BU592" s="1"/>
  <c r="BG592"/>
  <c r="BF592"/>
  <c r="BS592" s="1"/>
  <c r="BE592"/>
  <c r="BD592"/>
  <c r="BQ592" s="1"/>
  <c r="BC592"/>
  <c r="BB592"/>
  <c r="BO592" s="1"/>
  <c r="BA592"/>
  <c r="AZ592"/>
  <c r="BM592" s="1"/>
  <c r="AY592"/>
  <c r="BK592" s="1"/>
  <c r="AX592"/>
  <c r="AW592"/>
  <c r="AV592"/>
  <c r="CG592" s="1"/>
  <c r="AU592"/>
  <c r="AT592"/>
  <c r="CE592" s="1"/>
  <c r="AS592"/>
  <c r="AR592"/>
  <c r="CC592" s="1"/>
  <c r="AQ592"/>
  <c r="AP592"/>
  <c r="CA592" s="1"/>
  <c r="AO592"/>
  <c r="AN592"/>
  <c r="BY592" s="1"/>
  <c r="AM592"/>
  <c r="AL592"/>
  <c r="AK592"/>
  <c r="AJ592"/>
  <c r="AI592"/>
  <c r="AH592"/>
  <c r="AG592"/>
  <c r="AF592"/>
  <c r="AE592"/>
  <c r="AD592"/>
  <c r="AC592"/>
  <c r="AB592"/>
  <c r="AA592"/>
  <c r="DE591"/>
  <c r="BJ591"/>
  <c r="BV591" s="1"/>
  <c r="BI591"/>
  <c r="BH591"/>
  <c r="BU591" s="1"/>
  <c r="BG591"/>
  <c r="BF591"/>
  <c r="BS591" s="1"/>
  <c r="BE591"/>
  <c r="BD591"/>
  <c r="BQ591" s="1"/>
  <c r="BC591"/>
  <c r="BB591"/>
  <c r="BO591" s="1"/>
  <c r="BA591"/>
  <c r="AZ591"/>
  <c r="BM591" s="1"/>
  <c r="AY591"/>
  <c r="AX591"/>
  <c r="AW591"/>
  <c r="AV591"/>
  <c r="CG591" s="1"/>
  <c r="AU591"/>
  <c r="AT591"/>
  <c r="CE591" s="1"/>
  <c r="AS591"/>
  <c r="AR591"/>
  <c r="CC591" s="1"/>
  <c r="AQ591"/>
  <c r="AP591"/>
  <c r="CA591" s="1"/>
  <c r="AO591"/>
  <c r="AN591"/>
  <c r="BY591" s="1"/>
  <c r="AM591"/>
  <c r="AL591"/>
  <c r="AK591"/>
  <c r="AJ591"/>
  <c r="AI591"/>
  <c r="AH591"/>
  <c r="AG591"/>
  <c r="AF591"/>
  <c r="AE591"/>
  <c r="AD591"/>
  <c r="AC591"/>
  <c r="AB591"/>
  <c r="AA591"/>
  <c r="DE590"/>
  <c r="CF590"/>
  <c r="CB590"/>
  <c r="BX590"/>
  <c r="BT590"/>
  <c r="BP590"/>
  <c r="BL590"/>
  <c r="BJ590"/>
  <c r="BV590" s="1"/>
  <c r="BI590"/>
  <c r="BH590"/>
  <c r="BU590" s="1"/>
  <c r="BG590"/>
  <c r="BF590"/>
  <c r="BS590" s="1"/>
  <c r="BE590"/>
  <c r="BD590"/>
  <c r="BQ590" s="1"/>
  <c r="BC590"/>
  <c r="BB590"/>
  <c r="BO590" s="1"/>
  <c r="BA590"/>
  <c r="AZ590"/>
  <c r="BM590" s="1"/>
  <c r="AY590"/>
  <c r="BK590" s="1"/>
  <c r="AX590"/>
  <c r="AW590"/>
  <c r="AV590"/>
  <c r="CG590" s="1"/>
  <c r="AU590"/>
  <c r="AT590"/>
  <c r="CE590" s="1"/>
  <c r="AS590"/>
  <c r="AR590"/>
  <c r="CC590" s="1"/>
  <c r="AQ590"/>
  <c r="AP590"/>
  <c r="CA590" s="1"/>
  <c r="AO590"/>
  <c r="AN590"/>
  <c r="BY590" s="1"/>
  <c r="AM590"/>
  <c r="AL590"/>
  <c r="AK590"/>
  <c r="AJ590"/>
  <c r="AI590"/>
  <c r="AH590"/>
  <c r="AG590"/>
  <c r="AF590"/>
  <c r="AE590"/>
  <c r="AD590"/>
  <c r="AC590"/>
  <c r="AB590"/>
  <c r="AA590"/>
  <c r="DE589"/>
  <c r="BJ589"/>
  <c r="BV589" s="1"/>
  <c r="BI589"/>
  <c r="BH589"/>
  <c r="BU589" s="1"/>
  <c r="BG589"/>
  <c r="BF589"/>
  <c r="BS589" s="1"/>
  <c r="BE589"/>
  <c r="BD589"/>
  <c r="BQ589" s="1"/>
  <c r="BC589"/>
  <c r="BB589"/>
  <c r="BO589" s="1"/>
  <c r="BA589"/>
  <c r="AZ589"/>
  <c r="BM589" s="1"/>
  <c r="AY589"/>
  <c r="AX589"/>
  <c r="AW589"/>
  <c r="AV589"/>
  <c r="CG589" s="1"/>
  <c r="AU589"/>
  <c r="AT589"/>
  <c r="CE589" s="1"/>
  <c r="AS589"/>
  <c r="AR589"/>
  <c r="CC589" s="1"/>
  <c r="AQ589"/>
  <c r="AP589"/>
  <c r="CA589" s="1"/>
  <c r="AO589"/>
  <c r="AN589"/>
  <c r="BY589" s="1"/>
  <c r="AM589"/>
  <c r="AL589"/>
  <c r="AK589"/>
  <c r="AJ589"/>
  <c r="AI589"/>
  <c r="AH589"/>
  <c r="AG589"/>
  <c r="AF589"/>
  <c r="AE589"/>
  <c r="AD589"/>
  <c r="AC589"/>
  <c r="AB589"/>
  <c r="AA589"/>
  <c r="DE588"/>
  <c r="CF588"/>
  <c r="CB588"/>
  <c r="BX588"/>
  <c r="BT588"/>
  <c r="BP588"/>
  <c r="BL588"/>
  <c r="BJ588"/>
  <c r="BV588" s="1"/>
  <c r="BI588"/>
  <c r="BH588"/>
  <c r="BU588" s="1"/>
  <c r="BG588"/>
  <c r="BF588"/>
  <c r="BS588" s="1"/>
  <c r="BE588"/>
  <c r="BD588"/>
  <c r="BQ588" s="1"/>
  <c r="BC588"/>
  <c r="BB588"/>
  <c r="BO588" s="1"/>
  <c r="BA588"/>
  <c r="AZ588"/>
  <c r="BM588" s="1"/>
  <c r="AY588"/>
  <c r="BK588" s="1"/>
  <c r="AX588"/>
  <c r="AW588"/>
  <c r="AV588"/>
  <c r="CG588" s="1"/>
  <c r="AU588"/>
  <c r="AT588"/>
  <c r="CE588" s="1"/>
  <c r="AS588"/>
  <c r="AR588"/>
  <c r="CC588" s="1"/>
  <c r="AQ588"/>
  <c r="AP588"/>
  <c r="CA588" s="1"/>
  <c r="AO588"/>
  <c r="AN588"/>
  <c r="BY588" s="1"/>
  <c r="AM588"/>
  <c r="AL588"/>
  <c r="AK588"/>
  <c r="AJ588"/>
  <c r="AI588"/>
  <c r="AH588"/>
  <c r="AG588"/>
  <c r="AF588"/>
  <c r="AE588"/>
  <c r="AD588"/>
  <c r="AC588"/>
  <c r="AB588"/>
  <c r="AA588"/>
  <c r="DE587"/>
  <c r="BJ587"/>
  <c r="BI587"/>
  <c r="BV587" s="1"/>
  <c r="BH587"/>
  <c r="BG587"/>
  <c r="BT587" s="1"/>
  <c r="BF587"/>
  <c r="BE587"/>
  <c r="BR587" s="1"/>
  <c r="BD587"/>
  <c r="BC587"/>
  <c r="BP587" s="1"/>
  <c r="BB587"/>
  <c r="BA587"/>
  <c r="BN587" s="1"/>
  <c r="AZ587"/>
  <c r="AY587"/>
  <c r="BL587" s="1"/>
  <c r="AX587"/>
  <c r="AW587"/>
  <c r="CH587" s="1"/>
  <c r="AV587"/>
  <c r="AU587"/>
  <c r="CF587" s="1"/>
  <c r="AT587"/>
  <c r="AS587"/>
  <c r="CD587" s="1"/>
  <c r="AR587"/>
  <c r="AQ587"/>
  <c r="CB587" s="1"/>
  <c r="AP587"/>
  <c r="AO587"/>
  <c r="BZ587" s="1"/>
  <c r="AN587"/>
  <c r="AM587"/>
  <c r="BX587" s="1"/>
  <c r="AL587"/>
  <c r="AK587"/>
  <c r="AJ587"/>
  <c r="AI587"/>
  <c r="AH587"/>
  <c r="AG587"/>
  <c r="AF587"/>
  <c r="AE587"/>
  <c r="AD587"/>
  <c r="AC587"/>
  <c r="AB587"/>
  <c r="AA587"/>
  <c r="DE586"/>
  <c r="BJ586"/>
  <c r="BI586"/>
  <c r="BV586" s="1"/>
  <c r="BH586"/>
  <c r="BG586"/>
  <c r="BT586" s="1"/>
  <c r="BF586"/>
  <c r="BE586"/>
  <c r="BR586" s="1"/>
  <c r="BD586"/>
  <c r="BC586"/>
  <c r="BP586" s="1"/>
  <c r="BB586"/>
  <c r="BA586"/>
  <c r="BN586" s="1"/>
  <c r="AZ586"/>
  <c r="AY586"/>
  <c r="BL586" s="1"/>
  <c r="AX586"/>
  <c r="AW586"/>
  <c r="CH586" s="1"/>
  <c r="AV586"/>
  <c r="AU586"/>
  <c r="CF586" s="1"/>
  <c r="AT586"/>
  <c r="AS586"/>
  <c r="CD586" s="1"/>
  <c r="AR586"/>
  <c r="AQ586"/>
  <c r="CB586" s="1"/>
  <c r="AP586"/>
  <c r="AO586"/>
  <c r="BZ586" s="1"/>
  <c r="AN586"/>
  <c r="AM586"/>
  <c r="BX586" s="1"/>
  <c r="AL586"/>
  <c r="AK586"/>
  <c r="AJ586"/>
  <c r="AI586"/>
  <c r="AH586"/>
  <c r="AG586"/>
  <c r="AF586"/>
  <c r="AE586"/>
  <c r="AD586"/>
  <c r="AC586"/>
  <c r="AB586"/>
  <c r="AA586"/>
  <c r="DE585"/>
  <c r="BJ585"/>
  <c r="BI585"/>
  <c r="BV585" s="1"/>
  <c r="BH585"/>
  <c r="BG585"/>
  <c r="BT585" s="1"/>
  <c r="BF585"/>
  <c r="BE585"/>
  <c r="BR585" s="1"/>
  <c r="BD585"/>
  <c r="BC585"/>
  <c r="BP585" s="1"/>
  <c r="BB585"/>
  <c r="BA585"/>
  <c r="BN585" s="1"/>
  <c r="AZ585"/>
  <c r="AY585"/>
  <c r="BL585" s="1"/>
  <c r="AX585"/>
  <c r="AW585"/>
  <c r="CH585" s="1"/>
  <c r="AV585"/>
  <c r="AU585"/>
  <c r="CF585" s="1"/>
  <c r="AT585"/>
  <c r="AS585"/>
  <c r="CD585" s="1"/>
  <c r="AR585"/>
  <c r="AQ585"/>
  <c r="CB585" s="1"/>
  <c r="AP585"/>
  <c r="AO585"/>
  <c r="BZ585" s="1"/>
  <c r="AN585"/>
  <c r="AM585"/>
  <c r="BX585" s="1"/>
  <c r="AL585"/>
  <c r="AK585"/>
  <c r="AJ585"/>
  <c r="AI585"/>
  <c r="AH585"/>
  <c r="AG585"/>
  <c r="AF585"/>
  <c r="AE585"/>
  <c r="AD585"/>
  <c r="AC585"/>
  <c r="AB585"/>
  <c r="AA585"/>
  <c r="DE584"/>
  <c r="BJ584"/>
  <c r="BI584"/>
  <c r="BV584" s="1"/>
  <c r="BH584"/>
  <c r="BG584"/>
  <c r="BT584" s="1"/>
  <c r="BF584"/>
  <c r="BE584"/>
  <c r="BR584" s="1"/>
  <c r="BD584"/>
  <c r="BC584"/>
  <c r="BP584" s="1"/>
  <c r="BB584"/>
  <c r="BA584"/>
  <c r="BN584" s="1"/>
  <c r="AZ584"/>
  <c r="AY584"/>
  <c r="BL584" s="1"/>
  <c r="AX584"/>
  <c r="AW584"/>
  <c r="CH584" s="1"/>
  <c r="AV584"/>
  <c r="AU584"/>
  <c r="CF584" s="1"/>
  <c r="AT584"/>
  <c r="AS584"/>
  <c r="CD584" s="1"/>
  <c r="AR584"/>
  <c r="AQ584"/>
  <c r="CB584" s="1"/>
  <c r="AP584"/>
  <c r="AO584"/>
  <c r="BZ584" s="1"/>
  <c r="AN584"/>
  <c r="AM584"/>
  <c r="BX584" s="1"/>
  <c r="AL584"/>
  <c r="AK584"/>
  <c r="AJ584"/>
  <c r="AI584"/>
  <c r="AH584"/>
  <c r="AG584"/>
  <c r="AF584"/>
  <c r="AE584"/>
  <c r="AD584"/>
  <c r="AC584"/>
  <c r="AB584"/>
  <c r="AA584"/>
  <c r="DE583"/>
  <c r="BJ583"/>
  <c r="BI583"/>
  <c r="BV583" s="1"/>
  <c r="BH583"/>
  <c r="BG583"/>
  <c r="BT583" s="1"/>
  <c r="BF583"/>
  <c r="BE583"/>
  <c r="BR583" s="1"/>
  <c r="BD583"/>
  <c r="BC583"/>
  <c r="BP583" s="1"/>
  <c r="BB583"/>
  <c r="BA583"/>
  <c r="BN583" s="1"/>
  <c r="AZ583"/>
  <c r="AY583"/>
  <c r="BL583" s="1"/>
  <c r="AX583"/>
  <c r="AW583"/>
  <c r="CH583" s="1"/>
  <c r="AV583"/>
  <c r="AU583"/>
  <c r="CF583" s="1"/>
  <c r="AT583"/>
  <c r="AS583"/>
  <c r="CD583" s="1"/>
  <c r="AR583"/>
  <c r="AQ583"/>
  <c r="CB583" s="1"/>
  <c r="AP583"/>
  <c r="AO583"/>
  <c r="BZ583" s="1"/>
  <c r="AN583"/>
  <c r="AM583"/>
  <c r="BX583" s="1"/>
  <c r="AL583"/>
  <c r="AK583"/>
  <c r="AJ583"/>
  <c r="AI583"/>
  <c r="AH583"/>
  <c r="AG583"/>
  <c r="AF583"/>
  <c r="AE583"/>
  <c r="AD583"/>
  <c r="AC583"/>
  <c r="AB583"/>
  <c r="AA583"/>
  <c r="DE582"/>
  <c r="BJ582"/>
  <c r="BI582"/>
  <c r="BV582" s="1"/>
  <c r="BH582"/>
  <c r="BG582"/>
  <c r="BT582" s="1"/>
  <c r="BF582"/>
  <c r="BE582"/>
  <c r="BR582" s="1"/>
  <c r="BD582"/>
  <c r="BC582"/>
  <c r="BP582" s="1"/>
  <c r="BB582"/>
  <c r="BA582"/>
  <c r="BN582" s="1"/>
  <c r="AZ582"/>
  <c r="AY582"/>
  <c r="BL582" s="1"/>
  <c r="AX582"/>
  <c r="AW582"/>
  <c r="CH582" s="1"/>
  <c r="AV582"/>
  <c r="AU582"/>
  <c r="CF582" s="1"/>
  <c r="AT582"/>
  <c r="AS582"/>
  <c r="CD582" s="1"/>
  <c r="AR582"/>
  <c r="AQ582"/>
  <c r="CB582" s="1"/>
  <c r="AP582"/>
  <c r="AO582"/>
  <c r="BZ582" s="1"/>
  <c r="AN582"/>
  <c r="AM582"/>
  <c r="BX582" s="1"/>
  <c r="AL582"/>
  <c r="AK582"/>
  <c r="AJ582"/>
  <c r="AI582"/>
  <c r="AH582"/>
  <c r="AG582"/>
  <c r="AF582"/>
  <c r="AE582"/>
  <c r="AD582"/>
  <c r="AC582"/>
  <c r="AB582"/>
  <c r="AA582"/>
  <c r="DE581"/>
  <c r="BJ581"/>
  <c r="BI581"/>
  <c r="BV581" s="1"/>
  <c r="BH581"/>
  <c r="BG581"/>
  <c r="BT581" s="1"/>
  <c r="BF581"/>
  <c r="BE581"/>
  <c r="BR581" s="1"/>
  <c r="BD581"/>
  <c r="BC581"/>
  <c r="BP581" s="1"/>
  <c r="BB581"/>
  <c r="BA581"/>
  <c r="BN581" s="1"/>
  <c r="AZ581"/>
  <c r="AY581"/>
  <c r="BL581" s="1"/>
  <c r="AX581"/>
  <c r="AW581"/>
  <c r="CH581" s="1"/>
  <c r="AV581"/>
  <c r="AU581"/>
  <c r="CF581" s="1"/>
  <c r="AT581"/>
  <c r="AS581"/>
  <c r="CD581" s="1"/>
  <c r="AR581"/>
  <c r="AQ581"/>
  <c r="CB581" s="1"/>
  <c r="AP581"/>
  <c r="AO581"/>
  <c r="BZ581" s="1"/>
  <c r="AN581"/>
  <c r="AM581"/>
  <c r="BX581" s="1"/>
  <c r="AL581"/>
  <c r="AK581"/>
  <c r="AJ581"/>
  <c r="AI581"/>
  <c r="AH581"/>
  <c r="AG581"/>
  <c r="AF581"/>
  <c r="AE581"/>
  <c r="AD581"/>
  <c r="AC581"/>
  <c r="AB581"/>
  <c r="AA581"/>
  <c r="DE580"/>
  <c r="BJ580"/>
  <c r="BI580"/>
  <c r="BV580" s="1"/>
  <c r="BH580"/>
  <c r="BG580"/>
  <c r="BT580" s="1"/>
  <c r="BF580"/>
  <c r="BE580"/>
  <c r="BR580" s="1"/>
  <c r="BD580"/>
  <c r="BC580"/>
  <c r="BP580" s="1"/>
  <c r="BB580"/>
  <c r="BA580"/>
  <c r="BN580" s="1"/>
  <c r="AZ580"/>
  <c r="AY580"/>
  <c r="BL580" s="1"/>
  <c r="AX580"/>
  <c r="AW580"/>
  <c r="CH580" s="1"/>
  <c r="AV580"/>
  <c r="AU580"/>
  <c r="CF580" s="1"/>
  <c r="AT580"/>
  <c r="AS580"/>
  <c r="CD580" s="1"/>
  <c r="AR580"/>
  <c r="AQ580"/>
  <c r="CB580" s="1"/>
  <c r="AP580"/>
  <c r="AO580"/>
  <c r="BZ580" s="1"/>
  <c r="AN580"/>
  <c r="AM580"/>
  <c r="BX580" s="1"/>
  <c r="AL580"/>
  <c r="AK580"/>
  <c r="AJ580"/>
  <c r="AI580"/>
  <c r="AH580"/>
  <c r="AG580"/>
  <c r="AF580"/>
  <c r="AE580"/>
  <c r="AD580"/>
  <c r="AC580"/>
  <c r="AB580"/>
  <c r="AA580"/>
  <c r="DE579"/>
  <c r="BJ579"/>
  <c r="BI579"/>
  <c r="BV579" s="1"/>
  <c r="BH579"/>
  <c r="BG579"/>
  <c r="BT579" s="1"/>
  <c r="BF579"/>
  <c r="BE579"/>
  <c r="BR579" s="1"/>
  <c r="BD579"/>
  <c r="BC579"/>
  <c r="BP579" s="1"/>
  <c r="BB579"/>
  <c r="BA579"/>
  <c r="BN579" s="1"/>
  <c r="AZ579"/>
  <c r="AY579"/>
  <c r="BL579" s="1"/>
  <c r="AX579"/>
  <c r="AW579"/>
  <c r="CH579" s="1"/>
  <c r="AV579"/>
  <c r="AU579"/>
  <c r="CF579" s="1"/>
  <c r="AT579"/>
  <c r="AS579"/>
  <c r="CD579" s="1"/>
  <c r="AR579"/>
  <c r="AQ579"/>
  <c r="CB579" s="1"/>
  <c r="AP579"/>
  <c r="AO579"/>
  <c r="BZ579" s="1"/>
  <c r="AN579"/>
  <c r="AM579"/>
  <c r="BX579" s="1"/>
  <c r="AL579"/>
  <c r="AK579"/>
  <c r="AJ579"/>
  <c r="AI579"/>
  <c r="AH579"/>
  <c r="AG579"/>
  <c r="AF579"/>
  <c r="AE579"/>
  <c r="AD579"/>
  <c r="AC579"/>
  <c r="AB579"/>
  <c r="AA579"/>
  <c r="DE578"/>
  <c r="BJ578"/>
  <c r="BI578"/>
  <c r="BV578" s="1"/>
  <c r="BH578"/>
  <c r="BG578"/>
  <c r="BT578" s="1"/>
  <c r="BF578"/>
  <c r="BE578"/>
  <c r="BR578" s="1"/>
  <c r="BD578"/>
  <c r="BC578"/>
  <c r="BP578" s="1"/>
  <c r="BB578"/>
  <c r="BA578"/>
  <c r="BN578" s="1"/>
  <c r="AZ578"/>
  <c r="AY578"/>
  <c r="BL578" s="1"/>
  <c r="AX578"/>
  <c r="AW578"/>
  <c r="CH578" s="1"/>
  <c r="AV578"/>
  <c r="AU578"/>
  <c r="CF578" s="1"/>
  <c r="AT578"/>
  <c r="AS578"/>
  <c r="CD578" s="1"/>
  <c r="AR578"/>
  <c r="AQ578"/>
  <c r="CB578" s="1"/>
  <c r="AP578"/>
  <c r="AO578"/>
  <c r="BZ578" s="1"/>
  <c r="AN578"/>
  <c r="AM578"/>
  <c r="BX578" s="1"/>
  <c r="AL578"/>
  <c r="AK578"/>
  <c r="AJ578"/>
  <c r="AI578"/>
  <c r="AH578"/>
  <c r="AG578"/>
  <c r="AF578"/>
  <c r="AE578"/>
  <c r="AD578"/>
  <c r="AC578"/>
  <c r="AB578"/>
  <c r="AA578"/>
  <c r="DE577"/>
  <c r="BJ577"/>
  <c r="BI577"/>
  <c r="BV577" s="1"/>
  <c r="BH577"/>
  <c r="BG577"/>
  <c r="BT577" s="1"/>
  <c r="BF577"/>
  <c r="BE577"/>
  <c r="BR577" s="1"/>
  <c r="BD577"/>
  <c r="BC577"/>
  <c r="BP577" s="1"/>
  <c r="BB577"/>
  <c r="BA577"/>
  <c r="BN577" s="1"/>
  <c r="AZ577"/>
  <c r="AY577"/>
  <c r="BL577" s="1"/>
  <c r="AX577"/>
  <c r="AW577"/>
  <c r="CH577" s="1"/>
  <c r="AV577"/>
  <c r="AU577"/>
  <c r="CF577" s="1"/>
  <c r="AT577"/>
  <c r="AS577"/>
  <c r="CD577" s="1"/>
  <c r="AR577"/>
  <c r="AQ577"/>
  <c r="CB577" s="1"/>
  <c r="AP577"/>
  <c r="AO577"/>
  <c r="BZ577" s="1"/>
  <c r="AN577"/>
  <c r="AM577"/>
  <c r="BX577" s="1"/>
  <c r="AL577"/>
  <c r="AK577"/>
  <c r="AJ577"/>
  <c r="AI577"/>
  <c r="AH577"/>
  <c r="AG577"/>
  <c r="AF577"/>
  <c r="AE577"/>
  <c r="AD577"/>
  <c r="AC577"/>
  <c r="AB577"/>
  <c r="AA577"/>
  <c r="DE576"/>
  <c r="BJ576"/>
  <c r="BI576"/>
  <c r="BV576" s="1"/>
  <c r="BH576"/>
  <c r="BG576"/>
  <c r="BT576" s="1"/>
  <c r="BF576"/>
  <c r="BE576"/>
  <c r="BR576" s="1"/>
  <c r="BD576"/>
  <c r="BC576"/>
  <c r="BP576" s="1"/>
  <c r="BB576"/>
  <c r="BA576"/>
  <c r="BN576" s="1"/>
  <c r="AZ576"/>
  <c r="AY576"/>
  <c r="BL576" s="1"/>
  <c r="AX576"/>
  <c r="AW576"/>
  <c r="CH576" s="1"/>
  <c r="AV576"/>
  <c r="AU576"/>
  <c r="CF576" s="1"/>
  <c r="AT576"/>
  <c r="AS576"/>
  <c r="CD576" s="1"/>
  <c r="AR576"/>
  <c r="AQ576"/>
  <c r="CB576" s="1"/>
  <c r="AP576"/>
  <c r="AO576"/>
  <c r="BZ576" s="1"/>
  <c r="AN576"/>
  <c r="AM576"/>
  <c r="BX576" s="1"/>
  <c r="AL576"/>
  <c r="AK576"/>
  <c r="AJ576"/>
  <c r="AI576"/>
  <c r="AH576"/>
  <c r="AG576"/>
  <c r="AF576"/>
  <c r="AE576"/>
  <c r="AD576"/>
  <c r="AC576"/>
  <c r="AB576"/>
  <c r="AA576"/>
  <c r="DE575"/>
  <c r="BJ575"/>
  <c r="BI575"/>
  <c r="BV575" s="1"/>
  <c r="BH575"/>
  <c r="BG575"/>
  <c r="BT575" s="1"/>
  <c r="BF575"/>
  <c r="BE575"/>
  <c r="BR575" s="1"/>
  <c r="BD575"/>
  <c r="BC575"/>
  <c r="BP575" s="1"/>
  <c r="BB575"/>
  <c r="BA575"/>
  <c r="BN575" s="1"/>
  <c r="AZ575"/>
  <c r="AY575"/>
  <c r="BL575" s="1"/>
  <c r="AX575"/>
  <c r="AW575"/>
  <c r="CH575" s="1"/>
  <c r="AV575"/>
  <c r="AU575"/>
  <c r="CF575" s="1"/>
  <c r="AT575"/>
  <c r="AS575"/>
  <c r="CD575" s="1"/>
  <c r="AR575"/>
  <c r="AQ575"/>
  <c r="CB575" s="1"/>
  <c r="AP575"/>
  <c r="AO575"/>
  <c r="BZ575" s="1"/>
  <c r="AN575"/>
  <c r="AM575"/>
  <c r="BX575" s="1"/>
  <c r="AL575"/>
  <c r="AK575"/>
  <c r="AJ575"/>
  <c r="AI575"/>
  <c r="AH575"/>
  <c r="AG575"/>
  <c r="AF575"/>
  <c r="AE575"/>
  <c r="AD575"/>
  <c r="AC575"/>
  <c r="AB575"/>
  <c r="AA575"/>
  <c r="DE574"/>
  <c r="BJ574"/>
  <c r="BI574"/>
  <c r="BV574" s="1"/>
  <c r="BH574"/>
  <c r="BG574"/>
  <c r="BT574" s="1"/>
  <c r="BF574"/>
  <c r="BE574"/>
  <c r="BR574" s="1"/>
  <c r="BD574"/>
  <c r="BC574"/>
  <c r="BP574" s="1"/>
  <c r="BB574"/>
  <c r="BA574"/>
  <c r="BN574" s="1"/>
  <c r="AZ574"/>
  <c r="AY574"/>
  <c r="BL574" s="1"/>
  <c r="AX574"/>
  <c r="AW574"/>
  <c r="CH574" s="1"/>
  <c r="AV574"/>
  <c r="AU574"/>
  <c r="CF574" s="1"/>
  <c r="AT574"/>
  <c r="AS574"/>
  <c r="CD574" s="1"/>
  <c r="AR574"/>
  <c r="AQ574"/>
  <c r="CB574" s="1"/>
  <c r="AP574"/>
  <c r="AO574"/>
  <c r="BZ574" s="1"/>
  <c r="AN574"/>
  <c r="AM574"/>
  <c r="BX574" s="1"/>
  <c r="AL574"/>
  <c r="AK574"/>
  <c r="AJ574"/>
  <c r="AI574"/>
  <c r="AH574"/>
  <c r="AG574"/>
  <c r="AF574"/>
  <c r="AE574"/>
  <c r="AD574"/>
  <c r="AC574"/>
  <c r="AB574"/>
  <c r="AA574"/>
  <c r="DE573"/>
  <c r="BJ573"/>
  <c r="BI573"/>
  <c r="BV573" s="1"/>
  <c r="BH573"/>
  <c r="BG573"/>
  <c r="BT573" s="1"/>
  <c r="BF573"/>
  <c r="BE573"/>
  <c r="BR573" s="1"/>
  <c r="BD573"/>
  <c r="BC573"/>
  <c r="BP573" s="1"/>
  <c r="BB573"/>
  <c r="BA573"/>
  <c r="BN573" s="1"/>
  <c r="AZ573"/>
  <c r="AY573"/>
  <c r="BL573" s="1"/>
  <c r="AX573"/>
  <c r="AW573"/>
  <c r="CH573" s="1"/>
  <c r="AV573"/>
  <c r="AU573"/>
  <c r="CF573" s="1"/>
  <c r="AT573"/>
  <c r="AS573"/>
  <c r="CD573" s="1"/>
  <c r="AR573"/>
  <c r="AQ573"/>
  <c r="CB573" s="1"/>
  <c r="AP573"/>
  <c r="AO573"/>
  <c r="BZ573" s="1"/>
  <c r="AN573"/>
  <c r="AM573"/>
  <c r="BX573" s="1"/>
  <c r="AL573"/>
  <c r="AK573"/>
  <c r="AJ573"/>
  <c r="AI573"/>
  <c r="AH573"/>
  <c r="AG573"/>
  <c r="AF573"/>
  <c r="AE573"/>
  <c r="AD573"/>
  <c r="AC573"/>
  <c r="AB573"/>
  <c r="AA573"/>
  <c r="DE572"/>
  <c r="BJ572"/>
  <c r="BI572"/>
  <c r="BV572" s="1"/>
  <c r="BH572"/>
  <c r="BG572"/>
  <c r="BT572" s="1"/>
  <c r="BF572"/>
  <c r="BE572"/>
  <c r="BR572" s="1"/>
  <c r="BD572"/>
  <c r="BC572"/>
  <c r="BP572" s="1"/>
  <c r="BB572"/>
  <c r="BA572"/>
  <c r="BN572" s="1"/>
  <c r="AZ572"/>
  <c r="AY572"/>
  <c r="BL572" s="1"/>
  <c r="AX572"/>
  <c r="AW572"/>
  <c r="CH572" s="1"/>
  <c r="AV572"/>
  <c r="AU572"/>
  <c r="CF572" s="1"/>
  <c r="AT572"/>
  <c r="AS572"/>
  <c r="CD572" s="1"/>
  <c r="AR572"/>
  <c r="AQ572"/>
  <c r="CB572" s="1"/>
  <c r="AP572"/>
  <c r="AO572"/>
  <c r="BZ572" s="1"/>
  <c r="AN572"/>
  <c r="AM572"/>
  <c r="BX572" s="1"/>
  <c r="AL572"/>
  <c r="AK572"/>
  <c r="AJ572"/>
  <c r="AI572"/>
  <c r="AH572"/>
  <c r="AG572"/>
  <c r="AF572"/>
  <c r="AE572"/>
  <c r="AD572"/>
  <c r="AC572"/>
  <c r="AB572"/>
  <c r="AA572"/>
  <c r="DE571"/>
  <c r="BJ571"/>
  <c r="BI571"/>
  <c r="BV571" s="1"/>
  <c r="BH571"/>
  <c r="BG571"/>
  <c r="BT571" s="1"/>
  <c r="BF571"/>
  <c r="BE571"/>
  <c r="BR571" s="1"/>
  <c r="BD571"/>
  <c r="BC571"/>
  <c r="BP571" s="1"/>
  <c r="BB571"/>
  <c r="BA571"/>
  <c r="BN571" s="1"/>
  <c r="AZ571"/>
  <c r="AY571"/>
  <c r="BL571" s="1"/>
  <c r="AX571"/>
  <c r="AW571"/>
  <c r="CH571" s="1"/>
  <c r="AV571"/>
  <c r="AU571"/>
  <c r="CF571" s="1"/>
  <c r="AT571"/>
  <c r="AS571"/>
  <c r="CD571" s="1"/>
  <c r="AR571"/>
  <c r="AQ571"/>
  <c r="CB571" s="1"/>
  <c r="AP571"/>
  <c r="AO571"/>
  <c r="BZ571" s="1"/>
  <c r="AN571"/>
  <c r="AM571"/>
  <c r="BX571" s="1"/>
  <c r="AL571"/>
  <c r="AK571"/>
  <c r="AJ571"/>
  <c r="AI571"/>
  <c r="AH571"/>
  <c r="AG571"/>
  <c r="AF571"/>
  <c r="AE571"/>
  <c r="AD571"/>
  <c r="AC571"/>
  <c r="AB571"/>
  <c r="AA571"/>
  <c r="DE570"/>
  <c r="BJ570"/>
  <c r="BI570"/>
  <c r="BV570" s="1"/>
  <c r="BH570"/>
  <c r="BG570"/>
  <c r="BT570" s="1"/>
  <c r="BF570"/>
  <c r="BE570"/>
  <c r="BR570" s="1"/>
  <c r="BD570"/>
  <c r="BC570"/>
  <c r="BP570" s="1"/>
  <c r="BB570"/>
  <c r="BA570"/>
  <c r="BN570" s="1"/>
  <c r="AZ570"/>
  <c r="AY570"/>
  <c r="BL570" s="1"/>
  <c r="AX570"/>
  <c r="AW570"/>
  <c r="CH570" s="1"/>
  <c r="AV570"/>
  <c r="AU570"/>
  <c r="CF570" s="1"/>
  <c r="AT570"/>
  <c r="AS570"/>
  <c r="CD570" s="1"/>
  <c r="AR570"/>
  <c r="AQ570"/>
  <c r="CB570" s="1"/>
  <c r="AP570"/>
  <c r="AO570"/>
  <c r="BZ570" s="1"/>
  <c r="AN570"/>
  <c r="AM570"/>
  <c r="BX570" s="1"/>
  <c r="AL570"/>
  <c r="AK570"/>
  <c r="AJ570"/>
  <c r="AI570"/>
  <c r="AH570"/>
  <c r="AG570"/>
  <c r="AF570"/>
  <c r="AE570"/>
  <c r="AD570"/>
  <c r="AC570"/>
  <c r="AB570"/>
  <c r="AA570"/>
  <c r="DE569"/>
  <c r="BJ569"/>
  <c r="BI569"/>
  <c r="BV569" s="1"/>
  <c r="BH569"/>
  <c r="BG569"/>
  <c r="BT569" s="1"/>
  <c r="BF569"/>
  <c r="BE569"/>
  <c r="BR569" s="1"/>
  <c r="BD569"/>
  <c r="BC569"/>
  <c r="BP569" s="1"/>
  <c r="BB569"/>
  <c r="BA569"/>
  <c r="BN569" s="1"/>
  <c r="AZ569"/>
  <c r="AY569"/>
  <c r="BL569" s="1"/>
  <c r="AX569"/>
  <c r="AW569"/>
  <c r="CH569" s="1"/>
  <c r="AV569"/>
  <c r="AU569"/>
  <c r="CF569" s="1"/>
  <c r="AT569"/>
  <c r="AS569"/>
  <c r="CD569" s="1"/>
  <c r="AR569"/>
  <c r="AQ569"/>
  <c r="CB569" s="1"/>
  <c r="AP569"/>
  <c r="AO569"/>
  <c r="BZ569" s="1"/>
  <c r="AN569"/>
  <c r="AM569"/>
  <c r="BX569" s="1"/>
  <c r="AL569"/>
  <c r="AK569"/>
  <c r="AJ569"/>
  <c r="AI569"/>
  <c r="AH569"/>
  <c r="AG569"/>
  <c r="AF569"/>
  <c r="AE569"/>
  <c r="AD569"/>
  <c r="AC569"/>
  <c r="AB569"/>
  <c r="AA569"/>
  <c r="DE568"/>
  <c r="BJ568"/>
  <c r="BI568"/>
  <c r="BV568" s="1"/>
  <c r="BH568"/>
  <c r="BG568"/>
  <c r="BT568" s="1"/>
  <c r="BF568"/>
  <c r="BE568"/>
  <c r="BR568" s="1"/>
  <c r="BD568"/>
  <c r="BC568"/>
  <c r="BP568" s="1"/>
  <c r="BB568"/>
  <c r="BA568"/>
  <c r="BN568" s="1"/>
  <c r="AZ568"/>
  <c r="AY568"/>
  <c r="BL568" s="1"/>
  <c r="AX568"/>
  <c r="AW568"/>
  <c r="CH568" s="1"/>
  <c r="AV568"/>
  <c r="AU568"/>
  <c r="CF568" s="1"/>
  <c r="AT568"/>
  <c r="AS568"/>
  <c r="CD568" s="1"/>
  <c r="AR568"/>
  <c r="AQ568"/>
  <c r="CB568" s="1"/>
  <c r="AP568"/>
  <c r="AO568"/>
  <c r="BZ568" s="1"/>
  <c r="AN568"/>
  <c r="AM568"/>
  <c r="BX568" s="1"/>
  <c r="AL568"/>
  <c r="AK568"/>
  <c r="AJ568"/>
  <c r="AI568"/>
  <c r="AH568"/>
  <c r="AG568"/>
  <c r="AF568"/>
  <c r="AE568"/>
  <c r="AD568"/>
  <c r="AC568"/>
  <c r="AB568"/>
  <c r="AA568"/>
  <c r="DE567"/>
  <c r="BJ567"/>
  <c r="BI567"/>
  <c r="BV567" s="1"/>
  <c r="BH567"/>
  <c r="BG567"/>
  <c r="BT567" s="1"/>
  <c r="BF567"/>
  <c r="BE567"/>
  <c r="BR567" s="1"/>
  <c r="BD567"/>
  <c r="BC567"/>
  <c r="BP567" s="1"/>
  <c r="BB567"/>
  <c r="BA567"/>
  <c r="BN567" s="1"/>
  <c r="AZ567"/>
  <c r="AY567"/>
  <c r="BL567" s="1"/>
  <c r="AX567"/>
  <c r="AW567"/>
  <c r="CH567" s="1"/>
  <c r="AV567"/>
  <c r="AU567"/>
  <c r="CF567" s="1"/>
  <c r="AT567"/>
  <c r="AS567"/>
  <c r="CD567" s="1"/>
  <c r="AR567"/>
  <c r="AQ567"/>
  <c r="CB567" s="1"/>
  <c r="AP567"/>
  <c r="AO567"/>
  <c r="BZ567" s="1"/>
  <c r="AN567"/>
  <c r="BY567" s="1"/>
  <c r="AM567"/>
  <c r="BX567" s="1"/>
  <c r="AL567"/>
  <c r="AK567"/>
  <c r="AJ567"/>
  <c r="AI567"/>
  <c r="AH567"/>
  <c r="AG567"/>
  <c r="AF567"/>
  <c r="AE567"/>
  <c r="AD567"/>
  <c r="AC567"/>
  <c r="AB567"/>
  <c r="AA567"/>
  <c r="DE566"/>
  <c r="BJ566"/>
  <c r="BI566"/>
  <c r="BV566" s="1"/>
  <c r="BH566"/>
  <c r="BG566"/>
  <c r="BT566" s="1"/>
  <c r="BF566"/>
  <c r="BE566"/>
  <c r="BR566" s="1"/>
  <c r="BD566"/>
  <c r="BC566"/>
  <c r="BP566" s="1"/>
  <c r="BB566"/>
  <c r="BA566"/>
  <c r="BN566" s="1"/>
  <c r="AZ566"/>
  <c r="AY566"/>
  <c r="BL566" s="1"/>
  <c r="AX566"/>
  <c r="AW566"/>
  <c r="CH566" s="1"/>
  <c r="AV566"/>
  <c r="AU566"/>
  <c r="CF566" s="1"/>
  <c r="AT566"/>
  <c r="AS566"/>
  <c r="CD566" s="1"/>
  <c r="AR566"/>
  <c r="AQ566"/>
  <c r="CB566" s="1"/>
  <c r="AP566"/>
  <c r="CA566" s="1"/>
  <c r="AO566"/>
  <c r="BZ566" s="1"/>
  <c r="AN566"/>
  <c r="BY566" s="1"/>
  <c r="AM566"/>
  <c r="BX566" s="1"/>
  <c r="AL566"/>
  <c r="AK566"/>
  <c r="AJ566"/>
  <c r="AI566"/>
  <c r="AH566"/>
  <c r="AG566"/>
  <c r="AF566"/>
  <c r="AE566"/>
  <c r="AD566"/>
  <c r="AC566"/>
  <c r="AB566"/>
  <c r="AA566"/>
  <c r="DE565"/>
  <c r="BJ565"/>
  <c r="BI565"/>
  <c r="BV565" s="1"/>
  <c r="BH565"/>
  <c r="BG565"/>
  <c r="BT565" s="1"/>
  <c r="BF565"/>
  <c r="BE565"/>
  <c r="BR565" s="1"/>
  <c r="BD565"/>
  <c r="BC565"/>
  <c r="BP565" s="1"/>
  <c r="BB565"/>
  <c r="BA565"/>
  <c r="BN565" s="1"/>
  <c r="AZ565"/>
  <c r="AY565"/>
  <c r="BL565" s="1"/>
  <c r="AX565"/>
  <c r="AW565"/>
  <c r="CH565" s="1"/>
  <c r="AV565"/>
  <c r="AU565"/>
  <c r="CF565" s="1"/>
  <c r="AT565"/>
  <c r="AS565"/>
  <c r="CD565" s="1"/>
  <c r="AR565"/>
  <c r="CC565" s="1"/>
  <c r="AQ565"/>
  <c r="CB565" s="1"/>
  <c r="AP565"/>
  <c r="CA565" s="1"/>
  <c r="AO565"/>
  <c r="BZ565" s="1"/>
  <c r="AN565"/>
  <c r="BY565" s="1"/>
  <c r="AM565"/>
  <c r="BX565" s="1"/>
  <c r="AL565"/>
  <c r="AK565"/>
  <c r="AJ565"/>
  <c r="AI565"/>
  <c r="AH565"/>
  <c r="AG565"/>
  <c r="AF565"/>
  <c r="AE565"/>
  <c r="AD565"/>
  <c r="AC565"/>
  <c r="AB565"/>
  <c r="AA565"/>
  <c r="DE564"/>
  <c r="BJ564"/>
  <c r="BI564"/>
  <c r="BV564" s="1"/>
  <c r="BH564"/>
  <c r="BG564"/>
  <c r="BT564" s="1"/>
  <c r="BF564"/>
  <c r="BE564"/>
  <c r="BR564" s="1"/>
  <c r="BD564"/>
  <c r="BC564"/>
  <c r="BP564" s="1"/>
  <c r="BB564"/>
  <c r="BA564"/>
  <c r="BN564" s="1"/>
  <c r="AZ564"/>
  <c r="AY564"/>
  <c r="BL564" s="1"/>
  <c r="AX564"/>
  <c r="AW564"/>
  <c r="CH564" s="1"/>
  <c r="AV564"/>
  <c r="AU564"/>
  <c r="CF564" s="1"/>
  <c r="AT564"/>
  <c r="CE564" s="1"/>
  <c r="AS564"/>
  <c r="CD564" s="1"/>
  <c r="AR564"/>
  <c r="CC564" s="1"/>
  <c r="AQ564"/>
  <c r="CB564" s="1"/>
  <c r="AP564"/>
  <c r="CA564" s="1"/>
  <c r="AO564"/>
  <c r="BZ564" s="1"/>
  <c r="AN564"/>
  <c r="BY564" s="1"/>
  <c r="AM564"/>
  <c r="BX564" s="1"/>
  <c r="AL564"/>
  <c r="AK564"/>
  <c r="AJ564"/>
  <c r="AI564"/>
  <c r="AH564"/>
  <c r="AG564"/>
  <c r="AF564"/>
  <c r="AE564"/>
  <c r="AD564"/>
  <c r="AC564"/>
  <c r="AB564"/>
  <c r="AA564"/>
  <c r="DE563"/>
  <c r="BJ563"/>
  <c r="BI563"/>
  <c r="BV563" s="1"/>
  <c r="BH563"/>
  <c r="BG563"/>
  <c r="BT563" s="1"/>
  <c r="BF563"/>
  <c r="BE563"/>
  <c r="BR563" s="1"/>
  <c r="BD563"/>
  <c r="BC563"/>
  <c r="BP563" s="1"/>
  <c r="BB563"/>
  <c r="BA563"/>
  <c r="BN563" s="1"/>
  <c r="AZ563"/>
  <c r="AY563"/>
  <c r="BL563" s="1"/>
  <c r="AX563"/>
  <c r="AW563"/>
  <c r="CH563" s="1"/>
  <c r="AV563"/>
  <c r="CG563" s="1"/>
  <c r="AU563"/>
  <c r="CF563" s="1"/>
  <c r="AT563"/>
  <c r="CE563" s="1"/>
  <c r="AS563"/>
  <c r="CD563" s="1"/>
  <c r="AR563"/>
  <c r="CC563" s="1"/>
  <c r="AQ563"/>
  <c r="CB563" s="1"/>
  <c r="AP563"/>
  <c r="CA563" s="1"/>
  <c r="AO563"/>
  <c r="BZ563" s="1"/>
  <c r="AN563"/>
  <c r="BY563" s="1"/>
  <c r="AM563"/>
  <c r="BX563" s="1"/>
  <c r="AL563"/>
  <c r="AK563"/>
  <c r="AJ563"/>
  <c r="AI563"/>
  <c r="AH563"/>
  <c r="AG563"/>
  <c r="AF563"/>
  <c r="AE563"/>
  <c r="AD563"/>
  <c r="AC563"/>
  <c r="AB563"/>
  <c r="AA563"/>
  <c r="DE562"/>
  <c r="BJ562"/>
  <c r="BI562"/>
  <c r="BV562" s="1"/>
  <c r="BH562"/>
  <c r="BG562"/>
  <c r="BT562" s="1"/>
  <c r="BF562"/>
  <c r="BE562"/>
  <c r="BR562" s="1"/>
  <c r="BD562"/>
  <c r="BC562"/>
  <c r="BP562" s="1"/>
  <c r="BB562"/>
  <c r="BA562"/>
  <c r="BN562" s="1"/>
  <c r="AZ562"/>
  <c r="AY562"/>
  <c r="BL562" s="1"/>
  <c r="AX562"/>
  <c r="BW562" s="1"/>
  <c r="AW562"/>
  <c r="CH562" s="1"/>
  <c r="AV562"/>
  <c r="CG562" s="1"/>
  <c r="AU562"/>
  <c r="CF562" s="1"/>
  <c r="AT562"/>
  <c r="CE562" s="1"/>
  <c r="AS562"/>
  <c r="CD562" s="1"/>
  <c r="AR562"/>
  <c r="CC562" s="1"/>
  <c r="AQ562"/>
  <c r="CB562" s="1"/>
  <c r="AP562"/>
  <c r="CA562" s="1"/>
  <c r="AO562"/>
  <c r="BZ562" s="1"/>
  <c r="AN562"/>
  <c r="BY562" s="1"/>
  <c r="AM562"/>
  <c r="BX562" s="1"/>
  <c r="AL562"/>
  <c r="AK562"/>
  <c r="AJ562"/>
  <c r="AI562"/>
  <c r="AH562"/>
  <c r="AG562"/>
  <c r="AF562"/>
  <c r="AE562"/>
  <c r="AD562"/>
  <c r="AC562"/>
  <c r="AB562"/>
  <c r="AA562"/>
  <c r="DE561"/>
  <c r="BJ561"/>
  <c r="BI561"/>
  <c r="BV561" s="1"/>
  <c r="BH561"/>
  <c r="BG561"/>
  <c r="BT561" s="1"/>
  <c r="BF561"/>
  <c r="BE561"/>
  <c r="BR561" s="1"/>
  <c r="BD561"/>
  <c r="BC561"/>
  <c r="BP561" s="1"/>
  <c r="BB561"/>
  <c r="BA561"/>
  <c r="BN561" s="1"/>
  <c r="AZ561"/>
  <c r="AY561"/>
  <c r="BL561" s="1"/>
  <c r="AX561"/>
  <c r="BW561" s="1"/>
  <c r="AW561"/>
  <c r="CH561" s="1"/>
  <c r="AV561"/>
  <c r="CG561" s="1"/>
  <c r="AU561"/>
  <c r="CF561" s="1"/>
  <c r="AT561"/>
  <c r="CE561" s="1"/>
  <c r="AS561"/>
  <c r="CD561" s="1"/>
  <c r="AR561"/>
  <c r="CC561" s="1"/>
  <c r="AQ561"/>
  <c r="CB561" s="1"/>
  <c r="AP561"/>
  <c r="CA561" s="1"/>
  <c r="AO561"/>
  <c r="BZ561" s="1"/>
  <c r="AN561"/>
  <c r="BY561" s="1"/>
  <c r="AM561"/>
  <c r="BX561" s="1"/>
  <c r="AL561"/>
  <c r="AK561"/>
  <c r="AJ561"/>
  <c r="AI561"/>
  <c r="AH561"/>
  <c r="AG561"/>
  <c r="AF561"/>
  <c r="AE561"/>
  <c r="AD561"/>
  <c r="AC561"/>
  <c r="AB561"/>
  <c r="AA561"/>
  <c r="DE560"/>
  <c r="BJ560"/>
  <c r="BI560"/>
  <c r="BV560" s="1"/>
  <c r="BH560"/>
  <c r="BG560"/>
  <c r="BT560" s="1"/>
  <c r="BF560"/>
  <c r="BE560"/>
  <c r="BR560" s="1"/>
  <c r="BD560"/>
  <c r="BC560"/>
  <c r="BP560" s="1"/>
  <c r="BB560"/>
  <c r="BA560"/>
  <c r="BN560" s="1"/>
  <c r="AZ560"/>
  <c r="BM560" s="1"/>
  <c r="AY560"/>
  <c r="BL560" s="1"/>
  <c r="AX560"/>
  <c r="BW560" s="1"/>
  <c r="AW560"/>
  <c r="CH560" s="1"/>
  <c r="AV560"/>
  <c r="CG560" s="1"/>
  <c r="AU560"/>
  <c r="CF560" s="1"/>
  <c r="AT560"/>
  <c r="CE560" s="1"/>
  <c r="AS560"/>
  <c r="CD560" s="1"/>
  <c r="AR560"/>
  <c r="CC560" s="1"/>
  <c r="AQ560"/>
  <c r="CB560" s="1"/>
  <c r="AP560"/>
  <c r="CA560" s="1"/>
  <c r="AO560"/>
  <c r="BZ560" s="1"/>
  <c r="AN560"/>
  <c r="BY560" s="1"/>
  <c r="AM560"/>
  <c r="BX560" s="1"/>
  <c r="AL560"/>
  <c r="AK560"/>
  <c r="AJ560"/>
  <c r="AI560"/>
  <c r="AH560"/>
  <c r="AG560"/>
  <c r="AF560"/>
  <c r="AE560"/>
  <c r="AD560"/>
  <c r="AC560"/>
  <c r="AB560"/>
  <c r="AA560"/>
  <c r="DE559"/>
  <c r="BJ559"/>
  <c r="BI559"/>
  <c r="BV559" s="1"/>
  <c r="BH559"/>
  <c r="BG559"/>
  <c r="BT559" s="1"/>
  <c r="BF559"/>
  <c r="BE559"/>
  <c r="BR559" s="1"/>
  <c r="BD559"/>
  <c r="BQ559" s="1"/>
  <c r="BC559"/>
  <c r="BP559" s="1"/>
  <c r="BB559"/>
  <c r="BO559" s="1"/>
  <c r="BA559"/>
  <c r="BN559" s="1"/>
  <c r="AZ559"/>
  <c r="BM559" s="1"/>
  <c r="AY559"/>
  <c r="BL559" s="1"/>
  <c r="AX559"/>
  <c r="BW559" s="1"/>
  <c r="AW559"/>
  <c r="CH559" s="1"/>
  <c r="AV559"/>
  <c r="CG559" s="1"/>
  <c r="AU559"/>
  <c r="CF559" s="1"/>
  <c r="AT559"/>
  <c r="CE559" s="1"/>
  <c r="AS559"/>
  <c r="CD559" s="1"/>
  <c r="AR559"/>
  <c r="CC559" s="1"/>
  <c r="AQ559"/>
  <c r="CB559" s="1"/>
  <c r="AP559"/>
  <c r="CA559" s="1"/>
  <c r="AO559"/>
  <c r="BZ559" s="1"/>
  <c r="AN559"/>
  <c r="BY559" s="1"/>
  <c r="AM559"/>
  <c r="BX559" s="1"/>
  <c r="AL559"/>
  <c r="AK559"/>
  <c r="AJ559"/>
  <c r="AI559"/>
  <c r="AH559"/>
  <c r="AG559"/>
  <c r="AF559"/>
  <c r="AE559"/>
  <c r="AD559"/>
  <c r="AC559"/>
  <c r="AB559"/>
  <c r="AA559"/>
  <c r="DE558"/>
  <c r="BJ558"/>
  <c r="BI558"/>
  <c r="BV558" s="1"/>
  <c r="BH558"/>
  <c r="BG558"/>
  <c r="BT558" s="1"/>
  <c r="BF558"/>
  <c r="BS558" s="1"/>
  <c r="BE558"/>
  <c r="BR558" s="1"/>
  <c r="BD558"/>
  <c r="BQ558" s="1"/>
  <c r="BC558"/>
  <c r="BP558" s="1"/>
  <c r="BB558"/>
  <c r="BO558" s="1"/>
  <c r="BA558"/>
  <c r="BN558" s="1"/>
  <c r="AZ558"/>
  <c r="BM558" s="1"/>
  <c r="AY558"/>
  <c r="BL558" s="1"/>
  <c r="AX558"/>
  <c r="BW558" s="1"/>
  <c r="AW558"/>
  <c r="CH558" s="1"/>
  <c r="AV558"/>
  <c r="CG558" s="1"/>
  <c r="AU558"/>
  <c r="CF558" s="1"/>
  <c r="AT558"/>
  <c r="CE558" s="1"/>
  <c r="AS558"/>
  <c r="CD558" s="1"/>
  <c r="AR558"/>
  <c r="CC558" s="1"/>
  <c r="AQ558"/>
  <c r="CB558" s="1"/>
  <c r="AP558"/>
  <c r="CA558" s="1"/>
  <c r="AO558"/>
  <c r="BZ558" s="1"/>
  <c r="AN558"/>
  <c r="BY558" s="1"/>
  <c r="AM558"/>
  <c r="BX558" s="1"/>
  <c r="AL558"/>
  <c r="AK558"/>
  <c r="AJ558"/>
  <c r="AI558"/>
  <c r="AH558"/>
  <c r="AG558"/>
  <c r="AF558"/>
  <c r="AE558"/>
  <c r="AD558"/>
  <c r="AC558"/>
  <c r="AB558"/>
  <c r="AA558"/>
  <c r="DE557"/>
  <c r="BJ557"/>
  <c r="BI557"/>
  <c r="BV557" s="1"/>
  <c r="BH557"/>
  <c r="BU557" s="1"/>
  <c r="BG557"/>
  <c r="BT557" s="1"/>
  <c r="BF557"/>
  <c r="BS557" s="1"/>
  <c r="BE557"/>
  <c r="BR557" s="1"/>
  <c r="BD557"/>
  <c r="BQ557" s="1"/>
  <c r="BC557"/>
  <c r="BP557" s="1"/>
  <c r="BB557"/>
  <c r="BO557" s="1"/>
  <c r="BA557"/>
  <c r="BN557" s="1"/>
  <c r="AZ557"/>
  <c r="BM557" s="1"/>
  <c r="AY557"/>
  <c r="BL557" s="1"/>
  <c r="AX557"/>
  <c r="BW557" s="1"/>
  <c r="AW557"/>
  <c r="CH557" s="1"/>
  <c r="AV557"/>
  <c r="CG557" s="1"/>
  <c r="AU557"/>
  <c r="CF557" s="1"/>
  <c r="AT557"/>
  <c r="CE557" s="1"/>
  <c r="AS557"/>
  <c r="CD557" s="1"/>
  <c r="AR557"/>
  <c r="CC557" s="1"/>
  <c r="AQ557"/>
  <c r="CB557" s="1"/>
  <c r="AP557"/>
  <c r="CA557" s="1"/>
  <c r="AO557"/>
  <c r="BZ557" s="1"/>
  <c r="AN557"/>
  <c r="BY557" s="1"/>
  <c r="AM557"/>
  <c r="BX557" s="1"/>
  <c r="AL557"/>
  <c r="AK557"/>
  <c r="AJ557"/>
  <c r="AI557"/>
  <c r="AH557"/>
  <c r="AG557"/>
  <c r="AF557"/>
  <c r="AE557"/>
  <c r="AD557"/>
  <c r="AC557"/>
  <c r="AB557"/>
  <c r="AA557"/>
  <c r="DE556"/>
  <c r="BJ556"/>
  <c r="BI556"/>
  <c r="BV556" s="1"/>
  <c r="BH556"/>
  <c r="BU556" s="1"/>
  <c r="BG556"/>
  <c r="BT556" s="1"/>
  <c r="BF556"/>
  <c r="BS556" s="1"/>
  <c r="BE556"/>
  <c r="BR556" s="1"/>
  <c r="BD556"/>
  <c r="BQ556" s="1"/>
  <c r="BC556"/>
  <c r="BP556" s="1"/>
  <c r="BB556"/>
  <c r="BO556" s="1"/>
  <c r="BA556"/>
  <c r="BN556" s="1"/>
  <c r="AZ556"/>
  <c r="BM556" s="1"/>
  <c r="AY556"/>
  <c r="BL556" s="1"/>
  <c r="AX556"/>
  <c r="BW556" s="1"/>
  <c r="AW556"/>
  <c r="CH556" s="1"/>
  <c r="AV556"/>
  <c r="CG556" s="1"/>
  <c r="AU556"/>
  <c r="CF556" s="1"/>
  <c r="AT556"/>
  <c r="CE556" s="1"/>
  <c r="AS556"/>
  <c r="CD556" s="1"/>
  <c r="AR556"/>
  <c r="CC556" s="1"/>
  <c r="AQ556"/>
  <c r="CB556" s="1"/>
  <c r="AP556"/>
  <c r="CA556" s="1"/>
  <c r="AO556"/>
  <c r="BZ556" s="1"/>
  <c r="AN556"/>
  <c r="BY556" s="1"/>
  <c r="AM556"/>
  <c r="BX556" s="1"/>
  <c r="AL556"/>
  <c r="AK556"/>
  <c r="AJ556"/>
  <c r="AI556"/>
  <c r="AH556"/>
  <c r="AG556"/>
  <c r="AF556"/>
  <c r="AE556"/>
  <c r="AD556"/>
  <c r="AC556"/>
  <c r="AB556"/>
  <c r="AA556"/>
  <c r="DE555"/>
  <c r="BJ555"/>
  <c r="BI555"/>
  <c r="BV555" s="1"/>
  <c r="BH555"/>
  <c r="BU555" s="1"/>
  <c r="BG555"/>
  <c r="BT555" s="1"/>
  <c r="BF555"/>
  <c r="BS555" s="1"/>
  <c r="BE555"/>
  <c r="BR555" s="1"/>
  <c r="BD555"/>
  <c r="BQ555" s="1"/>
  <c r="BC555"/>
  <c r="BP555" s="1"/>
  <c r="BB555"/>
  <c r="BO555" s="1"/>
  <c r="BA555"/>
  <c r="BN555" s="1"/>
  <c r="AZ555"/>
  <c r="BM555" s="1"/>
  <c r="AY555"/>
  <c r="BL555" s="1"/>
  <c r="AX555"/>
  <c r="BW555" s="1"/>
  <c r="AW555"/>
  <c r="CH555" s="1"/>
  <c r="AV555"/>
  <c r="CG555" s="1"/>
  <c r="AU555"/>
  <c r="CF555" s="1"/>
  <c r="AT555"/>
  <c r="CE555" s="1"/>
  <c r="AS555"/>
  <c r="CD555" s="1"/>
  <c r="AR555"/>
  <c r="CC555" s="1"/>
  <c r="AQ555"/>
  <c r="CB555" s="1"/>
  <c r="AP555"/>
  <c r="CA555" s="1"/>
  <c r="AO555"/>
  <c r="BZ555" s="1"/>
  <c r="AN555"/>
  <c r="BY555" s="1"/>
  <c r="AM555"/>
  <c r="BX555" s="1"/>
  <c r="AL555"/>
  <c r="AK555"/>
  <c r="AJ555"/>
  <c r="AI555"/>
  <c r="AH555"/>
  <c r="AG555"/>
  <c r="AF555"/>
  <c r="AE555"/>
  <c r="AD555"/>
  <c r="AC555"/>
  <c r="AB555"/>
  <c r="AA555"/>
  <c r="DE554"/>
  <c r="BJ554"/>
  <c r="BV554" s="1"/>
  <c r="BI554"/>
  <c r="BH554"/>
  <c r="BU554" s="1"/>
  <c r="BG554"/>
  <c r="BT554" s="1"/>
  <c r="BF554"/>
  <c r="BS554" s="1"/>
  <c r="BE554"/>
  <c r="BR554" s="1"/>
  <c r="BD554"/>
  <c r="BQ554" s="1"/>
  <c r="BC554"/>
  <c r="BP554" s="1"/>
  <c r="BB554"/>
  <c r="BO554" s="1"/>
  <c r="BA554"/>
  <c r="BN554" s="1"/>
  <c r="AZ554"/>
  <c r="BM554" s="1"/>
  <c r="AY554"/>
  <c r="BL554" s="1"/>
  <c r="AX554"/>
  <c r="BW554" s="1"/>
  <c r="AW554"/>
  <c r="CH554" s="1"/>
  <c r="AV554"/>
  <c r="CG554" s="1"/>
  <c r="AU554"/>
  <c r="CF554" s="1"/>
  <c r="AT554"/>
  <c r="CE554" s="1"/>
  <c r="AS554"/>
  <c r="CD554" s="1"/>
  <c r="AR554"/>
  <c r="CC554" s="1"/>
  <c r="AQ554"/>
  <c r="CB554" s="1"/>
  <c r="AP554"/>
  <c r="CA554" s="1"/>
  <c r="AO554"/>
  <c r="BZ554" s="1"/>
  <c r="AN554"/>
  <c r="BY554" s="1"/>
  <c r="AM554"/>
  <c r="BX554" s="1"/>
  <c r="AL554"/>
  <c r="AK554"/>
  <c r="AJ554"/>
  <c r="AI554"/>
  <c r="AH554"/>
  <c r="AG554"/>
  <c r="AF554"/>
  <c r="AE554"/>
  <c r="AD554"/>
  <c r="AC554"/>
  <c r="AB554"/>
  <c r="AA554"/>
  <c r="DE553"/>
  <c r="BJ553"/>
  <c r="BV553" s="1"/>
  <c r="BI553"/>
  <c r="BH553"/>
  <c r="BU553" s="1"/>
  <c r="BG553"/>
  <c r="BT553" s="1"/>
  <c r="BF553"/>
  <c r="BS553" s="1"/>
  <c r="BE553"/>
  <c r="BR553" s="1"/>
  <c r="BD553"/>
  <c r="BQ553" s="1"/>
  <c r="BC553"/>
  <c r="BP553" s="1"/>
  <c r="BB553"/>
  <c r="BO553" s="1"/>
  <c r="BA553"/>
  <c r="BN553" s="1"/>
  <c r="AZ553"/>
  <c r="BM553" s="1"/>
  <c r="AY553"/>
  <c r="BL553" s="1"/>
  <c r="AX553"/>
  <c r="BW553" s="1"/>
  <c r="AW553"/>
  <c r="CH553" s="1"/>
  <c r="AV553"/>
  <c r="CG553" s="1"/>
  <c r="AU553"/>
  <c r="CF553" s="1"/>
  <c r="AT553"/>
  <c r="CE553" s="1"/>
  <c r="AS553"/>
  <c r="CD553" s="1"/>
  <c r="AR553"/>
  <c r="CC553" s="1"/>
  <c r="AQ553"/>
  <c r="CB553" s="1"/>
  <c r="AP553"/>
  <c r="CA553" s="1"/>
  <c r="AO553"/>
  <c r="BZ553" s="1"/>
  <c r="AN553"/>
  <c r="BY553" s="1"/>
  <c r="AM553"/>
  <c r="BX553" s="1"/>
  <c r="AL553"/>
  <c r="AK553"/>
  <c r="AJ553"/>
  <c r="AI553"/>
  <c r="AH553"/>
  <c r="AG553"/>
  <c r="AF553"/>
  <c r="AE553"/>
  <c r="AD553"/>
  <c r="AC553"/>
  <c r="AB553"/>
  <c r="AA553"/>
  <c r="DE552"/>
  <c r="BJ552"/>
  <c r="BV552" s="1"/>
  <c r="BI552"/>
  <c r="BH552"/>
  <c r="BT552" s="1"/>
  <c r="BG552"/>
  <c r="BF552"/>
  <c r="BS552" s="1"/>
  <c r="BE552"/>
  <c r="BR552" s="1"/>
  <c r="BD552"/>
  <c r="BQ552" s="1"/>
  <c r="BC552"/>
  <c r="BP552" s="1"/>
  <c r="BB552"/>
  <c r="BO552" s="1"/>
  <c r="BA552"/>
  <c r="BN552" s="1"/>
  <c r="AZ552"/>
  <c r="BM552" s="1"/>
  <c r="AY552"/>
  <c r="BL552" s="1"/>
  <c r="AX552"/>
  <c r="BW552" s="1"/>
  <c r="AW552"/>
  <c r="CH552" s="1"/>
  <c r="AV552"/>
  <c r="CG552" s="1"/>
  <c r="AU552"/>
  <c r="CF552" s="1"/>
  <c r="AT552"/>
  <c r="CE552" s="1"/>
  <c r="AS552"/>
  <c r="CD552" s="1"/>
  <c r="AR552"/>
  <c r="CC552" s="1"/>
  <c r="AQ552"/>
  <c r="CB552" s="1"/>
  <c r="AP552"/>
  <c r="CA552" s="1"/>
  <c r="AO552"/>
  <c r="BZ552" s="1"/>
  <c r="AN552"/>
  <c r="BY552" s="1"/>
  <c r="AM552"/>
  <c r="BX552" s="1"/>
  <c r="AL552"/>
  <c r="AK552"/>
  <c r="AJ552"/>
  <c r="AI552"/>
  <c r="AH552"/>
  <c r="AG552"/>
  <c r="AF552"/>
  <c r="AE552"/>
  <c r="AD552"/>
  <c r="AC552"/>
  <c r="AB552"/>
  <c r="AA552"/>
  <c r="DE551"/>
  <c r="BJ551"/>
  <c r="BV551" s="1"/>
  <c r="BI551"/>
  <c r="BH551"/>
  <c r="BT551" s="1"/>
  <c r="BG551"/>
  <c r="BF551"/>
  <c r="BR551" s="1"/>
  <c r="BE551"/>
  <c r="BD551"/>
  <c r="BQ551" s="1"/>
  <c r="BC551"/>
  <c r="BP551" s="1"/>
  <c r="BB551"/>
  <c r="BO551" s="1"/>
  <c r="BA551"/>
  <c r="BN551" s="1"/>
  <c r="AZ551"/>
  <c r="BM551" s="1"/>
  <c r="AY551"/>
  <c r="BL551" s="1"/>
  <c r="AX551"/>
  <c r="BW551" s="1"/>
  <c r="AW551"/>
  <c r="CH551" s="1"/>
  <c r="AV551"/>
  <c r="CG551" s="1"/>
  <c r="AU551"/>
  <c r="CF551" s="1"/>
  <c r="AT551"/>
  <c r="CE551" s="1"/>
  <c r="AS551"/>
  <c r="CD551" s="1"/>
  <c r="AR551"/>
  <c r="CC551" s="1"/>
  <c r="AQ551"/>
  <c r="CB551" s="1"/>
  <c r="AP551"/>
  <c r="CA551" s="1"/>
  <c r="AO551"/>
  <c r="BZ551" s="1"/>
  <c r="AN551"/>
  <c r="BY551" s="1"/>
  <c r="AM551"/>
  <c r="BX551" s="1"/>
  <c r="AL551"/>
  <c r="AK551"/>
  <c r="AJ551"/>
  <c r="AI551"/>
  <c r="AH551"/>
  <c r="AG551"/>
  <c r="AF551"/>
  <c r="AE551"/>
  <c r="AD551"/>
  <c r="AC551"/>
  <c r="AB551"/>
  <c r="AA551"/>
  <c r="DE550"/>
  <c r="BJ550"/>
  <c r="BV550" s="1"/>
  <c r="BI550"/>
  <c r="BH550"/>
  <c r="BT550" s="1"/>
  <c r="BG550"/>
  <c r="BF550"/>
  <c r="BR550" s="1"/>
  <c r="BE550"/>
  <c r="BD550"/>
  <c r="BP550" s="1"/>
  <c r="BC550"/>
  <c r="BB550"/>
  <c r="BO550" s="1"/>
  <c r="BA550"/>
  <c r="BN550" s="1"/>
  <c r="AZ550"/>
  <c r="BM550" s="1"/>
  <c r="AY550"/>
  <c r="BL550" s="1"/>
  <c r="AX550"/>
  <c r="BW550" s="1"/>
  <c r="AW550"/>
  <c r="CH550" s="1"/>
  <c r="AV550"/>
  <c r="CG550" s="1"/>
  <c r="AU550"/>
  <c r="CF550" s="1"/>
  <c r="AT550"/>
  <c r="CE550" s="1"/>
  <c r="AS550"/>
  <c r="CD550" s="1"/>
  <c r="AR550"/>
  <c r="CC550" s="1"/>
  <c r="AQ550"/>
  <c r="CB550" s="1"/>
  <c r="AP550"/>
  <c r="CA550" s="1"/>
  <c r="AO550"/>
  <c r="BZ550" s="1"/>
  <c r="AN550"/>
  <c r="BY550" s="1"/>
  <c r="AM550"/>
  <c r="BX550" s="1"/>
  <c r="AL550"/>
  <c r="AK550"/>
  <c r="AJ550"/>
  <c r="AI550"/>
  <c r="AH550"/>
  <c r="AG550"/>
  <c r="AF550"/>
  <c r="AE550"/>
  <c r="AD550"/>
  <c r="AC550"/>
  <c r="AB550"/>
  <c r="AA550"/>
  <c r="DE549"/>
  <c r="BJ549"/>
  <c r="BV549" s="1"/>
  <c r="BI549"/>
  <c r="BH549"/>
  <c r="BT549" s="1"/>
  <c r="BG549"/>
  <c r="BF549"/>
  <c r="BR549" s="1"/>
  <c r="BE549"/>
  <c r="BD549"/>
  <c r="BP549" s="1"/>
  <c r="BC549"/>
  <c r="BB549"/>
  <c r="BN549" s="1"/>
  <c r="BA549"/>
  <c r="AZ549"/>
  <c r="BM549" s="1"/>
  <c r="AY549"/>
  <c r="BL549" s="1"/>
  <c r="AX549"/>
  <c r="BW549" s="1"/>
  <c r="AW549"/>
  <c r="CH549" s="1"/>
  <c r="AV549"/>
  <c r="CG549" s="1"/>
  <c r="AU549"/>
  <c r="CF549" s="1"/>
  <c r="AT549"/>
  <c r="CE549" s="1"/>
  <c r="AS549"/>
  <c r="CD549" s="1"/>
  <c r="AR549"/>
  <c r="CC549" s="1"/>
  <c r="AQ549"/>
  <c r="CB549" s="1"/>
  <c r="AP549"/>
  <c r="CA549" s="1"/>
  <c r="AO549"/>
  <c r="BZ549" s="1"/>
  <c r="AN549"/>
  <c r="BY549" s="1"/>
  <c r="AM549"/>
  <c r="BX549" s="1"/>
  <c r="AL549"/>
  <c r="AK549"/>
  <c r="AJ549"/>
  <c r="AI549"/>
  <c r="AH549"/>
  <c r="AG549"/>
  <c r="AF549"/>
  <c r="AE549"/>
  <c r="AD549"/>
  <c r="AC549"/>
  <c r="AB549"/>
  <c r="AA549"/>
  <c r="DE548"/>
  <c r="BJ548"/>
  <c r="BV548" s="1"/>
  <c r="BI548"/>
  <c r="BH548"/>
  <c r="BT548" s="1"/>
  <c r="BG548"/>
  <c r="BF548"/>
  <c r="BR548" s="1"/>
  <c r="BE548"/>
  <c r="BD548"/>
  <c r="BP548" s="1"/>
  <c r="BC548"/>
  <c r="BB548"/>
  <c r="BN548" s="1"/>
  <c r="BA548"/>
  <c r="AZ548"/>
  <c r="BL548" s="1"/>
  <c r="AY548"/>
  <c r="BK548" s="1"/>
  <c r="AX548"/>
  <c r="BW548" s="1"/>
  <c r="AW548"/>
  <c r="CH548" s="1"/>
  <c r="AV548"/>
  <c r="CG548" s="1"/>
  <c r="AU548"/>
  <c r="CF548" s="1"/>
  <c r="AT548"/>
  <c r="CE548" s="1"/>
  <c r="AS548"/>
  <c r="CD548" s="1"/>
  <c r="AR548"/>
  <c r="CC548" s="1"/>
  <c r="AQ548"/>
  <c r="CB548" s="1"/>
  <c r="AP548"/>
  <c r="CA548" s="1"/>
  <c r="AO548"/>
  <c r="BZ548" s="1"/>
  <c r="AN548"/>
  <c r="BY548" s="1"/>
  <c r="AM548"/>
  <c r="BX548" s="1"/>
  <c r="AL548"/>
  <c r="AK548"/>
  <c r="AJ548"/>
  <c r="AI548"/>
  <c r="AH548"/>
  <c r="AG548"/>
  <c r="AF548"/>
  <c r="AE548"/>
  <c r="AD548"/>
  <c r="AC548"/>
  <c r="AB548"/>
  <c r="AA548"/>
  <c r="DE547"/>
  <c r="BJ547"/>
  <c r="BV547" s="1"/>
  <c r="BI547"/>
  <c r="BH547"/>
  <c r="BT547" s="1"/>
  <c r="BG547"/>
  <c r="BF547"/>
  <c r="BR547" s="1"/>
  <c r="BE547"/>
  <c r="BD547"/>
  <c r="BP547" s="1"/>
  <c r="BC547"/>
  <c r="BB547"/>
  <c r="BN547" s="1"/>
  <c r="BA547"/>
  <c r="AZ547"/>
  <c r="BL547" s="1"/>
  <c r="AY547"/>
  <c r="BK547" s="1"/>
  <c r="AX547"/>
  <c r="BW547" s="1"/>
  <c r="AW547"/>
  <c r="CH547" s="1"/>
  <c r="AV547"/>
  <c r="CG547" s="1"/>
  <c r="AU547"/>
  <c r="CF547" s="1"/>
  <c r="AT547"/>
  <c r="CE547" s="1"/>
  <c r="AS547"/>
  <c r="CD547" s="1"/>
  <c r="AR547"/>
  <c r="CC547" s="1"/>
  <c r="AQ547"/>
  <c r="CB547" s="1"/>
  <c r="AP547"/>
  <c r="CA547" s="1"/>
  <c r="AO547"/>
  <c r="BZ547" s="1"/>
  <c r="AN547"/>
  <c r="BY547" s="1"/>
  <c r="AM547"/>
  <c r="BX547" s="1"/>
  <c r="AL547"/>
  <c r="AK547"/>
  <c r="AJ547"/>
  <c r="AI547"/>
  <c r="AH547"/>
  <c r="AG547"/>
  <c r="AF547"/>
  <c r="AE547"/>
  <c r="AD547"/>
  <c r="AC547"/>
  <c r="AB547"/>
  <c r="AA547"/>
  <c r="DE546"/>
  <c r="BJ546"/>
  <c r="BV546" s="1"/>
  <c r="BI546"/>
  <c r="BH546"/>
  <c r="BT546" s="1"/>
  <c r="BG546"/>
  <c r="BF546"/>
  <c r="BR546" s="1"/>
  <c r="BE546"/>
  <c r="BD546"/>
  <c r="BP546" s="1"/>
  <c r="BC546"/>
  <c r="BB546"/>
  <c r="BN546" s="1"/>
  <c r="BA546"/>
  <c r="AZ546"/>
  <c r="BL546" s="1"/>
  <c r="AY546"/>
  <c r="BK546" s="1"/>
  <c r="AX546"/>
  <c r="BW546" s="1"/>
  <c r="AW546"/>
  <c r="CH546" s="1"/>
  <c r="AV546"/>
  <c r="CG546" s="1"/>
  <c r="AU546"/>
  <c r="CF546" s="1"/>
  <c r="AT546"/>
  <c r="CE546" s="1"/>
  <c r="AS546"/>
  <c r="CD546" s="1"/>
  <c r="AR546"/>
  <c r="CC546" s="1"/>
  <c r="AQ546"/>
  <c r="CB546" s="1"/>
  <c r="AP546"/>
  <c r="CA546" s="1"/>
  <c r="AO546"/>
  <c r="BZ546" s="1"/>
  <c r="AN546"/>
  <c r="BY546" s="1"/>
  <c r="AM546"/>
  <c r="BX546" s="1"/>
  <c r="AL546"/>
  <c r="AK546"/>
  <c r="AJ546"/>
  <c r="AI546"/>
  <c r="AH546"/>
  <c r="AG546"/>
  <c r="AF546"/>
  <c r="AE546"/>
  <c r="AD546"/>
  <c r="AC546"/>
  <c r="AB546"/>
  <c r="AA546"/>
  <c r="DE545"/>
  <c r="BJ545"/>
  <c r="BV545" s="1"/>
  <c r="BI545"/>
  <c r="BH545"/>
  <c r="BT545" s="1"/>
  <c r="BG545"/>
  <c r="BF545"/>
  <c r="BR545" s="1"/>
  <c r="BE545"/>
  <c r="BD545"/>
  <c r="BP545" s="1"/>
  <c r="BC545"/>
  <c r="BB545"/>
  <c r="BN545" s="1"/>
  <c r="BA545"/>
  <c r="AZ545"/>
  <c r="BL545" s="1"/>
  <c r="AY545"/>
  <c r="BK545" s="1"/>
  <c r="AX545"/>
  <c r="CH545" s="1"/>
  <c r="AW545"/>
  <c r="AV545"/>
  <c r="CG545" s="1"/>
  <c r="AU545"/>
  <c r="CF545" s="1"/>
  <c r="AT545"/>
  <c r="CE545" s="1"/>
  <c r="AS545"/>
  <c r="CD545" s="1"/>
  <c r="AR545"/>
  <c r="CC545" s="1"/>
  <c r="AQ545"/>
  <c r="CB545" s="1"/>
  <c r="AP545"/>
  <c r="CA545" s="1"/>
  <c r="AO545"/>
  <c r="BZ545" s="1"/>
  <c r="AN545"/>
  <c r="BY545" s="1"/>
  <c r="AM545"/>
  <c r="BX545" s="1"/>
  <c r="AL545"/>
  <c r="AK545"/>
  <c r="AJ545"/>
  <c r="AI545"/>
  <c r="AH545"/>
  <c r="AG545"/>
  <c r="AF545"/>
  <c r="AE545"/>
  <c r="AD545"/>
  <c r="AC545"/>
  <c r="AB545"/>
  <c r="AA545"/>
  <c r="DE544"/>
  <c r="BJ544"/>
  <c r="BV544" s="1"/>
  <c r="BI544"/>
  <c r="BH544"/>
  <c r="BT544" s="1"/>
  <c r="BG544"/>
  <c r="BF544"/>
  <c r="BR544" s="1"/>
  <c r="BE544"/>
  <c r="BD544"/>
  <c r="BP544" s="1"/>
  <c r="BC544"/>
  <c r="BB544"/>
  <c r="BN544" s="1"/>
  <c r="BA544"/>
  <c r="AZ544"/>
  <c r="BL544" s="1"/>
  <c r="AY544"/>
  <c r="BK544" s="1"/>
  <c r="AX544"/>
  <c r="CH544" s="1"/>
  <c r="AW544"/>
  <c r="AV544"/>
  <c r="CF544" s="1"/>
  <c r="AU544"/>
  <c r="AT544"/>
  <c r="CE544" s="1"/>
  <c r="AS544"/>
  <c r="CD544" s="1"/>
  <c r="AR544"/>
  <c r="CC544" s="1"/>
  <c r="AQ544"/>
  <c r="CB544" s="1"/>
  <c r="AP544"/>
  <c r="CA544" s="1"/>
  <c r="AO544"/>
  <c r="BZ544" s="1"/>
  <c r="AN544"/>
  <c r="BY544" s="1"/>
  <c r="AM544"/>
  <c r="BX544" s="1"/>
  <c r="AL544"/>
  <c r="AK544"/>
  <c r="AJ544"/>
  <c r="AI544"/>
  <c r="AH544"/>
  <c r="AG544"/>
  <c r="AF544"/>
  <c r="AE544"/>
  <c r="AD544"/>
  <c r="AC544"/>
  <c r="AB544"/>
  <c r="AA544"/>
  <c r="DE543"/>
  <c r="BJ543"/>
  <c r="BV543" s="1"/>
  <c r="BI543"/>
  <c r="BH543"/>
  <c r="BT543" s="1"/>
  <c r="BG543"/>
  <c r="BF543"/>
  <c r="BR543" s="1"/>
  <c r="BE543"/>
  <c r="BD543"/>
  <c r="BP543" s="1"/>
  <c r="BC543"/>
  <c r="BB543"/>
  <c r="BN543" s="1"/>
  <c r="BA543"/>
  <c r="AZ543"/>
  <c r="BL543" s="1"/>
  <c r="AY543"/>
  <c r="BK543" s="1"/>
  <c r="AX543"/>
  <c r="CH543" s="1"/>
  <c r="AW543"/>
  <c r="AV543"/>
  <c r="CF543" s="1"/>
  <c r="AU543"/>
  <c r="AT543"/>
  <c r="CD543" s="1"/>
  <c r="AS543"/>
  <c r="AR543"/>
  <c r="CC543" s="1"/>
  <c r="AQ543"/>
  <c r="CB543" s="1"/>
  <c r="AP543"/>
  <c r="CA543" s="1"/>
  <c r="AO543"/>
  <c r="BZ543" s="1"/>
  <c r="AN543"/>
  <c r="BY543" s="1"/>
  <c r="AM543"/>
  <c r="BX543" s="1"/>
  <c r="AL543"/>
  <c r="AK543"/>
  <c r="AJ543"/>
  <c r="AI543"/>
  <c r="AH543"/>
  <c r="AG543"/>
  <c r="AF543"/>
  <c r="AE543"/>
  <c r="AD543"/>
  <c r="AC543"/>
  <c r="AB543"/>
  <c r="AA543"/>
  <c r="DE542"/>
  <c r="BJ542"/>
  <c r="BV542" s="1"/>
  <c r="BI542"/>
  <c r="BH542"/>
  <c r="BT542" s="1"/>
  <c r="BG542"/>
  <c r="BF542"/>
  <c r="BR542" s="1"/>
  <c r="BE542"/>
  <c r="BD542"/>
  <c r="BP542" s="1"/>
  <c r="BC542"/>
  <c r="BB542"/>
  <c r="BN542" s="1"/>
  <c r="BA542"/>
  <c r="AZ542"/>
  <c r="BL542" s="1"/>
  <c r="AY542"/>
  <c r="BK542" s="1"/>
  <c r="AX542"/>
  <c r="CH542" s="1"/>
  <c r="AW542"/>
  <c r="AV542"/>
  <c r="CF542" s="1"/>
  <c r="AU542"/>
  <c r="AT542"/>
  <c r="CD542" s="1"/>
  <c r="AS542"/>
  <c r="AR542"/>
  <c r="CB542" s="1"/>
  <c r="AQ542"/>
  <c r="AP542"/>
  <c r="CA542" s="1"/>
  <c r="AO542"/>
  <c r="BZ542" s="1"/>
  <c r="AN542"/>
  <c r="BY542" s="1"/>
  <c r="AM542"/>
  <c r="BX542" s="1"/>
  <c r="AL542"/>
  <c r="AK542"/>
  <c r="AJ542"/>
  <c r="AI542"/>
  <c r="AH542"/>
  <c r="AG542"/>
  <c r="AF542"/>
  <c r="AE542"/>
  <c r="AD542"/>
  <c r="AC542"/>
  <c r="AB542"/>
  <c r="AA542"/>
  <c r="DE541"/>
  <c r="BJ541"/>
  <c r="BV541" s="1"/>
  <c r="BI541"/>
  <c r="BH541"/>
  <c r="BT541" s="1"/>
  <c r="BG541"/>
  <c r="BF541"/>
  <c r="BR541" s="1"/>
  <c r="BE541"/>
  <c r="BD541"/>
  <c r="BP541" s="1"/>
  <c r="BC541"/>
  <c r="BB541"/>
  <c r="BN541" s="1"/>
  <c r="BA541"/>
  <c r="AZ541"/>
  <c r="BL541" s="1"/>
  <c r="AY541"/>
  <c r="BK541" s="1"/>
  <c r="AX541"/>
  <c r="CH541" s="1"/>
  <c r="AW541"/>
  <c r="AV541"/>
  <c r="CF541" s="1"/>
  <c r="AU541"/>
  <c r="AT541"/>
  <c r="CD541" s="1"/>
  <c r="AS541"/>
  <c r="AR541"/>
  <c r="CB541" s="1"/>
  <c r="AQ541"/>
  <c r="AP541"/>
  <c r="BZ541" s="1"/>
  <c r="AO541"/>
  <c r="AN541"/>
  <c r="BX541" s="1"/>
  <c r="AM541"/>
  <c r="AL541"/>
  <c r="AK541"/>
  <c r="AJ541"/>
  <c r="AI541"/>
  <c r="AH541"/>
  <c r="AG541"/>
  <c r="AF541"/>
  <c r="AE541"/>
  <c r="AD541"/>
  <c r="AC541"/>
  <c r="AB541"/>
  <c r="AA541"/>
  <c r="DE540"/>
  <c r="BJ540"/>
  <c r="BV540" s="1"/>
  <c r="BI540"/>
  <c r="BH540"/>
  <c r="BT540" s="1"/>
  <c r="BG540"/>
  <c r="BF540"/>
  <c r="BR540" s="1"/>
  <c r="BE540"/>
  <c r="BD540"/>
  <c r="BP540" s="1"/>
  <c r="BC540"/>
  <c r="BB540"/>
  <c r="BN540" s="1"/>
  <c r="BA540"/>
  <c r="AZ540"/>
  <c r="BL540" s="1"/>
  <c r="AY540"/>
  <c r="BK540" s="1"/>
  <c r="AX540"/>
  <c r="CH540" s="1"/>
  <c r="AW540"/>
  <c r="AV540"/>
  <c r="CF540" s="1"/>
  <c r="AU540"/>
  <c r="AT540"/>
  <c r="CD540" s="1"/>
  <c r="AS540"/>
  <c r="AR540"/>
  <c r="CB540" s="1"/>
  <c r="AQ540"/>
  <c r="AP540"/>
  <c r="BZ540" s="1"/>
  <c r="AO540"/>
  <c r="AN540"/>
  <c r="BX540" s="1"/>
  <c r="AM540"/>
  <c r="AL540"/>
  <c r="AK540"/>
  <c r="AJ540"/>
  <c r="AI540"/>
  <c r="AH540"/>
  <c r="AG540"/>
  <c r="AF540"/>
  <c r="AE540"/>
  <c r="AD540"/>
  <c r="AC540"/>
  <c r="AB540"/>
  <c r="AA540"/>
  <c r="DE539"/>
  <c r="BJ539"/>
  <c r="BV539" s="1"/>
  <c r="BI539"/>
  <c r="BH539"/>
  <c r="BT539" s="1"/>
  <c r="BG539"/>
  <c r="BF539"/>
  <c r="BR539" s="1"/>
  <c r="BE539"/>
  <c r="BD539"/>
  <c r="BP539" s="1"/>
  <c r="BC539"/>
  <c r="BB539"/>
  <c r="BN539" s="1"/>
  <c r="BA539"/>
  <c r="AZ539"/>
  <c r="BL539" s="1"/>
  <c r="AY539"/>
  <c r="BK539" s="1"/>
  <c r="AX539"/>
  <c r="CH539" s="1"/>
  <c r="AW539"/>
  <c r="AV539"/>
  <c r="CF539" s="1"/>
  <c r="AU539"/>
  <c r="AT539"/>
  <c r="CD539" s="1"/>
  <c r="AS539"/>
  <c r="AR539"/>
  <c r="CB539" s="1"/>
  <c r="AQ539"/>
  <c r="AP539"/>
  <c r="BZ539" s="1"/>
  <c r="AO539"/>
  <c r="AN539"/>
  <c r="BX539" s="1"/>
  <c r="AM539"/>
  <c r="AL539"/>
  <c r="AK539"/>
  <c r="AJ539"/>
  <c r="AI539"/>
  <c r="AH539"/>
  <c r="AG539"/>
  <c r="AF539"/>
  <c r="AE539"/>
  <c r="AD539"/>
  <c r="AC539"/>
  <c r="AB539"/>
  <c r="AA539"/>
  <c r="DE538"/>
  <c r="BJ538"/>
  <c r="BV538" s="1"/>
  <c r="BI538"/>
  <c r="BH538"/>
  <c r="BT538" s="1"/>
  <c r="BG538"/>
  <c r="BF538"/>
  <c r="BR538" s="1"/>
  <c r="BE538"/>
  <c r="BD538"/>
  <c r="BP538" s="1"/>
  <c r="BC538"/>
  <c r="BB538"/>
  <c r="BN538" s="1"/>
  <c r="BA538"/>
  <c r="AZ538"/>
  <c r="BL538" s="1"/>
  <c r="AY538"/>
  <c r="BK538" s="1"/>
  <c r="AX538"/>
  <c r="CH538" s="1"/>
  <c r="AW538"/>
  <c r="AV538"/>
  <c r="CF538" s="1"/>
  <c r="AU538"/>
  <c r="AT538"/>
  <c r="CD538" s="1"/>
  <c r="AS538"/>
  <c r="AR538"/>
  <c r="CB538" s="1"/>
  <c r="AQ538"/>
  <c r="AP538"/>
  <c r="BZ538" s="1"/>
  <c r="AO538"/>
  <c r="AN538"/>
  <c r="BX538" s="1"/>
  <c r="AM538"/>
  <c r="AL538"/>
  <c r="AK538"/>
  <c r="AJ538"/>
  <c r="AI538"/>
  <c r="AH538"/>
  <c r="AG538"/>
  <c r="AF538"/>
  <c r="AE538"/>
  <c r="AD538"/>
  <c r="AC538"/>
  <c r="AB538"/>
  <c r="AA538"/>
  <c r="DE537"/>
  <c r="BJ537"/>
  <c r="BV537" s="1"/>
  <c r="BI537"/>
  <c r="BH537"/>
  <c r="BT537" s="1"/>
  <c r="BG537"/>
  <c r="BF537"/>
  <c r="BR537" s="1"/>
  <c r="BE537"/>
  <c r="BD537"/>
  <c r="BP537" s="1"/>
  <c r="BC537"/>
  <c r="BB537"/>
  <c r="BN537" s="1"/>
  <c r="BA537"/>
  <c r="AZ537"/>
  <c r="BL537" s="1"/>
  <c r="AY537"/>
  <c r="BK537" s="1"/>
  <c r="AX537"/>
  <c r="CH537" s="1"/>
  <c r="AW537"/>
  <c r="AV537"/>
  <c r="CF537" s="1"/>
  <c r="AU537"/>
  <c r="AT537"/>
  <c r="CD537" s="1"/>
  <c r="AS537"/>
  <c r="AR537"/>
  <c r="CB537" s="1"/>
  <c r="AQ537"/>
  <c r="AP537"/>
  <c r="BZ537" s="1"/>
  <c r="AO537"/>
  <c r="AN537"/>
  <c r="BX537" s="1"/>
  <c r="AM537"/>
  <c r="AL537"/>
  <c r="AK537"/>
  <c r="AJ537"/>
  <c r="AI537"/>
  <c r="AH537"/>
  <c r="AG537"/>
  <c r="AF537"/>
  <c r="AE537"/>
  <c r="AD537"/>
  <c r="AC537"/>
  <c r="AB537"/>
  <c r="AA537"/>
  <c r="DE536"/>
  <c r="BJ536"/>
  <c r="BV536" s="1"/>
  <c r="BI536"/>
  <c r="BH536"/>
  <c r="BT536" s="1"/>
  <c r="BG536"/>
  <c r="BF536"/>
  <c r="BR536" s="1"/>
  <c r="BE536"/>
  <c r="BD536"/>
  <c r="BP536" s="1"/>
  <c r="BC536"/>
  <c r="BB536"/>
  <c r="BN536" s="1"/>
  <c r="BA536"/>
  <c r="AZ536"/>
  <c r="BL536" s="1"/>
  <c r="AY536"/>
  <c r="BK536" s="1"/>
  <c r="AX536"/>
  <c r="CH536" s="1"/>
  <c r="AW536"/>
  <c r="AV536"/>
  <c r="CF536" s="1"/>
  <c r="AU536"/>
  <c r="AT536"/>
  <c r="CD536" s="1"/>
  <c r="AS536"/>
  <c r="AR536"/>
  <c r="CB536" s="1"/>
  <c r="AQ536"/>
  <c r="AP536"/>
  <c r="BZ536" s="1"/>
  <c r="AO536"/>
  <c r="AN536"/>
  <c r="BX536" s="1"/>
  <c r="AM536"/>
  <c r="AL536"/>
  <c r="AK536"/>
  <c r="AJ536"/>
  <c r="AI536"/>
  <c r="AH536"/>
  <c r="AG536"/>
  <c r="AF536"/>
  <c r="AE536"/>
  <c r="AD536"/>
  <c r="AC536"/>
  <c r="AB536"/>
  <c r="AA536"/>
  <c r="DE535"/>
  <c r="BJ535"/>
  <c r="BV535" s="1"/>
  <c r="BI535"/>
  <c r="BH535"/>
  <c r="BT535" s="1"/>
  <c r="BG535"/>
  <c r="BF535"/>
  <c r="BR535" s="1"/>
  <c r="BE535"/>
  <c r="BD535"/>
  <c r="BP535" s="1"/>
  <c r="BC535"/>
  <c r="BB535"/>
  <c r="BN535" s="1"/>
  <c r="BA535"/>
  <c r="AZ535"/>
  <c r="BL535" s="1"/>
  <c r="AY535"/>
  <c r="BK535" s="1"/>
  <c r="AX535"/>
  <c r="CH535" s="1"/>
  <c r="AW535"/>
  <c r="AV535"/>
  <c r="CF535" s="1"/>
  <c r="AU535"/>
  <c r="AT535"/>
  <c r="CD535" s="1"/>
  <c r="AS535"/>
  <c r="AR535"/>
  <c r="CB535" s="1"/>
  <c r="AQ535"/>
  <c r="AP535"/>
  <c r="BZ535" s="1"/>
  <c r="AO535"/>
  <c r="AN535"/>
  <c r="BX535" s="1"/>
  <c r="AM535"/>
  <c r="AL535"/>
  <c r="AK535"/>
  <c r="AJ535"/>
  <c r="AI535"/>
  <c r="AH535"/>
  <c r="AG535"/>
  <c r="AF535"/>
  <c r="AE535"/>
  <c r="AD535"/>
  <c r="AC535"/>
  <c r="AB535"/>
  <c r="AA535"/>
  <c r="DE534"/>
  <c r="BJ534"/>
  <c r="BV534" s="1"/>
  <c r="BI534"/>
  <c r="BH534"/>
  <c r="BT534" s="1"/>
  <c r="BG534"/>
  <c r="BF534"/>
  <c r="BR534" s="1"/>
  <c r="BE534"/>
  <c r="BD534"/>
  <c r="BP534" s="1"/>
  <c r="BC534"/>
  <c r="BB534"/>
  <c r="BN534" s="1"/>
  <c r="BA534"/>
  <c r="AZ534"/>
  <c r="BL534" s="1"/>
  <c r="AY534"/>
  <c r="BK534" s="1"/>
  <c r="AX534"/>
  <c r="CH534" s="1"/>
  <c r="AW534"/>
  <c r="AV534"/>
  <c r="CF534" s="1"/>
  <c r="AU534"/>
  <c r="AT534"/>
  <c r="CD534" s="1"/>
  <c r="AS534"/>
  <c r="AR534"/>
  <c r="CB534" s="1"/>
  <c r="AQ534"/>
  <c r="AP534"/>
  <c r="BZ534" s="1"/>
  <c r="AO534"/>
  <c r="AN534"/>
  <c r="BX534" s="1"/>
  <c r="AM534"/>
  <c r="AL534"/>
  <c r="AK534"/>
  <c r="AJ534"/>
  <c r="AI534"/>
  <c r="AH534"/>
  <c r="AG534"/>
  <c r="AF534"/>
  <c r="AE534"/>
  <c r="AD534"/>
  <c r="AC534"/>
  <c r="AB534"/>
  <c r="AA534"/>
  <c r="DE533"/>
  <c r="BJ533"/>
  <c r="BV533" s="1"/>
  <c r="BI533"/>
  <c r="BH533"/>
  <c r="BT533" s="1"/>
  <c r="BG533"/>
  <c r="BF533"/>
  <c r="BR533" s="1"/>
  <c r="BE533"/>
  <c r="BD533"/>
  <c r="BP533" s="1"/>
  <c r="BC533"/>
  <c r="BB533"/>
  <c r="BN533" s="1"/>
  <c r="BA533"/>
  <c r="AZ533"/>
  <c r="BL533" s="1"/>
  <c r="AY533"/>
  <c r="BK533" s="1"/>
  <c r="AX533"/>
  <c r="CH533" s="1"/>
  <c r="AW533"/>
  <c r="AV533"/>
  <c r="CF533" s="1"/>
  <c r="AU533"/>
  <c r="AT533"/>
  <c r="CD533" s="1"/>
  <c r="AS533"/>
  <c r="AR533"/>
  <c r="CB533" s="1"/>
  <c r="AQ533"/>
  <c r="AP533"/>
  <c r="BZ533" s="1"/>
  <c r="AO533"/>
  <c r="AN533"/>
  <c r="BX533" s="1"/>
  <c r="AM533"/>
  <c r="AL533"/>
  <c r="AK533"/>
  <c r="AJ533"/>
  <c r="AI533"/>
  <c r="AH533"/>
  <c r="AG533"/>
  <c r="AF533"/>
  <c r="AE533"/>
  <c r="AD533"/>
  <c r="AC533"/>
  <c r="AB533"/>
  <c r="AA533"/>
  <c r="DE532"/>
  <c r="BJ532"/>
  <c r="BV532" s="1"/>
  <c r="BI532"/>
  <c r="BH532"/>
  <c r="BT532" s="1"/>
  <c r="BG532"/>
  <c r="BF532"/>
  <c r="BR532" s="1"/>
  <c r="BE532"/>
  <c r="BD532"/>
  <c r="BP532" s="1"/>
  <c r="BC532"/>
  <c r="BB532"/>
  <c r="BN532" s="1"/>
  <c r="BA532"/>
  <c r="AZ532"/>
  <c r="BL532" s="1"/>
  <c r="AY532"/>
  <c r="BK532" s="1"/>
  <c r="AX532"/>
  <c r="CH532" s="1"/>
  <c r="AW532"/>
  <c r="AV532"/>
  <c r="CF532" s="1"/>
  <c r="AU532"/>
  <c r="AT532"/>
  <c r="CD532" s="1"/>
  <c r="AS532"/>
  <c r="AR532"/>
  <c r="CB532" s="1"/>
  <c r="AQ532"/>
  <c r="AP532"/>
  <c r="BZ532" s="1"/>
  <c r="AO532"/>
  <c r="AN532"/>
  <c r="BX532" s="1"/>
  <c r="AM532"/>
  <c r="AL532"/>
  <c r="AK532"/>
  <c r="AJ532"/>
  <c r="AI532"/>
  <c r="AH532"/>
  <c r="AG532"/>
  <c r="AF532"/>
  <c r="AE532"/>
  <c r="AD532"/>
  <c r="AC532"/>
  <c r="AB532"/>
  <c r="AA532"/>
  <c r="DE531"/>
  <c r="BJ531"/>
  <c r="BV531" s="1"/>
  <c r="BI531"/>
  <c r="BH531"/>
  <c r="BT531" s="1"/>
  <c r="BG531"/>
  <c r="BF531"/>
  <c r="BR531" s="1"/>
  <c r="BE531"/>
  <c r="BD531"/>
  <c r="BP531" s="1"/>
  <c r="BC531"/>
  <c r="BB531"/>
  <c r="BN531" s="1"/>
  <c r="BA531"/>
  <c r="AZ531"/>
  <c r="BL531" s="1"/>
  <c r="AY531"/>
  <c r="BK531" s="1"/>
  <c r="AX531"/>
  <c r="CH531" s="1"/>
  <c r="AW531"/>
  <c r="AV531"/>
  <c r="CF531" s="1"/>
  <c r="AU531"/>
  <c r="AT531"/>
  <c r="CD531" s="1"/>
  <c r="AS531"/>
  <c r="AR531"/>
  <c r="CB531" s="1"/>
  <c r="AQ531"/>
  <c r="AP531"/>
  <c r="BZ531" s="1"/>
  <c r="AO531"/>
  <c r="AN531"/>
  <c r="BX531" s="1"/>
  <c r="AM531"/>
  <c r="AL531"/>
  <c r="AK531"/>
  <c r="AJ531"/>
  <c r="AI531"/>
  <c r="AH531"/>
  <c r="AG531"/>
  <c r="AF531"/>
  <c r="AE531"/>
  <c r="AD531"/>
  <c r="AC531"/>
  <c r="AB531"/>
  <c r="AA531"/>
  <c r="DE530"/>
  <c r="BJ530"/>
  <c r="BV530" s="1"/>
  <c r="BI530"/>
  <c r="BH530"/>
  <c r="BT530" s="1"/>
  <c r="BG530"/>
  <c r="BF530"/>
  <c r="BR530" s="1"/>
  <c r="BE530"/>
  <c r="BD530"/>
  <c r="BP530" s="1"/>
  <c r="BC530"/>
  <c r="BB530"/>
  <c r="BN530" s="1"/>
  <c r="BA530"/>
  <c r="AZ530"/>
  <c r="BL530" s="1"/>
  <c r="AY530"/>
  <c r="BK530" s="1"/>
  <c r="AX530"/>
  <c r="CH530" s="1"/>
  <c r="AW530"/>
  <c r="AV530"/>
  <c r="CF530" s="1"/>
  <c r="AU530"/>
  <c r="AT530"/>
  <c r="CD530" s="1"/>
  <c r="AS530"/>
  <c r="AR530"/>
  <c r="CB530" s="1"/>
  <c r="AQ530"/>
  <c r="AP530"/>
  <c r="BZ530" s="1"/>
  <c r="AO530"/>
  <c r="AN530"/>
  <c r="BX530" s="1"/>
  <c r="AM530"/>
  <c r="AL530"/>
  <c r="AK530"/>
  <c r="AJ530"/>
  <c r="AI530"/>
  <c r="AH530"/>
  <c r="AG530"/>
  <c r="AF530"/>
  <c r="AE530"/>
  <c r="AD530"/>
  <c r="AC530"/>
  <c r="AB530"/>
  <c r="AA530"/>
  <c r="DE529"/>
  <c r="BJ529"/>
  <c r="BV529" s="1"/>
  <c r="BI529"/>
  <c r="BH529"/>
  <c r="BT529" s="1"/>
  <c r="BG529"/>
  <c r="BF529"/>
  <c r="BR529" s="1"/>
  <c r="BE529"/>
  <c r="BD529"/>
  <c r="BP529" s="1"/>
  <c r="BC529"/>
  <c r="BB529"/>
  <c r="BN529" s="1"/>
  <c r="BA529"/>
  <c r="AZ529"/>
  <c r="BL529" s="1"/>
  <c r="AY529"/>
  <c r="BK529" s="1"/>
  <c r="AX529"/>
  <c r="CH529" s="1"/>
  <c r="AW529"/>
  <c r="AV529"/>
  <c r="CF529" s="1"/>
  <c r="AU529"/>
  <c r="AT529"/>
  <c r="CD529" s="1"/>
  <c r="AS529"/>
  <c r="AR529"/>
  <c r="CB529" s="1"/>
  <c r="AQ529"/>
  <c r="AP529"/>
  <c r="BZ529" s="1"/>
  <c r="AO529"/>
  <c r="AN529"/>
  <c r="BX529" s="1"/>
  <c r="AM529"/>
  <c r="AL529"/>
  <c r="AK529"/>
  <c r="AJ529"/>
  <c r="AI529"/>
  <c r="AH529"/>
  <c r="AG529"/>
  <c r="AF529"/>
  <c r="AE529"/>
  <c r="AD529"/>
  <c r="AC529"/>
  <c r="AB529"/>
  <c r="AA529"/>
  <c r="DE528"/>
  <c r="BJ528"/>
  <c r="BV528" s="1"/>
  <c r="BI528"/>
  <c r="BH528"/>
  <c r="BT528" s="1"/>
  <c r="BG528"/>
  <c r="BF528"/>
  <c r="BR528" s="1"/>
  <c r="BE528"/>
  <c r="BD528"/>
  <c r="BP528" s="1"/>
  <c r="BC528"/>
  <c r="BB528"/>
  <c r="BN528" s="1"/>
  <c r="BA528"/>
  <c r="AZ528"/>
  <c r="BL528" s="1"/>
  <c r="AY528"/>
  <c r="BK528" s="1"/>
  <c r="AX528"/>
  <c r="CH528" s="1"/>
  <c r="AW528"/>
  <c r="AV528"/>
  <c r="CF528" s="1"/>
  <c r="AU528"/>
  <c r="AT528"/>
  <c r="CD528" s="1"/>
  <c r="AS528"/>
  <c r="AR528"/>
  <c r="CB528" s="1"/>
  <c r="AQ528"/>
  <c r="AP528"/>
  <c r="BZ528" s="1"/>
  <c r="AO528"/>
  <c r="AN528"/>
  <c r="BX528" s="1"/>
  <c r="AM528"/>
  <c r="AL528"/>
  <c r="AK528"/>
  <c r="AJ528"/>
  <c r="AI528"/>
  <c r="AH528"/>
  <c r="AG528"/>
  <c r="AF528"/>
  <c r="AE528"/>
  <c r="AD528"/>
  <c r="AC528"/>
  <c r="AB528"/>
  <c r="AA528"/>
  <c r="DE527"/>
  <c r="BJ527"/>
  <c r="BV527" s="1"/>
  <c r="BI527"/>
  <c r="BH527"/>
  <c r="BT527" s="1"/>
  <c r="BG527"/>
  <c r="BF527"/>
  <c r="BR527" s="1"/>
  <c r="BE527"/>
  <c r="BD527"/>
  <c r="BP527" s="1"/>
  <c r="BC527"/>
  <c r="BB527"/>
  <c r="BN527" s="1"/>
  <c r="BA527"/>
  <c r="AZ527"/>
  <c r="BL527" s="1"/>
  <c r="AY527"/>
  <c r="BK527" s="1"/>
  <c r="AX527"/>
  <c r="CH527" s="1"/>
  <c r="AW527"/>
  <c r="AV527"/>
  <c r="CF527" s="1"/>
  <c r="AU527"/>
  <c r="AT527"/>
  <c r="CD527" s="1"/>
  <c r="AS527"/>
  <c r="AR527"/>
  <c r="CB527" s="1"/>
  <c r="AQ527"/>
  <c r="AP527"/>
  <c r="BZ527" s="1"/>
  <c r="AO527"/>
  <c r="AN527"/>
  <c r="BX527" s="1"/>
  <c r="AM527"/>
  <c r="AL527"/>
  <c r="AK527"/>
  <c r="AJ527"/>
  <c r="AI527"/>
  <c r="AH527"/>
  <c r="AG527"/>
  <c r="AF527"/>
  <c r="AE527"/>
  <c r="AD527"/>
  <c r="AC527"/>
  <c r="AB527"/>
  <c r="AA527"/>
  <c r="DE526"/>
  <c r="BJ526"/>
  <c r="BV526" s="1"/>
  <c r="BI526"/>
  <c r="BH526"/>
  <c r="BT526" s="1"/>
  <c r="BG526"/>
  <c r="BF526"/>
  <c r="BR526" s="1"/>
  <c r="BE526"/>
  <c r="BD526"/>
  <c r="BP526" s="1"/>
  <c r="BC526"/>
  <c r="BB526"/>
  <c r="BN526" s="1"/>
  <c r="BA526"/>
  <c r="AZ526"/>
  <c r="BL526" s="1"/>
  <c r="AY526"/>
  <c r="BK526" s="1"/>
  <c r="AX526"/>
  <c r="CH526" s="1"/>
  <c r="AW526"/>
  <c r="AV526"/>
  <c r="CF526" s="1"/>
  <c r="AU526"/>
  <c r="AT526"/>
  <c r="CD526" s="1"/>
  <c r="AS526"/>
  <c r="AR526"/>
  <c r="CB526" s="1"/>
  <c r="AQ526"/>
  <c r="AP526"/>
  <c r="BZ526" s="1"/>
  <c r="AO526"/>
  <c r="AN526"/>
  <c r="BX526" s="1"/>
  <c r="AM526"/>
  <c r="AL526"/>
  <c r="AK526"/>
  <c r="AJ526"/>
  <c r="AI526"/>
  <c r="AH526"/>
  <c r="AG526"/>
  <c r="AF526"/>
  <c r="AE526"/>
  <c r="AD526"/>
  <c r="AC526"/>
  <c r="AB526"/>
  <c r="AA526"/>
  <c r="DE525"/>
  <c r="BJ525"/>
  <c r="BV525" s="1"/>
  <c r="BI525"/>
  <c r="BH525"/>
  <c r="BT525" s="1"/>
  <c r="BG525"/>
  <c r="BF525"/>
  <c r="BR525" s="1"/>
  <c r="BE525"/>
  <c r="BD525"/>
  <c r="BP525" s="1"/>
  <c r="BC525"/>
  <c r="BB525"/>
  <c r="BN525" s="1"/>
  <c r="BA525"/>
  <c r="AZ525"/>
  <c r="BL525" s="1"/>
  <c r="AY525"/>
  <c r="BK525" s="1"/>
  <c r="AX525"/>
  <c r="CH525" s="1"/>
  <c r="AW525"/>
  <c r="AV525"/>
  <c r="CF525" s="1"/>
  <c r="AU525"/>
  <c r="AT525"/>
  <c r="CD525" s="1"/>
  <c r="AS525"/>
  <c r="AR525"/>
  <c r="CB525" s="1"/>
  <c r="AQ525"/>
  <c r="AP525"/>
  <c r="BZ525" s="1"/>
  <c r="AO525"/>
  <c r="AN525"/>
  <c r="BX525" s="1"/>
  <c r="AM525"/>
  <c r="AL525"/>
  <c r="AK525"/>
  <c r="AJ525"/>
  <c r="AI525"/>
  <c r="AH525"/>
  <c r="AG525"/>
  <c r="AF525"/>
  <c r="AE525"/>
  <c r="AD525"/>
  <c r="AC525"/>
  <c r="AB525"/>
  <c r="AA525"/>
  <c r="DE524"/>
  <c r="BJ524"/>
  <c r="BV524" s="1"/>
  <c r="BI524"/>
  <c r="BH524"/>
  <c r="BT524" s="1"/>
  <c r="BG524"/>
  <c r="BF524"/>
  <c r="BR524" s="1"/>
  <c r="BE524"/>
  <c r="BD524"/>
  <c r="BP524" s="1"/>
  <c r="BC524"/>
  <c r="BB524"/>
  <c r="BN524" s="1"/>
  <c r="BA524"/>
  <c r="AZ524"/>
  <c r="BL524" s="1"/>
  <c r="AY524"/>
  <c r="BK524" s="1"/>
  <c r="AX524"/>
  <c r="CH524" s="1"/>
  <c r="AW524"/>
  <c r="AV524"/>
  <c r="CF524" s="1"/>
  <c r="AU524"/>
  <c r="AT524"/>
  <c r="CD524" s="1"/>
  <c r="AS524"/>
  <c r="AR524"/>
  <c r="CB524" s="1"/>
  <c r="AQ524"/>
  <c r="AP524"/>
  <c r="BZ524" s="1"/>
  <c r="AO524"/>
  <c r="AN524"/>
  <c r="BX524" s="1"/>
  <c r="AM524"/>
  <c r="AL524"/>
  <c r="AK524"/>
  <c r="AJ524"/>
  <c r="AI524"/>
  <c r="AH524"/>
  <c r="AG524"/>
  <c r="AF524"/>
  <c r="AE524"/>
  <c r="AD524"/>
  <c r="AC524"/>
  <c r="AB524"/>
  <c r="AA524"/>
  <c r="DE523"/>
  <c r="BJ523"/>
  <c r="BV523" s="1"/>
  <c r="BI523"/>
  <c r="BH523"/>
  <c r="BT523" s="1"/>
  <c r="BG523"/>
  <c r="BF523"/>
  <c r="BR523" s="1"/>
  <c r="BE523"/>
  <c r="BD523"/>
  <c r="BP523" s="1"/>
  <c r="BC523"/>
  <c r="BB523"/>
  <c r="BN523" s="1"/>
  <c r="BA523"/>
  <c r="AZ523"/>
  <c r="BL523" s="1"/>
  <c r="AY523"/>
  <c r="BK523" s="1"/>
  <c r="AX523"/>
  <c r="CH523" s="1"/>
  <c r="AW523"/>
  <c r="AV523"/>
  <c r="CF523" s="1"/>
  <c r="AU523"/>
  <c r="AT523"/>
  <c r="CD523" s="1"/>
  <c r="AS523"/>
  <c r="AR523"/>
  <c r="CB523" s="1"/>
  <c r="AQ523"/>
  <c r="AP523"/>
  <c r="BZ523" s="1"/>
  <c r="AO523"/>
  <c r="AN523"/>
  <c r="BX523" s="1"/>
  <c r="AM523"/>
  <c r="AL523"/>
  <c r="AK523"/>
  <c r="AJ523"/>
  <c r="AI523"/>
  <c r="AH523"/>
  <c r="AG523"/>
  <c r="AF523"/>
  <c r="AE523"/>
  <c r="AD523"/>
  <c r="AC523"/>
  <c r="AB523"/>
  <c r="AA523"/>
  <c r="DE522"/>
  <c r="BJ522"/>
  <c r="BV522" s="1"/>
  <c r="BI522"/>
  <c r="BH522"/>
  <c r="BT522" s="1"/>
  <c r="BG522"/>
  <c r="BF522"/>
  <c r="BR522" s="1"/>
  <c r="BE522"/>
  <c r="BD522"/>
  <c r="BP522" s="1"/>
  <c r="BC522"/>
  <c r="BB522"/>
  <c r="BN522" s="1"/>
  <c r="BA522"/>
  <c r="AZ522"/>
  <c r="BL522" s="1"/>
  <c r="AY522"/>
  <c r="BK522" s="1"/>
  <c r="AX522"/>
  <c r="CH522" s="1"/>
  <c r="AW522"/>
  <c r="AV522"/>
  <c r="CF522" s="1"/>
  <c r="AU522"/>
  <c r="AT522"/>
  <c r="CD522" s="1"/>
  <c r="AS522"/>
  <c r="AR522"/>
  <c r="CB522" s="1"/>
  <c r="AQ522"/>
  <c r="AP522"/>
  <c r="BZ522" s="1"/>
  <c r="AO522"/>
  <c r="AN522"/>
  <c r="BX522" s="1"/>
  <c r="AM522"/>
  <c r="AL522"/>
  <c r="AK522"/>
  <c r="AJ522"/>
  <c r="AI522"/>
  <c r="AH522"/>
  <c r="AG522"/>
  <c r="AF522"/>
  <c r="AE522"/>
  <c r="AD522"/>
  <c r="AC522"/>
  <c r="AB522"/>
  <c r="AA522"/>
  <c r="DE521"/>
  <c r="BJ521"/>
  <c r="BV521" s="1"/>
  <c r="BI521"/>
  <c r="BH521"/>
  <c r="BT521" s="1"/>
  <c r="BG521"/>
  <c r="BF521"/>
  <c r="BR521" s="1"/>
  <c r="BE521"/>
  <c r="BD521"/>
  <c r="BP521" s="1"/>
  <c r="BC521"/>
  <c r="BB521"/>
  <c r="BN521" s="1"/>
  <c r="BA521"/>
  <c r="AZ521"/>
  <c r="BL521" s="1"/>
  <c r="AY521"/>
  <c r="BK521" s="1"/>
  <c r="AX521"/>
  <c r="CH521" s="1"/>
  <c r="AW521"/>
  <c r="AV521"/>
  <c r="CF521" s="1"/>
  <c r="AU521"/>
  <c r="AT521"/>
  <c r="CD521" s="1"/>
  <c r="AS521"/>
  <c r="AR521"/>
  <c r="CB521" s="1"/>
  <c r="AQ521"/>
  <c r="AP521"/>
  <c r="BZ521" s="1"/>
  <c r="AO521"/>
  <c r="AN521"/>
  <c r="BX521" s="1"/>
  <c r="AM521"/>
  <c r="AL521"/>
  <c r="AK521"/>
  <c r="AJ521"/>
  <c r="AI521"/>
  <c r="AH521"/>
  <c r="AG521"/>
  <c r="AF521"/>
  <c r="AE521"/>
  <c r="AD521"/>
  <c r="AC521"/>
  <c r="AB521"/>
  <c r="AA521"/>
  <c r="DE520"/>
  <c r="BJ520"/>
  <c r="BV520" s="1"/>
  <c r="BI520"/>
  <c r="BH520"/>
  <c r="BT520" s="1"/>
  <c r="BG520"/>
  <c r="BF520"/>
  <c r="BR520" s="1"/>
  <c r="BE520"/>
  <c r="BD520"/>
  <c r="BP520" s="1"/>
  <c r="BC520"/>
  <c r="BB520"/>
  <c r="BN520" s="1"/>
  <c r="BA520"/>
  <c r="AZ520"/>
  <c r="BL520" s="1"/>
  <c r="AY520"/>
  <c r="BK520" s="1"/>
  <c r="AX520"/>
  <c r="CH520" s="1"/>
  <c r="AW520"/>
  <c r="AV520"/>
  <c r="CF520" s="1"/>
  <c r="AU520"/>
  <c r="AT520"/>
  <c r="CD520" s="1"/>
  <c r="AS520"/>
  <c r="AR520"/>
  <c r="CB520" s="1"/>
  <c r="AQ520"/>
  <c r="AP520"/>
  <c r="BZ520" s="1"/>
  <c r="AO520"/>
  <c r="AN520"/>
  <c r="BX520" s="1"/>
  <c r="AM520"/>
  <c r="AL520"/>
  <c r="AK520"/>
  <c r="AJ520"/>
  <c r="AI520"/>
  <c r="AH520"/>
  <c r="AG520"/>
  <c r="AF520"/>
  <c r="AE520"/>
  <c r="AD520"/>
  <c r="AC520"/>
  <c r="AB520"/>
  <c r="AA520"/>
  <c r="DE519"/>
  <c r="BJ519"/>
  <c r="BV519" s="1"/>
  <c r="BI519"/>
  <c r="BH519"/>
  <c r="BT519" s="1"/>
  <c r="BG519"/>
  <c r="BF519"/>
  <c r="BR519" s="1"/>
  <c r="BE519"/>
  <c r="BD519"/>
  <c r="BP519" s="1"/>
  <c r="BC519"/>
  <c r="BB519"/>
  <c r="BN519" s="1"/>
  <c r="BA519"/>
  <c r="AZ519"/>
  <c r="BL519" s="1"/>
  <c r="AY519"/>
  <c r="BK519" s="1"/>
  <c r="AX519"/>
  <c r="CH519" s="1"/>
  <c r="AW519"/>
  <c r="AV519"/>
  <c r="CF519" s="1"/>
  <c r="AU519"/>
  <c r="AT519"/>
  <c r="CD519" s="1"/>
  <c r="AS519"/>
  <c r="AR519"/>
  <c r="CB519" s="1"/>
  <c r="AQ519"/>
  <c r="AP519"/>
  <c r="BZ519" s="1"/>
  <c r="AO519"/>
  <c r="AN519"/>
  <c r="BX519" s="1"/>
  <c r="AM519"/>
  <c r="AL519"/>
  <c r="AK519"/>
  <c r="AJ519"/>
  <c r="AI519"/>
  <c r="AH519"/>
  <c r="AG519"/>
  <c r="AF519"/>
  <c r="AE519"/>
  <c r="AD519"/>
  <c r="AC519"/>
  <c r="AB519"/>
  <c r="AA519"/>
  <c r="DE518"/>
  <c r="BJ518"/>
  <c r="BV518" s="1"/>
  <c r="BI518"/>
  <c r="BH518"/>
  <c r="BT518" s="1"/>
  <c r="BG518"/>
  <c r="BF518"/>
  <c r="BR518" s="1"/>
  <c r="BE518"/>
  <c r="BD518"/>
  <c r="BP518" s="1"/>
  <c r="BC518"/>
  <c r="BB518"/>
  <c r="BN518" s="1"/>
  <c r="BA518"/>
  <c r="AZ518"/>
  <c r="BL518" s="1"/>
  <c r="AY518"/>
  <c r="BK518" s="1"/>
  <c r="AX518"/>
  <c r="CH518" s="1"/>
  <c r="AW518"/>
  <c r="AV518"/>
  <c r="CF518" s="1"/>
  <c r="AU518"/>
  <c r="AT518"/>
  <c r="CD518" s="1"/>
  <c r="AS518"/>
  <c r="AR518"/>
  <c r="CB518" s="1"/>
  <c r="AQ518"/>
  <c r="AP518"/>
  <c r="BZ518" s="1"/>
  <c r="AO518"/>
  <c r="AN518"/>
  <c r="BX518" s="1"/>
  <c r="AM518"/>
  <c r="AL518"/>
  <c r="AK518"/>
  <c r="AJ518"/>
  <c r="AI518"/>
  <c r="AH518"/>
  <c r="AG518"/>
  <c r="AF518"/>
  <c r="AE518"/>
  <c r="AD518"/>
  <c r="AC518"/>
  <c r="AB518"/>
  <c r="AA518"/>
  <c r="DE517"/>
  <c r="BJ517"/>
  <c r="BV517" s="1"/>
  <c r="BI517"/>
  <c r="BH517"/>
  <c r="BT517" s="1"/>
  <c r="BG517"/>
  <c r="BF517"/>
  <c r="BR517" s="1"/>
  <c r="BE517"/>
  <c r="BD517"/>
  <c r="BP517" s="1"/>
  <c r="BC517"/>
  <c r="BB517"/>
  <c r="BN517" s="1"/>
  <c r="BA517"/>
  <c r="AZ517"/>
  <c r="BL517" s="1"/>
  <c r="AY517"/>
  <c r="BK517" s="1"/>
  <c r="AX517"/>
  <c r="CH517" s="1"/>
  <c r="AW517"/>
  <c r="AV517"/>
  <c r="CF517" s="1"/>
  <c r="AU517"/>
  <c r="AT517"/>
  <c r="CD517" s="1"/>
  <c r="AS517"/>
  <c r="AR517"/>
  <c r="CB517" s="1"/>
  <c r="AQ517"/>
  <c r="AP517"/>
  <c r="BZ517" s="1"/>
  <c r="AO517"/>
  <c r="AN517"/>
  <c r="BX517" s="1"/>
  <c r="AM517"/>
  <c r="AL517"/>
  <c r="AK517"/>
  <c r="AJ517"/>
  <c r="AI517"/>
  <c r="AH517"/>
  <c r="AG517"/>
  <c r="AF517"/>
  <c r="AE517"/>
  <c r="AD517"/>
  <c r="AC517"/>
  <c r="AB517"/>
  <c r="AA517"/>
  <c r="DE516"/>
  <c r="BJ516"/>
  <c r="BV516" s="1"/>
  <c r="BI516"/>
  <c r="BH516"/>
  <c r="BT516" s="1"/>
  <c r="BG516"/>
  <c r="BF516"/>
  <c r="BR516" s="1"/>
  <c r="BE516"/>
  <c r="BD516"/>
  <c r="BP516" s="1"/>
  <c r="BC516"/>
  <c r="BB516"/>
  <c r="BN516" s="1"/>
  <c r="BA516"/>
  <c r="AZ516"/>
  <c r="BL516" s="1"/>
  <c r="AY516"/>
  <c r="BK516" s="1"/>
  <c r="AX516"/>
  <c r="CH516" s="1"/>
  <c r="AW516"/>
  <c r="AV516"/>
  <c r="CF516" s="1"/>
  <c r="AU516"/>
  <c r="AT516"/>
  <c r="CD516" s="1"/>
  <c r="AS516"/>
  <c r="AR516"/>
  <c r="CB516" s="1"/>
  <c r="AQ516"/>
  <c r="AP516"/>
  <c r="BZ516" s="1"/>
  <c r="AO516"/>
  <c r="AN516"/>
  <c r="BX516" s="1"/>
  <c r="AM516"/>
  <c r="AL516"/>
  <c r="AK516"/>
  <c r="AJ516"/>
  <c r="AI516"/>
  <c r="AH516"/>
  <c r="AG516"/>
  <c r="AF516"/>
  <c r="AE516"/>
  <c r="AD516"/>
  <c r="AC516"/>
  <c r="AB516"/>
  <c r="AA516"/>
  <c r="DE515"/>
  <c r="BJ515"/>
  <c r="BV515" s="1"/>
  <c r="BI515"/>
  <c r="BH515"/>
  <c r="BT515" s="1"/>
  <c r="BG515"/>
  <c r="BF515"/>
  <c r="BR515" s="1"/>
  <c r="BE515"/>
  <c r="BD515"/>
  <c r="BP515" s="1"/>
  <c r="BC515"/>
  <c r="BB515"/>
  <c r="BN515" s="1"/>
  <c r="BA515"/>
  <c r="AZ515"/>
  <c r="BL515" s="1"/>
  <c r="AY515"/>
  <c r="BK515" s="1"/>
  <c r="AX515"/>
  <c r="CH515" s="1"/>
  <c r="AW515"/>
  <c r="AV515"/>
  <c r="CF515" s="1"/>
  <c r="AU515"/>
  <c r="AT515"/>
  <c r="CD515" s="1"/>
  <c r="AS515"/>
  <c r="AR515"/>
  <c r="CB515" s="1"/>
  <c r="AQ515"/>
  <c r="AP515"/>
  <c r="BZ515" s="1"/>
  <c r="AO515"/>
  <c r="AN515"/>
  <c r="BX515" s="1"/>
  <c r="AM515"/>
  <c r="AL515"/>
  <c r="AK515"/>
  <c r="AJ515"/>
  <c r="AI515"/>
  <c r="AH515"/>
  <c r="AG515"/>
  <c r="AF515"/>
  <c r="AE515"/>
  <c r="AD515"/>
  <c r="AC515"/>
  <c r="AB515"/>
  <c r="AA515"/>
  <c r="DE514"/>
  <c r="BJ514"/>
  <c r="BV514" s="1"/>
  <c r="BI514"/>
  <c r="BH514"/>
  <c r="BT514" s="1"/>
  <c r="BG514"/>
  <c r="BF514"/>
  <c r="BR514" s="1"/>
  <c r="BE514"/>
  <c r="BD514"/>
  <c r="BP514" s="1"/>
  <c r="BC514"/>
  <c r="BB514"/>
  <c r="BN514" s="1"/>
  <c r="BA514"/>
  <c r="AZ514"/>
  <c r="BL514" s="1"/>
  <c r="AY514"/>
  <c r="BK514" s="1"/>
  <c r="AX514"/>
  <c r="CH514" s="1"/>
  <c r="AW514"/>
  <c r="AV514"/>
  <c r="CF514" s="1"/>
  <c r="AU514"/>
  <c r="AT514"/>
  <c r="CD514" s="1"/>
  <c r="AS514"/>
  <c r="AR514"/>
  <c r="CB514" s="1"/>
  <c r="AQ514"/>
  <c r="AP514"/>
  <c r="BZ514" s="1"/>
  <c r="AO514"/>
  <c r="AN514"/>
  <c r="BX514" s="1"/>
  <c r="AM514"/>
  <c r="AL514"/>
  <c r="AK514"/>
  <c r="AJ514"/>
  <c r="AI514"/>
  <c r="AH514"/>
  <c r="AG514"/>
  <c r="AF514"/>
  <c r="AE514"/>
  <c r="AD514"/>
  <c r="AC514"/>
  <c r="AB514"/>
  <c r="AA514"/>
  <c r="DE513"/>
  <c r="BJ513"/>
  <c r="BV513" s="1"/>
  <c r="BI513"/>
  <c r="BH513"/>
  <c r="BT513" s="1"/>
  <c r="BG513"/>
  <c r="BF513"/>
  <c r="BR513" s="1"/>
  <c r="BE513"/>
  <c r="BD513"/>
  <c r="BP513" s="1"/>
  <c r="BC513"/>
  <c r="BB513"/>
  <c r="BN513" s="1"/>
  <c r="BA513"/>
  <c r="AZ513"/>
  <c r="BL513" s="1"/>
  <c r="AY513"/>
  <c r="BK513" s="1"/>
  <c r="AX513"/>
  <c r="CH513" s="1"/>
  <c r="AW513"/>
  <c r="AV513"/>
  <c r="CF513" s="1"/>
  <c r="AU513"/>
  <c r="AT513"/>
  <c r="CD513" s="1"/>
  <c r="AS513"/>
  <c r="AR513"/>
  <c r="CB513" s="1"/>
  <c r="AQ513"/>
  <c r="AP513"/>
  <c r="BZ513" s="1"/>
  <c r="AO513"/>
  <c r="AN513"/>
  <c r="BX513" s="1"/>
  <c r="AM513"/>
  <c r="AL513"/>
  <c r="AK513"/>
  <c r="AJ513"/>
  <c r="AI513"/>
  <c r="AH513"/>
  <c r="AG513"/>
  <c r="AF513"/>
  <c r="AE513"/>
  <c r="AD513"/>
  <c r="AC513"/>
  <c r="AB513"/>
  <c r="AA513"/>
  <c r="DE512"/>
  <c r="BJ512"/>
  <c r="BV512" s="1"/>
  <c r="BI512"/>
  <c r="BH512"/>
  <c r="BT512" s="1"/>
  <c r="BG512"/>
  <c r="BF512"/>
  <c r="BR512" s="1"/>
  <c r="BE512"/>
  <c r="BD512"/>
  <c r="BP512" s="1"/>
  <c r="BC512"/>
  <c r="BB512"/>
  <c r="BN512" s="1"/>
  <c r="BA512"/>
  <c r="AZ512"/>
  <c r="BL512" s="1"/>
  <c r="AY512"/>
  <c r="BK512" s="1"/>
  <c r="AX512"/>
  <c r="CH512" s="1"/>
  <c r="AW512"/>
  <c r="AV512"/>
  <c r="CF512" s="1"/>
  <c r="AU512"/>
  <c r="AT512"/>
  <c r="CD512" s="1"/>
  <c r="AS512"/>
  <c r="AR512"/>
  <c r="CB512" s="1"/>
  <c r="AQ512"/>
  <c r="AP512"/>
  <c r="BZ512" s="1"/>
  <c r="AO512"/>
  <c r="AN512"/>
  <c r="BX512" s="1"/>
  <c r="AM512"/>
  <c r="AL512"/>
  <c r="AK512"/>
  <c r="AJ512"/>
  <c r="AI512"/>
  <c r="AH512"/>
  <c r="AG512"/>
  <c r="AF512"/>
  <c r="AE512"/>
  <c r="AD512"/>
  <c r="AC512"/>
  <c r="AB512"/>
  <c r="AA512"/>
  <c r="DE511"/>
  <c r="BJ511"/>
  <c r="BV511" s="1"/>
  <c r="BI511"/>
  <c r="BH511"/>
  <c r="BT511" s="1"/>
  <c r="BG511"/>
  <c r="BF511"/>
  <c r="BR511" s="1"/>
  <c r="BE511"/>
  <c r="BD511"/>
  <c r="BP511" s="1"/>
  <c r="BC511"/>
  <c r="BB511"/>
  <c r="BN511" s="1"/>
  <c r="BA511"/>
  <c r="AZ511"/>
  <c r="BL511" s="1"/>
  <c r="AY511"/>
  <c r="BK511" s="1"/>
  <c r="AX511"/>
  <c r="CH511" s="1"/>
  <c r="AW511"/>
  <c r="AV511"/>
  <c r="CF511" s="1"/>
  <c r="AU511"/>
  <c r="AT511"/>
  <c r="CD511" s="1"/>
  <c r="AS511"/>
  <c r="AR511"/>
  <c r="CB511" s="1"/>
  <c r="AQ511"/>
  <c r="AP511"/>
  <c r="BZ511" s="1"/>
  <c r="AO511"/>
  <c r="AN511"/>
  <c r="BX511" s="1"/>
  <c r="AM511"/>
  <c r="AL511"/>
  <c r="AK511"/>
  <c r="AJ511"/>
  <c r="AI511"/>
  <c r="AH511"/>
  <c r="AG511"/>
  <c r="AF511"/>
  <c r="AE511"/>
  <c r="AD511"/>
  <c r="AC511"/>
  <c r="AB511"/>
  <c r="AA511"/>
  <c r="DE510"/>
  <c r="BJ510"/>
  <c r="BV510" s="1"/>
  <c r="BI510"/>
  <c r="BH510"/>
  <c r="BT510" s="1"/>
  <c r="BG510"/>
  <c r="BF510"/>
  <c r="BR510" s="1"/>
  <c r="BE510"/>
  <c r="BD510"/>
  <c r="BP510" s="1"/>
  <c r="BC510"/>
  <c r="BB510"/>
  <c r="BN510" s="1"/>
  <c r="BA510"/>
  <c r="AZ510"/>
  <c r="BL510" s="1"/>
  <c r="AY510"/>
  <c r="BK510" s="1"/>
  <c r="AX510"/>
  <c r="CH510" s="1"/>
  <c r="AW510"/>
  <c r="AV510"/>
  <c r="CF510" s="1"/>
  <c r="AU510"/>
  <c r="AT510"/>
  <c r="CD510" s="1"/>
  <c r="AS510"/>
  <c r="AR510"/>
  <c r="CB510" s="1"/>
  <c r="AQ510"/>
  <c r="AP510"/>
  <c r="BZ510" s="1"/>
  <c r="AO510"/>
  <c r="AN510"/>
  <c r="BX510" s="1"/>
  <c r="AM510"/>
  <c r="AL510"/>
  <c r="AK510"/>
  <c r="AJ510"/>
  <c r="AI510"/>
  <c r="AH510"/>
  <c r="AG510"/>
  <c r="AF510"/>
  <c r="AE510"/>
  <c r="AD510"/>
  <c r="AC510"/>
  <c r="AB510"/>
  <c r="AA510"/>
  <c r="DE509"/>
  <c r="BJ509"/>
  <c r="BV509" s="1"/>
  <c r="BI509"/>
  <c r="BH509"/>
  <c r="BT509" s="1"/>
  <c r="BG509"/>
  <c r="BF509"/>
  <c r="BR509" s="1"/>
  <c r="BE509"/>
  <c r="BD509"/>
  <c r="BP509" s="1"/>
  <c r="BC509"/>
  <c r="BB509"/>
  <c r="BN509" s="1"/>
  <c r="BA509"/>
  <c r="AZ509"/>
  <c r="BL509" s="1"/>
  <c r="AY509"/>
  <c r="BK509" s="1"/>
  <c r="AX509"/>
  <c r="CH509" s="1"/>
  <c r="AW509"/>
  <c r="AV509"/>
  <c r="CF509" s="1"/>
  <c r="AU509"/>
  <c r="AT509"/>
  <c r="CD509" s="1"/>
  <c r="AS509"/>
  <c r="AR509"/>
  <c r="CB509" s="1"/>
  <c r="AQ509"/>
  <c r="AP509"/>
  <c r="BZ509" s="1"/>
  <c r="AO509"/>
  <c r="AN509"/>
  <c r="BX509" s="1"/>
  <c r="AM509"/>
  <c r="AL509"/>
  <c r="AK509"/>
  <c r="AJ509"/>
  <c r="AI509"/>
  <c r="AH509"/>
  <c r="AG509"/>
  <c r="AF509"/>
  <c r="AE509"/>
  <c r="AD509"/>
  <c r="AC509"/>
  <c r="AB509"/>
  <c r="AA509"/>
  <c r="DE508"/>
  <c r="BJ508"/>
  <c r="BV508" s="1"/>
  <c r="BI508"/>
  <c r="BH508"/>
  <c r="BT508" s="1"/>
  <c r="BG508"/>
  <c r="BF508"/>
  <c r="BR508" s="1"/>
  <c r="BE508"/>
  <c r="BD508"/>
  <c r="BP508" s="1"/>
  <c r="BC508"/>
  <c r="BB508"/>
  <c r="BN508" s="1"/>
  <c r="BA508"/>
  <c r="AZ508"/>
  <c r="BL508" s="1"/>
  <c r="AY508"/>
  <c r="BK508" s="1"/>
  <c r="AX508"/>
  <c r="CH508" s="1"/>
  <c r="AW508"/>
  <c r="AV508"/>
  <c r="CF508" s="1"/>
  <c r="AU508"/>
  <c r="AT508"/>
  <c r="CD508" s="1"/>
  <c r="AS508"/>
  <c r="AR508"/>
  <c r="CB508" s="1"/>
  <c r="AQ508"/>
  <c r="AP508"/>
  <c r="BZ508" s="1"/>
  <c r="AO508"/>
  <c r="AN508"/>
  <c r="BX508" s="1"/>
  <c r="AM508"/>
  <c r="AL508"/>
  <c r="AK508"/>
  <c r="AJ508"/>
  <c r="AI508"/>
  <c r="AH508"/>
  <c r="AG508"/>
  <c r="AF508"/>
  <c r="AE508"/>
  <c r="AD508"/>
  <c r="AC508"/>
  <c r="AB508"/>
  <c r="AA508"/>
  <c r="DE507"/>
  <c r="BJ507"/>
  <c r="BV507" s="1"/>
  <c r="BI507"/>
  <c r="BH507"/>
  <c r="BT507" s="1"/>
  <c r="BG507"/>
  <c r="BF507"/>
  <c r="BR507" s="1"/>
  <c r="BE507"/>
  <c r="BD507"/>
  <c r="BP507" s="1"/>
  <c r="BC507"/>
  <c r="BB507"/>
  <c r="BN507" s="1"/>
  <c r="BA507"/>
  <c r="AZ507"/>
  <c r="BL507" s="1"/>
  <c r="AY507"/>
  <c r="BK507" s="1"/>
  <c r="AX507"/>
  <c r="CH507" s="1"/>
  <c r="AW507"/>
  <c r="AV507"/>
  <c r="CF507" s="1"/>
  <c r="AU507"/>
  <c r="AT507"/>
  <c r="CD507" s="1"/>
  <c r="AS507"/>
  <c r="AR507"/>
  <c r="CB507" s="1"/>
  <c r="AQ507"/>
  <c r="AP507"/>
  <c r="BZ507" s="1"/>
  <c r="AO507"/>
  <c r="AN507"/>
  <c r="BX507" s="1"/>
  <c r="AM507"/>
  <c r="AL507"/>
  <c r="AK507"/>
  <c r="AJ507"/>
  <c r="AI507"/>
  <c r="AH507"/>
  <c r="AG507"/>
  <c r="AF507"/>
  <c r="AE507"/>
  <c r="AD507"/>
  <c r="AC507"/>
  <c r="AB507"/>
  <c r="AA507"/>
  <c r="DE506"/>
  <c r="BJ506"/>
  <c r="BV506" s="1"/>
  <c r="BI506"/>
  <c r="BH506"/>
  <c r="BT506" s="1"/>
  <c r="BG506"/>
  <c r="BF506"/>
  <c r="BR506" s="1"/>
  <c r="BE506"/>
  <c r="BD506"/>
  <c r="BP506" s="1"/>
  <c r="BC506"/>
  <c r="BB506"/>
  <c r="BN506" s="1"/>
  <c r="BA506"/>
  <c r="AZ506"/>
  <c r="BL506" s="1"/>
  <c r="AY506"/>
  <c r="BK506" s="1"/>
  <c r="AX506"/>
  <c r="CH506" s="1"/>
  <c r="AW506"/>
  <c r="AV506"/>
  <c r="CF506" s="1"/>
  <c r="AU506"/>
  <c r="AT506"/>
  <c r="CD506" s="1"/>
  <c r="AS506"/>
  <c r="AR506"/>
  <c r="CB506" s="1"/>
  <c r="AQ506"/>
  <c r="AP506"/>
  <c r="BZ506" s="1"/>
  <c r="AO506"/>
  <c r="AN506"/>
  <c r="BX506" s="1"/>
  <c r="AM506"/>
  <c r="AL506"/>
  <c r="AK506"/>
  <c r="AJ506"/>
  <c r="AI506"/>
  <c r="AH506"/>
  <c r="AG506"/>
  <c r="AF506"/>
  <c r="AE506"/>
  <c r="AD506"/>
  <c r="AC506"/>
  <c r="AB506"/>
  <c r="AA506"/>
  <c r="DE505"/>
  <c r="BJ505"/>
  <c r="BV505" s="1"/>
  <c r="BI505"/>
  <c r="BH505"/>
  <c r="BT505" s="1"/>
  <c r="BG505"/>
  <c r="BF505"/>
  <c r="BR505" s="1"/>
  <c r="BE505"/>
  <c r="BD505"/>
  <c r="BP505" s="1"/>
  <c r="BC505"/>
  <c r="BB505"/>
  <c r="BN505" s="1"/>
  <c r="BA505"/>
  <c r="AZ505"/>
  <c r="BL505" s="1"/>
  <c r="AY505"/>
  <c r="BK505" s="1"/>
  <c r="AX505"/>
  <c r="CH505" s="1"/>
  <c r="AW505"/>
  <c r="AV505"/>
  <c r="CF505" s="1"/>
  <c r="AU505"/>
  <c r="AT505"/>
  <c r="CD505" s="1"/>
  <c r="AS505"/>
  <c r="AR505"/>
  <c r="CB505" s="1"/>
  <c r="AQ505"/>
  <c r="AP505"/>
  <c r="BZ505" s="1"/>
  <c r="AO505"/>
  <c r="AN505"/>
  <c r="BX505" s="1"/>
  <c r="AM505"/>
  <c r="AL505"/>
  <c r="AK505"/>
  <c r="AJ505"/>
  <c r="AI505"/>
  <c r="AH505"/>
  <c r="AG505"/>
  <c r="AF505"/>
  <c r="AE505"/>
  <c r="AD505"/>
  <c r="AC505"/>
  <c r="AB505"/>
  <c r="AA505"/>
  <c r="DE504"/>
  <c r="BJ504"/>
  <c r="BV504" s="1"/>
  <c r="BI504"/>
  <c r="BH504"/>
  <c r="BT504" s="1"/>
  <c r="BG504"/>
  <c r="BF504"/>
  <c r="BR504" s="1"/>
  <c r="BE504"/>
  <c r="BD504"/>
  <c r="BP504" s="1"/>
  <c r="BC504"/>
  <c r="BB504"/>
  <c r="BN504" s="1"/>
  <c r="BA504"/>
  <c r="AZ504"/>
  <c r="BL504" s="1"/>
  <c r="AY504"/>
  <c r="BK504" s="1"/>
  <c r="AX504"/>
  <c r="CH504" s="1"/>
  <c r="AW504"/>
  <c r="AV504"/>
  <c r="CF504" s="1"/>
  <c r="AU504"/>
  <c r="AT504"/>
  <c r="CD504" s="1"/>
  <c r="AS504"/>
  <c r="AR504"/>
  <c r="CB504" s="1"/>
  <c r="AQ504"/>
  <c r="AP504"/>
  <c r="BZ504" s="1"/>
  <c r="AO504"/>
  <c r="AN504"/>
  <c r="BX504" s="1"/>
  <c r="AM504"/>
  <c r="AL504"/>
  <c r="AK504"/>
  <c r="AJ504"/>
  <c r="AI504"/>
  <c r="AH504"/>
  <c r="AG504"/>
  <c r="AF504"/>
  <c r="AE504"/>
  <c r="AD504"/>
  <c r="AC504"/>
  <c r="AB504"/>
  <c r="AA504"/>
  <c r="DE503"/>
  <c r="BJ503"/>
  <c r="BV503" s="1"/>
  <c r="BI503"/>
  <c r="BH503"/>
  <c r="BT503" s="1"/>
  <c r="BG503"/>
  <c r="BF503"/>
  <c r="BR503" s="1"/>
  <c r="BE503"/>
  <c r="BD503"/>
  <c r="BP503" s="1"/>
  <c r="BC503"/>
  <c r="BB503"/>
  <c r="BN503" s="1"/>
  <c r="BA503"/>
  <c r="AZ503"/>
  <c r="BL503" s="1"/>
  <c r="AY503"/>
  <c r="BK503" s="1"/>
  <c r="AX503"/>
  <c r="CH503" s="1"/>
  <c r="AW503"/>
  <c r="AV503"/>
  <c r="CF503" s="1"/>
  <c r="AU503"/>
  <c r="AT503"/>
  <c r="CD503" s="1"/>
  <c r="AS503"/>
  <c r="AR503"/>
  <c r="CB503" s="1"/>
  <c r="AQ503"/>
  <c r="AP503"/>
  <c r="BZ503" s="1"/>
  <c r="AO503"/>
  <c r="AN503"/>
  <c r="BX503" s="1"/>
  <c r="AM503"/>
  <c r="AL503"/>
  <c r="AK503"/>
  <c r="AJ503"/>
  <c r="AI503"/>
  <c r="AH503"/>
  <c r="AG503"/>
  <c r="AF503"/>
  <c r="AE503"/>
  <c r="AD503"/>
  <c r="AC503"/>
  <c r="AB503"/>
  <c r="AA503"/>
  <c r="DE502"/>
  <c r="BJ502"/>
  <c r="BV502" s="1"/>
  <c r="BI502"/>
  <c r="BH502"/>
  <c r="BT502" s="1"/>
  <c r="BG502"/>
  <c r="BF502"/>
  <c r="BR502" s="1"/>
  <c r="BE502"/>
  <c r="BD502"/>
  <c r="BP502" s="1"/>
  <c r="BC502"/>
  <c r="BB502"/>
  <c r="BN502" s="1"/>
  <c r="BA502"/>
  <c r="AZ502"/>
  <c r="BL502" s="1"/>
  <c r="AY502"/>
  <c r="BK502" s="1"/>
  <c r="AX502"/>
  <c r="CH502" s="1"/>
  <c r="AW502"/>
  <c r="AV502"/>
  <c r="CF502" s="1"/>
  <c r="AU502"/>
  <c r="AT502"/>
  <c r="CD502" s="1"/>
  <c r="AS502"/>
  <c r="AR502"/>
  <c r="CB502" s="1"/>
  <c r="AQ502"/>
  <c r="AP502"/>
  <c r="BZ502" s="1"/>
  <c r="AO502"/>
  <c r="AN502"/>
  <c r="BX502" s="1"/>
  <c r="AM502"/>
  <c r="AL502"/>
  <c r="AK502"/>
  <c r="AJ502"/>
  <c r="AI502"/>
  <c r="AH502"/>
  <c r="AG502"/>
  <c r="AF502"/>
  <c r="AE502"/>
  <c r="AD502"/>
  <c r="AC502"/>
  <c r="AB502"/>
  <c r="AA502"/>
  <c r="DE501"/>
  <c r="BJ501"/>
  <c r="BV501" s="1"/>
  <c r="BI501"/>
  <c r="BH501"/>
  <c r="BT501" s="1"/>
  <c r="BG501"/>
  <c r="BF501"/>
  <c r="BR501" s="1"/>
  <c r="BE501"/>
  <c r="BD501"/>
  <c r="BP501" s="1"/>
  <c r="BC501"/>
  <c r="BB501"/>
  <c r="BN501" s="1"/>
  <c r="BA501"/>
  <c r="AZ501"/>
  <c r="BL501" s="1"/>
  <c r="AY501"/>
  <c r="BK501" s="1"/>
  <c r="AX501"/>
  <c r="CH501" s="1"/>
  <c r="AW501"/>
  <c r="AV501"/>
  <c r="CF501" s="1"/>
  <c r="AU501"/>
  <c r="AT501"/>
  <c r="CD501" s="1"/>
  <c r="AS501"/>
  <c r="AR501"/>
  <c r="CB501" s="1"/>
  <c r="AQ501"/>
  <c r="AP501"/>
  <c r="BZ501" s="1"/>
  <c r="AO501"/>
  <c r="AN501"/>
  <c r="BX501" s="1"/>
  <c r="AM501"/>
  <c r="AL501"/>
  <c r="AK501"/>
  <c r="AJ501"/>
  <c r="AI501"/>
  <c r="AH501"/>
  <c r="AG501"/>
  <c r="AF501"/>
  <c r="AE501"/>
  <c r="AD501"/>
  <c r="AC501"/>
  <c r="AB501"/>
  <c r="AA501"/>
  <c r="DE500"/>
  <c r="BJ500"/>
  <c r="BV500" s="1"/>
  <c r="BI500"/>
  <c r="BH500"/>
  <c r="BT500" s="1"/>
  <c r="BG500"/>
  <c r="BF500"/>
  <c r="BR500" s="1"/>
  <c r="BE500"/>
  <c r="BD500"/>
  <c r="BP500" s="1"/>
  <c r="BC500"/>
  <c r="BB500"/>
  <c r="BN500" s="1"/>
  <c r="BA500"/>
  <c r="AZ500"/>
  <c r="BL500" s="1"/>
  <c r="AY500"/>
  <c r="BK500" s="1"/>
  <c r="AX500"/>
  <c r="CH500" s="1"/>
  <c r="AW500"/>
  <c r="AV500"/>
  <c r="CF500" s="1"/>
  <c r="AU500"/>
  <c r="AT500"/>
  <c r="CD500" s="1"/>
  <c r="AS500"/>
  <c r="AR500"/>
  <c r="CB500" s="1"/>
  <c r="AQ500"/>
  <c r="AP500"/>
  <c r="BZ500" s="1"/>
  <c r="AO500"/>
  <c r="AN500"/>
  <c r="BX500" s="1"/>
  <c r="AM500"/>
  <c r="AL500"/>
  <c r="AK500"/>
  <c r="AJ500"/>
  <c r="AI500"/>
  <c r="AH500"/>
  <c r="AG500"/>
  <c r="AF500"/>
  <c r="AE500"/>
  <c r="AD500"/>
  <c r="AC500"/>
  <c r="AB500"/>
  <c r="AA500"/>
  <c r="DE499"/>
  <c r="BJ499"/>
  <c r="BV499" s="1"/>
  <c r="BI499"/>
  <c r="BH499"/>
  <c r="BT499" s="1"/>
  <c r="BG499"/>
  <c r="BF499"/>
  <c r="BR499" s="1"/>
  <c r="BE499"/>
  <c r="BD499"/>
  <c r="BP499" s="1"/>
  <c r="BC499"/>
  <c r="BB499"/>
  <c r="BN499" s="1"/>
  <c r="BA499"/>
  <c r="AZ499"/>
  <c r="BL499" s="1"/>
  <c r="AY499"/>
  <c r="BK499" s="1"/>
  <c r="AX499"/>
  <c r="CH499" s="1"/>
  <c r="AW499"/>
  <c r="AV499"/>
  <c r="CF499" s="1"/>
  <c r="AU499"/>
  <c r="AT499"/>
  <c r="CD499" s="1"/>
  <c r="AS499"/>
  <c r="AR499"/>
  <c r="CB499" s="1"/>
  <c r="AQ499"/>
  <c r="AP499"/>
  <c r="BZ499" s="1"/>
  <c r="AO499"/>
  <c r="AN499"/>
  <c r="BX499" s="1"/>
  <c r="AM499"/>
  <c r="AL499"/>
  <c r="AK499"/>
  <c r="AJ499"/>
  <c r="AI499"/>
  <c r="AH499"/>
  <c r="AG499"/>
  <c r="AF499"/>
  <c r="AE499"/>
  <c r="AD499"/>
  <c r="AC499"/>
  <c r="AB499"/>
  <c r="AA499"/>
  <c r="DE498"/>
  <c r="BJ498"/>
  <c r="BV498" s="1"/>
  <c r="BI498"/>
  <c r="BH498"/>
  <c r="BT498" s="1"/>
  <c r="BG498"/>
  <c r="BF498"/>
  <c r="BR498" s="1"/>
  <c r="BE498"/>
  <c r="BD498"/>
  <c r="BP498" s="1"/>
  <c r="BC498"/>
  <c r="BB498"/>
  <c r="BN498" s="1"/>
  <c r="BA498"/>
  <c r="AZ498"/>
  <c r="BL498" s="1"/>
  <c r="AY498"/>
  <c r="BK498" s="1"/>
  <c r="AX498"/>
  <c r="CH498" s="1"/>
  <c r="AW498"/>
  <c r="AV498"/>
  <c r="CF498" s="1"/>
  <c r="AU498"/>
  <c r="AT498"/>
  <c r="CD498" s="1"/>
  <c r="AS498"/>
  <c r="AR498"/>
  <c r="CB498" s="1"/>
  <c r="AQ498"/>
  <c r="AP498"/>
  <c r="BZ498" s="1"/>
  <c r="AO498"/>
  <c r="AN498"/>
  <c r="BX498" s="1"/>
  <c r="AM498"/>
  <c r="AL498"/>
  <c r="AK498"/>
  <c r="AJ498"/>
  <c r="AI498"/>
  <c r="AH498"/>
  <c r="AG498"/>
  <c r="AF498"/>
  <c r="AE498"/>
  <c r="AD498"/>
  <c r="AC498"/>
  <c r="AB498"/>
  <c r="AA498"/>
  <c r="DE497"/>
  <c r="BJ497"/>
  <c r="BV497" s="1"/>
  <c r="BI497"/>
  <c r="BH497"/>
  <c r="BT497" s="1"/>
  <c r="BG497"/>
  <c r="BF497"/>
  <c r="BR497" s="1"/>
  <c r="BE497"/>
  <c r="BD497"/>
  <c r="BP497" s="1"/>
  <c r="BC497"/>
  <c r="BB497"/>
  <c r="BN497" s="1"/>
  <c r="BA497"/>
  <c r="AZ497"/>
  <c r="BL497" s="1"/>
  <c r="AY497"/>
  <c r="BK497" s="1"/>
  <c r="AX497"/>
  <c r="CH497" s="1"/>
  <c r="AW497"/>
  <c r="AV497"/>
  <c r="CF497" s="1"/>
  <c r="AU497"/>
  <c r="AT497"/>
  <c r="CD497" s="1"/>
  <c r="AS497"/>
  <c r="AR497"/>
  <c r="CB497" s="1"/>
  <c r="AQ497"/>
  <c r="AP497"/>
  <c r="BZ497" s="1"/>
  <c r="AO497"/>
  <c r="AN497"/>
  <c r="BX497" s="1"/>
  <c r="AM497"/>
  <c r="AL497"/>
  <c r="AK497"/>
  <c r="AJ497"/>
  <c r="AI497"/>
  <c r="AH497"/>
  <c r="AG497"/>
  <c r="AF497"/>
  <c r="AE497"/>
  <c r="AD497"/>
  <c r="AC497"/>
  <c r="AB497"/>
  <c r="AA497"/>
  <c r="DE496"/>
  <c r="BJ496"/>
  <c r="BV496" s="1"/>
  <c r="BI496"/>
  <c r="BH496"/>
  <c r="BT496" s="1"/>
  <c r="BG496"/>
  <c r="BF496"/>
  <c r="BR496" s="1"/>
  <c r="BE496"/>
  <c r="BD496"/>
  <c r="BP496" s="1"/>
  <c r="BC496"/>
  <c r="BB496"/>
  <c r="BN496" s="1"/>
  <c r="BA496"/>
  <c r="AZ496"/>
  <c r="BL496" s="1"/>
  <c r="AY496"/>
  <c r="BK496" s="1"/>
  <c r="AX496"/>
  <c r="CH496" s="1"/>
  <c r="AW496"/>
  <c r="AV496"/>
  <c r="CF496" s="1"/>
  <c r="AU496"/>
  <c r="AT496"/>
  <c r="CD496" s="1"/>
  <c r="AS496"/>
  <c r="AR496"/>
  <c r="CB496" s="1"/>
  <c r="AQ496"/>
  <c r="AP496"/>
  <c r="BZ496" s="1"/>
  <c r="AO496"/>
  <c r="AN496"/>
  <c r="BX496" s="1"/>
  <c r="AM496"/>
  <c r="AL496"/>
  <c r="AK496"/>
  <c r="AJ496"/>
  <c r="AI496"/>
  <c r="AH496"/>
  <c r="AG496"/>
  <c r="AF496"/>
  <c r="AE496"/>
  <c r="AD496"/>
  <c r="AC496"/>
  <c r="AB496"/>
  <c r="AA496"/>
  <c r="DE495"/>
  <c r="BJ495"/>
  <c r="BV495" s="1"/>
  <c r="BI495"/>
  <c r="BH495"/>
  <c r="BT495" s="1"/>
  <c r="BG495"/>
  <c r="BF495"/>
  <c r="BR495" s="1"/>
  <c r="BE495"/>
  <c r="BD495"/>
  <c r="BP495" s="1"/>
  <c r="BC495"/>
  <c r="BB495"/>
  <c r="BN495" s="1"/>
  <c r="BA495"/>
  <c r="AZ495"/>
  <c r="BL495" s="1"/>
  <c r="AY495"/>
  <c r="BK495" s="1"/>
  <c r="AX495"/>
  <c r="CH495" s="1"/>
  <c r="AW495"/>
  <c r="AV495"/>
  <c r="CF495" s="1"/>
  <c r="AU495"/>
  <c r="AT495"/>
  <c r="CD495" s="1"/>
  <c r="AS495"/>
  <c r="AR495"/>
  <c r="CB495" s="1"/>
  <c r="AQ495"/>
  <c r="AP495"/>
  <c r="BZ495" s="1"/>
  <c r="AO495"/>
  <c r="AN495"/>
  <c r="BX495" s="1"/>
  <c r="AM495"/>
  <c r="AL495"/>
  <c r="AK495"/>
  <c r="AJ495"/>
  <c r="AI495"/>
  <c r="AH495"/>
  <c r="AG495"/>
  <c r="AF495"/>
  <c r="AE495"/>
  <c r="AD495"/>
  <c r="AC495"/>
  <c r="AB495"/>
  <c r="AA495"/>
  <c r="DE494"/>
  <c r="BJ494"/>
  <c r="BV494" s="1"/>
  <c r="BI494"/>
  <c r="BH494"/>
  <c r="BT494" s="1"/>
  <c r="BG494"/>
  <c r="BF494"/>
  <c r="BR494" s="1"/>
  <c r="BE494"/>
  <c r="BD494"/>
  <c r="BP494" s="1"/>
  <c r="BC494"/>
  <c r="BB494"/>
  <c r="BN494" s="1"/>
  <c r="BA494"/>
  <c r="AZ494"/>
  <c r="BL494" s="1"/>
  <c r="AY494"/>
  <c r="BK494" s="1"/>
  <c r="AX494"/>
  <c r="CH494" s="1"/>
  <c r="AW494"/>
  <c r="AV494"/>
  <c r="CF494" s="1"/>
  <c r="AU494"/>
  <c r="AT494"/>
  <c r="CD494" s="1"/>
  <c r="AS494"/>
  <c r="AR494"/>
  <c r="CB494" s="1"/>
  <c r="AQ494"/>
  <c r="AP494"/>
  <c r="BZ494" s="1"/>
  <c r="AO494"/>
  <c r="AN494"/>
  <c r="BX494" s="1"/>
  <c r="AM494"/>
  <c r="AL494"/>
  <c r="AK494"/>
  <c r="AJ494"/>
  <c r="AI494"/>
  <c r="AH494"/>
  <c r="AG494"/>
  <c r="AF494"/>
  <c r="AE494"/>
  <c r="AD494"/>
  <c r="AC494"/>
  <c r="AB494"/>
  <c r="AA494"/>
  <c r="DE493"/>
  <c r="BJ493"/>
  <c r="BV493" s="1"/>
  <c r="BI493"/>
  <c r="BH493"/>
  <c r="BT493" s="1"/>
  <c r="BG493"/>
  <c r="BF493"/>
  <c r="BR493" s="1"/>
  <c r="BE493"/>
  <c r="BD493"/>
  <c r="BP493" s="1"/>
  <c r="BC493"/>
  <c r="BB493"/>
  <c r="BN493" s="1"/>
  <c r="BA493"/>
  <c r="AZ493"/>
  <c r="BL493" s="1"/>
  <c r="AY493"/>
  <c r="BK493" s="1"/>
  <c r="AX493"/>
  <c r="CH493" s="1"/>
  <c r="AW493"/>
  <c r="AV493"/>
  <c r="CF493" s="1"/>
  <c r="AU493"/>
  <c r="AT493"/>
  <c r="CD493" s="1"/>
  <c r="AS493"/>
  <c r="AR493"/>
  <c r="CB493" s="1"/>
  <c r="AQ493"/>
  <c r="AP493"/>
  <c r="BZ493" s="1"/>
  <c r="AO493"/>
  <c r="AN493"/>
  <c r="BX493" s="1"/>
  <c r="AM493"/>
  <c r="AL493"/>
  <c r="AK493"/>
  <c r="AJ493"/>
  <c r="AI493"/>
  <c r="AH493"/>
  <c r="AG493"/>
  <c r="AF493"/>
  <c r="AE493"/>
  <c r="AD493"/>
  <c r="AC493"/>
  <c r="AB493"/>
  <c r="AA493"/>
  <c r="DE492"/>
  <c r="BJ492"/>
  <c r="BV492" s="1"/>
  <c r="BI492"/>
  <c r="BH492"/>
  <c r="BT492" s="1"/>
  <c r="BG492"/>
  <c r="BF492"/>
  <c r="BR492" s="1"/>
  <c r="BE492"/>
  <c r="BD492"/>
  <c r="BP492" s="1"/>
  <c r="BC492"/>
  <c r="BB492"/>
  <c r="BN492" s="1"/>
  <c r="BA492"/>
  <c r="AZ492"/>
  <c r="BL492" s="1"/>
  <c r="AY492"/>
  <c r="BK492" s="1"/>
  <c r="AX492"/>
  <c r="CH492" s="1"/>
  <c r="AW492"/>
  <c r="AV492"/>
  <c r="CF492" s="1"/>
  <c r="AU492"/>
  <c r="AT492"/>
  <c r="CD492" s="1"/>
  <c r="AS492"/>
  <c r="AR492"/>
  <c r="CB492" s="1"/>
  <c r="AQ492"/>
  <c r="AP492"/>
  <c r="BZ492" s="1"/>
  <c r="AO492"/>
  <c r="AN492"/>
  <c r="BX492" s="1"/>
  <c r="AM492"/>
  <c r="AL492"/>
  <c r="AK492"/>
  <c r="AJ492"/>
  <c r="AI492"/>
  <c r="AH492"/>
  <c r="AG492"/>
  <c r="AF492"/>
  <c r="AE492"/>
  <c r="AD492"/>
  <c r="AC492"/>
  <c r="AB492"/>
  <c r="AA492"/>
  <c r="DE491"/>
  <c r="BJ491"/>
  <c r="BV491" s="1"/>
  <c r="BI491"/>
  <c r="BH491"/>
  <c r="BT491" s="1"/>
  <c r="BG491"/>
  <c r="BF491"/>
  <c r="BR491" s="1"/>
  <c r="BE491"/>
  <c r="BD491"/>
  <c r="BP491" s="1"/>
  <c r="BC491"/>
  <c r="BB491"/>
  <c r="BN491" s="1"/>
  <c r="BA491"/>
  <c r="AZ491"/>
  <c r="BL491" s="1"/>
  <c r="AY491"/>
  <c r="BK491" s="1"/>
  <c r="AX491"/>
  <c r="CH491" s="1"/>
  <c r="AW491"/>
  <c r="AV491"/>
  <c r="CF491" s="1"/>
  <c r="AU491"/>
  <c r="AT491"/>
  <c r="CD491" s="1"/>
  <c r="AS491"/>
  <c r="AR491"/>
  <c r="CB491" s="1"/>
  <c r="AQ491"/>
  <c r="AP491"/>
  <c r="BZ491" s="1"/>
  <c r="AO491"/>
  <c r="AN491"/>
  <c r="BX491" s="1"/>
  <c r="AM491"/>
  <c r="AL491"/>
  <c r="AK491"/>
  <c r="AJ491"/>
  <c r="AI491"/>
  <c r="AH491"/>
  <c r="AG491"/>
  <c r="AF491"/>
  <c r="AE491"/>
  <c r="AD491"/>
  <c r="AC491"/>
  <c r="AB491"/>
  <c r="AA491"/>
  <c r="DE490"/>
  <c r="BJ490"/>
  <c r="BV490" s="1"/>
  <c r="BI490"/>
  <c r="BH490"/>
  <c r="BT490" s="1"/>
  <c r="BG490"/>
  <c r="BF490"/>
  <c r="BR490" s="1"/>
  <c r="BE490"/>
  <c r="BD490"/>
  <c r="BP490" s="1"/>
  <c r="BC490"/>
  <c r="BB490"/>
  <c r="BN490" s="1"/>
  <c r="BA490"/>
  <c r="AZ490"/>
  <c r="BL490" s="1"/>
  <c r="AY490"/>
  <c r="BK490" s="1"/>
  <c r="AX490"/>
  <c r="CH490" s="1"/>
  <c r="AW490"/>
  <c r="AV490"/>
  <c r="CF490" s="1"/>
  <c r="AU490"/>
  <c r="AT490"/>
  <c r="CD490" s="1"/>
  <c r="AS490"/>
  <c r="AR490"/>
  <c r="CB490" s="1"/>
  <c r="AQ490"/>
  <c r="AP490"/>
  <c r="BZ490" s="1"/>
  <c r="AO490"/>
  <c r="AN490"/>
  <c r="BX490" s="1"/>
  <c r="AM490"/>
  <c r="AL490"/>
  <c r="AK490"/>
  <c r="AJ490"/>
  <c r="AI490"/>
  <c r="AH490"/>
  <c r="AG490"/>
  <c r="AF490"/>
  <c r="AE490"/>
  <c r="AD490"/>
  <c r="AC490"/>
  <c r="AB490"/>
  <c r="AA490"/>
  <c r="DE489"/>
  <c r="BJ489"/>
  <c r="BV489" s="1"/>
  <c r="BI489"/>
  <c r="BH489"/>
  <c r="BT489" s="1"/>
  <c r="BG489"/>
  <c r="BF489"/>
  <c r="BR489" s="1"/>
  <c r="BE489"/>
  <c r="BD489"/>
  <c r="BP489" s="1"/>
  <c r="BC489"/>
  <c r="BB489"/>
  <c r="BN489" s="1"/>
  <c r="BA489"/>
  <c r="AZ489"/>
  <c r="BL489" s="1"/>
  <c r="AY489"/>
  <c r="BK489" s="1"/>
  <c r="AX489"/>
  <c r="CH489" s="1"/>
  <c r="AW489"/>
  <c r="AV489"/>
  <c r="CF489" s="1"/>
  <c r="AU489"/>
  <c r="AT489"/>
  <c r="CD489" s="1"/>
  <c r="AS489"/>
  <c r="AR489"/>
  <c r="CB489" s="1"/>
  <c r="AQ489"/>
  <c r="AP489"/>
  <c r="BZ489" s="1"/>
  <c r="AO489"/>
  <c r="AN489"/>
  <c r="BX489" s="1"/>
  <c r="AM489"/>
  <c r="AL489"/>
  <c r="AK489"/>
  <c r="AJ489"/>
  <c r="AI489"/>
  <c r="AH489"/>
  <c r="AG489"/>
  <c r="AF489"/>
  <c r="AE489"/>
  <c r="AD489"/>
  <c r="AC489"/>
  <c r="AB489"/>
  <c r="AA489"/>
  <c r="DE488"/>
  <c r="BJ488"/>
  <c r="BV488" s="1"/>
  <c r="BI488"/>
  <c r="BH488"/>
  <c r="BT488" s="1"/>
  <c r="BG488"/>
  <c r="BF488"/>
  <c r="BR488" s="1"/>
  <c r="BE488"/>
  <c r="BD488"/>
  <c r="BP488" s="1"/>
  <c r="BC488"/>
  <c r="BB488"/>
  <c r="BN488" s="1"/>
  <c r="BA488"/>
  <c r="AZ488"/>
  <c r="BL488" s="1"/>
  <c r="AY488"/>
  <c r="BK488" s="1"/>
  <c r="AX488"/>
  <c r="CH488" s="1"/>
  <c r="AW488"/>
  <c r="AV488"/>
  <c r="CF488" s="1"/>
  <c r="AU488"/>
  <c r="AT488"/>
  <c r="CD488" s="1"/>
  <c r="AS488"/>
  <c r="AR488"/>
  <c r="CB488" s="1"/>
  <c r="AQ488"/>
  <c r="AP488"/>
  <c r="BZ488" s="1"/>
  <c r="AO488"/>
  <c r="AN488"/>
  <c r="BX488" s="1"/>
  <c r="AM488"/>
  <c r="AL488"/>
  <c r="AK488"/>
  <c r="AJ488"/>
  <c r="AI488"/>
  <c r="AH488"/>
  <c r="AG488"/>
  <c r="AF488"/>
  <c r="AE488"/>
  <c r="AD488"/>
  <c r="AC488"/>
  <c r="AB488"/>
  <c r="AA488"/>
  <c r="DE487"/>
  <c r="BJ487"/>
  <c r="BV487" s="1"/>
  <c r="BI487"/>
  <c r="BH487"/>
  <c r="BT487" s="1"/>
  <c r="BG487"/>
  <c r="BF487"/>
  <c r="BR487" s="1"/>
  <c r="BE487"/>
  <c r="BD487"/>
  <c r="BP487" s="1"/>
  <c r="BC487"/>
  <c r="BB487"/>
  <c r="BN487" s="1"/>
  <c r="BA487"/>
  <c r="AZ487"/>
  <c r="BL487" s="1"/>
  <c r="AY487"/>
  <c r="BK487" s="1"/>
  <c r="AX487"/>
  <c r="CH487" s="1"/>
  <c r="AW487"/>
  <c r="AV487"/>
  <c r="CF487" s="1"/>
  <c r="AU487"/>
  <c r="AT487"/>
  <c r="CD487" s="1"/>
  <c r="AS487"/>
  <c r="AR487"/>
  <c r="CB487" s="1"/>
  <c r="AQ487"/>
  <c r="AP487"/>
  <c r="BZ487" s="1"/>
  <c r="AO487"/>
  <c r="AN487"/>
  <c r="BX487" s="1"/>
  <c r="AM487"/>
  <c r="AL487"/>
  <c r="AK487"/>
  <c r="AJ487"/>
  <c r="AI487"/>
  <c r="AH487"/>
  <c r="AG487"/>
  <c r="AF487"/>
  <c r="AE487"/>
  <c r="AD487"/>
  <c r="AC487"/>
  <c r="AB487"/>
  <c r="AA487"/>
  <c r="DE486"/>
  <c r="BJ486"/>
  <c r="BV486" s="1"/>
  <c r="BI486"/>
  <c r="BH486"/>
  <c r="BT486" s="1"/>
  <c r="BG486"/>
  <c r="BF486"/>
  <c r="BR486" s="1"/>
  <c r="BE486"/>
  <c r="BD486"/>
  <c r="BP486" s="1"/>
  <c r="BC486"/>
  <c r="BB486"/>
  <c r="BN486" s="1"/>
  <c r="BA486"/>
  <c r="AZ486"/>
  <c r="BL486" s="1"/>
  <c r="AY486"/>
  <c r="BK486" s="1"/>
  <c r="AX486"/>
  <c r="CH486" s="1"/>
  <c r="AW486"/>
  <c r="AV486"/>
  <c r="CF486" s="1"/>
  <c r="AU486"/>
  <c r="AT486"/>
  <c r="CD486" s="1"/>
  <c r="AS486"/>
  <c r="AR486"/>
  <c r="CB486" s="1"/>
  <c r="AQ486"/>
  <c r="AP486"/>
  <c r="BZ486" s="1"/>
  <c r="AO486"/>
  <c r="AN486"/>
  <c r="BX486" s="1"/>
  <c r="AM486"/>
  <c r="AL486"/>
  <c r="AK486"/>
  <c r="AJ486"/>
  <c r="AI486"/>
  <c r="AH486"/>
  <c r="AG486"/>
  <c r="AF486"/>
  <c r="AE486"/>
  <c r="AD486"/>
  <c r="AC486"/>
  <c r="AB486"/>
  <c r="AA486"/>
  <c r="DE485"/>
  <c r="BJ485"/>
  <c r="BV485" s="1"/>
  <c r="BI485"/>
  <c r="BH485"/>
  <c r="BT485" s="1"/>
  <c r="BG485"/>
  <c r="BF485"/>
  <c r="BR485" s="1"/>
  <c r="BE485"/>
  <c r="BD485"/>
  <c r="BP485" s="1"/>
  <c r="BC485"/>
  <c r="BB485"/>
  <c r="BN485" s="1"/>
  <c r="BA485"/>
  <c r="AZ485"/>
  <c r="BL485" s="1"/>
  <c r="AY485"/>
  <c r="BK485" s="1"/>
  <c r="AX485"/>
  <c r="CH485" s="1"/>
  <c r="AW485"/>
  <c r="AV485"/>
  <c r="CF485" s="1"/>
  <c r="AU485"/>
  <c r="AT485"/>
  <c r="CD485" s="1"/>
  <c r="AS485"/>
  <c r="AR485"/>
  <c r="CB485" s="1"/>
  <c r="AQ485"/>
  <c r="AP485"/>
  <c r="BZ485" s="1"/>
  <c r="AO485"/>
  <c r="AN485"/>
  <c r="BX485" s="1"/>
  <c r="AM485"/>
  <c r="AL485"/>
  <c r="AK485"/>
  <c r="AJ485"/>
  <c r="AI485"/>
  <c r="AH485"/>
  <c r="AG485"/>
  <c r="AF485"/>
  <c r="AE485"/>
  <c r="AD485"/>
  <c r="AC485"/>
  <c r="AB485"/>
  <c r="AA485"/>
  <c r="DE484"/>
  <c r="BJ484"/>
  <c r="BV484" s="1"/>
  <c r="BI484"/>
  <c r="BH484"/>
  <c r="BT484" s="1"/>
  <c r="BG484"/>
  <c r="BF484"/>
  <c r="BR484" s="1"/>
  <c r="BE484"/>
  <c r="BD484"/>
  <c r="BP484" s="1"/>
  <c r="BC484"/>
  <c r="BB484"/>
  <c r="BN484" s="1"/>
  <c r="BA484"/>
  <c r="AZ484"/>
  <c r="BL484" s="1"/>
  <c r="AY484"/>
  <c r="BK484" s="1"/>
  <c r="AX484"/>
  <c r="CH484" s="1"/>
  <c r="AW484"/>
  <c r="AV484"/>
  <c r="CF484" s="1"/>
  <c r="AU484"/>
  <c r="AT484"/>
  <c r="CD484" s="1"/>
  <c r="AS484"/>
  <c r="AR484"/>
  <c r="CB484" s="1"/>
  <c r="AQ484"/>
  <c r="AP484"/>
  <c r="BZ484" s="1"/>
  <c r="AO484"/>
  <c r="AN484"/>
  <c r="BX484" s="1"/>
  <c r="AM484"/>
  <c r="AL484"/>
  <c r="AK484"/>
  <c r="AJ484"/>
  <c r="AI484"/>
  <c r="AH484"/>
  <c r="AG484"/>
  <c r="AF484"/>
  <c r="AE484"/>
  <c r="AD484"/>
  <c r="AC484"/>
  <c r="AB484"/>
  <c r="AA484"/>
  <c r="DE483"/>
  <c r="BJ483"/>
  <c r="BV483" s="1"/>
  <c r="BI483"/>
  <c r="BH483"/>
  <c r="BT483" s="1"/>
  <c r="BG483"/>
  <c r="BF483"/>
  <c r="BR483" s="1"/>
  <c r="BE483"/>
  <c r="BD483"/>
  <c r="BP483" s="1"/>
  <c r="BC483"/>
  <c r="BB483"/>
  <c r="BN483" s="1"/>
  <c r="BA483"/>
  <c r="AZ483"/>
  <c r="BL483" s="1"/>
  <c r="AY483"/>
  <c r="BK483" s="1"/>
  <c r="AX483"/>
  <c r="CH483" s="1"/>
  <c r="AW483"/>
  <c r="AV483"/>
  <c r="CF483" s="1"/>
  <c r="AU483"/>
  <c r="AT483"/>
  <c r="CD483" s="1"/>
  <c r="AS483"/>
  <c r="AR483"/>
  <c r="CB483" s="1"/>
  <c r="AQ483"/>
  <c r="AP483"/>
  <c r="BZ483" s="1"/>
  <c r="AO483"/>
  <c r="AN483"/>
  <c r="BX483" s="1"/>
  <c r="AM483"/>
  <c r="AL483"/>
  <c r="AK483"/>
  <c r="AJ483"/>
  <c r="AI483"/>
  <c r="AH483"/>
  <c r="AG483"/>
  <c r="AF483"/>
  <c r="AE483"/>
  <c r="AD483"/>
  <c r="AC483"/>
  <c r="AB483"/>
  <c r="AA483"/>
  <c r="DE482"/>
  <c r="BJ482"/>
  <c r="BV482" s="1"/>
  <c r="BI482"/>
  <c r="BH482"/>
  <c r="BT482" s="1"/>
  <c r="BG482"/>
  <c r="BF482"/>
  <c r="BR482" s="1"/>
  <c r="BE482"/>
  <c r="BD482"/>
  <c r="BP482" s="1"/>
  <c r="BC482"/>
  <c r="BB482"/>
  <c r="BN482" s="1"/>
  <c r="BA482"/>
  <c r="AZ482"/>
  <c r="BL482" s="1"/>
  <c r="AY482"/>
  <c r="BK482" s="1"/>
  <c r="AX482"/>
  <c r="CH482" s="1"/>
  <c r="AW482"/>
  <c r="AV482"/>
  <c r="CF482" s="1"/>
  <c r="AU482"/>
  <c r="AT482"/>
  <c r="CD482" s="1"/>
  <c r="AS482"/>
  <c r="AR482"/>
  <c r="CB482" s="1"/>
  <c r="AQ482"/>
  <c r="AP482"/>
  <c r="BZ482" s="1"/>
  <c r="AO482"/>
  <c r="AN482"/>
  <c r="BX482" s="1"/>
  <c r="AM482"/>
  <c r="AL482"/>
  <c r="AK482"/>
  <c r="AJ482"/>
  <c r="AI482"/>
  <c r="AH482"/>
  <c r="AG482"/>
  <c r="AF482"/>
  <c r="AE482"/>
  <c r="AD482"/>
  <c r="AC482"/>
  <c r="AB482"/>
  <c r="AA482"/>
  <c r="DE481"/>
  <c r="BJ481"/>
  <c r="BV481" s="1"/>
  <c r="BI481"/>
  <c r="BH481"/>
  <c r="BT481" s="1"/>
  <c r="BG481"/>
  <c r="BF481"/>
  <c r="BR481" s="1"/>
  <c r="BE481"/>
  <c r="BD481"/>
  <c r="BP481" s="1"/>
  <c r="BC481"/>
  <c r="BB481"/>
  <c r="BN481" s="1"/>
  <c r="BA481"/>
  <c r="AZ481"/>
  <c r="BL481" s="1"/>
  <c r="AY481"/>
  <c r="BK481" s="1"/>
  <c r="AX481"/>
  <c r="CH481" s="1"/>
  <c r="AW481"/>
  <c r="AV481"/>
  <c r="CF481" s="1"/>
  <c r="AU481"/>
  <c r="AT481"/>
  <c r="CD481" s="1"/>
  <c r="AS481"/>
  <c r="AR481"/>
  <c r="CB481" s="1"/>
  <c r="AQ481"/>
  <c r="AP481"/>
  <c r="BZ481" s="1"/>
  <c r="AO481"/>
  <c r="AN481"/>
  <c r="BX481" s="1"/>
  <c r="AM481"/>
  <c r="AL481"/>
  <c r="AK481"/>
  <c r="AJ481"/>
  <c r="AI481"/>
  <c r="AH481"/>
  <c r="AG481"/>
  <c r="AF481"/>
  <c r="AE481"/>
  <c r="AD481"/>
  <c r="AC481"/>
  <c r="AB481"/>
  <c r="AA481"/>
  <c r="DE480"/>
  <c r="BJ480"/>
  <c r="BV480" s="1"/>
  <c r="BI480"/>
  <c r="BH480"/>
  <c r="BT480" s="1"/>
  <c r="BG480"/>
  <c r="BF480"/>
  <c r="BR480" s="1"/>
  <c r="BE480"/>
  <c r="BD480"/>
  <c r="BP480" s="1"/>
  <c r="BC480"/>
  <c r="BB480"/>
  <c r="BN480" s="1"/>
  <c r="BA480"/>
  <c r="AZ480"/>
  <c r="BL480" s="1"/>
  <c r="AY480"/>
  <c r="BK480" s="1"/>
  <c r="AX480"/>
  <c r="CH480" s="1"/>
  <c r="AW480"/>
  <c r="AV480"/>
  <c r="CF480" s="1"/>
  <c r="AU480"/>
  <c r="AT480"/>
  <c r="CD480" s="1"/>
  <c r="AS480"/>
  <c r="AR480"/>
  <c r="CB480" s="1"/>
  <c r="AQ480"/>
  <c r="AP480"/>
  <c r="BZ480" s="1"/>
  <c r="AO480"/>
  <c r="AN480"/>
  <c r="BX480" s="1"/>
  <c r="AM480"/>
  <c r="AL480"/>
  <c r="AK480"/>
  <c r="AJ480"/>
  <c r="AI480"/>
  <c r="AH480"/>
  <c r="AG480"/>
  <c r="AF480"/>
  <c r="AE480"/>
  <c r="AD480"/>
  <c r="AC480"/>
  <c r="AB480"/>
  <c r="AA480"/>
  <c r="DE479"/>
  <c r="BJ479"/>
  <c r="BV479" s="1"/>
  <c r="BI479"/>
  <c r="BH479"/>
  <c r="BT479" s="1"/>
  <c r="BG479"/>
  <c r="BF479"/>
  <c r="BR479" s="1"/>
  <c r="BE479"/>
  <c r="BD479"/>
  <c r="BP479" s="1"/>
  <c r="BC479"/>
  <c r="BB479"/>
  <c r="BN479" s="1"/>
  <c r="BA479"/>
  <c r="AZ479"/>
  <c r="BL479" s="1"/>
  <c r="AY479"/>
  <c r="BK479" s="1"/>
  <c r="AX479"/>
  <c r="CH479" s="1"/>
  <c r="AW479"/>
  <c r="AV479"/>
  <c r="CF479" s="1"/>
  <c r="AU479"/>
  <c r="AT479"/>
  <c r="CD479" s="1"/>
  <c r="AS479"/>
  <c r="AR479"/>
  <c r="CB479" s="1"/>
  <c r="AQ479"/>
  <c r="AP479"/>
  <c r="BZ479" s="1"/>
  <c r="AO479"/>
  <c r="AN479"/>
  <c r="BX479" s="1"/>
  <c r="AM479"/>
  <c r="AL479"/>
  <c r="AK479"/>
  <c r="AJ479"/>
  <c r="AI479"/>
  <c r="AH479"/>
  <c r="AG479"/>
  <c r="AF479"/>
  <c r="AE479"/>
  <c r="AD479"/>
  <c r="AC479"/>
  <c r="AB479"/>
  <c r="AA479"/>
  <c r="DE478"/>
  <c r="BJ478"/>
  <c r="BV478" s="1"/>
  <c r="BI478"/>
  <c r="BH478"/>
  <c r="BT478" s="1"/>
  <c r="BG478"/>
  <c r="BF478"/>
  <c r="BR478" s="1"/>
  <c r="BE478"/>
  <c r="BD478"/>
  <c r="BP478" s="1"/>
  <c r="BC478"/>
  <c r="BB478"/>
  <c r="BN478" s="1"/>
  <c r="BA478"/>
  <c r="AZ478"/>
  <c r="BL478" s="1"/>
  <c r="AY478"/>
  <c r="BK478" s="1"/>
  <c r="AX478"/>
  <c r="CH478" s="1"/>
  <c r="AW478"/>
  <c r="AV478"/>
  <c r="CF478" s="1"/>
  <c r="AU478"/>
  <c r="AT478"/>
  <c r="CD478" s="1"/>
  <c r="AS478"/>
  <c r="AR478"/>
  <c r="CB478" s="1"/>
  <c r="AQ478"/>
  <c r="AP478"/>
  <c r="BZ478" s="1"/>
  <c r="AO478"/>
  <c r="AN478"/>
  <c r="BX478" s="1"/>
  <c r="AM478"/>
  <c r="AL478"/>
  <c r="AK478"/>
  <c r="AJ478"/>
  <c r="AI478"/>
  <c r="AH478"/>
  <c r="AG478"/>
  <c r="AF478"/>
  <c r="AE478"/>
  <c r="AD478"/>
  <c r="AC478"/>
  <c r="AB478"/>
  <c r="AA478"/>
  <c r="DE477"/>
  <c r="BJ477"/>
  <c r="BV477" s="1"/>
  <c r="BI477"/>
  <c r="BH477"/>
  <c r="BT477" s="1"/>
  <c r="BG477"/>
  <c r="BF477"/>
  <c r="BR477" s="1"/>
  <c r="BE477"/>
  <c r="BD477"/>
  <c r="BP477" s="1"/>
  <c r="BC477"/>
  <c r="BB477"/>
  <c r="BN477" s="1"/>
  <c r="BA477"/>
  <c r="AZ477"/>
  <c r="BL477" s="1"/>
  <c r="AY477"/>
  <c r="BK477" s="1"/>
  <c r="AX477"/>
  <c r="CH477" s="1"/>
  <c r="AW477"/>
  <c r="AV477"/>
  <c r="CF477" s="1"/>
  <c r="AU477"/>
  <c r="AT477"/>
  <c r="CD477" s="1"/>
  <c r="AS477"/>
  <c r="AR477"/>
  <c r="CB477" s="1"/>
  <c r="AQ477"/>
  <c r="AP477"/>
  <c r="BZ477" s="1"/>
  <c r="AO477"/>
  <c r="AN477"/>
  <c r="BX477" s="1"/>
  <c r="AM477"/>
  <c r="AL477"/>
  <c r="AK477"/>
  <c r="AJ477"/>
  <c r="AI477"/>
  <c r="AH477"/>
  <c r="AG477"/>
  <c r="AF477"/>
  <c r="AE477"/>
  <c r="AD477"/>
  <c r="AC477"/>
  <c r="AB477"/>
  <c r="AA477"/>
  <c r="DE476"/>
  <c r="BJ476"/>
  <c r="BV476" s="1"/>
  <c r="BI476"/>
  <c r="BH476"/>
  <c r="BT476" s="1"/>
  <c r="BG476"/>
  <c r="BF476"/>
  <c r="BR476" s="1"/>
  <c r="BE476"/>
  <c r="BD476"/>
  <c r="BP476" s="1"/>
  <c r="BC476"/>
  <c r="BB476"/>
  <c r="BN476" s="1"/>
  <c r="BA476"/>
  <c r="AZ476"/>
  <c r="BL476" s="1"/>
  <c r="AY476"/>
  <c r="BK476" s="1"/>
  <c r="AX476"/>
  <c r="CH476" s="1"/>
  <c r="AW476"/>
  <c r="AV476"/>
  <c r="CF476" s="1"/>
  <c r="AU476"/>
  <c r="AT476"/>
  <c r="CD476" s="1"/>
  <c r="AS476"/>
  <c r="AR476"/>
  <c r="CB476" s="1"/>
  <c r="AQ476"/>
  <c r="AP476"/>
  <c r="BZ476" s="1"/>
  <c r="AO476"/>
  <c r="AN476"/>
  <c r="BX476" s="1"/>
  <c r="AM476"/>
  <c r="AL476"/>
  <c r="AK476"/>
  <c r="AJ476"/>
  <c r="AI476"/>
  <c r="AH476"/>
  <c r="AG476"/>
  <c r="AF476"/>
  <c r="AE476"/>
  <c r="AD476"/>
  <c r="AC476"/>
  <c r="AB476"/>
  <c r="AA476"/>
  <c r="DE475"/>
  <c r="BJ475"/>
  <c r="BV475" s="1"/>
  <c r="BI475"/>
  <c r="BH475"/>
  <c r="BT475" s="1"/>
  <c r="BG475"/>
  <c r="BF475"/>
  <c r="BR475" s="1"/>
  <c r="BE475"/>
  <c r="BD475"/>
  <c r="BP475" s="1"/>
  <c r="BC475"/>
  <c r="BB475"/>
  <c r="BN475" s="1"/>
  <c r="BA475"/>
  <c r="AZ475"/>
  <c r="BL475" s="1"/>
  <c r="AY475"/>
  <c r="BK475" s="1"/>
  <c r="AX475"/>
  <c r="CH475" s="1"/>
  <c r="AW475"/>
  <c r="AV475"/>
  <c r="CF475" s="1"/>
  <c r="AU475"/>
  <c r="AT475"/>
  <c r="CD475" s="1"/>
  <c r="AS475"/>
  <c r="AR475"/>
  <c r="CB475" s="1"/>
  <c r="AQ475"/>
  <c r="AP475"/>
  <c r="BZ475" s="1"/>
  <c r="AO475"/>
  <c r="AN475"/>
  <c r="BX475" s="1"/>
  <c r="AM475"/>
  <c r="AL475"/>
  <c r="AK475"/>
  <c r="AJ475"/>
  <c r="AI475"/>
  <c r="AH475"/>
  <c r="AG475"/>
  <c r="AF475"/>
  <c r="AE475"/>
  <c r="AD475"/>
  <c r="AC475"/>
  <c r="AB475"/>
  <c r="AA475"/>
  <c r="DE474"/>
  <c r="BJ474"/>
  <c r="BV474" s="1"/>
  <c r="BI474"/>
  <c r="BH474"/>
  <c r="BT474" s="1"/>
  <c r="BG474"/>
  <c r="BF474"/>
  <c r="BR474" s="1"/>
  <c r="BE474"/>
  <c r="BD474"/>
  <c r="BP474" s="1"/>
  <c r="BC474"/>
  <c r="BB474"/>
  <c r="BN474" s="1"/>
  <c r="BA474"/>
  <c r="AZ474"/>
  <c r="BL474" s="1"/>
  <c r="AY474"/>
  <c r="BK474" s="1"/>
  <c r="AX474"/>
  <c r="CH474" s="1"/>
  <c r="AW474"/>
  <c r="AV474"/>
  <c r="CF474" s="1"/>
  <c r="AU474"/>
  <c r="AT474"/>
  <c r="CD474" s="1"/>
  <c r="AS474"/>
  <c r="AR474"/>
  <c r="CB474" s="1"/>
  <c r="AQ474"/>
  <c r="AP474"/>
  <c r="BZ474" s="1"/>
  <c r="AO474"/>
  <c r="AN474"/>
  <c r="BX474" s="1"/>
  <c r="AM474"/>
  <c r="AL474"/>
  <c r="AK474"/>
  <c r="AJ474"/>
  <c r="AI474"/>
  <c r="AH474"/>
  <c r="AG474"/>
  <c r="AF474"/>
  <c r="AE474"/>
  <c r="AD474"/>
  <c r="AC474"/>
  <c r="AB474"/>
  <c r="AA474"/>
  <c r="DE473"/>
  <c r="BJ473"/>
  <c r="BV473" s="1"/>
  <c r="BI473"/>
  <c r="BH473"/>
  <c r="BT473" s="1"/>
  <c r="BG473"/>
  <c r="BF473"/>
  <c r="BR473" s="1"/>
  <c r="BE473"/>
  <c r="BD473"/>
  <c r="BP473" s="1"/>
  <c r="BC473"/>
  <c r="BB473"/>
  <c r="BN473" s="1"/>
  <c r="BA473"/>
  <c r="AZ473"/>
  <c r="BL473" s="1"/>
  <c r="AY473"/>
  <c r="BK473" s="1"/>
  <c r="AX473"/>
  <c r="CH473" s="1"/>
  <c r="AW473"/>
  <c r="AV473"/>
  <c r="CF473" s="1"/>
  <c r="AU473"/>
  <c r="AT473"/>
  <c r="CD473" s="1"/>
  <c r="AS473"/>
  <c r="AR473"/>
  <c r="CB473" s="1"/>
  <c r="AQ473"/>
  <c r="AP473"/>
  <c r="BZ473" s="1"/>
  <c r="AO473"/>
  <c r="AN473"/>
  <c r="BX473" s="1"/>
  <c r="AM473"/>
  <c r="AL473"/>
  <c r="AK473"/>
  <c r="AJ473"/>
  <c r="AI473"/>
  <c r="AH473"/>
  <c r="AG473"/>
  <c r="AF473"/>
  <c r="AE473"/>
  <c r="AD473"/>
  <c r="AC473"/>
  <c r="AB473"/>
  <c r="AA473"/>
  <c r="DE472"/>
  <c r="BJ472"/>
  <c r="BV472" s="1"/>
  <c r="BI472"/>
  <c r="BH472"/>
  <c r="BT472" s="1"/>
  <c r="BG472"/>
  <c r="BF472"/>
  <c r="BR472" s="1"/>
  <c r="BE472"/>
  <c r="BD472"/>
  <c r="BP472" s="1"/>
  <c r="BC472"/>
  <c r="BB472"/>
  <c r="BN472" s="1"/>
  <c r="BA472"/>
  <c r="AZ472"/>
  <c r="BL472" s="1"/>
  <c r="AY472"/>
  <c r="BK472" s="1"/>
  <c r="AX472"/>
  <c r="CH472" s="1"/>
  <c r="AW472"/>
  <c r="AV472"/>
  <c r="CF472" s="1"/>
  <c r="AU472"/>
  <c r="AT472"/>
  <c r="CD472" s="1"/>
  <c r="AS472"/>
  <c r="AR472"/>
  <c r="CB472" s="1"/>
  <c r="AQ472"/>
  <c r="AP472"/>
  <c r="BZ472" s="1"/>
  <c r="AO472"/>
  <c r="AN472"/>
  <c r="BX472" s="1"/>
  <c r="AM472"/>
  <c r="AL472"/>
  <c r="AK472"/>
  <c r="AJ472"/>
  <c r="AI472"/>
  <c r="AH472"/>
  <c r="AG472"/>
  <c r="AF472"/>
  <c r="AE472"/>
  <c r="AD472"/>
  <c r="AC472"/>
  <c r="AB472"/>
  <c r="AA472"/>
  <c r="DE471"/>
  <c r="BJ471"/>
  <c r="BV471" s="1"/>
  <c r="BI471"/>
  <c r="BH471"/>
  <c r="BT471" s="1"/>
  <c r="BG471"/>
  <c r="BF471"/>
  <c r="BR471" s="1"/>
  <c r="BE471"/>
  <c r="BD471"/>
  <c r="BP471" s="1"/>
  <c r="BC471"/>
  <c r="BB471"/>
  <c r="BN471" s="1"/>
  <c r="BA471"/>
  <c r="AZ471"/>
  <c r="BL471" s="1"/>
  <c r="AY471"/>
  <c r="BK471" s="1"/>
  <c r="AX471"/>
  <c r="CH471" s="1"/>
  <c r="AW471"/>
  <c r="AV471"/>
  <c r="CF471" s="1"/>
  <c r="AU471"/>
  <c r="AT471"/>
  <c r="CD471" s="1"/>
  <c r="AS471"/>
  <c r="AR471"/>
  <c r="CB471" s="1"/>
  <c r="AQ471"/>
  <c r="AP471"/>
  <c r="BZ471" s="1"/>
  <c r="AO471"/>
  <c r="AN471"/>
  <c r="BX471" s="1"/>
  <c r="AM471"/>
  <c r="AL471"/>
  <c r="AK471"/>
  <c r="AJ471"/>
  <c r="AI471"/>
  <c r="AH471"/>
  <c r="AG471"/>
  <c r="AF471"/>
  <c r="AE471"/>
  <c r="AD471"/>
  <c r="AC471"/>
  <c r="AB471"/>
  <c r="AA471"/>
  <c r="DE470"/>
  <c r="BJ470"/>
  <c r="BV470" s="1"/>
  <c r="BI470"/>
  <c r="BH470"/>
  <c r="BT470" s="1"/>
  <c r="BG470"/>
  <c r="BF470"/>
  <c r="BR470" s="1"/>
  <c r="BE470"/>
  <c r="BD470"/>
  <c r="BP470" s="1"/>
  <c r="BC470"/>
  <c r="BB470"/>
  <c r="BN470" s="1"/>
  <c r="BA470"/>
  <c r="AZ470"/>
  <c r="BL470" s="1"/>
  <c r="AY470"/>
  <c r="BK470" s="1"/>
  <c r="AX470"/>
  <c r="CH470" s="1"/>
  <c r="AW470"/>
  <c r="AV470"/>
  <c r="CF470" s="1"/>
  <c r="AU470"/>
  <c r="AT470"/>
  <c r="CD470" s="1"/>
  <c r="AS470"/>
  <c r="AR470"/>
  <c r="CB470" s="1"/>
  <c r="AQ470"/>
  <c r="AP470"/>
  <c r="BZ470" s="1"/>
  <c r="AO470"/>
  <c r="AN470"/>
  <c r="BX470" s="1"/>
  <c r="AM470"/>
  <c r="AL470"/>
  <c r="AK470"/>
  <c r="AJ470"/>
  <c r="AI470"/>
  <c r="AH470"/>
  <c r="AG470"/>
  <c r="AF470"/>
  <c r="AE470"/>
  <c r="AD470"/>
  <c r="AC470"/>
  <c r="AB470"/>
  <c r="AA470"/>
  <c r="DE469"/>
  <c r="BJ469"/>
  <c r="BV469" s="1"/>
  <c r="BI469"/>
  <c r="BH469"/>
  <c r="BT469" s="1"/>
  <c r="BG469"/>
  <c r="BF469"/>
  <c r="BR469" s="1"/>
  <c r="BE469"/>
  <c r="BD469"/>
  <c r="BP469" s="1"/>
  <c r="BC469"/>
  <c r="BB469"/>
  <c r="BN469" s="1"/>
  <c r="BA469"/>
  <c r="AZ469"/>
  <c r="BL469" s="1"/>
  <c r="AY469"/>
  <c r="BK469" s="1"/>
  <c r="AX469"/>
  <c r="CH469" s="1"/>
  <c r="AW469"/>
  <c r="AV469"/>
  <c r="CF469" s="1"/>
  <c r="AU469"/>
  <c r="AT469"/>
  <c r="CD469" s="1"/>
  <c r="AS469"/>
  <c r="AR469"/>
  <c r="CB469" s="1"/>
  <c r="AQ469"/>
  <c r="AP469"/>
  <c r="BZ469" s="1"/>
  <c r="AO469"/>
  <c r="AN469"/>
  <c r="BX469" s="1"/>
  <c r="AM469"/>
  <c r="AL469"/>
  <c r="AK469"/>
  <c r="AJ469"/>
  <c r="AI469"/>
  <c r="AH469"/>
  <c r="AG469"/>
  <c r="AF469"/>
  <c r="AE469"/>
  <c r="AD469"/>
  <c r="AC469"/>
  <c r="AB469"/>
  <c r="AA469"/>
  <c r="DE468"/>
  <c r="BJ468"/>
  <c r="BV468" s="1"/>
  <c r="BI468"/>
  <c r="BH468"/>
  <c r="BT468" s="1"/>
  <c r="BG468"/>
  <c r="BF468"/>
  <c r="BR468" s="1"/>
  <c r="BE468"/>
  <c r="BD468"/>
  <c r="BP468" s="1"/>
  <c r="BC468"/>
  <c r="BB468"/>
  <c r="BN468" s="1"/>
  <c r="BA468"/>
  <c r="AZ468"/>
  <c r="BL468" s="1"/>
  <c r="AY468"/>
  <c r="BK468" s="1"/>
  <c r="AX468"/>
  <c r="CH468" s="1"/>
  <c r="AW468"/>
  <c r="AV468"/>
  <c r="CF468" s="1"/>
  <c r="AU468"/>
  <c r="AT468"/>
  <c r="CD468" s="1"/>
  <c r="AS468"/>
  <c r="AR468"/>
  <c r="CB468" s="1"/>
  <c r="AQ468"/>
  <c r="AP468"/>
  <c r="BZ468" s="1"/>
  <c r="AO468"/>
  <c r="AN468"/>
  <c r="BX468" s="1"/>
  <c r="AM468"/>
  <c r="AL468"/>
  <c r="AK468"/>
  <c r="AJ468"/>
  <c r="AI468"/>
  <c r="AH468"/>
  <c r="AG468"/>
  <c r="AF468"/>
  <c r="AE468"/>
  <c r="AD468"/>
  <c r="AC468"/>
  <c r="AB468"/>
  <c r="AA468"/>
  <c r="DE467"/>
  <c r="BJ467"/>
  <c r="BV467" s="1"/>
  <c r="BI467"/>
  <c r="BH467"/>
  <c r="BT467" s="1"/>
  <c r="BG467"/>
  <c r="BF467"/>
  <c r="BR467" s="1"/>
  <c r="BE467"/>
  <c r="BD467"/>
  <c r="BP467" s="1"/>
  <c r="BC467"/>
  <c r="BB467"/>
  <c r="BN467" s="1"/>
  <c r="BA467"/>
  <c r="AZ467"/>
  <c r="BL467" s="1"/>
  <c r="AY467"/>
  <c r="BK467" s="1"/>
  <c r="AX467"/>
  <c r="CH467" s="1"/>
  <c r="AW467"/>
  <c r="AV467"/>
  <c r="CF467" s="1"/>
  <c r="AU467"/>
  <c r="AT467"/>
  <c r="CD467" s="1"/>
  <c r="AS467"/>
  <c r="AR467"/>
  <c r="CB467" s="1"/>
  <c r="AQ467"/>
  <c r="AP467"/>
  <c r="BZ467" s="1"/>
  <c r="AO467"/>
  <c r="AN467"/>
  <c r="BX467" s="1"/>
  <c r="AM467"/>
  <c r="AL467"/>
  <c r="AK467"/>
  <c r="AJ467"/>
  <c r="AI467"/>
  <c r="AH467"/>
  <c r="AG467"/>
  <c r="AF467"/>
  <c r="AE467"/>
  <c r="AD467"/>
  <c r="AC467"/>
  <c r="AB467"/>
  <c r="AA467"/>
  <c r="DE466"/>
  <c r="BJ466"/>
  <c r="BV466" s="1"/>
  <c r="BI466"/>
  <c r="BH466"/>
  <c r="BT466" s="1"/>
  <c r="BG466"/>
  <c r="BF466"/>
  <c r="BR466" s="1"/>
  <c r="BE466"/>
  <c r="BD466"/>
  <c r="BP466" s="1"/>
  <c r="BC466"/>
  <c r="BB466"/>
  <c r="BN466" s="1"/>
  <c r="BA466"/>
  <c r="AZ466"/>
  <c r="BL466" s="1"/>
  <c r="AY466"/>
  <c r="BK466" s="1"/>
  <c r="AX466"/>
  <c r="CH466" s="1"/>
  <c r="AW466"/>
  <c r="AV466"/>
  <c r="CF466" s="1"/>
  <c r="AU466"/>
  <c r="AT466"/>
  <c r="CD466" s="1"/>
  <c r="AS466"/>
  <c r="AR466"/>
  <c r="CB466" s="1"/>
  <c r="AQ466"/>
  <c r="AP466"/>
  <c r="BZ466" s="1"/>
  <c r="AO466"/>
  <c r="AN466"/>
  <c r="BX466" s="1"/>
  <c r="AM466"/>
  <c r="AL466"/>
  <c r="AK466"/>
  <c r="AJ466"/>
  <c r="AI466"/>
  <c r="AH466"/>
  <c r="AG466"/>
  <c r="AF466"/>
  <c r="AE466"/>
  <c r="AD466"/>
  <c r="AC466"/>
  <c r="AB466"/>
  <c r="AA466"/>
  <c r="DE465"/>
  <c r="BJ465"/>
  <c r="BV465" s="1"/>
  <c r="BI465"/>
  <c r="BH465"/>
  <c r="BT465" s="1"/>
  <c r="BG465"/>
  <c r="BF465"/>
  <c r="BR465" s="1"/>
  <c r="BE465"/>
  <c r="BD465"/>
  <c r="BP465" s="1"/>
  <c r="BC465"/>
  <c r="BB465"/>
  <c r="BN465" s="1"/>
  <c r="BA465"/>
  <c r="AZ465"/>
  <c r="BL465" s="1"/>
  <c r="AY465"/>
  <c r="BK465" s="1"/>
  <c r="AX465"/>
  <c r="CH465" s="1"/>
  <c r="AW465"/>
  <c r="AV465"/>
  <c r="CF465" s="1"/>
  <c r="AU465"/>
  <c r="AT465"/>
  <c r="CD465" s="1"/>
  <c r="AS465"/>
  <c r="AR465"/>
  <c r="CB465" s="1"/>
  <c r="AQ465"/>
  <c r="AP465"/>
  <c r="BZ465" s="1"/>
  <c r="AO465"/>
  <c r="AN465"/>
  <c r="BX465" s="1"/>
  <c r="AM465"/>
  <c r="AL465"/>
  <c r="AK465"/>
  <c r="AJ465"/>
  <c r="AI465"/>
  <c r="AH465"/>
  <c r="AG465"/>
  <c r="AF465"/>
  <c r="AE465"/>
  <c r="AD465"/>
  <c r="AC465"/>
  <c r="AB465"/>
  <c r="AA465"/>
  <c r="DE464"/>
  <c r="BJ464"/>
  <c r="BV464" s="1"/>
  <c r="BI464"/>
  <c r="BH464"/>
  <c r="BT464" s="1"/>
  <c r="BG464"/>
  <c r="BF464"/>
  <c r="BR464" s="1"/>
  <c r="BE464"/>
  <c r="BD464"/>
  <c r="BP464" s="1"/>
  <c r="BC464"/>
  <c r="BB464"/>
  <c r="BN464" s="1"/>
  <c r="BA464"/>
  <c r="AZ464"/>
  <c r="BL464" s="1"/>
  <c r="AY464"/>
  <c r="BK464" s="1"/>
  <c r="AX464"/>
  <c r="CH464" s="1"/>
  <c r="AW464"/>
  <c r="AV464"/>
  <c r="CF464" s="1"/>
  <c r="AU464"/>
  <c r="AT464"/>
  <c r="CD464" s="1"/>
  <c r="AS464"/>
  <c r="AR464"/>
  <c r="CB464" s="1"/>
  <c r="AQ464"/>
  <c r="AP464"/>
  <c r="BZ464" s="1"/>
  <c r="AO464"/>
  <c r="AN464"/>
  <c r="BX464" s="1"/>
  <c r="AM464"/>
  <c r="AL464"/>
  <c r="AK464"/>
  <c r="AJ464"/>
  <c r="AI464"/>
  <c r="AH464"/>
  <c r="AG464"/>
  <c r="AF464"/>
  <c r="AE464"/>
  <c r="AD464"/>
  <c r="AC464"/>
  <c r="AB464"/>
  <c r="AA464"/>
  <c r="DE463"/>
  <c r="BJ463"/>
  <c r="BV463" s="1"/>
  <c r="BI463"/>
  <c r="BH463"/>
  <c r="BT463" s="1"/>
  <c r="BG463"/>
  <c r="BF463"/>
  <c r="BR463" s="1"/>
  <c r="BE463"/>
  <c r="BD463"/>
  <c r="BP463" s="1"/>
  <c r="BC463"/>
  <c r="BB463"/>
  <c r="BN463" s="1"/>
  <c r="BA463"/>
  <c r="AZ463"/>
  <c r="BL463" s="1"/>
  <c r="AY463"/>
  <c r="BK463" s="1"/>
  <c r="AX463"/>
  <c r="CH463" s="1"/>
  <c r="AW463"/>
  <c r="AV463"/>
  <c r="CF463" s="1"/>
  <c r="AU463"/>
  <c r="AT463"/>
  <c r="CD463" s="1"/>
  <c r="AS463"/>
  <c r="AR463"/>
  <c r="CB463" s="1"/>
  <c r="AQ463"/>
  <c r="AP463"/>
  <c r="BZ463" s="1"/>
  <c r="AO463"/>
  <c r="AN463"/>
  <c r="BX463" s="1"/>
  <c r="AM463"/>
  <c r="AL463"/>
  <c r="AK463"/>
  <c r="AJ463"/>
  <c r="AI463"/>
  <c r="AH463"/>
  <c r="AG463"/>
  <c r="AF463"/>
  <c r="AE463"/>
  <c r="AD463"/>
  <c r="AC463"/>
  <c r="AB463"/>
  <c r="AA463"/>
  <c r="DE462"/>
  <c r="BJ462"/>
  <c r="BV462" s="1"/>
  <c r="BI462"/>
  <c r="BH462"/>
  <c r="BT462" s="1"/>
  <c r="BG462"/>
  <c r="BF462"/>
  <c r="BR462" s="1"/>
  <c r="BE462"/>
  <c r="BD462"/>
  <c r="BP462" s="1"/>
  <c r="BC462"/>
  <c r="BB462"/>
  <c r="BN462" s="1"/>
  <c r="BA462"/>
  <c r="AZ462"/>
  <c r="BL462" s="1"/>
  <c r="AY462"/>
  <c r="BK462" s="1"/>
  <c r="AX462"/>
  <c r="CH462" s="1"/>
  <c r="AW462"/>
  <c r="AV462"/>
  <c r="CF462" s="1"/>
  <c r="AU462"/>
  <c r="AT462"/>
  <c r="CD462" s="1"/>
  <c r="AS462"/>
  <c r="AR462"/>
  <c r="CB462" s="1"/>
  <c r="AQ462"/>
  <c r="AP462"/>
  <c r="BZ462" s="1"/>
  <c r="AO462"/>
  <c r="AN462"/>
  <c r="BX462" s="1"/>
  <c r="AM462"/>
  <c r="AL462"/>
  <c r="AK462"/>
  <c r="AJ462"/>
  <c r="AI462"/>
  <c r="AH462"/>
  <c r="AG462"/>
  <c r="AF462"/>
  <c r="AE462"/>
  <c r="AD462"/>
  <c r="AC462"/>
  <c r="AB462"/>
  <c r="AA462"/>
  <c r="DE461"/>
  <c r="BJ461"/>
  <c r="BV461" s="1"/>
  <c r="BI461"/>
  <c r="BH461"/>
  <c r="BT461" s="1"/>
  <c r="BG461"/>
  <c r="BF461"/>
  <c r="BR461" s="1"/>
  <c r="BE461"/>
  <c r="BD461"/>
  <c r="BP461" s="1"/>
  <c r="BC461"/>
  <c r="BB461"/>
  <c r="BN461" s="1"/>
  <c r="BA461"/>
  <c r="AZ461"/>
  <c r="BL461" s="1"/>
  <c r="AY461"/>
  <c r="BK461" s="1"/>
  <c r="AX461"/>
  <c r="CH461" s="1"/>
  <c r="AW461"/>
  <c r="AV461"/>
  <c r="CF461" s="1"/>
  <c r="AU461"/>
  <c r="AT461"/>
  <c r="CD461" s="1"/>
  <c r="AS461"/>
  <c r="AR461"/>
  <c r="CB461" s="1"/>
  <c r="AQ461"/>
  <c r="AP461"/>
  <c r="BZ461" s="1"/>
  <c r="AO461"/>
  <c r="AN461"/>
  <c r="BX461" s="1"/>
  <c r="AM461"/>
  <c r="AL461"/>
  <c r="AK461"/>
  <c r="AJ461"/>
  <c r="AI461"/>
  <c r="AH461"/>
  <c r="AG461"/>
  <c r="AF461"/>
  <c r="AE461"/>
  <c r="AD461"/>
  <c r="AC461"/>
  <c r="AB461"/>
  <c r="AA461"/>
  <c r="DE460"/>
  <c r="BJ460"/>
  <c r="BV460" s="1"/>
  <c r="BI460"/>
  <c r="BH460"/>
  <c r="BT460" s="1"/>
  <c r="BG460"/>
  <c r="BF460"/>
  <c r="BR460" s="1"/>
  <c r="BE460"/>
  <c r="BD460"/>
  <c r="BP460" s="1"/>
  <c r="BC460"/>
  <c r="BB460"/>
  <c r="BN460" s="1"/>
  <c r="BA460"/>
  <c r="AZ460"/>
  <c r="BL460" s="1"/>
  <c r="AY460"/>
  <c r="BK460" s="1"/>
  <c r="AX460"/>
  <c r="CH460" s="1"/>
  <c r="AW460"/>
  <c r="AV460"/>
  <c r="CF460" s="1"/>
  <c r="AU460"/>
  <c r="AT460"/>
  <c r="CD460" s="1"/>
  <c r="AS460"/>
  <c r="AR460"/>
  <c r="CB460" s="1"/>
  <c r="AQ460"/>
  <c r="AP460"/>
  <c r="BZ460" s="1"/>
  <c r="AO460"/>
  <c r="AN460"/>
  <c r="BX460" s="1"/>
  <c r="AM460"/>
  <c r="AL460"/>
  <c r="AK460"/>
  <c r="AJ460"/>
  <c r="AI460"/>
  <c r="AH460"/>
  <c r="AG460"/>
  <c r="AF460"/>
  <c r="AE460"/>
  <c r="AD460"/>
  <c r="AC460"/>
  <c r="AB460"/>
  <c r="AA460"/>
  <c r="DE459"/>
  <c r="BJ459"/>
  <c r="BV459" s="1"/>
  <c r="BI459"/>
  <c r="BH459"/>
  <c r="BT459" s="1"/>
  <c r="BG459"/>
  <c r="BF459"/>
  <c r="BR459" s="1"/>
  <c r="BE459"/>
  <c r="BD459"/>
  <c r="BP459" s="1"/>
  <c r="BC459"/>
  <c r="BB459"/>
  <c r="BN459" s="1"/>
  <c r="BA459"/>
  <c r="AZ459"/>
  <c r="BL459" s="1"/>
  <c r="AY459"/>
  <c r="BK459" s="1"/>
  <c r="AX459"/>
  <c r="CH459" s="1"/>
  <c r="AW459"/>
  <c r="AV459"/>
  <c r="CF459" s="1"/>
  <c r="AU459"/>
  <c r="AT459"/>
  <c r="CD459" s="1"/>
  <c r="AS459"/>
  <c r="AR459"/>
  <c r="CB459" s="1"/>
  <c r="AQ459"/>
  <c r="AP459"/>
  <c r="BZ459" s="1"/>
  <c r="AO459"/>
  <c r="AN459"/>
  <c r="BX459" s="1"/>
  <c r="AM459"/>
  <c r="AL459"/>
  <c r="AK459"/>
  <c r="AJ459"/>
  <c r="AI459"/>
  <c r="AH459"/>
  <c r="AG459"/>
  <c r="AF459"/>
  <c r="AE459"/>
  <c r="AD459"/>
  <c r="AC459"/>
  <c r="AB459"/>
  <c r="AA459"/>
  <c r="DE458"/>
  <c r="BJ458"/>
  <c r="BV458" s="1"/>
  <c r="BI458"/>
  <c r="BH458"/>
  <c r="BT458" s="1"/>
  <c r="BG458"/>
  <c r="BF458"/>
  <c r="BR458" s="1"/>
  <c r="BE458"/>
  <c r="BD458"/>
  <c r="BP458" s="1"/>
  <c r="BC458"/>
  <c r="BB458"/>
  <c r="BN458" s="1"/>
  <c r="BA458"/>
  <c r="AZ458"/>
  <c r="BL458" s="1"/>
  <c r="AY458"/>
  <c r="BK458" s="1"/>
  <c r="AX458"/>
  <c r="CH458" s="1"/>
  <c r="AW458"/>
  <c r="AV458"/>
  <c r="CF458" s="1"/>
  <c r="AU458"/>
  <c r="AT458"/>
  <c r="CD458" s="1"/>
  <c r="AS458"/>
  <c r="AR458"/>
  <c r="CB458" s="1"/>
  <c r="AQ458"/>
  <c r="AP458"/>
  <c r="BZ458" s="1"/>
  <c r="AO458"/>
  <c r="AN458"/>
  <c r="BX458" s="1"/>
  <c r="AM458"/>
  <c r="AL458"/>
  <c r="AK458"/>
  <c r="AJ458"/>
  <c r="AI458"/>
  <c r="AH458"/>
  <c r="AG458"/>
  <c r="AF458"/>
  <c r="AE458"/>
  <c r="AD458"/>
  <c r="AC458"/>
  <c r="AB458"/>
  <c r="AA458"/>
  <c r="DE457"/>
  <c r="BJ457"/>
  <c r="BV457" s="1"/>
  <c r="BI457"/>
  <c r="BH457"/>
  <c r="BT457" s="1"/>
  <c r="BG457"/>
  <c r="BF457"/>
  <c r="BR457" s="1"/>
  <c r="BE457"/>
  <c r="BD457"/>
  <c r="BP457" s="1"/>
  <c r="BC457"/>
  <c r="BB457"/>
  <c r="BN457" s="1"/>
  <c r="BA457"/>
  <c r="AZ457"/>
  <c r="BL457" s="1"/>
  <c r="AY457"/>
  <c r="BK457" s="1"/>
  <c r="AX457"/>
  <c r="CH457" s="1"/>
  <c r="AW457"/>
  <c r="AV457"/>
  <c r="CF457" s="1"/>
  <c r="AU457"/>
  <c r="AT457"/>
  <c r="CD457" s="1"/>
  <c r="AS457"/>
  <c r="AR457"/>
  <c r="CB457" s="1"/>
  <c r="AQ457"/>
  <c r="AP457"/>
  <c r="BZ457" s="1"/>
  <c r="AO457"/>
  <c r="AN457"/>
  <c r="BX457" s="1"/>
  <c r="AM457"/>
  <c r="AL457"/>
  <c r="AK457"/>
  <c r="AJ457"/>
  <c r="AI457"/>
  <c r="AH457"/>
  <c r="AG457"/>
  <c r="AF457"/>
  <c r="AE457"/>
  <c r="AD457"/>
  <c r="AC457"/>
  <c r="AB457"/>
  <c r="AA457"/>
  <c r="DE456"/>
  <c r="BJ456"/>
  <c r="BV456" s="1"/>
  <c r="BI456"/>
  <c r="BH456"/>
  <c r="BT456" s="1"/>
  <c r="BG456"/>
  <c r="BF456"/>
  <c r="BR456" s="1"/>
  <c r="BE456"/>
  <c r="BD456"/>
  <c r="BP456" s="1"/>
  <c r="BC456"/>
  <c r="BB456"/>
  <c r="BN456" s="1"/>
  <c r="BA456"/>
  <c r="AZ456"/>
  <c r="BL456" s="1"/>
  <c r="AY456"/>
  <c r="BK456" s="1"/>
  <c r="AX456"/>
  <c r="CH456" s="1"/>
  <c r="AW456"/>
  <c r="AV456"/>
  <c r="CF456" s="1"/>
  <c r="AU456"/>
  <c r="AT456"/>
  <c r="CD456" s="1"/>
  <c r="AS456"/>
  <c r="AR456"/>
  <c r="CB456" s="1"/>
  <c r="AQ456"/>
  <c r="AP456"/>
  <c r="BZ456" s="1"/>
  <c r="AO456"/>
  <c r="AN456"/>
  <c r="BX456" s="1"/>
  <c r="AM456"/>
  <c r="AL456"/>
  <c r="AK456"/>
  <c r="AJ456"/>
  <c r="AI456"/>
  <c r="AH456"/>
  <c r="AG456"/>
  <c r="AF456"/>
  <c r="AE456"/>
  <c r="AD456"/>
  <c r="AC456"/>
  <c r="AB456"/>
  <c r="AA456"/>
  <c r="DE455"/>
  <c r="BJ455"/>
  <c r="BV455" s="1"/>
  <c r="BI455"/>
  <c r="BH455"/>
  <c r="BT455" s="1"/>
  <c r="BG455"/>
  <c r="BF455"/>
  <c r="BR455" s="1"/>
  <c r="BE455"/>
  <c r="BD455"/>
  <c r="BP455" s="1"/>
  <c r="BC455"/>
  <c r="BB455"/>
  <c r="BN455" s="1"/>
  <c r="BA455"/>
  <c r="AZ455"/>
  <c r="BL455" s="1"/>
  <c r="AY455"/>
  <c r="BK455" s="1"/>
  <c r="AX455"/>
  <c r="CH455" s="1"/>
  <c r="AW455"/>
  <c r="AV455"/>
  <c r="CF455" s="1"/>
  <c r="AU455"/>
  <c r="AT455"/>
  <c r="CD455" s="1"/>
  <c r="AS455"/>
  <c r="AR455"/>
  <c r="CB455" s="1"/>
  <c r="AQ455"/>
  <c r="AP455"/>
  <c r="BZ455" s="1"/>
  <c r="AO455"/>
  <c r="AN455"/>
  <c r="BX455" s="1"/>
  <c r="AM455"/>
  <c r="AL455"/>
  <c r="AK455"/>
  <c r="AJ455"/>
  <c r="AI455"/>
  <c r="AH455"/>
  <c r="AG455"/>
  <c r="AF455"/>
  <c r="AE455"/>
  <c r="AD455"/>
  <c r="AC455"/>
  <c r="AB455"/>
  <c r="AA455"/>
  <c r="DE454"/>
  <c r="BJ454"/>
  <c r="BV454" s="1"/>
  <c r="BI454"/>
  <c r="BH454"/>
  <c r="BT454" s="1"/>
  <c r="BG454"/>
  <c r="BF454"/>
  <c r="BR454" s="1"/>
  <c r="BE454"/>
  <c r="BD454"/>
  <c r="BP454" s="1"/>
  <c r="BC454"/>
  <c r="BB454"/>
  <c r="BN454" s="1"/>
  <c r="BA454"/>
  <c r="AZ454"/>
  <c r="BL454" s="1"/>
  <c r="AY454"/>
  <c r="BK454" s="1"/>
  <c r="AX454"/>
  <c r="CH454" s="1"/>
  <c r="AW454"/>
  <c r="AV454"/>
  <c r="CF454" s="1"/>
  <c r="AU454"/>
  <c r="AT454"/>
  <c r="CD454" s="1"/>
  <c r="AS454"/>
  <c r="AR454"/>
  <c r="CB454" s="1"/>
  <c r="AQ454"/>
  <c r="AP454"/>
  <c r="BZ454" s="1"/>
  <c r="AO454"/>
  <c r="AN454"/>
  <c r="BX454" s="1"/>
  <c r="AM454"/>
  <c r="AL454"/>
  <c r="AK454"/>
  <c r="AJ454"/>
  <c r="AI454"/>
  <c r="AH454"/>
  <c r="AG454"/>
  <c r="AF454"/>
  <c r="AE454"/>
  <c r="AD454"/>
  <c r="AC454"/>
  <c r="AB454"/>
  <c r="AA454"/>
  <c r="DE453"/>
  <c r="BJ453"/>
  <c r="BV453" s="1"/>
  <c r="BI453"/>
  <c r="BH453"/>
  <c r="BT453" s="1"/>
  <c r="BG453"/>
  <c r="BF453"/>
  <c r="BR453" s="1"/>
  <c r="BE453"/>
  <c r="BD453"/>
  <c r="BP453" s="1"/>
  <c r="BC453"/>
  <c r="BB453"/>
  <c r="BN453" s="1"/>
  <c r="BA453"/>
  <c r="AZ453"/>
  <c r="BL453" s="1"/>
  <c r="AY453"/>
  <c r="BK453" s="1"/>
  <c r="AX453"/>
  <c r="CH453" s="1"/>
  <c r="AW453"/>
  <c r="AV453"/>
  <c r="CF453" s="1"/>
  <c r="AU453"/>
  <c r="AT453"/>
  <c r="CD453" s="1"/>
  <c r="AS453"/>
  <c r="AR453"/>
  <c r="CB453" s="1"/>
  <c r="AQ453"/>
  <c r="AP453"/>
  <c r="BZ453" s="1"/>
  <c r="AO453"/>
  <c r="AN453"/>
  <c r="BX453" s="1"/>
  <c r="AM453"/>
  <c r="AL453"/>
  <c r="AK453"/>
  <c r="AJ453"/>
  <c r="AI453"/>
  <c r="AH453"/>
  <c r="AG453"/>
  <c r="AF453"/>
  <c r="AE453"/>
  <c r="AD453"/>
  <c r="AC453"/>
  <c r="AB453"/>
  <c r="AA453"/>
  <c r="DE452"/>
  <c r="BJ452"/>
  <c r="BV452" s="1"/>
  <c r="BI452"/>
  <c r="BH452"/>
  <c r="BT452" s="1"/>
  <c r="BG452"/>
  <c r="BF452"/>
  <c r="BR452" s="1"/>
  <c r="BE452"/>
  <c r="BD452"/>
  <c r="BP452" s="1"/>
  <c r="BC452"/>
  <c r="BB452"/>
  <c r="BN452" s="1"/>
  <c r="BA452"/>
  <c r="AZ452"/>
  <c r="BL452" s="1"/>
  <c r="AY452"/>
  <c r="BK452" s="1"/>
  <c r="AX452"/>
  <c r="CH452" s="1"/>
  <c r="AW452"/>
  <c r="AV452"/>
  <c r="CF452" s="1"/>
  <c r="AU452"/>
  <c r="AT452"/>
  <c r="CD452" s="1"/>
  <c r="AS452"/>
  <c r="AR452"/>
  <c r="CB452" s="1"/>
  <c r="AQ452"/>
  <c r="AP452"/>
  <c r="BZ452" s="1"/>
  <c r="AO452"/>
  <c r="AN452"/>
  <c r="BX452" s="1"/>
  <c r="AM452"/>
  <c r="AL452"/>
  <c r="AK452"/>
  <c r="AJ452"/>
  <c r="AI452"/>
  <c r="AH452"/>
  <c r="AG452"/>
  <c r="AF452"/>
  <c r="AE452"/>
  <c r="AD452"/>
  <c r="AC452"/>
  <c r="AB452"/>
  <c r="AA452"/>
  <c r="DE451"/>
  <c r="BJ451"/>
  <c r="BV451" s="1"/>
  <c r="BI451"/>
  <c r="BH451"/>
  <c r="BT451" s="1"/>
  <c r="BG451"/>
  <c r="BF451"/>
  <c r="BR451" s="1"/>
  <c r="BE451"/>
  <c r="BD451"/>
  <c r="BP451" s="1"/>
  <c r="BC451"/>
  <c r="BB451"/>
  <c r="BN451" s="1"/>
  <c r="BA451"/>
  <c r="AZ451"/>
  <c r="BL451" s="1"/>
  <c r="AY451"/>
  <c r="BK451" s="1"/>
  <c r="AX451"/>
  <c r="CH451" s="1"/>
  <c r="AW451"/>
  <c r="AV451"/>
  <c r="CF451" s="1"/>
  <c r="AU451"/>
  <c r="AT451"/>
  <c r="CD451" s="1"/>
  <c r="AS451"/>
  <c r="AR451"/>
  <c r="CB451" s="1"/>
  <c r="AQ451"/>
  <c r="AP451"/>
  <c r="BZ451" s="1"/>
  <c r="AO451"/>
  <c r="AN451"/>
  <c r="BX451" s="1"/>
  <c r="AM451"/>
  <c r="AL451"/>
  <c r="AK451"/>
  <c r="AJ451"/>
  <c r="AI451"/>
  <c r="AH451"/>
  <c r="AG451"/>
  <c r="AF451"/>
  <c r="AE451"/>
  <c r="AD451"/>
  <c r="AC451"/>
  <c r="AB451"/>
  <c r="AA451"/>
  <c r="DE450"/>
  <c r="BJ450"/>
  <c r="BV450" s="1"/>
  <c r="BI450"/>
  <c r="BH450"/>
  <c r="BT450" s="1"/>
  <c r="BG450"/>
  <c r="BF450"/>
  <c r="BR450" s="1"/>
  <c r="BE450"/>
  <c r="BD450"/>
  <c r="BP450" s="1"/>
  <c r="BC450"/>
  <c r="BB450"/>
  <c r="BN450" s="1"/>
  <c r="BA450"/>
  <c r="AZ450"/>
  <c r="BL450" s="1"/>
  <c r="AY450"/>
  <c r="BK450" s="1"/>
  <c r="AX450"/>
  <c r="CH450" s="1"/>
  <c r="AW450"/>
  <c r="AV450"/>
  <c r="CF450" s="1"/>
  <c r="AU450"/>
  <c r="AT450"/>
  <c r="CD450" s="1"/>
  <c r="AS450"/>
  <c r="AR450"/>
  <c r="CB450" s="1"/>
  <c r="AQ450"/>
  <c r="AP450"/>
  <c r="BZ450" s="1"/>
  <c r="AO450"/>
  <c r="AN450"/>
  <c r="BX450" s="1"/>
  <c r="AM450"/>
  <c r="AL450"/>
  <c r="AK450"/>
  <c r="AJ450"/>
  <c r="AI450"/>
  <c r="AH450"/>
  <c r="AG450"/>
  <c r="AF450"/>
  <c r="AE450"/>
  <c r="AD450"/>
  <c r="AC450"/>
  <c r="AB450"/>
  <c r="AA450"/>
  <c r="DE449"/>
  <c r="BJ449"/>
  <c r="BV449" s="1"/>
  <c r="BI449"/>
  <c r="BH449"/>
  <c r="BT449" s="1"/>
  <c r="BG449"/>
  <c r="BF449"/>
  <c r="BR449" s="1"/>
  <c r="BE449"/>
  <c r="BD449"/>
  <c r="BP449" s="1"/>
  <c r="BC449"/>
  <c r="BB449"/>
  <c r="BN449" s="1"/>
  <c r="BA449"/>
  <c r="AZ449"/>
  <c r="BL449" s="1"/>
  <c r="AY449"/>
  <c r="BK449" s="1"/>
  <c r="AX449"/>
  <c r="CH449" s="1"/>
  <c r="AW449"/>
  <c r="AV449"/>
  <c r="CF449" s="1"/>
  <c r="AU449"/>
  <c r="AT449"/>
  <c r="CD449" s="1"/>
  <c r="AS449"/>
  <c r="AR449"/>
  <c r="CB449" s="1"/>
  <c r="AQ449"/>
  <c r="AP449"/>
  <c r="BZ449" s="1"/>
  <c r="AO449"/>
  <c r="AN449"/>
  <c r="BX449" s="1"/>
  <c r="AM449"/>
  <c r="AL449"/>
  <c r="AK449"/>
  <c r="AJ449"/>
  <c r="AI449"/>
  <c r="AH449"/>
  <c r="AG449"/>
  <c r="AF449"/>
  <c r="AE449"/>
  <c r="AD449"/>
  <c r="AC449"/>
  <c r="AB449"/>
  <c r="AA449"/>
  <c r="DE448"/>
  <c r="BJ448"/>
  <c r="BV448" s="1"/>
  <c r="BI448"/>
  <c r="BH448"/>
  <c r="BT448" s="1"/>
  <c r="BG448"/>
  <c r="BF448"/>
  <c r="BR448" s="1"/>
  <c r="BE448"/>
  <c r="BD448"/>
  <c r="BP448" s="1"/>
  <c r="BC448"/>
  <c r="BB448"/>
  <c r="BN448" s="1"/>
  <c r="BA448"/>
  <c r="AZ448"/>
  <c r="BL448" s="1"/>
  <c r="AY448"/>
  <c r="BK448" s="1"/>
  <c r="AX448"/>
  <c r="CH448" s="1"/>
  <c r="AW448"/>
  <c r="AV448"/>
  <c r="CF448" s="1"/>
  <c r="AU448"/>
  <c r="AT448"/>
  <c r="CD448" s="1"/>
  <c r="AS448"/>
  <c r="AR448"/>
  <c r="CB448" s="1"/>
  <c r="AQ448"/>
  <c r="AP448"/>
  <c r="BZ448" s="1"/>
  <c r="AO448"/>
  <c r="AN448"/>
  <c r="BX448" s="1"/>
  <c r="AM448"/>
  <c r="AL448"/>
  <c r="AK448"/>
  <c r="AJ448"/>
  <c r="AI448"/>
  <c r="AH448"/>
  <c r="AG448"/>
  <c r="AF448"/>
  <c r="AE448"/>
  <c r="AD448"/>
  <c r="AC448"/>
  <c r="AB448"/>
  <c r="AA448"/>
  <c r="DE447"/>
  <c r="BJ447"/>
  <c r="BV447" s="1"/>
  <c r="BI447"/>
  <c r="BH447"/>
  <c r="BT447" s="1"/>
  <c r="BG447"/>
  <c r="BF447"/>
  <c r="BR447" s="1"/>
  <c r="BE447"/>
  <c r="BD447"/>
  <c r="BP447" s="1"/>
  <c r="BC447"/>
  <c r="BB447"/>
  <c r="BN447" s="1"/>
  <c r="BA447"/>
  <c r="AZ447"/>
  <c r="BL447" s="1"/>
  <c r="AY447"/>
  <c r="BK447" s="1"/>
  <c r="AX447"/>
  <c r="CH447" s="1"/>
  <c r="AW447"/>
  <c r="AV447"/>
  <c r="CF447" s="1"/>
  <c r="AU447"/>
  <c r="AT447"/>
  <c r="CD447" s="1"/>
  <c r="AS447"/>
  <c r="AR447"/>
  <c r="CB447" s="1"/>
  <c r="AQ447"/>
  <c r="AP447"/>
  <c r="BZ447" s="1"/>
  <c r="AO447"/>
  <c r="AN447"/>
  <c r="BX447" s="1"/>
  <c r="AM447"/>
  <c r="AL447"/>
  <c r="AK447"/>
  <c r="AJ447"/>
  <c r="AI447"/>
  <c r="AH447"/>
  <c r="AG447"/>
  <c r="AF447"/>
  <c r="AE447"/>
  <c r="AD447"/>
  <c r="AC447"/>
  <c r="AB447"/>
  <c r="AA447"/>
  <c r="DE446"/>
  <c r="BJ446"/>
  <c r="BV446" s="1"/>
  <c r="BI446"/>
  <c r="BH446"/>
  <c r="BT446" s="1"/>
  <c r="BG446"/>
  <c r="BF446"/>
  <c r="BR446" s="1"/>
  <c r="BE446"/>
  <c r="BD446"/>
  <c r="BP446" s="1"/>
  <c r="BC446"/>
  <c r="BB446"/>
  <c r="BN446" s="1"/>
  <c r="BA446"/>
  <c r="AZ446"/>
  <c r="BL446" s="1"/>
  <c r="AY446"/>
  <c r="BK446" s="1"/>
  <c r="AX446"/>
  <c r="CH446" s="1"/>
  <c r="AW446"/>
  <c r="AV446"/>
  <c r="CF446" s="1"/>
  <c r="AU446"/>
  <c r="AT446"/>
  <c r="CD446" s="1"/>
  <c r="AS446"/>
  <c r="AR446"/>
  <c r="CB446" s="1"/>
  <c r="AQ446"/>
  <c r="AP446"/>
  <c r="BZ446" s="1"/>
  <c r="AO446"/>
  <c r="AN446"/>
  <c r="BX446" s="1"/>
  <c r="AM446"/>
  <c r="AL446"/>
  <c r="AK446"/>
  <c r="AJ446"/>
  <c r="AI446"/>
  <c r="AH446"/>
  <c r="AG446"/>
  <c r="AF446"/>
  <c r="AE446"/>
  <c r="AD446"/>
  <c r="AC446"/>
  <c r="AB446"/>
  <c r="AA446"/>
  <c r="DE445"/>
  <c r="BJ445"/>
  <c r="BV445" s="1"/>
  <c r="BI445"/>
  <c r="BH445"/>
  <c r="BT445" s="1"/>
  <c r="BG445"/>
  <c r="BF445"/>
  <c r="BR445" s="1"/>
  <c r="BE445"/>
  <c r="BD445"/>
  <c r="BP445" s="1"/>
  <c r="BC445"/>
  <c r="BB445"/>
  <c r="BN445" s="1"/>
  <c r="BA445"/>
  <c r="AZ445"/>
  <c r="BL445" s="1"/>
  <c r="AY445"/>
  <c r="BK445" s="1"/>
  <c r="AX445"/>
  <c r="CH445" s="1"/>
  <c r="AW445"/>
  <c r="AV445"/>
  <c r="CF445" s="1"/>
  <c r="AU445"/>
  <c r="AT445"/>
  <c r="CD445" s="1"/>
  <c r="AS445"/>
  <c r="AR445"/>
  <c r="CB445" s="1"/>
  <c r="AQ445"/>
  <c r="AP445"/>
  <c r="BZ445" s="1"/>
  <c r="AO445"/>
  <c r="AN445"/>
  <c r="BX445" s="1"/>
  <c r="AM445"/>
  <c r="AL445"/>
  <c r="AK445"/>
  <c r="AJ445"/>
  <c r="AI445"/>
  <c r="AH445"/>
  <c r="AG445"/>
  <c r="AF445"/>
  <c r="AE445"/>
  <c r="AD445"/>
  <c r="AC445"/>
  <c r="AB445"/>
  <c r="AA445"/>
  <c r="DE444"/>
  <c r="BJ444"/>
  <c r="BV444" s="1"/>
  <c r="BI444"/>
  <c r="BH444"/>
  <c r="BT444" s="1"/>
  <c r="BG444"/>
  <c r="BF444"/>
  <c r="BR444" s="1"/>
  <c r="BE444"/>
  <c r="BD444"/>
  <c r="BP444" s="1"/>
  <c r="BC444"/>
  <c r="BB444"/>
  <c r="BN444" s="1"/>
  <c r="BA444"/>
  <c r="AZ444"/>
  <c r="BL444" s="1"/>
  <c r="AY444"/>
  <c r="BK444" s="1"/>
  <c r="AX444"/>
  <c r="CH444" s="1"/>
  <c r="AW444"/>
  <c r="AV444"/>
  <c r="CF444" s="1"/>
  <c r="AU444"/>
  <c r="AT444"/>
  <c r="CD444" s="1"/>
  <c r="AS444"/>
  <c r="AR444"/>
  <c r="CB444" s="1"/>
  <c r="AQ444"/>
  <c r="AP444"/>
  <c r="BZ444" s="1"/>
  <c r="AO444"/>
  <c r="AN444"/>
  <c r="BX444" s="1"/>
  <c r="AM444"/>
  <c r="AL444"/>
  <c r="AK444"/>
  <c r="AJ444"/>
  <c r="AI444"/>
  <c r="AH444"/>
  <c r="AG444"/>
  <c r="AF444"/>
  <c r="AE444"/>
  <c r="AD444"/>
  <c r="AC444"/>
  <c r="AB444"/>
  <c r="AA444"/>
  <c r="DE443"/>
  <c r="BJ443"/>
  <c r="BV443" s="1"/>
  <c r="BI443"/>
  <c r="BH443"/>
  <c r="BT443" s="1"/>
  <c r="BG443"/>
  <c r="BF443"/>
  <c r="BR443" s="1"/>
  <c r="BE443"/>
  <c r="BD443"/>
  <c r="BP443" s="1"/>
  <c r="BC443"/>
  <c r="BB443"/>
  <c r="BN443" s="1"/>
  <c r="BA443"/>
  <c r="AZ443"/>
  <c r="BL443" s="1"/>
  <c r="AY443"/>
  <c r="BK443" s="1"/>
  <c r="AX443"/>
  <c r="CH443" s="1"/>
  <c r="AW443"/>
  <c r="AV443"/>
  <c r="CF443" s="1"/>
  <c r="AU443"/>
  <c r="AT443"/>
  <c r="CD443" s="1"/>
  <c r="AS443"/>
  <c r="AR443"/>
  <c r="CB443" s="1"/>
  <c r="AQ443"/>
  <c r="AP443"/>
  <c r="BZ443" s="1"/>
  <c r="AO443"/>
  <c r="AN443"/>
  <c r="BX443" s="1"/>
  <c r="AM443"/>
  <c r="AL443"/>
  <c r="AK443"/>
  <c r="AJ443"/>
  <c r="AI443"/>
  <c r="AH443"/>
  <c r="AG443"/>
  <c r="AF443"/>
  <c r="AE443"/>
  <c r="AD443"/>
  <c r="AC443"/>
  <c r="AB443"/>
  <c r="AA443"/>
  <c r="DE442"/>
  <c r="BJ442"/>
  <c r="BV442" s="1"/>
  <c r="BI442"/>
  <c r="BH442"/>
  <c r="BT442" s="1"/>
  <c r="BG442"/>
  <c r="BF442"/>
  <c r="BR442" s="1"/>
  <c r="BE442"/>
  <c r="BD442"/>
  <c r="BP442" s="1"/>
  <c r="BC442"/>
  <c r="BB442"/>
  <c r="BN442" s="1"/>
  <c r="BA442"/>
  <c r="AZ442"/>
  <c r="BL442" s="1"/>
  <c r="AY442"/>
  <c r="BK442" s="1"/>
  <c r="AX442"/>
  <c r="CH442" s="1"/>
  <c r="AW442"/>
  <c r="AV442"/>
  <c r="CF442" s="1"/>
  <c r="AU442"/>
  <c r="AT442"/>
  <c r="CD442" s="1"/>
  <c r="AS442"/>
  <c r="AR442"/>
  <c r="CB442" s="1"/>
  <c r="AQ442"/>
  <c r="AP442"/>
  <c r="BZ442" s="1"/>
  <c r="AO442"/>
  <c r="AN442"/>
  <c r="BX442" s="1"/>
  <c r="AM442"/>
  <c r="AL442"/>
  <c r="AK442"/>
  <c r="AJ442"/>
  <c r="AI442"/>
  <c r="AH442"/>
  <c r="AG442"/>
  <c r="AF442"/>
  <c r="AE442"/>
  <c r="AD442"/>
  <c r="AC442"/>
  <c r="AB442"/>
  <c r="AA442"/>
  <c r="DE441"/>
  <c r="BJ441"/>
  <c r="BV441" s="1"/>
  <c r="BI441"/>
  <c r="BH441"/>
  <c r="BT441" s="1"/>
  <c r="BG441"/>
  <c r="BF441"/>
  <c r="BR441" s="1"/>
  <c r="BE441"/>
  <c r="BD441"/>
  <c r="BP441" s="1"/>
  <c r="BC441"/>
  <c r="BB441"/>
  <c r="BN441" s="1"/>
  <c r="BA441"/>
  <c r="AZ441"/>
  <c r="BL441" s="1"/>
  <c r="AY441"/>
  <c r="BK441" s="1"/>
  <c r="AX441"/>
  <c r="CH441" s="1"/>
  <c r="AW441"/>
  <c r="AV441"/>
  <c r="CF441" s="1"/>
  <c r="AU441"/>
  <c r="AT441"/>
  <c r="CD441" s="1"/>
  <c r="AS441"/>
  <c r="AR441"/>
  <c r="CB441" s="1"/>
  <c r="AQ441"/>
  <c r="AP441"/>
  <c r="BZ441" s="1"/>
  <c r="AO441"/>
  <c r="AN441"/>
  <c r="BX441" s="1"/>
  <c r="AM441"/>
  <c r="AL441"/>
  <c r="AK441"/>
  <c r="AJ441"/>
  <c r="AI441"/>
  <c r="AH441"/>
  <c r="AG441"/>
  <c r="AF441"/>
  <c r="AE441"/>
  <c r="AD441"/>
  <c r="AC441"/>
  <c r="AB441"/>
  <c r="AA441"/>
  <c r="DE440"/>
  <c r="BJ440"/>
  <c r="BV440" s="1"/>
  <c r="BI440"/>
  <c r="BH440"/>
  <c r="BT440" s="1"/>
  <c r="BG440"/>
  <c r="BF440"/>
  <c r="BR440" s="1"/>
  <c r="BE440"/>
  <c r="BD440"/>
  <c r="BP440" s="1"/>
  <c r="BC440"/>
  <c r="BB440"/>
  <c r="BN440" s="1"/>
  <c r="BA440"/>
  <c r="AZ440"/>
  <c r="BL440" s="1"/>
  <c r="AY440"/>
  <c r="BK440" s="1"/>
  <c r="AX440"/>
  <c r="CH440" s="1"/>
  <c r="AW440"/>
  <c r="AV440"/>
  <c r="CF440" s="1"/>
  <c r="AU440"/>
  <c r="AT440"/>
  <c r="CD440" s="1"/>
  <c r="AS440"/>
  <c r="AR440"/>
  <c r="CB440" s="1"/>
  <c r="AQ440"/>
  <c r="AP440"/>
  <c r="BZ440" s="1"/>
  <c r="AO440"/>
  <c r="AN440"/>
  <c r="BX440" s="1"/>
  <c r="AM440"/>
  <c r="AL440"/>
  <c r="AK440"/>
  <c r="AJ440"/>
  <c r="AI440"/>
  <c r="AH440"/>
  <c r="AG440"/>
  <c r="AF440"/>
  <c r="AE440"/>
  <c r="AD440"/>
  <c r="AC440"/>
  <c r="AB440"/>
  <c r="AA440"/>
  <c r="DE439"/>
  <c r="BJ439"/>
  <c r="BV439" s="1"/>
  <c r="BI439"/>
  <c r="BH439"/>
  <c r="BT439" s="1"/>
  <c r="BG439"/>
  <c r="BF439"/>
  <c r="BR439" s="1"/>
  <c r="BE439"/>
  <c r="BD439"/>
  <c r="BP439" s="1"/>
  <c r="BC439"/>
  <c r="BB439"/>
  <c r="BN439" s="1"/>
  <c r="BA439"/>
  <c r="AZ439"/>
  <c r="BL439" s="1"/>
  <c r="AY439"/>
  <c r="BK439" s="1"/>
  <c r="AX439"/>
  <c r="CH439" s="1"/>
  <c r="AW439"/>
  <c r="AV439"/>
  <c r="CF439" s="1"/>
  <c r="AU439"/>
  <c r="AT439"/>
  <c r="CD439" s="1"/>
  <c r="AS439"/>
  <c r="AR439"/>
  <c r="CB439" s="1"/>
  <c r="AQ439"/>
  <c r="AP439"/>
  <c r="BZ439" s="1"/>
  <c r="AO439"/>
  <c r="AN439"/>
  <c r="BX439" s="1"/>
  <c r="AM439"/>
  <c r="AL439"/>
  <c r="AK439"/>
  <c r="AJ439"/>
  <c r="AI439"/>
  <c r="AH439"/>
  <c r="AG439"/>
  <c r="AF439"/>
  <c r="AE439"/>
  <c r="AD439"/>
  <c r="AC439"/>
  <c r="AB439"/>
  <c r="AA439"/>
  <c r="DE438"/>
  <c r="BJ438"/>
  <c r="BV438" s="1"/>
  <c r="BI438"/>
  <c r="BH438"/>
  <c r="BT438" s="1"/>
  <c r="BG438"/>
  <c r="BF438"/>
  <c r="BR438" s="1"/>
  <c r="BE438"/>
  <c r="BD438"/>
  <c r="BP438" s="1"/>
  <c r="BC438"/>
  <c r="BB438"/>
  <c r="BN438" s="1"/>
  <c r="BA438"/>
  <c r="AZ438"/>
  <c r="BL438" s="1"/>
  <c r="AY438"/>
  <c r="BK438" s="1"/>
  <c r="AX438"/>
  <c r="CH438" s="1"/>
  <c r="AW438"/>
  <c r="AV438"/>
  <c r="CF438" s="1"/>
  <c r="AU438"/>
  <c r="AT438"/>
  <c r="CD438" s="1"/>
  <c r="AS438"/>
  <c r="AR438"/>
  <c r="CB438" s="1"/>
  <c r="AQ438"/>
  <c r="AP438"/>
  <c r="BZ438" s="1"/>
  <c r="AO438"/>
  <c r="AN438"/>
  <c r="BX438" s="1"/>
  <c r="AM438"/>
  <c r="AL438"/>
  <c r="AK438"/>
  <c r="AJ438"/>
  <c r="AI438"/>
  <c r="AH438"/>
  <c r="AG438"/>
  <c r="AF438"/>
  <c r="AE438"/>
  <c r="AD438"/>
  <c r="AC438"/>
  <c r="AB438"/>
  <c r="AA438"/>
  <c r="DE437"/>
  <c r="BJ437"/>
  <c r="BV437" s="1"/>
  <c r="BI437"/>
  <c r="BH437"/>
  <c r="BT437" s="1"/>
  <c r="BG437"/>
  <c r="BF437"/>
  <c r="BR437" s="1"/>
  <c r="BE437"/>
  <c r="BD437"/>
  <c r="BP437" s="1"/>
  <c r="BC437"/>
  <c r="BB437"/>
  <c r="BN437" s="1"/>
  <c r="BA437"/>
  <c r="AZ437"/>
  <c r="BL437" s="1"/>
  <c r="AY437"/>
  <c r="BK437" s="1"/>
  <c r="AX437"/>
  <c r="CH437" s="1"/>
  <c r="AW437"/>
  <c r="AV437"/>
  <c r="CF437" s="1"/>
  <c r="AU437"/>
  <c r="AT437"/>
  <c r="CD437" s="1"/>
  <c r="AS437"/>
  <c r="AR437"/>
  <c r="CB437" s="1"/>
  <c r="AQ437"/>
  <c r="AP437"/>
  <c r="BZ437" s="1"/>
  <c r="AO437"/>
  <c r="AN437"/>
  <c r="BX437" s="1"/>
  <c r="AM437"/>
  <c r="AL437"/>
  <c r="AK437"/>
  <c r="AJ437"/>
  <c r="AI437"/>
  <c r="AH437"/>
  <c r="AG437"/>
  <c r="AF437"/>
  <c r="AE437"/>
  <c r="AD437"/>
  <c r="AC437"/>
  <c r="AB437"/>
  <c r="AA437"/>
  <c r="DE436"/>
  <c r="BJ436"/>
  <c r="BV436" s="1"/>
  <c r="BI436"/>
  <c r="BH436"/>
  <c r="BT436" s="1"/>
  <c r="BG436"/>
  <c r="BF436"/>
  <c r="BR436" s="1"/>
  <c r="BE436"/>
  <c r="BD436"/>
  <c r="BP436" s="1"/>
  <c r="BC436"/>
  <c r="BB436"/>
  <c r="BN436" s="1"/>
  <c r="BA436"/>
  <c r="AZ436"/>
  <c r="BL436" s="1"/>
  <c r="AY436"/>
  <c r="BK436" s="1"/>
  <c r="AX436"/>
  <c r="CH436" s="1"/>
  <c r="AW436"/>
  <c r="AV436"/>
  <c r="CF436" s="1"/>
  <c r="AU436"/>
  <c r="AT436"/>
  <c r="CD436" s="1"/>
  <c r="AS436"/>
  <c r="AR436"/>
  <c r="CB436" s="1"/>
  <c r="AQ436"/>
  <c r="AP436"/>
  <c r="BZ436" s="1"/>
  <c r="AO436"/>
  <c r="AN436"/>
  <c r="BX436" s="1"/>
  <c r="AM436"/>
  <c r="AL436"/>
  <c r="AK436"/>
  <c r="AJ436"/>
  <c r="AI436"/>
  <c r="AH436"/>
  <c r="AG436"/>
  <c r="AF436"/>
  <c r="AE436"/>
  <c r="AD436"/>
  <c r="AC436"/>
  <c r="AB436"/>
  <c r="AA436"/>
  <c r="DE435"/>
  <c r="BJ435"/>
  <c r="BI435"/>
  <c r="BH435"/>
  <c r="BG435"/>
  <c r="BF435"/>
  <c r="BE435"/>
  <c r="BD435"/>
  <c r="BC435"/>
  <c r="BB435"/>
  <c r="BO435" s="1"/>
  <c r="BA435"/>
  <c r="AZ435"/>
  <c r="BM435" s="1"/>
  <c r="AY435"/>
  <c r="BK435" s="1"/>
  <c r="AX435"/>
  <c r="AW435"/>
  <c r="AV435"/>
  <c r="AU435"/>
  <c r="AT435"/>
  <c r="AS435"/>
  <c r="AR435"/>
  <c r="AQ435"/>
  <c r="AP435"/>
  <c r="AO435"/>
  <c r="AN435"/>
  <c r="AM435"/>
  <c r="AL435"/>
  <c r="AK435"/>
  <c r="AJ435"/>
  <c r="AI435"/>
  <c r="AH435"/>
  <c r="AG435"/>
  <c r="AF435"/>
  <c r="AE435"/>
  <c r="AD435"/>
  <c r="AC435"/>
  <c r="AB435"/>
  <c r="AA435"/>
  <c r="DE434"/>
  <c r="CF434"/>
  <c r="CB434"/>
  <c r="BX434"/>
  <c r="BT434"/>
  <c r="BP434"/>
  <c r="BL434"/>
  <c r="BJ434"/>
  <c r="BV434" s="1"/>
  <c r="BI434"/>
  <c r="BH434"/>
  <c r="BU434" s="1"/>
  <c r="BG434"/>
  <c r="BF434"/>
  <c r="BS434" s="1"/>
  <c r="BE434"/>
  <c r="BD434"/>
  <c r="BQ434" s="1"/>
  <c r="BC434"/>
  <c r="BB434"/>
  <c r="BO434" s="1"/>
  <c r="BA434"/>
  <c r="AZ434"/>
  <c r="BM434" s="1"/>
  <c r="AY434"/>
  <c r="BK434" s="1"/>
  <c r="AX434"/>
  <c r="AW434"/>
  <c r="AV434"/>
  <c r="CG434" s="1"/>
  <c r="AU434"/>
  <c r="AT434"/>
  <c r="CE434" s="1"/>
  <c r="AS434"/>
  <c r="AR434"/>
  <c r="CC434" s="1"/>
  <c r="AQ434"/>
  <c r="AP434"/>
  <c r="CA434" s="1"/>
  <c r="AO434"/>
  <c r="AN434"/>
  <c r="BY434" s="1"/>
  <c r="AM434"/>
  <c r="AL434"/>
  <c r="AK434"/>
  <c r="AJ434"/>
  <c r="AI434"/>
  <c r="AH434"/>
  <c r="AG434"/>
  <c r="AF434"/>
  <c r="AE434"/>
  <c r="AD434"/>
  <c r="AC434"/>
  <c r="AB434"/>
  <c r="AA434"/>
  <c r="DE433"/>
  <c r="BJ433"/>
  <c r="BV433" s="1"/>
  <c r="BI433"/>
  <c r="BH433"/>
  <c r="BU433" s="1"/>
  <c r="BG433"/>
  <c r="BF433"/>
  <c r="BS433" s="1"/>
  <c r="BE433"/>
  <c r="BD433"/>
  <c r="BQ433" s="1"/>
  <c r="BC433"/>
  <c r="BB433"/>
  <c r="BO433" s="1"/>
  <c r="BA433"/>
  <c r="AZ433"/>
  <c r="BM433" s="1"/>
  <c r="AY433"/>
  <c r="BK433" s="1"/>
  <c r="AX433"/>
  <c r="AW433"/>
  <c r="AV433"/>
  <c r="CG433" s="1"/>
  <c r="AU433"/>
  <c r="AT433"/>
  <c r="CE433" s="1"/>
  <c r="AS433"/>
  <c r="AR433"/>
  <c r="CC433" s="1"/>
  <c r="AQ433"/>
  <c r="AP433"/>
  <c r="CA433" s="1"/>
  <c r="AO433"/>
  <c r="AN433"/>
  <c r="BY433" s="1"/>
  <c r="AM433"/>
  <c r="AL433"/>
  <c r="AK433"/>
  <c r="AJ433"/>
  <c r="AI433"/>
  <c r="AH433"/>
  <c r="AG433"/>
  <c r="AF433"/>
  <c r="AE433"/>
  <c r="AD433"/>
  <c r="AC433"/>
  <c r="AB433"/>
  <c r="AA433"/>
  <c r="DE432"/>
  <c r="CF432"/>
  <c r="CB432"/>
  <c r="BX432"/>
  <c r="BT432"/>
  <c r="BP432"/>
  <c r="BL432"/>
  <c r="BJ432"/>
  <c r="BV432" s="1"/>
  <c r="BI432"/>
  <c r="BH432"/>
  <c r="BU432" s="1"/>
  <c r="BG432"/>
  <c r="BF432"/>
  <c r="BS432" s="1"/>
  <c r="BE432"/>
  <c r="BD432"/>
  <c r="BQ432" s="1"/>
  <c r="BC432"/>
  <c r="BB432"/>
  <c r="BO432" s="1"/>
  <c r="BA432"/>
  <c r="AZ432"/>
  <c r="BM432" s="1"/>
  <c r="AY432"/>
  <c r="BK432" s="1"/>
  <c r="AX432"/>
  <c r="AW432"/>
  <c r="AV432"/>
  <c r="CG432" s="1"/>
  <c r="AU432"/>
  <c r="AT432"/>
  <c r="CE432" s="1"/>
  <c r="AS432"/>
  <c r="AR432"/>
  <c r="CC432" s="1"/>
  <c r="AQ432"/>
  <c r="AP432"/>
  <c r="CA432" s="1"/>
  <c r="AO432"/>
  <c r="AN432"/>
  <c r="BY432" s="1"/>
  <c r="AM432"/>
  <c r="AL432"/>
  <c r="AK432"/>
  <c r="AJ432"/>
  <c r="AI432"/>
  <c r="AH432"/>
  <c r="AG432"/>
  <c r="AF432"/>
  <c r="AE432"/>
  <c r="AD432"/>
  <c r="AC432"/>
  <c r="AB432"/>
  <c r="AA432"/>
  <c r="DE431"/>
  <c r="BJ431"/>
  <c r="BV431" s="1"/>
  <c r="BI431"/>
  <c r="BH431"/>
  <c r="BU431" s="1"/>
  <c r="BG431"/>
  <c r="BF431"/>
  <c r="BS431" s="1"/>
  <c r="BE431"/>
  <c r="BD431"/>
  <c r="BQ431" s="1"/>
  <c r="BC431"/>
  <c r="BB431"/>
  <c r="BO431" s="1"/>
  <c r="BA431"/>
  <c r="AZ431"/>
  <c r="BM431" s="1"/>
  <c r="AY431"/>
  <c r="BK431" s="1"/>
  <c r="AX431"/>
  <c r="AW431"/>
  <c r="AV431"/>
  <c r="CG431" s="1"/>
  <c r="AU431"/>
  <c r="AT431"/>
  <c r="CE431" s="1"/>
  <c r="AS431"/>
  <c r="AR431"/>
  <c r="CC431" s="1"/>
  <c r="AQ431"/>
  <c r="AP431"/>
  <c r="CA431" s="1"/>
  <c r="AO431"/>
  <c r="AN431"/>
  <c r="BY431" s="1"/>
  <c r="AM431"/>
  <c r="AL431"/>
  <c r="AK431"/>
  <c r="AJ431"/>
  <c r="AI431"/>
  <c r="AH431"/>
  <c r="AG431"/>
  <c r="AF431"/>
  <c r="AE431"/>
  <c r="AD431"/>
  <c r="AC431"/>
  <c r="AB431"/>
  <c r="AA431"/>
  <c r="DE430"/>
  <c r="BJ430"/>
  <c r="BV430" s="1"/>
  <c r="BI430"/>
  <c r="BH430"/>
  <c r="BU430" s="1"/>
  <c r="BG430"/>
  <c r="BF430"/>
  <c r="BS430" s="1"/>
  <c r="BE430"/>
  <c r="BD430"/>
  <c r="BQ430" s="1"/>
  <c r="BC430"/>
  <c r="BB430"/>
  <c r="BO430" s="1"/>
  <c r="BA430"/>
  <c r="AZ430"/>
  <c r="BM430" s="1"/>
  <c r="AY430"/>
  <c r="BK430" s="1"/>
  <c r="AX430"/>
  <c r="BW430" s="1"/>
  <c r="AW430"/>
  <c r="AV430"/>
  <c r="CG430" s="1"/>
  <c r="AU430"/>
  <c r="AT430"/>
  <c r="CE430" s="1"/>
  <c r="AS430"/>
  <c r="AR430"/>
  <c r="CC430" s="1"/>
  <c r="AQ430"/>
  <c r="AP430"/>
  <c r="CA430" s="1"/>
  <c r="AO430"/>
  <c r="AN430"/>
  <c r="BY430" s="1"/>
  <c r="AM430"/>
  <c r="AL430"/>
  <c r="AK430"/>
  <c r="AJ430"/>
  <c r="AI430"/>
  <c r="AH430"/>
  <c r="AG430"/>
  <c r="AF430"/>
  <c r="AE430"/>
  <c r="AD430"/>
  <c r="AC430"/>
  <c r="AB430"/>
  <c r="AA430"/>
  <c r="DE429"/>
  <c r="BJ429"/>
  <c r="BV429" s="1"/>
  <c r="BI429"/>
  <c r="BH429"/>
  <c r="BU429" s="1"/>
  <c r="BG429"/>
  <c r="BF429"/>
  <c r="BS429" s="1"/>
  <c r="BE429"/>
  <c r="BD429"/>
  <c r="BQ429" s="1"/>
  <c r="BC429"/>
  <c r="BB429"/>
  <c r="BO429" s="1"/>
  <c r="BA429"/>
  <c r="AZ429"/>
  <c r="BM429" s="1"/>
  <c r="AY429"/>
  <c r="BK429" s="1"/>
  <c r="AX429"/>
  <c r="BW429" s="1"/>
  <c r="AW429"/>
  <c r="AV429"/>
  <c r="CG429" s="1"/>
  <c r="AU429"/>
  <c r="AT429"/>
  <c r="CE429" s="1"/>
  <c r="AS429"/>
  <c r="AR429"/>
  <c r="CC429" s="1"/>
  <c r="AQ429"/>
  <c r="AP429"/>
  <c r="CA429" s="1"/>
  <c r="AO429"/>
  <c r="AN429"/>
  <c r="BY429" s="1"/>
  <c r="AM429"/>
  <c r="AL429"/>
  <c r="AK429"/>
  <c r="AJ429"/>
  <c r="AI429"/>
  <c r="AH429"/>
  <c r="AG429"/>
  <c r="AF429"/>
  <c r="AE429"/>
  <c r="AD429"/>
  <c r="AC429"/>
  <c r="AB429"/>
  <c r="AA429"/>
  <c r="DE428"/>
  <c r="BJ428"/>
  <c r="BV428" s="1"/>
  <c r="BI428"/>
  <c r="BH428"/>
  <c r="BU428" s="1"/>
  <c r="BG428"/>
  <c r="BF428"/>
  <c r="BS428" s="1"/>
  <c r="BE428"/>
  <c r="BD428"/>
  <c r="BQ428" s="1"/>
  <c r="BC428"/>
  <c r="BB428"/>
  <c r="BO428" s="1"/>
  <c r="BA428"/>
  <c r="AZ428"/>
  <c r="BM428" s="1"/>
  <c r="AY428"/>
  <c r="BK428" s="1"/>
  <c r="AX428"/>
  <c r="BW428" s="1"/>
  <c r="AW428"/>
  <c r="AV428"/>
  <c r="CG428" s="1"/>
  <c r="AU428"/>
  <c r="AT428"/>
  <c r="CE428" s="1"/>
  <c r="AS428"/>
  <c r="AR428"/>
  <c r="CC428" s="1"/>
  <c r="AQ428"/>
  <c r="AP428"/>
  <c r="CA428" s="1"/>
  <c r="AO428"/>
  <c r="AN428"/>
  <c r="BY428" s="1"/>
  <c r="AM428"/>
  <c r="AL428"/>
  <c r="AK428"/>
  <c r="AJ428"/>
  <c r="AI428"/>
  <c r="AH428"/>
  <c r="AG428"/>
  <c r="AF428"/>
  <c r="AE428"/>
  <c r="AD428"/>
  <c r="AC428"/>
  <c r="AB428"/>
  <c r="AA428"/>
  <c r="DE427"/>
  <c r="BJ427"/>
  <c r="BV427" s="1"/>
  <c r="BI427"/>
  <c r="BH427"/>
  <c r="BU427" s="1"/>
  <c r="BG427"/>
  <c r="BF427"/>
  <c r="BS427" s="1"/>
  <c r="BE427"/>
  <c r="BD427"/>
  <c r="BQ427" s="1"/>
  <c r="BC427"/>
  <c r="BB427"/>
  <c r="BO427" s="1"/>
  <c r="BA427"/>
  <c r="AZ427"/>
  <c r="BM427" s="1"/>
  <c r="AY427"/>
  <c r="BK427" s="1"/>
  <c r="AX427"/>
  <c r="BW427" s="1"/>
  <c r="AW427"/>
  <c r="AV427"/>
  <c r="CG427" s="1"/>
  <c r="AU427"/>
  <c r="AT427"/>
  <c r="CE427" s="1"/>
  <c r="AS427"/>
  <c r="AR427"/>
  <c r="CC427" s="1"/>
  <c r="AQ427"/>
  <c r="AP427"/>
  <c r="CA427" s="1"/>
  <c r="AO427"/>
  <c r="AN427"/>
  <c r="BY427" s="1"/>
  <c r="AM427"/>
  <c r="AL427"/>
  <c r="AK427"/>
  <c r="AJ427"/>
  <c r="AI427"/>
  <c r="AH427"/>
  <c r="AG427"/>
  <c r="AF427"/>
  <c r="AE427"/>
  <c r="AD427"/>
  <c r="AC427"/>
  <c r="AB427"/>
  <c r="AA427"/>
  <c r="DE426"/>
  <c r="BJ426"/>
  <c r="BV426" s="1"/>
  <c r="BI426"/>
  <c r="BH426"/>
  <c r="BU426" s="1"/>
  <c r="BG426"/>
  <c r="BF426"/>
  <c r="BS426" s="1"/>
  <c r="BE426"/>
  <c r="BD426"/>
  <c r="BQ426" s="1"/>
  <c r="BC426"/>
  <c r="BB426"/>
  <c r="BO426" s="1"/>
  <c r="BA426"/>
  <c r="AZ426"/>
  <c r="BM426" s="1"/>
  <c r="AY426"/>
  <c r="BK426" s="1"/>
  <c r="AX426"/>
  <c r="BW426" s="1"/>
  <c r="AW426"/>
  <c r="AV426"/>
  <c r="CG426" s="1"/>
  <c r="AU426"/>
  <c r="AT426"/>
  <c r="CE426" s="1"/>
  <c r="AS426"/>
  <c r="AR426"/>
  <c r="CC426" s="1"/>
  <c r="AQ426"/>
  <c r="AP426"/>
  <c r="CA426" s="1"/>
  <c r="AO426"/>
  <c r="AN426"/>
  <c r="BY426" s="1"/>
  <c r="AM426"/>
  <c r="AL426"/>
  <c r="AK426"/>
  <c r="AJ426"/>
  <c r="AI426"/>
  <c r="AH426"/>
  <c r="AG426"/>
  <c r="AF426"/>
  <c r="AE426"/>
  <c r="AD426"/>
  <c r="AC426"/>
  <c r="AB426"/>
  <c r="AA426"/>
  <c r="DE425"/>
  <c r="BJ425"/>
  <c r="BV425" s="1"/>
  <c r="BI425"/>
  <c r="BH425"/>
  <c r="BU425" s="1"/>
  <c r="BG425"/>
  <c r="BF425"/>
  <c r="BS425" s="1"/>
  <c r="BE425"/>
  <c r="BD425"/>
  <c r="BQ425" s="1"/>
  <c r="BC425"/>
  <c r="BB425"/>
  <c r="BO425" s="1"/>
  <c r="BA425"/>
  <c r="AZ425"/>
  <c r="BM425" s="1"/>
  <c r="AY425"/>
  <c r="BK425" s="1"/>
  <c r="AX425"/>
  <c r="BW425" s="1"/>
  <c r="AW425"/>
  <c r="AV425"/>
  <c r="CG425" s="1"/>
  <c r="AU425"/>
  <c r="AT425"/>
  <c r="CE425" s="1"/>
  <c r="AS425"/>
  <c r="AR425"/>
  <c r="CC425" s="1"/>
  <c r="AQ425"/>
  <c r="AP425"/>
  <c r="CA425" s="1"/>
  <c r="AO425"/>
  <c r="AN425"/>
  <c r="BY425" s="1"/>
  <c r="AM425"/>
  <c r="AL425"/>
  <c r="AK425"/>
  <c r="AJ425"/>
  <c r="AI425"/>
  <c r="AH425"/>
  <c r="AG425"/>
  <c r="AF425"/>
  <c r="AE425"/>
  <c r="AD425"/>
  <c r="AC425"/>
  <c r="AB425"/>
  <c r="AA425"/>
  <c r="DE424"/>
  <c r="BJ424"/>
  <c r="BV424" s="1"/>
  <c r="BI424"/>
  <c r="BH424"/>
  <c r="BU424" s="1"/>
  <c r="BG424"/>
  <c r="BF424"/>
  <c r="BS424" s="1"/>
  <c r="BE424"/>
  <c r="BD424"/>
  <c r="BQ424" s="1"/>
  <c r="BC424"/>
  <c r="BB424"/>
  <c r="BO424" s="1"/>
  <c r="BA424"/>
  <c r="AZ424"/>
  <c r="BM424" s="1"/>
  <c r="AY424"/>
  <c r="BK424" s="1"/>
  <c r="AX424"/>
  <c r="BW424" s="1"/>
  <c r="AW424"/>
  <c r="AV424"/>
  <c r="CG424" s="1"/>
  <c r="AU424"/>
  <c r="AT424"/>
  <c r="CE424" s="1"/>
  <c r="AS424"/>
  <c r="AR424"/>
  <c r="CC424" s="1"/>
  <c r="AQ424"/>
  <c r="AP424"/>
  <c r="CA424" s="1"/>
  <c r="AO424"/>
  <c r="AN424"/>
  <c r="BY424" s="1"/>
  <c r="AM424"/>
  <c r="AL424"/>
  <c r="AK424"/>
  <c r="AJ424"/>
  <c r="AI424"/>
  <c r="AH424"/>
  <c r="AG424"/>
  <c r="AF424"/>
  <c r="AE424"/>
  <c r="AD424"/>
  <c r="AC424"/>
  <c r="AB424"/>
  <c r="AA424"/>
  <c r="DE423"/>
  <c r="BJ423"/>
  <c r="BV423" s="1"/>
  <c r="BI423"/>
  <c r="BH423"/>
  <c r="BU423" s="1"/>
  <c r="BG423"/>
  <c r="BF423"/>
  <c r="BS423" s="1"/>
  <c r="BE423"/>
  <c r="BD423"/>
  <c r="BQ423" s="1"/>
  <c r="BC423"/>
  <c r="BB423"/>
  <c r="BO423" s="1"/>
  <c r="BA423"/>
  <c r="AZ423"/>
  <c r="BM423" s="1"/>
  <c r="AY423"/>
  <c r="BK423" s="1"/>
  <c r="AX423"/>
  <c r="BW423" s="1"/>
  <c r="AW423"/>
  <c r="AV423"/>
  <c r="CG423" s="1"/>
  <c r="AU423"/>
  <c r="AT423"/>
  <c r="CE423" s="1"/>
  <c r="AS423"/>
  <c r="AR423"/>
  <c r="CC423" s="1"/>
  <c r="AQ423"/>
  <c r="AP423"/>
  <c r="CA423" s="1"/>
  <c r="AO423"/>
  <c r="AN423"/>
  <c r="BY423" s="1"/>
  <c r="AM423"/>
  <c r="AL423"/>
  <c r="AK423"/>
  <c r="AJ423"/>
  <c r="AI423"/>
  <c r="AH423"/>
  <c r="AG423"/>
  <c r="AF423"/>
  <c r="AE423"/>
  <c r="AD423"/>
  <c r="AC423"/>
  <c r="AB423"/>
  <c r="AA423"/>
  <c r="DE422"/>
  <c r="BJ422"/>
  <c r="BV422" s="1"/>
  <c r="BI422"/>
  <c r="BH422"/>
  <c r="BU422" s="1"/>
  <c r="BG422"/>
  <c r="BF422"/>
  <c r="BS422" s="1"/>
  <c r="BE422"/>
  <c r="BD422"/>
  <c r="BQ422" s="1"/>
  <c r="BC422"/>
  <c r="BB422"/>
  <c r="BO422" s="1"/>
  <c r="BA422"/>
  <c r="AZ422"/>
  <c r="BM422" s="1"/>
  <c r="AY422"/>
  <c r="BK422" s="1"/>
  <c r="AX422"/>
  <c r="BW422" s="1"/>
  <c r="AW422"/>
  <c r="AV422"/>
  <c r="CG422" s="1"/>
  <c r="AU422"/>
  <c r="AT422"/>
  <c r="CE422" s="1"/>
  <c r="AS422"/>
  <c r="AR422"/>
  <c r="CC422" s="1"/>
  <c r="AQ422"/>
  <c r="AP422"/>
  <c r="CA422" s="1"/>
  <c r="AO422"/>
  <c r="AN422"/>
  <c r="BY422" s="1"/>
  <c r="AM422"/>
  <c r="AL422"/>
  <c r="AK422"/>
  <c r="AJ422"/>
  <c r="AI422"/>
  <c r="AH422"/>
  <c r="AG422"/>
  <c r="AF422"/>
  <c r="AE422"/>
  <c r="AD422"/>
  <c r="AC422"/>
  <c r="AB422"/>
  <c r="AA422"/>
  <c r="DE421"/>
  <c r="BJ421"/>
  <c r="BV421" s="1"/>
  <c r="BI421"/>
  <c r="BH421"/>
  <c r="BU421" s="1"/>
  <c r="BG421"/>
  <c r="BF421"/>
  <c r="BS421" s="1"/>
  <c r="BE421"/>
  <c r="BD421"/>
  <c r="BQ421" s="1"/>
  <c r="BC421"/>
  <c r="BB421"/>
  <c r="BO421" s="1"/>
  <c r="BA421"/>
  <c r="AZ421"/>
  <c r="BM421" s="1"/>
  <c r="AY421"/>
  <c r="BK421" s="1"/>
  <c r="AX421"/>
  <c r="BW421" s="1"/>
  <c r="AW421"/>
  <c r="AV421"/>
  <c r="CG421" s="1"/>
  <c r="AU421"/>
  <c r="AT421"/>
  <c r="CE421" s="1"/>
  <c r="AS421"/>
  <c r="AR421"/>
  <c r="CC421" s="1"/>
  <c r="AQ421"/>
  <c r="AP421"/>
  <c r="CA421" s="1"/>
  <c r="AO421"/>
  <c r="AN421"/>
  <c r="BY421" s="1"/>
  <c r="AM421"/>
  <c r="AL421"/>
  <c r="AK421"/>
  <c r="AJ421"/>
  <c r="AI421"/>
  <c r="AH421"/>
  <c r="AG421"/>
  <c r="AF421"/>
  <c r="AE421"/>
  <c r="AD421"/>
  <c r="AC421"/>
  <c r="AB421"/>
  <c r="AA421"/>
  <c r="DE420"/>
  <c r="BJ420"/>
  <c r="BV420" s="1"/>
  <c r="BI420"/>
  <c r="BH420"/>
  <c r="BU420" s="1"/>
  <c r="BG420"/>
  <c r="BF420"/>
  <c r="BS420" s="1"/>
  <c r="BE420"/>
  <c r="BD420"/>
  <c r="BQ420" s="1"/>
  <c r="BC420"/>
  <c r="BB420"/>
  <c r="BO420" s="1"/>
  <c r="BA420"/>
  <c r="AZ420"/>
  <c r="BM420" s="1"/>
  <c r="AY420"/>
  <c r="BK420" s="1"/>
  <c r="AX420"/>
  <c r="BW420" s="1"/>
  <c r="AW420"/>
  <c r="AV420"/>
  <c r="CG420" s="1"/>
  <c r="AU420"/>
  <c r="AT420"/>
  <c r="CE420" s="1"/>
  <c r="AS420"/>
  <c r="AR420"/>
  <c r="CC420" s="1"/>
  <c r="AQ420"/>
  <c r="AP420"/>
  <c r="CA420" s="1"/>
  <c r="AO420"/>
  <c r="AN420"/>
  <c r="BY420" s="1"/>
  <c r="AM420"/>
  <c r="AL420"/>
  <c r="AK420"/>
  <c r="AJ420"/>
  <c r="AI420"/>
  <c r="AH420"/>
  <c r="AG420"/>
  <c r="AF420"/>
  <c r="AE420"/>
  <c r="AD420"/>
  <c r="AC420"/>
  <c r="AB420"/>
  <c r="AA420"/>
  <c r="DE419"/>
  <c r="BJ419"/>
  <c r="BV419" s="1"/>
  <c r="BI419"/>
  <c r="BH419"/>
  <c r="BU419" s="1"/>
  <c r="BG419"/>
  <c r="BF419"/>
  <c r="BS419" s="1"/>
  <c r="BE419"/>
  <c r="BD419"/>
  <c r="BQ419" s="1"/>
  <c r="BC419"/>
  <c r="BB419"/>
  <c r="BO419" s="1"/>
  <c r="BA419"/>
  <c r="AZ419"/>
  <c r="BM419" s="1"/>
  <c r="AY419"/>
  <c r="BK419" s="1"/>
  <c r="AX419"/>
  <c r="BW419" s="1"/>
  <c r="AW419"/>
  <c r="AV419"/>
  <c r="CG419" s="1"/>
  <c r="AU419"/>
  <c r="AT419"/>
  <c r="CE419" s="1"/>
  <c r="AS419"/>
  <c r="AR419"/>
  <c r="CC419" s="1"/>
  <c r="AQ419"/>
  <c r="AP419"/>
  <c r="CA419" s="1"/>
  <c r="AO419"/>
  <c r="AN419"/>
  <c r="BY419" s="1"/>
  <c r="AM419"/>
  <c r="AL419"/>
  <c r="AK419"/>
  <c r="AJ419"/>
  <c r="AI419"/>
  <c r="AH419"/>
  <c r="AG419"/>
  <c r="AF419"/>
  <c r="AE419"/>
  <c r="AD419"/>
  <c r="AC419"/>
  <c r="AB419"/>
  <c r="AA419"/>
  <c r="DE418"/>
  <c r="BJ418"/>
  <c r="BV418" s="1"/>
  <c r="BI418"/>
  <c r="BH418"/>
  <c r="BU418" s="1"/>
  <c r="BG418"/>
  <c r="BF418"/>
  <c r="BS418" s="1"/>
  <c r="BE418"/>
  <c r="BD418"/>
  <c r="BQ418" s="1"/>
  <c r="BC418"/>
  <c r="BB418"/>
  <c r="BO418" s="1"/>
  <c r="BA418"/>
  <c r="AZ418"/>
  <c r="BM418" s="1"/>
  <c r="AY418"/>
  <c r="BK418" s="1"/>
  <c r="AX418"/>
  <c r="BW418" s="1"/>
  <c r="AW418"/>
  <c r="AV418"/>
  <c r="CG418" s="1"/>
  <c r="AU418"/>
  <c r="AT418"/>
  <c r="CE418" s="1"/>
  <c r="AS418"/>
  <c r="AR418"/>
  <c r="CC418" s="1"/>
  <c r="AQ418"/>
  <c r="AP418"/>
  <c r="CA418" s="1"/>
  <c r="AO418"/>
  <c r="AN418"/>
  <c r="BY418" s="1"/>
  <c r="AM418"/>
  <c r="AL418"/>
  <c r="AK418"/>
  <c r="AJ418"/>
  <c r="AI418"/>
  <c r="AH418"/>
  <c r="AG418"/>
  <c r="AF418"/>
  <c r="AE418"/>
  <c r="AD418"/>
  <c r="AC418"/>
  <c r="AB418"/>
  <c r="AA418"/>
  <c r="DE417"/>
  <c r="BJ417"/>
  <c r="BV417" s="1"/>
  <c r="BI417"/>
  <c r="BH417"/>
  <c r="BU417" s="1"/>
  <c r="BG417"/>
  <c r="BF417"/>
  <c r="BS417" s="1"/>
  <c r="BE417"/>
  <c r="BD417"/>
  <c r="BQ417" s="1"/>
  <c r="BC417"/>
  <c r="BB417"/>
  <c r="BO417" s="1"/>
  <c r="BA417"/>
  <c r="AZ417"/>
  <c r="BM417" s="1"/>
  <c r="AY417"/>
  <c r="BK417" s="1"/>
  <c r="AX417"/>
  <c r="BW417" s="1"/>
  <c r="AW417"/>
  <c r="AV417"/>
  <c r="CG417" s="1"/>
  <c r="AU417"/>
  <c r="AT417"/>
  <c r="CE417" s="1"/>
  <c r="AS417"/>
  <c r="AR417"/>
  <c r="CC417" s="1"/>
  <c r="AQ417"/>
  <c r="AP417"/>
  <c r="CA417" s="1"/>
  <c r="AO417"/>
  <c r="AN417"/>
  <c r="BY417" s="1"/>
  <c r="AM417"/>
  <c r="AL417"/>
  <c r="AK417"/>
  <c r="AJ417"/>
  <c r="AI417"/>
  <c r="AH417"/>
  <c r="AG417"/>
  <c r="AF417"/>
  <c r="AE417"/>
  <c r="AD417"/>
  <c r="AC417"/>
  <c r="AB417"/>
  <c r="AA417"/>
  <c r="DE416"/>
  <c r="BJ416"/>
  <c r="BV416" s="1"/>
  <c r="BI416"/>
  <c r="BH416"/>
  <c r="BU416" s="1"/>
  <c r="BG416"/>
  <c r="BF416"/>
  <c r="BS416" s="1"/>
  <c r="BE416"/>
  <c r="BD416"/>
  <c r="BQ416" s="1"/>
  <c r="BC416"/>
  <c r="BB416"/>
  <c r="BO416" s="1"/>
  <c r="BA416"/>
  <c r="AZ416"/>
  <c r="BM416" s="1"/>
  <c r="AY416"/>
  <c r="BK416" s="1"/>
  <c r="AX416"/>
  <c r="BW416" s="1"/>
  <c r="AW416"/>
  <c r="AV416"/>
  <c r="CG416" s="1"/>
  <c r="AU416"/>
  <c r="AT416"/>
  <c r="CE416" s="1"/>
  <c r="AS416"/>
  <c r="AR416"/>
  <c r="CC416" s="1"/>
  <c r="AQ416"/>
  <c r="AP416"/>
  <c r="CA416" s="1"/>
  <c r="AO416"/>
  <c r="AN416"/>
  <c r="BY416" s="1"/>
  <c r="AM416"/>
  <c r="AL416"/>
  <c r="AK416"/>
  <c r="AJ416"/>
  <c r="AI416"/>
  <c r="AH416"/>
  <c r="AG416"/>
  <c r="AF416"/>
  <c r="AE416"/>
  <c r="AD416"/>
  <c r="AC416"/>
  <c r="AB416"/>
  <c r="AA416"/>
  <c r="DE415"/>
  <c r="BJ415"/>
  <c r="BV415" s="1"/>
  <c r="BI415"/>
  <c r="BH415"/>
  <c r="BU415" s="1"/>
  <c r="BG415"/>
  <c r="BF415"/>
  <c r="BS415" s="1"/>
  <c r="BE415"/>
  <c r="BD415"/>
  <c r="BQ415" s="1"/>
  <c r="BC415"/>
  <c r="BB415"/>
  <c r="BO415" s="1"/>
  <c r="BA415"/>
  <c r="AZ415"/>
  <c r="BM415" s="1"/>
  <c r="AY415"/>
  <c r="BK415" s="1"/>
  <c r="AX415"/>
  <c r="BW415" s="1"/>
  <c r="AW415"/>
  <c r="AV415"/>
  <c r="CG415" s="1"/>
  <c r="AU415"/>
  <c r="AT415"/>
  <c r="CE415" s="1"/>
  <c r="AS415"/>
  <c r="AR415"/>
  <c r="CC415" s="1"/>
  <c r="AQ415"/>
  <c r="AP415"/>
  <c r="CA415" s="1"/>
  <c r="AO415"/>
  <c r="AN415"/>
  <c r="BY415" s="1"/>
  <c r="AM415"/>
  <c r="AL415"/>
  <c r="AK415"/>
  <c r="AJ415"/>
  <c r="AI415"/>
  <c r="AH415"/>
  <c r="AG415"/>
  <c r="AF415"/>
  <c r="AE415"/>
  <c r="AD415"/>
  <c r="AC415"/>
  <c r="AB415"/>
  <c r="AA415"/>
  <c r="DE414"/>
  <c r="BJ414"/>
  <c r="BV414" s="1"/>
  <c r="BI414"/>
  <c r="BH414"/>
  <c r="BU414" s="1"/>
  <c r="BG414"/>
  <c r="BF414"/>
  <c r="BS414" s="1"/>
  <c r="BE414"/>
  <c r="BD414"/>
  <c r="BQ414" s="1"/>
  <c r="BC414"/>
  <c r="BB414"/>
  <c r="BO414" s="1"/>
  <c r="BA414"/>
  <c r="AZ414"/>
  <c r="BM414" s="1"/>
  <c r="AY414"/>
  <c r="BK414" s="1"/>
  <c r="AX414"/>
  <c r="BW414" s="1"/>
  <c r="AW414"/>
  <c r="AV414"/>
  <c r="CG414" s="1"/>
  <c r="AU414"/>
  <c r="AT414"/>
  <c r="CE414" s="1"/>
  <c r="AS414"/>
  <c r="AR414"/>
  <c r="CC414" s="1"/>
  <c r="AQ414"/>
  <c r="AP414"/>
  <c r="CA414" s="1"/>
  <c r="AO414"/>
  <c r="AN414"/>
  <c r="BY414" s="1"/>
  <c r="AM414"/>
  <c r="AL414"/>
  <c r="AK414"/>
  <c r="AJ414"/>
  <c r="AI414"/>
  <c r="AH414"/>
  <c r="AG414"/>
  <c r="AF414"/>
  <c r="AE414"/>
  <c r="AD414"/>
  <c r="AC414"/>
  <c r="AB414"/>
  <c r="AA414"/>
  <c r="DE413"/>
  <c r="BJ413"/>
  <c r="BV413" s="1"/>
  <c r="BI413"/>
  <c r="BH413"/>
  <c r="BU413" s="1"/>
  <c r="BG413"/>
  <c r="BF413"/>
  <c r="BS413" s="1"/>
  <c r="BE413"/>
  <c r="BD413"/>
  <c r="BQ413" s="1"/>
  <c r="BC413"/>
  <c r="BB413"/>
  <c r="BO413" s="1"/>
  <c r="BA413"/>
  <c r="AZ413"/>
  <c r="BM413" s="1"/>
  <c r="AY413"/>
  <c r="BK413" s="1"/>
  <c r="AX413"/>
  <c r="BW413" s="1"/>
  <c r="AW413"/>
  <c r="AV413"/>
  <c r="CG413" s="1"/>
  <c r="AU413"/>
  <c r="AT413"/>
  <c r="CE413" s="1"/>
  <c r="AS413"/>
  <c r="AR413"/>
  <c r="CC413" s="1"/>
  <c r="AQ413"/>
  <c r="AP413"/>
  <c r="CA413" s="1"/>
  <c r="AO413"/>
  <c r="AN413"/>
  <c r="BY413" s="1"/>
  <c r="AM413"/>
  <c r="AL413"/>
  <c r="AK413"/>
  <c r="AJ413"/>
  <c r="AI413"/>
  <c r="AH413"/>
  <c r="AG413"/>
  <c r="AF413"/>
  <c r="AE413"/>
  <c r="AD413"/>
  <c r="AC413"/>
  <c r="AB413"/>
  <c r="AA413"/>
  <c r="DE412"/>
  <c r="BJ412"/>
  <c r="BV412" s="1"/>
  <c r="BI412"/>
  <c r="BH412"/>
  <c r="BU412" s="1"/>
  <c r="BG412"/>
  <c r="BF412"/>
  <c r="BS412" s="1"/>
  <c r="BE412"/>
  <c r="BD412"/>
  <c r="BQ412" s="1"/>
  <c r="BC412"/>
  <c r="BB412"/>
  <c r="BO412" s="1"/>
  <c r="BA412"/>
  <c r="AZ412"/>
  <c r="BM412" s="1"/>
  <c r="AY412"/>
  <c r="BK412" s="1"/>
  <c r="AX412"/>
  <c r="BW412" s="1"/>
  <c r="AW412"/>
  <c r="AV412"/>
  <c r="CG412" s="1"/>
  <c r="AU412"/>
  <c r="AT412"/>
  <c r="CE412" s="1"/>
  <c r="AS412"/>
  <c r="AR412"/>
  <c r="CC412" s="1"/>
  <c r="AQ412"/>
  <c r="AP412"/>
  <c r="CA412" s="1"/>
  <c r="AO412"/>
  <c r="AN412"/>
  <c r="BY412" s="1"/>
  <c r="AM412"/>
  <c r="AL412"/>
  <c r="AK412"/>
  <c r="AJ412"/>
  <c r="AI412"/>
  <c r="AH412"/>
  <c r="AG412"/>
  <c r="AF412"/>
  <c r="AE412"/>
  <c r="AD412"/>
  <c r="AC412"/>
  <c r="AB412"/>
  <c r="AA412"/>
  <c r="DE411"/>
  <c r="BJ411"/>
  <c r="BV411" s="1"/>
  <c r="BI411"/>
  <c r="BH411"/>
  <c r="BU411" s="1"/>
  <c r="BG411"/>
  <c r="BF411"/>
  <c r="BS411" s="1"/>
  <c r="BE411"/>
  <c r="BD411"/>
  <c r="BQ411" s="1"/>
  <c r="BC411"/>
  <c r="BB411"/>
  <c r="BO411" s="1"/>
  <c r="BA411"/>
  <c r="AZ411"/>
  <c r="BM411" s="1"/>
  <c r="AY411"/>
  <c r="BK411" s="1"/>
  <c r="AX411"/>
  <c r="BW411" s="1"/>
  <c r="AW411"/>
  <c r="AV411"/>
  <c r="CG411" s="1"/>
  <c r="AU411"/>
  <c r="AT411"/>
  <c r="CE411" s="1"/>
  <c r="AS411"/>
  <c r="AR411"/>
  <c r="CC411" s="1"/>
  <c r="AQ411"/>
  <c r="AP411"/>
  <c r="CA411" s="1"/>
  <c r="AO411"/>
  <c r="AN411"/>
  <c r="BY411" s="1"/>
  <c r="AM411"/>
  <c r="AL411"/>
  <c r="AK411"/>
  <c r="AJ411"/>
  <c r="AI411"/>
  <c r="AH411"/>
  <c r="AG411"/>
  <c r="AF411"/>
  <c r="AE411"/>
  <c r="AD411"/>
  <c r="AC411"/>
  <c r="AB411"/>
  <c r="AA411"/>
  <c r="DE410"/>
  <c r="BJ410"/>
  <c r="BV410" s="1"/>
  <c r="BI410"/>
  <c r="BH410"/>
  <c r="BU410" s="1"/>
  <c r="BG410"/>
  <c r="BF410"/>
  <c r="BS410" s="1"/>
  <c r="BE410"/>
  <c r="BD410"/>
  <c r="BQ410" s="1"/>
  <c r="BC410"/>
  <c r="BB410"/>
  <c r="BO410" s="1"/>
  <c r="BA410"/>
  <c r="AZ410"/>
  <c r="BM410" s="1"/>
  <c r="AY410"/>
  <c r="BK410" s="1"/>
  <c r="AX410"/>
  <c r="BW410" s="1"/>
  <c r="AW410"/>
  <c r="AV410"/>
  <c r="CG410" s="1"/>
  <c r="AU410"/>
  <c r="AT410"/>
  <c r="CE410" s="1"/>
  <c r="AS410"/>
  <c r="AR410"/>
  <c r="CC410" s="1"/>
  <c r="AQ410"/>
  <c r="AP410"/>
  <c r="CA410" s="1"/>
  <c r="AO410"/>
  <c r="AN410"/>
  <c r="BY410" s="1"/>
  <c r="AM410"/>
  <c r="AL410"/>
  <c r="AK410"/>
  <c r="AJ410"/>
  <c r="AI410"/>
  <c r="AH410"/>
  <c r="AG410"/>
  <c r="AF410"/>
  <c r="AE410"/>
  <c r="AD410"/>
  <c r="AC410"/>
  <c r="AB410"/>
  <c r="AA410"/>
  <c r="DE409"/>
  <c r="BJ409"/>
  <c r="BV409" s="1"/>
  <c r="BI409"/>
  <c r="BH409"/>
  <c r="BU409" s="1"/>
  <c r="BG409"/>
  <c r="BF409"/>
  <c r="BS409" s="1"/>
  <c r="BE409"/>
  <c r="BD409"/>
  <c r="BQ409" s="1"/>
  <c r="BC409"/>
  <c r="BB409"/>
  <c r="BO409" s="1"/>
  <c r="BA409"/>
  <c r="AZ409"/>
  <c r="BM409" s="1"/>
  <c r="AY409"/>
  <c r="BK409" s="1"/>
  <c r="AX409"/>
  <c r="BW409" s="1"/>
  <c r="AW409"/>
  <c r="AV409"/>
  <c r="CG409" s="1"/>
  <c r="AU409"/>
  <c r="AT409"/>
  <c r="CE409" s="1"/>
  <c r="AS409"/>
  <c r="AR409"/>
  <c r="CC409" s="1"/>
  <c r="AQ409"/>
  <c r="AP409"/>
  <c r="CA409" s="1"/>
  <c r="AO409"/>
  <c r="AN409"/>
  <c r="BY409" s="1"/>
  <c r="AM409"/>
  <c r="AL409"/>
  <c r="AK409"/>
  <c r="AJ409"/>
  <c r="AI409"/>
  <c r="AH409"/>
  <c r="AG409"/>
  <c r="AF409"/>
  <c r="AE409"/>
  <c r="AD409"/>
  <c r="AC409"/>
  <c r="AB409"/>
  <c r="AA409"/>
  <c r="DE408"/>
  <c r="BJ408"/>
  <c r="BV408" s="1"/>
  <c r="BI408"/>
  <c r="BH408"/>
  <c r="BU408" s="1"/>
  <c r="BG408"/>
  <c r="BF408"/>
  <c r="BS408" s="1"/>
  <c r="BE408"/>
  <c r="BD408"/>
  <c r="BQ408" s="1"/>
  <c r="BC408"/>
  <c r="BB408"/>
  <c r="BO408" s="1"/>
  <c r="BA408"/>
  <c r="AZ408"/>
  <c r="BM408" s="1"/>
  <c r="AY408"/>
  <c r="BK408" s="1"/>
  <c r="AX408"/>
  <c r="BW408" s="1"/>
  <c r="AW408"/>
  <c r="AV408"/>
  <c r="CG408" s="1"/>
  <c r="AU408"/>
  <c r="AT408"/>
  <c r="CE408" s="1"/>
  <c r="AS408"/>
  <c r="AR408"/>
  <c r="CC408" s="1"/>
  <c r="AQ408"/>
  <c r="AP408"/>
  <c r="CA408" s="1"/>
  <c r="AO408"/>
  <c r="AN408"/>
  <c r="BY408" s="1"/>
  <c r="AM408"/>
  <c r="AL408"/>
  <c r="AK408"/>
  <c r="AJ408"/>
  <c r="AI408"/>
  <c r="AH408"/>
  <c r="AG408"/>
  <c r="AF408"/>
  <c r="AE408"/>
  <c r="AD408"/>
  <c r="AC408"/>
  <c r="AB408"/>
  <c r="AA408"/>
  <c r="DE407"/>
  <c r="BJ407"/>
  <c r="BV407" s="1"/>
  <c r="BI407"/>
  <c r="BH407"/>
  <c r="BU407" s="1"/>
  <c r="BG407"/>
  <c r="BF407"/>
  <c r="BS407" s="1"/>
  <c r="BE407"/>
  <c r="BD407"/>
  <c r="BQ407" s="1"/>
  <c r="BC407"/>
  <c r="BB407"/>
  <c r="BO407" s="1"/>
  <c r="BA407"/>
  <c r="AZ407"/>
  <c r="BM407" s="1"/>
  <c r="AY407"/>
  <c r="BK407" s="1"/>
  <c r="AX407"/>
  <c r="BW407" s="1"/>
  <c r="AW407"/>
  <c r="AV407"/>
  <c r="CG407" s="1"/>
  <c r="AU407"/>
  <c r="AT407"/>
  <c r="CE407" s="1"/>
  <c r="AS407"/>
  <c r="AR407"/>
  <c r="CC407" s="1"/>
  <c r="AQ407"/>
  <c r="AP407"/>
  <c r="CA407" s="1"/>
  <c r="AO407"/>
  <c r="AN407"/>
  <c r="BY407" s="1"/>
  <c r="AM407"/>
  <c r="AL407"/>
  <c r="AK407"/>
  <c r="AJ407"/>
  <c r="AI407"/>
  <c r="AH407"/>
  <c r="AG407"/>
  <c r="AF407"/>
  <c r="AE407"/>
  <c r="AD407"/>
  <c r="AC407"/>
  <c r="AB407"/>
  <c r="AA407"/>
  <c r="DE406"/>
  <c r="BJ406"/>
  <c r="BV406" s="1"/>
  <c r="BI406"/>
  <c r="BH406"/>
  <c r="BU406" s="1"/>
  <c r="BG406"/>
  <c r="BF406"/>
  <c r="BS406" s="1"/>
  <c r="BE406"/>
  <c r="BD406"/>
  <c r="BQ406" s="1"/>
  <c r="BC406"/>
  <c r="BB406"/>
  <c r="BO406" s="1"/>
  <c r="BA406"/>
  <c r="AZ406"/>
  <c r="BM406" s="1"/>
  <c r="AY406"/>
  <c r="BK406" s="1"/>
  <c r="AX406"/>
  <c r="BW406" s="1"/>
  <c r="AW406"/>
  <c r="AV406"/>
  <c r="CG406" s="1"/>
  <c r="AU406"/>
  <c r="AT406"/>
  <c r="CE406" s="1"/>
  <c r="AS406"/>
  <c r="AR406"/>
  <c r="CC406" s="1"/>
  <c r="AQ406"/>
  <c r="AP406"/>
  <c r="CA406" s="1"/>
  <c r="AO406"/>
  <c r="AN406"/>
  <c r="BY406" s="1"/>
  <c r="AM406"/>
  <c r="AL406"/>
  <c r="AK406"/>
  <c r="AJ406"/>
  <c r="AI406"/>
  <c r="AH406"/>
  <c r="AG406"/>
  <c r="AF406"/>
  <c r="AE406"/>
  <c r="AD406"/>
  <c r="AC406"/>
  <c r="AB406"/>
  <c r="AA406"/>
  <c r="DE405"/>
  <c r="BJ405"/>
  <c r="BV405" s="1"/>
  <c r="BI405"/>
  <c r="BH405"/>
  <c r="BU405" s="1"/>
  <c r="BG405"/>
  <c r="BF405"/>
  <c r="BS405" s="1"/>
  <c r="BE405"/>
  <c r="BD405"/>
  <c r="BQ405" s="1"/>
  <c r="BC405"/>
  <c r="BB405"/>
  <c r="BO405" s="1"/>
  <c r="BA405"/>
  <c r="AZ405"/>
  <c r="BM405" s="1"/>
  <c r="AY405"/>
  <c r="BK405" s="1"/>
  <c r="AX405"/>
  <c r="BW405" s="1"/>
  <c r="AW405"/>
  <c r="AV405"/>
  <c r="CG405" s="1"/>
  <c r="AU405"/>
  <c r="AT405"/>
  <c r="CE405" s="1"/>
  <c r="AS405"/>
  <c r="AR405"/>
  <c r="CC405" s="1"/>
  <c r="AQ405"/>
  <c r="AP405"/>
  <c r="CA405" s="1"/>
  <c r="AO405"/>
  <c r="AN405"/>
  <c r="BY405" s="1"/>
  <c r="AM405"/>
  <c r="AL405"/>
  <c r="AK405"/>
  <c r="AJ405"/>
  <c r="AI405"/>
  <c r="AH405"/>
  <c r="AG405"/>
  <c r="AF405"/>
  <c r="AE405"/>
  <c r="AD405"/>
  <c r="AC405"/>
  <c r="AB405"/>
  <c r="AA405"/>
  <c r="DE404"/>
  <c r="BJ404"/>
  <c r="BV404" s="1"/>
  <c r="BI404"/>
  <c r="BH404"/>
  <c r="BU404" s="1"/>
  <c r="BG404"/>
  <c r="BF404"/>
  <c r="BS404" s="1"/>
  <c r="BE404"/>
  <c r="BD404"/>
  <c r="BQ404" s="1"/>
  <c r="BC404"/>
  <c r="BB404"/>
  <c r="BO404" s="1"/>
  <c r="BA404"/>
  <c r="AZ404"/>
  <c r="BM404" s="1"/>
  <c r="AY404"/>
  <c r="BK404" s="1"/>
  <c r="AX404"/>
  <c r="BW404" s="1"/>
  <c r="AW404"/>
  <c r="AV404"/>
  <c r="CG404" s="1"/>
  <c r="AU404"/>
  <c r="AT404"/>
  <c r="CE404" s="1"/>
  <c r="AS404"/>
  <c r="AR404"/>
  <c r="CC404" s="1"/>
  <c r="AQ404"/>
  <c r="AP404"/>
  <c r="CA404" s="1"/>
  <c r="AO404"/>
  <c r="AN404"/>
  <c r="BY404" s="1"/>
  <c r="AM404"/>
  <c r="AL404"/>
  <c r="AK404"/>
  <c r="AJ404"/>
  <c r="AI404"/>
  <c r="AH404"/>
  <c r="AG404"/>
  <c r="AF404"/>
  <c r="AE404"/>
  <c r="AD404"/>
  <c r="AC404"/>
  <c r="AB404"/>
  <c r="AA404"/>
  <c r="DE403"/>
  <c r="BJ403"/>
  <c r="BV403" s="1"/>
  <c r="BI403"/>
  <c r="BH403"/>
  <c r="BU403" s="1"/>
  <c r="BG403"/>
  <c r="BF403"/>
  <c r="BS403" s="1"/>
  <c r="BE403"/>
  <c r="BD403"/>
  <c r="BQ403" s="1"/>
  <c r="BC403"/>
  <c r="BB403"/>
  <c r="BO403" s="1"/>
  <c r="BA403"/>
  <c r="AZ403"/>
  <c r="BM403" s="1"/>
  <c r="AY403"/>
  <c r="BK403" s="1"/>
  <c r="AX403"/>
  <c r="BW403" s="1"/>
  <c r="AW403"/>
  <c r="AV403"/>
  <c r="CG403" s="1"/>
  <c r="AU403"/>
  <c r="AT403"/>
  <c r="CE403" s="1"/>
  <c r="AS403"/>
  <c r="AR403"/>
  <c r="CC403" s="1"/>
  <c r="AQ403"/>
  <c r="AP403"/>
  <c r="CA403" s="1"/>
  <c r="AO403"/>
  <c r="AN403"/>
  <c r="BY403" s="1"/>
  <c r="AM403"/>
  <c r="AL403"/>
  <c r="AK403"/>
  <c r="AJ403"/>
  <c r="AI403"/>
  <c r="AH403"/>
  <c r="AG403"/>
  <c r="AF403"/>
  <c r="AE403"/>
  <c r="AD403"/>
  <c r="AC403"/>
  <c r="AB403"/>
  <c r="AA403"/>
  <c r="DE402"/>
  <c r="BJ402"/>
  <c r="BV402" s="1"/>
  <c r="BI402"/>
  <c r="BH402"/>
  <c r="BU402" s="1"/>
  <c r="BG402"/>
  <c r="BF402"/>
  <c r="BS402" s="1"/>
  <c r="BE402"/>
  <c r="BD402"/>
  <c r="BQ402" s="1"/>
  <c r="BC402"/>
  <c r="BB402"/>
  <c r="BO402" s="1"/>
  <c r="BA402"/>
  <c r="AZ402"/>
  <c r="BM402" s="1"/>
  <c r="AY402"/>
  <c r="BK402" s="1"/>
  <c r="AX402"/>
  <c r="BW402" s="1"/>
  <c r="AW402"/>
  <c r="AV402"/>
  <c r="CG402" s="1"/>
  <c r="AU402"/>
  <c r="AT402"/>
  <c r="CE402" s="1"/>
  <c r="AS402"/>
  <c r="AR402"/>
  <c r="CC402" s="1"/>
  <c r="AQ402"/>
  <c r="AP402"/>
  <c r="CA402" s="1"/>
  <c r="AO402"/>
  <c r="AN402"/>
  <c r="BY402" s="1"/>
  <c r="AM402"/>
  <c r="AL402"/>
  <c r="AK402"/>
  <c r="AJ402"/>
  <c r="AI402"/>
  <c r="AH402"/>
  <c r="AG402"/>
  <c r="AF402"/>
  <c r="AE402"/>
  <c r="AD402"/>
  <c r="AC402"/>
  <c r="AB402"/>
  <c r="AA402"/>
  <c r="DE401"/>
  <c r="BJ401"/>
  <c r="BV401" s="1"/>
  <c r="BI401"/>
  <c r="BH401"/>
  <c r="BU401" s="1"/>
  <c r="BG401"/>
  <c r="BF401"/>
  <c r="BS401" s="1"/>
  <c r="BE401"/>
  <c r="BD401"/>
  <c r="BQ401" s="1"/>
  <c r="BC401"/>
  <c r="BB401"/>
  <c r="BO401" s="1"/>
  <c r="BA401"/>
  <c r="AZ401"/>
  <c r="BM401" s="1"/>
  <c r="AY401"/>
  <c r="BK401" s="1"/>
  <c r="AX401"/>
  <c r="BW401" s="1"/>
  <c r="AW401"/>
  <c r="AV401"/>
  <c r="CG401" s="1"/>
  <c r="AU401"/>
  <c r="AT401"/>
  <c r="CE401" s="1"/>
  <c r="AS401"/>
  <c r="AR401"/>
  <c r="CC401" s="1"/>
  <c r="AQ401"/>
  <c r="AP401"/>
  <c r="CA401" s="1"/>
  <c r="AO401"/>
  <c r="AN401"/>
  <c r="BY401" s="1"/>
  <c r="AM401"/>
  <c r="AL401"/>
  <c r="AK401"/>
  <c r="AJ401"/>
  <c r="AI401"/>
  <c r="AH401"/>
  <c r="AG401"/>
  <c r="AF401"/>
  <c r="AE401"/>
  <c r="AD401"/>
  <c r="AC401"/>
  <c r="AB401"/>
  <c r="AA401"/>
  <c r="DE400"/>
  <c r="BJ400"/>
  <c r="BV400" s="1"/>
  <c r="BI400"/>
  <c r="BH400"/>
  <c r="BU400" s="1"/>
  <c r="BG400"/>
  <c r="BF400"/>
  <c r="BS400" s="1"/>
  <c r="BE400"/>
  <c r="BD400"/>
  <c r="BQ400" s="1"/>
  <c r="BC400"/>
  <c r="BB400"/>
  <c r="BO400" s="1"/>
  <c r="BA400"/>
  <c r="AZ400"/>
  <c r="BM400" s="1"/>
  <c r="AY400"/>
  <c r="BK400" s="1"/>
  <c r="AX400"/>
  <c r="BW400" s="1"/>
  <c r="AW400"/>
  <c r="AV400"/>
  <c r="CG400" s="1"/>
  <c r="AU400"/>
  <c r="AT400"/>
  <c r="CE400" s="1"/>
  <c r="AS400"/>
  <c r="AR400"/>
  <c r="CC400" s="1"/>
  <c r="AQ400"/>
  <c r="AP400"/>
  <c r="CA400" s="1"/>
  <c r="AO400"/>
  <c r="AN400"/>
  <c r="BY400" s="1"/>
  <c r="AM400"/>
  <c r="AL400"/>
  <c r="AK400"/>
  <c r="AJ400"/>
  <c r="AI400"/>
  <c r="AH400"/>
  <c r="AG400"/>
  <c r="AF400"/>
  <c r="AE400"/>
  <c r="AD400"/>
  <c r="AC400"/>
  <c r="AB400"/>
  <c r="AA400"/>
  <c r="DE399"/>
  <c r="BJ399"/>
  <c r="BV399" s="1"/>
  <c r="BI399"/>
  <c r="BH399"/>
  <c r="BU399" s="1"/>
  <c r="BG399"/>
  <c r="BF399"/>
  <c r="BS399" s="1"/>
  <c r="BE399"/>
  <c r="BD399"/>
  <c r="BQ399" s="1"/>
  <c r="BC399"/>
  <c r="BB399"/>
  <c r="BO399" s="1"/>
  <c r="BA399"/>
  <c r="AZ399"/>
  <c r="BM399" s="1"/>
  <c r="AY399"/>
  <c r="BK399" s="1"/>
  <c r="AX399"/>
  <c r="BW399" s="1"/>
  <c r="AW399"/>
  <c r="AV399"/>
  <c r="CG399" s="1"/>
  <c r="AU399"/>
  <c r="AT399"/>
  <c r="CE399" s="1"/>
  <c r="AS399"/>
  <c r="AR399"/>
  <c r="CC399" s="1"/>
  <c r="AQ399"/>
  <c r="AP399"/>
  <c r="CA399" s="1"/>
  <c r="AO399"/>
  <c r="AN399"/>
  <c r="BY399" s="1"/>
  <c r="AM399"/>
  <c r="AL399"/>
  <c r="AK399"/>
  <c r="AJ399"/>
  <c r="AI399"/>
  <c r="AH399"/>
  <c r="AG399"/>
  <c r="AF399"/>
  <c r="AE399"/>
  <c r="AD399"/>
  <c r="AC399"/>
  <c r="AB399"/>
  <c r="AA399"/>
  <c r="DE398"/>
  <c r="BJ398"/>
  <c r="BV398" s="1"/>
  <c r="BI398"/>
  <c r="BH398"/>
  <c r="BU398" s="1"/>
  <c r="BG398"/>
  <c r="BF398"/>
  <c r="BS398" s="1"/>
  <c r="BE398"/>
  <c r="BD398"/>
  <c r="BQ398" s="1"/>
  <c r="BC398"/>
  <c r="BB398"/>
  <c r="BO398" s="1"/>
  <c r="BA398"/>
  <c r="AZ398"/>
  <c r="BM398" s="1"/>
  <c r="AY398"/>
  <c r="BK398" s="1"/>
  <c r="AX398"/>
  <c r="BW398" s="1"/>
  <c r="AW398"/>
  <c r="AV398"/>
  <c r="CG398" s="1"/>
  <c r="AU398"/>
  <c r="AT398"/>
  <c r="CE398" s="1"/>
  <c r="AS398"/>
  <c r="AR398"/>
  <c r="CC398" s="1"/>
  <c r="AQ398"/>
  <c r="AP398"/>
  <c r="CA398" s="1"/>
  <c r="AO398"/>
  <c r="AN398"/>
  <c r="BY398" s="1"/>
  <c r="AM398"/>
  <c r="AL398"/>
  <c r="AK398"/>
  <c r="AJ398"/>
  <c r="AI398"/>
  <c r="AH398"/>
  <c r="AG398"/>
  <c r="AF398"/>
  <c r="AE398"/>
  <c r="AD398"/>
  <c r="AC398"/>
  <c r="AB398"/>
  <c r="AA398"/>
  <c r="DE397"/>
  <c r="BJ397"/>
  <c r="BV397" s="1"/>
  <c r="BI397"/>
  <c r="BH397"/>
  <c r="BU397" s="1"/>
  <c r="BG397"/>
  <c r="BF397"/>
  <c r="BS397" s="1"/>
  <c r="BE397"/>
  <c r="BD397"/>
  <c r="BQ397" s="1"/>
  <c r="BC397"/>
  <c r="BB397"/>
  <c r="BO397" s="1"/>
  <c r="BA397"/>
  <c r="AZ397"/>
  <c r="BM397" s="1"/>
  <c r="AY397"/>
  <c r="BK397" s="1"/>
  <c r="AX397"/>
  <c r="BW397" s="1"/>
  <c r="AW397"/>
  <c r="AV397"/>
  <c r="CG397" s="1"/>
  <c r="AU397"/>
  <c r="AT397"/>
  <c r="CE397" s="1"/>
  <c r="AS397"/>
  <c r="AR397"/>
  <c r="CC397" s="1"/>
  <c r="AQ397"/>
  <c r="AP397"/>
  <c r="CA397" s="1"/>
  <c r="AO397"/>
  <c r="AN397"/>
  <c r="BY397" s="1"/>
  <c r="AM397"/>
  <c r="AL397"/>
  <c r="AK397"/>
  <c r="AJ397"/>
  <c r="AI397"/>
  <c r="AH397"/>
  <c r="AG397"/>
  <c r="AF397"/>
  <c r="AE397"/>
  <c r="AD397"/>
  <c r="AC397"/>
  <c r="AB397"/>
  <c r="AA397"/>
  <c r="DE396"/>
  <c r="BJ396"/>
  <c r="BV396" s="1"/>
  <c r="BI396"/>
  <c r="BH396"/>
  <c r="BU396" s="1"/>
  <c r="BG396"/>
  <c r="BF396"/>
  <c r="BS396" s="1"/>
  <c r="BE396"/>
  <c r="BD396"/>
  <c r="BQ396" s="1"/>
  <c r="BC396"/>
  <c r="BB396"/>
  <c r="BO396" s="1"/>
  <c r="BA396"/>
  <c r="AZ396"/>
  <c r="BM396" s="1"/>
  <c r="AY396"/>
  <c r="BK396" s="1"/>
  <c r="AX396"/>
  <c r="BW396" s="1"/>
  <c r="AW396"/>
  <c r="AV396"/>
  <c r="CG396" s="1"/>
  <c r="AU396"/>
  <c r="AT396"/>
  <c r="CE396" s="1"/>
  <c r="AS396"/>
  <c r="AR396"/>
  <c r="CC396" s="1"/>
  <c r="AQ396"/>
  <c r="AP396"/>
  <c r="CA396" s="1"/>
  <c r="AO396"/>
  <c r="AN396"/>
  <c r="BY396" s="1"/>
  <c r="AM396"/>
  <c r="AL396"/>
  <c r="AK396"/>
  <c r="AJ396"/>
  <c r="AI396"/>
  <c r="AH396"/>
  <c r="AG396"/>
  <c r="AF396"/>
  <c r="AE396"/>
  <c r="AD396"/>
  <c r="AC396"/>
  <c r="AB396"/>
  <c r="AA396"/>
  <c r="DE395"/>
  <c r="BJ395"/>
  <c r="BV395" s="1"/>
  <c r="BI395"/>
  <c r="BH395"/>
  <c r="BU395" s="1"/>
  <c r="BG395"/>
  <c r="BF395"/>
  <c r="BS395" s="1"/>
  <c r="BE395"/>
  <c r="BD395"/>
  <c r="BQ395" s="1"/>
  <c r="BC395"/>
  <c r="BB395"/>
  <c r="BO395" s="1"/>
  <c r="BA395"/>
  <c r="AZ395"/>
  <c r="BM395" s="1"/>
  <c r="AY395"/>
  <c r="BK395" s="1"/>
  <c r="AX395"/>
  <c r="BW395" s="1"/>
  <c r="AW395"/>
  <c r="AV395"/>
  <c r="CG395" s="1"/>
  <c r="AU395"/>
  <c r="AT395"/>
  <c r="CE395" s="1"/>
  <c r="AS395"/>
  <c r="AR395"/>
  <c r="CC395" s="1"/>
  <c r="AQ395"/>
  <c r="AP395"/>
  <c r="CA395" s="1"/>
  <c r="AO395"/>
  <c r="AN395"/>
  <c r="BY395" s="1"/>
  <c r="AM395"/>
  <c r="AL395"/>
  <c r="AK395"/>
  <c r="AJ395"/>
  <c r="AI395"/>
  <c r="AH395"/>
  <c r="AG395"/>
  <c r="AF395"/>
  <c r="AE395"/>
  <c r="AD395"/>
  <c r="AC395"/>
  <c r="AB395"/>
  <c r="AA395"/>
  <c r="DE394"/>
  <c r="BJ394"/>
  <c r="BV394" s="1"/>
  <c r="BI394"/>
  <c r="BH394"/>
  <c r="BU394" s="1"/>
  <c r="BG394"/>
  <c r="BF394"/>
  <c r="BS394" s="1"/>
  <c r="BE394"/>
  <c r="BD394"/>
  <c r="BQ394" s="1"/>
  <c r="BC394"/>
  <c r="BB394"/>
  <c r="BO394" s="1"/>
  <c r="BA394"/>
  <c r="AZ394"/>
  <c r="BM394" s="1"/>
  <c r="AY394"/>
  <c r="BK394" s="1"/>
  <c r="AX394"/>
  <c r="BW394" s="1"/>
  <c r="AW394"/>
  <c r="AV394"/>
  <c r="CG394" s="1"/>
  <c r="AU394"/>
  <c r="AT394"/>
  <c r="CE394" s="1"/>
  <c r="AS394"/>
  <c r="AR394"/>
  <c r="CC394" s="1"/>
  <c r="AQ394"/>
  <c r="AP394"/>
  <c r="CA394" s="1"/>
  <c r="AO394"/>
  <c r="AN394"/>
  <c r="BY394" s="1"/>
  <c r="AM394"/>
  <c r="AL394"/>
  <c r="AK394"/>
  <c r="AJ394"/>
  <c r="AI394"/>
  <c r="AH394"/>
  <c r="AG394"/>
  <c r="AF394"/>
  <c r="AE394"/>
  <c r="AD394"/>
  <c r="AC394"/>
  <c r="AB394"/>
  <c r="AA394"/>
  <c r="DE393"/>
  <c r="BJ393"/>
  <c r="BV393" s="1"/>
  <c r="BI393"/>
  <c r="BH393"/>
  <c r="BU393" s="1"/>
  <c r="BG393"/>
  <c r="BF393"/>
  <c r="BS393" s="1"/>
  <c r="BE393"/>
  <c r="BD393"/>
  <c r="BQ393" s="1"/>
  <c r="BC393"/>
  <c r="BB393"/>
  <c r="BO393" s="1"/>
  <c r="BA393"/>
  <c r="AZ393"/>
  <c r="BM393" s="1"/>
  <c r="AY393"/>
  <c r="BK393" s="1"/>
  <c r="AX393"/>
  <c r="BW393" s="1"/>
  <c r="AW393"/>
  <c r="AV393"/>
  <c r="CG393" s="1"/>
  <c r="AU393"/>
  <c r="AT393"/>
  <c r="CE393" s="1"/>
  <c r="AS393"/>
  <c r="AR393"/>
  <c r="CC393" s="1"/>
  <c r="AQ393"/>
  <c r="AP393"/>
  <c r="CA393" s="1"/>
  <c r="AO393"/>
  <c r="AN393"/>
  <c r="BY393" s="1"/>
  <c r="AM393"/>
  <c r="AL393"/>
  <c r="AK393"/>
  <c r="AJ393"/>
  <c r="AI393"/>
  <c r="AH393"/>
  <c r="AG393"/>
  <c r="AF393"/>
  <c r="AE393"/>
  <c r="AD393"/>
  <c r="AC393"/>
  <c r="AB393"/>
  <c r="AA393"/>
  <c r="DE392"/>
  <c r="BJ392"/>
  <c r="BV392" s="1"/>
  <c r="BI392"/>
  <c r="BH392"/>
  <c r="BU392" s="1"/>
  <c r="BG392"/>
  <c r="BF392"/>
  <c r="BS392" s="1"/>
  <c r="BE392"/>
  <c r="BD392"/>
  <c r="BQ392" s="1"/>
  <c r="BC392"/>
  <c r="BB392"/>
  <c r="BO392" s="1"/>
  <c r="BA392"/>
  <c r="AZ392"/>
  <c r="BM392" s="1"/>
  <c r="AY392"/>
  <c r="BK392" s="1"/>
  <c r="AX392"/>
  <c r="BW392" s="1"/>
  <c r="AW392"/>
  <c r="AV392"/>
  <c r="CG392" s="1"/>
  <c r="AU392"/>
  <c r="AT392"/>
  <c r="CE392" s="1"/>
  <c r="AS392"/>
  <c r="AR392"/>
  <c r="CC392" s="1"/>
  <c r="AQ392"/>
  <c r="AP392"/>
  <c r="CA392" s="1"/>
  <c r="AO392"/>
  <c r="AN392"/>
  <c r="BY392" s="1"/>
  <c r="AM392"/>
  <c r="AL392"/>
  <c r="AK392"/>
  <c r="AJ392"/>
  <c r="AI392"/>
  <c r="AH392"/>
  <c r="AG392"/>
  <c r="AF392"/>
  <c r="AE392"/>
  <c r="AD392"/>
  <c r="AC392"/>
  <c r="AB392"/>
  <c r="AA392"/>
  <c r="DE391"/>
  <c r="BJ391"/>
  <c r="BV391" s="1"/>
  <c r="BI391"/>
  <c r="BH391"/>
  <c r="BU391" s="1"/>
  <c r="BG391"/>
  <c r="BF391"/>
  <c r="BS391" s="1"/>
  <c r="BE391"/>
  <c r="BD391"/>
  <c r="BQ391" s="1"/>
  <c r="BC391"/>
  <c r="BB391"/>
  <c r="BO391" s="1"/>
  <c r="BA391"/>
  <c r="AZ391"/>
  <c r="BM391" s="1"/>
  <c r="AY391"/>
  <c r="BK391" s="1"/>
  <c r="AX391"/>
  <c r="BW391" s="1"/>
  <c r="AW391"/>
  <c r="AV391"/>
  <c r="CG391" s="1"/>
  <c r="AU391"/>
  <c r="AT391"/>
  <c r="CE391" s="1"/>
  <c r="AS391"/>
  <c r="AR391"/>
  <c r="CC391" s="1"/>
  <c r="AQ391"/>
  <c r="AP391"/>
  <c r="CA391" s="1"/>
  <c r="AO391"/>
  <c r="AN391"/>
  <c r="BY391" s="1"/>
  <c r="AM391"/>
  <c r="AL391"/>
  <c r="AK391"/>
  <c r="AJ391"/>
  <c r="AI391"/>
  <c r="AH391"/>
  <c r="AG391"/>
  <c r="AF391"/>
  <c r="AE391"/>
  <c r="AD391"/>
  <c r="AC391"/>
  <c r="AB391"/>
  <c r="AA391"/>
  <c r="DE390"/>
  <c r="BJ390"/>
  <c r="BV390" s="1"/>
  <c r="BI390"/>
  <c r="BH390"/>
  <c r="BU390" s="1"/>
  <c r="BG390"/>
  <c r="BF390"/>
  <c r="BS390" s="1"/>
  <c r="BE390"/>
  <c r="BD390"/>
  <c r="BQ390" s="1"/>
  <c r="BC390"/>
  <c r="BB390"/>
  <c r="BO390" s="1"/>
  <c r="BA390"/>
  <c r="AZ390"/>
  <c r="BM390" s="1"/>
  <c r="AY390"/>
  <c r="BK390" s="1"/>
  <c r="AX390"/>
  <c r="BW390" s="1"/>
  <c r="AW390"/>
  <c r="AV390"/>
  <c r="CG390" s="1"/>
  <c r="AU390"/>
  <c r="AT390"/>
  <c r="CE390" s="1"/>
  <c r="AS390"/>
  <c r="AR390"/>
  <c r="CC390" s="1"/>
  <c r="AQ390"/>
  <c r="AP390"/>
  <c r="CA390" s="1"/>
  <c r="AO390"/>
  <c r="AN390"/>
  <c r="BY390" s="1"/>
  <c r="AM390"/>
  <c r="AL390"/>
  <c r="AK390"/>
  <c r="AJ390"/>
  <c r="AI390"/>
  <c r="AH390"/>
  <c r="AG390"/>
  <c r="AF390"/>
  <c r="AE390"/>
  <c r="AD390"/>
  <c r="AC390"/>
  <c r="AB390"/>
  <c r="AA390"/>
  <c r="DE389"/>
  <c r="BJ389"/>
  <c r="BV389" s="1"/>
  <c r="BI389"/>
  <c r="BH389"/>
  <c r="BU389" s="1"/>
  <c r="BG389"/>
  <c r="BF389"/>
  <c r="BS389" s="1"/>
  <c r="BE389"/>
  <c r="BD389"/>
  <c r="BQ389" s="1"/>
  <c r="BC389"/>
  <c r="BB389"/>
  <c r="BO389" s="1"/>
  <c r="BA389"/>
  <c r="AZ389"/>
  <c r="BM389" s="1"/>
  <c r="AY389"/>
  <c r="BK389" s="1"/>
  <c r="AX389"/>
  <c r="BW389" s="1"/>
  <c r="AW389"/>
  <c r="AV389"/>
  <c r="CG389" s="1"/>
  <c r="AU389"/>
  <c r="AT389"/>
  <c r="CE389" s="1"/>
  <c r="AS389"/>
  <c r="AR389"/>
  <c r="CC389" s="1"/>
  <c r="AQ389"/>
  <c r="AP389"/>
  <c r="CA389" s="1"/>
  <c r="AO389"/>
  <c r="AN389"/>
  <c r="BY389" s="1"/>
  <c r="AM389"/>
  <c r="AL389"/>
  <c r="AK389"/>
  <c r="AJ389"/>
  <c r="AI389"/>
  <c r="AH389"/>
  <c r="AG389"/>
  <c r="AF389"/>
  <c r="AE389"/>
  <c r="AD389"/>
  <c r="AC389"/>
  <c r="AB389"/>
  <c r="AA389"/>
  <c r="DE388"/>
  <c r="BJ388"/>
  <c r="BV388" s="1"/>
  <c r="BI388"/>
  <c r="BH388"/>
  <c r="BU388" s="1"/>
  <c r="BG388"/>
  <c r="BF388"/>
  <c r="BS388" s="1"/>
  <c r="BE388"/>
  <c r="BD388"/>
  <c r="BQ388" s="1"/>
  <c r="BC388"/>
  <c r="BB388"/>
  <c r="BO388" s="1"/>
  <c r="BA388"/>
  <c r="AZ388"/>
  <c r="BM388" s="1"/>
  <c r="AY388"/>
  <c r="BK388" s="1"/>
  <c r="AX388"/>
  <c r="BW388" s="1"/>
  <c r="AW388"/>
  <c r="AV388"/>
  <c r="CG388" s="1"/>
  <c r="AU388"/>
  <c r="AT388"/>
  <c r="CE388" s="1"/>
  <c r="AS388"/>
  <c r="AR388"/>
  <c r="CC388" s="1"/>
  <c r="AQ388"/>
  <c r="AP388"/>
  <c r="CA388" s="1"/>
  <c r="AO388"/>
  <c r="AN388"/>
  <c r="BY388" s="1"/>
  <c r="AM388"/>
  <c r="AL388"/>
  <c r="AK388"/>
  <c r="AJ388"/>
  <c r="AI388"/>
  <c r="AH388"/>
  <c r="AG388"/>
  <c r="AF388"/>
  <c r="AE388"/>
  <c r="AD388"/>
  <c r="AC388"/>
  <c r="AB388"/>
  <c r="AA388"/>
  <c r="DE387"/>
  <c r="BJ387"/>
  <c r="BV387" s="1"/>
  <c r="BI387"/>
  <c r="BH387"/>
  <c r="BU387" s="1"/>
  <c r="BG387"/>
  <c r="BF387"/>
  <c r="BS387" s="1"/>
  <c r="BE387"/>
  <c r="BD387"/>
  <c r="BQ387" s="1"/>
  <c r="BC387"/>
  <c r="BB387"/>
  <c r="BO387" s="1"/>
  <c r="BA387"/>
  <c r="AZ387"/>
  <c r="BM387" s="1"/>
  <c r="AY387"/>
  <c r="BK387" s="1"/>
  <c r="AX387"/>
  <c r="BW387" s="1"/>
  <c r="AW387"/>
  <c r="AV387"/>
  <c r="CG387" s="1"/>
  <c r="AU387"/>
  <c r="AT387"/>
  <c r="CE387" s="1"/>
  <c r="AS387"/>
  <c r="AR387"/>
  <c r="CC387" s="1"/>
  <c r="AQ387"/>
  <c r="AP387"/>
  <c r="CA387" s="1"/>
  <c r="AO387"/>
  <c r="AN387"/>
  <c r="BY387" s="1"/>
  <c r="AM387"/>
  <c r="AL387"/>
  <c r="AK387"/>
  <c r="AJ387"/>
  <c r="AI387"/>
  <c r="AH387"/>
  <c r="AG387"/>
  <c r="AF387"/>
  <c r="AE387"/>
  <c r="AD387"/>
  <c r="AC387"/>
  <c r="AB387"/>
  <c r="AA387"/>
  <c r="DE386"/>
  <c r="BJ386"/>
  <c r="BV386" s="1"/>
  <c r="BI386"/>
  <c r="BH386"/>
  <c r="BU386" s="1"/>
  <c r="BG386"/>
  <c r="BF386"/>
  <c r="BS386" s="1"/>
  <c r="BE386"/>
  <c r="BD386"/>
  <c r="BQ386" s="1"/>
  <c r="BC386"/>
  <c r="BB386"/>
  <c r="BO386" s="1"/>
  <c r="BA386"/>
  <c r="AZ386"/>
  <c r="BM386" s="1"/>
  <c r="AY386"/>
  <c r="BK386" s="1"/>
  <c r="AX386"/>
  <c r="BW386" s="1"/>
  <c r="AW386"/>
  <c r="AV386"/>
  <c r="CG386" s="1"/>
  <c r="AU386"/>
  <c r="AT386"/>
  <c r="CE386" s="1"/>
  <c r="AS386"/>
  <c r="AR386"/>
  <c r="CC386" s="1"/>
  <c r="AQ386"/>
  <c r="AP386"/>
  <c r="CA386" s="1"/>
  <c r="AO386"/>
  <c r="AN386"/>
  <c r="BY386" s="1"/>
  <c r="AM386"/>
  <c r="AL386"/>
  <c r="AK386"/>
  <c r="AJ386"/>
  <c r="AI386"/>
  <c r="AH386"/>
  <c r="AG386"/>
  <c r="AF386"/>
  <c r="AE386"/>
  <c r="AD386"/>
  <c r="AC386"/>
  <c r="AB386"/>
  <c r="AA386"/>
  <c r="DE385"/>
  <c r="BJ385"/>
  <c r="BV385" s="1"/>
  <c r="BI385"/>
  <c r="BH385"/>
  <c r="BU385" s="1"/>
  <c r="BG385"/>
  <c r="BF385"/>
  <c r="BS385" s="1"/>
  <c r="BE385"/>
  <c r="BD385"/>
  <c r="BQ385" s="1"/>
  <c r="BC385"/>
  <c r="BB385"/>
  <c r="BO385" s="1"/>
  <c r="BA385"/>
  <c r="AZ385"/>
  <c r="BM385" s="1"/>
  <c r="AY385"/>
  <c r="BK385" s="1"/>
  <c r="AX385"/>
  <c r="BW385" s="1"/>
  <c r="AW385"/>
  <c r="AV385"/>
  <c r="CG385" s="1"/>
  <c r="AU385"/>
  <c r="AT385"/>
  <c r="CE385" s="1"/>
  <c r="AS385"/>
  <c r="AR385"/>
  <c r="CC385" s="1"/>
  <c r="AQ385"/>
  <c r="AP385"/>
  <c r="CA385" s="1"/>
  <c r="AO385"/>
  <c r="AN385"/>
  <c r="BY385" s="1"/>
  <c r="AM385"/>
  <c r="AL385"/>
  <c r="AK385"/>
  <c r="AJ385"/>
  <c r="AI385"/>
  <c r="AH385"/>
  <c r="AG385"/>
  <c r="AF385"/>
  <c r="AE385"/>
  <c r="AD385"/>
  <c r="AC385"/>
  <c r="AB385"/>
  <c r="AA385"/>
  <c r="DE384"/>
  <c r="BJ384"/>
  <c r="BV384" s="1"/>
  <c r="BI384"/>
  <c r="BH384"/>
  <c r="BU384" s="1"/>
  <c r="BG384"/>
  <c r="BF384"/>
  <c r="BS384" s="1"/>
  <c r="BE384"/>
  <c r="BD384"/>
  <c r="BQ384" s="1"/>
  <c r="BC384"/>
  <c r="BB384"/>
  <c r="BO384" s="1"/>
  <c r="BA384"/>
  <c r="AZ384"/>
  <c r="BM384" s="1"/>
  <c r="AY384"/>
  <c r="BK384" s="1"/>
  <c r="AX384"/>
  <c r="BW384" s="1"/>
  <c r="AW384"/>
  <c r="AV384"/>
  <c r="CG384" s="1"/>
  <c r="AU384"/>
  <c r="AT384"/>
  <c r="CE384" s="1"/>
  <c r="AS384"/>
  <c r="AR384"/>
  <c r="CC384" s="1"/>
  <c r="AQ384"/>
  <c r="AP384"/>
  <c r="CA384" s="1"/>
  <c r="AO384"/>
  <c r="AN384"/>
  <c r="BY384" s="1"/>
  <c r="AM384"/>
  <c r="AL384"/>
  <c r="AK384"/>
  <c r="AJ384"/>
  <c r="AI384"/>
  <c r="AH384"/>
  <c r="AG384"/>
  <c r="AF384"/>
  <c r="AE384"/>
  <c r="AD384"/>
  <c r="AC384"/>
  <c r="AB384"/>
  <c r="AA384"/>
  <c r="DE383"/>
  <c r="BJ383"/>
  <c r="BV383" s="1"/>
  <c r="BI383"/>
  <c r="BH383"/>
  <c r="BU383" s="1"/>
  <c r="BG383"/>
  <c r="BF383"/>
  <c r="BS383" s="1"/>
  <c r="BE383"/>
  <c r="BD383"/>
  <c r="BQ383" s="1"/>
  <c r="BC383"/>
  <c r="BB383"/>
  <c r="BO383" s="1"/>
  <c r="BA383"/>
  <c r="AZ383"/>
  <c r="BM383" s="1"/>
  <c r="AY383"/>
  <c r="BK383" s="1"/>
  <c r="AX383"/>
  <c r="BW383" s="1"/>
  <c r="AW383"/>
  <c r="AV383"/>
  <c r="CG383" s="1"/>
  <c r="AU383"/>
  <c r="AT383"/>
  <c r="CE383" s="1"/>
  <c r="AS383"/>
  <c r="AR383"/>
  <c r="CC383" s="1"/>
  <c r="AQ383"/>
  <c r="AP383"/>
  <c r="CA383" s="1"/>
  <c r="AO383"/>
  <c r="AN383"/>
  <c r="BY383" s="1"/>
  <c r="AM383"/>
  <c r="AL383"/>
  <c r="AK383"/>
  <c r="AJ383"/>
  <c r="AI383"/>
  <c r="AH383"/>
  <c r="AG383"/>
  <c r="AF383"/>
  <c r="AE383"/>
  <c r="AD383"/>
  <c r="AC383"/>
  <c r="AB383"/>
  <c r="AA383"/>
  <c r="DE382"/>
  <c r="BJ382"/>
  <c r="BV382" s="1"/>
  <c r="BI382"/>
  <c r="BH382"/>
  <c r="BU382" s="1"/>
  <c r="BG382"/>
  <c r="BF382"/>
  <c r="BS382" s="1"/>
  <c r="BE382"/>
  <c r="BD382"/>
  <c r="BQ382" s="1"/>
  <c r="BC382"/>
  <c r="BB382"/>
  <c r="BO382" s="1"/>
  <c r="BA382"/>
  <c r="AZ382"/>
  <c r="BM382" s="1"/>
  <c r="AY382"/>
  <c r="BK382" s="1"/>
  <c r="AX382"/>
  <c r="BW382" s="1"/>
  <c r="AW382"/>
  <c r="AV382"/>
  <c r="CG382" s="1"/>
  <c r="AU382"/>
  <c r="AT382"/>
  <c r="CE382" s="1"/>
  <c r="AS382"/>
  <c r="AR382"/>
  <c r="CC382" s="1"/>
  <c r="AQ382"/>
  <c r="AP382"/>
  <c r="CA382" s="1"/>
  <c r="AO382"/>
  <c r="AN382"/>
  <c r="BY382" s="1"/>
  <c r="AM382"/>
  <c r="AL382"/>
  <c r="AK382"/>
  <c r="AJ382"/>
  <c r="AI382"/>
  <c r="AH382"/>
  <c r="AG382"/>
  <c r="AF382"/>
  <c r="AE382"/>
  <c r="AD382"/>
  <c r="AC382"/>
  <c r="AB382"/>
  <c r="AA382"/>
  <c r="DE381"/>
  <c r="BJ381"/>
  <c r="BI381"/>
  <c r="BV381" s="1"/>
  <c r="BH381"/>
  <c r="BG381"/>
  <c r="BT381" s="1"/>
  <c r="BF381"/>
  <c r="BE381"/>
  <c r="BR381" s="1"/>
  <c r="BD381"/>
  <c r="BC381"/>
  <c r="BP381" s="1"/>
  <c r="BB381"/>
  <c r="BA381"/>
  <c r="BN381" s="1"/>
  <c r="AZ381"/>
  <c r="AY381"/>
  <c r="BL381" s="1"/>
  <c r="AX381"/>
  <c r="AW381"/>
  <c r="CH381" s="1"/>
  <c r="AV381"/>
  <c r="AU381"/>
  <c r="CF381" s="1"/>
  <c r="AT381"/>
  <c r="AS381"/>
  <c r="CD381" s="1"/>
  <c r="AR381"/>
  <c r="AQ381"/>
  <c r="CB381" s="1"/>
  <c r="AP381"/>
  <c r="AO381"/>
  <c r="BZ381" s="1"/>
  <c r="AN381"/>
  <c r="AM381"/>
  <c r="BX381" s="1"/>
  <c r="AL381"/>
  <c r="AK381"/>
  <c r="AJ381"/>
  <c r="AI381"/>
  <c r="AH381"/>
  <c r="AG381"/>
  <c r="AF381"/>
  <c r="AE381"/>
  <c r="AD381"/>
  <c r="AC381"/>
  <c r="AB381"/>
  <c r="AA381"/>
  <c r="DE380"/>
  <c r="BJ380"/>
  <c r="BI380"/>
  <c r="BV380" s="1"/>
  <c r="BH380"/>
  <c r="BG380"/>
  <c r="BT380" s="1"/>
  <c r="BF380"/>
  <c r="BE380"/>
  <c r="BR380" s="1"/>
  <c r="BD380"/>
  <c r="BC380"/>
  <c r="BP380" s="1"/>
  <c r="BB380"/>
  <c r="BA380"/>
  <c r="BN380" s="1"/>
  <c r="AZ380"/>
  <c r="AY380"/>
  <c r="BL380" s="1"/>
  <c r="AX380"/>
  <c r="AW380"/>
  <c r="CH380" s="1"/>
  <c r="AV380"/>
  <c r="AU380"/>
  <c r="CF380" s="1"/>
  <c r="AT380"/>
  <c r="AS380"/>
  <c r="CD380" s="1"/>
  <c r="AR380"/>
  <c r="AQ380"/>
  <c r="CB380" s="1"/>
  <c r="AP380"/>
  <c r="AO380"/>
  <c r="BZ380" s="1"/>
  <c r="AN380"/>
  <c r="AM380"/>
  <c r="BX380" s="1"/>
  <c r="AL380"/>
  <c r="AK380"/>
  <c r="AJ380"/>
  <c r="AI380"/>
  <c r="AH380"/>
  <c r="AG380"/>
  <c r="AF380"/>
  <c r="AE380"/>
  <c r="AD380"/>
  <c r="AC380"/>
  <c r="AB380"/>
  <c r="AA380"/>
  <c r="DE379"/>
  <c r="BJ379"/>
  <c r="BI379"/>
  <c r="BV379" s="1"/>
  <c r="BH379"/>
  <c r="BG379"/>
  <c r="BT379" s="1"/>
  <c r="BF379"/>
  <c r="BE379"/>
  <c r="BR379" s="1"/>
  <c r="BD379"/>
  <c r="BC379"/>
  <c r="BP379" s="1"/>
  <c r="BB379"/>
  <c r="BA379"/>
  <c r="BN379" s="1"/>
  <c r="AZ379"/>
  <c r="AY379"/>
  <c r="BL379" s="1"/>
  <c r="AX379"/>
  <c r="AW379"/>
  <c r="CH379" s="1"/>
  <c r="AV379"/>
  <c r="AU379"/>
  <c r="CF379" s="1"/>
  <c r="AT379"/>
  <c r="AS379"/>
  <c r="CD379" s="1"/>
  <c r="AR379"/>
  <c r="AQ379"/>
  <c r="CB379" s="1"/>
  <c r="AP379"/>
  <c r="AO379"/>
  <c r="BZ379" s="1"/>
  <c r="AN379"/>
  <c r="AM379"/>
  <c r="BX379" s="1"/>
  <c r="AL379"/>
  <c r="AK379"/>
  <c r="AJ379"/>
  <c r="AI379"/>
  <c r="AH379"/>
  <c r="AG379"/>
  <c r="AF379"/>
  <c r="AE379"/>
  <c r="AD379"/>
  <c r="AC379"/>
  <c r="AB379"/>
  <c r="AA379"/>
  <c r="DE378"/>
  <c r="BJ378"/>
  <c r="BI378"/>
  <c r="BV378" s="1"/>
  <c r="BH378"/>
  <c r="BG378"/>
  <c r="BT378" s="1"/>
  <c r="BF378"/>
  <c r="BE378"/>
  <c r="BR378" s="1"/>
  <c r="BD378"/>
  <c r="BC378"/>
  <c r="BP378" s="1"/>
  <c r="BB378"/>
  <c r="BA378"/>
  <c r="BN378" s="1"/>
  <c r="AZ378"/>
  <c r="AY378"/>
  <c r="BL378" s="1"/>
  <c r="AX378"/>
  <c r="AW378"/>
  <c r="CH378" s="1"/>
  <c r="AV378"/>
  <c r="AU378"/>
  <c r="CF378" s="1"/>
  <c r="AT378"/>
  <c r="AS378"/>
  <c r="CD378" s="1"/>
  <c r="AR378"/>
  <c r="AQ378"/>
  <c r="CB378" s="1"/>
  <c r="AP378"/>
  <c r="AO378"/>
  <c r="BZ378" s="1"/>
  <c r="AN378"/>
  <c r="AM378"/>
  <c r="BX378" s="1"/>
  <c r="AL378"/>
  <c r="AK378"/>
  <c r="AJ378"/>
  <c r="AI378"/>
  <c r="AH378"/>
  <c r="AG378"/>
  <c r="AF378"/>
  <c r="AE378"/>
  <c r="AD378"/>
  <c r="AC378"/>
  <c r="AB378"/>
  <c r="AA378"/>
  <c r="DE377"/>
  <c r="BJ377"/>
  <c r="BI377"/>
  <c r="BV377" s="1"/>
  <c r="BH377"/>
  <c r="BG377"/>
  <c r="BT377" s="1"/>
  <c r="BF377"/>
  <c r="BE377"/>
  <c r="BR377" s="1"/>
  <c r="BD377"/>
  <c r="BC377"/>
  <c r="BP377" s="1"/>
  <c r="BB377"/>
  <c r="BA377"/>
  <c r="BN377" s="1"/>
  <c r="AZ377"/>
  <c r="AY377"/>
  <c r="BL377" s="1"/>
  <c r="AX377"/>
  <c r="AW377"/>
  <c r="CH377" s="1"/>
  <c r="AV377"/>
  <c r="AU377"/>
  <c r="CF377" s="1"/>
  <c r="AT377"/>
  <c r="AS377"/>
  <c r="CD377" s="1"/>
  <c r="AR377"/>
  <c r="AQ377"/>
  <c r="CB377" s="1"/>
  <c r="AP377"/>
  <c r="AO377"/>
  <c r="BZ377" s="1"/>
  <c r="AN377"/>
  <c r="AM377"/>
  <c r="BX377" s="1"/>
  <c r="AL377"/>
  <c r="AK377"/>
  <c r="AJ377"/>
  <c r="AI377"/>
  <c r="AH377"/>
  <c r="AG377"/>
  <c r="AF377"/>
  <c r="AE377"/>
  <c r="AD377"/>
  <c r="AC377"/>
  <c r="AB377"/>
  <c r="AA377"/>
  <c r="DE376"/>
  <c r="BJ376"/>
  <c r="BI376"/>
  <c r="BV376" s="1"/>
  <c r="BH376"/>
  <c r="BG376"/>
  <c r="BT376" s="1"/>
  <c r="BF376"/>
  <c r="BE376"/>
  <c r="BR376" s="1"/>
  <c r="BD376"/>
  <c r="BC376"/>
  <c r="BP376" s="1"/>
  <c r="BB376"/>
  <c r="BA376"/>
  <c r="BN376" s="1"/>
  <c r="AZ376"/>
  <c r="AY376"/>
  <c r="BL376" s="1"/>
  <c r="AX376"/>
  <c r="AW376"/>
  <c r="CH376" s="1"/>
  <c r="AV376"/>
  <c r="AU376"/>
  <c r="CF376" s="1"/>
  <c r="AT376"/>
  <c r="AS376"/>
  <c r="CD376" s="1"/>
  <c r="AR376"/>
  <c r="AQ376"/>
  <c r="CB376" s="1"/>
  <c r="AP376"/>
  <c r="AO376"/>
  <c r="BZ376" s="1"/>
  <c r="AN376"/>
  <c r="AM376"/>
  <c r="BX376" s="1"/>
  <c r="AL376"/>
  <c r="AK376"/>
  <c r="AJ376"/>
  <c r="AI376"/>
  <c r="AH376"/>
  <c r="AG376"/>
  <c r="AF376"/>
  <c r="AE376"/>
  <c r="AD376"/>
  <c r="AC376"/>
  <c r="AB376"/>
  <c r="AA376"/>
  <c r="DE375"/>
  <c r="BJ375"/>
  <c r="BI375"/>
  <c r="BV375" s="1"/>
  <c r="BH375"/>
  <c r="BG375"/>
  <c r="BT375" s="1"/>
  <c r="BF375"/>
  <c r="BE375"/>
  <c r="BR375" s="1"/>
  <c r="BD375"/>
  <c r="BC375"/>
  <c r="BP375" s="1"/>
  <c r="BB375"/>
  <c r="BA375"/>
  <c r="BN375" s="1"/>
  <c r="AZ375"/>
  <c r="AY375"/>
  <c r="BL375" s="1"/>
  <c r="AX375"/>
  <c r="AW375"/>
  <c r="CH375" s="1"/>
  <c r="AV375"/>
  <c r="AU375"/>
  <c r="CF375" s="1"/>
  <c r="AT375"/>
  <c r="AS375"/>
  <c r="CD375" s="1"/>
  <c r="AR375"/>
  <c r="AQ375"/>
  <c r="CB375" s="1"/>
  <c r="AP375"/>
  <c r="AO375"/>
  <c r="BZ375" s="1"/>
  <c r="AN375"/>
  <c r="AM375"/>
  <c r="BX375" s="1"/>
  <c r="AL375"/>
  <c r="AK375"/>
  <c r="AJ375"/>
  <c r="AI375"/>
  <c r="AH375"/>
  <c r="AG375"/>
  <c r="AF375"/>
  <c r="AE375"/>
  <c r="AD375"/>
  <c r="AC375"/>
  <c r="AB375"/>
  <c r="AA375"/>
  <c r="DE374"/>
  <c r="BJ374"/>
  <c r="BI374"/>
  <c r="BV374" s="1"/>
  <c r="BH374"/>
  <c r="BG374"/>
  <c r="BT374" s="1"/>
  <c r="BF374"/>
  <c r="BE374"/>
  <c r="BR374" s="1"/>
  <c r="BD374"/>
  <c r="BC374"/>
  <c r="BP374" s="1"/>
  <c r="BB374"/>
  <c r="BA374"/>
  <c r="BN374" s="1"/>
  <c r="AZ374"/>
  <c r="AY374"/>
  <c r="BL374" s="1"/>
  <c r="AX374"/>
  <c r="AW374"/>
  <c r="CH374" s="1"/>
  <c r="AV374"/>
  <c r="AU374"/>
  <c r="CF374" s="1"/>
  <c r="AT374"/>
  <c r="AS374"/>
  <c r="CD374" s="1"/>
  <c r="AR374"/>
  <c r="AQ374"/>
  <c r="CB374" s="1"/>
  <c r="AP374"/>
  <c r="AO374"/>
  <c r="BZ374" s="1"/>
  <c r="AN374"/>
  <c r="AM374"/>
  <c r="BX374" s="1"/>
  <c r="AL374"/>
  <c r="AK374"/>
  <c r="AJ374"/>
  <c r="AI374"/>
  <c r="AH374"/>
  <c r="AG374"/>
  <c r="AF374"/>
  <c r="AE374"/>
  <c r="AD374"/>
  <c r="AC374"/>
  <c r="AB374"/>
  <c r="AA374"/>
  <c r="DE373"/>
  <c r="BJ373"/>
  <c r="BI373"/>
  <c r="BV373" s="1"/>
  <c r="BH373"/>
  <c r="BG373"/>
  <c r="BT373" s="1"/>
  <c r="BF373"/>
  <c r="BE373"/>
  <c r="BR373" s="1"/>
  <c r="BD373"/>
  <c r="BC373"/>
  <c r="BP373" s="1"/>
  <c r="BB373"/>
  <c r="BA373"/>
  <c r="BN373" s="1"/>
  <c r="AZ373"/>
  <c r="AY373"/>
  <c r="BL373" s="1"/>
  <c r="AX373"/>
  <c r="AW373"/>
  <c r="CH373" s="1"/>
  <c r="AV373"/>
  <c r="AU373"/>
  <c r="CF373" s="1"/>
  <c r="AT373"/>
  <c r="AS373"/>
  <c r="CD373" s="1"/>
  <c r="AR373"/>
  <c r="AQ373"/>
  <c r="CB373" s="1"/>
  <c r="AP373"/>
  <c r="AO373"/>
  <c r="BZ373" s="1"/>
  <c r="AN373"/>
  <c r="AM373"/>
  <c r="BX373" s="1"/>
  <c r="AL373"/>
  <c r="AK373"/>
  <c r="AJ373"/>
  <c r="AI373"/>
  <c r="AH373"/>
  <c r="AG373"/>
  <c r="AF373"/>
  <c r="AE373"/>
  <c r="AD373"/>
  <c r="AC373"/>
  <c r="AB373"/>
  <c r="AA373"/>
  <c r="DE372"/>
  <c r="BJ372"/>
  <c r="BI372"/>
  <c r="BV372" s="1"/>
  <c r="BH372"/>
  <c r="BG372"/>
  <c r="BT372" s="1"/>
  <c r="BF372"/>
  <c r="BE372"/>
  <c r="BR372" s="1"/>
  <c r="BD372"/>
  <c r="BC372"/>
  <c r="BP372" s="1"/>
  <c r="BB372"/>
  <c r="BA372"/>
  <c r="BN372" s="1"/>
  <c r="AZ372"/>
  <c r="AY372"/>
  <c r="BL372" s="1"/>
  <c r="AX372"/>
  <c r="AW372"/>
  <c r="CH372" s="1"/>
  <c r="AV372"/>
  <c r="AU372"/>
  <c r="CF372" s="1"/>
  <c r="AT372"/>
  <c r="AS372"/>
  <c r="CD372" s="1"/>
  <c r="AR372"/>
  <c r="AQ372"/>
  <c r="CB372" s="1"/>
  <c r="AP372"/>
  <c r="AO372"/>
  <c r="BZ372" s="1"/>
  <c r="AN372"/>
  <c r="AM372"/>
  <c r="BX372" s="1"/>
  <c r="AL372"/>
  <c r="AK372"/>
  <c r="AJ372"/>
  <c r="AI372"/>
  <c r="AH372"/>
  <c r="AG372"/>
  <c r="AF372"/>
  <c r="AE372"/>
  <c r="AD372"/>
  <c r="AC372"/>
  <c r="AB372"/>
  <c r="AA372"/>
  <c r="DE371"/>
  <c r="BJ371"/>
  <c r="BI371"/>
  <c r="BV371" s="1"/>
  <c r="BH371"/>
  <c r="BG371"/>
  <c r="BT371" s="1"/>
  <c r="BF371"/>
  <c r="BE371"/>
  <c r="BR371" s="1"/>
  <c r="BD371"/>
  <c r="BC371"/>
  <c r="BP371" s="1"/>
  <c r="BB371"/>
  <c r="BA371"/>
  <c r="BN371" s="1"/>
  <c r="AZ371"/>
  <c r="AY371"/>
  <c r="BL371" s="1"/>
  <c r="AX371"/>
  <c r="AW371"/>
  <c r="CH371" s="1"/>
  <c r="AV371"/>
  <c r="AU371"/>
  <c r="CF371" s="1"/>
  <c r="AT371"/>
  <c r="AS371"/>
  <c r="CD371" s="1"/>
  <c r="AR371"/>
  <c r="AQ371"/>
  <c r="CB371" s="1"/>
  <c r="AP371"/>
  <c r="AO371"/>
  <c r="BZ371" s="1"/>
  <c r="AN371"/>
  <c r="AM371"/>
  <c r="BX371" s="1"/>
  <c r="AL371"/>
  <c r="AK371"/>
  <c r="AJ371"/>
  <c r="AI371"/>
  <c r="AH371"/>
  <c r="AG371"/>
  <c r="AF371"/>
  <c r="AE371"/>
  <c r="AD371"/>
  <c r="AC371"/>
  <c r="AB371"/>
  <c r="AA371"/>
  <c r="DE370"/>
  <c r="BJ370"/>
  <c r="BI370"/>
  <c r="BV370" s="1"/>
  <c r="BH370"/>
  <c r="BG370"/>
  <c r="BT370" s="1"/>
  <c r="BF370"/>
  <c r="BE370"/>
  <c r="BR370" s="1"/>
  <c r="BD370"/>
  <c r="BC370"/>
  <c r="BP370" s="1"/>
  <c r="BB370"/>
  <c r="BA370"/>
  <c r="BN370" s="1"/>
  <c r="AZ370"/>
  <c r="AY370"/>
  <c r="BL370" s="1"/>
  <c r="AX370"/>
  <c r="AW370"/>
  <c r="CH370" s="1"/>
  <c r="AV370"/>
  <c r="AU370"/>
  <c r="CF370" s="1"/>
  <c r="AT370"/>
  <c r="AS370"/>
  <c r="CD370" s="1"/>
  <c r="AR370"/>
  <c r="AQ370"/>
  <c r="CB370" s="1"/>
  <c r="AP370"/>
  <c r="AO370"/>
  <c r="BZ370" s="1"/>
  <c r="AN370"/>
  <c r="AM370"/>
  <c r="BX370" s="1"/>
  <c r="AL370"/>
  <c r="AK370"/>
  <c r="AJ370"/>
  <c r="AI370"/>
  <c r="AH370"/>
  <c r="AG370"/>
  <c r="AF370"/>
  <c r="AE370"/>
  <c r="AD370"/>
  <c r="AC370"/>
  <c r="AB370"/>
  <c r="AA370"/>
  <c r="DE369"/>
  <c r="BJ369"/>
  <c r="BI369"/>
  <c r="BV369" s="1"/>
  <c r="BH369"/>
  <c r="BG369"/>
  <c r="BT369" s="1"/>
  <c r="BF369"/>
  <c r="BE369"/>
  <c r="BR369" s="1"/>
  <c r="BD369"/>
  <c r="BC369"/>
  <c r="BP369" s="1"/>
  <c r="BB369"/>
  <c r="BA369"/>
  <c r="BN369" s="1"/>
  <c r="AZ369"/>
  <c r="AY369"/>
  <c r="BL369" s="1"/>
  <c r="AX369"/>
  <c r="AW369"/>
  <c r="CH369" s="1"/>
  <c r="AV369"/>
  <c r="AU369"/>
  <c r="CF369" s="1"/>
  <c r="AT369"/>
  <c r="AS369"/>
  <c r="CD369" s="1"/>
  <c r="AR369"/>
  <c r="AQ369"/>
  <c r="CB369" s="1"/>
  <c r="AP369"/>
  <c r="AO369"/>
  <c r="BZ369" s="1"/>
  <c r="AN369"/>
  <c r="AM369"/>
  <c r="BX369" s="1"/>
  <c r="AL369"/>
  <c r="AK369"/>
  <c r="AJ369"/>
  <c r="AI369"/>
  <c r="AH369"/>
  <c r="AG369"/>
  <c r="AF369"/>
  <c r="AE369"/>
  <c r="AD369"/>
  <c r="AC369"/>
  <c r="AB369"/>
  <c r="AA369"/>
  <c r="DE368"/>
  <c r="BJ368"/>
  <c r="BI368"/>
  <c r="BV368" s="1"/>
  <c r="BH368"/>
  <c r="BG368"/>
  <c r="BT368" s="1"/>
  <c r="BF368"/>
  <c r="BE368"/>
  <c r="BR368" s="1"/>
  <c r="BD368"/>
  <c r="BC368"/>
  <c r="BP368" s="1"/>
  <c r="BB368"/>
  <c r="BA368"/>
  <c r="BN368" s="1"/>
  <c r="AZ368"/>
  <c r="AY368"/>
  <c r="BL368" s="1"/>
  <c r="AX368"/>
  <c r="AW368"/>
  <c r="CH368" s="1"/>
  <c r="AV368"/>
  <c r="AU368"/>
  <c r="CF368" s="1"/>
  <c r="AT368"/>
  <c r="AS368"/>
  <c r="CD368" s="1"/>
  <c r="AR368"/>
  <c r="AQ368"/>
  <c r="CB368" s="1"/>
  <c r="AP368"/>
  <c r="AO368"/>
  <c r="BZ368" s="1"/>
  <c r="AN368"/>
  <c r="AM368"/>
  <c r="BX368" s="1"/>
  <c r="AL368"/>
  <c r="AK368"/>
  <c r="AJ368"/>
  <c r="AI368"/>
  <c r="AH368"/>
  <c r="AG368"/>
  <c r="AF368"/>
  <c r="AE368"/>
  <c r="AD368"/>
  <c r="AC368"/>
  <c r="AB368"/>
  <c r="AA368"/>
  <c r="DE367"/>
  <c r="BJ367"/>
  <c r="BI367"/>
  <c r="BV367" s="1"/>
  <c r="BH367"/>
  <c r="BG367"/>
  <c r="BT367" s="1"/>
  <c r="BF367"/>
  <c r="BE367"/>
  <c r="BR367" s="1"/>
  <c r="BD367"/>
  <c r="BC367"/>
  <c r="BP367" s="1"/>
  <c r="BB367"/>
  <c r="BA367"/>
  <c r="BN367" s="1"/>
  <c r="AZ367"/>
  <c r="AY367"/>
  <c r="BL367" s="1"/>
  <c r="AX367"/>
  <c r="AW367"/>
  <c r="CH367" s="1"/>
  <c r="AV367"/>
  <c r="AU367"/>
  <c r="CF367" s="1"/>
  <c r="AT367"/>
  <c r="AS367"/>
  <c r="CD367" s="1"/>
  <c r="AR367"/>
  <c r="AQ367"/>
  <c r="CB367" s="1"/>
  <c r="AP367"/>
  <c r="AO367"/>
  <c r="BZ367" s="1"/>
  <c r="AN367"/>
  <c r="AM367"/>
  <c r="BX367" s="1"/>
  <c r="AL367"/>
  <c r="AK367"/>
  <c r="AJ367"/>
  <c r="AI367"/>
  <c r="AH367"/>
  <c r="AG367"/>
  <c r="AF367"/>
  <c r="AE367"/>
  <c r="AD367"/>
  <c r="AC367"/>
  <c r="AB367"/>
  <c r="AA367"/>
  <c r="DE366"/>
  <c r="BJ366"/>
  <c r="BI366"/>
  <c r="BV366" s="1"/>
  <c r="BH366"/>
  <c r="BG366"/>
  <c r="BT366" s="1"/>
  <c r="BF366"/>
  <c r="BE366"/>
  <c r="BR366" s="1"/>
  <c r="BD366"/>
  <c r="BC366"/>
  <c r="BP366" s="1"/>
  <c r="BB366"/>
  <c r="BA366"/>
  <c r="BN366" s="1"/>
  <c r="AZ366"/>
  <c r="AY366"/>
  <c r="BL366" s="1"/>
  <c r="AX366"/>
  <c r="AW366"/>
  <c r="CH366" s="1"/>
  <c r="AV366"/>
  <c r="AU366"/>
  <c r="CF366" s="1"/>
  <c r="AT366"/>
  <c r="AS366"/>
  <c r="CD366" s="1"/>
  <c r="AR366"/>
  <c r="AQ366"/>
  <c r="CB366" s="1"/>
  <c r="AP366"/>
  <c r="AO366"/>
  <c r="BZ366" s="1"/>
  <c r="AN366"/>
  <c r="AM366"/>
  <c r="BX366" s="1"/>
  <c r="AL366"/>
  <c r="AK366"/>
  <c r="AJ366"/>
  <c r="AI366"/>
  <c r="AH366"/>
  <c r="AG366"/>
  <c r="AF366"/>
  <c r="AE366"/>
  <c r="AD366"/>
  <c r="AC366"/>
  <c r="AB366"/>
  <c r="AA366"/>
  <c r="DE365"/>
  <c r="BJ365"/>
  <c r="BI365"/>
  <c r="BV365" s="1"/>
  <c r="BH365"/>
  <c r="BG365"/>
  <c r="BT365" s="1"/>
  <c r="BF365"/>
  <c r="BE365"/>
  <c r="BR365" s="1"/>
  <c r="BD365"/>
  <c r="BC365"/>
  <c r="BP365" s="1"/>
  <c r="BB365"/>
  <c r="BA365"/>
  <c r="BN365" s="1"/>
  <c r="AZ365"/>
  <c r="AY365"/>
  <c r="BL365" s="1"/>
  <c r="AX365"/>
  <c r="AW365"/>
  <c r="CH365" s="1"/>
  <c r="AV365"/>
  <c r="AU365"/>
  <c r="CF365" s="1"/>
  <c r="AT365"/>
  <c r="AS365"/>
  <c r="CD365" s="1"/>
  <c r="AR365"/>
  <c r="AQ365"/>
  <c r="CB365" s="1"/>
  <c r="AP365"/>
  <c r="AO365"/>
  <c r="BZ365" s="1"/>
  <c r="AN365"/>
  <c r="AM365"/>
  <c r="BX365" s="1"/>
  <c r="AL365"/>
  <c r="AK365"/>
  <c r="AJ365"/>
  <c r="AI365"/>
  <c r="AH365"/>
  <c r="AG365"/>
  <c r="AF365"/>
  <c r="AE365"/>
  <c r="AD365"/>
  <c r="AC365"/>
  <c r="AB365"/>
  <c r="AA365"/>
  <c r="DE364"/>
  <c r="BJ364"/>
  <c r="BI364"/>
  <c r="BV364" s="1"/>
  <c r="BH364"/>
  <c r="BG364"/>
  <c r="BT364" s="1"/>
  <c r="BF364"/>
  <c r="BE364"/>
  <c r="BR364" s="1"/>
  <c r="BD364"/>
  <c r="BC364"/>
  <c r="BP364" s="1"/>
  <c r="BB364"/>
  <c r="BA364"/>
  <c r="BN364" s="1"/>
  <c r="AZ364"/>
  <c r="AY364"/>
  <c r="BL364" s="1"/>
  <c r="AX364"/>
  <c r="AW364"/>
  <c r="CH364" s="1"/>
  <c r="AV364"/>
  <c r="AU364"/>
  <c r="CF364" s="1"/>
  <c r="AT364"/>
  <c r="AS364"/>
  <c r="CD364" s="1"/>
  <c r="AR364"/>
  <c r="AQ364"/>
  <c r="CB364" s="1"/>
  <c r="AP364"/>
  <c r="AO364"/>
  <c r="BZ364" s="1"/>
  <c r="AN364"/>
  <c r="AM364"/>
  <c r="BX364" s="1"/>
  <c r="AL364"/>
  <c r="AK364"/>
  <c r="AJ364"/>
  <c r="AI364"/>
  <c r="AH364"/>
  <c r="AG364"/>
  <c r="AF364"/>
  <c r="AE364"/>
  <c r="AD364"/>
  <c r="AC364"/>
  <c r="AB364"/>
  <c r="AA364"/>
  <c r="DE363"/>
  <c r="BJ363"/>
  <c r="BI363"/>
  <c r="BV363" s="1"/>
  <c r="BH363"/>
  <c r="BG363"/>
  <c r="BT363" s="1"/>
  <c r="BF363"/>
  <c r="BE363"/>
  <c r="BR363" s="1"/>
  <c r="BD363"/>
  <c r="BC363"/>
  <c r="BP363" s="1"/>
  <c r="BB363"/>
  <c r="BA363"/>
  <c r="BN363" s="1"/>
  <c r="AZ363"/>
  <c r="AY363"/>
  <c r="BL363" s="1"/>
  <c r="AX363"/>
  <c r="AW363"/>
  <c r="CH363" s="1"/>
  <c r="AV363"/>
  <c r="AU363"/>
  <c r="CF363" s="1"/>
  <c r="AT363"/>
  <c r="AS363"/>
  <c r="CD363" s="1"/>
  <c r="AR363"/>
  <c r="AQ363"/>
  <c r="CB363" s="1"/>
  <c r="AP363"/>
  <c r="AO363"/>
  <c r="BZ363" s="1"/>
  <c r="AN363"/>
  <c r="AM363"/>
  <c r="BX363" s="1"/>
  <c r="AL363"/>
  <c r="AK363"/>
  <c r="AJ363"/>
  <c r="AI363"/>
  <c r="AH363"/>
  <c r="AG363"/>
  <c r="AF363"/>
  <c r="AE363"/>
  <c r="AD363"/>
  <c r="AC363"/>
  <c r="AB363"/>
  <c r="AA363"/>
  <c r="DE362"/>
  <c r="BJ362"/>
  <c r="BI362"/>
  <c r="BV362" s="1"/>
  <c r="BH362"/>
  <c r="BG362"/>
  <c r="BT362" s="1"/>
  <c r="BF362"/>
  <c r="BE362"/>
  <c r="BR362" s="1"/>
  <c r="BD362"/>
  <c r="BC362"/>
  <c r="BP362" s="1"/>
  <c r="BB362"/>
  <c r="BA362"/>
  <c r="BN362" s="1"/>
  <c r="AZ362"/>
  <c r="AY362"/>
  <c r="BL362" s="1"/>
  <c r="AX362"/>
  <c r="AW362"/>
  <c r="CH362" s="1"/>
  <c r="AV362"/>
  <c r="AU362"/>
  <c r="CF362" s="1"/>
  <c r="AT362"/>
  <c r="AS362"/>
  <c r="CD362" s="1"/>
  <c r="AR362"/>
  <c r="AQ362"/>
  <c r="CB362" s="1"/>
  <c r="AP362"/>
  <c r="AO362"/>
  <c r="BZ362" s="1"/>
  <c r="AN362"/>
  <c r="AM362"/>
  <c r="BX362" s="1"/>
  <c r="AL362"/>
  <c r="AK362"/>
  <c r="AJ362"/>
  <c r="AI362"/>
  <c r="AH362"/>
  <c r="AG362"/>
  <c r="AF362"/>
  <c r="AE362"/>
  <c r="AD362"/>
  <c r="AC362"/>
  <c r="AB362"/>
  <c r="AA362"/>
  <c r="DE361"/>
  <c r="BJ361"/>
  <c r="BI361"/>
  <c r="BV361" s="1"/>
  <c r="BH361"/>
  <c r="BG361"/>
  <c r="BT361" s="1"/>
  <c r="BF361"/>
  <c r="BE361"/>
  <c r="BR361" s="1"/>
  <c r="BD361"/>
  <c r="BC361"/>
  <c r="BP361" s="1"/>
  <c r="BB361"/>
  <c r="BA361"/>
  <c r="BN361" s="1"/>
  <c r="AZ361"/>
  <c r="AY361"/>
  <c r="BL361" s="1"/>
  <c r="AX361"/>
  <c r="AW361"/>
  <c r="CH361" s="1"/>
  <c r="AV361"/>
  <c r="AU361"/>
  <c r="CF361" s="1"/>
  <c r="AT361"/>
  <c r="AS361"/>
  <c r="CD361" s="1"/>
  <c r="AR361"/>
  <c r="AQ361"/>
  <c r="CB361" s="1"/>
  <c r="AP361"/>
  <c r="AO361"/>
  <c r="BZ361" s="1"/>
  <c r="AN361"/>
  <c r="AM361"/>
  <c r="BX361" s="1"/>
  <c r="AL361"/>
  <c r="AK361"/>
  <c r="AJ361"/>
  <c r="AI361"/>
  <c r="AH361"/>
  <c r="AG361"/>
  <c r="AF361"/>
  <c r="AE361"/>
  <c r="AD361"/>
  <c r="AC361"/>
  <c r="AB361"/>
  <c r="AA361"/>
  <c r="DE360"/>
  <c r="BJ360"/>
  <c r="BI360"/>
  <c r="BV360" s="1"/>
  <c r="BH360"/>
  <c r="BG360"/>
  <c r="BT360" s="1"/>
  <c r="BF360"/>
  <c r="BE360"/>
  <c r="BR360" s="1"/>
  <c r="BD360"/>
  <c r="BC360"/>
  <c r="BP360" s="1"/>
  <c r="BB360"/>
  <c r="BA360"/>
  <c r="BN360" s="1"/>
  <c r="AZ360"/>
  <c r="AY360"/>
  <c r="BL360" s="1"/>
  <c r="AX360"/>
  <c r="AW360"/>
  <c r="CH360" s="1"/>
  <c r="AV360"/>
  <c r="AU360"/>
  <c r="CF360" s="1"/>
  <c r="AT360"/>
  <c r="AS360"/>
  <c r="CD360" s="1"/>
  <c r="AR360"/>
  <c r="AQ360"/>
  <c r="CB360" s="1"/>
  <c r="AP360"/>
  <c r="AO360"/>
  <c r="BZ360" s="1"/>
  <c r="AN360"/>
  <c r="AM360"/>
  <c r="BX360" s="1"/>
  <c r="AL360"/>
  <c r="AK360"/>
  <c r="AJ360"/>
  <c r="AI360"/>
  <c r="AH360"/>
  <c r="AG360"/>
  <c r="AF360"/>
  <c r="AE360"/>
  <c r="AD360"/>
  <c r="AC360"/>
  <c r="AB360"/>
  <c r="AA360"/>
  <c r="DE359"/>
  <c r="BJ359"/>
  <c r="BI359"/>
  <c r="BV359" s="1"/>
  <c r="BH359"/>
  <c r="BG359"/>
  <c r="BT359" s="1"/>
  <c r="BF359"/>
  <c r="BE359"/>
  <c r="BR359" s="1"/>
  <c r="BD359"/>
  <c r="BC359"/>
  <c r="BP359" s="1"/>
  <c r="BB359"/>
  <c r="BA359"/>
  <c r="BN359" s="1"/>
  <c r="AZ359"/>
  <c r="AY359"/>
  <c r="BL359" s="1"/>
  <c r="AX359"/>
  <c r="AW359"/>
  <c r="CH359" s="1"/>
  <c r="AV359"/>
  <c r="AU359"/>
  <c r="CF359" s="1"/>
  <c r="AT359"/>
  <c r="AS359"/>
  <c r="CD359" s="1"/>
  <c r="AR359"/>
  <c r="AQ359"/>
  <c r="CB359" s="1"/>
  <c r="AP359"/>
  <c r="AO359"/>
  <c r="BZ359" s="1"/>
  <c r="AN359"/>
  <c r="AM359"/>
  <c r="BX359" s="1"/>
  <c r="AL359"/>
  <c r="AK359"/>
  <c r="AJ359"/>
  <c r="AI359"/>
  <c r="AH359"/>
  <c r="AG359"/>
  <c r="AF359"/>
  <c r="AE359"/>
  <c r="AD359"/>
  <c r="AC359"/>
  <c r="AB359"/>
  <c r="AA359"/>
  <c r="DE358"/>
  <c r="BJ358"/>
  <c r="BI358"/>
  <c r="BV358" s="1"/>
  <c r="BH358"/>
  <c r="BG358"/>
  <c r="BT358" s="1"/>
  <c r="BF358"/>
  <c r="BE358"/>
  <c r="BR358" s="1"/>
  <c r="BD358"/>
  <c r="BC358"/>
  <c r="BP358" s="1"/>
  <c r="BB358"/>
  <c r="BA358"/>
  <c r="BN358" s="1"/>
  <c r="AZ358"/>
  <c r="AY358"/>
  <c r="BL358" s="1"/>
  <c r="AX358"/>
  <c r="AW358"/>
  <c r="CH358" s="1"/>
  <c r="AV358"/>
  <c r="AU358"/>
  <c r="CF358" s="1"/>
  <c r="AT358"/>
  <c r="AS358"/>
  <c r="CD358" s="1"/>
  <c r="AR358"/>
  <c r="AQ358"/>
  <c r="CB358" s="1"/>
  <c r="AP358"/>
  <c r="AO358"/>
  <c r="BZ358" s="1"/>
  <c r="AN358"/>
  <c r="AM358"/>
  <c r="BX358" s="1"/>
  <c r="AL358"/>
  <c r="AK358"/>
  <c r="AJ358"/>
  <c r="AI358"/>
  <c r="AH358"/>
  <c r="AG358"/>
  <c r="AF358"/>
  <c r="AE358"/>
  <c r="AD358"/>
  <c r="AC358"/>
  <c r="AB358"/>
  <c r="AA358"/>
  <c r="DE357"/>
  <c r="BJ357"/>
  <c r="BI357"/>
  <c r="BV357" s="1"/>
  <c r="BH357"/>
  <c r="BG357"/>
  <c r="BT357" s="1"/>
  <c r="BF357"/>
  <c r="BE357"/>
  <c r="BR357" s="1"/>
  <c r="BD357"/>
  <c r="BC357"/>
  <c r="BP357" s="1"/>
  <c r="BB357"/>
  <c r="BA357"/>
  <c r="BN357" s="1"/>
  <c r="AZ357"/>
  <c r="AY357"/>
  <c r="BL357" s="1"/>
  <c r="AX357"/>
  <c r="AW357"/>
  <c r="CH357" s="1"/>
  <c r="AV357"/>
  <c r="AU357"/>
  <c r="CF357" s="1"/>
  <c r="AT357"/>
  <c r="AS357"/>
  <c r="CD357" s="1"/>
  <c r="AR357"/>
  <c r="AQ357"/>
  <c r="CB357" s="1"/>
  <c r="AP357"/>
  <c r="AO357"/>
  <c r="BZ357" s="1"/>
  <c r="AN357"/>
  <c r="AM357"/>
  <c r="BX357" s="1"/>
  <c r="AL357"/>
  <c r="AK357"/>
  <c r="AJ357"/>
  <c r="AI357"/>
  <c r="AH357"/>
  <c r="AG357"/>
  <c r="AF357"/>
  <c r="AE357"/>
  <c r="AD357"/>
  <c r="AC357"/>
  <c r="AB357"/>
  <c r="AA357"/>
  <c r="DE356"/>
  <c r="BJ356"/>
  <c r="BI356"/>
  <c r="BV356" s="1"/>
  <c r="BH356"/>
  <c r="BG356"/>
  <c r="BT356" s="1"/>
  <c r="BF356"/>
  <c r="BE356"/>
  <c r="BR356" s="1"/>
  <c r="BD356"/>
  <c r="BC356"/>
  <c r="BP356" s="1"/>
  <c r="BB356"/>
  <c r="BA356"/>
  <c r="BN356" s="1"/>
  <c r="AZ356"/>
  <c r="AY356"/>
  <c r="BL356" s="1"/>
  <c r="AX356"/>
  <c r="AW356"/>
  <c r="CH356" s="1"/>
  <c r="AV356"/>
  <c r="AU356"/>
  <c r="CF356" s="1"/>
  <c r="AT356"/>
  <c r="AS356"/>
  <c r="CD356" s="1"/>
  <c r="AR356"/>
  <c r="AQ356"/>
  <c r="CB356" s="1"/>
  <c r="AP356"/>
  <c r="AO356"/>
  <c r="BZ356" s="1"/>
  <c r="AN356"/>
  <c r="AM356"/>
  <c r="BX356" s="1"/>
  <c r="AL356"/>
  <c r="AK356"/>
  <c r="AJ356"/>
  <c r="AI356"/>
  <c r="AH356"/>
  <c r="AG356"/>
  <c r="AF356"/>
  <c r="AE356"/>
  <c r="AD356"/>
  <c r="AC356"/>
  <c r="AB356"/>
  <c r="AA356"/>
  <c r="DE355"/>
  <c r="BJ355"/>
  <c r="BI355"/>
  <c r="BV355" s="1"/>
  <c r="BH355"/>
  <c r="BG355"/>
  <c r="BT355" s="1"/>
  <c r="BF355"/>
  <c r="BE355"/>
  <c r="BR355" s="1"/>
  <c r="BD355"/>
  <c r="BC355"/>
  <c r="BP355" s="1"/>
  <c r="BB355"/>
  <c r="BA355"/>
  <c r="BN355" s="1"/>
  <c r="AZ355"/>
  <c r="AY355"/>
  <c r="BL355" s="1"/>
  <c r="AX355"/>
  <c r="AW355"/>
  <c r="CH355" s="1"/>
  <c r="AV355"/>
  <c r="AU355"/>
  <c r="CF355" s="1"/>
  <c r="AT355"/>
  <c r="AS355"/>
  <c r="CD355" s="1"/>
  <c r="AR355"/>
  <c r="AQ355"/>
  <c r="CB355" s="1"/>
  <c r="AP355"/>
  <c r="AO355"/>
  <c r="BZ355" s="1"/>
  <c r="AN355"/>
  <c r="AM355"/>
  <c r="BX355" s="1"/>
  <c r="AL355"/>
  <c r="AK355"/>
  <c r="AJ355"/>
  <c r="AI355"/>
  <c r="AH355"/>
  <c r="AG355"/>
  <c r="AF355"/>
  <c r="AE355"/>
  <c r="AD355"/>
  <c r="AC355"/>
  <c r="AB355"/>
  <c r="AA355"/>
  <c r="DE354"/>
  <c r="BJ354"/>
  <c r="BI354"/>
  <c r="BV354" s="1"/>
  <c r="BH354"/>
  <c r="BG354"/>
  <c r="BT354" s="1"/>
  <c r="BF354"/>
  <c r="BE354"/>
  <c r="BR354" s="1"/>
  <c r="BD354"/>
  <c r="BC354"/>
  <c r="BP354" s="1"/>
  <c r="BB354"/>
  <c r="BA354"/>
  <c r="BN354" s="1"/>
  <c r="AZ354"/>
  <c r="AY354"/>
  <c r="BL354" s="1"/>
  <c r="AX354"/>
  <c r="AW354"/>
  <c r="CH354" s="1"/>
  <c r="AV354"/>
  <c r="AU354"/>
  <c r="CF354" s="1"/>
  <c r="AT354"/>
  <c r="AS354"/>
  <c r="CD354" s="1"/>
  <c r="AR354"/>
  <c r="AQ354"/>
  <c r="CB354" s="1"/>
  <c r="AP354"/>
  <c r="AO354"/>
  <c r="BZ354" s="1"/>
  <c r="AN354"/>
  <c r="AM354"/>
  <c r="BX354" s="1"/>
  <c r="AL354"/>
  <c r="AK354"/>
  <c r="AJ354"/>
  <c r="AI354"/>
  <c r="AH354"/>
  <c r="AG354"/>
  <c r="AF354"/>
  <c r="AE354"/>
  <c r="AD354"/>
  <c r="AC354"/>
  <c r="AB354"/>
  <c r="AA354"/>
  <c r="DE353"/>
  <c r="BJ353"/>
  <c r="BI353"/>
  <c r="BV353" s="1"/>
  <c r="BH353"/>
  <c r="BG353"/>
  <c r="BT353" s="1"/>
  <c r="BF353"/>
  <c r="BE353"/>
  <c r="BR353" s="1"/>
  <c r="BD353"/>
  <c r="BC353"/>
  <c r="BP353" s="1"/>
  <c r="BB353"/>
  <c r="BA353"/>
  <c r="BN353" s="1"/>
  <c r="AZ353"/>
  <c r="AY353"/>
  <c r="BL353" s="1"/>
  <c r="AX353"/>
  <c r="AW353"/>
  <c r="CH353" s="1"/>
  <c r="AV353"/>
  <c r="AU353"/>
  <c r="CF353" s="1"/>
  <c r="AT353"/>
  <c r="AS353"/>
  <c r="CD353" s="1"/>
  <c r="AR353"/>
  <c r="AQ353"/>
  <c r="CB353" s="1"/>
  <c r="AP353"/>
  <c r="AO353"/>
  <c r="BZ353" s="1"/>
  <c r="AN353"/>
  <c r="AM353"/>
  <c r="BX353" s="1"/>
  <c r="AL353"/>
  <c r="AK353"/>
  <c r="AJ353"/>
  <c r="AI353"/>
  <c r="AH353"/>
  <c r="AG353"/>
  <c r="AF353"/>
  <c r="AE353"/>
  <c r="AD353"/>
  <c r="AC353"/>
  <c r="AB353"/>
  <c r="AA353"/>
  <c r="DE352"/>
  <c r="BJ352"/>
  <c r="BI352"/>
  <c r="BV352" s="1"/>
  <c r="BH352"/>
  <c r="BG352"/>
  <c r="BT352" s="1"/>
  <c r="BF352"/>
  <c r="BE352"/>
  <c r="BR352" s="1"/>
  <c r="BD352"/>
  <c r="BC352"/>
  <c r="BP352" s="1"/>
  <c r="BB352"/>
  <c r="BA352"/>
  <c r="BN352" s="1"/>
  <c r="AZ352"/>
  <c r="AY352"/>
  <c r="BL352" s="1"/>
  <c r="AX352"/>
  <c r="AW352"/>
  <c r="CH352" s="1"/>
  <c r="AV352"/>
  <c r="AU352"/>
  <c r="CF352" s="1"/>
  <c r="AT352"/>
  <c r="AS352"/>
  <c r="CD352" s="1"/>
  <c r="AR352"/>
  <c r="AQ352"/>
  <c r="CB352" s="1"/>
  <c r="AP352"/>
  <c r="AO352"/>
  <c r="BZ352" s="1"/>
  <c r="AN352"/>
  <c r="AM352"/>
  <c r="BX352" s="1"/>
  <c r="AL352"/>
  <c r="AK352"/>
  <c r="AJ352"/>
  <c r="AI352"/>
  <c r="AH352"/>
  <c r="AG352"/>
  <c r="AF352"/>
  <c r="AE352"/>
  <c r="AD352"/>
  <c r="AC352"/>
  <c r="AB352"/>
  <c r="AA352"/>
  <c r="DE351"/>
  <c r="BJ351"/>
  <c r="BI351"/>
  <c r="BV351" s="1"/>
  <c r="BH351"/>
  <c r="BG351"/>
  <c r="BT351" s="1"/>
  <c r="BF351"/>
  <c r="BE351"/>
  <c r="BR351" s="1"/>
  <c r="BD351"/>
  <c r="BC351"/>
  <c r="BP351" s="1"/>
  <c r="BB351"/>
  <c r="BA351"/>
  <c r="BN351" s="1"/>
  <c r="AZ351"/>
  <c r="AY351"/>
  <c r="BL351" s="1"/>
  <c r="AX351"/>
  <c r="AW351"/>
  <c r="CH351" s="1"/>
  <c r="AV351"/>
  <c r="AU351"/>
  <c r="CF351" s="1"/>
  <c r="AT351"/>
  <c r="AS351"/>
  <c r="CD351" s="1"/>
  <c r="AR351"/>
  <c r="AQ351"/>
  <c r="CB351" s="1"/>
  <c r="AP351"/>
  <c r="AO351"/>
  <c r="BZ351" s="1"/>
  <c r="AN351"/>
  <c r="AM351"/>
  <c r="BX351" s="1"/>
  <c r="AL351"/>
  <c r="AK351"/>
  <c r="AJ351"/>
  <c r="AI351"/>
  <c r="AH351"/>
  <c r="AG351"/>
  <c r="AF351"/>
  <c r="AE351"/>
  <c r="AD351"/>
  <c r="AC351"/>
  <c r="AB351"/>
  <c r="AA351"/>
  <c r="DE350"/>
  <c r="BJ350"/>
  <c r="BI350"/>
  <c r="BV350" s="1"/>
  <c r="BH350"/>
  <c r="BG350"/>
  <c r="BT350" s="1"/>
  <c r="BF350"/>
  <c r="BE350"/>
  <c r="BR350" s="1"/>
  <c r="BD350"/>
  <c r="BC350"/>
  <c r="BP350" s="1"/>
  <c r="BB350"/>
  <c r="BA350"/>
  <c r="BN350" s="1"/>
  <c r="AZ350"/>
  <c r="AY350"/>
  <c r="BL350" s="1"/>
  <c r="AX350"/>
  <c r="AW350"/>
  <c r="CH350" s="1"/>
  <c r="AV350"/>
  <c r="AU350"/>
  <c r="CF350" s="1"/>
  <c r="AT350"/>
  <c r="AS350"/>
  <c r="CD350" s="1"/>
  <c r="AR350"/>
  <c r="AQ350"/>
  <c r="CB350" s="1"/>
  <c r="AP350"/>
  <c r="AO350"/>
  <c r="BZ350" s="1"/>
  <c r="AN350"/>
  <c r="AM350"/>
  <c r="BX350" s="1"/>
  <c r="AL350"/>
  <c r="AK350"/>
  <c r="AJ350"/>
  <c r="AI350"/>
  <c r="AH350"/>
  <c r="AG350"/>
  <c r="AF350"/>
  <c r="AE350"/>
  <c r="AD350"/>
  <c r="AC350"/>
  <c r="AB350"/>
  <c r="AA350"/>
  <c r="DE349"/>
  <c r="BJ349"/>
  <c r="BI349"/>
  <c r="BV349" s="1"/>
  <c r="BH349"/>
  <c r="BG349"/>
  <c r="BT349" s="1"/>
  <c r="BF349"/>
  <c r="BE349"/>
  <c r="BR349" s="1"/>
  <c r="BD349"/>
  <c r="BC349"/>
  <c r="BP349" s="1"/>
  <c r="BB349"/>
  <c r="BA349"/>
  <c r="BN349" s="1"/>
  <c r="AZ349"/>
  <c r="AY349"/>
  <c r="BL349" s="1"/>
  <c r="AX349"/>
  <c r="AW349"/>
  <c r="CH349" s="1"/>
  <c r="AV349"/>
  <c r="AU349"/>
  <c r="CF349" s="1"/>
  <c r="AT349"/>
  <c r="AS349"/>
  <c r="CD349" s="1"/>
  <c r="AR349"/>
  <c r="AQ349"/>
  <c r="CB349" s="1"/>
  <c r="AP349"/>
  <c r="AO349"/>
  <c r="BZ349" s="1"/>
  <c r="AN349"/>
  <c r="AM349"/>
  <c r="BX349" s="1"/>
  <c r="AL349"/>
  <c r="AK349"/>
  <c r="AJ349"/>
  <c r="AI349"/>
  <c r="AH349"/>
  <c r="AG349"/>
  <c r="AF349"/>
  <c r="AE349"/>
  <c r="AD349"/>
  <c r="AC349"/>
  <c r="AB349"/>
  <c r="AA349"/>
  <c r="DE348"/>
  <c r="BJ348"/>
  <c r="BI348"/>
  <c r="BV348" s="1"/>
  <c r="BH348"/>
  <c r="BG348"/>
  <c r="BT348" s="1"/>
  <c r="BF348"/>
  <c r="BE348"/>
  <c r="BR348" s="1"/>
  <c r="BD348"/>
  <c r="BC348"/>
  <c r="BP348" s="1"/>
  <c r="BB348"/>
  <c r="BA348"/>
  <c r="BN348" s="1"/>
  <c r="AZ348"/>
  <c r="AY348"/>
  <c r="BL348" s="1"/>
  <c r="AX348"/>
  <c r="AW348"/>
  <c r="CH348" s="1"/>
  <c r="AV348"/>
  <c r="AU348"/>
  <c r="CF348" s="1"/>
  <c r="AT348"/>
  <c r="AS348"/>
  <c r="CD348" s="1"/>
  <c r="AR348"/>
  <c r="AQ348"/>
  <c r="CB348" s="1"/>
  <c r="AP348"/>
  <c r="AO348"/>
  <c r="BZ348" s="1"/>
  <c r="AN348"/>
  <c r="AM348"/>
  <c r="BX348" s="1"/>
  <c r="AL348"/>
  <c r="AK348"/>
  <c r="AJ348"/>
  <c r="AI348"/>
  <c r="AH348"/>
  <c r="AG348"/>
  <c r="AF348"/>
  <c r="AE348"/>
  <c r="AD348"/>
  <c r="AC348"/>
  <c r="AB348"/>
  <c r="AA348"/>
  <c r="DE347"/>
  <c r="BJ347"/>
  <c r="BI347"/>
  <c r="BV347" s="1"/>
  <c r="BH347"/>
  <c r="BG347"/>
  <c r="BT347" s="1"/>
  <c r="BF347"/>
  <c r="BE347"/>
  <c r="BR347" s="1"/>
  <c r="BD347"/>
  <c r="BC347"/>
  <c r="BP347" s="1"/>
  <c r="BB347"/>
  <c r="BA347"/>
  <c r="BN347" s="1"/>
  <c r="AZ347"/>
  <c r="AY347"/>
  <c r="BL347" s="1"/>
  <c r="AX347"/>
  <c r="AW347"/>
  <c r="CH347" s="1"/>
  <c r="AV347"/>
  <c r="AU347"/>
  <c r="CF347" s="1"/>
  <c r="AT347"/>
  <c r="AS347"/>
  <c r="CD347" s="1"/>
  <c r="AR347"/>
  <c r="AQ347"/>
  <c r="CB347" s="1"/>
  <c r="AP347"/>
  <c r="AO347"/>
  <c r="BZ347" s="1"/>
  <c r="AN347"/>
  <c r="AM347"/>
  <c r="BX347" s="1"/>
  <c r="AL347"/>
  <c r="AK347"/>
  <c r="AJ347"/>
  <c r="AI347"/>
  <c r="AH347"/>
  <c r="AG347"/>
  <c r="AF347"/>
  <c r="AE347"/>
  <c r="AD347"/>
  <c r="AC347"/>
  <c r="AB347"/>
  <c r="AA347"/>
  <c r="DE346"/>
  <c r="BJ346"/>
  <c r="BI346"/>
  <c r="BV346" s="1"/>
  <c r="BH346"/>
  <c r="BG346"/>
  <c r="BT346" s="1"/>
  <c r="BF346"/>
  <c r="BE346"/>
  <c r="BR346" s="1"/>
  <c r="BD346"/>
  <c r="BC346"/>
  <c r="BP346" s="1"/>
  <c r="BB346"/>
  <c r="BA346"/>
  <c r="BN346" s="1"/>
  <c r="AZ346"/>
  <c r="AY346"/>
  <c r="BL346" s="1"/>
  <c r="AX346"/>
  <c r="AW346"/>
  <c r="CH346" s="1"/>
  <c r="AV346"/>
  <c r="AU346"/>
  <c r="CF346" s="1"/>
  <c r="AT346"/>
  <c r="AS346"/>
  <c r="CD346" s="1"/>
  <c r="AR346"/>
  <c r="AQ346"/>
  <c r="CB346" s="1"/>
  <c r="AP346"/>
  <c r="AO346"/>
  <c r="BZ346" s="1"/>
  <c r="AN346"/>
  <c r="AM346"/>
  <c r="BX346" s="1"/>
  <c r="AL346"/>
  <c r="AK346"/>
  <c r="AJ346"/>
  <c r="AI346"/>
  <c r="AH346"/>
  <c r="AG346"/>
  <c r="AF346"/>
  <c r="AE346"/>
  <c r="AD346"/>
  <c r="AC346"/>
  <c r="AB346"/>
  <c r="AA346"/>
  <c r="DE345"/>
  <c r="BJ345"/>
  <c r="BI345"/>
  <c r="BV345" s="1"/>
  <c r="BH345"/>
  <c r="BG345"/>
  <c r="BT345" s="1"/>
  <c r="BF345"/>
  <c r="BE345"/>
  <c r="BR345" s="1"/>
  <c r="BD345"/>
  <c r="BC345"/>
  <c r="BP345" s="1"/>
  <c r="BB345"/>
  <c r="BA345"/>
  <c r="BN345" s="1"/>
  <c r="AZ345"/>
  <c r="AY345"/>
  <c r="BL345" s="1"/>
  <c r="AX345"/>
  <c r="AW345"/>
  <c r="CH345" s="1"/>
  <c r="AV345"/>
  <c r="AU345"/>
  <c r="CF345" s="1"/>
  <c r="AT345"/>
  <c r="AS345"/>
  <c r="CD345" s="1"/>
  <c r="AR345"/>
  <c r="AQ345"/>
  <c r="CB345" s="1"/>
  <c r="AP345"/>
  <c r="AO345"/>
  <c r="BZ345" s="1"/>
  <c r="AN345"/>
  <c r="AM345"/>
  <c r="BX345" s="1"/>
  <c r="AL345"/>
  <c r="AK345"/>
  <c r="AJ345"/>
  <c r="AI345"/>
  <c r="AH345"/>
  <c r="AG345"/>
  <c r="AF345"/>
  <c r="AE345"/>
  <c r="AD345"/>
  <c r="AC345"/>
  <c r="AB345"/>
  <c r="AA345"/>
  <c r="DE344"/>
  <c r="BJ344"/>
  <c r="BI344"/>
  <c r="BV344" s="1"/>
  <c r="BH344"/>
  <c r="BG344"/>
  <c r="BT344" s="1"/>
  <c r="BF344"/>
  <c r="BE344"/>
  <c r="BR344" s="1"/>
  <c r="BD344"/>
  <c r="BC344"/>
  <c r="BP344" s="1"/>
  <c r="BB344"/>
  <c r="BA344"/>
  <c r="BN344" s="1"/>
  <c r="AZ344"/>
  <c r="AY344"/>
  <c r="BL344" s="1"/>
  <c r="AX344"/>
  <c r="AW344"/>
  <c r="CH344" s="1"/>
  <c r="AV344"/>
  <c r="AU344"/>
  <c r="CF344" s="1"/>
  <c r="AT344"/>
  <c r="AS344"/>
  <c r="CD344" s="1"/>
  <c r="AR344"/>
  <c r="AQ344"/>
  <c r="CB344" s="1"/>
  <c r="AP344"/>
  <c r="AO344"/>
  <c r="BZ344" s="1"/>
  <c r="AN344"/>
  <c r="AM344"/>
  <c r="BX344" s="1"/>
  <c r="AL344"/>
  <c r="AK344"/>
  <c r="AJ344"/>
  <c r="AI344"/>
  <c r="AH344"/>
  <c r="AG344"/>
  <c r="AF344"/>
  <c r="AE344"/>
  <c r="AD344"/>
  <c r="AC344"/>
  <c r="AB344"/>
  <c r="AA344"/>
  <c r="DE343"/>
  <c r="BJ343"/>
  <c r="BI343"/>
  <c r="BV343" s="1"/>
  <c r="BH343"/>
  <c r="BG343"/>
  <c r="BT343" s="1"/>
  <c r="BF343"/>
  <c r="BE343"/>
  <c r="BR343" s="1"/>
  <c r="BD343"/>
  <c r="BC343"/>
  <c r="BP343" s="1"/>
  <c r="BB343"/>
  <c r="BA343"/>
  <c r="BN343" s="1"/>
  <c r="AZ343"/>
  <c r="AY343"/>
  <c r="BL343" s="1"/>
  <c r="AX343"/>
  <c r="AW343"/>
  <c r="CH343" s="1"/>
  <c r="AV343"/>
  <c r="AU343"/>
  <c r="CF343" s="1"/>
  <c r="AT343"/>
  <c r="AS343"/>
  <c r="CD343" s="1"/>
  <c r="AR343"/>
  <c r="AQ343"/>
  <c r="CB343" s="1"/>
  <c r="AP343"/>
  <c r="AO343"/>
  <c r="BZ343" s="1"/>
  <c r="AN343"/>
  <c r="AM343"/>
  <c r="BX343" s="1"/>
  <c r="AL343"/>
  <c r="AK343"/>
  <c r="AJ343"/>
  <c r="AI343"/>
  <c r="AH343"/>
  <c r="AG343"/>
  <c r="AF343"/>
  <c r="AE343"/>
  <c r="AD343"/>
  <c r="AC343"/>
  <c r="AB343"/>
  <c r="AA343"/>
  <c r="DE342"/>
  <c r="BJ342"/>
  <c r="BI342"/>
  <c r="BV342" s="1"/>
  <c r="BH342"/>
  <c r="BG342"/>
  <c r="BT342" s="1"/>
  <c r="BF342"/>
  <c r="BE342"/>
  <c r="BR342" s="1"/>
  <c r="BD342"/>
  <c r="BC342"/>
  <c r="BP342" s="1"/>
  <c r="BB342"/>
  <c r="BA342"/>
  <c r="BN342" s="1"/>
  <c r="AZ342"/>
  <c r="AY342"/>
  <c r="BL342" s="1"/>
  <c r="AX342"/>
  <c r="AW342"/>
  <c r="CH342" s="1"/>
  <c r="AV342"/>
  <c r="AU342"/>
  <c r="CF342" s="1"/>
  <c r="AT342"/>
  <c r="AS342"/>
  <c r="CD342" s="1"/>
  <c r="AR342"/>
  <c r="AQ342"/>
  <c r="CB342" s="1"/>
  <c r="AP342"/>
  <c r="AO342"/>
  <c r="BZ342" s="1"/>
  <c r="AN342"/>
  <c r="AM342"/>
  <c r="BX342" s="1"/>
  <c r="AL342"/>
  <c r="AK342"/>
  <c r="AJ342"/>
  <c r="AI342"/>
  <c r="AH342"/>
  <c r="AG342"/>
  <c r="AF342"/>
  <c r="AE342"/>
  <c r="AD342"/>
  <c r="AC342"/>
  <c r="AB342"/>
  <c r="AA342"/>
  <c r="DE341"/>
  <c r="BJ341"/>
  <c r="BI341"/>
  <c r="BV341" s="1"/>
  <c r="BH341"/>
  <c r="BG341"/>
  <c r="BT341" s="1"/>
  <c r="BF341"/>
  <c r="BE341"/>
  <c r="BR341" s="1"/>
  <c r="BD341"/>
  <c r="BC341"/>
  <c r="BP341" s="1"/>
  <c r="BB341"/>
  <c r="BA341"/>
  <c r="BN341" s="1"/>
  <c r="AZ341"/>
  <c r="AY341"/>
  <c r="BL341" s="1"/>
  <c r="AX341"/>
  <c r="AW341"/>
  <c r="CH341" s="1"/>
  <c r="AV341"/>
  <c r="AU341"/>
  <c r="CF341" s="1"/>
  <c r="AT341"/>
  <c r="AS341"/>
  <c r="CD341" s="1"/>
  <c r="AR341"/>
  <c r="AQ341"/>
  <c r="CB341" s="1"/>
  <c r="AP341"/>
  <c r="AO341"/>
  <c r="BZ341" s="1"/>
  <c r="AN341"/>
  <c r="AM341"/>
  <c r="BX341" s="1"/>
  <c r="AL341"/>
  <c r="AK341"/>
  <c r="AJ341"/>
  <c r="AI341"/>
  <c r="AH341"/>
  <c r="AG341"/>
  <c r="AF341"/>
  <c r="AE341"/>
  <c r="AD341"/>
  <c r="AC341"/>
  <c r="AB341"/>
  <c r="AA341"/>
  <c r="DE340"/>
  <c r="BJ340"/>
  <c r="BI340"/>
  <c r="BV340" s="1"/>
  <c r="BH340"/>
  <c r="BG340"/>
  <c r="BT340" s="1"/>
  <c r="BF340"/>
  <c r="BE340"/>
  <c r="BR340" s="1"/>
  <c r="BD340"/>
  <c r="BC340"/>
  <c r="BP340" s="1"/>
  <c r="BB340"/>
  <c r="BA340"/>
  <c r="BN340" s="1"/>
  <c r="AZ340"/>
  <c r="AY340"/>
  <c r="BL340" s="1"/>
  <c r="AX340"/>
  <c r="AW340"/>
  <c r="CH340" s="1"/>
  <c r="AV340"/>
  <c r="AU340"/>
  <c r="CF340" s="1"/>
  <c r="AT340"/>
  <c r="AS340"/>
  <c r="CD340" s="1"/>
  <c r="AR340"/>
  <c r="AQ340"/>
  <c r="CB340" s="1"/>
  <c r="AP340"/>
  <c r="AO340"/>
  <c r="BZ340" s="1"/>
  <c r="AN340"/>
  <c r="AM340"/>
  <c r="BX340" s="1"/>
  <c r="AL340"/>
  <c r="AK340"/>
  <c r="AJ340"/>
  <c r="AI340"/>
  <c r="AH340"/>
  <c r="AG340"/>
  <c r="AF340"/>
  <c r="AE340"/>
  <c r="AD340"/>
  <c r="AC340"/>
  <c r="AB340"/>
  <c r="AA340"/>
  <c r="DE339"/>
  <c r="BJ339"/>
  <c r="BI339"/>
  <c r="BV339" s="1"/>
  <c r="BH339"/>
  <c r="BG339"/>
  <c r="BT339" s="1"/>
  <c r="BF339"/>
  <c r="BE339"/>
  <c r="BR339" s="1"/>
  <c r="BD339"/>
  <c r="BC339"/>
  <c r="BP339" s="1"/>
  <c r="BB339"/>
  <c r="BA339"/>
  <c r="BN339" s="1"/>
  <c r="AZ339"/>
  <c r="AY339"/>
  <c r="BL339" s="1"/>
  <c r="AX339"/>
  <c r="AW339"/>
  <c r="CH339" s="1"/>
  <c r="AV339"/>
  <c r="AU339"/>
  <c r="CF339" s="1"/>
  <c r="AT339"/>
  <c r="AS339"/>
  <c r="CD339" s="1"/>
  <c r="AR339"/>
  <c r="AQ339"/>
  <c r="CB339" s="1"/>
  <c r="AP339"/>
  <c r="AO339"/>
  <c r="BZ339" s="1"/>
  <c r="AN339"/>
  <c r="AM339"/>
  <c r="BX339" s="1"/>
  <c r="AL339"/>
  <c r="AK339"/>
  <c r="AJ339"/>
  <c r="AI339"/>
  <c r="AH339"/>
  <c r="AG339"/>
  <c r="AF339"/>
  <c r="AE339"/>
  <c r="AD339"/>
  <c r="AC339"/>
  <c r="AB339"/>
  <c r="AA339"/>
  <c r="DE338"/>
  <c r="BJ338"/>
  <c r="BI338"/>
  <c r="BV338" s="1"/>
  <c r="BH338"/>
  <c r="BG338"/>
  <c r="BT338" s="1"/>
  <c r="BF338"/>
  <c r="BE338"/>
  <c r="BR338" s="1"/>
  <c r="BD338"/>
  <c r="BC338"/>
  <c r="BP338" s="1"/>
  <c r="BB338"/>
  <c r="BA338"/>
  <c r="BN338" s="1"/>
  <c r="AZ338"/>
  <c r="AY338"/>
  <c r="BL338" s="1"/>
  <c r="AX338"/>
  <c r="AW338"/>
  <c r="CH338" s="1"/>
  <c r="AV338"/>
  <c r="AU338"/>
  <c r="CF338" s="1"/>
  <c r="AT338"/>
  <c r="AS338"/>
  <c r="CD338" s="1"/>
  <c r="AR338"/>
  <c r="AQ338"/>
  <c r="CB338" s="1"/>
  <c r="AP338"/>
  <c r="AO338"/>
  <c r="BZ338" s="1"/>
  <c r="AN338"/>
  <c r="AM338"/>
  <c r="BX338" s="1"/>
  <c r="AL338"/>
  <c r="AK338"/>
  <c r="AJ338"/>
  <c r="AI338"/>
  <c r="AH338"/>
  <c r="AG338"/>
  <c r="AF338"/>
  <c r="AE338"/>
  <c r="AD338"/>
  <c r="AC338"/>
  <c r="AB338"/>
  <c r="AA338"/>
  <c r="DE337"/>
  <c r="BJ337"/>
  <c r="BI337"/>
  <c r="BV337" s="1"/>
  <c r="BH337"/>
  <c r="BG337"/>
  <c r="BT337" s="1"/>
  <c r="BF337"/>
  <c r="BE337"/>
  <c r="BR337" s="1"/>
  <c r="BD337"/>
  <c r="BC337"/>
  <c r="BP337" s="1"/>
  <c r="BB337"/>
  <c r="BA337"/>
  <c r="BN337" s="1"/>
  <c r="AZ337"/>
  <c r="AY337"/>
  <c r="BL337" s="1"/>
  <c r="AX337"/>
  <c r="AW337"/>
  <c r="CH337" s="1"/>
  <c r="AV337"/>
  <c r="AU337"/>
  <c r="CF337" s="1"/>
  <c r="AT337"/>
  <c r="AS337"/>
  <c r="CD337" s="1"/>
  <c r="AR337"/>
  <c r="AQ337"/>
  <c r="CB337" s="1"/>
  <c r="AP337"/>
  <c r="AO337"/>
  <c r="BZ337" s="1"/>
  <c r="AN337"/>
  <c r="AM337"/>
  <c r="BX337" s="1"/>
  <c r="AL337"/>
  <c r="AK337"/>
  <c r="AJ337"/>
  <c r="AI337"/>
  <c r="AH337"/>
  <c r="AG337"/>
  <c r="AF337"/>
  <c r="AE337"/>
  <c r="AD337"/>
  <c r="AC337"/>
  <c r="AB337"/>
  <c r="AA337"/>
  <c r="DE336"/>
  <c r="BJ336"/>
  <c r="BI336"/>
  <c r="BV336" s="1"/>
  <c r="BH336"/>
  <c r="BG336"/>
  <c r="BT336" s="1"/>
  <c r="BF336"/>
  <c r="BE336"/>
  <c r="BR336" s="1"/>
  <c r="BD336"/>
  <c r="BC336"/>
  <c r="BP336" s="1"/>
  <c r="BB336"/>
  <c r="BA336"/>
  <c r="BN336" s="1"/>
  <c r="AZ336"/>
  <c r="AY336"/>
  <c r="BL336" s="1"/>
  <c r="AX336"/>
  <c r="AW336"/>
  <c r="CH336" s="1"/>
  <c r="AV336"/>
  <c r="AU336"/>
  <c r="CF336" s="1"/>
  <c r="AT336"/>
  <c r="AS336"/>
  <c r="CD336" s="1"/>
  <c r="AR336"/>
  <c r="AQ336"/>
  <c r="CB336" s="1"/>
  <c r="AP336"/>
  <c r="AO336"/>
  <c r="BZ336" s="1"/>
  <c r="AN336"/>
  <c r="AM336"/>
  <c r="BX336" s="1"/>
  <c r="AL336"/>
  <c r="AK336"/>
  <c r="AJ336"/>
  <c r="AI336"/>
  <c r="AH336"/>
  <c r="AG336"/>
  <c r="AF336"/>
  <c r="AE336"/>
  <c r="AD336"/>
  <c r="AC336"/>
  <c r="AB336"/>
  <c r="AA336"/>
  <c r="DE335"/>
  <c r="BJ335"/>
  <c r="BI335"/>
  <c r="BV335" s="1"/>
  <c r="BH335"/>
  <c r="BG335"/>
  <c r="BT335" s="1"/>
  <c r="BF335"/>
  <c r="BE335"/>
  <c r="BR335" s="1"/>
  <c r="BD335"/>
  <c r="BC335"/>
  <c r="BP335" s="1"/>
  <c r="BB335"/>
  <c r="BA335"/>
  <c r="BN335" s="1"/>
  <c r="AZ335"/>
  <c r="AY335"/>
  <c r="BL335" s="1"/>
  <c r="AX335"/>
  <c r="AW335"/>
  <c r="CH335" s="1"/>
  <c r="AV335"/>
  <c r="AU335"/>
  <c r="CF335" s="1"/>
  <c r="AT335"/>
  <c r="AS335"/>
  <c r="CD335" s="1"/>
  <c r="AR335"/>
  <c r="AQ335"/>
  <c r="CB335" s="1"/>
  <c r="AP335"/>
  <c r="AO335"/>
  <c r="BZ335" s="1"/>
  <c r="AN335"/>
  <c r="AM335"/>
  <c r="BX335" s="1"/>
  <c r="AL335"/>
  <c r="AK335"/>
  <c r="AJ335"/>
  <c r="AI335"/>
  <c r="AH335"/>
  <c r="AG335"/>
  <c r="AF335"/>
  <c r="AE335"/>
  <c r="AD335"/>
  <c r="AC335"/>
  <c r="AB335"/>
  <c r="AA335"/>
  <c r="DE334"/>
  <c r="BJ334"/>
  <c r="BI334"/>
  <c r="BV334" s="1"/>
  <c r="BH334"/>
  <c r="BG334"/>
  <c r="BT334" s="1"/>
  <c r="BF334"/>
  <c r="BE334"/>
  <c r="BR334" s="1"/>
  <c r="BD334"/>
  <c r="BC334"/>
  <c r="BP334" s="1"/>
  <c r="BB334"/>
  <c r="BA334"/>
  <c r="BN334" s="1"/>
  <c r="AZ334"/>
  <c r="AY334"/>
  <c r="BL334" s="1"/>
  <c r="AX334"/>
  <c r="AW334"/>
  <c r="CH334" s="1"/>
  <c r="AV334"/>
  <c r="AU334"/>
  <c r="CF334" s="1"/>
  <c r="AT334"/>
  <c r="AS334"/>
  <c r="CD334" s="1"/>
  <c r="AR334"/>
  <c r="AQ334"/>
  <c r="CB334" s="1"/>
  <c r="AP334"/>
  <c r="AO334"/>
  <c r="BZ334" s="1"/>
  <c r="AN334"/>
  <c r="BY334" s="1"/>
  <c r="AM334"/>
  <c r="BX334" s="1"/>
  <c r="AL334"/>
  <c r="AK334"/>
  <c r="AJ334"/>
  <c r="AI334"/>
  <c r="AH334"/>
  <c r="AG334"/>
  <c r="AF334"/>
  <c r="AE334"/>
  <c r="AD334"/>
  <c r="AC334"/>
  <c r="AB334"/>
  <c r="AA334"/>
  <c r="DE333"/>
  <c r="BJ333"/>
  <c r="BI333"/>
  <c r="BV333" s="1"/>
  <c r="BH333"/>
  <c r="BG333"/>
  <c r="BT333" s="1"/>
  <c r="BF333"/>
  <c r="BE333"/>
  <c r="BR333" s="1"/>
  <c r="BD333"/>
  <c r="BC333"/>
  <c r="BP333" s="1"/>
  <c r="BB333"/>
  <c r="BA333"/>
  <c r="BN333" s="1"/>
  <c r="AZ333"/>
  <c r="AY333"/>
  <c r="BL333" s="1"/>
  <c r="AX333"/>
  <c r="AW333"/>
  <c r="CH333" s="1"/>
  <c r="AV333"/>
  <c r="AU333"/>
  <c r="CF333" s="1"/>
  <c r="AT333"/>
  <c r="AS333"/>
  <c r="CD333" s="1"/>
  <c r="AR333"/>
  <c r="AQ333"/>
  <c r="CB333" s="1"/>
  <c r="AP333"/>
  <c r="CA333" s="1"/>
  <c r="AO333"/>
  <c r="BZ333" s="1"/>
  <c r="AN333"/>
  <c r="BY333" s="1"/>
  <c r="AM333"/>
  <c r="BX333" s="1"/>
  <c r="AL333"/>
  <c r="AK333"/>
  <c r="AJ333"/>
  <c r="AI333"/>
  <c r="AH333"/>
  <c r="AG333"/>
  <c r="AF333"/>
  <c r="AE333"/>
  <c r="AD333"/>
  <c r="AC333"/>
  <c r="AB333"/>
  <c r="AA333"/>
  <c r="DE332"/>
  <c r="BJ332"/>
  <c r="BI332"/>
  <c r="BV332" s="1"/>
  <c r="BH332"/>
  <c r="BG332"/>
  <c r="BT332" s="1"/>
  <c r="BF332"/>
  <c r="BE332"/>
  <c r="BR332" s="1"/>
  <c r="BD332"/>
  <c r="BC332"/>
  <c r="BP332" s="1"/>
  <c r="BB332"/>
  <c r="BA332"/>
  <c r="BN332" s="1"/>
  <c r="AZ332"/>
  <c r="AY332"/>
  <c r="BL332" s="1"/>
  <c r="AX332"/>
  <c r="AW332"/>
  <c r="CH332" s="1"/>
  <c r="AV332"/>
  <c r="AU332"/>
  <c r="CF332" s="1"/>
  <c r="AT332"/>
  <c r="AS332"/>
  <c r="CD332" s="1"/>
  <c r="AR332"/>
  <c r="CC332" s="1"/>
  <c r="AQ332"/>
  <c r="CB332" s="1"/>
  <c r="AP332"/>
  <c r="CA332" s="1"/>
  <c r="AO332"/>
  <c r="BZ332" s="1"/>
  <c r="AN332"/>
  <c r="BY332" s="1"/>
  <c r="AM332"/>
  <c r="BX332" s="1"/>
  <c r="AL332"/>
  <c r="AK332"/>
  <c r="AJ332"/>
  <c r="AI332"/>
  <c r="AH332"/>
  <c r="AG332"/>
  <c r="AF332"/>
  <c r="AE332"/>
  <c r="AD332"/>
  <c r="AC332"/>
  <c r="AB332"/>
  <c r="AA332"/>
  <c r="DE331"/>
  <c r="BJ331"/>
  <c r="BI331"/>
  <c r="BV331" s="1"/>
  <c r="BH331"/>
  <c r="BG331"/>
  <c r="BT331" s="1"/>
  <c r="BF331"/>
  <c r="BE331"/>
  <c r="BR331" s="1"/>
  <c r="BD331"/>
  <c r="BC331"/>
  <c r="BP331" s="1"/>
  <c r="BB331"/>
  <c r="BA331"/>
  <c r="BN331" s="1"/>
  <c r="AZ331"/>
  <c r="AY331"/>
  <c r="BL331" s="1"/>
  <c r="AX331"/>
  <c r="AW331"/>
  <c r="CH331" s="1"/>
  <c r="AV331"/>
  <c r="AU331"/>
  <c r="CF331" s="1"/>
  <c r="AT331"/>
  <c r="CE331" s="1"/>
  <c r="AS331"/>
  <c r="CD331" s="1"/>
  <c r="AR331"/>
  <c r="CC331" s="1"/>
  <c r="AQ331"/>
  <c r="CB331" s="1"/>
  <c r="AP331"/>
  <c r="CA331" s="1"/>
  <c r="AO331"/>
  <c r="BZ331" s="1"/>
  <c r="AN331"/>
  <c r="BY331" s="1"/>
  <c r="AM331"/>
  <c r="BX331" s="1"/>
  <c r="AL331"/>
  <c r="AK331"/>
  <c r="AJ331"/>
  <c r="AI331"/>
  <c r="AH331"/>
  <c r="AG331"/>
  <c r="AF331"/>
  <c r="AE331"/>
  <c r="AD331"/>
  <c r="AC331"/>
  <c r="AB331"/>
  <c r="AA331"/>
  <c r="DE330"/>
  <c r="BJ330"/>
  <c r="BI330"/>
  <c r="BV330" s="1"/>
  <c r="BH330"/>
  <c r="BG330"/>
  <c r="BT330" s="1"/>
  <c r="BF330"/>
  <c r="BE330"/>
  <c r="BR330" s="1"/>
  <c r="BD330"/>
  <c r="BC330"/>
  <c r="BP330" s="1"/>
  <c r="BB330"/>
  <c r="BA330"/>
  <c r="BN330" s="1"/>
  <c r="AZ330"/>
  <c r="AY330"/>
  <c r="BL330" s="1"/>
  <c r="AX330"/>
  <c r="AW330"/>
  <c r="CH330" s="1"/>
  <c r="AV330"/>
  <c r="CG330" s="1"/>
  <c r="AU330"/>
  <c r="CF330" s="1"/>
  <c r="AT330"/>
  <c r="CE330" s="1"/>
  <c r="AS330"/>
  <c r="CD330" s="1"/>
  <c r="AR330"/>
  <c r="CC330" s="1"/>
  <c r="AQ330"/>
  <c r="CB330" s="1"/>
  <c r="AP330"/>
  <c r="CA330" s="1"/>
  <c r="AO330"/>
  <c r="BZ330" s="1"/>
  <c r="AN330"/>
  <c r="BY330" s="1"/>
  <c r="AM330"/>
  <c r="BX330" s="1"/>
  <c r="AL330"/>
  <c r="AK330"/>
  <c r="AJ330"/>
  <c r="AI330"/>
  <c r="AH330"/>
  <c r="AG330"/>
  <c r="AF330"/>
  <c r="AE330"/>
  <c r="AD330"/>
  <c r="AC330"/>
  <c r="AB330"/>
  <c r="AA330"/>
  <c r="DE329"/>
  <c r="BJ329"/>
  <c r="BI329"/>
  <c r="BV329" s="1"/>
  <c r="BH329"/>
  <c r="BG329"/>
  <c r="BT329" s="1"/>
  <c r="BF329"/>
  <c r="BE329"/>
  <c r="BR329" s="1"/>
  <c r="BD329"/>
  <c r="BC329"/>
  <c r="BP329" s="1"/>
  <c r="BB329"/>
  <c r="BA329"/>
  <c r="BN329" s="1"/>
  <c r="AZ329"/>
  <c r="AY329"/>
  <c r="BL329" s="1"/>
  <c r="AX329"/>
  <c r="BW329" s="1"/>
  <c r="AW329"/>
  <c r="CH329" s="1"/>
  <c r="AV329"/>
  <c r="CG329" s="1"/>
  <c r="AU329"/>
  <c r="CF329" s="1"/>
  <c r="AT329"/>
  <c r="CE329" s="1"/>
  <c r="AS329"/>
  <c r="CD329" s="1"/>
  <c r="AR329"/>
  <c r="CC329" s="1"/>
  <c r="AQ329"/>
  <c r="CB329" s="1"/>
  <c r="AP329"/>
  <c r="CA329" s="1"/>
  <c r="AO329"/>
  <c r="BZ329" s="1"/>
  <c r="AN329"/>
  <c r="BY329" s="1"/>
  <c r="AM329"/>
  <c r="BX329" s="1"/>
  <c r="AL329"/>
  <c r="AK329"/>
  <c r="AJ329"/>
  <c r="AI329"/>
  <c r="AH329"/>
  <c r="AG329"/>
  <c r="AF329"/>
  <c r="AE329"/>
  <c r="AD329"/>
  <c r="AC329"/>
  <c r="AB329"/>
  <c r="AA329"/>
  <c r="DE328"/>
  <c r="BJ328"/>
  <c r="BI328"/>
  <c r="BV328" s="1"/>
  <c r="BH328"/>
  <c r="BG328"/>
  <c r="BT328" s="1"/>
  <c r="BF328"/>
  <c r="BE328"/>
  <c r="BR328" s="1"/>
  <c r="BD328"/>
  <c r="BC328"/>
  <c r="BP328" s="1"/>
  <c r="BB328"/>
  <c r="BA328"/>
  <c r="BN328" s="1"/>
  <c r="AZ328"/>
  <c r="BM328" s="1"/>
  <c r="AY328"/>
  <c r="BL328" s="1"/>
  <c r="AX328"/>
  <c r="BW328" s="1"/>
  <c r="AW328"/>
  <c r="CH328" s="1"/>
  <c r="AV328"/>
  <c r="CG328" s="1"/>
  <c r="AU328"/>
  <c r="CF328" s="1"/>
  <c r="AT328"/>
  <c r="CE328" s="1"/>
  <c r="AS328"/>
  <c r="CD328" s="1"/>
  <c r="AR328"/>
  <c r="CC328" s="1"/>
  <c r="AQ328"/>
  <c r="CB328" s="1"/>
  <c r="AP328"/>
  <c r="CA328" s="1"/>
  <c r="AO328"/>
  <c r="BZ328" s="1"/>
  <c r="AN328"/>
  <c r="BY328" s="1"/>
  <c r="AM328"/>
  <c r="BX328" s="1"/>
  <c r="AL328"/>
  <c r="AK328"/>
  <c r="AJ328"/>
  <c r="AI328"/>
  <c r="AH328"/>
  <c r="AG328"/>
  <c r="AF328"/>
  <c r="AE328"/>
  <c r="AD328"/>
  <c r="AC328"/>
  <c r="AB328"/>
  <c r="AA328"/>
  <c r="DE327"/>
  <c r="BJ327"/>
  <c r="BI327"/>
  <c r="BV327" s="1"/>
  <c r="BH327"/>
  <c r="BG327"/>
  <c r="BT327" s="1"/>
  <c r="BF327"/>
  <c r="BE327"/>
  <c r="BR327" s="1"/>
  <c r="BD327"/>
  <c r="BQ327" s="1"/>
  <c r="BC327"/>
  <c r="BP327" s="1"/>
  <c r="BB327"/>
  <c r="BO327" s="1"/>
  <c r="BA327"/>
  <c r="BN327" s="1"/>
  <c r="AZ327"/>
  <c r="BM327" s="1"/>
  <c r="AY327"/>
  <c r="BL327" s="1"/>
  <c r="AX327"/>
  <c r="BW327" s="1"/>
  <c r="AW327"/>
  <c r="CH327" s="1"/>
  <c r="AV327"/>
  <c r="CG327" s="1"/>
  <c r="AU327"/>
  <c r="CF327" s="1"/>
  <c r="AT327"/>
  <c r="CE327" s="1"/>
  <c r="AS327"/>
  <c r="CD327" s="1"/>
  <c r="AR327"/>
  <c r="CC327" s="1"/>
  <c r="AQ327"/>
  <c r="CB327" s="1"/>
  <c r="AP327"/>
  <c r="CA327" s="1"/>
  <c r="AO327"/>
  <c r="BZ327" s="1"/>
  <c r="AN327"/>
  <c r="BY327" s="1"/>
  <c r="AM327"/>
  <c r="BX327" s="1"/>
  <c r="AL327"/>
  <c r="AK327"/>
  <c r="AJ327"/>
  <c r="AI327"/>
  <c r="AH327"/>
  <c r="AG327"/>
  <c r="AF327"/>
  <c r="AE327"/>
  <c r="AD327"/>
  <c r="AC327"/>
  <c r="AB327"/>
  <c r="AA327"/>
  <c r="DE326"/>
  <c r="BJ326"/>
  <c r="BI326"/>
  <c r="BV326" s="1"/>
  <c r="BH326"/>
  <c r="BU326" s="1"/>
  <c r="BG326"/>
  <c r="BT326" s="1"/>
  <c r="BF326"/>
  <c r="BS326" s="1"/>
  <c r="BE326"/>
  <c r="BR326" s="1"/>
  <c r="BD326"/>
  <c r="BQ326" s="1"/>
  <c r="BC326"/>
  <c r="BP326" s="1"/>
  <c r="BB326"/>
  <c r="BO326" s="1"/>
  <c r="BA326"/>
  <c r="BN326" s="1"/>
  <c r="AZ326"/>
  <c r="BM326" s="1"/>
  <c r="AY326"/>
  <c r="BL326" s="1"/>
  <c r="AX326"/>
  <c r="BW326" s="1"/>
  <c r="AW326"/>
  <c r="CH326" s="1"/>
  <c r="AV326"/>
  <c r="CG326" s="1"/>
  <c r="AU326"/>
  <c r="CF326" s="1"/>
  <c r="AT326"/>
  <c r="CE326" s="1"/>
  <c r="AS326"/>
  <c r="CD326" s="1"/>
  <c r="AR326"/>
  <c r="CC326" s="1"/>
  <c r="AQ326"/>
  <c r="CB326" s="1"/>
  <c r="AP326"/>
  <c r="CA326" s="1"/>
  <c r="AO326"/>
  <c r="BZ326" s="1"/>
  <c r="AN326"/>
  <c r="BY326" s="1"/>
  <c r="AM326"/>
  <c r="BX326" s="1"/>
  <c r="AL326"/>
  <c r="AK326"/>
  <c r="AJ326"/>
  <c r="AI326"/>
  <c r="AH326"/>
  <c r="AG326"/>
  <c r="AF326"/>
  <c r="AE326"/>
  <c r="AD326"/>
  <c r="AC326"/>
  <c r="AB326"/>
  <c r="AA326"/>
  <c r="DE325"/>
  <c r="BJ325"/>
  <c r="BI325"/>
  <c r="BV325" s="1"/>
  <c r="BH325"/>
  <c r="BU325" s="1"/>
  <c r="BG325"/>
  <c r="BT325" s="1"/>
  <c r="BF325"/>
  <c r="BS325" s="1"/>
  <c r="BE325"/>
  <c r="BR325" s="1"/>
  <c r="BD325"/>
  <c r="BQ325" s="1"/>
  <c r="BC325"/>
  <c r="BP325" s="1"/>
  <c r="BB325"/>
  <c r="BO325" s="1"/>
  <c r="BA325"/>
  <c r="BN325" s="1"/>
  <c r="AZ325"/>
  <c r="BM325" s="1"/>
  <c r="AY325"/>
  <c r="BL325" s="1"/>
  <c r="AX325"/>
  <c r="BW325" s="1"/>
  <c r="AW325"/>
  <c r="CH325" s="1"/>
  <c r="AV325"/>
  <c r="CG325" s="1"/>
  <c r="AU325"/>
  <c r="CF325" s="1"/>
  <c r="AT325"/>
  <c r="CE325" s="1"/>
  <c r="AS325"/>
  <c r="CD325" s="1"/>
  <c r="AR325"/>
  <c r="CC325" s="1"/>
  <c r="AQ325"/>
  <c r="CB325" s="1"/>
  <c r="AP325"/>
  <c r="CA325" s="1"/>
  <c r="AO325"/>
  <c r="BZ325" s="1"/>
  <c r="AN325"/>
  <c r="BY325" s="1"/>
  <c r="AM325"/>
  <c r="BX325" s="1"/>
  <c r="AL325"/>
  <c r="AK325"/>
  <c r="AJ325"/>
  <c r="AI325"/>
  <c r="AH325"/>
  <c r="AG325"/>
  <c r="AF325"/>
  <c r="AE325"/>
  <c r="AD325"/>
  <c r="AC325"/>
  <c r="AB325"/>
  <c r="AA325"/>
  <c r="DE324"/>
  <c r="BJ324"/>
  <c r="BI324"/>
  <c r="BV324" s="1"/>
  <c r="BH324"/>
  <c r="BU324" s="1"/>
  <c r="BG324"/>
  <c r="BT324" s="1"/>
  <c r="BF324"/>
  <c r="BS324" s="1"/>
  <c r="BE324"/>
  <c r="BR324" s="1"/>
  <c r="BD324"/>
  <c r="BQ324" s="1"/>
  <c r="BC324"/>
  <c r="BP324" s="1"/>
  <c r="BB324"/>
  <c r="BO324" s="1"/>
  <c r="BA324"/>
  <c r="BN324" s="1"/>
  <c r="AZ324"/>
  <c r="BM324" s="1"/>
  <c r="AY324"/>
  <c r="BL324" s="1"/>
  <c r="AX324"/>
  <c r="BW324" s="1"/>
  <c r="AW324"/>
  <c r="CH324" s="1"/>
  <c r="AV324"/>
  <c r="CG324" s="1"/>
  <c r="AU324"/>
  <c r="CF324" s="1"/>
  <c r="AT324"/>
  <c r="CE324" s="1"/>
  <c r="AS324"/>
  <c r="CD324" s="1"/>
  <c r="AR324"/>
  <c r="CC324" s="1"/>
  <c r="AQ324"/>
  <c r="CB324" s="1"/>
  <c r="AP324"/>
  <c r="CA324" s="1"/>
  <c r="AO324"/>
  <c r="BZ324" s="1"/>
  <c r="AN324"/>
  <c r="BY324" s="1"/>
  <c r="AM324"/>
  <c r="BX324" s="1"/>
  <c r="AL324"/>
  <c r="AK324"/>
  <c r="AJ324"/>
  <c r="AI324"/>
  <c r="AH324"/>
  <c r="AG324"/>
  <c r="AF324"/>
  <c r="AE324"/>
  <c r="AD324"/>
  <c r="AC324"/>
  <c r="AB324"/>
  <c r="AA324"/>
  <c r="DE323"/>
  <c r="BJ323"/>
  <c r="BI323"/>
  <c r="BV323" s="1"/>
  <c r="BH323"/>
  <c r="BU323" s="1"/>
  <c r="BG323"/>
  <c r="BT323" s="1"/>
  <c r="BF323"/>
  <c r="BS323" s="1"/>
  <c r="BE323"/>
  <c r="BR323" s="1"/>
  <c r="BD323"/>
  <c r="BQ323" s="1"/>
  <c r="BC323"/>
  <c r="BP323" s="1"/>
  <c r="BB323"/>
  <c r="BO323" s="1"/>
  <c r="BA323"/>
  <c r="BN323" s="1"/>
  <c r="AZ323"/>
  <c r="BM323" s="1"/>
  <c r="AY323"/>
  <c r="BL323" s="1"/>
  <c r="AX323"/>
  <c r="BW323" s="1"/>
  <c r="AW323"/>
  <c r="CH323" s="1"/>
  <c r="AV323"/>
  <c r="CG323" s="1"/>
  <c r="AU323"/>
  <c r="CF323" s="1"/>
  <c r="AT323"/>
  <c r="CE323" s="1"/>
  <c r="AS323"/>
  <c r="CD323" s="1"/>
  <c r="AR323"/>
  <c r="CC323" s="1"/>
  <c r="AQ323"/>
  <c r="CB323" s="1"/>
  <c r="AP323"/>
  <c r="CA323" s="1"/>
  <c r="AO323"/>
  <c r="BZ323" s="1"/>
  <c r="AN323"/>
  <c r="BY323" s="1"/>
  <c r="AM323"/>
  <c r="BX323" s="1"/>
  <c r="AL323"/>
  <c r="AK323"/>
  <c r="AJ323"/>
  <c r="AI323"/>
  <c r="AH323"/>
  <c r="AG323"/>
  <c r="AF323"/>
  <c r="AE323"/>
  <c r="AD323"/>
  <c r="AC323"/>
  <c r="AB323"/>
  <c r="AA323"/>
  <c r="DE322"/>
  <c r="BJ322"/>
  <c r="BI322"/>
  <c r="BV322" s="1"/>
  <c r="BH322"/>
  <c r="BU322" s="1"/>
  <c r="BG322"/>
  <c r="BT322" s="1"/>
  <c r="BF322"/>
  <c r="BS322" s="1"/>
  <c r="BE322"/>
  <c r="BR322" s="1"/>
  <c r="BD322"/>
  <c r="BQ322" s="1"/>
  <c r="BC322"/>
  <c r="BP322" s="1"/>
  <c r="BB322"/>
  <c r="BO322" s="1"/>
  <c r="BA322"/>
  <c r="BN322" s="1"/>
  <c r="AZ322"/>
  <c r="BM322" s="1"/>
  <c r="AY322"/>
  <c r="BL322" s="1"/>
  <c r="AX322"/>
  <c r="BW322" s="1"/>
  <c r="AW322"/>
  <c r="CH322" s="1"/>
  <c r="AV322"/>
  <c r="CG322" s="1"/>
  <c r="AU322"/>
  <c r="CF322" s="1"/>
  <c r="AT322"/>
  <c r="CE322" s="1"/>
  <c r="AS322"/>
  <c r="CD322" s="1"/>
  <c r="AR322"/>
  <c r="CC322" s="1"/>
  <c r="AQ322"/>
  <c r="CB322" s="1"/>
  <c r="AP322"/>
  <c r="CA322" s="1"/>
  <c r="AO322"/>
  <c r="BZ322" s="1"/>
  <c r="AN322"/>
  <c r="BY322" s="1"/>
  <c r="AM322"/>
  <c r="BX322" s="1"/>
  <c r="AL322"/>
  <c r="AK322"/>
  <c r="AJ322"/>
  <c r="AI322"/>
  <c r="AH322"/>
  <c r="AG322"/>
  <c r="AF322"/>
  <c r="AE322"/>
  <c r="AD322"/>
  <c r="AC322"/>
  <c r="AB322"/>
  <c r="AA322"/>
  <c r="DE321"/>
  <c r="BJ321"/>
  <c r="BV321" s="1"/>
  <c r="BI321"/>
  <c r="BH321"/>
  <c r="BU321" s="1"/>
  <c r="BG321"/>
  <c r="BT321" s="1"/>
  <c r="BF321"/>
  <c r="BS321" s="1"/>
  <c r="BE321"/>
  <c r="BR321" s="1"/>
  <c r="BD321"/>
  <c r="BQ321" s="1"/>
  <c r="BC321"/>
  <c r="BP321" s="1"/>
  <c r="BB321"/>
  <c r="BO321" s="1"/>
  <c r="BA321"/>
  <c r="BN321" s="1"/>
  <c r="AZ321"/>
  <c r="BM321" s="1"/>
  <c r="AY321"/>
  <c r="BL321" s="1"/>
  <c r="AX321"/>
  <c r="BW321" s="1"/>
  <c r="AW321"/>
  <c r="CH321" s="1"/>
  <c r="AV321"/>
  <c r="CG321" s="1"/>
  <c r="AU321"/>
  <c r="CF321" s="1"/>
  <c r="AT321"/>
  <c r="CE321" s="1"/>
  <c r="AS321"/>
  <c r="CD321" s="1"/>
  <c r="AR321"/>
  <c r="CC321" s="1"/>
  <c r="AQ321"/>
  <c r="CB321" s="1"/>
  <c r="AP321"/>
  <c r="CA321" s="1"/>
  <c r="AO321"/>
  <c r="BZ321" s="1"/>
  <c r="AN321"/>
  <c r="BY321" s="1"/>
  <c r="AM321"/>
  <c r="BX321" s="1"/>
  <c r="AL321"/>
  <c r="AK321"/>
  <c r="AJ321"/>
  <c r="AI321"/>
  <c r="AH321"/>
  <c r="AG321"/>
  <c r="AF321"/>
  <c r="AE321"/>
  <c r="AD321"/>
  <c r="AC321"/>
  <c r="AB321"/>
  <c r="AA321"/>
  <c r="DE320"/>
  <c r="BJ320"/>
  <c r="BV320" s="1"/>
  <c r="BI320"/>
  <c r="BH320"/>
  <c r="BU320" s="1"/>
  <c r="BG320"/>
  <c r="BT320" s="1"/>
  <c r="BF320"/>
  <c r="BS320" s="1"/>
  <c r="BE320"/>
  <c r="BR320" s="1"/>
  <c r="BD320"/>
  <c r="BQ320" s="1"/>
  <c r="BC320"/>
  <c r="BP320" s="1"/>
  <c r="BB320"/>
  <c r="BO320" s="1"/>
  <c r="BA320"/>
  <c r="BN320" s="1"/>
  <c r="AZ320"/>
  <c r="BM320" s="1"/>
  <c r="AY320"/>
  <c r="BL320" s="1"/>
  <c r="AX320"/>
  <c r="BW320" s="1"/>
  <c r="AW320"/>
  <c r="CH320" s="1"/>
  <c r="AV320"/>
  <c r="CG320" s="1"/>
  <c r="AU320"/>
  <c r="CF320" s="1"/>
  <c r="AT320"/>
  <c r="CE320" s="1"/>
  <c r="AS320"/>
  <c r="CD320" s="1"/>
  <c r="AR320"/>
  <c r="CC320" s="1"/>
  <c r="AQ320"/>
  <c r="CB320" s="1"/>
  <c r="AP320"/>
  <c r="CA320" s="1"/>
  <c r="AO320"/>
  <c r="BZ320" s="1"/>
  <c r="AN320"/>
  <c r="BY320" s="1"/>
  <c r="AM320"/>
  <c r="BX320" s="1"/>
  <c r="AL320"/>
  <c r="AK320"/>
  <c r="AJ320"/>
  <c r="AI320"/>
  <c r="AH320"/>
  <c r="AG320"/>
  <c r="AF320"/>
  <c r="AE320"/>
  <c r="AD320"/>
  <c r="AC320"/>
  <c r="AB320"/>
  <c r="AA320"/>
  <c r="DE319"/>
  <c r="BJ319"/>
  <c r="BV319" s="1"/>
  <c r="BI319"/>
  <c r="BH319"/>
  <c r="BT319" s="1"/>
  <c r="BG319"/>
  <c r="BF319"/>
  <c r="BS319" s="1"/>
  <c r="BE319"/>
  <c r="BR319" s="1"/>
  <c r="BD319"/>
  <c r="BQ319" s="1"/>
  <c r="BC319"/>
  <c r="BP319" s="1"/>
  <c r="BB319"/>
  <c r="BO319" s="1"/>
  <c r="BA319"/>
  <c r="BN319" s="1"/>
  <c r="AZ319"/>
  <c r="BM319" s="1"/>
  <c r="AY319"/>
  <c r="BL319" s="1"/>
  <c r="AX319"/>
  <c r="BW319" s="1"/>
  <c r="AW319"/>
  <c r="CH319" s="1"/>
  <c r="AV319"/>
  <c r="CG319" s="1"/>
  <c r="AU319"/>
  <c r="CF319" s="1"/>
  <c r="AT319"/>
  <c r="CE319" s="1"/>
  <c r="AS319"/>
  <c r="CD319" s="1"/>
  <c r="AR319"/>
  <c r="CC319" s="1"/>
  <c r="AQ319"/>
  <c r="CB319" s="1"/>
  <c r="AP319"/>
  <c r="CA319" s="1"/>
  <c r="AO319"/>
  <c r="BZ319" s="1"/>
  <c r="AN319"/>
  <c r="BY319" s="1"/>
  <c r="AM319"/>
  <c r="BX319" s="1"/>
  <c r="AL319"/>
  <c r="AK319"/>
  <c r="AJ319"/>
  <c r="AI319"/>
  <c r="AH319"/>
  <c r="AG319"/>
  <c r="AF319"/>
  <c r="AE319"/>
  <c r="AD319"/>
  <c r="AC319"/>
  <c r="AB319"/>
  <c r="AA319"/>
  <c r="DE318"/>
  <c r="BJ318"/>
  <c r="BV318" s="1"/>
  <c r="BI318"/>
  <c r="BH318"/>
  <c r="BT318" s="1"/>
  <c r="BG318"/>
  <c r="BF318"/>
  <c r="BR318" s="1"/>
  <c r="BE318"/>
  <c r="BD318"/>
  <c r="BQ318" s="1"/>
  <c r="BC318"/>
  <c r="BP318" s="1"/>
  <c r="BB318"/>
  <c r="BO318" s="1"/>
  <c r="BA318"/>
  <c r="BN318" s="1"/>
  <c r="AZ318"/>
  <c r="BM318" s="1"/>
  <c r="AY318"/>
  <c r="BL318" s="1"/>
  <c r="AX318"/>
  <c r="BW318" s="1"/>
  <c r="AW318"/>
  <c r="CH318" s="1"/>
  <c r="AV318"/>
  <c r="CG318" s="1"/>
  <c r="AU318"/>
  <c r="CF318" s="1"/>
  <c r="AT318"/>
  <c r="CE318" s="1"/>
  <c r="AS318"/>
  <c r="CD318" s="1"/>
  <c r="AR318"/>
  <c r="CC318" s="1"/>
  <c r="AQ318"/>
  <c r="CB318" s="1"/>
  <c r="AP318"/>
  <c r="CA318" s="1"/>
  <c r="AO318"/>
  <c r="BZ318" s="1"/>
  <c r="AN318"/>
  <c r="BY318" s="1"/>
  <c r="AM318"/>
  <c r="BX318" s="1"/>
  <c r="AL318"/>
  <c r="AK318"/>
  <c r="AJ318"/>
  <c r="AI318"/>
  <c r="AH318"/>
  <c r="AG318"/>
  <c r="AF318"/>
  <c r="AE318"/>
  <c r="AD318"/>
  <c r="AC318"/>
  <c r="AB318"/>
  <c r="AA318"/>
  <c r="DE317"/>
  <c r="BJ317"/>
  <c r="BV317" s="1"/>
  <c r="BI317"/>
  <c r="BH317"/>
  <c r="BT317" s="1"/>
  <c r="BG317"/>
  <c r="BF317"/>
  <c r="BR317" s="1"/>
  <c r="BE317"/>
  <c r="BD317"/>
  <c r="BP317" s="1"/>
  <c r="BC317"/>
  <c r="BB317"/>
  <c r="BN317" s="1"/>
  <c r="BA317"/>
  <c r="AZ317"/>
  <c r="BM317" s="1"/>
  <c r="AY317"/>
  <c r="BL317" s="1"/>
  <c r="AX317"/>
  <c r="BW317" s="1"/>
  <c r="AW317"/>
  <c r="CH317" s="1"/>
  <c r="AV317"/>
  <c r="CG317" s="1"/>
  <c r="AU317"/>
  <c r="CF317" s="1"/>
  <c r="AT317"/>
  <c r="CE317" s="1"/>
  <c r="AS317"/>
  <c r="CD317" s="1"/>
  <c r="AR317"/>
  <c r="CC317" s="1"/>
  <c r="AQ317"/>
  <c r="CB317" s="1"/>
  <c r="AP317"/>
  <c r="CA317" s="1"/>
  <c r="AO317"/>
  <c r="BZ317" s="1"/>
  <c r="AN317"/>
  <c r="BY317" s="1"/>
  <c r="AM317"/>
  <c r="BX317" s="1"/>
  <c r="AL317"/>
  <c r="AK317"/>
  <c r="AJ317"/>
  <c r="AI317"/>
  <c r="AH317"/>
  <c r="AG317"/>
  <c r="AF317"/>
  <c r="AE317"/>
  <c r="AD317"/>
  <c r="AC317"/>
  <c r="AB317"/>
  <c r="AA317"/>
  <c r="DE316"/>
  <c r="BJ316"/>
  <c r="BV316" s="1"/>
  <c r="BI316"/>
  <c r="BH316"/>
  <c r="BT316" s="1"/>
  <c r="BG316"/>
  <c r="BF316"/>
  <c r="BR316" s="1"/>
  <c r="BE316"/>
  <c r="BD316"/>
  <c r="BP316" s="1"/>
  <c r="BC316"/>
  <c r="BB316"/>
  <c r="BN316" s="1"/>
  <c r="BA316"/>
  <c r="AZ316"/>
  <c r="BL316" s="1"/>
  <c r="AY316"/>
  <c r="BK316" s="1"/>
  <c r="AX316"/>
  <c r="CH316" s="1"/>
  <c r="AW316"/>
  <c r="AV316"/>
  <c r="CF316" s="1"/>
  <c r="AU316"/>
  <c r="AT316"/>
  <c r="CD316" s="1"/>
  <c r="AS316"/>
  <c r="AR316"/>
  <c r="CB316" s="1"/>
  <c r="AQ316"/>
  <c r="AP316"/>
  <c r="BZ316" s="1"/>
  <c r="AO316"/>
  <c r="AN316"/>
  <c r="BX316" s="1"/>
  <c r="AM316"/>
  <c r="AL316"/>
  <c r="AK316"/>
  <c r="AJ316"/>
  <c r="AI316"/>
  <c r="AH316"/>
  <c r="AG316"/>
  <c r="AF316"/>
  <c r="AE316"/>
  <c r="AD316"/>
  <c r="AC316"/>
  <c r="AB316"/>
  <c r="AA316"/>
  <c r="DE315"/>
  <c r="BJ315"/>
  <c r="BV315" s="1"/>
  <c r="BI315"/>
  <c r="BH315"/>
  <c r="BT315" s="1"/>
  <c r="BG315"/>
  <c r="BF315"/>
  <c r="BR315" s="1"/>
  <c r="BE315"/>
  <c r="BD315"/>
  <c r="BP315" s="1"/>
  <c r="BC315"/>
  <c r="BB315"/>
  <c r="BN315" s="1"/>
  <c r="BA315"/>
  <c r="AZ315"/>
  <c r="BL315" s="1"/>
  <c r="AY315"/>
  <c r="BK315" s="1"/>
  <c r="AX315"/>
  <c r="CH315" s="1"/>
  <c r="AW315"/>
  <c r="AV315"/>
  <c r="CF315" s="1"/>
  <c r="AU315"/>
  <c r="AT315"/>
  <c r="CD315" s="1"/>
  <c r="AS315"/>
  <c r="AR315"/>
  <c r="CB315" s="1"/>
  <c r="AQ315"/>
  <c r="AP315"/>
  <c r="BZ315" s="1"/>
  <c r="AO315"/>
  <c r="AN315"/>
  <c r="BX315" s="1"/>
  <c r="AM315"/>
  <c r="AL315"/>
  <c r="AK315"/>
  <c r="AJ315"/>
  <c r="AI315"/>
  <c r="AH315"/>
  <c r="AG315"/>
  <c r="AF315"/>
  <c r="AE315"/>
  <c r="AD315"/>
  <c r="AC315"/>
  <c r="AB315"/>
  <c r="AA315"/>
  <c r="DE314"/>
  <c r="BJ314"/>
  <c r="BV314" s="1"/>
  <c r="BI314"/>
  <c r="BH314"/>
  <c r="BT314" s="1"/>
  <c r="BG314"/>
  <c r="BF314"/>
  <c r="BR314" s="1"/>
  <c r="BE314"/>
  <c r="BD314"/>
  <c r="BP314" s="1"/>
  <c r="BC314"/>
  <c r="BB314"/>
  <c r="BN314" s="1"/>
  <c r="BA314"/>
  <c r="AZ314"/>
  <c r="BL314" s="1"/>
  <c r="AY314"/>
  <c r="BK314" s="1"/>
  <c r="AX314"/>
  <c r="CH314" s="1"/>
  <c r="AW314"/>
  <c r="AV314"/>
  <c r="CF314" s="1"/>
  <c r="AU314"/>
  <c r="AT314"/>
  <c r="CD314" s="1"/>
  <c r="AS314"/>
  <c r="AR314"/>
  <c r="CB314" s="1"/>
  <c r="AQ314"/>
  <c r="AP314"/>
  <c r="BZ314" s="1"/>
  <c r="AO314"/>
  <c r="AN314"/>
  <c r="BX314" s="1"/>
  <c r="AM314"/>
  <c r="AL314"/>
  <c r="AK314"/>
  <c r="AJ314"/>
  <c r="AI314"/>
  <c r="AH314"/>
  <c r="AG314"/>
  <c r="AF314"/>
  <c r="AE314"/>
  <c r="AD314"/>
  <c r="AC314"/>
  <c r="AB314"/>
  <c r="AA314"/>
  <c r="DE313"/>
  <c r="BJ313"/>
  <c r="BV313" s="1"/>
  <c r="BI313"/>
  <c r="BH313"/>
  <c r="BT313" s="1"/>
  <c r="BG313"/>
  <c r="BF313"/>
  <c r="BR313" s="1"/>
  <c r="BE313"/>
  <c r="BD313"/>
  <c r="BP313" s="1"/>
  <c r="BC313"/>
  <c r="BB313"/>
  <c r="BN313" s="1"/>
  <c r="BA313"/>
  <c r="AZ313"/>
  <c r="BL313" s="1"/>
  <c r="AY313"/>
  <c r="BK313" s="1"/>
  <c r="AX313"/>
  <c r="CH313" s="1"/>
  <c r="AW313"/>
  <c r="AV313"/>
  <c r="CF313" s="1"/>
  <c r="AU313"/>
  <c r="AT313"/>
  <c r="CD313" s="1"/>
  <c r="AS313"/>
  <c r="AR313"/>
  <c r="CB313" s="1"/>
  <c r="AQ313"/>
  <c r="AP313"/>
  <c r="BZ313" s="1"/>
  <c r="AO313"/>
  <c r="AN313"/>
  <c r="BX313" s="1"/>
  <c r="AM313"/>
  <c r="AL313"/>
  <c r="AK313"/>
  <c r="AJ313"/>
  <c r="AI313"/>
  <c r="AH313"/>
  <c r="AG313"/>
  <c r="AF313"/>
  <c r="AE313"/>
  <c r="AD313"/>
  <c r="AC313"/>
  <c r="AB313"/>
  <c r="AA313"/>
  <c r="DE312"/>
  <c r="BJ312"/>
  <c r="BV312" s="1"/>
  <c r="BI312"/>
  <c r="BH312"/>
  <c r="BT312" s="1"/>
  <c r="BG312"/>
  <c r="BF312"/>
  <c r="BR312" s="1"/>
  <c r="BE312"/>
  <c r="BD312"/>
  <c r="BP312" s="1"/>
  <c r="BC312"/>
  <c r="BB312"/>
  <c r="BN312" s="1"/>
  <c r="BA312"/>
  <c r="AZ312"/>
  <c r="BL312" s="1"/>
  <c r="AY312"/>
  <c r="BK312" s="1"/>
  <c r="AX312"/>
  <c r="CH312" s="1"/>
  <c r="AW312"/>
  <c r="AV312"/>
  <c r="CF312" s="1"/>
  <c r="AU312"/>
  <c r="AT312"/>
  <c r="CD312" s="1"/>
  <c r="AS312"/>
  <c r="AR312"/>
  <c r="CB312" s="1"/>
  <c r="AQ312"/>
  <c r="AP312"/>
  <c r="BZ312" s="1"/>
  <c r="AO312"/>
  <c r="AN312"/>
  <c r="BX312" s="1"/>
  <c r="AM312"/>
  <c r="AL312"/>
  <c r="AK312"/>
  <c r="AJ312"/>
  <c r="AI312"/>
  <c r="AH312"/>
  <c r="AG312"/>
  <c r="AF312"/>
  <c r="AE312"/>
  <c r="AD312"/>
  <c r="AC312"/>
  <c r="AB312"/>
  <c r="AA312"/>
  <c r="DE311"/>
  <c r="BJ311"/>
  <c r="BV311" s="1"/>
  <c r="BI311"/>
  <c r="BH311"/>
  <c r="BT311" s="1"/>
  <c r="BG311"/>
  <c r="BF311"/>
  <c r="BR311" s="1"/>
  <c r="BE311"/>
  <c r="BD311"/>
  <c r="BP311" s="1"/>
  <c r="BC311"/>
  <c r="BB311"/>
  <c r="BN311" s="1"/>
  <c r="BA311"/>
  <c r="AZ311"/>
  <c r="BL311" s="1"/>
  <c r="AY311"/>
  <c r="BK311" s="1"/>
  <c r="AX311"/>
  <c r="CH311" s="1"/>
  <c r="AW311"/>
  <c r="AV311"/>
  <c r="CF311" s="1"/>
  <c r="AU311"/>
  <c r="AT311"/>
  <c r="CD311" s="1"/>
  <c r="AS311"/>
  <c r="AR311"/>
  <c r="CB311" s="1"/>
  <c r="AQ311"/>
  <c r="AP311"/>
  <c r="BZ311" s="1"/>
  <c r="AO311"/>
  <c r="AN311"/>
  <c r="BX311" s="1"/>
  <c r="AM311"/>
  <c r="AL311"/>
  <c r="AK311"/>
  <c r="AJ311"/>
  <c r="AI311"/>
  <c r="AH311"/>
  <c r="AG311"/>
  <c r="AF311"/>
  <c r="AE311"/>
  <c r="AD311"/>
  <c r="AC311"/>
  <c r="AB311"/>
  <c r="AA311"/>
  <c r="DE310"/>
  <c r="BJ310"/>
  <c r="BV310" s="1"/>
  <c r="BI310"/>
  <c r="BH310"/>
  <c r="BT310" s="1"/>
  <c r="BG310"/>
  <c r="BF310"/>
  <c r="BR310" s="1"/>
  <c r="BE310"/>
  <c r="BD310"/>
  <c r="BP310" s="1"/>
  <c r="BC310"/>
  <c r="BB310"/>
  <c r="BN310" s="1"/>
  <c r="BA310"/>
  <c r="AZ310"/>
  <c r="BL310" s="1"/>
  <c r="AY310"/>
  <c r="BK310" s="1"/>
  <c r="AX310"/>
  <c r="CH310" s="1"/>
  <c r="AW310"/>
  <c r="AV310"/>
  <c r="CF310" s="1"/>
  <c r="AU310"/>
  <c r="AT310"/>
  <c r="CD310" s="1"/>
  <c r="AS310"/>
  <c r="AR310"/>
  <c r="CB310" s="1"/>
  <c r="AQ310"/>
  <c r="AP310"/>
  <c r="BZ310" s="1"/>
  <c r="AO310"/>
  <c r="AN310"/>
  <c r="BX310" s="1"/>
  <c r="AM310"/>
  <c r="AL310"/>
  <c r="AK310"/>
  <c r="AJ310"/>
  <c r="AI310"/>
  <c r="AH310"/>
  <c r="AG310"/>
  <c r="AF310"/>
  <c r="AE310"/>
  <c r="AD310"/>
  <c r="AC310"/>
  <c r="AB310"/>
  <c r="AA310"/>
  <c r="DE309"/>
  <c r="BJ309"/>
  <c r="BV309" s="1"/>
  <c r="BI309"/>
  <c r="BH309"/>
  <c r="BT309" s="1"/>
  <c r="BG309"/>
  <c r="BF309"/>
  <c r="BR309" s="1"/>
  <c r="BE309"/>
  <c r="BD309"/>
  <c r="BP309" s="1"/>
  <c r="BC309"/>
  <c r="BB309"/>
  <c r="BN309" s="1"/>
  <c r="BA309"/>
  <c r="AZ309"/>
  <c r="BL309" s="1"/>
  <c r="AY309"/>
  <c r="BK309" s="1"/>
  <c r="AX309"/>
  <c r="CH309" s="1"/>
  <c r="AW309"/>
  <c r="AV309"/>
  <c r="CF309" s="1"/>
  <c r="AU309"/>
  <c r="AT309"/>
  <c r="CD309" s="1"/>
  <c r="AS309"/>
  <c r="AR309"/>
  <c r="CB309" s="1"/>
  <c r="AQ309"/>
  <c r="AP309"/>
  <c r="BZ309" s="1"/>
  <c r="AO309"/>
  <c r="AN309"/>
  <c r="BX309" s="1"/>
  <c r="AM309"/>
  <c r="AL309"/>
  <c r="AK309"/>
  <c r="AJ309"/>
  <c r="AI309"/>
  <c r="AH309"/>
  <c r="AG309"/>
  <c r="AF309"/>
  <c r="AE309"/>
  <c r="AD309"/>
  <c r="AC309"/>
  <c r="AB309"/>
  <c r="AA309"/>
  <c r="DE308"/>
  <c r="BJ308"/>
  <c r="BV308" s="1"/>
  <c r="BI308"/>
  <c r="BH308"/>
  <c r="BT308" s="1"/>
  <c r="BG308"/>
  <c r="BF308"/>
  <c r="BR308" s="1"/>
  <c r="BE308"/>
  <c r="BD308"/>
  <c r="BP308" s="1"/>
  <c r="BC308"/>
  <c r="BB308"/>
  <c r="BN308" s="1"/>
  <c r="BA308"/>
  <c r="AZ308"/>
  <c r="BL308" s="1"/>
  <c r="AY308"/>
  <c r="BK308" s="1"/>
  <c r="AX308"/>
  <c r="CH308" s="1"/>
  <c r="AW308"/>
  <c r="AV308"/>
  <c r="CF308" s="1"/>
  <c r="AU308"/>
  <c r="AT308"/>
  <c r="CD308" s="1"/>
  <c r="AS308"/>
  <c r="AR308"/>
  <c r="CB308" s="1"/>
  <c r="AQ308"/>
  <c r="AP308"/>
  <c r="BZ308" s="1"/>
  <c r="AO308"/>
  <c r="AN308"/>
  <c r="BX308" s="1"/>
  <c r="AM308"/>
  <c r="AL308"/>
  <c r="AK308"/>
  <c r="AJ308"/>
  <c r="AI308"/>
  <c r="AH308"/>
  <c r="AG308"/>
  <c r="AF308"/>
  <c r="AE308"/>
  <c r="AD308"/>
  <c r="AC308"/>
  <c r="AB308"/>
  <c r="AA308"/>
  <c r="DE307"/>
  <c r="BJ307"/>
  <c r="BV307" s="1"/>
  <c r="BI307"/>
  <c r="BH307"/>
  <c r="BT307" s="1"/>
  <c r="BG307"/>
  <c r="BF307"/>
  <c r="BR307" s="1"/>
  <c r="BE307"/>
  <c r="BD307"/>
  <c r="BP307" s="1"/>
  <c r="BC307"/>
  <c r="BB307"/>
  <c r="BN307" s="1"/>
  <c r="BA307"/>
  <c r="AZ307"/>
  <c r="BL307" s="1"/>
  <c r="AY307"/>
  <c r="BK307" s="1"/>
  <c r="AX307"/>
  <c r="CH307" s="1"/>
  <c r="AW307"/>
  <c r="AV307"/>
  <c r="CF307" s="1"/>
  <c r="AU307"/>
  <c r="AT307"/>
  <c r="CD307" s="1"/>
  <c r="AS307"/>
  <c r="AR307"/>
  <c r="CB307" s="1"/>
  <c r="AQ307"/>
  <c r="AP307"/>
  <c r="BZ307" s="1"/>
  <c r="AO307"/>
  <c r="AN307"/>
  <c r="BX307" s="1"/>
  <c r="AM307"/>
  <c r="AL307"/>
  <c r="AK307"/>
  <c r="AJ307"/>
  <c r="AI307"/>
  <c r="AH307"/>
  <c r="AG307"/>
  <c r="AF307"/>
  <c r="AE307"/>
  <c r="AD307"/>
  <c r="AC307"/>
  <c r="AB307"/>
  <c r="AA307"/>
  <c r="DE306"/>
  <c r="BJ306"/>
  <c r="BV306" s="1"/>
  <c r="BI306"/>
  <c r="BH306"/>
  <c r="BT306" s="1"/>
  <c r="BG306"/>
  <c r="BF306"/>
  <c r="BR306" s="1"/>
  <c r="BE306"/>
  <c r="BD306"/>
  <c r="BP306" s="1"/>
  <c r="BC306"/>
  <c r="BB306"/>
  <c r="BN306" s="1"/>
  <c r="BA306"/>
  <c r="AZ306"/>
  <c r="BL306" s="1"/>
  <c r="AY306"/>
  <c r="BK306" s="1"/>
  <c r="AX306"/>
  <c r="CH306" s="1"/>
  <c r="AW306"/>
  <c r="AV306"/>
  <c r="CF306" s="1"/>
  <c r="AU306"/>
  <c r="AT306"/>
  <c r="CD306" s="1"/>
  <c r="AS306"/>
  <c r="AR306"/>
  <c r="CB306" s="1"/>
  <c r="AQ306"/>
  <c r="AP306"/>
  <c r="BZ306" s="1"/>
  <c r="AO306"/>
  <c r="AN306"/>
  <c r="BX306" s="1"/>
  <c r="AM306"/>
  <c r="AL306"/>
  <c r="AK306"/>
  <c r="AJ306"/>
  <c r="AI306"/>
  <c r="AH306"/>
  <c r="AG306"/>
  <c r="AF306"/>
  <c r="AE306"/>
  <c r="AD306"/>
  <c r="AC306"/>
  <c r="AB306"/>
  <c r="AA306"/>
  <c r="DE305"/>
  <c r="BJ305"/>
  <c r="BV305" s="1"/>
  <c r="BI305"/>
  <c r="BH305"/>
  <c r="BT305" s="1"/>
  <c r="BG305"/>
  <c r="BF305"/>
  <c r="BR305" s="1"/>
  <c r="BE305"/>
  <c r="BD305"/>
  <c r="BP305" s="1"/>
  <c r="BC305"/>
  <c r="BB305"/>
  <c r="BN305" s="1"/>
  <c r="BA305"/>
  <c r="AZ305"/>
  <c r="BL305" s="1"/>
  <c r="AY305"/>
  <c r="BK305" s="1"/>
  <c r="AX305"/>
  <c r="CH305" s="1"/>
  <c r="AW305"/>
  <c r="AV305"/>
  <c r="CF305" s="1"/>
  <c r="AU305"/>
  <c r="AT305"/>
  <c r="CD305" s="1"/>
  <c r="AS305"/>
  <c r="AR305"/>
  <c r="CB305" s="1"/>
  <c r="AQ305"/>
  <c r="AP305"/>
  <c r="BZ305" s="1"/>
  <c r="AO305"/>
  <c r="AN305"/>
  <c r="BX305" s="1"/>
  <c r="AM305"/>
  <c r="AL305"/>
  <c r="AK305"/>
  <c r="AJ305"/>
  <c r="AI305"/>
  <c r="AH305"/>
  <c r="AG305"/>
  <c r="AF305"/>
  <c r="AE305"/>
  <c r="AD305"/>
  <c r="AC305"/>
  <c r="AB305"/>
  <c r="AA305"/>
  <c r="DE304"/>
  <c r="BJ304"/>
  <c r="BV304" s="1"/>
  <c r="BI304"/>
  <c r="BH304"/>
  <c r="BT304" s="1"/>
  <c r="BG304"/>
  <c r="BF304"/>
  <c r="BR304" s="1"/>
  <c r="BE304"/>
  <c r="BD304"/>
  <c r="BP304" s="1"/>
  <c r="BC304"/>
  <c r="BB304"/>
  <c r="BN304" s="1"/>
  <c r="BA304"/>
  <c r="AZ304"/>
  <c r="BL304" s="1"/>
  <c r="AY304"/>
  <c r="BK304" s="1"/>
  <c r="AX304"/>
  <c r="CH304" s="1"/>
  <c r="AW304"/>
  <c r="AV304"/>
  <c r="CF304" s="1"/>
  <c r="AU304"/>
  <c r="AT304"/>
  <c r="CD304" s="1"/>
  <c r="AS304"/>
  <c r="AR304"/>
  <c r="CB304" s="1"/>
  <c r="AQ304"/>
  <c r="AP304"/>
  <c r="BZ304" s="1"/>
  <c r="AO304"/>
  <c r="AN304"/>
  <c r="BX304" s="1"/>
  <c r="AM304"/>
  <c r="AL304"/>
  <c r="AK304"/>
  <c r="AJ304"/>
  <c r="AI304"/>
  <c r="AH304"/>
  <c r="AG304"/>
  <c r="AF304"/>
  <c r="AE304"/>
  <c r="AD304"/>
  <c r="AC304"/>
  <c r="AB304"/>
  <c r="AA304"/>
  <c r="DE303"/>
  <c r="BJ303"/>
  <c r="BV303" s="1"/>
  <c r="BI303"/>
  <c r="BH303"/>
  <c r="BT303" s="1"/>
  <c r="BG303"/>
  <c r="BF303"/>
  <c r="BR303" s="1"/>
  <c r="BE303"/>
  <c r="BD303"/>
  <c r="BP303" s="1"/>
  <c r="BC303"/>
  <c r="BB303"/>
  <c r="BN303" s="1"/>
  <c r="BA303"/>
  <c r="AZ303"/>
  <c r="BL303" s="1"/>
  <c r="AY303"/>
  <c r="BK303" s="1"/>
  <c r="AX303"/>
  <c r="CH303" s="1"/>
  <c r="AW303"/>
  <c r="AV303"/>
  <c r="CF303" s="1"/>
  <c r="AU303"/>
  <c r="AT303"/>
  <c r="CD303" s="1"/>
  <c r="AS303"/>
  <c r="AR303"/>
  <c r="CB303" s="1"/>
  <c r="AQ303"/>
  <c r="AP303"/>
  <c r="BZ303" s="1"/>
  <c r="AO303"/>
  <c r="AN303"/>
  <c r="BX303" s="1"/>
  <c r="AM303"/>
  <c r="AL303"/>
  <c r="AK303"/>
  <c r="AJ303"/>
  <c r="AI303"/>
  <c r="AH303"/>
  <c r="AG303"/>
  <c r="AF303"/>
  <c r="AE303"/>
  <c r="AD303"/>
  <c r="AC303"/>
  <c r="AB303"/>
  <c r="AA303"/>
  <c r="DE302"/>
  <c r="BJ302"/>
  <c r="BV302" s="1"/>
  <c r="BI302"/>
  <c r="BH302"/>
  <c r="BT302" s="1"/>
  <c r="BG302"/>
  <c r="BF302"/>
  <c r="BR302" s="1"/>
  <c r="BE302"/>
  <c r="BD302"/>
  <c r="BP302" s="1"/>
  <c r="BC302"/>
  <c r="BB302"/>
  <c r="BN302" s="1"/>
  <c r="BA302"/>
  <c r="AZ302"/>
  <c r="BL302" s="1"/>
  <c r="AY302"/>
  <c r="BK302" s="1"/>
  <c r="AX302"/>
  <c r="CH302" s="1"/>
  <c r="AW302"/>
  <c r="AV302"/>
  <c r="CF302" s="1"/>
  <c r="AU302"/>
  <c r="AT302"/>
  <c r="CD302" s="1"/>
  <c r="AS302"/>
  <c r="AR302"/>
  <c r="CB302" s="1"/>
  <c r="AQ302"/>
  <c r="AP302"/>
  <c r="BZ302" s="1"/>
  <c r="AO302"/>
  <c r="AN302"/>
  <c r="BX302" s="1"/>
  <c r="AM302"/>
  <c r="AL302"/>
  <c r="AK302"/>
  <c r="AJ302"/>
  <c r="AI302"/>
  <c r="AH302"/>
  <c r="AG302"/>
  <c r="AF302"/>
  <c r="AE302"/>
  <c r="AD302"/>
  <c r="AC302"/>
  <c r="AB302"/>
  <c r="AA302"/>
  <c r="DE301"/>
  <c r="BJ301"/>
  <c r="BV301" s="1"/>
  <c r="BI301"/>
  <c r="BH301"/>
  <c r="BT301" s="1"/>
  <c r="BG301"/>
  <c r="BF301"/>
  <c r="BR301" s="1"/>
  <c r="BE301"/>
  <c r="BD301"/>
  <c r="BP301" s="1"/>
  <c r="BC301"/>
  <c r="BB301"/>
  <c r="BN301" s="1"/>
  <c r="BA301"/>
  <c r="AZ301"/>
  <c r="BL301" s="1"/>
  <c r="AY301"/>
  <c r="BK301" s="1"/>
  <c r="AX301"/>
  <c r="CH301" s="1"/>
  <c r="AW301"/>
  <c r="AV301"/>
  <c r="CF301" s="1"/>
  <c r="AU301"/>
  <c r="AT301"/>
  <c r="CD301" s="1"/>
  <c r="AS301"/>
  <c r="AR301"/>
  <c r="CB301" s="1"/>
  <c r="AQ301"/>
  <c r="AP301"/>
  <c r="BZ301" s="1"/>
  <c r="AO301"/>
  <c r="AN301"/>
  <c r="BX301" s="1"/>
  <c r="AM301"/>
  <c r="AL301"/>
  <c r="AK301"/>
  <c r="AJ301"/>
  <c r="AI301"/>
  <c r="AH301"/>
  <c r="AG301"/>
  <c r="AF301"/>
  <c r="AE301"/>
  <c r="AD301"/>
  <c r="AC301"/>
  <c r="AB301"/>
  <c r="AA301"/>
  <c r="DE300"/>
  <c r="BJ300"/>
  <c r="BV300" s="1"/>
  <c r="BI300"/>
  <c r="BH300"/>
  <c r="BT300" s="1"/>
  <c r="BG300"/>
  <c r="BF300"/>
  <c r="BR300" s="1"/>
  <c r="BE300"/>
  <c r="BD300"/>
  <c r="BP300" s="1"/>
  <c r="BC300"/>
  <c r="BB300"/>
  <c r="BN300" s="1"/>
  <c r="BA300"/>
  <c r="AZ300"/>
  <c r="BL300" s="1"/>
  <c r="AY300"/>
  <c r="BK300" s="1"/>
  <c r="AX300"/>
  <c r="CH300" s="1"/>
  <c r="AW300"/>
  <c r="AV300"/>
  <c r="CF300" s="1"/>
  <c r="AU300"/>
  <c r="AT300"/>
  <c r="CD300" s="1"/>
  <c r="AS300"/>
  <c r="AR300"/>
  <c r="CB300" s="1"/>
  <c r="AQ300"/>
  <c r="AP300"/>
  <c r="BZ300" s="1"/>
  <c r="AO300"/>
  <c r="AN300"/>
  <c r="BX300" s="1"/>
  <c r="AM300"/>
  <c r="AL300"/>
  <c r="AK300"/>
  <c r="AJ300"/>
  <c r="AI300"/>
  <c r="AH300"/>
  <c r="AG300"/>
  <c r="AF300"/>
  <c r="AE300"/>
  <c r="AD300"/>
  <c r="AC300"/>
  <c r="AB300"/>
  <c r="AA300"/>
  <c r="DE299"/>
  <c r="BJ299"/>
  <c r="BV299" s="1"/>
  <c r="BI299"/>
  <c r="BH299"/>
  <c r="BT299" s="1"/>
  <c r="BG299"/>
  <c r="BF299"/>
  <c r="BR299" s="1"/>
  <c r="BE299"/>
  <c r="BD299"/>
  <c r="BP299" s="1"/>
  <c r="BC299"/>
  <c r="BB299"/>
  <c r="BN299" s="1"/>
  <c r="BA299"/>
  <c r="AZ299"/>
  <c r="BL299" s="1"/>
  <c r="AY299"/>
  <c r="BK299" s="1"/>
  <c r="AX299"/>
  <c r="CH299" s="1"/>
  <c r="AW299"/>
  <c r="AV299"/>
  <c r="CF299" s="1"/>
  <c r="AU299"/>
  <c r="AT299"/>
  <c r="CD299" s="1"/>
  <c r="AS299"/>
  <c r="AR299"/>
  <c r="CB299" s="1"/>
  <c r="AQ299"/>
  <c r="AP299"/>
  <c r="BZ299" s="1"/>
  <c r="AO299"/>
  <c r="AN299"/>
  <c r="BX299" s="1"/>
  <c r="AM299"/>
  <c r="AL299"/>
  <c r="AK299"/>
  <c r="AJ299"/>
  <c r="AI299"/>
  <c r="AH299"/>
  <c r="AG299"/>
  <c r="AF299"/>
  <c r="AE299"/>
  <c r="AD299"/>
  <c r="AC299"/>
  <c r="AB299"/>
  <c r="AA299"/>
  <c r="DE298"/>
  <c r="BJ298"/>
  <c r="BV298" s="1"/>
  <c r="BI298"/>
  <c r="BH298"/>
  <c r="BT298" s="1"/>
  <c r="BG298"/>
  <c r="BF298"/>
  <c r="BR298" s="1"/>
  <c r="BE298"/>
  <c r="BD298"/>
  <c r="BP298" s="1"/>
  <c r="BC298"/>
  <c r="BB298"/>
  <c r="BN298" s="1"/>
  <c r="BA298"/>
  <c r="AZ298"/>
  <c r="BL298" s="1"/>
  <c r="AY298"/>
  <c r="BK298" s="1"/>
  <c r="AX298"/>
  <c r="CH298" s="1"/>
  <c r="AW298"/>
  <c r="AV298"/>
  <c r="CF298" s="1"/>
  <c r="AU298"/>
  <c r="AT298"/>
  <c r="CD298" s="1"/>
  <c r="AS298"/>
  <c r="AR298"/>
  <c r="CB298" s="1"/>
  <c r="AQ298"/>
  <c r="AP298"/>
  <c r="BZ298" s="1"/>
  <c r="AO298"/>
  <c r="AN298"/>
  <c r="BX298" s="1"/>
  <c r="AM298"/>
  <c r="AL298"/>
  <c r="AK298"/>
  <c r="AJ298"/>
  <c r="AI298"/>
  <c r="AH298"/>
  <c r="AG298"/>
  <c r="AF298"/>
  <c r="AE298"/>
  <c r="AD298"/>
  <c r="AC298"/>
  <c r="AB298"/>
  <c r="AA298"/>
  <c r="DE297"/>
  <c r="BJ297"/>
  <c r="BV297" s="1"/>
  <c r="BI297"/>
  <c r="BH297"/>
  <c r="BT297" s="1"/>
  <c r="BG297"/>
  <c r="BF297"/>
  <c r="BR297" s="1"/>
  <c r="BE297"/>
  <c r="BD297"/>
  <c r="BP297" s="1"/>
  <c r="BC297"/>
  <c r="BB297"/>
  <c r="BN297" s="1"/>
  <c r="BA297"/>
  <c r="AZ297"/>
  <c r="BL297" s="1"/>
  <c r="AY297"/>
  <c r="BK297" s="1"/>
  <c r="AX297"/>
  <c r="CH297" s="1"/>
  <c r="AW297"/>
  <c r="AV297"/>
  <c r="CF297" s="1"/>
  <c r="AU297"/>
  <c r="AT297"/>
  <c r="CD297" s="1"/>
  <c r="AS297"/>
  <c r="AR297"/>
  <c r="CB297" s="1"/>
  <c r="AQ297"/>
  <c r="AP297"/>
  <c r="BZ297" s="1"/>
  <c r="AO297"/>
  <c r="AN297"/>
  <c r="BX297" s="1"/>
  <c r="AM297"/>
  <c r="AL297"/>
  <c r="AK297"/>
  <c r="AJ297"/>
  <c r="AI297"/>
  <c r="AH297"/>
  <c r="AG297"/>
  <c r="AF297"/>
  <c r="AE297"/>
  <c r="AD297"/>
  <c r="AC297"/>
  <c r="AB297"/>
  <c r="AA297"/>
  <c r="DE296"/>
  <c r="BJ296"/>
  <c r="BV296" s="1"/>
  <c r="BI296"/>
  <c r="BH296"/>
  <c r="BT296" s="1"/>
  <c r="BG296"/>
  <c r="BF296"/>
  <c r="BR296" s="1"/>
  <c r="BE296"/>
  <c r="BD296"/>
  <c r="BP296" s="1"/>
  <c r="BC296"/>
  <c r="BB296"/>
  <c r="BN296" s="1"/>
  <c r="BA296"/>
  <c r="AZ296"/>
  <c r="BL296" s="1"/>
  <c r="AY296"/>
  <c r="BK296" s="1"/>
  <c r="AX296"/>
  <c r="CH296" s="1"/>
  <c r="AW296"/>
  <c r="AV296"/>
  <c r="CF296" s="1"/>
  <c r="AU296"/>
  <c r="AT296"/>
  <c r="CD296" s="1"/>
  <c r="AS296"/>
  <c r="AR296"/>
  <c r="CB296" s="1"/>
  <c r="AQ296"/>
  <c r="AP296"/>
  <c r="BZ296" s="1"/>
  <c r="AO296"/>
  <c r="AN296"/>
  <c r="BX296" s="1"/>
  <c r="AM296"/>
  <c r="AL296"/>
  <c r="AK296"/>
  <c r="AJ296"/>
  <c r="AI296"/>
  <c r="AH296"/>
  <c r="AG296"/>
  <c r="AF296"/>
  <c r="AE296"/>
  <c r="AD296"/>
  <c r="AC296"/>
  <c r="AB296"/>
  <c r="AA296"/>
  <c r="DE295"/>
  <c r="BJ295"/>
  <c r="BV295" s="1"/>
  <c r="BI295"/>
  <c r="BH295"/>
  <c r="BT295" s="1"/>
  <c r="BG295"/>
  <c r="BF295"/>
  <c r="BR295" s="1"/>
  <c r="BE295"/>
  <c r="BD295"/>
  <c r="BP295" s="1"/>
  <c r="BC295"/>
  <c r="BB295"/>
  <c r="BN295" s="1"/>
  <c r="BA295"/>
  <c r="AZ295"/>
  <c r="BL295" s="1"/>
  <c r="AY295"/>
  <c r="BK295" s="1"/>
  <c r="AX295"/>
  <c r="CH295" s="1"/>
  <c r="AW295"/>
  <c r="AV295"/>
  <c r="CF295" s="1"/>
  <c r="AU295"/>
  <c r="AT295"/>
  <c r="CD295" s="1"/>
  <c r="AS295"/>
  <c r="AR295"/>
  <c r="CB295" s="1"/>
  <c r="AQ295"/>
  <c r="AP295"/>
  <c r="BZ295" s="1"/>
  <c r="AO295"/>
  <c r="AN295"/>
  <c r="BX295" s="1"/>
  <c r="AM295"/>
  <c r="AL295"/>
  <c r="AK295"/>
  <c r="AJ295"/>
  <c r="AI295"/>
  <c r="AH295"/>
  <c r="AG295"/>
  <c r="AF295"/>
  <c r="AE295"/>
  <c r="AD295"/>
  <c r="AC295"/>
  <c r="AB295"/>
  <c r="AA295"/>
  <c r="DE294"/>
  <c r="BJ294"/>
  <c r="BV294" s="1"/>
  <c r="BI294"/>
  <c r="BH294"/>
  <c r="BT294" s="1"/>
  <c r="BG294"/>
  <c r="BF294"/>
  <c r="BR294" s="1"/>
  <c r="BE294"/>
  <c r="BD294"/>
  <c r="BP294" s="1"/>
  <c r="BC294"/>
  <c r="BB294"/>
  <c r="BN294" s="1"/>
  <c r="BA294"/>
  <c r="AZ294"/>
  <c r="BL294" s="1"/>
  <c r="AY294"/>
  <c r="BK294" s="1"/>
  <c r="AX294"/>
  <c r="CH294" s="1"/>
  <c r="AW294"/>
  <c r="AV294"/>
  <c r="CF294" s="1"/>
  <c r="AU294"/>
  <c r="AT294"/>
  <c r="CD294" s="1"/>
  <c r="AS294"/>
  <c r="AR294"/>
  <c r="CB294" s="1"/>
  <c r="AQ294"/>
  <c r="AP294"/>
  <c r="BZ294" s="1"/>
  <c r="AO294"/>
  <c r="AN294"/>
  <c r="BX294" s="1"/>
  <c r="AM294"/>
  <c r="AL294"/>
  <c r="AK294"/>
  <c r="AJ294"/>
  <c r="AI294"/>
  <c r="AH294"/>
  <c r="AG294"/>
  <c r="AF294"/>
  <c r="AE294"/>
  <c r="AD294"/>
  <c r="AC294"/>
  <c r="AB294"/>
  <c r="AA294"/>
  <c r="DE293"/>
  <c r="BJ293"/>
  <c r="BV293" s="1"/>
  <c r="BI293"/>
  <c r="BH293"/>
  <c r="BT293" s="1"/>
  <c r="BG293"/>
  <c r="BF293"/>
  <c r="BR293" s="1"/>
  <c r="BE293"/>
  <c r="BD293"/>
  <c r="BP293" s="1"/>
  <c r="BC293"/>
  <c r="BB293"/>
  <c r="BN293" s="1"/>
  <c r="BA293"/>
  <c r="AZ293"/>
  <c r="BL293" s="1"/>
  <c r="AY293"/>
  <c r="BK293" s="1"/>
  <c r="AX293"/>
  <c r="CH293" s="1"/>
  <c r="AW293"/>
  <c r="AV293"/>
  <c r="CF293" s="1"/>
  <c r="AU293"/>
  <c r="AT293"/>
  <c r="CD293" s="1"/>
  <c r="AS293"/>
  <c r="AR293"/>
  <c r="CB293" s="1"/>
  <c r="AQ293"/>
  <c r="AP293"/>
  <c r="BZ293" s="1"/>
  <c r="AO293"/>
  <c r="AN293"/>
  <c r="BX293" s="1"/>
  <c r="AM293"/>
  <c r="AL293"/>
  <c r="AK293"/>
  <c r="AJ293"/>
  <c r="AI293"/>
  <c r="AH293"/>
  <c r="AG293"/>
  <c r="AF293"/>
  <c r="AE293"/>
  <c r="AD293"/>
  <c r="AC293"/>
  <c r="AB293"/>
  <c r="AA293"/>
  <c r="DE292"/>
  <c r="BJ292"/>
  <c r="BV292" s="1"/>
  <c r="BI292"/>
  <c r="BH292"/>
  <c r="BT292" s="1"/>
  <c r="BG292"/>
  <c r="BF292"/>
  <c r="BR292" s="1"/>
  <c r="BE292"/>
  <c r="BD292"/>
  <c r="BP292" s="1"/>
  <c r="BC292"/>
  <c r="BB292"/>
  <c r="BN292" s="1"/>
  <c r="BA292"/>
  <c r="AZ292"/>
  <c r="BL292" s="1"/>
  <c r="AY292"/>
  <c r="BK292" s="1"/>
  <c r="AX292"/>
  <c r="CH292" s="1"/>
  <c r="AW292"/>
  <c r="AV292"/>
  <c r="CF292" s="1"/>
  <c r="AU292"/>
  <c r="AT292"/>
  <c r="CD292" s="1"/>
  <c r="AS292"/>
  <c r="AR292"/>
  <c r="CB292" s="1"/>
  <c r="AQ292"/>
  <c r="AP292"/>
  <c r="BZ292" s="1"/>
  <c r="AO292"/>
  <c r="AN292"/>
  <c r="BX292" s="1"/>
  <c r="AM292"/>
  <c r="AL292"/>
  <c r="AK292"/>
  <c r="AJ292"/>
  <c r="AI292"/>
  <c r="AH292"/>
  <c r="AG292"/>
  <c r="AF292"/>
  <c r="AE292"/>
  <c r="AD292"/>
  <c r="AC292"/>
  <c r="AB292"/>
  <c r="AA292"/>
  <c r="DE291"/>
  <c r="BJ291"/>
  <c r="BV291" s="1"/>
  <c r="BI291"/>
  <c r="BH291"/>
  <c r="BT291" s="1"/>
  <c r="BG291"/>
  <c r="BF291"/>
  <c r="BR291" s="1"/>
  <c r="BE291"/>
  <c r="BD291"/>
  <c r="BP291" s="1"/>
  <c r="BC291"/>
  <c r="BB291"/>
  <c r="BN291" s="1"/>
  <c r="BA291"/>
  <c r="AZ291"/>
  <c r="BL291" s="1"/>
  <c r="AY291"/>
  <c r="BK291" s="1"/>
  <c r="AX291"/>
  <c r="CH291" s="1"/>
  <c r="AW291"/>
  <c r="AV291"/>
  <c r="CF291" s="1"/>
  <c r="AU291"/>
  <c r="AT291"/>
  <c r="CD291" s="1"/>
  <c r="AS291"/>
  <c r="AR291"/>
  <c r="CB291" s="1"/>
  <c r="AQ291"/>
  <c r="AP291"/>
  <c r="BZ291" s="1"/>
  <c r="AO291"/>
  <c r="AN291"/>
  <c r="BX291" s="1"/>
  <c r="AM291"/>
  <c r="AL291"/>
  <c r="AK291"/>
  <c r="AJ291"/>
  <c r="AI291"/>
  <c r="AH291"/>
  <c r="AG291"/>
  <c r="AF291"/>
  <c r="AE291"/>
  <c r="AD291"/>
  <c r="AC291"/>
  <c r="AB291"/>
  <c r="AA291"/>
  <c r="DE290"/>
  <c r="BJ290"/>
  <c r="BV290" s="1"/>
  <c r="BI290"/>
  <c r="BH290"/>
  <c r="BT290" s="1"/>
  <c r="BG290"/>
  <c r="BF290"/>
  <c r="BR290" s="1"/>
  <c r="BE290"/>
  <c r="BD290"/>
  <c r="BP290" s="1"/>
  <c r="BC290"/>
  <c r="BB290"/>
  <c r="BN290" s="1"/>
  <c r="BA290"/>
  <c r="AZ290"/>
  <c r="BL290" s="1"/>
  <c r="AY290"/>
  <c r="BK290" s="1"/>
  <c r="AX290"/>
  <c r="CH290" s="1"/>
  <c r="AW290"/>
  <c r="AV290"/>
  <c r="CF290" s="1"/>
  <c r="AU290"/>
  <c r="AT290"/>
  <c r="CD290" s="1"/>
  <c r="AS290"/>
  <c r="AR290"/>
  <c r="CB290" s="1"/>
  <c r="AQ290"/>
  <c r="AP290"/>
  <c r="BZ290" s="1"/>
  <c r="AO290"/>
  <c r="AN290"/>
  <c r="BX290" s="1"/>
  <c r="AM290"/>
  <c r="AL290"/>
  <c r="AK290"/>
  <c r="AJ290"/>
  <c r="AI290"/>
  <c r="AH290"/>
  <c r="AG290"/>
  <c r="AF290"/>
  <c r="AE290"/>
  <c r="AD290"/>
  <c r="AC290"/>
  <c r="AB290"/>
  <c r="AA290"/>
  <c r="DE289"/>
  <c r="BJ289"/>
  <c r="BV289" s="1"/>
  <c r="BI289"/>
  <c r="BH289"/>
  <c r="BT289" s="1"/>
  <c r="BG289"/>
  <c r="BF289"/>
  <c r="BR289" s="1"/>
  <c r="BE289"/>
  <c r="BD289"/>
  <c r="BP289" s="1"/>
  <c r="BC289"/>
  <c r="BB289"/>
  <c r="BN289" s="1"/>
  <c r="BA289"/>
  <c r="AZ289"/>
  <c r="BL289" s="1"/>
  <c r="AY289"/>
  <c r="BK289" s="1"/>
  <c r="AX289"/>
  <c r="CH289" s="1"/>
  <c r="AW289"/>
  <c r="AV289"/>
  <c r="CF289" s="1"/>
  <c r="AU289"/>
  <c r="AT289"/>
  <c r="CD289" s="1"/>
  <c r="AS289"/>
  <c r="AR289"/>
  <c r="CB289" s="1"/>
  <c r="AQ289"/>
  <c r="AP289"/>
  <c r="BZ289" s="1"/>
  <c r="AO289"/>
  <c r="AN289"/>
  <c r="BX289" s="1"/>
  <c r="AM289"/>
  <c r="AL289"/>
  <c r="AK289"/>
  <c r="AJ289"/>
  <c r="AI289"/>
  <c r="AH289"/>
  <c r="AG289"/>
  <c r="AF289"/>
  <c r="AE289"/>
  <c r="AD289"/>
  <c r="AC289"/>
  <c r="AB289"/>
  <c r="AA289"/>
  <c r="DE288"/>
  <c r="BJ288"/>
  <c r="BV288" s="1"/>
  <c r="BI288"/>
  <c r="BH288"/>
  <c r="BT288" s="1"/>
  <c r="BG288"/>
  <c r="BF288"/>
  <c r="BR288" s="1"/>
  <c r="BE288"/>
  <c r="BD288"/>
  <c r="BP288" s="1"/>
  <c r="BC288"/>
  <c r="BB288"/>
  <c r="BN288" s="1"/>
  <c r="BA288"/>
  <c r="AZ288"/>
  <c r="BL288" s="1"/>
  <c r="AY288"/>
  <c r="BK288" s="1"/>
  <c r="AX288"/>
  <c r="CH288" s="1"/>
  <c r="AW288"/>
  <c r="AV288"/>
  <c r="CF288" s="1"/>
  <c r="AU288"/>
  <c r="AT288"/>
  <c r="CD288" s="1"/>
  <c r="AS288"/>
  <c r="AR288"/>
  <c r="CB288" s="1"/>
  <c r="AQ288"/>
  <c r="AP288"/>
  <c r="BZ288" s="1"/>
  <c r="AO288"/>
  <c r="AN288"/>
  <c r="BX288" s="1"/>
  <c r="AM288"/>
  <c r="AL288"/>
  <c r="AK288"/>
  <c r="AJ288"/>
  <c r="AI288"/>
  <c r="AH288"/>
  <c r="AG288"/>
  <c r="AF288"/>
  <c r="AE288"/>
  <c r="AD288"/>
  <c r="AC288"/>
  <c r="AB288"/>
  <c r="AA288"/>
  <c r="DE287"/>
  <c r="BJ287"/>
  <c r="BV287" s="1"/>
  <c r="BI287"/>
  <c r="BH287"/>
  <c r="BT287" s="1"/>
  <c r="BG287"/>
  <c r="BF287"/>
  <c r="BR287" s="1"/>
  <c r="BE287"/>
  <c r="BD287"/>
  <c r="BP287" s="1"/>
  <c r="BC287"/>
  <c r="BB287"/>
  <c r="BN287" s="1"/>
  <c r="BA287"/>
  <c r="AZ287"/>
  <c r="BL287" s="1"/>
  <c r="AY287"/>
  <c r="BK287" s="1"/>
  <c r="AX287"/>
  <c r="CH287" s="1"/>
  <c r="AW287"/>
  <c r="AV287"/>
  <c r="CF287" s="1"/>
  <c r="AU287"/>
  <c r="AT287"/>
  <c r="CD287" s="1"/>
  <c r="AS287"/>
  <c r="AR287"/>
  <c r="CB287" s="1"/>
  <c r="AQ287"/>
  <c r="AP287"/>
  <c r="BZ287" s="1"/>
  <c r="AO287"/>
  <c r="AN287"/>
  <c r="BX287" s="1"/>
  <c r="AM287"/>
  <c r="AL287"/>
  <c r="AK287"/>
  <c r="AJ287"/>
  <c r="AI287"/>
  <c r="AH287"/>
  <c r="AG287"/>
  <c r="AF287"/>
  <c r="AE287"/>
  <c r="AD287"/>
  <c r="AC287"/>
  <c r="AB287"/>
  <c r="AA287"/>
  <c r="DE286"/>
  <c r="BJ286"/>
  <c r="BV286" s="1"/>
  <c r="BI286"/>
  <c r="BH286"/>
  <c r="BT286" s="1"/>
  <c r="BG286"/>
  <c r="BF286"/>
  <c r="BR286" s="1"/>
  <c r="BE286"/>
  <c r="BD286"/>
  <c r="BP286" s="1"/>
  <c r="BC286"/>
  <c r="BB286"/>
  <c r="BN286" s="1"/>
  <c r="BA286"/>
  <c r="AZ286"/>
  <c r="BL286" s="1"/>
  <c r="AY286"/>
  <c r="BK286" s="1"/>
  <c r="AX286"/>
  <c r="CH286" s="1"/>
  <c r="AW286"/>
  <c r="AV286"/>
  <c r="CF286" s="1"/>
  <c r="AU286"/>
  <c r="AT286"/>
  <c r="CD286" s="1"/>
  <c r="AS286"/>
  <c r="AR286"/>
  <c r="CB286" s="1"/>
  <c r="AQ286"/>
  <c r="AP286"/>
  <c r="BZ286" s="1"/>
  <c r="AO286"/>
  <c r="AN286"/>
  <c r="BX286" s="1"/>
  <c r="AM286"/>
  <c r="AL286"/>
  <c r="AK286"/>
  <c r="AJ286"/>
  <c r="AI286"/>
  <c r="AH286"/>
  <c r="AG286"/>
  <c r="AF286"/>
  <c r="AE286"/>
  <c r="AD286"/>
  <c r="AC286"/>
  <c r="AB286"/>
  <c r="AA286"/>
  <c r="DE285"/>
  <c r="BJ285"/>
  <c r="BV285" s="1"/>
  <c r="BI285"/>
  <c r="BH285"/>
  <c r="BT285" s="1"/>
  <c r="BG285"/>
  <c r="BF285"/>
  <c r="BR285" s="1"/>
  <c r="BE285"/>
  <c r="BD285"/>
  <c r="BP285" s="1"/>
  <c r="BC285"/>
  <c r="BB285"/>
  <c r="BN285" s="1"/>
  <c r="BA285"/>
  <c r="AZ285"/>
  <c r="BL285" s="1"/>
  <c r="AY285"/>
  <c r="BK285" s="1"/>
  <c r="AX285"/>
  <c r="CH285" s="1"/>
  <c r="AW285"/>
  <c r="AV285"/>
  <c r="CF285" s="1"/>
  <c r="AU285"/>
  <c r="AT285"/>
  <c r="CD285" s="1"/>
  <c r="AS285"/>
  <c r="AR285"/>
  <c r="CB285" s="1"/>
  <c r="AQ285"/>
  <c r="AP285"/>
  <c r="BZ285" s="1"/>
  <c r="AO285"/>
  <c r="AN285"/>
  <c r="BX285" s="1"/>
  <c r="AM285"/>
  <c r="AL285"/>
  <c r="AK285"/>
  <c r="AJ285"/>
  <c r="AI285"/>
  <c r="AH285"/>
  <c r="AG285"/>
  <c r="AF285"/>
  <c r="AE285"/>
  <c r="AD285"/>
  <c r="AC285"/>
  <c r="AB285"/>
  <c r="AA285"/>
  <c r="DE284"/>
  <c r="BJ284"/>
  <c r="BV284" s="1"/>
  <c r="BI284"/>
  <c r="BH284"/>
  <c r="BT284" s="1"/>
  <c r="BG284"/>
  <c r="BF284"/>
  <c r="BR284" s="1"/>
  <c r="BE284"/>
  <c r="BD284"/>
  <c r="BP284" s="1"/>
  <c r="BC284"/>
  <c r="BB284"/>
  <c r="BN284" s="1"/>
  <c r="BA284"/>
  <c r="AZ284"/>
  <c r="BL284" s="1"/>
  <c r="AY284"/>
  <c r="BK284" s="1"/>
  <c r="AX284"/>
  <c r="CH284" s="1"/>
  <c r="AW284"/>
  <c r="AV284"/>
  <c r="CF284" s="1"/>
  <c r="AU284"/>
  <c r="AT284"/>
  <c r="CD284" s="1"/>
  <c r="AS284"/>
  <c r="AR284"/>
  <c r="CB284" s="1"/>
  <c r="AQ284"/>
  <c r="AP284"/>
  <c r="BZ284" s="1"/>
  <c r="AO284"/>
  <c r="AN284"/>
  <c r="BX284" s="1"/>
  <c r="AM284"/>
  <c r="AL284"/>
  <c r="AK284"/>
  <c r="AJ284"/>
  <c r="AI284"/>
  <c r="AH284"/>
  <c r="AG284"/>
  <c r="AF284"/>
  <c r="AE284"/>
  <c r="AD284"/>
  <c r="AC284"/>
  <c r="AB284"/>
  <c r="AA284"/>
  <c r="DE283"/>
  <c r="BJ283"/>
  <c r="BV283" s="1"/>
  <c r="BI283"/>
  <c r="BH283"/>
  <c r="BT283" s="1"/>
  <c r="BG283"/>
  <c r="BF283"/>
  <c r="BR283" s="1"/>
  <c r="BE283"/>
  <c r="BD283"/>
  <c r="BP283" s="1"/>
  <c r="BC283"/>
  <c r="BB283"/>
  <c r="BN283" s="1"/>
  <c r="BA283"/>
  <c r="AZ283"/>
  <c r="BL283" s="1"/>
  <c r="AY283"/>
  <c r="BK283" s="1"/>
  <c r="AX283"/>
  <c r="CH283" s="1"/>
  <c r="AW283"/>
  <c r="AV283"/>
  <c r="CF283" s="1"/>
  <c r="AU283"/>
  <c r="AT283"/>
  <c r="CD283" s="1"/>
  <c r="AS283"/>
  <c r="AR283"/>
  <c r="CB283" s="1"/>
  <c r="AQ283"/>
  <c r="AP283"/>
  <c r="BZ283" s="1"/>
  <c r="AO283"/>
  <c r="AN283"/>
  <c r="BX283" s="1"/>
  <c r="AM283"/>
  <c r="AL283"/>
  <c r="AK283"/>
  <c r="AJ283"/>
  <c r="AI283"/>
  <c r="AH283"/>
  <c r="AG283"/>
  <c r="AF283"/>
  <c r="AE283"/>
  <c r="AD283"/>
  <c r="AC283"/>
  <c r="AB283"/>
  <c r="AA283"/>
  <c r="DE282"/>
  <c r="BJ282"/>
  <c r="BV282" s="1"/>
  <c r="BI282"/>
  <c r="BH282"/>
  <c r="BT282" s="1"/>
  <c r="BG282"/>
  <c r="BF282"/>
  <c r="BR282" s="1"/>
  <c r="BE282"/>
  <c r="BD282"/>
  <c r="BP282" s="1"/>
  <c r="BC282"/>
  <c r="BB282"/>
  <c r="BN282" s="1"/>
  <c r="BA282"/>
  <c r="AZ282"/>
  <c r="BL282" s="1"/>
  <c r="AY282"/>
  <c r="BK282" s="1"/>
  <c r="AX282"/>
  <c r="CH282" s="1"/>
  <c r="AW282"/>
  <c r="AV282"/>
  <c r="CF282" s="1"/>
  <c r="AU282"/>
  <c r="AT282"/>
  <c r="CD282" s="1"/>
  <c r="AS282"/>
  <c r="AR282"/>
  <c r="CB282" s="1"/>
  <c r="AQ282"/>
  <c r="AP282"/>
  <c r="BZ282" s="1"/>
  <c r="AO282"/>
  <c r="AN282"/>
  <c r="BX282" s="1"/>
  <c r="AM282"/>
  <c r="AL282"/>
  <c r="AK282"/>
  <c r="AJ282"/>
  <c r="AI282"/>
  <c r="AH282"/>
  <c r="AG282"/>
  <c r="AF282"/>
  <c r="AE282"/>
  <c r="AD282"/>
  <c r="AC282"/>
  <c r="AB282"/>
  <c r="AA282"/>
  <c r="DE281"/>
  <c r="BJ281"/>
  <c r="BV281" s="1"/>
  <c r="BI281"/>
  <c r="BH281"/>
  <c r="BT281" s="1"/>
  <c r="BG281"/>
  <c r="BF281"/>
  <c r="BR281" s="1"/>
  <c r="BE281"/>
  <c r="BD281"/>
  <c r="BP281" s="1"/>
  <c r="BC281"/>
  <c r="BB281"/>
  <c r="BN281" s="1"/>
  <c r="BA281"/>
  <c r="AZ281"/>
  <c r="BL281" s="1"/>
  <c r="AY281"/>
  <c r="BK281" s="1"/>
  <c r="AX281"/>
  <c r="CH281" s="1"/>
  <c r="AW281"/>
  <c r="AV281"/>
  <c r="CF281" s="1"/>
  <c r="AU281"/>
  <c r="AT281"/>
  <c r="CD281" s="1"/>
  <c r="AS281"/>
  <c r="AR281"/>
  <c r="CB281" s="1"/>
  <c r="AQ281"/>
  <c r="AP281"/>
  <c r="BZ281" s="1"/>
  <c r="AO281"/>
  <c r="AN281"/>
  <c r="BX281" s="1"/>
  <c r="AM281"/>
  <c r="AL281"/>
  <c r="AK281"/>
  <c r="AJ281"/>
  <c r="AI281"/>
  <c r="AH281"/>
  <c r="AG281"/>
  <c r="AF281"/>
  <c r="AE281"/>
  <c r="AD281"/>
  <c r="AC281"/>
  <c r="AB281"/>
  <c r="AA281"/>
  <c r="DE280"/>
  <c r="BJ280"/>
  <c r="BV280" s="1"/>
  <c r="BI280"/>
  <c r="BH280"/>
  <c r="BT280" s="1"/>
  <c r="BG280"/>
  <c r="BF280"/>
  <c r="BR280" s="1"/>
  <c r="BE280"/>
  <c r="BD280"/>
  <c r="BP280" s="1"/>
  <c r="BC280"/>
  <c r="BB280"/>
  <c r="BN280" s="1"/>
  <c r="BA280"/>
  <c r="AZ280"/>
  <c r="BL280" s="1"/>
  <c r="AY280"/>
  <c r="BK280" s="1"/>
  <c r="AX280"/>
  <c r="CH280" s="1"/>
  <c r="AW280"/>
  <c r="AV280"/>
  <c r="CF280" s="1"/>
  <c r="AU280"/>
  <c r="AT280"/>
  <c r="CD280" s="1"/>
  <c r="AS280"/>
  <c r="AR280"/>
  <c r="CB280" s="1"/>
  <c r="AQ280"/>
  <c r="AP280"/>
  <c r="BZ280" s="1"/>
  <c r="AO280"/>
  <c r="AN280"/>
  <c r="BX280" s="1"/>
  <c r="AM280"/>
  <c r="AL280"/>
  <c r="AK280"/>
  <c r="AJ280"/>
  <c r="AI280"/>
  <c r="AH280"/>
  <c r="AG280"/>
  <c r="AF280"/>
  <c r="AE280"/>
  <c r="AD280"/>
  <c r="AC280"/>
  <c r="AB280"/>
  <c r="AA280"/>
  <c r="DE279"/>
  <c r="BJ279"/>
  <c r="BV279" s="1"/>
  <c r="BI279"/>
  <c r="BH279"/>
  <c r="BT279" s="1"/>
  <c r="BG279"/>
  <c r="BF279"/>
  <c r="BR279" s="1"/>
  <c r="BE279"/>
  <c r="BD279"/>
  <c r="BP279" s="1"/>
  <c r="BC279"/>
  <c r="BB279"/>
  <c r="BN279" s="1"/>
  <c r="BA279"/>
  <c r="AZ279"/>
  <c r="BL279" s="1"/>
  <c r="AY279"/>
  <c r="BK279" s="1"/>
  <c r="AX279"/>
  <c r="CH279" s="1"/>
  <c r="AW279"/>
  <c r="AV279"/>
  <c r="CF279" s="1"/>
  <c r="AU279"/>
  <c r="AT279"/>
  <c r="CD279" s="1"/>
  <c r="AS279"/>
  <c r="AR279"/>
  <c r="CB279" s="1"/>
  <c r="AQ279"/>
  <c r="AP279"/>
  <c r="BZ279" s="1"/>
  <c r="AO279"/>
  <c r="AN279"/>
  <c r="BX279" s="1"/>
  <c r="AM279"/>
  <c r="AL279"/>
  <c r="AK279"/>
  <c r="AJ279"/>
  <c r="AI279"/>
  <c r="AH279"/>
  <c r="AG279"/>
  <c r="AF279"/>
  <c r="AE279"/>
  <c r="AD279"/>
  <c r="AC279"/>
  <c r="AB279"/>
  <c r="AA279"/>
  <c r="DE278"/>
  <c r="BJ278"/>
  <c r="BV278" s="1"/>
  <c r="BI278"/>
  <c r="BH278"/>
  <c r="BT278" s="1"/>
  <c r="BG278"/>
  <c r="BF278"/>
  <c r="BR278" s="1"/>
  <c r="BE278"/>
  <c r="BD278"/>
  <c r="BP278" s="1"/>
  <c r="BC278"/>
  <c r="BB278"/>
  <c r="BN278" s="1"/>
  <c r="BA278"/>
  <c r="AZ278"/>
  <c r="BL278" s="1"/>
  <c r="AY278"/>
  <c r="BK278" s="1"/>
  <c r="AX278"/>
  <c r="CH278" s="1"/>
  <c r="AW278"/>
  <c r="AV278"/>
  <c r="CF278" s="1"/>
  <c r="AU278"/>
  <c r="AT278"/>
  <c r="CD278" s="1"/>
  <c r="AS278"/>
  <c r="AR278"/>
  <c r="CB278" s="1"/>
  <c r="AQ278"/>
  <c r="AP278"/>
  <c r="BZ278" s="1"/>
  <c r="AO278"/>
  <c r="AN278"/>
  <c r="BX278" s="1"/>
  <c r="AM278"/>
  <c r="AL278"/>
  <c r="AK278"/>
  <c r="AJ278"/>
  <c r="AI278"/>
  <c r="AH278"/>
  <c r="AG278"/>
  <c r="AF278"/>
  <c r="AE278"/>
  <c r="AD278"/>
  <c r="AC278"/>
  <c r="AB278"/>
  <c r="AA278"/>
  <c r="DE277"/>
  <c r="BJ277"/>
  <c r="BV277" s="1"/>
  <c r="BI277"/>
  <c r="BH277"/>
  <c r="BT277" s="1"/>
  <c r="BG277"/>
  <c r="BF277"/>
  <c r="BR277" s="1"/>
  <c r="BE277"/>
  <c r="BD277"/>
  <c r="BP277" s="1"/>
  <c r="BC277"/>
  <c r="BB277"/>
  <c r="BN277" s="1"/>
  <c r="BA277"/>
  <c r="AZ277"/>
  <c r="BL277" s="1"/>
  <c r="AY277"/>
  <c r="BK277" s="1"/>
  <c r="AX277"/>
  <c r="CH277" s="1"/>
  <c r="AW277"/>
  <c r="AV277"/>
  <c r="CF277" s="1"/>
  <c r="AU277"/>
  <c r="AT277"/>
  <c r="CD277" s="1"/>
  <c r="AS277"/>
  <c r="AR277"/>
  <c r="CB277" s="1"/>
  <c r="AQ277"/>
  <c r="AP277"/>
  <c r="BZ277" s="1"/>
  <c r="AO277"/>
  <c r="AN277"/>
  <c r="BX277" s="1"/>
  <c r="AM277"/>
  <c r="AL277"/>
  <c r="AK277"/>
  <c r="AJ277"/>
  <c r="AI277"/>
  <c r="AH277"/>
  <c r="AG277"/>
  <c r="AF277"/>
  <c r="AE277"/>
  <c r="AD277"/>
  <c r="AC277"/>
  <c r="AB277"/>
  <c r="AA277"/>
  <c r="DE276"/>
  <c r="BJ276"/>
  <c r="BV276" s="1"/>
  <c r="BI276"/>
  <c r="BH276"/>
  <c r="BT276" s="1"/>
  <c r="BG276"/>
  <c r="BF276"/>
  <c r="BR276" s="1"/>
  <c r="BE276"/>
  <c r="BD276"/>
  <c r="BP276" s="1"/>
  <c r="BC276"/>
  <c r="BB276"/>
  <c r="BN276" s="1"/>
  <c r="BA276"/>
  <c r="AZ276"/>
  <c r="BL276" s="1"/>
  <c r="AY276"/>
  <c r="BK276" s="1"/>
  <c r="AX276"/>
  <c r="CH276" s="1"/>
  <c r="AW276"/>
  <c r="AV276"/>
  <c r="CF276" s="1"/>
  <c r="AU276"/>
  <c r="AT276"/>
  <c r="CD276" s="1"/>
  <c r="AS276"/>
  <c r="AR276"/>
  <c r="CB276" s="1"/>
  <c r="AQ276"/>
  <c r="AP276"/>
  <c r="BZ276" s="1"/>
  <c r="AO276"/>
  <c r="AN276"/>
  <c r="BX276" s="1"/>
  <c r="AM276"/>
  <c r="AL276"/>
  <c r="AK276"/>
  <c r="AJ276"/>
  <c r="AI276"/>
  <c r="AH276"/>
  <c r="AG276"/>
  <c r="AF276"/>
  <c r="AE276"/>
  <c r="AD276"/>
  <c r="AC276"/>
  <c r="AB276"/>
  <c r="AA276"/>
  <c r="BJ275"/>
  <c r="BI275"/>
  <c r="BU275" s="1"/>
  <c r="BH275"/>
  <c r="BG275"/>
  <c r="BS275" s="1"/>
  <c r="BF275"/>
  <c r="BE275"/>
  <c r="BQ275" s="1"/>
  <c r="BD275"/>
  <c r="BC275"/>
  <c r="BO275" s="1"/>
  <c r="BB275"/>
  <c r="BA275"/>
  <c r="BM275" s="1"/>
  <c r="AZ275"/>
  <c r="AY275"/>
  <c r="BK275" s="1"/>
  <c r="AX275"/>
  <c r="AW275"/>
  <c r="CG275" s="1"/>
  <c r="AV275"/>
  <c r="AU275"/>
  <c r="CE275" s="1"/>
  <c r="AT275"/>
  <c r="AS275"/>
  <c r="CC275" s="1"/>
  <c r="AR275"/>
  <c r="AQ275"/>
  <c r="CA275" s="1"/>
  <c r="AP275"/>
  <c r="AO275"/>
  <c r="BY275" s="1"/>
  <c r="AN275"/>
  <c r="AM275"/>
  <c r="BW275" s="1"/>
  <c r="AL275"/>
  <c r="AK275"/>
  <c r="AJ275"/>
  <c r="AI275"/>
  <c r="AH275"/>
  <c r="AG275"/>
  <c r="AF275"/>
  <c r="AE275"/>
  <c r="AD275"/>
  <c r="AC275"/>
  <c r="AB275"/>
  <c r="AA275"/>
  <c r="DE274"/>
  <c r="BJ274"/>
  <c r="BI274"/>
  <c r="BU274" s="1"/>
  <c r="BH274"/>
  <c r="BG274"/>
  <c r="BS274" s="1"/>
  <c r="BF274"/>
  <c r="BE274"/>
  <c r="BQ274" s="1"/>
  <c r="BD274"/>
  <c r="BC274"/>
  <c r="BO274" s="1"/>
  <c r="BB274"/>
  <c r="BA274"/>
  <c r="BM274" s="1"/>
  <c r="AZ274"/>
  <c r="AY274"/>
  <c r="BK274" s="1"/>
  <c r="AX274"/>
  <c r="AW274"/>
  <c r="CG274" s="1"/>
  <c r="AV274"/>
  <c r="AU274"/>
  <c r="CE274" s="1"/>
  <c r="AT274"/>
  <c r="AS274"/>
  <c r="CC274" s="1"/>
  <c r="AR274"/>
  <c r="AQ274"/>
  <c r="CA274" s="1"/>
  <c r="AP274"/>
  <c r="AO274"/>
  <c r="BY274" s="1"/>
  <c r="AN274"/>
  <c r="AM274"/>
  <c r="BW274" s="1"/>
  <c r="AL274"/>
  <c r="AK274"/>
  <c r="AJ274"/>
  <c r="AI274"/>
  <c r="AH274"/>
  <c r="AG274"/>
  <c r="AF274"/>
  <c r="AE274"/>
  <c r="AD274"/>
  <c r="AC274"/>
  <c r="AB274"/>
  <c r="AA274"/>
  <c r="DE273"/>
  <c r="BJ273"/>
  <c r="BI273"/>
  <c r="BU273" s="1"/>
  <c r="BH273"/>
  <c r="BG273"/>
  <c r="BS273" s="1"/>
  <c r="BF273"/>
  <c r="BE273"/>
  <c r="BQ273" s="1"/>
  <c r="BD273"/>
  <c r="BC273"/>
  <c r="BO273" s="1"/>
  <c r="BB273"/>
  <c r="BA273"/>
  <c r="BM273" s="1"/>
  <c r="AZ273"/>
  <c r="AY273"/>
  <c r="BK273" s="1"/>
  <c r="AX273"/>
  <c r="AW273"/>
  <c r="CG273" s="1"/>
  <c r="AV273"/>
  <c r="AU273"/>
  <c r="CE273" s="1"/>
  <c r="AT273"/>
  <c r="AS273"/>
  <c r="CC273" s="1"/>
  <c r="AR273"/>
  <c r="AQ273"/>
  <c r="CA273" s="1"/>
  <c r="AP273"/>
  <c r="AO273"/>
  <c r="BY273" s="1"/>
  <c r="AN273"/>
  <c r="AM273"/>
  <c r="BW273" s="1"/>
  <c r="AL273"/>
  <c r="AK273"/>
  <c r="AJ273"/>
  <c r="AI273"/>
  <c r="AH273"/>
  <c r="AG273"/>
  <c r="AF273"/>
  <c r="AE273"/>
  <c r="AD273"/>
  <c r="AC273"/>
  <c r="AB273"/>
  <c r="AA273"/>
  <c r="DE272"/>
  <c r="BJ272"/>
  <c r="BI272"/>
  <c r="BU272" s="1"/>
  <c r="BH272"/>
  <c r="BG272"/>
  <c r="BS272" s="1"/>
  <c r="BF272"/>
  <c r="BE272"/>
  <c r="BQ272" s="1"/>
  <c r="BD272"/>
  <c r="BC272"/>
  <c r="BO272" s="1"/>
  <c r="BB272"/>
  <c r="BA272"/>
  <c r="BM272" s="1"/>
  <c r="AZ272"/>
  <c r="AY272"/>
  <c r="BK272" s="1"/>
  <c r="AX272"/>
  <c r="AW272"/>
  <c r="CG272" s="1"/>
  <c r="AV272"/>
  <c r="AU272"/>
  <c r="CE272" s="1"/>
  <c r="AT272"/>
  <c r="AS272"/>
  <c r="CC272" s="1"/>
  <c r="AR272"/>
  <c r="AQ272"/>
  <c r="CA272" s="1"/>
  <c r="AP272"/>
  <c r="AO272"/>
  <c r="BY272" s="1"/>
  <c r="AN272"/>
  <c r="AM272"/>
  <c r="BW272" s="1"/>
  <c r="AL272"/>
  <c r="AK272"/>
  <c r="AJ272"/>
  <c r="AI272"/>
  <c r="AH272"/>
  <c r="AG272"/>
  <c r="AF272"/>
  <c r="AE272"/>
  <c r="AD272"/>
  <c r="AC272"/>
  <c r="AB272"/>
  <c r="AA272"/>
  <c r="DE271"/>
  <c r="BJ271"/>
  <c r="BI271"/>
  <c r="BU271" s="1"/>
  <c r="BH271"/>
  <c r="BG271"/>
  <c r="BS271" s="1"/>
  <c r="BF271"/>
  <c r="BE271"/>
  <c r="BQ271" s="1"/>
  <c r="BD271"/>
  <c r="BC271"/>
  <c r="BO271" s="1"/>
  <c r="BB271"/>
  <c r="BA271"/>
  <c r="BM271" s="1"/>
  <c r="AZ271"/>
  <c r="AY271"/>
  <c r="BK271" s="1"/>
  <c r="AX271"/>
  <c r="AW271"/>
  <c r="CG271" s="1"/>
  <c r="AV271"/>
  <c r="AU271"/>
  <c r="CE271" s="1"/>
  <c r="AT271"/>
  <c r="AS271"/>
  <c r="CC271" s="1"/>
  <c r="AR271"/>
  <c r="AQ271"/>
  <c r="CA271" s="1"/>
  <c r="AP271"/>
  <c r="AO271"/>
  <c r="BY271" s="1"/>
  <c r="AN271"/>
  <c r="AM271"/>
  <c r="BW271" s="1"/>
  <c r="AL271"/>
  <c r="AK271"/>
  <c r="AJ271"/>
  <c r="AI271"/>
  <c r="AH271"/>
  <c r="AG271"/>
  <c r="AF271"/>
  <c r="AE271"/>
  <c r="AD271"/>
  <c r="AC271"/>
  <c r="AB271"/>
  <c r="AA271"/>
  <c r="DE270"/>
  <c r="BJ270"/>
  <c r="BI270"/>
  <c r="BU270" s="1"/>
  <c r="BH270"/>
  <c r="BG270"/>
  <c r="BS270" s="1"/>
  <c r="BF270"/>
  <c r="BE270"/>
  <c r="BQ270" s="1"/>
  <c r="BD270"/>
  <c r="BC270"/>
  <c r="BO270" s="1"/>
  <c r="BB270"/>
  <c r="BA270"/>
  <c r="BM270" s="1"/>
  <c r="AZ270"/>
  <c r="AY270"/>
  <c r="BK270" s="1"/>
  <c r="AX270"/>
  <c r="AW270"/>
  <c r="CG270" s="1"/>
  <c r="AV270"/>
  <c r="AU270"/>
  <c r="CE270" s="1"/>
  <c r="AT270"/>
  <c r="AS270"/>
  <c r="CC270" s="1"/>
  <c r="AR270"/>
  <c r="AQ270"/>
  <c r="CA270" s="1"/>
  <c r="AP270"/>
  <c r="AO270"/>
  <c r="BY270" s="1"/>
  <c r="AN270"/>
  <c r="AM270"/>
  <c r="BW270" s="1"/>
  <c r="AL270"/>
  <c r="AK270"/>
  <c r="AJ270"/>
  <c r="AI270"/>
  <c r="AH270"/>
  <c r="AG270"/>
  <c r="AF270"/>
  <c r="AE270"/>
  <c r="AD270"/>
  <c r="AC270"/>
  <c r="AB270"/>
  <c r="AA270"/>
  <c r="DE269"/>
  <c r="BJ269"/>
  <c r="BI269"/>
  <c r="BU269" s="1"/>
  <c r="BH269"/>
  <c r="BG269"/>
  <c r="BS269" s="1"/>
  <c r="BF269"/>
  <c r="BE269"/>
  <c r="BQ269" s="1"/>
  <c r="BD269"/>
  <c r="BC269"/>
  <c r="BO269" s="1"/>
  <c r="BB269"/>
  <c r="BA269"/>
  <c r="BM269" s="1"/>
  <c r="AZ269"/>
  <c r="AY269"/>
  <c r="BK269" s="1"/>
  <c r="AX269"/>
  <c r="AW269"/>
  <c r="CG269" s="1"/>
  <c r="AV269"/>
  <c r="AU269"/>
  <c r="CE269" s="1"/>
  <c r="AT269"/>
  <c r="AS269"/>
  <c r="CC269" s="1"/>
  <c r="AR269"/>
  <c r="AQ269"/>
  <c r="CA269" s="1"/>
  <c r="AP269"/>
  <c r="AO269"/>
  <c r="BY269" s="1"/>
  <c r="AN269"/>
  <c r="AM269"/>
  <c r="BW269" s="1"/>
  <c r="AL269"/>
  <c r="AK269"/>
  <c r="AJ269"/>
  <c r="AI269"/>
  <c r="AH269"/>
  <c r="AG269"/>
  <c r="AF269"/>
  <c r="AE269"/>
  <c r="AD269"/>
  <c r="AC269"/>
  <c r="AB269"/>
  <c r="AA269"/>
  <c r="DE268"/>
  <c r="BJ268"/>
  <c r="BI268"/>
  <c r="BU268" s="1"/>
  <c r="BH268"/>
  <c r="BG268"/>
  <c r="BS268" s="1"/>
  <c r="BF268"/>
  <c r="BE268"/>
  <c r="BQ268" s="1"/>
  <c r="BD268"/>
  <c r="BC268"/>
  <c r="BO268" s="1"/>
  <c r="BB268"/>
  <c r="BA268"/>
  <c r="BM268" s="1"/>
  <c r="AZ268"/>
  <c r="AY268"/>
  <c r="BK268" s="1"/>
  <c r="AX268"/>
  <c r="AW268"/>
  <c r="CG268" s="1"/>
  <c r="AV268"/>
  <c r="AU268"/>
  <c r="CE268" s="1"/>
  <c r="AT268"/>
  <c r="AS268"/>
  <c r="CC268" s="1"/>
  <c r="AR268"/>
  <c r="AQ268"/>
  <c r="CA268" s="1"/>
  <c r="AP268"/>
  <c r="AO268"/>
  <c r="BY268" s="1"/>
  <c r="AN268"/>
  <c r="AM268"/>
  <c r="BW268" s="1"/>
  <c r="AL268"/>
  <c r="AK268"/>
  <c r="AJ268"/>
  <c r="AI268"/>
  <c r="AH268"/>
  <c r="AG268"/>
  <c r="AF268"/>
  <c r="AE268"/>
  <c r="AD268"/>
  <c r="AC268"/>
  <c r="AB268"/>
  <c r="AA268"/>
  <c r="DE267"/>
  <c r="BJ267"/>
  <c r="BI267"/>
  <c r="BU267" s="1"/>
  <c r="BH267"/>
  <c r="BG267"/>
  <c r="BS267" s="1"/>
  <c r="BF267"/>
  <c r="BE267"/>
  <c r="BQ267" s="1"/>
  <c r="BD267"/>
  <c r="BC267"/>
  <c r="BO267" s="1"/>
  <c r="BB267"/>
  <c r="BA267"/>
  <c r="BM267" s="1"/>
  <c r="AZ267"/>
  <c r="AY267"/>
  <c r="BK267" s="1"/>
  <c r="AX267"/>
  <c r="AW267"/>
  <c r="CG267" s="1"/>
  <c r="AV267"/>
  <c r="AU267"/>
  <c r="CE267" s="1"/>
  <c r="AT267"/>
  <c r="AS267"/>
  <c r="CC267" s="1"/>
  <c r="AR267"/>
  <c r="AQ267"/>
  <c r="CA267" s="1"/>
  <c r="AP267"/>
  <c r="AO267"/>
  <c r="BY267" s="1"/>
  <c r="AN267"/>
  <c r="AM267"/>
  <c r="BW267" s="1"/>
  <c r="AL267"/>
  <c r="AK267"/>
  <c r="AJ267"/>
  <c r="AI267"/>
  <c r="AH267"/>
  <c r="AG267"/>
  <c r="AF267"/>
  <c r="AE267"/>
  <c r="AD267"/>
  <c r="AC267"/>
  <c r="AB267"/>
  <c r="AA267"/>
  <c r="DE266"/>
  <c r="BJ266"/>
  <c r="BI266"/>
  <c r="BU266" s="1"/>
  <c r="BH266"/>
  <c r="BG266"/>
  <c r="BS266" s="1"/>
  <c r="BF266"/>
  <c r="BE266"/>
  <c r="BQ266" s="1"/>
  <c r="BD266"/>
  <c r="BC266"/>
  <c r="BO266" s="1"/>
  <c r="BB266"/>
  <c r="BA266"/>
  <c r="BM266" s="1"/>
  <c r="AZ266"/>
  <c r="AY266"/>
  <c r="BK266" s="1"/>
  <c r="AX266"/>
  <c r="AW266"/>
  <c r="CG266" s="1"/>
  <c r="AV266"/>
  <c r="AU266"/>
  <c r="CE266" s="1"/>
  <c r="AT266"/>
  <c r="AS266"/>
  <c r="CC266" s="1"/>
  <c r="AR266"/>
  <c r="AQ266"/>
  <c r="CA266" s="1"/>
  <c r="AP266"/>
  <c r="AO266"/>
  <c r="BY266" s="1"/>
  <c r="AN266"/>
  <c r="AM266"/>
  <c r="BW266" s="1"/>
  <c r="AL266"/>
  <c r="AK266"/>
  <c r="AJ266"/>
  <c r="AI266"/>
  <c r="AH266"/>
  <c r="AG266"/>
  <c r="AF266"/>
  <c r="AE266"/>
  <c r="AD266"/>
  <c r="AC266"/>
  <c r="AB266"/>
  <c r="AA266"/>
  <c r="DE265"/>
  <c r="BJ265"/>
  <c r="BI265"/>
  <c r="BU265" s="1"/>
  <c r="BH265"/>
  <c r="BG265"/>
  <c r="BS265" s="1"/>
  <c r="BF265"/>
  <c r="BE265"/>
  <c r="BQ265" s="1"/>
  <c r="BD265"/>
  <c r="BC265"/>
  <c r="BO265" s="1"/>
  <c r="BB265"/>
  <c r="BA265"/>
  <c r="BM265" s="1"/>
  <c r="AZ265"/>
  <c r="AY265"/>
  <c r="BK265" s="1"/>
  <c r="AX265"/>
  <c r="AW265"/>
  <c r="CG265" s="1"/>
  <c r="AV265"/>
  <c r="AU265"/>
  <c r="CE265" s="1"/>
  <c r="AT265"/>
  <c r="AS265"/>
  <c r="CC265" s="1"/>
  <c r="AR265"/>
  <c r="AQ265"/>
  <c r="CA265" s="1"/>
  <c r="AP265"/>
  <c r="AO265"/>
  <c r="BY265" s="1"/>
  <c r="AN265"/>
  <c r="AM265"/>
  <c r="BW265" s="1"/>
  <c r="AL265"/>
  <c r="AK265"/>
  <c r="AJ265"/>
  <c r="AI265"/>
  <c r="AH265"/>
  <c r="AG265"/>
  <c r="AF265"/>
  <c r="AE265"/>
  <c r="AD265"/>
  <c r="AC265"/>
  <c r="AB265"/>
  <c r="AA265"/>
  <c r="DE264"/>
  <c r="BJ264"/>
  <c r="BI264"/>
  <c r="BU264" s="1"/>
  <c r="BH264"/>
  <c r="BG264"/>
  <c r="BS264" s="1"/>
  <c r="BF264"/>
  <c r="BE264"/>
  <c r="BQ264" s="1"/>
  <c r="BD264"/>
  <c r="BC264"/>
  <c r="BO264" s="1"/>
  <c r="BB264"/>
  <c r="BA264"/>
  <c r="BM264" s="1"/>
  <c r="AZ264"/>
  <c r="AY264"/>
  <c r="BK264" s="1"/>
  <c r="AX264"/>
  <c r="AW264"/>
  <c r="CG264" s="1"/>
  <c r="AV264"/>
  <c r="AU264"/>
  <c r="CE264" s="1"/>
  <c r="AT264"/>
  <c r="AS264"/>
  <c r="CC264" s="1"/>
  <c r="AR264"/>
  <c r="AQ264"/>
  <c r="CA264" s="1"/>
  <c r="AP264"/>
  <c r="AO264"/>
  <c r="BY264" s="1"/>
  <c r="AN264"/>
  <c r="AM264"/>
  <c r="BW264" s="1"/>
  <c r="AL264"/>
  <c r="AK264"/>
  <c r="AJ264"/>
  <c r="AI264"/>
  <c r="AH264"/>
  <c r="AG264"/>
  <c r="AF264"/>
  <c r="AE264"/>
  <c r="AD264"/>
  <c r="AC264"/>
  <c r="AB264"/>
  <c r="AA264"/>
  <c r="DE263"/>
  <c r="BJ263"/>
  <c r="BI263"/>
  <c r="BU263" s="1"/>
  <c r="BH263"/>
  <c r="BG263"/>
  <c r="BS263" s="1"/>
  <c r="BF263"/>
  <c r="BE263"/>
  <c r="BQ263" s="1"/>
  <c r="BD263"/>
  <c r="BC263"/>
  <c r="BO263" s="1"/>
  <c r="BB263"/>
  <c r="BA263"/>
  <c r="BM263" s="1"/>
  <c r="AZ263"/>
  <c r="AY263"/>
  <c r="BK263" s="1"/>
  <c r="AX263"/>
  <c r="AW263"/>
  <c r="CG263" s="1"/>
  <c r="AV263"/>
  <c r="AU263"/>
  <c r="CE263" s="1"/>
  <c r="AT263"/>
  <c r="AS263"/>
  <c r="CC263" s="1"/>
  <c r="AR263"/>
  <c r="AQ263"/>
  <c r="CA263" s="1"/>
  <c r="AP263"/>
  <c r="AO263"/>
  <c r="BY263" s="1"/>
  <c r="AN263"/>
  <c r="AM263"/>
  <c r="BW263" s="1"/>
  <c r="AL263"/>
  <c r="AK263"/>
  <c r="AJ263"/>
  <c r="AI263"/>
  <c r="AH263"/>
  <c r="AG263"/>
  <c r="AF263"/>
  <c r="AE263"/>
  <c r="AD263"/>
  <c r="AC263"/>
  <c r="AB263"/>
  <c r="AA263"/>
  <c r="DE262"/>
  <c r="BJ262"/>
  <c r="BI262"/>
  <c r="BU262" s="1"/>
  <c r="BH262"/>
  <c r="BG262"/>
  <c r="BS262" s="1"/>
  <c r="BF262"/>
  <c r="BE262"/>
  <c r="BQ262" s="1"/>
  <c r="BD262"/>
  <c r="BC262"/>
  <c r="BO262" s="1"/>
  <c r="BB262"/>
  <c r="BA262"/>
  <c r="BM262" s="1"/>
  <c r="AZ262"/>
  <c r="AY262"/>
  <c r="BK262" s="1"/>
  <c r="AX262"/>
  <c r="AW262"/>
  <c r="CG262" s="1"/>
  <c r="AV262"/>
  <c r="AU262"/>
  <c r="CE262" s="1"/>
  <c r="AT262"/>
  <c r="AS262"/>
  <c r="CC262" s="1"/>
  <c r="AR262"/>
  <c r="AQ262"/>
  <c r="CA262" s="1"/>
  <c r="AP262"/>
  <c r="AO262"/>
  <c r="BY262" s="1"/>
  <c r="AN262"/>
  <c r="AM262"/>
  <c r="BW262" s="1"/>
  <c r="AL262"/>
  <c r="AK262"/>
  <c r="AJ262"/>
  <c r="AI262"/>
  <c r="AH262"/>
  <c r="AG262"/>
  <c r="AF262"/>
  <c r="AE262"/>
  <c r="AD262"/>
  <c r="AC262"/>
  <c r="AB262"/>
  <c r="AA262"/>
  <c r="DE261"/>
  <c r="BJ261"/>
  <c r="BI261"/>
  <c r="BU261" s="1"/>
  <c r="BH261"/>
  <c r="BG261"/>
  <c r="BS261" s="1"/>
  <c r="BF261"/>
  <c r="BE261"/>
  <c r="BQ261" s="1"/>
  <c r="BD261"/>
  <c r="BC261"/>
  <c r="BO261" s="1"/>
  <c r="BB261"/>
  <c r="BA261"/>
  <c r="BM261" s="1"/>
  <c r="AZ261"/>
  <c r="AY261"/>
  <c r="BK261" s="1"/>
  <c r="AX261"/>
  <c r="AW261"/>
  <c r="CG261" s="1"/>
  <c r="AV261"/>
  <c r="AU261"/>
  <c r="CE261" s="1"/>
  <c r="AT261"/>
  <c r="AS261"/>
  <c r="CC261" s="1"/>
  <c r="AR261"/>
  <c r="AQ261"/>
  <c r="CA261" s="1"/>
  <c r="AP261"/>
  <c r="AO261"/>
  <c r="BY261" s="1"/>
  <c r="AN261"/>
  <c r="AM261"/>
  <c r="BW261" s="1"/>
  <c r="AL261"/>
  <c r="AK261"/>
  <c r="AJ261"/>
  <c r="AI261"/>
  <c r="AH261"/>
  <c r="AG261"/>
  <c r="AF261"/>
  <c r="AE261"/>
  <c r="AD261"/>
  <c r="AC261"/>
  <c r="AB261"/>
  <c r="AA261"/>
  <c r="DE260"/>
  <c r="BJ260"/>
  <c r="BI260"/>
  <c r="BU260" s="1"/>
  <c r="BH260"/>
  <c r="BG260"/>
  <c r="BS260" s="1"/>
  <c r="BF260"/>
  <c r="BE260"/>
  <c r="BQ260" s="1"/>
  <c r="BD260"/>
  <c r="BC260"/>
  <c r="BO260" s="1"/>
  <c r="BB260"/>
  <c r="BA260"/>
  <c r="BM260" s="1"/>
  <c r="AZ260"/>
  <c r="AY260"/>
  <c r="BK260" s="1"/>
  <c r="AX260"/>
  <c r="AW260"/>
  <c r="CG260" s="1"/>
  <c r="AV260"/>
  <c r="AU260"/>
  <c r="CE260" s="1"/>
  <c r="AT260"/>
  <c r="AS260"/>
  <c r="CC260" s="1"/>
  <c r="AR260"/>
  <c r="AQ260"/>
  <c r="CA260" s="1"/>
  <c r="AP260"/>
  <c r="AO260"/>
  <c r="BY260" s="1"/>
  <c r="AN260"/>
  <c r="AM260"/>
  <c r="BW260" s="1"/>
  <c r="AL260"/>
  <c r="AK260"/>
  <c r="AJ260"/>
  <c r="AI260"/>
  <c r="AH260"/>
  <c r="AG260"/>
  <c r="AF260"/>
  <c r="AE260"/>
  <c r="AD260"/>
  <c r="AC260"/>
  <c r="AB260"/>
  <c r="AA260"/>
  <c r="DE259"/>
  <c r="BJ259"/>
  <c r="BI259"/>
  <c r="BU259" s="1"/>
  <c r="BH259"/>
  <c r="BG259"/>
  <c r="BS259" s="1"/>
  <c r="BF259"/>
  <c r="BE259"/>
  <c r="BQ259" s="1"/>
  <c r="BD259"/>
  <c r="BC259"/>
  <c r="BO259" s="1"/>
  <c r="BB259"/>
  <c r="BA259"/>
  <c r="BM259" s="1"/>
  <c r="AZ259"/>
  <c r="AY259"/>
  <c r="BK259" s="1"/>
  <c r="AX259"/>
  <c r="AW259"/>
  <c r="CG259" s="1"/>
  <c r="AV259"/>
  <c r="AU259"/>
  <c r="CE259" s="1"/>
  <c r="AT259"/>
  <c r="AS259"/>
  <c r="CC259" s="1"/>
  <c r="AR259"/>
  <c r="AQ259"/>
  <c r="CA259" s="1"/>
  <c r="AP259"/>
  <c r="AO259"/>
  <c r="BY259" s="1"/>
  <c r="AN259"/>
  <c r="AM259"/>
  <c r="BW259" s="1"/>
  <c r="AL259"/>
  <c r="AK259"/>
  <c r="AJ259"/>
  <c r="AI259"/>
  <c r="AH259"/>
  <c r="AG259"/>
  <c r="AF259"/>
  <c r="AE259"/>
  <c r="AD259"/>
  <c r="AC259"/>
  <c r="AB259"/>
  <c r="AA259"/>
  <c r="DE258"/>
  <c r="BJ258"/>
  <c r="BI258"/>
  <c r="BU258" s="1"/>
  <c r="BH258"/>
  <c r="BG258"/>
  <c r="BS258" s="1"/>
  <c r="BF258"/>
  <c r="BE258"/>
  <c r="BQ258" s="1"/>
  <c r="BD258"/>
  <c r="BC258"/>
  <c r="BO258" s="1"/>
  <c r="BB258"/>
  <c r="BA258"/>
  <c r="BM258" s="1"/>
  <c r="AZ258"/>
  <c r="AY258"/>
  <c r="BK258" s="1"/>
  <c r="AX258"/>
  <c r="AW258"/>
  <c r="CG258" s="1"/>
  <c r="AV258"/>
  <c r="AU258"/>
  <c r="CE258" s="1"/>
  <c r="AT258"/>
  <c r="AS258"/>
  <c r="CC258" s="1"/>
  <c r="AR258"/>
  <c r="AQ258"/>
  <c r="CA258" s="1"/>
  <c r="AP258"/>
  <c r="AO258"/>
  <c r="BY258" s="1"/>
  <c r="AN258"/>
  <c r="AM258"/>
  <c r="BW258" s="1"/>
  <c r="AL258"/>
  <c r="AK258"/>
  <c r="AJ258"/>
  <c r="AI258"/>
  <c r="AH258"/>
  <c r="AG258"/>
  <c r="AF258"/>
  <c r="AE258"/>
  <c r="AD258"/>
  <c r="AC258"/>
  <c r="AB258"/>
  <c r="AA258"/>
  <c r="DE257"/>
  <c r="BJ257"/>
  <c r="BI257"/>
  <c r="BU257" s="1"/>
  <c r="BH257"/>
  <c r="BG257"/>
  <c r="BS257" s="1"/>
  <c r="BF257"/>
  <c r="BE257"/>
  <c r="BQ257" s="1"/>
  <c r="BD257"/>
  <c r="BC257"/>
  <c r="BO257" s="1"/>
  <c r="BB257"/>
  <c r="BA257"/>
  <c r="BM257" s="1"/>
  <c r="AZ257"/>
  <c r="AY257"/>
  <c r="BK257" s="1"/>
  <c r="AX257"/>
  <c r="AW257"/>
  <c r="CG257" s="1"/>
  <c r="AV257"/>
  <c r="AU257"/>
  <c r="CE257" s="1"/>
  <c r="AT257"/>
  <c r="AS257"/>
  <c r="CC257" s="1"/>
  <c r="AR257"/>
  <c r="AQ257"/>
  <c r="CA257" s="1"/>
  <c r="AP257"/>
  <c r="AO257"/>
  <c r="BY257" s="1"/>
  <c r="AN257"/>
  <c r="AM257"/>
  <c r="BW257" s="1"/>
  <c r="AL257"/>
  <c r="AK257"/>
  <c r="AJ257"/>
  <c r="AI257"/>
  <c r="AH257"/>
  <c r="AG257"/>
  <c r="AF257"/>
  <c r="AE257"/>
  <c r="AD257"/>
  <c r="AC257"/>
  <c r="AB257"/>
  <c r="AA257"/>
  <c r="DE256"/>
  <c r="BJ256"/>
  <c r="BI256"/>
  <c r="BU256" s="1"/>
  <c r="BH256"/>
  <c r="BG256"/>
  <c r="BS256" s="1"/>
  <c r="BF256"/>
  <c r="BE256"/>
  <c r="BQ256" s="1"/>
  <c r="BD256"/>
  <c r="BC256"/>
  <c r="BO256" s="1"/>
  <c r="BB256"/>
  <c r="BA256"/>
  <c r="BM256" s="1"/>
  <c r="AZ256"/>
  <c r="AY256"/>
  <c r="BK256" s="1"/>
  <c r="AX256"/>
  <c r="AW256"/>
  <c r="CG256" s="1"/>
  <c r="AV256"/>
  <c r="AU256"/>
  <c r="CE256" s="1"/>
  <c r="AT256"/>
  <c r="AS256"/>
  <c r="CC256" s="1"/>
  <c r="AR256"/>
  <c r="AQ256"/>
  <c r="CA256" s="1"/>
  <c r="AP256"/>
  <c r="AO256"/>
  <c r="BY256" s="1"/>
  <c r="AN256"/>
  <c r="AM256"/>
  <c r="BW256" s="1"/>
  <c r="AL256"/>
  <c r="AK256"/>
  <c r="AJ256"/>
  <c r="AI256"/>
  <c r="AH256"/>
  <c r="AG256"/>
  <c r="AF256"/>
  <c r="AE256"/>
  <c r="AD256"/>
  <c r="AC256"/>
  <c r="AB256"/>
  <c r="AA256"/>
  <c r="DE255"/>
  <c r="BJ255"/>
  <c r="BI255"/>
  <c r="BU255" s="1"/>
  <c r="BH255"/>
  <c r="BG255"/>
  <c r="BS255" s="1"/>
  <c r="BF255"/>
  <c r="BE255"/>
  <c r="BQ255" s="1"/>
  <c r="BD255"/>
  <c r="BC255"/>
  <c r="BO255" s="1"/>
  <c r="BB255"/>
  <c r="BA255"/>
  <c r="BM255" s="1"/>
  <c r="AZ255"/>
  <c r="AY255"/>
  <c r="BK255" s="1"/>
  <c r="AX255"/>
  <c r="AW255"/>
  <c r="CG255" s="1"/>
  <c r="AV255"/>
  <c r="AU255"/>
  <c r="CE255" s="1"/>
  <c r="AT255"/>
  <c r="AS255"/>
  <c r="CC255" s="1"/>
  <c r="AR255"/>
  <c r="AQ255"/>
  <c r="CA255" s="1"/>
  <c r="AP255"/>
  <c r="AO255"/>
  <c r="BY255" s="1"/>
  <c r="AN255"/>
  <c r="AM255"/>
  <c r="BW255" s="1"/>
  <c r="AL255"/>
  <c r="AK255"/>
  <c r="AJ255"/>
  <c r="AI255"/>
  <c r="AH255"/>
  <c r="AG255"/>
  <c r="AF255"/>
  <c r="AE255"/>
  <c r="AD255"/>
  <c r="AC255"/>
  <c r="AB255"/>
  <c r="AA255"/>
  <c r="DE254"/>
  <c r="BJ254"/>
  <c r="BI254"/>
  <c r="BU254" s="1"/>
  <c r="BH254"/>
  <c r="BG254"/>
  <c r="BS254" s="1"/>
  <c r="BF254"/>
  <c r="BE254"/>
  <c r="BQ254" s="1"/>
  <c r="BD254"/>
  <c r="BC254"/>
  <c r="BO254" s="1"/>
  <c r="BB254"/>
  <c r="BA254"/>
  <c r="BM254" s="1"/>
  <c r="AZ254"/>
  <c r="AY254"/>
  <c r="BK254" s="1"/>
  <c r="AX254"/>
  <c r="AW254"/>
  <c r="CG254" s="1"/>
  <c r="AV254"/>
  <c r="AU254"/>
  <c r="CE254" s="1"/>
  <c r="AT254"/>
  <c r="AS254"/>
  <c r="CC254" s="1"/>
  <c r="AR254"/>
  <c r="AQ254"/>
  <c r="CA254" s="1"/>
  <c r="AP254"/>
  <c r="AO254"/>
  <c r="BY254" s="1"/>
  <c r="AN254"/>
  <c r="AM254"/>
  <c r="BW254" s="1"/>
  <c r="AL254"/>
  <c r="AK254"/>
  <c r="AJ254"/>
  <c r="AI254"/>
  <c r="AH254"/>
  <c r="AG254"/>
  <c r="AF254"/>
  <c r="AE254"/>
  <c r="AD254"/>
  <c r="AC254"/>
  <c r="AB254"/>
  <c r="AA254"/>
  <c r="DE253"/>
  <c r="BJ253"/>
  <c r="BI253"/>
  <c r="BU253" s="1"/>
  <c r="BH253"/>
  <c r="BG253"/>
  <c r="BS253" s="1"/>
  <c r="BF253"/>
  <c r="BE253"/>
  <c r="BQ253" s="1"/>
  <c r="BD253"/>
  <c r="BC253"/>
  <c r="BO253" s="1"/>
  <c r="BB253"/>
  <c r="BA253"/>
  <c r="BM253" s="1"/>
  <c r="AZ253"/>
  <c r="AY253"/>
  <c r="BK253" s="1"/>
  <c r="AX253"/>
  <c r="AW253"/>
  <c r="CG253" s="1"/>
  <c r="AV253"/>
  <c r="AU253"/>
  <c r="CE253" s="1"/>
  <c r="AT253"/>
  <c r="AS253"/>
  <c r="CC253" s="1"/>
  <c r="AR253"/>
  <c r="AQ253"/>
  <c r="CA253" s="1"/>
  <c r="AP253"/>
  <c r="AO253"/>
  <c r="BY253" s="1"/>
  <c r="AN253"/>
  <c r="AM253"/>
  <c r="BW253" s="1"/>
  <c r="AL253"/>
  <c r="AK253"/>
  <c r="AJ253"/>
  <c r="AI253"/>
  <c r="AH253"/>
  <c r="AG253"/>
  <c r="AF253"/>
  <c r="AE253"/>
  <c r="AD253"/>
  <c r="AC253"/>
  <c r="AB253"/>
  <c r="AA253"/>
  <c r="DE252"/>
  <c r="BJ252"/>
  <c r="BI252"/>
  <c r="BU252" s="1"/>
  <c r="BH252"/>
  <c r="BG252"/>
  <c r="BS252" s="1"/>
  <c r="BF252"/>
  <c r="BE252"/>
  <c r="BQ252" s="1"/>
  <c r="BD252"/>
  <c r="BC252"/>
  <c r="BO252" s="1"/>
  <c r="BB252"/>
  <c r="BA252"/>
  <c r="BM252" s="1"/>
  <c r="AZ252"/>
  <c r="AY252"/>
  <c r="BK252" s="1"/>
  <c r="AX252"/>
  <c r="AW252"/>
  <c r="CG252" s="1"/>
  <c r="AV252"/>
  <c r="AU252"/>
  <c r="CE252" s="1"/>
  <c r="AT252"/>
  <c r="AS252"/>
  <c r="CC252" s="1"/>
  <c r="AR252"/>
  <c r="AQ252"/>
  <c r="CA252" s="1"/>
  <c r="AP252"/>
  <c r="AO252"/>
  <c r="BY252" s="1"/>
  <c r="AN252"/>
  <c r="AM252"/>
  <c r="BW252" s="1"/>
  <c r="AL252"/>
  <c r="AK252"/>
  <c r="AJ252"/>
  <c r="AI252"/>
  <c r="AH252"/>
  <c r="AG252"/>
  <c r="AF252"/>
  <c r="AE252"/>
  <c r="AD252"/>
  <c r="AC252"/>
  <c r="AB252"/>
  <c r="AA252"/>
  <c r="DE251"/>
  <c r="BJ251"/>
  <c r="BI251"/>
  <c r="BU251" s="1"/>
  <c r="BH251"/>
  <c r="BG251"/>
  <c r="BS251" s="1"/>
  <c r="BF251"/>
  <c r="BE251"/>
  <c r="BQ251" s="1"/>
  <c r="BD251"/>
  <c r="BC251"/>
  <c r="BO251" s="1"/>
  <c r="BB251"/>
  <c r="BA251"/>
  <c r="BM251" s="1"/>
  <c r="AZ251"/>
  <c r="AY251"/>
  <c r="BK251" s="1"/>
  <c r="AX251"/>
  <c r="AW251"/>
  <c r="CG251" s="1"/>
  <c r="AV251"/>
  <c r="AU251"/>
  <c r="CE251" s="1"/>
  <c r="AT251"/>
  <c r="AS251"/>
  <c r="CC251" s="1"/>
  <c r="AR251"/>
  <c r="AQ251"/>
  <c r="CA251" s="1"/>
  <c r="AP251"/>
  <c r="AO251"/>
  <c r="BY251" s="1"/>
  <c r="AN251"/>
  <c r="AM251"/>
  <c r="BW251" s="1"/>
  <c r="AL251"/>
  <c r="AK251"/>
  <c r="AJ251"/>
  <c r="AI251"/>
  <c r="AH251"/>
  <c r="AG251"/>
  <c r="AF251"/>
  <c r="AE251"/>
  <c r="AD251"/>
  <c r="AC251"/>
  <c r="AB251"/>
  <c r="AA251"/>
  <c r="DE250"/>
  <c r="BJ250"/>
  <c r="BI250"/>
  <c r="BU250" s="1"/>
  <c r="BH250"/>
  <c r="BG250"/>
  <c r="BS250" s="1"/>
  <c r="BF250"/>
  <c r="BE250"/>
  <c r="BQ250" s="1"/>
  <c r="BD250"/>
  <c r="BC250"/>
  <c r="BO250" s="1"/>
  <c r="BB250"/>
  <c r="BA250"/>
  <c r="BM250" s="1"/>
  <c r="AZ250"/>
  <c r="AY250"/>
  <c r="BK250" s="1"/>
  <c r="AX250"/>
  <c r="AW250"/>
  <c r="CG250" s="1"/>
  <c r="AV250"/>
  <c r="AU250"/>
  <c r="CE250" s="1"/>
  <c r="AT250"/>
  <c r="AS250"/>
  <c r="CC250" s="1"/>
  <c r="AR250"/>
  <c r="AQ250"/>
  <c r="CA250" s="1"/>
  <c r="AP250"/>
  <c r="AO250"/>
  <c r="BY250" s="1"/>
  <c r="AN250"/>
  <c r="AM250"/>
  <c r="BW250" s="1"/>
  <c r="AL250"/>
  <c r="AK250"/>
  <c r="AJ250"/>
  <c r="AI250"/>
  <c r="AH250"/>
  <c r="AG250"/>
  <c r="AF250"/>
  <c r="AE250"/>
  <c r="AD250"/>
  <c r="AC250"/>
  <c r="AB250"/>
  <c r="AA250"/>
  <c r="DE249"/>
  <c r="BJ249"/>
  <c r="BI249"/>
  <c r="BU249" s="1"/>
  <c r="BH249"/>
  <c r="BG249"/>
  <c r="BS249" s="1"/>
  <c r="BF249"/>
  <c r="BE249"/>
  <c r="BQ249" s="1"/>
  <c r="BD249"/>
  <c r="BC249"/>
  <c r="BO249" s="1"/>
  <c r="BB249"/>
  <c r="BA249"/>
  <c r="BM249" s="1"/>
  <c r="AZ249"/>
  <c r="AY249"/>
  <c r="BK249" s="1"/>
  <c r="AX249"/>
  <c r="AW249"/>
  <c r="CG249" s="1"/>
  <c r="AV249"/>
  <c r="AU249"/>
  <c r="CE249" s="1"/>
  <c r="AT249"/>
  <c r="AS249"/>
  <c r="CC249" s="1"/>
  <c r="AR249"/>
  <c r="AQ249"/>
  <c r="CA249" s="1"/>
  <c r="AP249"/>
  <c r="AO249"/>
  <c r="BY249" s="1"/>
  <c r="AN249"/>
  <c r="AM249"/>
  <c r="BW249" s="1"/>
  <c r="AL249"/>
  <c r="AK249"/>
  <c r="AJ249"/>
  <c r="AI249"/>
  <c r="AH249"/>
  <c r="AG249"/>
  <c r="AF249"/>
  <c r="AE249"/>
  <c r="AD249"/>
  <c r="AC249"/>
  <c r="AB249"/>
  <c r="AA249"/>
  <c r="DE248"/>
  <c r="BJ248"/>
  <c r="BI248"/>
  <c r="BU248" s="1"/>
  <c r="BH248"/>
  <c r="BG248"/>
  <c r="BS248" s="1"/>
  <c r="BF248"/>
  <c r="BE248"/>
  <c r="BQ248" s="1"/>
  <c r="BD248"/>
  <c r="BC248"/>
  <c r="BO248" s="1"/>
  <c r="BB248"/>
  <c r="BA248"/>
  <c r="BM248" s="1"/>
  <c r="AZ248"/>
  <c r="AY248"/>
  <c r="BK248" s="1"/>
  <c r="AX248"/>
  <c r="AW248"/>
  <c r="CG248" s="1"/>
  <c r="AV248"/>
  <c r="AU248"/>
  <c r="CE248" s="1"/>
  <c r="AT248"/>
  <c r="AS248"/>
  <c r="CC248" s="1"/>
  <c r="AR248"/>
  <c r="AQ248"/>
  <c r="CA248" s="1"/>
  <c r="AP248"/>
  <c r="AO248"/>
  <c r="BY248" s="1"/>
  <c r="AN248"/>
  <c r="AM248"/>
  <c r="BW248" s="1"/>
  <c r="AL248"/>
  <c r="AK248"/>
  <c r="AJ248"/>
  <c r="AI248"/>
  <c r="AH248"/>
  <c r="AG248"/>
  <c r="AF248"/>
  <c r="AE248"/>
  <c r="AD248"/>
  <c r="AC248"/>
  <c r="AB248"/>
  <c r="AA248"/>
  <c r="DE247"/>
  <c r="BJ247"/>
  <c r="BI247"/>
  <c r="BU247" s="1"/>
  <c r="BH247"/>
  <c r="BG247"/>
  <c r="BS247" s="1"/>
  <c r="BF247"/>
  <c r="BE247"/>
  <c r="BQ247" s="1"/>
  <c r="BD247"/>
  <c r="BC247"/>
  <c r="BO247" s="1"/>
  <c r="BB247"/>
  <c r="BA247"/>
  <c r="BM247" s="1"/>
  <c r="AZ247"/>
  <c r="AY247"/>
  <c r="BK247" s="1"/>
  <c r="AX247"/>
  <c r="AW247"/>
  <c r="CG247" s="1"/>
  <c r="AV247"/>
  <c r="AU247"/>
  <c r="CE247" s="1"/>
  <c r="AT247"/>
  <c r="AS247"/>
  <c r="CC247" s="1"/>
  <c r="AR247"/>
  <c r="AQ247"/>
  <c r="CA247" s="1"/>
  <c r="AP247"/>
  <c r="AO247"/>
  <c r="BY247" s="1"/>
  <c r="AN247"/>
  <c r="AM247"/>
  <c r="BW247" s="1"/>
  <c r="AL247"/>
  <c r="AK247"/>
  <c r="AJ247"/>
  <c r="AI247"/>
  <c r="AH247"/>
  <c r="AG247"/>
  <c r="AF247"/>
  <c r="AE247"/>
  <c r="AD247"/>
  <c r="AC247"/>
  <c r="AB247"/>
  <c r="AA247"/>
  <c r="DE246"/>
  <c r="BJ246"/>
  <c r="BI246"/>
  <c r="BU246" s="1"/>
  <c r="BH246"/>
  <c r="BG246"/>
  <c r="BS246" s="1"/>
  <c r="BF246"/>
  <c r="BE246"/>
  <c r="BQ246" s="1"/>
  <c r="BD246"/>
  <c r="BC246"/>
  <c r="BO246" s="1"/>
  <c r="BB246"/>
  <c r="BA246"/>
  <c r="BM246" s="1"/>
  <c r="AZ246"/>
  <c r="AY246"/>
  <c r="BK246" s="1"/>
  <c r="AX246"/>
  <c r="AW246"/>
  <c r="CG246" s="1"/>
  <c r="AV246"/>
  <c r="AU246"/>
  <c r="CE246" s="1"/>
  <c r="AT246"/>
  <c r="AS246"/>
  <c r="CC246" s="1"/>
  <c r="AR246"/>
  <c r="AQ246"/>
  <c r="CA246" s="1"/>
  <c r="AP246"/>
  <c r="AO246"/>
  <c r="BY246" s="1"/>
  <c r="AN246"/>
  <c r="AM246"/>
  <c r="BW246" s="1"/>
  <c r="AL246"/>
  <c r="AK246"/>
  <c r="AJ246"/>
  <c r="AI246"/>
  <c r="AH246"/>
  <c r="AG246"/>
  <c r="AF246"/>
  <c r="AE246"/>
  <c r="AD246"/>
  <c r="AC246"/>
  <c r="AB246"/>
  <c r="AA246"/>
  <c r="DE245"/>
  <c r="BJ245"/>
  <c r="BI245"/>
  <c r="BU245" s="1"/>
  <c r="BH245"/>
  <c r="BG245"/>
  <c r="BS245" s="1"/>
  <c r="BF245"/>
  <c r="BE245"/>
  <c r="BQ245" s="1"/>
  <c r="BD245"/>
  <c r="BC245"/>
  <c r="BO245" s="1"/>
  <c r="BB245"/>
  <c r="BA245"/>
  <c r="BM245" s="1"/>
  <c r="AZ245"/>
  <c r="AY245"/>
  <c r="BK245" s="1"/>
  <c r="AX245"/>
  <c r="AW245"/>
  <c r="CG245" s="1"/>
  <c r="AV245"/>
  <c r="AU245"/>
  <c r="CE245" s="1"/>
  <c r="AT245"/>
  <c r="AS245"/>
  <c r="CC245" s="1"/>
  <c r="AR245"/>
  <c r="AQ245"/>
  <c r="CA245" s="1"/>
  <c r="AP245"/>
  <c r="AO245"/>
  <c r="BY245" s="1"/>
  <c r="AN245"/>
  <c r="AM245"/>
  <c r="BW245" s="1"/>
  <c r="AL245"/>
  <c r="AK245"/>
  <c r="AJ245"/>
  <c r="AI245"/>
  <c r="AH245"/>
  <c r="AG245"/>
  <c r="AF245"/>
  <c r="AE245"/>
  <c r="AD245"/>
  <c r="AC245"/>
  <c r="AB245"/>
  <c r="AA245"/>
  <c r="DE244"/>
  <c r="BJ244"/>
  <c r="BI244"/>
  <c r="BU244" s="1"/>
  <c r="BH244"/>
  <c r="BG244"/>
  <c r="BS244" s="1"/>
  <c r="BF244"/>
  <c r="BE244"/>
  <c r="BQ244" s="1"/>
  <c r="BD244"/>
  <c r="BC244"/>
  <c r="BO244" s="1"/>
  <c r="BB244"/>
  <c r="BA244"/>
  <c r="BM244" s="1"/>
  <c r="AZ244"/>
  <c r="AY244"/>
  <c r="BK244" s="1"/>
  <c r="AX244"/>
  <c r="AW244"/>
  <c r="CG244" s="1"/>
  <c r="AV244"/>
  <c r="AU244"/>
  <c r="CE244" s="1"/>
  <c r="AT244"/>
  <c r="AS244"/>
  <c r="CC244" s="1"/>
  <c r="AR244"/>
  <c r="AQ244"/>
  <c r="CA244" s="1"/>
  <c r="AP244"/>
  <c r="AO244"/>
  <c r="BY244" s="1"/>
  <c r="AN244"/>
  <c r="AM244"/>
  <c r="BW244" s="1"/>
  <c r="AL244"/>
  <c r="AK244"/>
  <c r="AJ244"/>
  <c r="AI244"/>
  <c r="AH244"/>
  <c r="AG244"/>
  <c r="AF244"/>
  <c r="AE244"/>
  <c r="AD244"/>
  <c r="AC244"/>
  <c r="AB244"/>
  <c r="AA244"/>
  <c r="DE243"/>
  <c r="BJ243"/>
  <c r="BI243"/>
  <c r="BU243" s="1"/>
  <c r="BH243"/>
  <c r="BG243"/>
  <c r="BS243" s="1"/>
  <c r="BF243"/>
  <c r="BE243"/>
  <c r="BQ243" s="1"/>
  <c r="BD243"/>
  <c r="BC243"/>
  <c r="BO243" s="1"/>
  <c r="BB243"/>
  <c r="BA243"/>
  <c r="BM243" s="1"/>
  <c r="AZ243"/>
  <c r="AY243"/>
  <c r="BK243" s="1"/>
  <c r="AX243"/>
  <c r="AW243"/>
  <c r="CG243" s="1"/>
  <c r="AV243"/>
  <c r="AU243"/>
  <c r="CE243" s="1"/>
  <c r="AT243"/>
  <c r="AS243"/>
  <c r="CC243" s="1"/>
  <c r="AR243"/>
  <c r="AQ243"/>
  <c r="CA243" s="1"/>
  <c r="AP243"/>
  <c r="AO243"/>
  <c r="BY243" s="1"/>
  <c r="AN243"/>
  <c r="AM243"/>
  <c r="BW243" s="1"/>
  <c r="AL243"/>
  <c r="AK243"/>
  <c r="AJ243"/>
  <c r="AI243"/>
  <c r="AH243"/>
  <c r="AG243"/>
  <c r="AF243"/>
  <c r="AE243"/>
  <c r="AD243"/>
  <c r="AC243"/>
  <c r="AB243"/>
  <c r="AA243"/>
  <c r="DE242"/>
  <c r="BJ242"/>
  <c r="BI242"/>
  <c r="BU242" s="1"/>
  <c r="BH242"/>
  <c r="BG242"/>
  <c r="BS242" s="1"/>
  <c r="BF242"/>
  <c r="BE242"/>
  <c r="BQ242" s="1"/>
  <c r="BD242"/>
  <c r="BC242"/>
  <c r="BO242" s="1"/>
  <c r="BB242"/>
  <c r="BA242"/>
  <c r="BM242" s="1"/>
  <c r="AZ242"/>
  <c r="AY242"/>
  <c r="BK242" s="1"/>
  <c r="AX242"/>
  <c r="AW242"/>
  <c r="CG242" s="1"/>
  <c r="AV242"/>
  <c r="AU242"/>
  <c r="CE242" s="1"/>
  <c r="AT242"/>
  <c r="AS242"/>
  <c r="CC242" s="1"/>
  <c r="AR242"/>
  <c r="AQ242"/>
  <c r="CA242" s="1"/>
  <c r="AP242"/>
  <c r="AO242"/>
  <c r="BY242" s="1"/>
  <c r="AN242"/>
  <c r="AM242"/>
  <c r="BW242" s="1"/>
  <c r="AL242"/>
  <c r="AK242"/>
  <c r="AJ242"/>
  <c r="AI242"/>
  <c r="AH242"/>
  <c r="AG242"/>
  <c r="AF242"/>
  <c r="AE242"/>
  <c r="AD242"/>
  <c r="AC242"/>
  <c r="AB242"/>
  <c r="AA242"/>
  <c r="DE241"/>
  <c r="BJ241"/>
  <c r="BI241"/>
  <c r="BU241" s="1"/>
  <c r="BH241"/>
  <c r="BG241"/>
  <c r="BS241" s="1"/>
  <c r="BF241"/>
  <c r="BE241"/>
  <c r="BQ241" s="1"/>
  <c r="BD241"/>
  <c r="BC241"/>
  <c r="BO241" s="1"/>
  <c r="BB241"/>
  <c r="BA241"/>
  <c r="BM241" s="1"/>
  <c r="AZ241"/>
  <c r="AY241"/>
  <c r="BK241" s="1"/>
  <c r="AX241"/>
  <c r="AW241"/>
  <c r="CG241" s="1"/>
  <c r="AV241"/>
  <c r="AU241"/>
  <c r="CE241" s="1"/>
  <c r="AT241"/>
  <c r="AS241"/>
  <c r="CC241" s="1"/>
  <c r="AR241"/>
  <c r="AQ241"/>
  <c r="CA241" s="1"/>
  <c r="AP241"/>
  <c r="AO241"/>
  <c r="BY241" s="1"/>
  <c r="AN241"/>
  <c r="AM241"/>
  <c r="BW241" s="1"/>
  <c r="AL241"/>
  <c r="AK241"/>
  <c r="AJ241"/>
  <c r="AI241"/>
  <c r="AH241"/>
  <c r="AG241"/>
  <c r="AF241"/>
  <c r="AE241"/>
  <c r="AD241"/>
  <c r="AC241"/>
  <c r="AB241"/>
  <c r="AA241"/>
  <c r="DE240"/>
  <c r="BJ240"/>
  <c r="BI240"/>
  <c r="BU240" s="1"/>
  <c r="BH240"/>
  <c r="BG240"/>
  <c r="BS240" s="1"/>
  <c r="BF240"/>
  <c r="BE240"/>
  <c r="BQ240" s="1"/>
  <c r="BD240"/>
  <c r="BC240"/>
  <c r="BO240" s="1"/>
  <c r="BB240"/>
  <c r="BA240"/>
  <c r="BM240" s="1"/>
  <c r="AZ240"/>
  <c r="AY240"/>
  <c r="BK240" s="1"/>
  <c r="AX240"/>
  <c r="AW240"/>
  <c r="CG240" s="1"/>
  <c r="AV240"/>
  <c r="AU240"/>
  <c r="CE240" s="1"/>
  <c r="AT240"/>
  <c r="AS240"/>
  <c r="CC240" s="1"/>
  <c r="AR240"/>
  <c r="AQ240"/>
  <c r="CA240" s="1"/>
  <c r="AP240"/>
  <c r="AO240"/>
  <c r="BY240" s="1"/>
  <c r="AN240"/>
  <c r="AM240"/>
  <c r="BW240" s="1"/>
  <c r="AL240"/>
  <c r="AK240"/>
  <c r="AJ240"/>
  <c r="AI240"/>
  <c r="AH240"/>
  <c r="AG240"/>
  <c r="AF240"/>
  <c r="AE240"/>
  <c r="AD240"/>
  <c r="AC240"/>
  <c r="AB240"/>
  <c r="AA240"/>
  <c r="DE239"/>
  <c r="BJ239"/>
  <c r="BI239"/>
  <c r="BU239" s="1"/>
  <c r="CS239" s="1"/>
  <c r="BH239"/>
  <c r="BG239"/>
  <c r="BS239" s="1"/>
  <c r="CQ239" s="1"/>
  <c r="BF239"/>
  <c r="BE239"/>
  <c r="BQ239" s="1"/>
  <c r="CO239" s="1"/>
  <c r="BD239"/>
  <c r="BC239"/>
  <c r="BO239" s="1"/>
  <c r="CM239" s="1"/>
  <c r="BB239"/>
  <c r="BA239"/>
  <c r="BM239" s="1"/>
  <c r="CK239" s="1"/>
  <c r="AZ239"/>
  <c r="AY239"/>
  <c r="BK239" s="1"/>
  <c r="CI239" s="1"/>
  <c r="AX239"/>
  <c r="AW239"/>
  <c r="CG239" s="1"/>
  <c r="AV239"/>
  <c r="AU239"/>
  <c r="CE239" s="1"/>
  <c r="AT239"/>
  <c r="AS239"/>
  <c r="CC239" s="1"/>
  <c r="AR239"/>
  <c r="AQ239"/>
  <c r="CA239" s="1"/>
  <c r="AP239"/>
  <c r="AO239"/>
  <c r="BY239" s="1"/>
  <c r="AN239"/>
  <c r="AM239"/>
  <c r="BW239" s="1"/>
  <c r="AL239"/>
  <c r="AK239"/>
  <c r="AJ239"/>
  <c r="AI239"/>
  <c r="AH239"/>
  <c r="AG239"/>
  <c r="AF239"/>
  <c r="AE239"/>
  <c r="AD239"/>
  <c r="AC239"/>
  <c r="AB239"/>
  <c r="AA239"/>
  <c r="DE238"/>
  <c r="BJ238"/>
  <c r="BI238"/>
  <c r="BU238" s="1"/>
  <c r="BH238"/>
  <c r="BG238"/>
  <c r="BS238" s="1"/>
  <c r="BF238"/>
  <c r="BE238"/>
  <c r="BQ238" s="1"/>
  <c r="BD238"/>
  <c r="BC238"/>
  <c r="BO238" s="1"/>
  <c r="BB238"/>
  <c r="BA238"/>
  <c r="BM238" s="1"/>
  <c r="AZ238"/>
  <c r="AY238"/>
  <c r="BK238" s="1"/>
  <c r="AX238"/>
  <c r="AW238"/>
  <c r="CG238" s="1"/>
  <c r="AV238"/>
  <c r="AU238"/>
  <c r="CE238" s="1"/>
  <c r="AT238"/>
  <c r="AS238"/>
  <c r="CC238" s="1"/>
  <c r="AR238"/>
  <c r="AQ238"/>
  <c r="CA238" s="1"/>
  <c r="AP238"/>
  <c r="AO238"/>
  <c r="BY238" s="1"/>
  <c r="AN238"/>
  <c r="AM238"/>
  <c r="BW238" s="1"/>
  <c r="AL238"/>
  <c r="AK238"/>
  <c r="AJ238"/>
  <c r="AI238"/>
  <c r="AH238"/>
  <c r="AG238"/>
  <c r="AF238"/>
  <c r="AE238"/>
  <c r="AD238"/>
  <c r="AC238"/>
  <c r="AB238"/>
  <c r="AA238"/>
  <c r="DE237"/>
  <c r="BJ237"/>
  <c r="BI237"/>
  <c r="BU237" s="1"/>
  <c r="BH237"/>
  <c r="BG237"/>
  <c r="BS237" s="1"/>
  <c r="BF237"/>
  <c r="BE237"/>
  <c r="BQ237" s="1"/>
  <c r="BD237"/>
  <c r="BC237"/>
  <c r="BO237" s="1"/>
  <c r="BB237"/>
  <c r="BA237"/>
  <c r="BM237" s="1"/>
  <c r="AZ237"/>
  <c r="AY237"/>
  <c r="BK237" s="1"/>
  <c r="AX237"/>
  <c r="AW237"/>
  <c r="CG237" s="1"/>
  <c r="AV237"/>
  <c r="AU237"/>
  <c r="CE237" s="1"/>
  <c r="AT237"/>
  <c r="AS237"/>
  <c r="CC237" s="1"/>
  <c r="AR237"/>
  <c r="AQ237"/>
  <c r="CA237" s="1"/>
  <c r="AP237"/>
  <c r="AO237"/>
  <c r="BY237" s="1"/>
  <c r="AN237"/>
  <c r="AM237"/>
  <c r="BW237" s="1"/>
  <c r="AL237"/>
  <c r="AK237"/>
  <c r="AJ237"/>
  <c r="AI237"/>
  <c r="AH237"/>
  <c r="AG237"/>
  <c r="AF237"/>
  <c r="AE237"/>
  <c r="AD237"/>
  <c r="AC237"/>
  <c r="AB237"/>
  <c r="AA237"/>
  <c r="DE236"/>
  <c r="BJ236"/>
  <c r="BI236"/>
  <c r="BU236" s="1"/>
  <c r="BH236"/>
  <c r="BG236"/>
  <c r="BS236" s="1"/>
  <c r="BF236"/>
  <c r="BE236"/>
  <c r="BQ236" s="1"/>
  <c r="BD236"/>
  <c r="BC236"/>
  <c r="BO236" s="1"/>
  <c r="BB236"/>
  <c r="BA236"/>
  <c r="BM236" s="1"/>
  <c r="AZ236"/>
  <c r="AY236"/>
  <c r="BK236" s="1"/>
  <c r="AX236"/>
  <c r="AW236"/>
  <c r="CG236" s="1"/>
  <c r="AV236"/>
  <c r="AU236"/>
  <c r="CE236" s="1"/>
  <c r="AT236"/>
  <c r="AS236"/>
  <c r="CC236" s="1"/>
  <c r="AR236"/>
  <c r="AQ236"/>
  <c r="CA236" s="1"/>
  <c r="AP236"/>
  <c r="AO236"/>
  <c r="BY236" s="1"/>
  <c r="AN236"/>
  <c r="AM236"/>
  <c r="BW236" s="1"/>
  <c r="AL236"/>
  <c r="AK236"/>
  <c r="AJ236"/>
  <c r="AI236"/>
  <c r="AH236"/>
  <c r="AG236"/>
  <c r="AF236"/>
  <c r="AE236"/>
  <c r="AD236"/>
  <c r="AC236"/>
  <c r="AB236"/>
  <c r="AA236"/>
  <c r="DE235"/>
  <c r="BJ235"/>
  <c r="BI235"/>
  <c r="BU235" s="1"/>
  <c r="BH235"/>
  <c r="BG235"/>
  <c r="BS235" s="1"/>
  <c r="BF235"/>
  <c r="BE235"/>
  <c r="BQ235" s="1"/>
  <c r="BD235"/>
  <c r="BC235"/>
  <c r="BO235" s="1"/>
  <c r="BB235"/>
  <c r="BA235"/>
  <c r="BM235" s="1"/>
  <c r="AZ235"/>
  <c r="AY235"/>
  <c r="BK235" s="1"/>
  <c r="AX235"/>
  <c r="AW235"/>
  <c r="CG235" s="1"/>
  <c r="AV235"/>
  <c r="AU235"/>
  <c r="CE235" s="1"/>
  <c r="AT235"/>
  <c r="AS235"/>
  <c r="CC235" s="1"/>
  <c r="AR235"/>
  <c r="AQ235"/>
  <c r="CA235" s="1"/>
  <c r="AP235"/>
  <c r="AO235"/>
  <c r="BY235" s="1"/>
  <c r="AN235"/>
  <c r="AM235"/>
  <c r="BW235" s="1"/>
  <c r="AL235"/>
  <c r="AK235"/>
  <c r="AJ235"/>
  <c r="AI235"/>
  <c r="AH235"/>
  <c r="AG235"/>
  <c r="AF235"/>
  <c r="AE235"/>
  <c r="AD235"/>
  <c r="AC235"/>
  <c r="AB235"/>
  <c r="AA235"/>
  <c r="DE234"/>
  <c r="BJ234"/>
  <c r="BI234"/>
  <c r="BU234" s="1"/>
  <c r="BH234"/>
  <c r="BG234"/>
  <c r="BS234" s="1"/>
  <c r="BF234"/>
  <c r="BE234"/>
  <c r="BQ234" s="1"/>
  <c r="BD234"/>
  <c r="BC234"/>
  <c r="BO234" s="1"/>
  <c r="BB234"/>
  <c r="BA234"/>
  <c r="BM234" s="1"/>
  <c r="AZ234"/>
  <c r="AY234"/>
  <c r="BK234" s="1"/>
  <c r="AX234"/>
  <c r="AW234"/>
  <c r="CG234" s="1"/>
  <c r="AV234"/>
  <c r="AU234"/>
  <c r="CE234" s="1"/>
  <c r="AT234"/>
  <c r="AS234"/>
  <c r="CC234" s="1"/>
  <c r="AR234"/>
  <c r="AQ234"/>
  <c r="CA234" s="1"/>
  <c r="AP234"/>
  <c r="AO234"/>
  <c r="BY234" s="1"/>
  <c r="AN234"/>
  <c r="AM234"/>
  <c r="BW234" s="1"/>
  <c r="AL234"/>
  <c r="AK234"/>
  <c r="AJ234"/>
  <c r="AI234"/>
  <c r="AH234"/>
  <c r="AG234"/>
  <c r="AF234"/>
  <c r="AE234"/>
  <c r="AD234"/>
  <c r="AC234"/>
  <c r="AB234"/>
  <c r="AA234"/>
  <c r="DE233"/>
  <c r="BJ233"/>
  <c r="BI233"/>
  <c r="BU233" s="1"/>
  <c r="BH233"/>
  <c r="BG233"/>
  <c r="BS233" s="1"/>
  <c r="BF233"/>
  <c r="BE233"/>
  <c r="BQ233" s="1"/>
  <c r="BD233"/>
  <c r="BC233"/>
  <c r="BO233" s="1"/>
  <c r="BB233"/>
  <c r="BA233"/>
  <c r="BM233" s="1"/>
  <c r="AZ233"/>
  <c r="AY233"/>
  <c r="BK233" s="1"/>
  <c r="AX233"/>
  <c r="AW233"/>
  <c r="CG233" s="1"/>
  <c r="AV233"/>
  <c r="AU233"/>
  <c r="CE233" s="1"/>
  <c r="AT233"/>
  <c r="AS233"/>
  <c r="CC233" s="1"/>
  <c r="AR233"/>
  <c r="AQ233"/>
  <c r="CA233" s="1"/>
  <c r="AP233"/>
  <c r="AO233"/>
  <c r="BY233" s="1"/>
  <c r="AN233"/>
  <c r="AM233"/>
  <c r="BW233" s="1"/>
  <c r="AL233"/>
  <c r="AK233"/>
  <c r="AJ233"/>
  <c r="AI233"/>
  <c r="AH233"/>
  <c r="AG233"/>
  <c r="AF233"/>
  <c r="AE233"/>
  <c r="AD233"/>
  <c r="AC233"/>
  <c r="AB233"/>
  <c r="AA233"/>
  <c r="DE232"/>
  <c r="BJ232"/>
  <c r="BI232"/>
  <c r="BU232" s="1"/>
  <c r="BH232"/>
  <c r="BG232"/>
  <c r="BS232" s="1"/>
  <c r="BF232"/>
  <c r="BE232"/>
  <c r="BQ232" s="1"/>
  <c r="BD232"/>
  <c r="BC232"/>
  <c r="BO232" s="1"/>
  <c r="BB232"/>
  <c r="BA232"/>
  <c r="BM232" s="1"/>
  <c r="AZ232"/>
  <c r="AY232"/>
  <c r="BK232" s="1"/>
  <c r="AX232"/>
  <c r="AW232"/>
  <c r="CG232" s="1"/>
  <c r="AV232"/>
  <c r="AU232"/>
  <c r="CE232" s="1"/>
  <c r="AT232"/>
  <c r="AS232"/>
  <c r="CC232" s="1"/>
  <c r="AR232"/>
  <c r="AQ232"/>
  <c r="CA232" s="1"/>
  <c r="AP232"/>
  <c r="AO232"/>
  <c r="BY232" s="1"/>
  <c r="AN232"/>
  <c r="AM232"/>
  <c r="BW232" s="1"/>
  <c r="AL232"/>
  <c r="AK232"/>
  <c r="AJ232"/>
  <c r="AI232"/>
  <c r="AH232"/>
  <c r="AG232"/>
  <c r="AF232"/>
  <c r="AE232"/>
  <c r="AD232"/>
  <c r="AC232"/>
  <c r="AB232"/>
  <c r="AA232"/>
  <c r="DE231"/>
  <c r="BJ231"/>
  <c r="BI231"/>
  <c r="BU231" s="1"/>
  <c r="BH231"/>
  <c r="BG231"/>
  <c r="BS231" s="1"/>
  <c r="BF231"/>
  <c r="BE231"/>
  <c r="BQ231" s="1"/>
  <c r="BD231"/>
  <c r="BC231"/>
  <c r="BO231" s="1"/>
  <c r="BB231"/>
  <c r="BA231"/>
  <c r="BM231" s="1"/>
  <c r="AZ231"/>
  <c r="AY231"/>
  <c r="BK231" s="1"/>
  <c r="AX231"/>
  <c r="AW231"/>
  <c r="CG231" s="1"/>
  <c r="AV231"/>
  <c r="AU231"/>
  <c r="CE231" s="1"/>
  <c r="AT231"/>
  <c r="AS231"/>
  <c r="CC231" s="1"/>
  <c r="AR231"/>
  <c r="AQ231"/>
  <c r="CA231" s="1"/>
  <c r="AP231"/>
  <c r="AO231"/>
  <c r="BY231" s="1"/>
  <c r="AN231"/>
  <c r="AM231"/>
  <c r="BW231" s="1"/>
  <c r="AL231"/>
  <c r="AK231"/>
  <c r="AJ231"/>
  <c r="AI231"/>
  <c r="AH231"/>
  <c r="AG231"/>
  <c r="AF231"/>
  <c r="AE231"/>
  <c r="AD231"/>
  <c r="AC231"/>
  <c r="AB231"/>
  <c r="AA231"/>
  <c r="DE230"/>
  <c r="BJ230"/>
  <c r="BI230"/>
  <c r="BU230" s="1"/>
  <c r="BH230"/>
  <c r="BG230"/>
  <c r="BS230" s="1"/>
  <c r="BF230"/>
  <c r="BE230"/>
  <c r="BQ230" s="1"/>
  <c r="BD230"/>
  <c r="BC230"/>
  <c r="BO230" s="1"/>
  <c r="BB230"/>
  <c r="BA230"/>
  <c r="BM230" s="1"/>
  <c r="AZ230"/>
  <c r="AY230"/>
  <c r="BK230" s="1"/>
  <c r="AX230"/>
  <c r="AW230"/>
  <c r="CG230" s="1"/>
  <c r="AV230"/>
  <c r="AU230"/>
  <c r="CE230" s="1"/>
  <c r="AT230"/>
  <c r="AS230"/>
  <c r="CC230" s="1"/>
  <c r="AR230"/>
  <c r="AQ230"/>
  <c r="CA230" s="1"/>
  <c r="AP230"/>
  <c r="AO230"/>
  <c r="BZ230" s="1"/>
  <c r="AN230"/>
  <c r="BY230" s="1"/>
  <c r="AM230"/>
  <c r="BW230" s="1"/>
  <c r="AL230"/>
  <c r="AK230"/>
  <c r="AJ230"/>
  <c r="AI230"/>
  <c r="AH230"/>
  <c r="AG230"/>
  <c r="AF230"/>
  <c r="AE230"/>
  <c r="AD230"/>
  <c r="AC230"/>
  <c r="AB230"/>
  <c r="AA230"/>
  <c r="DE229"/>
  <c r="BJ229"/>
  <c r="BI229"/>
  <c r="BU229" s="1"/>
  <c r="BH229"/>
  <c r="BG229"/>
  <c r="BS229" s="1"/>
  <c r="BF229"/>
  <c r="BE229"/>
  <c r="BQ229" s="1"/>
  <c r="BD229"/>
  <c r="BC229"/>
  <c r="BO229" s="1"/>
  <c r="BB229"/>
  <c r="BA229"/>
  <c r="BM229" s="1"/>
  <c r="AZ229"/>
  <c r="AY229"/>
  <c r="BK229" s="1"/>
  <c r="AX229"/>
  <c r="AW229"/>
  <c r="CG229" s="1"/>
  <c r="AV229"/>
  <c r="AU229"/>
  <c r="CE229" s="1"/>
  <c r="AT229"/>
  <c r="AS229"/>
  <c r="CC229" s="1"/>
  <c r="AR229"/>
  <c r="AQ229"/>
  <c r="CB229" s="1"/>
  <c r="AP229"/>
  <c r="CA229" s="1"/>
  <c r="AO229"/>
  <c r="BZ229" s="1"/>
  <c r="AN229"/>
  <c r="BY229" s="1"/>
  <c r="AM229"/>
  <c r="BW229" s="1"/>
  <c r="AL229"/>
  <c r="AK229"/>
  <c r="AJ229"/>
  <c r="AI229"/>
  <c r="AH229"/>
  <c r="AG229"/>
  <c r="AF229"/>
  <c r="AE229"/>
  <c r="AD229"/>
  <c r="AC229"/>
  <c r="AB229"/>
  <c r="AA229"/>
  <c r="DE228"/>
  <c r="BJ228"/>
  <c r="BI228"/>
  <c r="BU228" s="1"/>
  <c r="BH228"/>
  <c r="BG228"/>
  <c r="BS228" s="1"/>
  <c r="BF228"/>
  <c r="BE228"/>
  <c r="BQ228" s="1"/>
  <c r="BD228"/>
  <c r="BC228"/>
  <c r="BO228" s="1"/>
  <c r="BB228"/>
  <c r="BA228"/>
  <c r="BM228" s="1"/>
  <c r="AZ228"/>
  <c r="AY228"/>
  <c r="BK228" s="1"/>
  <c r="AX228"/>
  <c r="AW228"/>
  <c r="CG228" s="1"/>
  <c r="AV228"/>
  <c r="AU228"/>
  <c r="CF228" s="1"/>
  <c r="AT228"/>
  <c r="CE228" s="1"/>
  <c r="AS228"/>
  <c r="CD228" s="1"/>
  <c r="AR228"/>
  <c r="CC228" s="1"/>
  <c r="AQ228"/>
  <c r="CB228" s="1"/>
  <c r="AP228"/>
  <c r="CA228" s="1"/>
  <c r="AO228"/>
  <c r="BZ228" s="1"/>
  <c r="AN228"/>
  <c r="BY228" s="1"/>
  <c r="AM228"/>
  <c r="BW228" s="1"/>
  <c r="AL228"/>
  <c r="AK228"/>
  <c r="AJ228"/>
  <c r="AI228"/>
  <c r="AH228"/>
  <c r="AG228"/>
  <c r="AF228"/>
  <c r="AE228"/>
  <c r="AD228"/>
  <c r="AC228"/>
  <c r="AB228"/>
  <c r="AA228"/>
  <c r="DE227"/>
  <c r="BJ227"/>
  <c r="BI227"/>
  <c r="BU227" s="1"/>
  <c r="BH227"/>
  <c r="BG227"/>
  <c r="BS227" s="1"/>
  <c r="BF227"/>
  <c r="BE227"/>
  <c r="BQ227" s="1"/>
  <c r="BD227"/>
  <c r="BC227"/>
  <c r="BO227" s="1"/>
  <c r="BB227"/>
  <c r="BA227"/>
  <c r="BM227" s="1"/>
  <c r="AZ227"/>
  <c r="AY227"/>
  <c r="BK227" s="1"/>
  <c r="AX227"/>
  <c r="AW227"/>
  <c r="CG227" s="1"/>
  <c r="AV227"/>
  <c r="AU227"/>
  <c r="CF227" s="1"/>
  <c r="AT227"/>
  <c r="CE227" s="1"/>
  <c r="AS227"/>
  <c r="CD227" s="1"/>
  <c r="AR227"/>
  <c r="CC227" s="1"/>
  <c r="AQ227"/>
  <c r="CB227" s="1"/>
  <c r="AP227"/>
  <c r="CA227" s="1"/>
  <c r="AO227"/>
  <c r="BZ227" s="1"/>
  <c r="AN227"/>
  <c r="BY227" s="1"/>
  <c r="AM227"/>
  <c r="BW227" s="1"/>
  <c r="AL227"/>
  <c r="AK227"/>
  <c r="AJ227"/>
  <c r="AI227"/>
  <c r="AH227"/>
  <c r="AG227"/>
  <c r="AF227"/>
  <c r="AE227"/>
  <c r="AD227"/>
  <c r="AC227"/>
  <c r="AB227"/>
  <c r="AA227"/>
  <c r="DE226"/>
  <c r="BJ226"/>
  <c r="BI226"/>
  <c r="BU226" s="1"/>
  <c r="BH226"/>
  <c r="BG226"/>
  <c r="BS226" s="1"/>
  <c r="BF226"/>
  <c r="BE226"/>
  <c r="BQ226" s="1"/>
  <c r="BD226"/>
  <c r="BC226"/>
  <c r="BO226" s="1"/>
  <c r="BB226"/>
  <c r="BA226"/>
  <c r="BM226" s="1"/>
  <c r="AZ226"/>
  <c r="AY226"/>
  <c r="BK226" s="1"/>
  <c r="AX226"/>
  <c r="AW226"/>
  <c r="CH226" s="1"/>
  <c r="AV226"/>
  <c r="CG226" s="1"/>
  <c r="AU226"/>
  <c r="CF226" s="1"/>
  <c r="AT226"/>
  <c r="CE226" s="1"/>
  <c r="AS226"/>
  <c r="CD226" s="1"/>
  <c r="AR226"/>
  <c r="CC226" s="1"/>
  <c r="AQ226"/>
  <c r="CB226" s="1"/>
  <c r="AP226"/>
  <c r="CA226" s="1"/>
  <c r="AO226"/>
  <c r="BZ226" s="1"/>
  <c r="AN226"/>
  <c r="BY226" s="1"/>
  <c r="AM226"/>
  <c r="BW226" s="1"/>
  <c r="AL226"/>
  <c r="AK226"/>
  <c r="AJ226"/>
  <c r="AI226"/>
  <c r="AH226"/>
  <c r="AG226"/>
  <c r="AF226"/>
  <c r="AE226"/>
  <c r="AD226"/>
  <c r="AC226"/>
  <c r="AB226"/>
  <c r="AA226"/>
  <c r="DE225"/>
  <c r="BJ225"/>
  <c r="BI225"/>
  <c r="BU225" s="1"/>
  <c r="BH225"/>
  <c r="BG225"/>
  <c r="BS225" s="1"/>
  <c r="BF225"/>
  <c r="BE225"/>
  <c r="BQ225" s="1"/>
  <c r="BD225"/>
  <c r="BC225"/>
  <c r="BO225" s="1"/>
  <c r="BB225"/>
  <c r="BA225"/>
  <c r="BM225" s="1"/>
  <c r="AZ225"/>
  <c r="AY225"/>
  <c r="BK225" s="1"/>
  <c r="AX225"/>
  <c r="BW225" s="1"/>
  <c r="AW225"/>
  <c r="CH225" s="1"/>
  <c r="AV225"/>
  <c r="CG225" s="1"/>
  <c r="AU225"/>
  <c r="CF225" s="1"/>
  <c r="AT225"/>
  <c r="CE225" s="1"/>
  <c r="AS225"/>
  <c r="CD225" s="1"/>
  <c r="AR225"/>
  <c r="CC225" s="1"/>
  <c r="AQ225"/>
  <c r="CB225" s="1"/>
  <c r="AP225"/>
  <c r="CA225" s="1"/>
  <c r="AO225"/>
  <c r="BZ225" s="1"/>
  <c r="AN225"/>
  <c r="BY225" s="1"/>
  <c r="AM225"/>
  <c r="BX225" s="1"/>
  <c r="AL225"/>
  <c r="AK225"/>
  <c r="AJ225"/>
  <c r="AI225"/>
  <c r="AH225"/>
  <c r="AG225"/>
  <c r="AF225"/>
  <c r="AE225"/>
  <c r="AD225"/>
  <c r="AC225"/>
  <c r="AB225"/>
  <c r="AA225"/>
  <c r="DE224"/>
  <c r="BJ224"/>
  <c r="BI224"/>
  <c r="BU224" s="1"/>
  <c r="BH224"/>
  <c r="BG224"/>
  <c r="BS224" s="1"/>
  <c r="BF224"/>
  <c r="BE224"/>
  <c r="BQ224" s="1"/>
  <c r="BD224"/>
  <c r="BC224"/>
  <c r="BO224" s="1"/>
  <c r="BB224"/>
  <c r="BA224"/>
  <c r="BN224" s="1"/>
  <c r="AZ224"/>
  <c r="BM224" s="1"/>
  <c r="AY224"/>
  <c r="BK224" s="1"/>
  <c r="AX224"/>
  <c r="BW224" s="1"/>
  <c r="AW224"/>
  <c r="CH224" s="1"/>
  <c r="AV224"/>
  <c r="CG224" s="1"/>
  <c r="AU224"/>
  <c r="CF224" s="1"/>
  <c r="AT224"/>
  <c r="CE224" s="1"/>
  <c r="AS224"/>
  <c r="CD224" s="1"/>
  <c r="AR224"/>
  <c r="CC224" s="1"/>
  <c r="AQ224"/>
  <c r="CB224" s="1"/>
  <c r="AP224"/>
  <c r="CA224" s="1"/>
  <c r="AO224"/>
  <c r="BZ224" s="1"/>
  <c r="AN224"/>
  <c r="BY224" s="1"/>
  <c r="AM224"/>
  <c r="BX224" s="1"/>
  <c r="AL224"/>
  <c r="AK224"/>
  <c r="AJ224"/>
  <c r="AI224"/>
  <c r="AH224"/>
  <c r="AG224"/>
  <c r="AF224"/>
  <c r="AE224"/>
  <c r="AD224"/>
  <c r="AC224"/>
  <c r="AB224"/>
  <c r="AA224"/>
  <c r="DE223"/>
  <c r="BJ223"/>
  <c r="BI223"/>
  <c r="BU223" s="1"/>
  <c r="BH223"/>
  <c r="BG223"/>
  <c r="BS223" s="1"/>
  <c r="BF223"/>
  <c r="BE223"/>
  <c r="BQ223" s="1"/>
  <c r="BD223"/>
  <c r="BC223"/>
  <c r="BP223" s="1"/>
  <c r="BB223"/>
  <c r="BO223" s="1"/>
  <c r="BA223"/>
  <c r="BN223" s="1"/>
  <c r="AZ223"/>
  <c r="BM223" s="1"/>
  <c r="AY223"/>
  <c r="BK223" s="1"/>
  <c r="AX223"/>
  <c r="BW223" s="1"/>
  <c r="AW223"/>
  <c r="CH223" s="1"/>
  <c r="AV223"/>
  <c r="CG223" s="1"/>
  <c r="AU223"/>
  <c r="CF223" s="1"/>
  <c r="AT223"/>
  <c r="CE223" s="1"/>
  <c r="AS223"/>
  <c r="CD223" s="1"/>
  <c r="AR223"/>
  <c r="CC223" s="1"/>
  <c r="AQ223"/>
  <c r="CB223" s="1"/>
  <c r="AP223"/>
  <c r="CA223" s="1"/>
  <c r="AO223"/>
  <c r="BZ223" s="1"/>
  <c r="AN223"/>
  <c r="BY223" s="1"/>
  <c r="AM223"/>
  <c r="BX223" s="1"/>
  <c r="AL223"/>
  <c r="AK223"/>
  <c r="AJ223"/>
  <c r="AI223"/>
  <c r="AH223"/>
  <c r="AG223"/>
  <c r="AF223"/>
  <c r="AE223"/>
  <c r="AD223"/>
  <c r="AC223"/>
  <c r="AB223"/>
  <c r="AA223"/>
  <c r="DE222"/>
  <c r="BJ222"/>
  <c r="BI222"/>
  <c r="BU222" s="1"/>
  <c r="BH222"/>
  <c r="BG222"/>
  <c r="BS222" s="1"/>
  <c r="BF222"/>
  <c r="BE222"/>
  <c r="BR222" s="1"/>
  <c r="BD222"/>
  <c r="BQ222" s="1"/>
  <c r="BC222"/>
  <c r="BP222" s="1"/>
  <c r="BB222"/>
  <c r="BO222" s="1"/>
  <c r="BA222"/>
  <c r="BN222" s="1"/>
  <c r="AZ222"/>
  <c r="BM222" s="1"/>
  <c r="AY222"/>
  <c r="BK222" s="1"/>
  <c r="AX222"/>
  <c r="BW222" s="1"/>
  <c r="AW222"/>
  <c r="CH222" s="1"/>
  <c r="AV222"/>
  <c r="CG222" s="1"/>
  <c r="AU222"/>
  <c r="CF222" s="1"/>
  <c r="AT222"/>
  <c r="CE222" s="1"/>
  <c r="AS222"/>
  <c r="CD222" s="1"/>
  <c r="AR222"/>
  <c r="CC222" s="1"/>
  <c r="AQ222"/>
  <c r="CB222" s="1"/>
  <c r="AP222"/>
  <c r="CA222" s="1"/>
  <c r="AO222"/>
  <c r="BZ222" s="1"/>
  <c r="AN222"/>
  <c r="BY222" s="1"/>
  <c r="AM222"/>
  <c r="BX222" s="1"/>
  <c r="AL222"/>
  <c r="AK222"/>
  <c r="AJ222"/>
  <c r="AI222"/>
  <c r="AH222"/>
  <c r="AG222"/>
  <c r="AF222"/>
  <c r="AE222"/>
  <c r="AD222"/>
  <c r="AC222"/>
  <c r="AB222"/>
  <c r="AA222"/>
  <c r="DE221"/>
  <c r="BJ221"/>
  <c r="BI221"/>
  <c r="BV221" s="1"/>
  <c r="BH221"/>
  <c r="BU221" s="1"/>
  <c r="BG221"/>
  <c r="BT221" s="1"/>
  <c r="BF221"/>
  <c r="BS221" s="1"/>
  <c r="BE221"/>
  <c r="BR221" s="1"/>
  <c r="BD221"/>
  <c r="BQ221" s="1"/>
  <c r="BC221"/>
  <c r="BP221" s="1"/>
  <c r="BB221"/>
  <c r="BO221" s="1"/>
  <c r="BA221"/>
  <c r="BN221" s="1"/>
  <c r="AZ221"/>
  <c r="BM221" s="1"/>
  <c r="AY221"/>
  <c r="BK221" s="1"/>
  <c r="AX221"/>
  <c r="BW221" s="1"/>
  <c r="AW221"/>
  <c r="CH221" s="1"/>
  <c r="AV221"/>
  <c r="CG221" s="1"/>
  <c r="AU221"/>
  <c r="CF221" s="1"/>
  <c r="AT221"/>
  <c r="CE221" s="1"/>
  <c r="AS221"/>
  <c r="CD221" s="1"/>
  <c r="AR221"/>
  <c r="CC221" s="1"/>
  <c r="AQ221"/>
  <c r="CB221" s="1"/>
  <c r="AP221"/>
  <c r="CA221" s="1"/>
  <c r="AO221"/>
  <c r="BZ221" s="1"/>
  <c r="AN221"/>
  <c r="BY221" s="1"/>
  <c r="AM221"/>
  <c r="BX221" s="1"/>
  <c r="AL221"/>
  <c r="AK221"/>
  <c r="AJ221"/>
  <c r="AI221"/>
  <c r="AH221"/>
  <c r="AG221"/>
  <c r="AF221"/>
  <c r="AE221"/>
  <c r="AD221"/>
  <c r="AC221"/>
  <c r="AB221"/>
  <c r="AA221"/>
  <c r="DE220"/>
  <c r="BJ220"/>
  <c r="BI220"/>
  <c r="BV220" s="1"/>
  <c r="BH220"/>
  <c r="BU220" s="1"/>
  <c r="BG220"/>
  <c r="BT220" s="1"/>
  <c r="BF220"/>
  <c r="BS220" s="1"/>
  <c r="BE220"/>
  <c r="BR220" s="1"/>
  <c r="BD220"/>
  <c r="BQ220" s="1"/>
  <c r="BC220"/>
  <c r="BP220" s="1"/>
  <c r="BB220"/>
  <c r="BO220" s="1"/>
  <c r="BA220"/>
  <c r="BN220" s="1"/>
  <c r="AZ220"/>
  <c r="BM220" s="1"/>
  <c r="AY220"/>
  <c r="BK220" s="1"/>
  <c r="AX220"/>
  <c r="BW220" s="1"/>
  <c r="AW220"/>
  <c r="CH220" s="1"/>
  <c r="AV220"/>
  <c r="CG220" s="1"/>
  <c r="AU220"/>
  <c r="CF220" s="1"/>
  <c r="AT220"/>
  <c r="CE220" s="1"/>
  <c r="AS220"/>
  <c r="CD220" s="1"/>
  <c r="AR220"/>
  <c r="CC220" s="1"/>
  <c r="AQ220"/>
  <c r="CB220" s="1"/>
  <c r="AP220"/>
  <c r="CA220" s="1"/>
  <c r="AO220"/>
  <c r="BZ220" s="1"/>
  <c r="AN220"/>
  <c r="BY220" s="1"/>
  <c r="AM220"/>
  <c r="BX220" s="1"/>
  <c r="AL220"/>
  <c r="AK220"/>
  <c r="AJ220"/>
  <c r="AI220"/>
  <c r="AH220"/>
  <c r="AG220"/>
  <c r="AF220"/>
  <c r="AE220"/>
  <c r="AD220"/>
  <c r="AC220"/>
  <c r="AB220"/>
  <c r="AA220"/>
  <c r="DE219"/>
  <c r="BJ219"/>
  <c r="BI219"/>
  <c r="BV219" s="1"/>
  <c r="BH219"/>
  <c r="BU219" s="1"/>
  <c r="BG219"/>
  <c r="BT219" s="1"/>
  <c r="BF219"/>
  <c r="BS219" s="1"/>
  <c r="BE219"/>
  <c r="BR219" s="1"/>
  <c r="BD219"/>
  <c r="BQ219" s="1"/>
  <c r="BC219"/>
  <c r="BP219" s="1"/>
  <c r="BB219"/>
  <c r="BO219" s="1"/>
  <c r="BA219"/>
  <c r="BN219" s="1"/>
  <c r="AZ219"/>
  <c r="BM219" s="1"/>
  <c r="AY219"/>
  <c r="BK219" s="1"/>
  <c r="AX219"/>
  <c r="BW219" s="1"/>
  <c r="AW219"/>
  <c r="CH219" s="1"/>
  <c r="AV219"/>
  <c r="CG219" s="1"/>
  <c r="AU219"/>
  <c r="CF219" s="1"/>
  <c r="AT219"/>
  <c r="CE219" s="1"/>
  <c r="AS219"/>
  <c r="CD219" s="1"/>
  <c r="AR219"/>
  <c r="CC219" s="1"/>
  <c r="AQ219"/>
  <c r="CB219" s="1"/>
  <c r="AP219"/>
  <c r="CA219" s="1"/>
  <c r="AO219"/>
  <c r="BZ219" s="1"/>
  <c r="AN219"/>
  <c r="BY219" s="1"/>
  <c r="AM219"/>
  <c r="BX219" s="1"/>
  <c r="AL219"/>
  <c r="AK219"/>
  <c r="AJ219"/>
  <c r="AI219"/>
  <c r="AH219"/>
  <c r="AG219"/>
  <c r="AF219"/>
  <c r="AE219"/>
  <c r="AD219"/>
  <c r="AC219"/>
  <c r="AB219"/>
  <c r="AA219"/>
  <c r="DE218"/>
  <c r="BJ218"/>
  <c r="BI218"/>
  <c r="BV218" s="1"/>
  <c r="BH218"/>
  <c r="BU218" s="1"/>
  <c r="BG218"/>
  <c r="BT218" s="1"/>
  <c r="BF218"/>
  <c r="BS218" s="1"/>
  <c r="BE218"/>
  <c r="BR218" s="1"/>
  <c r="BD218"/>
  <c r="BQ218" s="1"/>
  <c r="BC218"/>
  <c r="BP218" s="1"/>
  <c r="BB218"/>
  <c r="BO218" s="1"/>
  <c r="BA218"/>
  <c r="BN218" s="1"/>
  <c r="AZ218"/>
  <c r="BM218" s="1"/>
  <c r="AY218"/>
  <c r="BK218" s="1"/>
  <c r="AX218"/>
  <c r="BW218" s="1"/>
  <c r="AW218"/>
  <c r="CH218" s="1"/>
  <c r="AV218"/>
  <c r="CG218" s="1"/>
  <c r="AU218"/>
  <c r="CF218" s="1"/>
  <c r="AT218"/>
  <c r="CE218" s="1"/>
  <c r="AS218"/>
  <c r="CD218" s="1"/>
  <c r="AR218"/>
  <c r="CC218" s="1"/>
  <c r="AQ218"/>
  <c r="CB218" s="1"/>
  <c r="AP218"/>
  <c r="CA218" s="1"/>
  <c r="AO218"/>
  <c r="BZ218" s="1"/>
  <c r="AN218"/>
  <c r="BY218" s="1"/>
  <c r="AM218"/>
  <c r="BX218" s="1"/>
  <c r="AL218"/>
  <c r="AK218"/>
  <c r="AJ218"/>
  <c r="AI218"/>
  <c r="AH218"/>
  <c r="AG218"/>
  <c r="AF218"/>
  <c r="AE218"/>
  <c r="AD218"/>
  <c r="AC218"/>
  <c r="AB218"/>
  <c r="AA218"/>
  <c r="DE217"/>
  <c r="BJ217"/>
  <c r="BI217"/>
  <c r="BV217" s="1"/>
  <c r="BH217"/>
  <c r="BU217" s="1"/>
  <c r="BG217"/>
  <c r="BT217" s="1"/>
  <c r="BF217"/>
  <c r="BS217" s="1"/>
  <c r="BE217"/>
  <c r="BR217" s="1"/>
  <c r="BD217"/>
  <c r="BQ217" s="1"/>
  <c r="BC217"/>
  <c r="BP217" s="1"/>
  <c r="BB217"/>
  <c r="BO217" s="1"/>
  <c r="BA217"/>
  <c r="BN217" s="1"/>
  <c r="AZ217"/>
  <c r="BM217" s="1"/>
  <c r="AY217"/>
  <c r="BK217" s="1"/>
  <c r="AX217"/>
  <c r="BW217" s="1"/>
  <c r="AW217"/>
  <c r="CH217" s="1"/>
  <c r="AV217"/>
  <c r="CG217" s="1"/>
  <c r="AU217"/>
  <c r="CF217" s="1"/>
  <c r="AT217"/>
  <c r="CE217" s="1"/>
  <c r="AS217"/>
  <c r="CD217" s="1"/>
  <c r="AR217"/>
  <c r="CC217" s="1"/>
  <c r="AQ217"/>
  <c r="CB217" s="1"/>
  <c r="AP217"/>
  <c r="CA217" s="1"/>
  <c r="AO217"/>
  <c r="BZ217" s="1"/>
  <c r="AN217"/>
  <c r="BY217" s="1"/>
  <c r="AM217"/>
  <c r="BX217" s="1"/>
  <c r="AL217"/>
  <c r="AK217"/>
  <c r="AJ217"/>
  <c r="AI217"/>
  <c r="AH217"/>
  <c r="AG217"/>
  <c r="AF217"/>
  <c r="AE217"/>
  <c r="AD217"/>
  <c r="AC217"/>
  <c r="AB217"/>
  <c r="AA217"/>
  <c r="DE216"/>
  <c r="BJ216"/>
  <c r="BV216" s="1"/>
  <c r="BI216"/>
  <c r="BH216"/>
  <c r="BU216" s="1"/>
  <c r="BG216"/>
  <c r="BT216" s="1"/>
  <c r="BF216"/>
  <c r="BS216" s="1"/>
  <c r="BE216"/>
  <c r="BR216" s="1"/>
  <c r="BD216"/>
  <c r="BQ216" s="1"/>
  <c r="BC216"/>
  <c r="BP216" s="1"/>
  <c r="BB216"/>
  <c r="BO216" s="1"/>
  <c r="BA216"/>
  <c r="BN216" s="1"/>
  <c r="AZ216"/>
  <c r="BM216" s="1"/>
  <c r="AY216"/>
  <c r="BK216" s="1"/>
  <c r="AX216"/>
  <c r="BW216" s="1"/>
  <c r="AW216"/>
  <c r="CH216" s="1"/>
  <c r="AV216"/>
  <c r="CG216" s="1"/>
  <c r="AU216"/>
  <c r="CF216" s="1"/>
  <c r="AT216"/>
  <c r="CE216" s="1"/>
  <c r="AS216"/>
  <c r="CD216" s="1"/>
  <c r="AR216"/>
  <c r="CC216" s="1"/>
  <c r="AQ216"/>
  <c r="CB216" s="1"/>
  <c r="AP216"/>
  <c r="CA216" s="1"/>
  <c r="AO216"/>
  <c r="BZ216" s="1"/>
  <c r="AN216"/>
  <c r="BY216" s="1"/>
  <c r="AM216"/>
  <c r="BX216" s="1"/>
  <c r="AL216"/>
  <c r="AK216"/>
  <c r="AJ216"/>
  <c r="AI216"/>
  <c r="AH216"/>
  <c r="AG216"/>
  <c r="AF216"/>
  <c r="AE216"/>
  <c r="AD216"/>
  <c r="AC216"/>
  <c r="AB216"/>
  <c r="AA216"/>
  <c r="DE215"/>
  <c r="BJ215"/>
  <c r="BV215" s="1"/>
  <c r="BI215"/>
  <c r="BH215"/>
  <c r="BU215" s="1"/>
  <c r="BG215"/>
  <c r="BF215"/>
  <c r="BS215" s="1"/>
  <c r="BE215"/>
  <c r="BD215"/>
  <c r="BQ215" s="1"/>
  <c r="BC215"/>
  <c r="BP215" s="1"/>
  <c r="BB215"/>
  <c r="BO215" s="1"/>
  <c r="BA215"/>
  <c r="BN215" s="1"/>
  <c r="AZ215"/>
  <c r="BM215" s="1"/>
  <c r="AY215"/>
  <c r="BK215" s="1"/>
  <c r="AX215"/>
  <c r="BW215" s="1"/>
  <c r="AW215"/>
  <c r="CH215" s="1"/>
  <c r="AV215"/>
  <c r="CG215" s="1"/>
  <c r="AU215"/>
  <c r="CF215" s="1"/>
  <c r="AT215"/>
  <c r="CE215" s="1"/>
  <c r="AS215"/>
  <c r="CD215" s="1"/>
  <c r="AR215"/>
  <c r="CC215" s="1"/>
  <c r="AQ215"/>
  <c r="CB215" s="1"/>
  <c r="AP215"/>
  <c r="CA215" s="1"/>
  <c r="AO215"/>
  <c r="BZ215" s="1"/>
  <c r="AN215"/>
  <c r="BY215" s="1"/>
  <c r="AM215"/>
  <c r="BX215" s="1"/>
  <c r="AL215"/>
  <c r="AK215"/>
  <c r="AJ215"/>
  <c r="AI215"/>
  <c r="AH215"/>
  <c r="AG215"/>
  <c r="AF215"/>
  <c r="AE215"/>
  <c r="AD215"/>
  <c r="AC215"/>
  <c r="AB215"/>
  <c r="AA215"/>
  <c r="DE214"/>
  <c r="BJ214"/>
  <c r="BV214" s="1"/>
  <c r="BI214"/>
  <c r="BH214"/>
  <c r="BU214" s="1"/>
  <c r="BG214"/>
  <c r="BF214"/>
  <c r="BS214" s="1"/>
  <c r="BE214"/>
  <c r="BD214"/>
  <c r="BQ214" s="1"/>
  <c r="BC214"/>
  <c r="BB214"/>
  <c r="BO214" s="1"/>
  <c r="BA214"/>
  <c r="BN214" s="1"/>
  <c r="AZ214"/>
  <c r="BM214" s="1"/>
  <c r="AY214"/>
  <c r="BK214" s="1"/>
  <c r="AX214"/>
  <c r="BW214" s="1"/>
  <c r="AW214"/>
  <c r="CH214" s="1"/>
  <c r="AV214"/>
  <c r="CG214" s="1"/>
  <c r="AU214"/>
  <c r="CF214" s="1"/>
  <c r="AT214"/>
  <c r="CE214" s="1"/>
  <c r="AS214"/>
  <c r="CD214" s="1"/>
  <c r="AR214"/>
  <c r="CC214" s="1"/>
  <c r="AQ214"/>
  <c r="CB214" s="1"/>
  <c r="AP214"/>
  <c r="CA214" s="1"/>
  <c r="AO214"/>
  <c r="BZ214" s="1"/>
  <c r="AN214"/>
  <c r="BY214" s="1"/>
  <c r="AM214"/>
  <c r="BX214" s="1"/>
  <c r="AL214"/>
  <c r="AK214"/>
  <c r="AJ214"/>
  <c r="AI214"/>
  <c r="AH214"/>
  <c r="AG214"/>
  <c r="AF214"/>
  <c r="AE214"/>
  <c r="AD214"/>
  <c r="AC214"/>
  <c r="AB214"/>
  <c r="AA214"/>
  <c r="DE213"/>
  <c r="BJ213"/>
  <c r="BV213" s="1"/>
  <c r="BI213"/>
  <c r="BH213"/>
  <c r="BU213" s="1"/>
  <c r="BG213"/>
  <c r="BF213"/>
  <c r="BS213" s="1"/>
  <c r="BE213"/>
  <c r="BD213"/>
  <c r="BQ213" s="1"/>
  <c r="BC213"/>
  <c r="BB213"/>
  <c r="BO213" s="1"/>
  <c r="BA213"/>
  <c r="AZ213"/>
  <c r="BM213" s="1"/>
  <c r="AY213"/>
  <c r="BK213" s="1"/>
  <c r="AX213"/>
  <c r="BW213" s="1"/>
  <c r="AW213"/>
  <c r="CH213" s="1"/>
  <c r="AV213"/>
  <c r="CG213" s="1"/>
  <c r="AU213"/>
  <c r="CF213" s="1"/>
  <c r="AT213"/>
  <c r="CE213" s="1"/>
  <c r="AS213"/>
  <c r="CD213" s="1"/>
  <c r="AR213"/>
  <c r="CC213" s="1"/>
  <c r="AQ213"/>
  <c r="CB213" s="1"/>
  <c r="AP213"/>
  <c r="CA213" s="1"/>
  <c r="AO213"/>
  <c r="BZ213" s="1"/>
  <c r="AN213"/>
  <c r="BY213" s="1"/>
  <c r="AM213"/>
  <c r="BX213" s="1"/>
  <c r="AL213"/>
  <c r="AK213"/>
  <c r="AJ213"/>
  <c r="AI213"/>
  <c r="AH213"/>
  <c r="AG213"/>
  <c r="AF213"/>
  <c r="AE213"/>
  <c r="AD213"/>
  <c r="AC213"/>
  <c r="AB213"/>
  <c r="AA213"/>
  <c r="DE212"/>
  <c r="BJ212"/>
  <c r="BV212" s="1"/>
  <c r="BI212"/>
  <c r="BH212"/>
  <c r="BU212" s="1"/>
  <c r="BG212"/>
  <c r="BF212"/>
  <c r="BS212" s="1"/>
  <c r="BE212"/>
  <c r="BD212"/>
  <c r="BQ212" s="1"/>
  <c r="BC212"/>
  <c r="BB212"/>
  <c r="BO212" s="1"/>
  <c r="BA212"/>
  <c r="AZ212"/>
  <c r="BM212" s="1"/>
  <c r="AY212"/>
  <c r="BK212" s="1"/>
  <c r="AX212"/>
  <c r="BW212" s="1"/>
  <c r="AW212"/>
  <c r="CH212" s="1"/>
  <c r="AV212"/>
  <c r="CG212" s="1"/>
  <c r="AU212"/>
  <c r="CF212" s="1"/>
  <c r="AT212"/>
  <c r="CE212" s="1"/>
  <c r="AS212"/>
  <c r="CD212" s="1"/>
  <c r="AR212"/>
  <c r="CC212" s="1"/>
  <c r="AQ212"/>
  <c r="CB212" s="1"/>
  <c r="AP212"/>
  <c r="CA212" s="1"/>
  <c r="AO212"/>
  <c r="BZ212" s="1"/>
  <c r="AN212"/>
  <c r="BY212" s="1"/>
  <c r="AM212"/>
  <c r="BX212" s="1"/>
  <c r="AL212"/>
  <c r="AK212"/>
  <c r="AJ212"/>
  <c r="AI212"/>
  <c r="AH212"/>
  <c r="AG212"/>
  <c r="AF212"/>
  <c r="AE212"/>
  <c r="AD212"/>
  <c r="AC212"/>
  <c r="AB212"/>
  <c r="AA212"/>
  <c r="DE211"/>
  <c r="BJ211"/>
  <c r="BV211" s="1"/>
  <c r="BI211"/>
  <c r="BH211"/>
  <c r="BU211" s="1"/>
  <c r="BG211"/>
  <c r="BF211"/>
  <c r="BS211" s="1"/>
  <c r="BE211"/>
  <c r="BD211"/>
  <c r="BQ211" s="1"/>
  <c r="BC211"/>
  <c r="BB211"/>
  <c r="BO211" s="1"/>
  <c r="BA211"/>
  <c r="AZ211"/>
  <c r="BM211" s="1"/>
  <c r="AY211"/>
  <c r="BK211" s="1"/>
  <c r="AX211"/>
  <c r="BW211" s="1"/>
  <c r="AW211"/>
  <c r="CH211" s="1"/>
  <c r="AV211"/>
  <c r="CG211" s="1"/>
  <c r="AU211"/>
  <c r="CF211" s="1"/>
  <c r="AT211"/>
  <c r="CE211" s="1"/>
  <c r="AS211"/>
  <c r="CD211" s="1"/>
  <c r="AR211"/>
  <c r="CC211" s="1"/>
  <c r="AQ211"/>
  <c r="CB211" s="1"/>
  <c r="AP211"/>
  <c r="CA211" s="1"/>
  <c r="AO211"/>
  <c r="BZ211" s="1"/>
  <c r="AN211"/>
  <c r="BY211" s="1"/>
  <c r="AM211"/>
  <c r="BX211" s="1"/>
  <c r="AL211"/>
  <c r="AK211"/>
  <c r="AJ211"/>
  <c r="AI211"/>
  <c r="AH211"/>
  <c r="AG211"/>
  <c r="AF211"/>
  <c r="AE211"/>
  <c r="AD211"/>
  <c r="AC211"/>
  <c r="AB211"/>
  <c r="AA211"/>
  <c r="DE210"/>
  <c r="BJ210"/>
  <c r="BV210" s="1"/>
  <c r="BI210"/>
  <c r="BH210"/>
  <c r="BU210" s="1"/>
  <c r="BG210"/>
  <c r="BF210"/>
  <c r="BS210" s="1"/>
  <c r="BE210"/>
  <c r="BD210"/>
  <c r="BQ210" s="1"/>
  <c r="BC210"/>
  <c r="BB210"/>
  <c r="BO210" s="1"/>
  <c r="BA210"/>
  <c r="AZ210"/>
  <c r="BM210" s="1"/>
  <c r="AY210"/>
  <c r="BK210" s="1"/>
  <c r="AX210"/>
  <c r="BW210" s="1"/>
  <c r="AW210"/>
  <c r="AV210"/>
  <c r="CG210" s="1"/>
  <c r="AU210"/>
  <c r="CF210" s="1"/>
  <c r="AT210"/>
  <c r="CE210" s="1"/>
  <c r="AS210"/>
  <c r="CD210" s="1"/>
  <c r="AR210"/>
  <c r="CC210" s="1"/>
  <c r="AQ210"/>
  <c r="CB210" s="1"/>
  <c r="AP210"/>
  <c r="CA210" s="1"/>
  <c r="AO210"/>
  <c r="BZ210" s="1"/>
  <c r="AN210"/>
  <c r="BY210" s="1"/>
  <c r="AM210"/>
  <c r="BX210" s="1"/>
  <c r="AL210"/>
  <c r="AK210"/>
  <c r="AJ210"/>
  <c r="AI210"/>
  <c r="AH210"/>
  <c r="AG210"/>
  <c r="AF210"/>
  <c r="AE210"/>
  <c r="AD210"/>
  <c r="AC210"/>
  <c r="AB210"/>
  <c r="AA210"/>
  <c r="DE209"/>
  <c r="BJ209"/>
  <c r="BV209" s="1"/>
  <c r="BI209"/>
  <c r="BH209"/>
  <c r="BU209" s="1"/>
  <c r="BG209"/>
  <c r="BF209"/>
  <c r="BS209" s="1"/>
  <c r="BE209"/>
  <c r="BD209"/>
  <c r="BQ209" s="1"/>
  <c r="BC209"/>
  <c r="BB209"/>
  <c r="BO209" s="1"/>
  <c r="BA209"/>
  <c r="AZ209"/>
  <c r="BM209" s="1"/>
  <c r="AY209"/>
  <c r="BK209" s="1"/>
  <c r="AX209"/>
  <c r="BW209" s="1"/>
  <c r="AW209"/>
  <c r="AV209"/>
  <c r="CG209" s="1"/>
  <c r="AU209"/>
  <c r="AT209"/>
  <c r="CE209" s="1"/>
  <c r="AS209"/>
  <c r="CD209" s="1"/>
  <c r="AR209"/>
  <c r="CC209" s="1"/>
  <c r="AQ209"/>
  <c r="CB209" s="1"/>
  <c r="AP209"/>
  <c r="CA209" s="1"/>
  <c r="AO209"/>
  <c r="BZ209" s="1"/>
  <c r="AN209"/>
  <c r="BY209" s="1"/>
  <c r="AM209"/>
  <c r="BX209" s="1"/>
  <c r="AL209"/>
  <c r="AK209"/>
  <c r="AJ209"/>
  <c r="AI209"/>
  <c r="AH209"/>
  <c r="AG209"/>
  <c r="AF209"/>
  <c r="AE209"/>
  <c r="AD209"/>
  <c r="AC209"/>
  <c r="AB209"/>
  <c r="AA209"/>
  <c r="DE208"/>
  <c r="BJ208"/>
  <c r="BV208" s="1"/>
  <c r="BI208"/>
  <c r="BH208"/>
  <c r="BU208" s="1"/>
  <c r="BG208"/>
  <c r="BF208"/>
  <c r="BS208" s="1"/>
  <c r="BE208"/>
  <c r="BD208"/>
  <c r="BQ208" s="1"/>
  <c r="BC208"/>
  <c r="BB208"/>
  <c r="BO208" s="1"/>
  <c r="BA208"/>
  <c r="AZ208"/>
  <c r="BM208" s="1"/>
  <c r="AY208"/>
  <c r="BK208" s="1"/>
  <c r="AX208"/>
  <c r="BW208" s="1"/>
  <c r="AW208"/>
  <c r="AV208"/>
  <c r="CG208" s="1"/>
  <c r="AU208"/>
  <c r="AT208"/>
  <c r="CE208" s="1"/>
  <c r="AS208"/>
  <c r="AR208"/>
  <c r="CC208" s="1"/>
  <c r="AQ208"/>
  <c r="CB208" s="1"/>
  <c r="AP208"/>
  <c r="CA208" s="1"/>
  <c r="AO208"/>
  <c r="BZ208" s="1"/>
  <c r="AN208"/>
  <c r="BY208" s="1"/>
  <c r="AM208"/>
  <c r="BX208" s="1"/>
  <c r="AL208"/>
  <c r="AK208"/>
  <c r="AJ208"/>
  <c r="AI208"/>
  <c r="AH208"/>
  <c r="AG208"/>
  <c r="AF208"/>
  <c r="AE208"/>
  <c r="AD208"/>
  <c r="AC208"/>
  <c r="AB208"/>
  <c r="AA208"/>
  <c r="DE207"/>
  <c r="BJ207"/>
  <c r="BV207" s="1"/>
  <c r="BI207"/>
  <c r="BH207"/>
  <c r="BU207" s="1"/>
  <c r="BG207"/>
  <c r="BF207"/>
  <c r="BS207" s="1"/>
  <c r="BE207"/>
  <c r="BD207"/>
  <c r="BQ207" s="1"/>
  <c r="BC207"/>
  <c r="BB207"/>
  <c r="BO207" s="1"/>
  <c r="BA207"/>
  <c r="AZ207"/>
  <c r="BM207" s="1"/>
  <c r="AY207"/>
  <c r="BK207" s="1"/>
  <c r="AX207"/>
  <c r="BW207" s="1"/>
  <c r="AW207"/>
  <c r="AV207"/>
  <c r="CG207" s="1"/>
  <c r="AU207"/>
  <c r="AT207"/>
  <c r="CE207" s="1"/>
  <c r="AS207"/>
  <c r="AR207"/>
  <c r="CC207" s="1"/>
  <c r="AQ207"/>
  <c r="AP207"/>
  <c r="CA207" s="1"/>
  <c r="AO207"/>
  <c r="BZ207" s="1"/>
  <c r="AN207"/>
  <c r="BY207" s="1"/>
  <c r="AM207"/>
  <c r="BX207" s="1"/>
  <c r="AL207"/>
  <c r="AK207"/>
  <c r="AJ207"/>
  <c r="AI207"/>
  <c r="AH207"/>
  <c r="AG207"/>
  <c r="AF207"/>
  <c r="AE207"/>
  <c r="AD207"/>
  <c r="AC207"/>
  <c r="AB207"/>
  <c r="AA207"/>
  <c r="DE206"/>
  <c r="BJ206"/>
  <c r="BV206" s="1"/>
  <c r="BI206"/>
  <c r="BH206"/>
  <c r="BU206" s="1"/>
  <c r="BG206"/>
  <c r="BF206"/>
  <c r="BS206" s="1"/>
  <c r="BE206"/>
  <c r="BD206"/>
  <c r="BQ206" s="1"/>
  <c r="BC206"/>
  <c r="BB206"/>
  <c r="BO206" s="1"/>
  <c r="BA206"/>
  <c r="AZ206"/>
  <c r="BM206" s="1"/>
  <c r="AY206"/>
  <c r="BK206" s="1"/>
  <c r="AX206"/>
  <c r="BW206" s="1"/>
  <c r="AW206"/>
  <c r="AV206"/>
  <c r="CG206" s="1"/>
  <c r="AU206"/>
  <c r="AT206"/>
  <c r="CE206" s="1"/>
  <c r="AS206"/>
  <c r="AR206"/>
  <c r="CC206" s="1"/>
  <c r="AQ206"/>
  <c r="AP206"/>
  <c r="CA206" s="1"/>
  <c r="AO206"/>
  <c r="AN206"/>
  <c r="BY206" s="1"/>
  <c r="AM206"/>
  <c r="AL206"/>
  <c r="AK206"/>
  <c r="AJ206"/>
  <c r="AI206"/>
  <c r="AH206"/>
  <c r="AG206"/>
  <c r="AF206"/>
  <c r="AE206"/>
  <c r="AD206"/>
  <c r="AC206"/>
  <c r="AB206"/>
  <c r="AA206"/>
  <c r="DE205"/>
  <c r="BJ205"/>
  <c r="BV205" s="1"/>
  <c r="BI205"/>
  <c r="BH205"/>
  <c r="BU205" s="1"/>
  <c r="BG205"/>
  <c r="BF205"/>
  <c r="BS205" s="1"/>
  <c r="BE205"/>
  <c r="BD205"/>
  <c r="BQ205" s="1"/>
  <c r="BC205"/>
  <c r="BB205"/>
  <c r="BO205" s="1"/>
  <c r="BA205"/>
  <c r="AZ205"/>
  <c r="BM205" s="1"/>
  <c r="AY205"/>
  <c r="BK205" s="1"/>
  <c r="AX205"/>
  <c r="BW205" s="1"/>
  <c r="AW205"/>
  <c r="AV205"/>
  <c r="CG205" s="1"/>
  <c r="AU205"/>
  <c r="AT205"/>
  <c r="CE205" s="1"/>
  <c r="AS205"/>
  <c r="AR205"/>
  <c r="CC205" s="1"/>
  <c r="AQ205"/>
  <c r="AP205"/>
  <c r="CA205" s="1"/>
  <c r="AO205"/>
  <c r="AN205"/>
  <c r="BY205" s="1"/>
  <c r="AM205"/>
  <c r="AL205"/>
  <c r="AK205"/>
  <c r="AJ205"/>
  <c r="AI205"/>
  <c r="AH205"/>
  <c r="AG205"/>
  <c r="AF205"/>
  <c r="AE205"/>
  <c r="AD205"/>
  <c r="AC205"/>
  <c r="AB205"/>
  <c r="AA205"/>
  <c r="DE204"/>
  <c r="BJ204"/>
  <c r="BV204" s="1"/>
  <c r="BI204"/>
  <c r="BH204"/>
  <c r="BU204" s="1"/>
  <c r="BG204"/>
  <c r="BF204"/>
  <c r="BS204" s="1"/>
  <c r="BE204"/>
  <c r="BD204"/>
  <c r="BQ204" s="1"/>
  <c r="BC204"/>
  <c r="BB204"/>
  <c r="BO204" s="1"/>
  <c r="BA204"/>
  <c r="AZ204"/>
  <c r="BM204" s="1"/>
  <c r="AY204"/>
  <c r="BK204" s="1"/>
  <c r="AX204"/>
  <c r="BW204" s="1"/>
  <c r="AW204"/>
  <c r="AV204"/>
  <c r="CG204" s="1"/>
  <c r="AU204"/>
  <c r="AT204"/>
  <c r="CE204" s="1"/>
  <c r="AS204"/>
  <c r="AR204"/>
  <c r="CC204" s="1"/>
  <c r="AQ204"/>
  <c r="AP204"/>
  <c r="CA204" s="1"/>
  <c r="AO204"/>
  <c r="AN204"/>
  <c r="BY204" s="1"/>
  <c r="AM204"/>
  <c r="AL204"/>
  <c r="AK204"/>
  <c r="AJ204"/>
  <c r="AI204"/>
  <c r="AH204"/>
  <c r="AG204"/>
  <c r="AF204"/>
  <c r="AE204"/>
  <c r="AD204"/>
  <c r="AC204"/>
  <c r="AB204"/>
  <c r="AA204"/>
  <c r="DE203"/>
  <c r="BJ203"/>
  <c r="BV203" s="1"/>
  <c r="BI203"/>
  <c r="BH203"/>
  <c r="BU203" s="1"/>
  <c r="BG203"/>
  <c r="BF203"/>
  <c r="BS203" s="1"/>
  <c r="BE203"/>
  <c r="BD203"/>
  <c r="BQ203" s="1"/>
  <c r="BC203"/>
  <c r="BB203"/>
  <c r="BO203" s="1"/>
  <c r="BA203"/>
  <c r="AZ203"/>
  <c r="BM203" s="1"/>
  <c r="AY203"/>
  <c r="BK203" s="1"/>
  <c r="AX203"/>
  <c r="BW203" s="1"/>
  <c r="AW203"/>
  <c r="AV203"/>
  <c r="CG203" s="1"/>
  <c r="AU203"/>
  <c r="AT203"/>
  <c r="CE203" s="1"/>
  <c r="AS203"/>
  <c r="AR203"/>
  <c r="CC203" s="1"/>
  <c r="AQ203"/>
  <c r="AP203"/>
  <c r="CA203" s="1"/>
  <c r="AO203"/>
  <c r="AN203"/>
  <c r="BY203" s="1"/>
  <c r="AM203"/>
  <c r="AL203"/>
  <c r="AK203"/>
  <c r="AJ203"/>
  <c r="AI203"/>
  <c r="AH203"/>
  <c r="AG203"/>
  <c r="AF203"/>
  <c r="AE203"/>
  <c r="AD203"/>
  <c r="AC203"/>
  <c r="AB203"/>
  <c r="AA203"/>
  <c r="DE202"/>
  <c r="BJ202"/>
  <c r="BV202" s="1"/>
  <c r="BI202"/>
  <c r="BH202"/>
  <c r="BU202" s="1"/>
  <c r="BG202"/>
  <c r="BF202"/>
  <c r="BS202" s="1"/>
  <c r="BE202"/>
  <c r="BD202"/>
  <c r="BQ202" s="1"/>
  <c r="BC202"/>
  <c r="BB202"/>
  <c r="BO202" s="1"/>
  <c r="BA202"/>
  <c r="AZ202"/>
  <c r="BM202" s="1"/>
  <c r="AY202"/>
  <c r="BK202" s="1"/>
  <c r="AX202"/>
  <c r="BW202" s="1"/>
  <c r="AW202"/>
  <c r="AV202"/>
  <c r="CG202" s="1"/>
  <c r="AU202"/>
  <c r="AT202"/>
  <c r="CE202" s="1"/>
  <c r="AS202"/>
  <c r="AR202"/>
  <c r="CC202" s="1"/>
  <c r="AQ202"/>
  <c r="AP202"/>
  <c r="CA202" s="1"/>
  <c r="AO202"/>
  <c r="AN202"/>
  <c r="BY202" s="1"/>
  <c r="AM202"/>
  <c r="AL202"/>
  <c r="AK202"/>
  <c r="AJ202"/>
  <c r="AI202"/>
  <c r="AH202"/>
  <c r="AG202"/>
  <c r="AF202"/>
  <c r="AE202"/>
  <c r="AD202"/>
  <c r="AC202"/>
  <c r="AB202"/>
  <c r="AA202"/>
  <c r="DE201"/>
  <c r="BJ201"/>
  <c r="BV201" s="1"/>
  <c r="BI201"/>
  <c r="BH201"/>
  <c r="BU201" s="1"/>
  <c r="BG201"/>
  <c r="BF201"/>
  <c r="BS201" s="1"/>
  <c r="BE201"/>
  <c r="BD201"/>
  <c r="BQ201" s="1"/>
  <c r="BC201"/>
  <c r="BB201"/>
  <c r="BO201" s="1"/>
  <c r="BA201"/>
  <c r="AZ201"/>
  <c r="BM201" s="1"/>
  <c r="AY201"/>
  <c r="BK201" s="1"/>
  <c r="AX201"/>
  <c r="BW201" s="1"/>
  <c r="AW201"/>
  <c r="AV201"/>
  <c r="CG201" s="1"/>
  <c r="AU201"/>
  <c r="AT201"/>
  <c r="CE201" s="1"/>
  <c r="AS201"/>
  <c r="AR201"/>
  <c r="CC201" s="1"/>
  <c r="AQ201"/>
  <c r="AP201"/>
  <c r="CA201" s="1"/>
  <c r="AO201"/>
  <c r="AN201"/>
  <c r="BY201" s="1"/>
  <c r="AM201"/>
  <c r="AL201"/>
  <c r="AK201"/>
  <c r="AJ201"/>
  <c r="AI201"/>
  <c r="AH201"/>
  <c r="AG201"/>
  <c r="AF201"/>
  <c r="AE201"/>
  <c r="AD201"/>
  <c r="AC201"/>
  <c r="AB201"/>
  <c r="AA201"/>
  <c r="DE200"/>
  <c r="BJ200"/>
  <c r="BV200" s="1"/>
  <c r="BI200"/>
  <c r="BH200"/>
  <c r="BU200" s="1"/>
  <c r="BG200"/>
  <c r="BF200"/>
  <c r="BS200" s="1"/>
  <c r="BE200"/>
  <c r="BD200"/>
  <c r="BQ200" s="1"/>
  <c r="BC200"/>
  <c r="BB200"/>
  <c r="BO200" s="1"/>
  <c r="BA200"/>
  <c r="AZ200"/>
  <c r="BM200" s="1"/>
  <c r="AY200"/>
  <c r="BK200" s="1"/>
  <c r="AX200"/>
  <c r="BW200" s="1"/>
  <c r="AW200"/>
  <c r="AV200"/>
  <c r="CG200" s="1"/>
  <c r="AU200"/>
  <c r="AT200"/>
  <c r="CE200" s="1"/>
  <c r="AS200"/>
  <c r="AR200"/>
  <c r="CC200" s="1"/>
  <c r="AQ200"/>
  <c r="AP200"/>
  <c r="CA200" s="1"/>
  <c r="AO200"/>
  <c r="AN200"/>
  <c r="BY200" s="1"/>
  <c r="AM200"/>
  <c r="AL200"/>
  <c r="AK200"/>
  <c r="AJ200"/>
  <c r="AI200"/>
  <c r="AH200"/>
  <c r="AG200"/>
  <c r="AF200"/>
  <c r="AE200"/>
  <c r="AD200"/>
  <c r="AC200"/>
  <c r="AB200"/>
  <c r="AA200"/>
  <c r="DE199"/>
  <c r="BJ199"/>
  <c r="BV199" s="1"/>
  <c r="BI199"/>
  <c r="BH199"/>
  <c r="BU199" s="1"/>
  <c r="BG199"/>
  <c r="BF199"/>
  <c r="BS199" s="1"/>
  <c r="BE199"/>
  <c r="BD199"/>
  <c r="BQ199" s="1"/>
  <c r="BC199"/>
  <c r="BB199"/>
  <c r="BO199" s="1"/>
  <c r="BA199"/>
  <c r="AZ199"/>
  <c r="BM199" s="1"/>
  <c r="AY199"/>
  <c r="BK199" s="1"/>
  <c r="AX199"/>
  <c r="BW199" s="1"/>
  <c r="AW199"/>
  <c r="AV199"/>
  <c r="CG199" s="1"/>
  <c r="AU199"/>
  <c r="AT199"/>
  <c r="CE199" s="1"/>
  <c r="AS199"/>
  <c r="AR199"/>
  <c r="CC199" s="1"/>
  <c r="AQ199"/>
  <c r="AP199"/>
  <c r="CA199" s="1"/>
  <c r="AO199"/>
  <c r="AN199"/>
  <c r="BY199" s="1"/>
  <c r="AM199"/>
  <c r="AL199"/>
  <c r="AK199"/>
  <c r="AJ199"/>
  <c r="AI199"/>
  <c r="AH199"/>
  <c r="AG199"/>
  <c r="AF199"/>
  <c r="AE199"/>
  <c r="AD199"/>
  <c r="AC199"/>
  <c r="AB199"/>
  <c r="AA199"/>
  <c r="DE198"/>
  <c r="BJ198"/>
  <c r="BV198" s="1"/>
  <c r="BI198"/>
  <c r="BH198"/>
  <c r="BU198" s="1"/>
  <c r="BG198"/>
  <c r="BF198"/>
  <c r="BS198" s="1"/>
  <c r="BE198"/>
  <c r="BD198"/>
  <c r="BQ198" s="1"/>
  <c r="BC198"/>
  <c r="BB198"/>
  <c r="BO198" s="1"/>
  <c r="BA198"/>
  <c r="AZ198"/>
  <c r="BM198" s="1"/>
  <c r="AY198"/>
  <c r="BK198" s="1"/>
  <c r="AX198"/>
  <c r="BW198" s="1"/>
  <c r="AW198"/>
  <c r="AV198"/>
  <c r="CG198" s="1"/>
  <c r="AU198"/>
  <c r="AT198"/>
  <c r="CE198" s="1"/>
  <c r="AS198"/>
  <c r="AR198"/>
  <c r="CC198" s="1"/>
  <c r="AQ198"/>
  <c r="AP198"/>
  <c r="CA198" s="1"/>
  <c r="AO198"/>
  <c r="AN198"/>
  <c r="BY198" s="1"/>
  <c r="AM198"/>
  <c r="AL198"/>
  <c r="AK198"/>
  <c r="AJ198"/>
  <c r="AI198"/>
  <c r="AH198"/>
  <c r="AG198"/>
  <c r="AF198"/>
  <c r="AE198"/>
  <c r="AD198"/>
  <c r="AC198"/>
  <c r="AB198"/>
  <c r="AA198"/>
  <c r="DE197"/>
  <c r="BJ197"/>
  <c r="BV197" s="1"/>
  <c r="BI197"/>
  <c r="BH197"/>
  <c r="BU197" s="1"/>
  <c r="BG197"/>
  <c r="BF197"/>
  <c r="BS197" s="1"/>
  <c r="BE197"/>
  <c r="BD197"/>
  <c r="BQ197" s="1"/>
  <c r="BC197"/>
  <c r="BB197"/>
  <c r="BO197" s="1"/>
  <c r="BA197"/>
  <c r="AZ197"/>
  <c r="BM197" s="1"/>
  <c r="AY197"/>
  <c r="BK197" s="1"/>
  <c r="AX197"/>
  <c r="BW197" s="1"/>
  <c r="AW197"/>
  <c r="AV197"/>
  <c r="CG197" s="1"/>
  <c r="AU197"/>
  <c r="AT197"/>
  <c r="CE197" s="1"/>
  <c r="AS197"/>
  <c r="AR197"/>
  <c r="CC197" s="1"/>
  <c r="AQ197"/>
  <c r="AP197"/>
  <c r="CA197" s="1"/>
  <c r="AO197"/>
  <c r="AN197"/>
  <c r="BY197" s="1"/>
  <c r="AM197"/>
  <c r="AL197"/>
  <c r="AK197"/>
  <c r="AJ197"/>
  <c r="AI197"/>
  <c r="AH197"/>
  <c r="AG197"/>
  <c r="AF197"/>
  <c r="AE197"/>
  <c r="AD197"/>
  <c r="AC197"/>
  <c r="AB197"/>
  <c r="AA197"/>
  <c r="DE196"/>
  <c r="BJ196"/>
  <c r="BV196" s="1"/>
  <c r="BI196"/>
  <c r="BH196"/>
  <c r="BU196" s="1"/>
  <c r="BG196"/>
  <c r="BF196"/>
  <c r="BS196" s="1"/>
  <c r="BE196"/>
  <c r="BD196"/>
  <c r="BQ196" s="1"/>
  <c r="BC196"/>
  <c r="BB196"/>
  <c r="BO196" s="1"/>
  <c r="BA196"/>
  <c r="AZ196"/>
  <c r="BM196" s="1"/>
  <c r="AY196"/>
  <c r="BK196" s="1"/>
  <c r="AX196"/>
  <c r="BW196" s="1"/>
  <c r="AW196"/>
  <c r="AV196"/>
  <c r="CG196" s="1"/>
  <c r="AU196"/>
  <c r="AT196"/>
  <c r="CE196" s="1"/>
  <c r="AS196"/>
  <c r="AR196"/>
  <c r="CC196" s="1"/>
  <c r="AQ196"/>
  <c r="AP196"/>
  <c r="CA196" s="1"/>
  <c r="AO196"/>
  <c r="AN196"/>
  <c r="BY196" s="1"/>
  <c r="AM196"/>
  <c r="AL196"/>
  <c r="AK196"/>
  <c r="AJ196"/>
  <c r="AI196"/>
  <c r="AH196"/>
  <c r="AG196"/>
  <c r="AF196"/>
  <c r="AE196"/>
  <c r="AD196"/>
  <c r="AC196"/>
  <c r="AB196"/>
  <c r="AA196"/>
  <c r="DE195"/>
  <c r="BJ195"/>
  <c r="BV195" s="1"/>
  <c r="BI195"/>
  <c r="BH195"/>
  <c r="BU195" s="1"/>
  <c r="BG195"/>
  <c r="BF195"/>
  <c r="BS195" s="1"/>
  <c r="BE195"/>
  <c r="BD195"/>
  <c r="BQ195" s="1"/>
  <c r="BC195"/>
  <c r="BB195"/>
  <c r="BO195" s="1"/>
  <c r="BA195"/>
  <c r="AZ195"/>
  <c r="BM195" s="1"/>
  <c r="AY195"/>
  <c r="BK195" s="1"/>
  <c r="AX195"/>
  <c r="BW195" s="1"/>
  <c r="AW195"/>
  <c r="AV195"/>
  <c r="CG195" s="1"/>
  <c r="AU195"/>
  <c r="AT195"/>
  <c r="CE195" s="1"/>
  <c r="AS195"/>
  <c r="AR195"/>
  <c r="CC195" s="1"/>
  <c r="AQ195"/>
  <c r="AP195"/>
  <c r="CA195" s="1"/>
  <c r="AO195"/>
  <c r="AN195"/>
  <c r="BY195" s="1"/>
  <c r="AM195"/>
  <c r="AL195"/>
  <c r="AK195"/>
  <c r="AJ195"/>
  <c r="AI195"/>
  <c r="AH195"/>
  <c r="AG195"/>
  <c r="AF195"/>
  <c r="AE195"/>
  <c r="AD195"/>
  <c r="AC195"/>
  <c r="AB195"/>
  <c r="AA195"/>
  <c r="DE194"/>
  <c r="BJ194"/>
  <c r="BV194" s="1"/>
  <c r="BI194"/>
  <c r="BH194"/>
  <c r="BU194" s="1"/>
  <c r="BG194"/>
  <c r="BF194"/>
  <c r="BS194" s="1"/>
  <c r="BE194"/>
  <c r="BD194"/>
  <c r="BQ194" s="1"/>
  <c r="BC194"/>
  <c r="BB194"/>
  <c r="BO194" s="1"/>
  <c r="BA194"/>
  <c r="AZ194"/>
  <c r="BM194" s="1"/>
  <c r="AY194"/>
  <c r="BK194" s="1"/>
  <c r="AX194"/>
  <c r="BW194" s="1"/>
  <c r="AW194"/>
  <c r="AV194"/>
  <c r="CG194" s="1"/>
  <c r="AU194"/>
  <c r="AT194"/>
  <c r="CE194" s="1"/>
  <c r="AS194"/>
  <c r="AR194"/>
  <c r="CC194" s="1"/>
  <c r="AQ194"/>
  <c r="AP194"/>
  <c r="CA194" s="1"/>
  <c r="AO194"/>
  <c r="AN194"/>
  <c r="BY194" s="1"/>
  <c r="AM194"/>
  <c r="AL194"/>
  <c r="AK194"/>
  <c r="AJ194"/>
  <c r="AI194"/>
  <c r="AH194"/>
  <c r="AG194"/>
  <c r="AF194"/>
  <c r="AE194"/>
  <c r="AD194"/>
  <c r="AC194"/>
  <c r="AB194"/>
  <c r="AA194"/>
  <c r="DE193"/>
  <c r="BJ193"/>
  <c r="BV193" s="1"/>
  <c r="BI193"/>
  <c r="BH193"/>
  <c r="BU193" s="1"/>
  <c r="BG193"/>
  <c r="BF193"/>
  <c r="BS193" s="1"/>
  <c r="BE193"/>
  <c r="BD193"/>
  <c r="BQ193" s="1"/>
  <c r="BC193"/>
  <c r="BB193"/>
  <c r="BO193" s="1"/>
  <c r="BA193"/>
  <c r="AZ193"/>
  <c r="BM193" s="1"/>
  <c r="AY193"/>
  <c r="BK193" s="1"/>
  <c r="AX193"/>
  <c r="BW193" s="1"/>
  <c r="AW193"/>
  <c r="AV193"/>
  <c r="CG193" s="1"/>
  <c r="AU193"/>
  <c r="AT193"/>
  <c r="CE193" s="1"/>
  <c r="AS193"/>
  <c r="AR193"/>
  <c r="CC193" s="1"/>
  <c r="AQ193"/>
  <c r="AP193"/>
  <c r="CA193" s="1"/>
  <c r="AO193"/>
  <c r="AN193"/>
  <c r="BY193" s="1"/>
  <c r="AM193"/>
  <c r="AL193"/>
  <c r="AK193"/>
  <c r="AJ193"/>
  <c r="AI193"/>
  <c r="AH193"/>
  <c r="AG193"/>
  <c r="AF193"/>
  <c r="AE193"/>
  <c r="AD193"/>
  <c r="AC193"/>
  <c r="AB193"/>
  <c r="AA193"/>
  <c r="DE192"/>
  <c r="BJ192"/>
  <c r="BV192" s="1"/>
  <c r="BI192"/>
  <c r="BH192"/>
  <c r="BU192" s="1"/>
  <c r="BG192"/>
  <c r="BF192"/>
  <c r="BS192" s="1"/>
  <c r="BE192"/>
  <c r="BD192"/>
  <c r="BQ192" s="1"/>
  <c r="BC192"/>
  <c r="BB192"/>
  <c r="BO192" s="1"/>
  <c r="BA192"/>
  <c r="AZ192"/>
  <c r="BM192" s="1"/>
  <c r="AY192"/>
  <c r="BK192" s="1"/>
  <c r="AX192"/>
  <c r="BW192" s="1"/>
  <c r="AW192"/>
  <c r="AV192"/>
  <c r="CG192" s="1"/>
  <c r="AU192"/>
  <c r="AT192"/>
  <c r="CE192" s="1"/>
  <c r="AS192"/>
  <c r="AR192"/>
  <c r="CC192" s="1"/>
  <c r="AQ192"/>
  <c r="AP192"/>
  <c r="CA192" s="1"/>
  <c r="AO192"/>
  <c r="AN192"/>
  <c r="BY192" s="1"/>
  <c r="AM192"/>
  <c r="AL192"/>
  <c r="AK192"/>
  <c r="AJ192"/>
  <c r="AI192"/>
  <c r="AH192"/>
  <c r="AG192"/>
  <c r="AF192"/>
  <c r="AE192"/>
  <c r="AD192"/>
  <c r="AC192"/>
  <c r="AB192"/>
  <c r="AA192"/>
  <c r="DE191"/>
  <c r="BJ191"/>
  <c r="BV191" s="1"/>
  <c r="BI191"/>
  <c r="BH191"/>
  <c r="BU191" s="1"/>
  <c r="BG191"/>
  <c r="BF191"/>
  <c r="BS191" s="1"/>
  <c r="BE191"/>
  <c r="BD191"/>
  <c r="BQ191" s="1"/>
  <c r="BC191"/>
  <c r="BB191"/>
  <c r="BO191" s="1"/>
  <c r="BA191"/>
  <c r="AZ191"/>
  <c r="BM191" s="1"/>
  <c r="AY191"/>
  <c r="BK191" s="1"/>
  <c r="AX191"/>
  <c r="BW191" s="1"/>
  <c r="AW191"/>
  <c r="AV191"/>
  <c r="CG191" s="1"/>
  <c r="AU191"/>
  <c r="AT191"/>
  <c r="CE191" s="1"/>
  <c r="AS191"/>
  <c r="AR191"/>
  <c r="CC191" s="1"/>
  <c r="AQ191"/>
  <c r="AP191"/>
  <c r="CA191" s="1"/>
  <c r="AO191"/>
  <c r="AN191"/>
  <c r="BY191" s="1"/>
  <c r="AM191"/>
  <c r="AL191"/>
  <c r="AK191"/>
  <c r="AJ191"/>
  <c r="AI191"/>
  <c r="AH191"/>
  <c r="AG191"/>
  <c r="AF191"/>
  <c r="AE191"/>
  <c r="AD191"/>
  <c r="AC191"/>
  <c r="AB191"/>
  <c r="AA191"/>
  <c r="DE190"/>
  <c r="BJ190"/>
  <c r="BV190" s="1"/>
  <c r="BI190"/>
  <c r="BH190"/>
  <c r="BU190" s="1"/>
  <c r="BG190"/>
  <c r="BF190"/>
  <c r="BS190" s="1"/>
  <c r="BE190"/>
  <c r="BD190"/>
  <c r="BQ190" s="1"/>
  <c r="BC190"/>
  <c r="BB190"/>
  <c r="BO190" s="1"/>
  <c r="BA190"/>
  <c r="AZ190"/>
  <c r="BM190" s="1"/>
  <c r="AY190"/>
  <c r="BK190" s="1"/>
  <c r="AX190"/>
  <c r="BW190" s="1"/>
  <c r="AW190"/>
  <c r="AV190"/>
  <c r="CG190" s="1"/>
  <c r="AU190"/>
  <c r="AT190"/>
  <c r="CE190" s="1"/>
  <c r="AS190"/>
  <c r="AR190"/>
  <c r="CC190" s="1"/>
  <c r="AQ190"/>
  <c r="AP190"/>
  <c r="CA190" s="1"/>
  <c r="AO190"/>
  <c r="AN190"/>
  <c r="BY190" s="1"/>
  <c r="AM190"/>
  <c r="AL190"/>
  <c r="AK190"/>
  <c r="AJ190"/>
  <c r="AI190"/>
  <c r="AH190"/>
  <c r="AG190"/>
  <c r="AF190"/>
  <c r="AE190"/>
  <c r="AD190"/>
  <c r="AC190"/>
  <c r="AB190"/>
  <c r="AA190"/>
  <c r="DE189"/>
  <c r="BJ189"/>
  <c r="BV189" s="1"/>
  <c r="BI189"/>
  <c r="BH189"/>
  <c r="BU189" s="1"/>
  <c r="BG189"/>
  <c r="BF189"/>
  <c r="BS189" s="1"/>
  <c r="BE189"/>
  <c r="BD189"/>
  <c r="BQ189" s="1"/>
  <c r="BC189"/>
  <c r="BB189"/>
  <c r="BO189" s="1"/>
  <c r="BA189"/>
  <c r="AZ189"/>
  <c r="BM189" s="1"/>
  <c r="AY189"/>
  <c r="BK189" s="1"/>
  <c r="AX189"/>
  <c r="BW189" s="1"/>
  <c r="AW189"/>
  <c r="AV189"/>
  <c r="CG189" s="1"/>
  <c r="AU189"/>
  <c r="AT189"/>
  <c r="CE189" s="1"/>
  <c r="AS189"/>
  <c r="AR189"/>
  <c r="CC189" s="1"/>
  <c r="AQ189"/>
  <c r="AP189"/>
  <c r="CA189" s="1"/>
  <c r="AO189"/>
  <c r="AN189"/>
  <c r="BY189" s="1"/>
  <c r="AM189"/>
  <c r="AL189"/>
  <c r="AK189"/>
  <c r="AJ189"/>
  <c r="AI189"/>
  <c r="AH189"/>
  <c r="AG189"/>
  <c r="AF189"/>
  <c r="AE189"/>
  <c r="AD189"/>
  <c r="AC189"/>
  <c r="AB189"/>
  <c r="AA189"/>
  <c r="DE188"/>
  <c r="BJ188"/>
  <c r="BV188" s="1"/>
  <c r="BI188"/>
  <c r="BH188"/>
  <c r="BU188" s="1"/>
  <c r="BG188"/>
  <c r="BF188"/>
  <c r="BS188" s="1"/>
  <c r="BE188"/>
  <c r="BD188"/>
  <c r="BQ188" s="1"/>
  <c r="BC188"/>
  <c r="BB188"/>
  <c r="BO188" s="1"/>
  <c r="BA188"/>
  <c r="AZ188"/>
  <c r="BM188" s="1"/>
  <c r="AY188"/>
  <c r="BK188" s="1"/>
  <c r="AX188"/>
  <c r="BW188" s="1"/>
  <c r="AW188"/>
  <c r="AV188"/>
  <c r="CG188" s="1"/>
  <c r="AU188"/>
  <c r="AT188"/>
  <c r="CE188" s="1"/>
  <c r="AS188"/>
  <c r="AR188"/>
  <c r="CC188" s="1"/>
  <c r="AQ188"/>
  <c r="AP188"/>
  <c r="CA188" s="1"/>
  <c r="AO188"/>
  <c r="AN188"/>
  <c r="BY188" s="1"/>
  <c r="AM188"/>
  <c r="AL188"/>
  <c r="AK188"/>
  <c r="AJ188"/>
  <c r="AI188"/>
  <c r="AH188"/>
  <c r="AG188"/>
  <c r="AF188"/>
  <c r="AE188"/>
  <c r="AD188"/>
  <c r="AC188"/>
  <c r="AB188"/>
  <c r="AA188"/>
  <c r="DE187"/>
  <c r="BJ187"/>
  <c r="BV187" s="1"/>
  <c r="BI187"/>
  <c r="BH187"/>
  <c r="BU187" s="1"/>
  <c r="BG187"/>
  <c r="BF187"/>
  <c r="BS187" s="1"/>
  <c r="BE187"/>
  <c r="BD187"/>
  <c r="BQ187" s="1"/>
  <c r="BC187"/>
  <c r="BB187"/>
  <c r="BO187" s="1"/>
  <c r="BA187"/>
  <c r="AZ187"/>
  <c r="BM187" s="1"/>
  <c r="AY187"/>
  <c r="BK187" s="1"/>
  <c r="AX187"/>
  <c r="BW187" s="1"/>
  <c r="AW187"/>
  <c r="AV187"/>
  <c r="CG187" s="1"/>
  <c r="AU187"/>
  <c r="AT187"/>
  <c r="CE187" s="1"/>
  <c r="AS187"/>
  <c r="AR187"/>
  <c r="CC187" s="1"/>
  <c r="AQ187"/>
  <c r="AP187"/>
  <c r="CA187" s="1"/>
  <c r="AO187"/>
  <c r="AN187"/>
  <c r="BY187" s="1"/>
  <c r="AM187"/>
  <c r="AL187"/>
  <c r="AK187"/>
  <c r="AJ187"/>
  <c r="AI187"/>
  <c r="AH187"/>
  <c r="AG187"/>
  <c r="AF187"/>
  <c r="AE187"/>
  <c r="AD187"/>
  <c r="AC187"/>
  <c r="AB187"/>
  <c r="AA187"/>
  <c r="DE186"/>
  <c r="BJ186"/>
  <c r="BV186" s="1"/>
  <c r="BI186"/>
  <c r="BH186"/>
  <c r="BU186" s="1"/>
  <c r="BG186"/>
  <c r="BF186"/>
  <c r="BS186" s="1"/>
  <c r="BE186"/>
  <c r="BD186"/>
  <c r="BQ186" s="1"/>
  <c r="BC186"/>
  <c r="BB186"/>
  <c r="BO186" s="1"/>
  <c r="BA186"/>
  <c r="AZ186"/>
  <c r="BM186" s="1"/>
  <c r="AY186"/>
  <c r="BK186" s="1"/>
  <c r="AX186"/>
  <c r="BW186" s="1"/>
  <c r="AW186"/>
  <c r="AV186"/>
  <c r="CG186" s="1"/>
  <c r="AU186"/>
  <c r="AT186"/>
  <c r="CE186" s="1"/>
  <c r="AS186"/>
  <c r="AR186"/>
  <c r="CC186" s="1"/>
  <c r="AQ186"/>
  <c r="AP186"/>
  <c r="CA186" s="1"/>
  <c r="AO186"/>
  <c r="AN186"/>
  <c r="BY186" s="1"/>
  <c r="AM186"/>
  <c r="AL186"/>
  <c r="AK186"/>
  <c r="AJ186"/>
  <c r="AI186"/>
  <c r="AH186"/>
  <c r="AG186"/>
  <c r="AF186"/>
  <c r="AE186"/>
  <c r="AD186"/>
  <c r="AC186"/>
  <c r="AB186"/>
  <c r="AA186"/>
  <c r="DE185"/>
  <c r="BJ185"/>
  <c r="BV185" s="1"/>
  <c r="BI185"/>
  <c r="BH185"/>
  <c r="BU185" s="1"/>
  <c r="BG185"/>
  <c r="BF185"/>
  <c r="BS185" s="1"/>
  <c r="BE185"/>
  <c r="BD185"/>
  <c r="BQ185" s="1"/>
  <c r="BC185"/>
  <c r="BB185"/>
  <c r="BO185" s="1"/>
  <c r="BA185"/>
  <c r="AZ185"/>
  <c r="BM185" s="1"/>
  <c r="AY185"/>
  <c r="BK185" s="1"/>
  <c r="AX185"/>
  <c r="BW185" s="1"/>
  <c r="AW185"/>
  <c r="AV185"/>
  <c r="CG185" s="1"/>
  <c r="AU185"/>
  <c r="AT185"/>
  <c r="CE185" s="1"/>
  <c r="AS185"/>
  <c r="AR185"/>
  <c r="CC185" s="1"/>
  <c r="AQ185"/>
  <c r="AP185"/>
  <c r="CA185" s="1"/>
  <c r="AO185"/>
  <c r="AN185"/>
  <c r="BY185" s="1"/>
  <c r="AM185"/>
  <c r="AL185"/>
  <c r="AK185"/>
  <c r="AJ185"/>
  <c r="AI185"/>
  <c r="AH185"/>
  <c r="AG185"/>
  <c r="AF185"/>
  <c r="AE185"/>
  <c r="AD185"/>
  <c r="AC185"/>
  <c r="AB185"/>
  <c r="AA185"/>
  <c r="DE184"/>
  <c r="BJ184"/>
  <c r="BV184" s="1"/>
  <c r="BI184"/>
  <c r="BH184"/>
  <c r="BU184" s="1"/>
  <c r="BG184"/>
  <c r="BF184"/>
  <c r="BS184" s="1"/>
  <c r="BE184"/>
  <c r="BD184"/>
  <c r="BQ184" s="1"/>
  <c r="BC184"/>
  <c r="BB184"/>
  <c r="BO184" s="1"/>
  <c r="BA184"/>
  <c r="AZ184"/>
  <c r="BM184" s="1"/>
  <c r="AY184"/>
  <c r="BK184" s="1"/>
  <c r="AX184"/>
  <c r="BW184" s="1"/>
  <c r="AW184"/>
  <c r="AV184"/>
  <c r="CG184" s="1"/>
  <c r="AU184"/>
  <c r="AT184"/>
  <c r="CE184" s="1"/>
  <c r="AS184"/>
  <c r="AR184"/>
  <c r="CC184" s="1"/>
  <c r="AQ184"/>
  <c r="AP184"/>
  <c r="CA184" s="1"/>
  <c r="AO184"/>
  <c r="AN184"/>
  <c r="BY184" s="1"/>
  <c r="AM184"/>
  <c r="AL184"/>
  <c r="AK184"/>
  <c r="AJ184"/>
  <c r="AI184"/>
  <c r="AH184"/>
  <c r="AG184"/>
  <c r="AF184"/>
  <c r="AE184"/>
  <c r="AD184"/>
  <c r="AC184"/>
  <c r="AB184"/>
  <c r="AA184"/>
  <c r="DE183"/>
  <c r="BJ183"/>
  <c r="BV183" s="1"/>
  <c r="BI183"/>
  <c r="BH183"/>
  <c r="BU183" s="1"/>
  <c r="BG183"/>
  <c r="BF183"/>
  <c r="BS183" s="1"/>
  <c r="BE183"/>
  <c r="BD183"/>
  <c r="BQ183" s="1"/>
  <c r="BC183"/>
  <c r="BB183"/>
  <c r="BO183" s="1"/>
  <c r="BA183"/>
  <c r="AZ183"/>
  <c r="BM183" s="1"/>
  <c r="AY183"/>
  <c r="BK183" s="1"/>
  <c r="AX183"/>
  <c r="BW183" s="1"/>
  <c r="AW183"/>
  <c r="AV183"/>
  <c r="CG183" s="1"/>
  <c r="AU183"/>
  <c r="AT183"/>
  <c r="CE183" s="1"/>
  <c r="AS183"/>
  <c r="AR183"/>
  <c r="CC183" s="1"/>
  <c r="AQ183"/>
  <c r="AP183"/>
  <c r="CA183" s="1"/>
  <c r="AO183"/>
  <c r="AN183"/>
  <c r="BY183" s="1"/>
  <c r="AM183"/>
  <c r="AL183"/>
  <c r="AK183"/>
  <c r="AJ183"/>
  <c r="AI183"/>
  <c r="AH183"/>
  <c r="AG183"/>
  <c r="AF183"/>
  <c r="AE183"/>
  <c r="AD183"/>
  <c r="AC183"/>
  <c r="AB183"/>
  <c r="AA183"/>
  <c r="DE182"/>
  <c r="BJ182"/>
  <c r="BV182" s="1"/>
  <c r="BI182"/>
  <c r="BH182"/>
  <c r="BU182" s="1"/>
  <c r="BG182"/>
  <c r="BF182"/>
  <c r="BS182" s="1"/>
  <c r="BE182"/>
  <c r="BD182"/>
  <c r="BQ182" s="1"/>
  <c r="BC182"/>
  <c r="BB182"/>
  <c r="BO182" s="1"/>
  <c r="BA182"/>
  <c r="AZ182"/>
  <c r="BM182" s="1"/>
  <c r="AY182"/>
  <c r="BK182" s="1"/>
  <c r="AX182"/>
  <c r="BW182" s="1"/>
  <c r="AW182"/>
  <c r="AV182"/>
  <c r="CG182" s="1"/>
  <c r="AU182"/>
  <c r="AT182"/>
  <c r="CE182" s="1"/>
  <c r="AS182"/>
  <c r="AR182"/>
  <c r="CC182" s="1"/>
  <c r="AQ182"/>
  <c r="AP182"/>
  <c r="CA182" s="1"/>
  <c r="AO182"/>
  <c r="AN182"/>
  <c r="BY182" s="1"/>
  <c r="AM182"/>
  <c r="AL182"/>
  <c r="AK182"/>
  <c r="AJ182"/>
  <c r="AI182"/>
  <c r="AH182"/>
  <c r="AG182"/>
  <c r="AF182"/>
  <c r="AE182"/>
  <c r="AD182"/>
  <c r="AC182"/>
  <c r="AB182"/>
  <c r="AA182"/>
  <c r="DE181"/>
  <c r="BJ181"/>
  <c r="BV181" s="1"/>
  <c r="BI181"/>
  <c r="BH181"/>
  <c r="BU181" s="1"/>
  <c r="BG181"/>
  <c r="BF181"/>
  <c r="BS181" s="1"/>
  <c r="BE181"/>
  <c r="BD181"/>
  <c r="BQ181" s="1"/>
  <c r="BC181"/>
  <c r="BB181"/>
  <c r="BO181" s="1"/>
  <c r="BA181"/>
  <c r="AZ181"/>
  <c r="BM181" s="1"/>
  <c r="AY181"/>
  <c r="BK181" s="1"/>
  <c r="AX181"/>
  <c r="BW181" s="1"/>
  <c r="AW181"/>
  <c r="AV181"/>
  <c r="CG181" s="1"/>
  <c r="AU181"/>
  <c r="AT181"/>
  <c r="CE181" s="1"/>
  <c r="AS181"/>
  <c r="AR181"/>
  <c r="CC181" s="1"/>
  <c r="AQ181"/>
  <c r="AP181"/>
  <c r="CA181" s="1"/>
  <c r="AO181"/>
  <c r="AN181"/>
  <c r="BY181" s="1"/>
  <c r="AM181"/>
  <c r="AL181"/>
  <c r="AK181"/>
  <c r="AJ181"/>
  <c r="AI181"/>
  <c r="AH181"/>
  <c r="AG181"/>
  <c r="AF181"/>
  <c r="AE181"/>
  <c r="AD181"/>
  <c r="AC181"/>
  <c r="AB181"/>
  <c r="AA181"/>
  <c r="DE180"/>
  <c r="BJ180"/>
  <c r="BV180" s="1"/>
  <c r="BI180"/>
  <c r="BH180"/>
  <c r="BU180" s="1"/>
  <c r="BG180"/>
  <c r="BF180"/>
  <c r="BS180" s="1"/>
  <c r="BE180"/>
  <c r="BD180"/>
  <c r="BQ180" s="1"/>
  <c r="BC180"/>
  <c r="BB180"/>
  <c r="BO180" s="1"/>
  <c r="BA180"/>
  <c r="AZ180"/>
  <c r="BM180" s="1"/>
  <c r="AY180"/>
  <c r="BK180" s="1"/>
  <c r="AX180"/>
  <c r="BW180" s="1"/>
  <c r="AW180"/>
  <c r="AV180"/>
  <c r="CG180" s="1"/>
  <c r="AU180"/>
  <c r="AT180"/>
  <c r="CE180" s="1"/>
  <c r="AS180"/>
  <c r="AR180"/>
  <c r="CC180" s="1"/>
  <c r="AQ180"/>
  <c r="AP180"/>
  <c r="CA180" s="1"/>
  <c r="AO180"/>
  <c r="AN180"/>
  <c r="BY180" s="1"/>
  <c r="AM180"/>
  <c r="AL180"/>
  <c r="AK180"/>
  <c r="AJ180"/>
  <c r="AI180"/>
  <c r="AH180"/>
  <c r="AG180"/>
  <c r="AF180"/>
  <c r="AE180"/>
  <c r="AD180"/>
  <c r="AC180"/>
  <c r="AB180"/>
  <c r="AA180"/>
  <c r="DE179"/>
  <c r="BJ179"/>
  <c r="BV179" s="1"/>
  <c r="BI179"/>
  <c r="BH179"/>
  <c r="BU179" s="1"/>
  <c r="BG179"/>
  <c r="BF179"/>
  <c r="BS179" s="1"/>
  <c r="BE179"/>
  <c r="BD179"/>
  <c r="BQ179" s="1"/>
  <c r="BC179"/>
  <c r="BB179"/>
  <c r="BO179" s="1"/>
  <c r="BA179"/>
  <c r="AZ179"/>
  <c r="BM179" s="1"/>
  <c r="AY179"/>
  <c r="BK179" s="1"/>
  <c r="AX179"/>
  <c r="BW179" s="1"/>
  <c r="AW179"/>
  <c r="AV179"/>
  <c r="CG179" s="1"/>
  <c r="AU179"/>
  <c r="AT179"/>
  <c r="CE179" s="1"/>
  <c r="AS179"/>
  <c r="AR179"/>
  <c r="CC179" s="1"/>
  <c r="AQ179"/>
  <c r="AP179"/>
  <c r="CA179" s="1"/>
  <c r="AO179"/>
  <c r="AN179"/>
  <c r="BY179" s="1"/>
  <c r="AM179"/>
  <c r="AL179"/>
  <c r="AK179"/>
  <c r="AJ179"/>
  <c r="AI179"/>
  <c r="AH179"/>
  <c r="AG179"/>
  <c r="AF179"/>
  <c r="AE179"/>
  <c r="AD179"/>
  <c r="AC179"/>
  <c r="AB179"/>
  <c r="AA179"/>
  <c r="DE178"/>
  <c r="BJ178"/>
  <c r="BV178" s="1"/>
  <c r="BI178"/>
  <c r="BH178"/>
  <c r="BU178" s="1"/>
  <c r="BG178"/>
  <c r="BF178"/>
  <c r="BS178" s="1"/>
  <c r="BE178"/>
  <c r="BD178"/>
  <c r="BQ178" s="1"/>
  <c r="BC178"/>
  <c r="BB178"/>
  <c r="BO178" s="1"/>
  <c r="BA178"/>
  <c r="AZ178"/>
  <c r="BM178" s="1"/>
  <c r="AY178"/>
  <c r="BK178" s="1"/>
  <c r="AX178"/>
  <c r="BW178" s="1"/>
  <c r="AW178"/>
  <c r="AV178"/>
  <c r="CG178" s="1"/>
  <c r="AU178"/>
  <c r="AT178"/>
  <c r="CE178" s="1"/>
  <c r="AS178"/>
  <c r="AR178"/>
  <c r="CC178" s="1"/>
  <c r="AQ178"/>
  <c r="AP178"/>
  <c r="CA178" s="1"/>
  <c r="AO178"/>
  <c r="AN178"/>
  <c r="BY178" s="1"/>
  <c r="AM178"/>
  <c r="AL178"/>
  <c r="AK178"/>
  <c r="AJ178"/>
  <c r="AI178"/>
  <c r="AH178"/>
  <c r="AG178"/>
  <c r="AF178"/>
  <c r="AE178"/>
  <c r="AD178"/>
  <c r="AC178"/>
  <c r="AB178"/>
  <c r="AA178"/>
  <c r="DE177"/>
  <c r="BJ177"/>
  <c r="BV177" s="1"/>
  <c r="BI177"/>
  <c r="BH177"/>
  <c r="BU177" s="1"/>
  <c r="BG177"/>
  <c r="BF177"/>
  <c r="BS177" s="1"/>
  <c r="BE177"/>
  <c r="BD177"/>
  <c r="BQ177" s="1"/>
  <c r="BC177"/>
  <c r="BB177"/>
  <c r="BO177" s="1"/>
  <c r="BA177"/>
  <c r="AZ177"/>
  <c r="BM177" s="1"/>
  <c r="AY177"/>
  <c r="BK177" s="1"/>
  <c r="AX177"/>
  <c r="BW177" s="1"/>
  <c r="AW177"/>
  <c r="AV177"/>
  <c r="CG177" s="1"/>
  <c r="AU177"/>
  <c r="AT177"/>
  <c r="CE177" s="1"/>
  <c r="AS177"/>
  <c r="AR177"/>
  <c r="CC177" s="1"/>
  <c r="AQ177"/>
  <c r="AP177"/>
  <c r="CA177" s="1"/>
  <c r="AO177"/>
  <c r="AN177"/>
  <c r="BY177" s="1"/>
  <c r="AM177"/>
  <c r="AL177"/>
  <c r="AK177"/>
  <c r="AJ177"/>
  <c r="AI177"/>
  <c r="AH177"/>
  <c r="AG177"/>
  <c r="AF177"/>
  <c r="AE177"/>
  <c r="AD177"/>
  <c r="AC177"/>
  <c r="AB177"/>
  <c r="AA177"/>
  <c r="DE176"/>
  <c r="BJ176"/>
  <c r="BV176" s="1"/>
  <c r="BI176"/>
  <c r="BH176"/>
  <c r="BU176" s="1"/>
  <c r="BG176"/>
  <c r="BF176"/>
  <c r="BS176" s="1"/>
  <c r="BE176"/>
  <c r="BD176"/>
  <c r="BQ176" s="1"/>
  <c r="BC176"/>
  <c r="BB176"/>
  <c r="BO176" s="1"/>
  <c r="BA176"/>
  <c r="AZ176"/>
  <c r="BM176" s="1"/>
  <c r="AY176"/>
  <c r="BK176" s="1"/>
  <c r="AX176"/>
  <c r="BW176" s="1"/>
  <c r="AW176"/>
  <c r="AV176"/>
  <c r="CG176" s="1"/>
  <c r="AU176"/>
  <c r="AT176"/>
  <c r="CE176" s="1"/>
  <c r="AS176"/>
  <c r="AR176"/>
  <c r="CC176" s="1"/>
  <c r="AQ176"/>
  <c r="AP176"/>
  <c r="CA176" s="1"/>
  <c r="AO176"/>
  <c r="AN176"/>
  <c r="BY176" s="1"/>
  <c r="AM176"/>
  <c r="AL176"/>
  <c r="AK176"/>
  <c r="AJ176"/>
  <c r="AI176"/>
  <c r="AH176"/>
  <c r="AG176"/>
  <c r="AF176"/>
  <c r="AE176"/>
  <c r="AD176"/>
  <c r="AC176"/>
  <c r="AB176"/>
  <c r="AA176"/>
  <c r="DE175"/>
  <c r="BJ175"/>
  <c r="BV175" s="1"/>
  <c r="BI175"/>
  <c r="BH175"/>
  <c r="BU175" s="1"/>
  <c r="BG175"/>
  <c r="BF175"/>
  <c r="BS175" s="1"/>
  <c r="BE175"/>
  <c r="BD175"/>
  <c r="BQ175" s="1"/>
  <c r="BC175"/>
  <c r="BB175"/>
  <c r="BO175" s="1"/>
  <c r="BA175"/>
  <c r="AZ175"/>
  <c r="BM175" s="1"/>
  <c r="AY175"/>
  <c r="BK175" s="1"/>
  <c r="AX175"/>
  <c r="BW175" s="1"/>
  <c r="AW175"/>
  <c r="AV175"/>
  <c r="CG175" s="1"/>
  <c r="AU175"/>
  <c r="AT175"/>
  <c r="CE175" s="1"/>
  <c r="AS175"/>
  <c r="AR175"/>
  <c r="CC175" s="1"/>
  <c r="AQ175"/>
  <c r="AP175"/>
  <c r="CA175" s="1"/>
  <c r="AO175"/>
  <c r="AN175"/>
  <c r="BY175" s="1"/>
  <c r="AM175"/>
  <c r="AL175"/>
  <c r="AK175"/>
  <c r="AJ175"/>
  <c r="AI175"/>
  <c r="AH175"/>
  <c r="AG175"/>
  <c r="AF175"/>
  <c r="AE175"/>
  <c r="AD175"/>
  <c r="AC175"/>
  <c r="AB175"/>
  <c r="AA175"/>
  <c r="DE174"/>
  <c r="BJ174"/>
  <c r="BV174" s="1"/>
  <c r="BI174"/>
  <c r="BH174"/>
  <c r="BU174" s="1"/>
  <c r="BG174"/>
  <c r="BF174"/>
  <c r="BS174" s="1"/>
  <c r="BE174"/>
  <c r="BD174"/>
  <c r="BQ174" s="1"/>
  <c r="BC174"/>
  <c r="BB174"/>
  <c r="BO174" s="1"/>
  <c r="BA174"/>
  <c r="AZ174"/>
  <c r="BM174" s="1"/>
  <c r="AY174"/>
  <c r="BK174" s="1"/>
  <c r="AX174"/>
  <c r="BW174" s="1"/>
  <c r="AW174"/>
  <c r="AV174"/>
  <c r="CG174" s="1"/>
  <c r="AU174"/>
  <c r="AT174"/>
  <c r="CE174" s="1"/>
  <c r="AS174"/>
  <c r="AR174"/>
  <c r="CC174" s="1"/>
  <c r="AQ174"/>
  <c r="AP174"/>
  <c r="CA174" s="1"/>
  <c r="AO174"/>
  <c r="AN174"/>
  <c r="BY174" s="1"/>
  <c r="AM174"/>
  <c r="AL174"/>
  <c r="AK174"/>
  <c r="AJ174"/>
  <c r="AI174"/>
  <c r="AH174"/>
  <c r="AG174"/>
  <c r="AF174"/>
  <c r="AE174"/>
  <c r="AD174"/>
  <c r="AC174"/>
  <c r="AB174"/>
  <c r="AA174"/>
  <c r="DE173"/>
  <c r="BJ173"/>
  <c r="BV173" s="1"/>
  <c r="BI173"/>
  <c r="BH173"/>
  <c r="BU173" s="1"/>
  <c r="BG173"/>
  <c r="BF173"/>
  <c r="BS173" s="1"/>
  <c r="BE173"/>
  <c r="BD173"/>
  <c r="BQ173" s="1"/>
  <c r="BC173"/>
  <c r="BB173"/>
  <c r="BO173" s="1"/>
  <c r="BA173"/>
  <c r="AZ173"/>
  <c r="BM173" s="1"/>
  <c r="AY173"/>
  <c r="BK173" s="1"/>
  <c r="AX173"/>
  <c r="BW173" s="1"/>
  <c r="AW173"/>
  <c r="AV173"/>
  <c r="CG173" s="1"/>
  <c r="AU173"/>
  <c r="AT173"/>
  <c r="CE173" s="1"/>
  <c r="AS173"/>
  <c r="AR173"/>
  <c r="CC173" s="1"/>
  <c r="AQ173"/>
  <c r="AP173"/>
  <c r="CA173" s="1"/>
  <c r="AO173"/>
  <c r="AN173"/>
  <c r="BY173" s="1"/>
  <c r="AM173"/>
  <c r="AL173"/>
  <c r="AK173"/>
  <c r="AJ173"/>
  <c r="AI173"/>
  <c r="AH173"/>
  <c r="AG173"/>
  <c r="AF173"/>
  <c r="AE173"/>
  <c r="AD173"/>
  <c r="AC173"/>
  <c r="AB173"/>
  <c r="AA173"/>
  <c r="DE172"/>
  <c r="BJ172"/>
  <c r="BV172" s="1"/>
  <c r="BI172"/>
  <c r="BH172"/>
  <c r="BU172" s="1"/>
  <c r="BG172"/>
  <c r="BF172"/>
  <c r="BS172" s="1"/>
  <c r="BE172"/>
  <c r="BD172"/>
  <c r="BQ172" s="1"/>
  <c r="BC172"/>
  <c r="BB172"/>
  <c r="BO172" s="1"/>
  <c r="BA172"/>
  <c r="AZ172"/>
  <c r="BM172" s="1"/>
  <c r="AY172"/>
  <c r="BK172" s="1"/>
  <c r="AX172"/>
  <c r="BW172" s="1"/>
  <c r="AW172"/>
  <c r="AV172"/>
  <c r="CG172" s="1"/>
  <c r="AU172"/>
  <c r="AT172"/>
  <c r="CE172" s="1"/>
  <c r="AS172"/>
  <c r="AR172"/>
  <c r="CC172" s="1"/>
  <c r="AQ172"/>
  <c r="AP172"/>
  <c r="CA172" s="1"/>
  <c r="AO172"/>
  <c r="AN172"/>
  <c r="BY172" s="1"/>
  <c r="AM172"/>
  <c r="AL172"/>
  <c r="AK172"/>
  <c r="AJ172"/>
  <c r="AI172"/>
  <c r="AH172"/>
  <c r="AG172"/>
  <c r="AF172"/>
  <c r="AE172"/>
  <c r="AD172"/>
  <c r="AC172"/>
  <c r="AB172"/>
  <c r="AA172"/>
  <c r="DE171"/>
  <c r="BJ171"/>
  <c r="BV171" s="1"/>
  <c r="BI171"/>
  <c r="BH171"/>
  <c r="BU171" s="1"/>
  <c r="BG171"/>
  <c r="BF171"/>
  <c r="BS171" s="1"/>
  <c r="BE171"/>
  <c r="BD171"/>
  <c r="BQ171" s="1"/>
  <c r="BC171"/>
  <c r="BB171"/>
  <c r="BO171" s="1"/>
  <c r="BA171"/>
  <c r="AZ171"/>
  <c r="BM171" s="1"/>
  <c r="AY171"/>
  <c r="BK171" s="1"/>
  <c r="AX171"/>
  <c r="BW171" s="1"/>
  <c r="AW171"/>
  <c r="AV171"/>
  <c r="CG171" s="1"/>
  <c r="AU171"/>
  <c r="AT171"/>
  <c r="CE171" s="1"/>
  <c r="AS171"/>
  <c r="AR171"/>
  <c r="CC171" s="1"/>
  <c r="AQ171"/>
  <c r="AP171"/>
  <c r="CA171" s="1"/>
  <c r="AO171"/>
  <c r="AN171"/>
  <c r="BY171" s="1"/>
  <c r="AM171"/>
  <c r="AL171"/>
  <c r="AK171"/>
  <c r="AJ171"/>
  <c r="AI171"/>
  <c r="AH171"/>
  <c r="AG171"/>
  <c r="AF171"/>
  <c r="AE171"/>
  <c r="AD171"/>
  <c r="AC171"/>
  <c r="AB171"/>
  <c r="AA171"/>
  <c r="DE170"/>
  <c r="BJ170"/>
  <c r="BV170" s="1"/>
  <c r="BI170"/>
  <c r="BH170"/>
  <c r="BU170" s="1"/>
  <c r="BG170"/>
  <c r="BF170"/>
  <c r="BS170" s="1"/>
  <c r="BE170"/>
  <c r="BD170"/>
  <c r="BQ170" s="1"/>
  <c r="BC170"/>
  <c r="BB170"/>
  <c r="BO170" s="1"/>
  <c r="BA170"/>
  <c r="AZ170"/>
  <c r="BM170" s="1"/>
  <c r="AY170"/>
  <c r="BK170" s="1"/>
  <c r="AX170"/>
  <c r="BW170" s="1"/>
  <c r="AW170"/>
  <c r="AV170"/>
  <c r="CG170" s="1"/>
  <c r="AU170"/>
  <c r="AT170"/>
  <c r="CE170" s="1"/>
  <c r="AS170"/>
  <c r="AR170"/>
  <c r="CC170" s="1"/>
  <c r="AQ170"/>
  <c r="AP170"/>
  <c r="CA170" s="1"/>
  <c r="AO170"/>
  <c r="AN170"/>
  <c r="BY170" s="1"/>
  <c r="AM170"/>
  <c r="AL170"/>
  <c r="AK170"/>
  <c r="AJ170"/>
  <c r="AI170"/>
  <c r="AH170"/>
  <c r="AG170"/>
  <c r="AF170"/>
  <c r="AE170"/>
  <c r="AD170"/>
  <c r="AC170"/>
  <c r="AB170"/>
  <c r="AA170"/>
  <c r="DE169"/>
  <c r="BJ169"/>
  <c r="BV169" s="1"/>
  <c r="BI169"/>
  <c r="BH169"/>
  <c r="BU169" s="1"/>
  <c r="BG169"/>
  <c r="BF169"/>
  <c r="BS169" s="1"/>
  <c r="BE169"/>
  <c r="BD169"/>
  <c r="BQ169" s="1"/>
  <c r="BC169"/>
  <c r="BB169"/>
  <c r="BO169" s="1"/>
  <c r="BA169"/>
  <c r="AZ169"/>
  <c r="BM169" s="1"/>
  <c r="AY169"/>
  <c r="BK169" s="1"/>
  <c r="AX169"/>
  <c r="BW169" s="1"/>
  <c r="AW169"/>
  <c r="AV169"/>
  <c r="CG169" s="1"/>
  <c r="AU169"/>
  <c r="AT169"/>
  <c r="CE169" s="1"/>
  <c r="AS169"/>
  <c r="AR169"/>
  <c r="CC169" s="1"/>
  <c r="AQ169"/>
  <c r="AP169"/>
  <c r="CA169" s="1"/>
  <c r="AO169"/>
  <c r="AN169"/>
  <c r="BY169" s="1"/>
  <c r="AM169"/>
  <c r="AL169"/>
  <c r="AK169"/>
  <c r="AJ169"/>
  <c r="AI169"/>
  <c r="AH169"/>
  <c r="AG169"/>
  <c r="AF169"/>
  <c r="AE169"/>
  <c r="AD169"/>
  <c r="AC169"/>
  <c r="AB169"/>
  <c r="AA169"/>
  <c r="DE168"/>
  <c r="BJ168"/>
  <c r="BV168" s="1"/>
  <c r="BI168"/>
  <c r="BH168"/>
  <c r="BU168" s="1"/>
  <c r="BG168"/>
  <c r="BF168"/>
  <c r="BS168" s="1"/>
  <c r="BE168"/>
  <c r="BD168"/>
  <c r="BQ168" s="1"/>
  <c r="BC168"/>
  <c r="BB168"/>
  <c r="BO168" s="1"/>
  <c r="BA168"/>
  <c r="AZ168"/>
  <c r="BM168" s="1"/>
  <c r="AY168"/>
  <c r="BK168" s="1"/>
  <c r="AX168"/>
  <c r="BW168" s="1"/>
  <c r="AW168"/>
  <c r="AV168"/>
  <c r="CG168" s="1"/>
  <c r="AU168"/>
  <c r="AT168"/>
  <c r="CE168" s="1"/>
  <c r="AS168"/>
  <c r="AR168"/>
  <c r="CC168" s="1"/>
  <c r="AQ168"/>
  <c r="AP168"/>
  <c r="CA168" s="1"/>
  <c r="AO168"/>
  <c r="AN168"/>
  <c r="BY168" s="1"/>
  <c r="AM168"/>
  <c r="AL168"/>
  <c r="AK168"/>
  <c r="AJ168"/>
  <c r="AI168"/>
  <c r="AH168"/>
  <c r="AG168"/>
  <c r="AF168"/>
  <c r="AE168"/>
  <c r="AD168"/>
  <c r="AC168"/>
  <c r="AB168"/>
  <c r="AA168"/>
  <c r="DE167"/>
  <c r="BJ167"/>
  <c r="BV167" s="1"/>
  <c r="BI167"/>
  <c r="BH167"/>
  <c r="BU167" s="1"/>
  <c r="BG167"/>
  <c r="BF167"/>
  <c r="BS167" s="1"/>
  <c r="BE167"/>
  <c r="BD167"/>
  <c r="BQ167" s="1"/>
  <c r="BC167"/>
  <c r="BB167"/>
  <c r="BO167" s="1"/>
  <c r="BA167"/>
  <c r="AZ167"/>
  <c r="BM167" s="1"/>
  <c r="AY167"/>
  <c r="BK167" s="1"/>
  <c r="AX167"/>
  <c r="BW167" s="1"/>
  <c r="AW167"/>
  <c r="AV167"/>
  <c r="CG167" s="1"/>
  <c r="AU167"/>
  <c r="AT167"/>
  <c r="CE167" s="1"/>
  <c r="AS167"/>
  <c r="AR167"/>
  <c r="CC167" s="1"/>
  <c r="AQ167"/>
  <c r="AP167"/>
  <c r="CA167" s="1"/>
  <c r="AO167"/>
  <c r="AN167"/>
  <c r="BY167" s="1"/>
  <c r="AM167"/>
  <c r="AL167"/>
  <c r="AK167"/>
  <c r="AJ167"/>
  <c r="AI167"/>
  <c r="AH167"/>
  <c r="AG167"/>
  <c r="AF167"/>
  <c r="AE167"/>
  <c r="AD167"/>
  <c r="AC167"/>
  <c r="AB167"/>
  <c r="AA167"/>
  <c r="DE166"/>
  <c r="BJ166"/>
  <c r="BV166" s="1"/>
  <c r="BI166"/>
  <c r="BH166"/>
  <c r="BU166" s="1"/>
  <c r="BG166"/>
  <c r="BF166"/>
  <c r="BS166" s="1"/>
  <c r="BE166"/>
  <c r="BD166"/>
  <c r="BQ166" s="1"/>
  <c r="BC166"/>
  <c r="BB166"/>
  <c r="BO166" s="1"/>
  <c r="BA166"/>
  <c r="AZ166"/>
  <c r="BM166" s="1"/>
  <c r="AY166"/>
  <c r="BK166" s="1"/>
  <c r="AX166"/>
  <c r="BW166" s="1"/>
  <c r="AW166"/>
  <c r="AV166"/>
  <c r="CG166" s="1"/>
  <c r="AU166"/>
  <c r="AT166"/>
  <c r="CE166" s="1"/>
  <c r="AS166"/>
  <c r="AR166"/>
  <c r="CC166" s="1"/>
  <c r="AQ166"/>
  <c r="AP166"/>
  <c r="CA166" s="1"/>
  <c r="AO166"/>
  <c r="AN166"/>
  <c r="BY166" s="1"/>
  <c r="AM166"/>
  <c r="AL166"/>
  <c r="AK166"/>
  <c r="AJ166"/>
  <c r="AI166"/>
  <c r="AH166"/>
  <c r="AG166"/>
  <c r="AF166"/>
  <c r="AE166"/>
  <c r="AD166"/>
  <c r="AC166"/>
  <c r="AB166"/>
  <c r="AA166"/>
  <c r="DE165"/>
  <c r="BJ165"/>
  <c r="BV165" s="1"/>
  <c r="BI165"/>
  <c r="BH165"/>
  <c r="BU165" s="1"/>
  <c r="BG165"/>
  <c r="BF165"/>
  <c r="BS165" s="1"/>
  <c r="BE165"/>
  <c r="BD165"/>
  <c r="BQ165" s="1"/>
  <c r="BC165"/>
  <c r="BB165"/>
  <c r="BO165" s="1"/>
  <c r="BA165"/>
  <c r="AZ165"/>
  <c r="BM165" s="1"/>
  <c r="AY165"/>
  <c r="BK165" s="1"/>
  <c r="AX165"/>
  <c r="BW165" s="1"/>
  <c r="AW165"/>
  <c r="AV165"/>
  <c r="CG165" s="1"/>
  <c r="AU165"/>
  <c r="AT165"/>
  <c r="CE165" s="1"/>
  <c r="AS165"/>
  <c r="AR165"/>
  <c r="CC165" s="1"/>
  <c r="AQ165"/>
  <c r="AP165"/>
  <c r="CA165" s="1"/>
  <c r="AO165"/>
  <c r="AN165"/>
  <c r="BY165" s="1"/>
  <c r="AM165"/>
  <c r="AL165"/>
  <c r="AK165"/>
  <c r="AJ165"/>
  <c r="AI165"/>
  <c r="AH165"/>
  <c r="AG165"/>
  <c r="AF165"/>
  <c r="AE165"/>
  <c r="AD165"/>
  <c r="AC165"/>
  <c r="AB165"/>
  <c r="AA165"/>
  <c r="DE164"/>
  <c r="BJ164"/>
  <c r="BV164" s="1"/>
  <c r="BI164"/>
  <c r="BH164"/>
  <c r="BU164" s="1"/>
  <c r="BG164"/>
  <c r="BF164"/>
  <c r="BS164" s="1"/>
  <c r="BE164"/>
  <c r="BD164"/>
  <c r="BQ164" s="1"/>
  <c r="BC164"/>
  <c r="BB164"/>
  <c r="BO164" s="1"/>
  <c r="BA164"/>
  <c r="AZ164"/>
  <c r="BM164" s="1"/>
  <c r="AY164"/>
  <c r="BK164" s="1"/>
  <c r="AX164"/>
  <c r="BW164" s="1"/>
  <c r="AW164"/>
  <c r="AV164"/>
  <c r="CG164" s="1"/>
  <c r="AU164"/>
  <c r="AT164"/>
  <c r="CE164" s="1"/>
  <c r="AS164"/>
  <c r="AR164"/>
  <c r="CC164" s="1"/>
  <c r="AQ164"/>
  <c r="AP164"/>
  <c r="CA164" s="1"/>
  <c r="AO164"/>
  <c r="AN164"/>
  <c r="BY164" s="1"/>
  <c r="AM164"/>
  <c r="AL164"/>
  <c r="AK164"/>
  <c r="AJ164"/>
  <c r="AI164"/>
  <c r="AH164"/>
  <c r="AG164"/>
  <c r="AF164"/>
  <c r="AE164"/>
  <c r="AD164"/>
  <c r="AC164"/>
  <c r="AB164"/>
  <c r="AA164"/>
  <c r="DE163"/>
  <c r="BJ163"/>
  <c r="BV163" s="1"/>
  <c r="BI163"/>
  <c r="BH163"/>
  <c r="BU163" s="1"/>
  <c r="BG163"/>
  <c r="BF163"/>
  <c r="BS163" s="1"/>
  <c r="BE163"/>
  <c r="BD163"/>
  <c r="BQ163" s="1"/>
  <c r="BC163"/>
  <c r="BB163"/>
  <c r="BO163" s="1"/>
  <c r="BA163"/>
  <c r="AZ163"/>
  <c r="BM163" s="1"/>
  <c r="AY163"/>
  <c r="BK163" s="1"/>
  <c r="AX163"/>
  <c r="BW163" s="1"/>
  <c r="AW163"/>
  <c r="AV163"/>
  <c r="CG163" s="1"/>
  <c r="AU163"/>
  <c r="AT163"/>
  <c r="CE163" s="1"/>
  <c r="AS163"/>
  <c r="AR163"/>
  <c r="CC163" s="1"/>
  <c r="AQ163"/>
  <c r="AP163"/>
  <c r="CA163" s="1"/>
  <c r="AO163"/>
  <c r="AN163"/>
  <c r="BY163" s="1"/>
  <c r="AM163"/>
  <c r="AL163"/>
  <c r="AK163"/>
  <c r="AJ163"/>
  <c r="AI163"/>
  <c r="AH163"/>
  <c r="AG163"/>
  <c r="AF163"/>
  <c r="AE163"/>
  <c r="AD163"/>
  <c r="AC163"/>
  <c r="AB163"/>
  <c r="AA163"/>
  <c r="DE162"/>
  <c r="BJ162"/>
  <c r="BV162" s="1"/>
  <c r="BI162"/>
  <c r="BH162"/>
  <c r="BU162" s="1"/>
  <c r="BG162"/>
  <c r="BF162"/>
  <c r="BS162" s="1"/>
  <c r="BE162"/>
  <c r="BD162"/>
  <c r="BQ162" s="1"/>
  <c r="BC162"/>
  <c r="BB162"/>
  <c r="BO162" s="1"/>
  <c r="BA162"/>
  <c r="AZ162"/>
  <c r="BM162" s="1"/>
  <c r="AY162"/>
  <c r="BK162" s="1"/>
  <c r="AX162"/>
  <c r="BW162" s="1"/>
  <c r="AW162"/>
  <c r="AV162"/>
  <c r="CG162" s="1"/>
  <c r="AU162"/>
  <c r="AT162"/>
  <c r="CE162" s="1"/>
  <c r="AS162"/>
  <c r="AR162"/>
  <c r="CC162" s="1"/>
  <c r="AQ162"/>
  <c r="AP162"/>
  <c r="CA162" s="1"/>
  <c r="AO162"/>
  <c r="AN162"/>
  <c r="BY162" s="1"/>
  <c r="AM162"/>
  <c r="AL162"/>
  <c r="AK162"/>
  <c r="AJ162"/>
  <c r="AI162"/>
  <c r="AH162"/>
  <c r="AG162"/>
  <c r="AF162"/>
  <c r="AE162"/>
  <c r="AD162"/>
  <c r="AC162"/>
  <c r="AB162"/>
  <c r="AA162"/>
  <c r="DE161"/>
  <c r="BJ161"/>
  <c r="BV161" s="1"/>
  <c r="BI161"/>
  <c r="BH161"/>
  <c r="BU161" s="1"/>
  <c r="BG161"/>
  <c r="BF161"/>
  <c r="BS161" s="1"/>
  <c r="BE161"/>
  <c r="BD161"/>
  <c r="BQ161" s="1"/>
  <c r="BC161"/>
  <c r="BB161"/>
  <c r="BO161" s="1"/>
  <c r="BA161"/>
  <c r="AZ161"/>
  <c r="BM161" s="1"/>
  <c r="AY161"/>
  <c r="BK161" s="1"/>
  <c r="AX161"/>
  <c r="BW161" s="1"/>
  <c r="AW161"/>
  <c r="AV161"/>
  <c r="CG161" s="1"/>
  <c r="AU161"/>
  <c r="AT161"/>
  <c r="CE161" s="1"/>
  <c r="AS161"/>
  <c r="AR161"/>
  <c r="CC161" s="1"/>
  <c r="AQ161"/>
  <c r="AP161"/>
  <c r="CA161" s="1"/>
  <c r="AO161"/>
  <c r="AN161"/>
  <c r="BY161" s="1"/>
  <c r="AM161"/>
  <c r="AL161"/>
  <c r="AK161"/>
  <c r="AJ161"/>
  <c r="AI161"/>
  <c r="AH161"/>
  <c r="AG161"/>
  <c r="AF161"/>
  <c r="AE161"/>
  <c r="AD161"/>
  <c r="AC161"/>
  <c r="AB161"/>
  <c r="AA161"/>
  <c r="DE160"/>
  <c r="BJ160"/>
  <c r="BV160" s="1"/>
  <c r="BI160"/>
  <c r="BH160"/>
  <c r="BU160" s="1"/>
  <c r="BG160"/>
  <c r="BF160"/>
  <c r="BS160" s="1"/>
  <c r="BE160"/>
  <c r="BD160"/>
  <c r="BQ160" s="1"/>
  <c r="BC160"/>
  <c r="BB160"/>
  <c r="BO160" s="1"/>
  <c r="BA160"/>
  <c r="AZ160"/>
  <c r="BM160" s="1"/>
  <c r="AY160"/>
  <c r="BK160" s="1"/>
  <c r="AX160"/>
  <c r="BW160" s="1"/>
  <c r="AW160"/>
  <c r="AV160"/>
  <c r="CG160" s="1"/>
  <c r="AU160"/>
  <c r="AT160"/>
  <c r="CE160" s="1"/>
  <c r="AS160"/>
  <c r="AR160"/>
  <c r="CC160" s="1"/>
  <c r="AQ160"/>
  <c r="AP160"/>
  <c r="CA160" s="1"/>
  <c r="AO160"/>
  <c r="AN160"/>
  <c r="BY160" s="1"/>
  <c r="AM160"/>
  <c r="AL160"/>
  <c r="AK160"/>
  <c r="AJ160"/>
  <c r="AI160"/>
  <c r="AH160"/>
  <c r="AG160"/>
  <c r="AF160"/>
  <c r="AE160"/>
  <c r="AD160"/>
  <c r="AC160"/>
  <c r="AB160"/>
  <c r="AA160"/>
  <c r="DE159"/>
  <c r="BJ159"/>
  <c r="BV159" s="1"/>
  <c r="BI159"/>
  <c r="BH159"/>
  <c r="BU159" s="1"/>
  <c r="BG159"/>
  <c r="BF159"/>
  <c r="BS159" s="1"/>
  <c r="BE159"/>
  <c r="BD159"/>
  <c r="BQ159" s="1"/>
  <c r="BC159"/>
  <c r="BB159"/>
  <c r="BO159" s="1"/>
  <c r="BA159"/>
  <c r="AZ159"/>
  <c r="BM159" s="1"/>
  <c r="AY159"/>
  <c r="BK159" s="1"/>
  <c r="AX159"/>
  <c r="BW159" s="1"/>
  <c r="AW159"/>
  <c r="AV159"/>
  <c r="CG159" s="1"/>
  <c r="AU159"/>
  <c r="AT159"/>
  <c r="CE159" s="1"/>
  <c r="AS159"/>
  <c r="AR159"/>
  <c r="CC159" s="1"/>
  <c r="AQ159"/>
  <c r="AP159"/>
  <c r="CA159" s="1"/>
  <c r="AO159"/>
  <c r="AN159"/>
  <c r="BY159" s="1"/>
  <c r="AM159"/>
  <c r="AL159"/>
  <c r="AK159"/>
  <c r="AJ159"/>
  <c r="AI159"/>
  <c r="AH159"/>
  <c r="AG159"/>
  <c r="AF159"/>
  <c r="AE159"/>
  <c r="AD159"/>
  <c r="AC159"/>
  <c r="AB159"/>
  <c r="AA159"/>
  <c r="DE158"/>
  <c r="BJ158"/>
  <c r="BV158" s="1"/>
  <c r="BI158"/>
  <c r="BH158"/>
  <c r="BU158" s="1"/>
  <c r="BG158"/>
  <c r="BF158"/>
  <c r="BS158" s="1"/>
  <c r="BE158"/>
  <c r="BD158"/>
  <c r="BQ158" s="1"/>
  <c r="BC158"/>
  <c r="BB158"/>
  <c r="BO158" s="1"/>
  <c r="BA158"/>
  <c r="AZ158"/>
  <c r="BM158" s="1"/>
  <c r="AY158"/>
  <c r="BK158" s="1"/>
  <c r="AX158"/>
  <c r="BW158" s="1"/>
  <c r="AW158"/>
  <c r="AV158"/>
  <c r="CG158" s="1"/>
  <c r="AU158"/>
  <c r="AT158"/>
  <c r="CE158" s="1"/>
  <c r="AS158"/>
  <c r="AR158"/>
  <c r="CC158" s="1"/>
  <c r="AQ158"/>
  <c r="AP158"/>
  <c r="CA158" s="1"/>
  <c r="AO158"/>
  <c r="AN158"/>
  <c r="BY158" s="1"/>
  <c r="AM158"/>
  <c r="AL158"/>
  <c r="AK158"/>
  <c r="AJ158"/>
  <c r="AI158"/>
  <c r="AH158"/>
  <c r="AG158"/>
  <c r="AF158"/>
  <c r="AE158"/>
  <c r="AD158"/>
  <c r="AC158"/>
  <c r="AB158"/>
  <c r="AA158"/>
  <c r="DE157"/>
  <c r="BJ157"/>
  <c r="BV157" s="1"/>
  <c r="BI157"/>
  <c r="BH157"/>
  <c r="BU157" s="1"/>
  <c r="BG157"/>
  <c r="BF157"/>
  <c r="BS157" s="1"/>
  <c r="BE157"/>
  <c r="BD157"/>
  <c r="BQ157" s="1"/>
  <c r="BC157"/>
  <c r="BB157"/>
  <c r="BO157" s="1"/>
  <c r="BA157"/>
  <c r="AZ157"/>
  <c r="BM157" s="1"/>
  <c r="AY157"/>
  <c r="BK157" s="1"/>
  <c r="AX157"/>
  <c r="BW157" s="1"/>
  <c r="AW157"/>
  <c r="AV157"/>
  <c r="CG157" s="1"/>
  <c r="AU157"/>
  <c r="AT157"/>
  <c r="CE157" s="1"/>
  <c r="AS157"/>
  <c r="AR157"/>
  <c r="CC157" s="1"/>
  <c r="AQ157"/>
  <c r="AP157"/>
  <c r="CA157" s="1"/>
  <c r="AO157"/>
  <c r="AN157"/>
  <c r="BY157" s="1"/>
  <c r="AM157"/>
  <c r="AL157"/>
  <c r="AK157"/>
  <c r="AJ157"/>
  <c r="AI157"/>
  <c r="AH157"/>
  <c r="AG157"/>
  <c r="AF157"/>
  <c r="AE157"/>
  <c r="AD157"/>
  <c r="AC157"/>
  <c r="AB157"/>
  <c r="AA157"/>
  <c r="DE156"/>
  <c r="BJ156"/>
  <c r="BV156" s="1"/>
  <c r="BI156"/>
  <c r="BH156"/>
  <c r="BU156" s="1"/>
  <c r="BG156"/>
  <c r="BF156"/>
  <c r="BS156" s="1"/>
  <c r="BE156"/>
  <c r="BD156"/>
  <c r="BQ156" s="1"/>
  <c r="BC156"/>
  <c r="BB156"/>
  <c r="BO156" s="1"/>
  <c r="BA156"/>
  <c r="AZ156"/>
  <c r="BM156" s="1"/>
  <c r="AY156"/>
  <c r="BK156" s="1"/>
  <c r="AX156"/>
  <c r="BW156" s="1"/>
  <c r="AW156"/>
  <c r="AV156"/>
  <c r="CG156" s="1"/>
  <c r="AU156"/>
  <c r="AT156"/>
  <c r="CE156" s="1"/>
  <c r="AS156"/>
  <c r="AR156"/>
  <c r="CC156" s="1"/>
  <c r="AQ156"/>
  <c r="AP156"/>
  <c r="CA156" s="1"/>
  <c r="AO156"/>
  <c r="AN156"/>
  <c r="BY156" s="1"/>
  <c r="AM156"/>
  <c r="AL156"/>
  <c r="AK156"/>
  <c r="AJ156"/>
  <c r="AI156"/>
  <c r="AH156"/>
  <c r="AG156"/>
  <c r="AF156"/>
  <c r="AE156"/>
  <c r="AD156"/>
  <c r="AC156"/>
  <c r="AB156"/>
  <c r="AA156"/>
  <c r="DE155"/>
  <c r="BJ155"/>
  <c r="BV155" s="1"/>
  <c r="BI155"/>
  <c r="BH155"/>
  <c r="BU155" s="1"/>
  <c r="BG155"/>
  <c r="BF155"/>
  <c r="BS155" s="1"/>
  <c r="BE155"/>
  <c r="BD155"/>
  <c r="BQ155" s="1"/>
  <c r="BC155"/>
  <c r="BB155"/>
  <c r="BO155" s="1"/>
  <c r="BA155"/>
  <c r="AZ155"/>
  <c r="BM155" s="1"/>
  <c r="AY155"/>
  <c r="BK155" s="1"/>
  <c r="AX155"/>
  <c r="BW155" s="1"/>
  <c r="AW155"/>
  <c r="AV155"/>
  <c r="CG155" s="1"/>
  <c r="AU155"/>
  <c r="AT155"/>
  <c r="CE155" s="1"/>
  <c r="AS155"/>
  <c r="AR155"/>
  <c r="CC155" s="1"/>
  <c r="AQ155"/>
  <c r="AP155"/>
  <c r="CA155" s="1"/>
  <c r="AO155"/>
  <c r="AN155"/>
  <c r="BY155" s="1"/>
  <c r="AM155"/>
  <c r="AL155"/>
  <c r="AK155"/>
  <c r="AJ155"/>
  <c r="AI155"/>
  <c r="AH155"/>
  <c r="AG155"/>
  <c r="AF155"/>
  <c r="AE155"/>
  <c r="AD155"/>
  <c r="AC155"/>
  <c r="AB155"/>
  <c r="AA155"/>
  <c r="DE154"/>
  <c r="BJ154"/>
  <c r="BV154" s="1"/>
  <c r="BI154"/>
  <c r="BH154"/>
  <c r="BU154" s="1"/>
  <c r="BG154"/>
  <c r="BF154"/>
  <c r="BS154" s="1"/>
  <c r="BE154"/>
  <c r="BD154"/>
  <c r="BQ154" s="1"/>
  <c r="BC154"/>
  <c r="BB154"/>
  <c r="BO154" s="1"/>
  <c r="BA154"/>
  <c r="AZ154"/>
  <c r="BM154" s="1"/>
  <c r="AY154"/>
  <c r="BK154" s="1"/>
  <c r="AX154"/>
  <c r="BW154" s="1"/>
  <c r="AW154"/>
  <c r="AV154"/>
  <c r="CG154" s="1"/>
  <c r="AU154"/>
  <c r="AT154"/>
  <c r="CE154" s="1"/>
  <c r="AS154"/>
  <c r="AR154"/>
  <c r="CC154" s="1"/>
  <c r="AQ154"/>
  <c r="AP154"/>
  <c r="CA154" s="1"/>
  <c r="AO154"/>
  <c r="AN154"/>
  <c r="BY154" s="1"/>
  <c r="AM154"/>
  <c r="AL154"/>
  <c r="AK154"/>
  <c r="AJ154"/>
  <c r="AI154"/>
  <c r="AH154"/>
  <c r="AG154"/>
  <c r="AF154"/>
  <c r="AE154"/>
  <c r="AD154"/>
  <c r="AC154"/>
  <c r="AB154"/>
  <c r="AA154"/>
  <c r="DE153"/>
  <c r="BJ153"/>
  <c r="BV153" s="1"/>
  <c r="BI153"/>
  <c r="BH153"/>
  <c r="BU153" s="1"/>
  <c r="BG153"/>
  <c r="BF153"/>
  <c r="BS153" s="1"/>
  <c r="BE153"/>
  <c r="BD153"/>
  <c r="BQ153" s="1"/>
  <c r="BC153"/>
  <c r="BB153"/>
  <c r="BO153" s="1"/>
  <c r="BA153"/>
  <c r="AZ153"/>
  <c r="BM153" s="1"/>
  <c r="AY153"/>
  <c r="BK153" s="1"/>
  <c r="AX153"/>
  <c r="BW153" s="1"/>
  <c r="AW153"/>
  <c r="AV153"/>
  <c r="CG153" s="1"/>
  <c r="AU153"/>
  <c r="AT153"/>
  <c r="CE153" s="1"/>
  <c r="AS153"/>
  <c r="AR153"/>
  <c r="CC153" s="1"/>
  <c r="AQ153"/>
  <c r="AP153"/>
  <c r="CA153" s="1"/>
  <c r="AO153"/>
  <c r="AN153"/>
  <c r="BY153" s="1"/>
  <c r="AM153"/>
  <c r="AL153"/>
  <c r="AK153"/>
  <c r="AJ153"/>
  <c r="AI153"/>
  <c r="AH153"/>
  <c r="AG153"/>
  <c r="AF153"/>
  <c r="AE153"/>
  <c r="AD153"/>
  <c r="AC153"/>
  <c r="AB153"/>
  <c r="AA153"/>
  <c r="DE152"/>
  <c r="BJ152"/>
  <c r="BV152" s="1"/>
  <c r="BI152"/>
  <c r="BH152"/>
  <c r="BU152" s="1"/>
  <c r="BG152"/>
  <c r="BF152"/>
  <c r="BS152" s="1"/>
  <c r="BE152"/>
  <c r="BD152"/>
  <c r="BQ152" s="1"/>
  <c r="BC152"/>
  <c r="BB152"/>
  <c r="BO152" s="1"/>
  <c r="BA152"/>
  <c r="AZ152"/>
  <c r="BM152" s="1"/>
  <c r="AY152"/>
  <c r="BK152" s="1"/>
  <c r="AX152"/>
  <c r="BW152" s="1"/>
  <c r="AW152"/>
  <c r="AV152"/>
  <c r="CG152" s="1"/>
  <c r="AU152"/>
  <c r="AT152"/>
  <c r="CE152" s="1"/>
  <c r="AS152"/>
  <c r="AR152"/>
  <c r="CC152" s="1"/>
  <c r="AQ152"/>
  <c r="AP152"/>
  <c r="CA152" s="1"/>
  <c r="AO152"/>
  <c r="AN152"/>
  <c r="BY152" s="1"/>
  <c r="AM152"/>
  <c r="AL152"/>
  <c r="AK152"/>
  <c r="AJ152"/>
  <c r="AI152"/>
  <c r="AH152"/>
  <c r="AG152"/>
  <c r="AF152"/>
  <c r="AE152"/>
  <c r="AD152"/>
  <c r="AC152"/>
  <c r="AB152"/>
  <c r="AA152"/>
  <c r="DE151"/>
  <c r="BJ151"/>
  <c r="BV151" s="1"/>
  <c r="BI151"/>
  <c r="BH151"/>
  <c r="BU151" s="1"/>
  <c r="BG151"/>
  <c r="BF151"/>
  <c r="BS151" s="1"/>
  <c r="BE151"/>
  <c r="BD151"/>
  <c r="BQ151" s="1"/>
  <c r="BC151"/>
  <c r="BB151"/>
  <c r="BO151" s="1"/>
  <c r="BA151"/>
  <c r="AZ151"/>
  <c r="BM151" s="1"/>
  <c r="AY151"/>
  <c r="BK151" s="1"/>
  <c r="AX151"/>
  <c r="BW151" s="1"/>
  <c r="AW151"/>
  <c r="AV151"/>
  <c r="CG151" s="1"/>
  <c r="AU151"/>
  <c r="AT151"/>
  <c r="CE151" s="1"/>
  <c r="AS151"/>
  <c r="AR151"/>
  <c r="CC151" s="1"/>
  <c r="AQ151"/>
  <c r="AP151"/>
  <c r="CA151" s="1"/>
  <c r="AO151"/>
  <c r="AN151"/>
  <c r="BY151" s="1"/>
  <c r="AM151"/>
  <c r="AL151"/>
  <c r="AK151"/>
  <c r="AJ151"/>
  <c r="AI151"/>
  <c r="AH151"/>
  <c r="AG151"/>
  <c r="AF151"/>
  <c r="AE151"/>
  <c r="AD151"/>
  <c r="AC151"/>
  <c r="AB151"/>
  <c r="AA151"/>
  <c r="DE150"/>
  <c r="BJ150"/>
  <c r="BV150" s="1"/>
  <c r="BI150"/>
  <c r="BH150"/>
  <c r="BU150" s="1"/>
  <c r="BG150"/>
  <c r="BF150"/>
  <c r="BS150" s="1"/>
  <c r="BE150"/>
  <c r="BD150"/>
  <c r="BQ150" s="1"/>
  <c r="BC150"/>
  <c r="BB150"/>
  <c r="BO150" s="1"/>
  <c r="BA150"/>
  <c r="AZ150"/>
  <c r="BM150" s="1"/>
  <c r="AY150"/>
  <c r="BK150" s="1"/>
  <c r="AX150"/>
  <c r="BW150" s="1"/>
  <c r="AW150"/>
  <c r="AV150"/>
  <c r="CG150" s="1"/>
  <c r="AU150"/>
  <c r="AT150"/>
  <c r="CE150" s="1"/>
  <c r="AS150"/>
  <c r="AR150"/>
  <c r="CC150" s="1"/>
  <c r="AQ150"/>
  <c r="AP150"/>
  <c r="CA150" s="1"/>
  <c r="AO150"/>
  <c r="AN150"/>
  <c r="BY150" s="1"/>
  <c r="AM150"/>
  <c r="AL150"/>
  <c r="AK150"/>
  <c r="AJ150"/>
  <c r="AI150"/>
  <c r="AH150"/>
  <c r="AG150"/>
  <c r="AF150"/>
  <c r="AE150"/>
  <c r="AD150"/>
  <c r="AC150"/>
  <c r="AB150"/>
  <c r="AA150"/>
  <c r="DE149"/>
  <c r="BJ149"/>
  <c r="BV149" s="1"/>
  <c r="BI149"/>
  <c r="BH149"/>
  <c r="BU149" s="1"/>
  <c r="BG149"/>
  <c r="BF149"/>
  <c r="BS149" s="1"/>
  <c r="BE149"/>
  <c r="BD149"/>
  <c r="BQ149" s="1"/>
  <c r="BC149"/>
  <c r="BB149"/>
  <c r="BO149" s="1"/>
  <c r="BA149"/>
  <c r="AZ149"/>
  <c r="BM149" s="1"/>
  <c r="AY149"/>
  <c r="BK149" s="1"/>
  <c r="AX149"/>
  <c r="BW149" s="1"/>
  <c r="AW149"/>
  <c r="AV149"/>
  <c r="CG149" s="1"/>
  <c r="AU149"/>
  <c r="AT149"/>
  <c r="CE149" s="1"/>
  <c r="AS149"/>
  <c r="AR149"/>
  <c r="CC149" s="1"/>
  <c r="AQ149"/>
  <c r="AP149"/>
  <c r="CA149" s="1"/>
  <c r="AO149"/>
  <c r="AN149"/>
  <c r="BY149" s="1"/>
  <c r="AM149"/>
  <c r="AL149"/>
  <c r="AK149"/>
  <c r="AJ149"/>
  <c r="AI149"/>
  <c r="AH149"/>
  <c r="AG149"/>
  <c r="AF149"/>
  <c r="AE149"/>
  <c r="AD149"/>
  <c r="AC149"/>
  <c r="AB149"/>
  <c r="AA149"/>
  <c r="DE148"/>
  <c r="BJ148"/>
  <c r="BV148" s="1"/>
  <c r="BI148"/>
  <c r="BH148"/>
  <c r="BU148" s="1"/>
  <c r="BG148"/>
  <c r="BF148"/>
  <c r="BS148" s="1"/>
  <c r="BE148"/>
  <c r="BD148"/>
  <c r="BQ148" s="1"/>
  <c r="BC148"/>
  <c r="BB148"/>
  <c r="BO148" s="1"/>
  <c r="BA148"/>
  <c r="AZ148"/>
  <c r="BM148" s="1"/>
  <c r="AY148"/>
  <c r="BK148" s="1"/>
  <c r="AX148"/>
  <c r="BW148" s="1"/>
  <c r="AW148"/>
  <c r="AV148"/>
  <c r="CG148" s="1"/>
  <c r="AU148"/>
  <c r="AT148"/>
  <c r="CE148" s="1"/>
  <c r="AS148"/>
  <c r="AR148"/>
  <c r="CC148" s="1"/>
  <c r="AQ148"/>
  <c r="AP148"/>
  <c r="CA148" s="1"/>
  <c r="AO148"/>
  <c r="AN148"/>
  <c r="BY148" s="1"/>
  <c r="AM148"/>
  <c r="AL148"/>
  <c r="AK148"/>
  <c r="AJ148"/>
  <c r="AI148"/>
  <c r="AH148"/>
  <c r="AG148"/>
  <c r="AF148"/>
  <c r="AE148"/>
  <c r="AD148"/>
  <c r="AC148"/>
  <c r="AB148"/>
  <c r="AA148"/>
  <c r="DE147"/>
  <c r="BJ147"/>
  <c r="BV147" s="1"/>
  <c r="BI147"/>
  <c r="BH147"/>
  <c r="BU147" s="1"/>
  <c r="BG147"/>
  <c r="BF147"/>
  <c r="BS147" s="1"/>
  <c r="BE147"/>
  <c r="BD147"/>
  <c r="BQ147" s="1"/>
  <c r="BC147"/>
  <c r="BB147"/>
  <c r="BO147" s="1"/>
  <c r="BA147"/>
  <c r="AZ147"/>
  <c r="BM147" s="1"/>
  <c r="AY147"/>
  <c r="BK147" s="1"/>
  <c r="AX147"/>
  <c r="BW147" s="1"/>
  <c r="AW147"/>
  <c r="AV147"/>
  <c r="CG147" s="1"/>
  <c r="AU147"/>
  <c r="AT147"/>
  <c r="CE147" s="1"/>
  <c r="AS147"/>
  <c r="AR147"/>
  <c r="CC147" s="1"/>
  <c r="AQ147"/>
  <c r="AP147"/>
  <c r="CA147" s="1"/>
  <c r="AO147"/>
  <c r="AN147"/>
  <c r="BY147" s="1"/>
  <c r="AM147"/>
  <c r="AL147"/>
  <c r="AK147"/>
  <c r="AJ147"/>
  <c r="AI147"/>
  <c r="AH147"/>
  <c r="AG147"/>
  <c r="AF147"/>
  <c r="AE147"/>
  <c r="AD147"/>
  <c r="AC147"/>
  <c r="AB147"/>
  <c r="AA147"/>
  <c r="DE146"/>
  <c r="BJ146"/>
  <c r="BV146" s="1"/>
  <c r="BI146"/>
  <c r="BH146"/>
  <c r="BU146" s="1"/>
  <c r="BG146"/>
  <c r="BF146"/>
  <c r="BS146" s="1"/>
  <c r="BE146"/>
  <c r="BD146"/>
  <c r="BQ146" s="1"/>
  <c r="BC146"/>
  <c r="BB146"/>
  <c r="BO146" s="1"/>
  <c r="BA146"/>
  <c r="AZ146"/>
  <c r="BM146" s="1"/>
  <c r="AY146"/>
  <c r="BK146" s="1"/>
  <c r="AX146"/>
  <c r="BW146" s="1"/>
  <c r="AW146"/>
  <c r="AV146"/>
  <c r="CG146" s="1"/>
  <c r="AU146"/>
  <c r="AT146"/>
  <c r="CE146" s="1"/>
  <c r="AS146"/>
  <c r="AR146"/>
  <c r="CC146" s="1"/>
  <c r="AQ146"/>
  <c r="AP146"/>
  <c r="CA146" s="1"/>
  <c r="AO146"/>
  <c r="AN146"/>
  <c r="BY146" s="1"/>
  <c r="AM146"/>
  <c r="AL146"/>
  <c r="AK146"/>
  <c r="AJ146"/>
  <c r="AI146"/>
  <c r="AH146"/>
  <c r="AG146"/>
  <c r="AF146"/>
  <c r="AE146"/>
  <c r="AD146"/>
  <c r="AC146"/>
  <c r="AB146"/>
  <c r="AA146"/>
  <c r="DE145"/>
  <c r="BJ145"/>
  <c r="BV145" s="1"/>
  <c r="BI145"/>
  <c r="BH145"/>
  <c r="BU145" s="1"/>
  <c r="BG145"/>
  <c r="BF145"/>
  <c r="BS145" s="1"/>
  <c r="BE145"/>
  <c r="BD145"/>
  <c r="BQ145" s="1"/>
  <c r="BC145"/>
  <c r="BB145"/>
  <c r="BO145" s="1"/>
  <c r="BA145"/>
  <c r="AZ145"/>
  <c r="BM145" s="1"/>
  <c r="AY145"/>
  <c r="BK145" s="1"/>
  <c r="AX145"/>
  <c r="BW145" s="1"/>
  <c r="AW145"/>
  <c r="AV145"/>
  <c r="CG145" s="1"/>
  <c r="AU145"/>
  <c r="AT145"/>
  <c r="CE145" s="1"/>
  <c r="AS145"/>
  <c r="AR145"/>
  <c r="CC145" s="1"/>
  <c r="AQ145"/>
  <c r="AP145"/>
  <c r="CA145" s="1"/>
  <c r="AO145"/>
  <c r="AN145"/>
  <c r="BY145" s="1"/>
  <c r="AM145"/>
  <c r="AL145"/>
  <c r="AK145"/>
  <c r="AJ145"/>
  <c r="AI145"/>
  <c r="AH145"/>
  <c r="AG145"/>
  <c r="AF145"/>
  <c r="AE145"/>
  <c r="AD145"/>
  <c r="AC145"/>
  <c r="AB145"/>
  <c r="AA145"/>
  <c r="DE144"/>
  <c r="BJ144"/>
  <c r="BV144" s="1"/>
  <c r="BI144"/>
  <c r="BH144"/>
  <c r="BU144" s="1"/>
  <c r="BG144"/>
  <c r="BF144"/>
  <c r="BS144" s="1"/>
  <c r="BE144"/>
  <c r="BD144"/>
  <c r="BQ144" s="1"/>
  <c r="BC144"/>
  <c r="BB144"/>
  <c r="BO144" s="1"/>
  <c r="BA144"/>
  <c r="AZ144"/>
  <c r="BM144" s="1"/>
  <c r="AY144"/>
  <c r="BK144" s="1"/>
  <c r="AX144"/>
  <c r="BW144" s="1"/>
  <c r="AW144"/>
  <c r="AV144"/>
  <c r="CG144" s="1"/>
  <c r="AU144"/>
  <c r="AT144"/>
  <c r="CE144" s="1"/>
  <c r="AS144"/>
  <c r="AR144"/>
  <c r="CC144" s="1"/>
  <c r="AQ144"/>
  <c r="AP144"/>
  <c r="CA144" s="1"/>
  <c r="AO144"/>
  <c r="AN144"/>
  <c r="BY144" s="1"/>
  <c r="AM144"/>
  <c r="AL144"/>
  <c r="AK144"/>
  <c r="AJ144"/>
  <c r="AI144"/>
  <c r="AH144"/>
  <c r="AG144"/>
  <c r="AF144"/>
  <c r="AE144"/>
  <c r="AD144"/>
  <c r="AC144"/>
  <c r="AB144"/>
  <c r="AA144"/>
  <c r="DE143"/>
  <c r="BJ143"/>
  <c r="BV143" s="1"/>
  <c r="BI143"/>
  <c r="BH143"/>
  <c r="BU143" s="1"/>
  <c r="BG143"/>
  <c r="BF143"/>
  <c r="BS143" s="1"/>
  <c r="BE143"/>
  <c r="BD143"/>
  <c r="BQ143" s="1"/>
  <c r="BC143"/>
  <c r="BB143"/>
  <c r="BO143" s="1"/>
  <c r="BA143"/>
  <c r="AZ143"/>
  <c r="BM143" s="1"/>
  <c r="AY143"/>
  <c r="BK143" s="1"/>
  <c r="AX143"/>
  <c r="BW143" s="1"/>
  <c r="AW143"/>
  <c r="AV143"/>
  <c r="CG143" s="1"/>
  <c r="AU143"/>
  <c r="AT143"/>
  <c r="CE143" s="1"/>
  <c r="AS143"/>
  <c r="AR143"/>
  <c r="CC143" s="1"/>
  <c r="AQ143"/>
  <c r="AP143"/>
  <c r="CA143" s="1"/>
  <c r="AO143"/>
  <c r="AN143"/>
  <c r="BY143" s="1"/>
  <c r="AM143"/>
  <c r="AL143"/>
  <c r="AK143"/>
  <c r="AJ143"/>
  <c r="AI143"/>
  <c r="AH143"/>
  <c r="AG143"/>
  <c r="AF143"/>
  <c r="AE143"/>
  <c r="AD143"/>
  <c r="AC143"/>
  <c r="AB143"/>
  <c r="AA143"/>
  <c r="DE142"/>
  <c r="BJ142"/>
  <c r="BV142" s="1"/>
  <c r="BI142"/>
  <c r="BH142"/>
  <c r="BU142" s="1"/>
  <c r="BG142"/>
  <c r="BF142"/>
  <c r="BS142" s="1"/>
  <c r="BE142"/>
  <c r="BD142"/>
  <c r="BQ142" s="1"/>
  <c r="BC142"/>
  <c r="BB142"/>
  <c r="BO142" s="1"/>
  <c r="BA142"/>
  <c r="AZ142"/>
  <c r="BM142" s="1"/>
  <c r="AY142"/>
  <c r="BK142" s="1"/>
  <c r="AX142"/>
  <c r="BW142" s="1"/>
  <c r="AW142"/>
  <c r="AV142"/>
  <c r="CG142" s="1"/>
  <c r="AU142"/>
  <c r="AT142"/>
  <c r="CE142" s="1"/>
  <c r="AS142"/>
  <c r="AR142"/>
  <c r="CC142" s="1"/>
  <c r="AQ142"/>
  <c r="AP142"/>
  <c r="CA142" s="1"/>
  <c r="AO142"/>
  <c r="AN142"/>
  <c r="BY142" s="1"/>
  <c r="AM142"/>
  <c r="AL142"/>
  <c r="AK142"/>
  <c r="AJ142"/>
  <c r="AI142"/>
  <c r="AH142"/>
  <c r="AG142"/>
  <c r="AF142"/>
  <c r="AE142"/>
  <c r="AD142"/>
  <c r="AC142"/>
  <c r="AB142"/>
  <c r="AA142"/>
  <c r="DE141"/>
  <c r="BJ141"/>
  <c r="BV141" s="1"/>
  <c r="BI141"/>
  <c r="BH141"/>
  <c r="BU141" s="1"/>
  <c r="BG141"/>
  <c r="BF141"/>
  <c r="BS141" s="1"/>
  <c r="BE141"/>
  <c r="BD141"/>
  <c r="BQ141" s="1"/>
  <c r="BC141"/>
  <c r="BB141"/>
  <c r="BO141" s="1"/>
  <c r="BA141"/>
  <c r="AZ141"/>
  <c r="BM141" s="1"/>
  <c r="AY141"/>
  <c r="BK141" s="1"/>
  <c r="AX141"/>
  <c r="BW141" s="1"/>
  <c r="AW141"/>
  <c r="AV141"/>
  <c r="CG141" s="1"/>
  <c r="AU141"/>
  <c r="AT141"/>
  <c r="CE141" s="1"/>
  <c r="AS141"/>
  <c r="AR141"/>
  <c r="CC141" s="1"/>
  <c r="AQ141"/>
  <c r="AP141"/>
  <c r="CA141" s="1"/>
  <c r="AO141"/>
  <c r="AN141"/>
  <c r="BY141" s="1"/>
  <c r="AM141"/>
  <c r="AL141"/>
  <c r="AK141"/>
  <c r="AJ141"/>
  <c r="AI141"/>
  <c r="AH141"/>
  <c r="AG141"/>
  <c r="AF141"/>
  <c r="AE141"/>
  <c r="AD141"/>
  <c r="AC141"/>
  <c r="AB141"/>
  <c r="AA141"/>
  <c r="DE140"/>
  <c r="BJ140"/>
  <c r="BV140" s="1"/>
  <c r="BI140"/>
  <c r="BH140"/>
  <c r="BU140" s="1"/>
  <c r="BG140"/>
  <c r="BF140"/>
  <c r="BS140" s="1"/>
  <c r="BE140"/>
  <c r="BD140"/>
  <c r="BQ140" s="1"/>
  <c r="BC140"/>
  <c r="BB140"/>
  <c r="BO140" s="1"/>
  <c r="BA140"/>
  <c r="AZ140"/>
  <c r="BM140" s="1"/>
  <c r="AY140"/>
  <c r="BK140" s="1"/>
  <c r="AX140"/>
  <c r="BW140" s="1"/>
  <c r="AW140"/>
  <c r="AV140"/>
  <c r="CG140" s="1"/>
  <c r="AU140"/>
  <c r="AT140"/>
  <c r="CE140" s="1"/>
  <c r="AS140"/>
  <c r="AR140"/>
  <c r="CC140" s="1"/>
  <c r="AQ140"/>
  <c r="AP140"/>
  <c r="CA140" s="1"/>
  <c r="AO140"/>
  <c r="AN140"/>
  <c r="BY140" s="1"/>
  <c r="AM140"/>
  <c r="AL140"/>
  <c r="AK140"/>
  <c r="AJ140"/>
  <c r="AI140"/>
  <c r="AH140"/>
  <c r="AG140"/>
  <c r="AF140"/>
  <c r="AE140"/>
  <c r="AD140"/>
  <c r="AC140"/>
  <c r="AB140"/>
  <c r="AA140"/>
  <c r="DE139"/>
  <c r="BJ139"/>
  <c r="BV139" s="1"/>
  <c r="BI139"/>
  <c r="BH139"/>
  <c r="BU139" s="1"/>
  <c r="BG139"/>
  <c r="BF139"/>
  <c r="BS139" s="1"/>
  <c r="BE139"/>
  <c r="BD139"/>
  <c r="BQ139" s="1"/>
  <c r="BC139"/>
  <c r="BB139"/>
  <c r="BO139" s="1"/>
  <c r="BA139"/>
  <c r="AZ139"/>
  <c r="BM139" s="1"/>
  <c r="AY139"/>
  <c r="BK139" s="1"/>
  <c r="AX139"/>
  <c r="BW139" s="1"/>
  <c r="AW139"/>
  <c r="AV139"/>
  <c r="CG139" s="1"/>
  <c r="AU139"/>
  <c r="AT139"/>
  <c r="CE139" s="1"/>
  <c r="AS139"/>
  <c r="AR139"/>
  <c r="CC139" s="1"/>
  <c r="AQ139"/>
  <c r="AP139"/>
  <c r="CA139" s="1"/>
  <c r="AO139"/>
  <c r="AN139"/>
  <c r="BY139" s="1"/>
  <c r="AM139"/>
  <c r="AL139"/>
  <c r="AK139"/>
  <c r="AJ139"/>
  <c r="AI139"/>
  <c r="AH139"/>
  <c r="AG139"/>
  <c r="AF139"/>
  <c r="AE139"/>
  <c r="AD139"/>
  <c r="AC139"/>
  <c r="AB139"/>
  <c r="AA139"/>
  <c r="DE138"/>
  <c r="BJ138"/>
  <c r="BV138" s="1"/>
  <c r="BI138"/>
  <c r="BH138"/>
  <c r="BU138" s="1"/>
  <c r="BG138"/>
  <c r="BF138"/>
  <c r="BS138" s="1"/>
  <c r="BE138"/>
  <c r="BD138"/>
  <c r="BQ138" s="1"/>
  <c r="BC138"/>
  <c r="BB138"/>
  <c r="BO138" s="1"/>
  <c r="BA138"/>
  <c r="AZ138"/>
  <c r="BM138" s="1"/>
  <c r="AY138"/>
  <c r="BK138" s="1"/>
  <c r="AX138"/>
  <c r="BW138" s="1"/>
  <c r="AW138"/>
  <c r="AV138"/>
  <c r="CG138" s="1"/>
  <c r="AU138"/>
  <c r="AT138"/>
  <c r="CE138" s="1"/>
  <c r="AS138"/>
  <c r="AR138"/>
  <c r="CC138" s="1"/>
  <c r="AQ138"/>
  <c r="AP138"/>
  <c r="CA138" s="1"/>
  <c r="AO138"/>
  <c r="AN138"/>
  <c r="BY138" s="1"/>
  <c r="AM138"/>
  <c r="AL138"/>
  <c r="AK138"/>
  <c r="AJ138"/>
  <c r="AI138"/>
  <c r="AH138"/>
  <c r="AG138"/>
  <c r="AF138"/>
  <c r="AE138"/>
  <c r="AD138"/>
  <c r="AC138"/>
  <c r="AB138"/>
  <c r="AA138"/>
  <c r="DE137"/>
  <c r="BJ137"/>
  <c r="BV137" s="1"/>
  <c r="BI137"/>
  <c r="BH137"/>
  <c r="BU137" s="1"/>
  <c r="BG137"/>
  <c r="BF137"/>
  <c r="BS137" s="1"/>
  <c r="BE137"/>
  <c r="BD137"/>
  <c r="BQ137" s="1"/>
  <c r="BC137"/>
  <c r="BB137"/>
  <c r="BO137" s="1"/>
  <c r="BA137"/>
  <c r="AZ137"/>
  <c r="BM137" s="1"/>
  <c r="AY137"/>
  <c r="BK137" s="1"/>
  <c r="AX137"/>
  <c r="BW137" s="1"/>
  <c r="AW137"/>
  <c r="AV137"/>
  <c r="CG137" s="1"/>
  <c r="AU137"/>
  <c r="AT137"/>
  <c r="CE137" s="1"/>
  <c r="AS137"/>
  <c r="AR137"/>
  <c r="CC137" s="1"/>
  <c r="AQ137"/>
  <c r="AP137"/>
  <c r="CA137" s="1"/>
  <c r="AO137"/>
  <c r="AN137"/>
  <c r="BY137" s="1"/>
  <c r="AM137"/>
  <c r="AL137"/>
  <c r="AK137"/>
  <c r="AJ137"/>
  <c r="AI137"/>
  <c r="AH137"/>
  <c r="AG137"/>
  <c r="AF137"/>
  <c r="AE137"/>
  <c r="AD137"/>
  <c r="AC137"/>
  <c r="AB137"/>
  <c r="AA137"/>
  <c r="DE136"/>
  <c r="BJ136"/>
  <c r="BV136" s="1"/>
  <c r="BI136"/>
  <c r="BH136"/>
  <c r="BU136" s="1"/>
  <c r="BG136"/>
  <c r="BF136"/>
  <c r="BS136" s="1"/>
  <c r="BE136"/>
  <c r="BD136"/>
  <c r="BQ136" s="1"/>
  <c r="BC136"/>
  <c r="BB136"/>
  <c r="BO136" s="1"/>
  <c r="BA136"/>
  <c r="AZ136"/>
  <c r="BM136" s="1"/>
  <c r="AY136"/>
  <c r="BK136" s="1"/>
  <c r="AX136"/>
  <c r="BW136" s="1"/>
  <c r="AW136"/>
  <c r="AV136"/>
  <c r="CG136" s="1"/>
  <c r="AU136"/>
  <c r="AT136"/>
  <c r="CE136" s="1"/>
  <c r="AS136"/>
  <c r="AR136"/>
  <c r="CC136" s="1"/>
  <c r="AQ136"/>
  <c r="AP136"/>
  <c r="CA136" s="1"/>
  <c r="AO136"/>
  <c r="AN136"/>
  <c r="BY136" s="1"/>
  <c r="AM136"/>
  <c r="AL136"/>
  <c r="AK136"/>
  <c r="AJ136"/>
  <c r="AI136"/>
  <c r="AH136"/>
  <c r="AG136"/>
  <c r="AF136"/>
  <c r="AE136"/>
  <c r="AD136"/>
  <c r="AC136"/>
  <c r="AB136"/>
  <c r="AA136"/>
  <c r="DE135"/>
  <c r="BJ135"/>
  <c r="BV135" s="1"/>
  <c r="BI135"/>
  <c r="BH135"/>
  <c r="BU135" s="1"/>
  <c r="BG135"/>
  <c r="BF135"/>
  <c r="BS135" s="1"/>
  <c r="BE135"/>
  <c r="BD135"/>
  <c r="BQ135" s="1"/>
  <c r="BC135"/>
  <c r="BB135"/>
  <c r="BO135" s="1"/>
  <c r="BA135"/>
  <c r="AZ135"/>
  <c r="BM135" s="1"/>
  <c r="AY135"/>
  <c r="BK135" s="1"/>
  <c r="AX135"/>
  <c r="BW135" s="1"/>
  <c r="AW135"/>
  <c r="AV135"/>
  <c r="CG135" s="1"/>
  <c r="AU135"/>
  <c r="AT135"/>
  <c r="CE135" s="1"/>
  <c r="AS135"/>
  <c r="AR135"/>
  <c r="CC135" s="1"/>
  <c r="AQ135"/>
  <c r="AP135"/>
  <c r="CA135" s="1"/>
  <c r="AO135"/>
  <c r="AN135"/>
  <c r="BY135" s="1"/>
  <c r="AM135"/>
  <c r="AL135"/>
  <c r="AK135"/>
  <c r="AJ135"/>
  <c r="AI135"/>
  <c r="AH135"/>
  <c r="AG135"/>
  <c r="AF135"/>
  <c r="AE135"/>
  <c r="AD135"/>
  <c r="AC135"/>
  <c r="AB135"/>
  <c r="AA135"/>
  <c r="DE134"/>
  <c r="BJ134"/>
  <c r="BV134" s="1"/>
  <c r="BI134"/>
  <c r="BH134"/>
  <c r="BU134" s="1"/>
  <c r="BG134"/>
  <c r="BF134"/>
  <c r="BS134" s="1"/>
  <c r="BE134"/>
  <c r="BD134"/>
  <c r="BQ134" s="1"/>
  <c r="BC134"/>
  <c r="BB134"/>
  <c r="BO134" s="1"/>
  <c r="BA134"/>
  <c r="AZ134"/>
  <c r="BM134" s="1"/>
  <c r="AY134"/>
  <c r="BK134" s="1"/>
  <c r="AX134"/>
  <c r="BW134" s="1"/>
  <c r="AW134"/>
  <c r="AV134"/>
  <c r="CG134" s="1"/>
  <c r="AU134"/>
  <c r="AT134"/>
  <c r="CE134" s="1"/>
  <c r="AS134"/>
  <c r="AR134"/>
  <c r="CC134" s="1"/>
  <c r="AQ134"/>
  <c r="AP134"/>
  <c r="CA134" s="1"/>
  <c r="AO134"/>
  <c r="AN134"/>
  <c r="BY134" s="1"/>
  <c r="AM134"/>
  <c r="AL134"/>
  <c r="AK134"/>
  <c r="AJ134"/>
  <c r="AI134"/>
  <c r="AH134"/>
  <c r="AG134"/>
  <c r="AF134"/>
  <c r="AE134"/>
  <c r="AD134"/>
  <c r="AC134"/>
  <c r="AB134"/>
  <c r="AA134"/>
  <c r="DE133"/>
  <c r="BJ133"/>
  <c r="BV133" s="1"/>
  <c r="BI133"/>
  <c r="BH133"/>
  <c r="BU133" s="1"/>
  <c r="BG133"/>
  <c r="BF133"/>
  <c r="BS133" s="1"/>
  <c r="BE133"/>
  <c r="BD133"/>
  <c r="BQ133" s="1"/>
  <c r="BC133"/>
  <c r="BB133"/>
  <c r="BO133" s="1"/>
  <c r="BA133"/>
  <c r="AZ133"/>
  <c r="BM133" s="1"/>
  <c r="AY133"/>
  <c r="BK133" s="1"/>
  <c r="AX133"/>
  <c r="BW133" s="1"/>
  <c r="AW133"/>
  <c r="AV133"/>
  <c r="CG133" s="1"/>
  <c r="AU133"/>
  <c r="AT133"/>
  <c r="CE133" s="1"/>
  <c r="AS133"/>
  <c r="AR133"/>
  <c r="CC133" s="1"/>
  <c r="AQ133"/>
  <c r="AP133"/>
  <c r="CA133" s="1"/>
  <c r="AO133"/>
  <c r="AN133"/>
  <c r="BY133" s="1"/>
  <c r="AM133"/>
  <c r="AL133"/>
  <c r="AK133"/>
  <c r="AJ133"/>
  <c r="AI133"/>
  <c r="AH133"/>
  <c r="AG133"/>
  <c r="AF133"/>
  <c r="AE133"/>
  <c r="AD133"/>
  <c r="AC133"/>
  <c r="AB133"/>
  <c r="AA133"/>
  <c r="DE132"/>
  <c r="BJ132"/>
  <c r="BV132" s="1"/>
  <c r="BI132"/>
  <c r="BH132"/>
  <c r="BU132" s="1"/>
  <c r="BG132"/>
  <c r="BF132"/>
  <c r="BS132" s="1"/>
  <c r="BE132"/>
  <c r="BD132"/>
  <c r="BQ132" s="1"/>
  <c r="BC132"/>
  <c r="BB132"/>
  <c r="BO132" s="1"/>
  <c r="BA132"/>
  <c r="AZ132"/>
  <c r="BM132" s="1"/>
  <c r="AY132"/>
  <c r="BK132" s="1"/>
  <c r="AX132"/>
  <c r="BW132" s="1"/>
  <c r="AW132"/>
  <c r="AV132"/>
  <c r="CG132" s="1"/>
  <c r="AU132"/>
  <c r="AT132"/>
  <c r="CE132" s="1"/>
  <c r="AS132"/>
  <c r="AR132"/>
  <c r="CC132" s="1"/>
  <c r="AQ132"/>
  <c r="AP132"/>
  <c r="CA132" s="1"/>
  <c r="AO132"/>
  <c r="AN132"/>
  <c r="BY132" s="1"/>
  <c r="AM132"/>
  <c r="AL132"/>
  <c r="AK132"/>
  <c r="AJ132"/>
  <c r="AI132"/>
  <c r="AH132"/>
  <c r="AG132"/>
  <c r="AF132"/>
  <c r="AE132"/>
  <c r="AD132"/>
  <c r="AC132"/>
  <c r="AB132"/>
  <c r="AA132"/>
  <c r="DE131"/>
  <c r="BJ131"/>
  <c r="BV131" s="1"/>
  <c r="BI131"/>
  <c r="BH131"/>
  <c r="BU131" s="1"/>
  <c r="BG131"/>
  <c r="BF131"/>
  <c r="BS131" s="1"/>
  <c r="BE131"/>
  <c r="BD131"/>
  <c r="BQ131" s="1"/>
  <c r="BC131"/>
  <c r="BB131"/>
  <c r="BO131" s="1"/>
  <c r="BA131"/>
  <c r="AZ131"/>
  <c r="BM131" s="1"/>
  <c r="AY131"/>
  <c r="BK131" s="1"/>
  <c r="AX131"/>
  <c r="BW131" s="1"/>
  <c r="AW131"/>
  <c r="AV131"/>
  <c r="CG131" s="1"/>
  <c r="AU131"/>
  <c r="AT131"/>
  <c r="CE131" s="1"/>
  <c r="AS131"/>
  <c r="AR131"/>
  <c r="CC131" s="1"/>
  <c r="AQ131"/>
  <c r="AP131"/>
  <c r="CA131" s="1"/>
  <c r="AO131"/>
  <c r="AN131"/>
  <c r="BY131" s="1"/>
  <c r="AM131"/>
  <c r="AL131"/>
  <c r="AK131"/>
  <c r="AJ131"/>
  <c r="AI131"/>
  <c r="AH131"/>
  <c r="AG131"/>
  <c r="AF131"/>
  <c r="AE131"/>
  <c r="AD131"/>
  <c r="AC131"/>
  <c r="AB131"/>
  <c r="AA131"/>
  <c r="DE130"/>
  <c r="BJ130"/>
  <c r="BV130" s="1"/>
  <c r="BI130"/>
  <c r="BH130"/>
  <c r="BU130" s="1"/>
  <c r="BG130"/>
  <c r="BF130"/>
  <c r="BS130" s="1"/>
  <c r="BE130"/>
  <c r="BD130"/>
  <c r="BQ130" s="1"/>
  <c r="BC130"/>
  <c r="BB130"/>
  <c r="BO130" s="1"/>
  <c r="BA130"/>
  <c r="AZ130"/>
  <c r="BM130" s="1"/>
  <c r="AY130"/>
  <c r="BK130" s="1"/>
  <c r="AX130"/>
  <c r="BW130" s="1"/>
  <c r="AW130"/>
  <c r="AV130"/>
  <c r="CG130" s="1"/>
  <c r="AU130"/>
  <c r="AT130"/>
  <c r="CE130" s="1"/>
  <c r="AS130"/>
  <c r="AR130"/>
  <c r="CC130" s="1"/>
  <c r="AQ130"/>
  <c r="AP130"/>
  <c r="CA130" s="1"/>
  <c r="AO130"/>
  <c r="AN130"/>
  <c r="BY130" s="1"/>
  <c r="AM130"/>
  <c r="AL130"/>
  <c r="AK130"/>
  <c r="AJ130"/>
  <c r="AI130"/>
  <c r="AH130"/>
  <c r="AG130"/>
  <c r="AF130"/>
  <c r="AE130"/>
  <c r="AD130"/>
  <c r="AC130"/>
  <c r="AB130"/>
  <c r="AA130"/>
  <c r="DE129"/>
  <c r="BJ129"/>
  <c r="BV129" s="1"/>
  <c r="BI129"/>
  <c r="BH129"/>
  <c r="BU129" s="1"/>
  <c r="BG129"/>
  <c r="BF129"/>
  <c r="BS129" s="1"/>
  <c r="BE129"/>
  <c r="BD129"/>
  <c r="BQ129" s="1"/>
  <c r="BC129"/>
  <c r="BB129"/>
  <c r="BO129" s="1"/>
  <c r="BA129"/>
  <c r="AZ129"/>
  <c r="BM129" s="1"/>
  <c r="AY129"/>
  <c r="BK129" s="1"/>
  <c r="AX129"/>
  <c r="BW129" s="1"/>
  <c r="AW129"/>
  <c r="AV129"/>
  <c r="CG129" s="1"/>
  <c r="AU129"/>
  <c r="AT129"/>
  <c r="CE129" s="1"/>
  <c r="AS129"/>
  <c r="AR129"/>
  <c r="CC129" s="1"/>
  <c r="AQ129"/>
  <c r="AP129"/>
  <c r="CA129" s="1"/>
  <c r="AO129"/>
  <c r="AN129"/>
  <c r="BY129" s="1"/>
  <c r="AM129"/>
  <c r="AL129"/>
  <c r="AK129"/>
  <c r="AJ129"/>
  <c r="AI129"/>
  <c r="AH129"/>
  <c r="AG129"/>
  <c r="AF129"/>
  <c r="AE129"/>
  <c r="AD129"/>
  <c r="AC129"/>
  <c r="AB129"/>
  <c r="AA129"/>
  <c r="DE128"/>
  <c r="BJ128"/>
  <c r="BV128" s="1"/>
  <c r="BI128"/>
  <c r="BH128"/>
  <c r="BU128" s="1"/>
  <c r="BG128"/>
  <c r="BF128"/>
  <c r="BS128" s="1"/>
  <c r="BE128"/>
  <c r="BD128"/>
  <c r="BQ128" s="1"/>
  <c r="BC128"/>
  <c r="BB128"/>
  <c r="BO128" s="1"/>
  <c r="BA128"/>
  <c r="AZ128"/>
  <c r="BM128" s="1"/>
  <c r="AY128"/>
  <c r="BK128" s="1"/>
  <c r="AX128"/>
  <c r="BW128" s="1"/>
  <c r="AW128"/>
  <c r="AV128"/>
  <c r="CG128" s="1"/>
  <c r="AU128"/>
  <c r="AT128"/>
  <c r="CE128" s="1"/>
  <c r="AS128"/>
  <c r="AR128"/>
  <c r="CC128" s="1"/>
  <c r="AQ128"/>
  <c r="AP128"/>
  <c r="CA128" s="1"/>
  <c r="AO128"/>
  <c r="AN128"/>
  <c r="BY128" s="1"/>
  <c r="AM128"/>
  <c r="AL128"/>
  <c r="AK128"/>
  <c r="AJ128"/>
  <c r="AI128"/>
  <c r="AH128"/>
  <c r="AG128"/>
  <c r="AF128"/>
  <c r="AE128"/>
  <c r="AD128"/>
  <c r="AC128"/>
  <c r="AB128"/>
  <c r="AA128"/>
  <c r="DE127"/>
  <c r="BJ127"/>
  <c r="BV127" s="1"/>
  <c r="BI127"/>
  <c r="BH127"/>
  <c r="BU127" s="1"/>
  <c r="BG127"/>
  <c r="BF127"/>
  <c r="BS127" s="1"/>
  <c r="BE127"/>
  <c r="BD127"/>
  <c r="BQ127" s="1"/>
  <c r="BC127"/>
  <c r="BB127"/>
  <c r="BO127" s="1"/>
  <c r="BA127"/>
  <c r="AZ127"/>
  <c r="BM127" s="1"/>
  <c r="AY127"/>
  <c r="BK127" s="1"/>
  <c r="AX127"/>
  <c r="BW127" s="1"/>
  <c r="AW127"/>
  <c r="AV127"/>
  <c r="CG127" s="1"/>
  <c r="AU127"/>
  <c r="AT127"/>
  <c r="CE127" s="1"/>
  <c r="AS127"/>
  <c r="AR127"/>
  <c r="CC127" s="1"/>
  <c r="AQ127"/>
  <c r="AP127"/>
  <c r="CA127" s="1"/>
  <c r="AO127"/>
  <c r="AN127"/>
  <c r="BY127" s="1"/>
  <c r="AM127"/>
  <c r="AL127"/>
  <c r="AK127"/>
  <c r="AJ127"/>
  <c r="AI127"/>
  <c r="AH127"/>
  <c r="AG127"/>
  <c r="AF127"/>
  <c r="AE127"/>
  <c r="AD127"/>
  <c r="AC127"/>
  <c r="AB127"/>
  <c r="AA127"/>
  <c r="DE126"/>
  <c r="BJ126"/>
  <c r="BV126" s="1"/>
  <c r="BI126"/>
  <c r="BH126"/>
  <c r="BU126" s="1"/>
  <c r="BG126"/>
  <c r="BF126"/>
  <c r="BS126" s="1"/>
  <c r="BE126"/>
  <c r="BD126"/>
  <c r="BQ126" s="1"/>
  <c r="BC126"/>
  <c r="BB126"/>
  <c r="BO126" s="1"/>
  <c r="BA126"/>
  <c r="AZ126"/>
  <c r="BM126" s="1"/>
  <c r="AY126"/>
  <c r="BK126" s="1"/>
  <c r="AX126"/>
  <c r="BW126" s="1"/>
  <c r="AW126"/>
  <c r="AV126"/>
  <c r="CG126" s="1"/>
  <c r="AU126"/>
  <c r="AT126"/>
  <c r="CE126" s="1"/>
  <c r="AS126"/>
  <c r="AR126"/>
  <c r="CC126" s="1"/>
  <c r="AQ126"/>
  <c r="AP126"/>
  <c r="CA126" s="1"/>
  <c r="AO126"/>
  <c r="AN126"/>
  <c r="BY126" s="1"/>
  <c r="AM126"/>
  <c r="AL126"/>
  <c r="AK126"/>
  <c r="AJ126"/>
  <c r="AI126"/>
  <c r="AH126"/>
  <c r="AG126"/>
  <c r="AF126"/>
  <c r="AE126"/>
  <c r="AD126"/>
  <c r="AC126"/>
  <c r="AB126"/>
  <c r="AA126"/>
  <c r="DE125"/>
  <c r="BJ125"/>
  <c r="BV125" s="1"/>
  <c r="BI125"/>
  <c r="BH125"/>
  <c r="BU125" s="1"/>
  <c r="BG125"/>
  <c r="BF125"/>
  <c r="BS125" s="1"/>
  <c r="BE125"/>
  <c r="BD125"/>
  <c r="BQ125" s="1"/>
  <c r="BC125"/>
  <c r="BB125"/>
  <c r="BO125" s="1"/>
  <c r="BA125"/>
  <c r="AZ125"/>
  <c r="BM125" s="1"/>
  <c r="AY125"/>
  <c r="BK125" s="1"/>
  <c r="AX125"/>
  <c r="BW125" s="1"/>
  <c r="AW125"/>
  <c r="AV125"/>
  <c r="CG125" s="1"/>
  <c r="AU125"/>
  <c r="AT125"/>
  <c r="CE125" s="1"/>
  <c r="AS125"/>
  <c r="AR125"/>
  <c r="CC125" s="1"/>
  <c r="AQ125"/>
  <c r="AP125"/>
  <c r="CA125" s="1"/>
  <c r="AO125"/>
  <c r="AN125"/>
  <c r="BY125" s="1"/>
  <c r="AM125"/>
  <c r="AL125"/>
  <c r="AK125"/>
  <c r="AJ125"/>
  <c r="AI125"/>
  <c r="AH125"/>
  <c r="AG125"/>
  <c r="AF125"/>
  <c r="AE125"/>
  <c r="AD125"/>
  <c r="AC125"/>
  <c r="AB125"/>
  <c r="AA125"/>
  <c r="DE124"/>
  <c r="BJ124"/>
  <c r="BV124" s="1"/>
  <c r="BI124"/>
  <c r="BH124"/>
  <c r="BU124" s="1"/>
  <c r="BG124"/>
  <c r="BF124"/>
  <c r="BS124" s="1"/>
  <c r="BE124"/>
  <c r="BD124"/>
  <c r="BQ124" s="1"/>
  <c r="BC124"/>
  <c r="BB124"/>
  <c r="BO124" s="1"/>
  <c r="BA124"/>
  <c r="AZ124"/>
  <c r="BM124" s="1"/>
  <c r="AY124"/>
  <c r="BK124" s="1"/>
  <c r="AX124"/>
  <c r="BW124" s="1"/>
  <c r="AW124"/>
  <c r="AV124"/>
  <c r="CG124" s="1"/>
  <c r="AU124"/>
  <c r="AT124"/>
  <c r="CE124" s="1"/>
  <c r="AS124"/>
  <c r="AR124"/>
  <c r="CC124" s="1"/>
  <c r="AQ124"/>
  <c r="AP124"/>
  <c r="CA124" s="1"/>
  <c r="AO124"/>
  <c r="AN124"/>
  <c r="BY124" s="1"/>
  <c r="AM124"/>
  <c r="AL124"/>
  <c r="AK124"/>
  <c r="AJ124"/>
  <c r="AI124"/>
  <c r="AH124"/>
  <c r="AG124"/>
  <c r="AF124"/>
  <c r="AE124"/>
  <c r="AD124"/>
  <c r="AC124"/>
  <c r="AB124"/>
  <c r="AA124"/>
  <c r="DE123"/>
  <c r="BJ123"/>
  <c r="BV123" s="1"/>
  <c r="BI123"/>
  <c r="BH123"/>
  <c r="BU123" s="1"/>
  <c r="BG123"/>
  <c r="BF123"/>
  <c r="BS123" s="1"/>
  <c r="BE123"/>
  <c r="BD123"/>
  <c r="BQ123" s="1"/>
  <c r="BC123"/>
  <c r="BB123"/>
  <c r="BO123" s="1"/>
  <c r="BA123"/>
  <c r="AZ123"/>
  <c r="BM123" s="1"/>
  <c r="AY123"/>
  <c r="AX123"/>
  <c r="AW123"/>
  <c r="AV123"/>
  <c r="CG123" s="1"/>
  <c r="AU123"/>
  <c r="AT123"/>
  <c r="CE123" s="1"/>
  <c r="AS123"/>
  <c r="AR123"/>
  <c r="CC123" s="1"/>
  <c r="AQ123"/>
  <c r="AP123"/>
  <c r="CA123" s="1"/>
  <c r="AO123"/>
  <c r="AN123"/>
  <c r="BY123" s="1"/>
  <c r="AM123"/>
  <c r="AL123"/>
  <c r="AK123"/>
  <c r="AJ123"/>
  <c r="AI123"/>
  <c r="AH123"/>
  <c r="AG123"/>
  <c r="AF123"/>
  <c r="AE123"/>
  <c r="AD123"/>
  <c r="AC123"/>
  <c r="AB123"/>
  <c r="AA123"/>
  <c r="DE122"/>
  <c r="CF122"/>
  <c r="CB122"/>
  <c r="BX122"/>
  <c r="BT122"/>
  <c r="BP122"/>
  <c r="BL122"/>
  <c r="BJ122"/>
  <c r="BV122" s="1"/>
  <c r="BI122"/>
  <c r="BH122"/>
  <c r="BU122" s="1"/>
  <c r="BG122"/>
  <c r="BF122"/>
  <c r="BS122" s="1"/>
  <c r="BE122"/>
  <c r="BD122"/>
  <c r="BQ122" s="1"/>
  <c r="BC122"/>
  <c r="BB122"/>
  <c r="BO122" s="1"/>
  <c r="BA122"/>
  <c r="AZ122"/>
  <c r="BM122" s="1"/>
  <c r="AY122"/>
  <c r="BK122" s="1"/>
  <c r="AX122"/>
  <c r="AW122"/>
  <c r="AV122"/>
  <c r="CG122" s="1"/>
  <c r="AU122"/>
  <c r="AT122"/>
  <c r="CE122" s="1"/>
  <c r="AS122"/>
  <c r="AR122"/>
  <c r="CC122" s="1"/>
  <c r="AQ122"/>
  <c r="AP122"/>
  <c r="CA122" s="1"/>
  <c r="AO122"/>
  <c r="AN122"/>
  <c r="BY122" s="1"/>
  <c r="AM122"/>
  <c r="AL122"/>
  <c r="AK122"/>
  <c r="AJ122"/>
  <c r="AI122"/>
  <c r="AH122"/>
  <c r="AG122"/>
  <c r="AF122"/>
  <c r="AE122"/>
  <c r="AD122"/>
  <c r="AC122"/>
  <c r="AB122"/>
  <c r="AA122"/>
  <c r="DE121"/>
  <c r="BJ121"/>
  <c r="BV121" s="1"/>
  <c r="BI121"/>
  <c r="BH121"/>
  <c r="BU121" s="1"/>
  <c r="BG121"/>
  <c r="BF121"/>
  <c r="BS121" s="1"/>
  <c r="BE121"/>
  <c r="BD121"/>
  <c r="BQ121" s="1"/>
  <c r="BC121"/>
  <c r="BB121"/>
  <c r="BO121" s="1"/>
  <c r="BA121"/>
  <c r="AZ121"/>
  <c r="BM121" s="1"/>
  <c r="AY121"/>
  <c r="AX121"/>
  <c r="AW121"/>
  <c r="AV121"/>
  <c r="CG121" s="1"/>
  <c r="AU121"/>
  <c r="AT121"/>
  <c r="CE121" s="1"/>
  <c r="AS121"/>
  <c r="AR121"/>
  <c r="CC121" s="1"/>
  <c r="AQ121"/>
  <c r="AP121"/>
  <c r="CA121" s="1"/>
  <c r="AO121"/>
  <c r="AN121"/>
  <c r="BY121" s="1"/>
  <c r="AM121"/>
  <c r="AL121"/>
  <c r="AK121"/>
  <c r="AJ121"/>
  <c r="AI121"/>
  <c r="AH121"/>
  <c r="AG121"/>
  <c r="AF121"/>
  <c r="AE121"/>
  <c r="AD121"/>
  <c r="AC121"/>
  <c r="AB121"/>
  <c r="AA121"/>
  <c r="DE120"/>
  <c r="CF120"/>
  <c r="CB120"/>
  <c r="BX120"/>
  <c r="BT120"/>
  <c r="BP120"/>
  <c r="BL120"/>
  <c r="BJ120"/>
  <c r="BV120" s="1"/>
  <c r="BI120"/>
  <c r="BH120"/>
  <c r="BU120" s="1"/>
  <c r="BG120"/>
  <c r="BF120"/>
  <c r="BS120" s="1"/>
  <c r="BE120"/>
  <c r="BD120"/>
  <c r="BQ120" s="1"/>
  <c r="BC120"/>
  <c r="BB120"/>
  <c r="BO120" s="1"/>
  <c r="BA120"/>
  <c r="AZ120"/>
  <c r="BM120" s="1"/>
  <c r="AY120"/>
  <c r="BK120" s="1"/>
  <c r="AX120"/>
  <c r="AW120"/>
  <c r="AV120"/>
  <c r="CG120" s="1"/>
  <c r="AU120"/>
  <c r="AT120"/>
  <c r="CE120" s="1"/>
  <c r="AS120"/>
  <c r="AR120"/>
  <c r="CC120" s="1"/>
  <c r="AQ120"/>
  <c r="AP120"/>
  <c r="CA120" s="1"/>
  <c r="AO120"/>
  <c r="AN120"/>
  <c r="BY120" s="1"/>
  <c r="AM120"/>
  <c r="AL120"/>
  <c r="AK120"/>
  <c r="AJ120"/>
  <c r="AI120"/>
  <c r="AH120"/>
  <c r="AG120"/>
  <c r="AF120"/>
  <c r="AE120"/>
  <c r="AD120"/>
  <c r="AC120"/>
  <c r="AB120"/>
  <c r="AA120"/>
  <c r="DE119"/>
  <c r="BJ119"/>
  <c r="BV119" s="1"/>
  <c r="BI119"/>
  <c r="BH119"/>
  <c r="BU119" s="1"/>
  <c r="BG119"/>
  <c r="BT119" s="1"/>
  <c r="BF119"/>
  <c r="BS119" s="1"/>
  <c r="BE119"/>
  <c r="BD119"/>
  <c r="BQ119" s="1"/>
  <c r="BC119"/>
  <c r="BP119" s="1"/>
  <c r="BB119"/>
  <c r="BO119" s="1"/>
  <c r="BA119"/>
  <c r="AZ119"/>
  <c r="BM119" s="1"/>
  <c r="AY119"/>
  <c r="AX119"/>
  <c r="AW119"/>
  <c r="CH119" s="1"/>
  <c r="AV119"/>
  <c r="CG119" s="1"/>
  <c r="AU119"/>
  <c r="CF119" s="1"/>
  <c r="AT119"/>
  <c r="CE119" s="1"/>
  <c r="AS119"/>
  <c r="CD119" s="1"/>
  <c r="AR119"/>
  <c r="CC119" s="1"/>
  <c r="AQ119"/>
  <c r="CB119" s="1"/>
  <c r="AP119"/>
  <c r="CA119" s="1"/>
  <c r="AO119"/>
  <c r="BZ119" s="1"/>
  <c r="AN119"/>
  <c r="BY119" s="1"/>
  <c r="AM119"/>
  <c r="BX119" s="1"/>
  <c r="AL119"/>
  <c r="AK119"/>
  <c r="AJ119"/>
  <c r="AI119"/>
  <c r="AH119"/>
  <c r="AG119"/>
  <c r="AF119"/>
  <c r="AE119"/>
  <c r="AD119"/>
  <c r="AC119"/>
  <c r="AB119"/>
  <c r="AA119"/>
  <c r="DE118"/>
  <c r="BJ118"/>
  <c r="BV118" s="1"/>
  <c r="BI118"/>
  <c r="BH118"/>
  <c r="BT118" s="1"/>
  <c r="BG118"/>
  <c r="BF118"/>
  <c r="BR118" s="1"/>
  <c r="BE118"/>
  <c r="BD118"/>
  <c r="BP118" s="1"/>
  <c r="BC118"/>
  <c r="BB118"/>
  <c r="BN118" s="1"/>
  <c r="BA118"/>
  <c r="AZ118"/>
  <c r="BL118" s="1"/>
  <c r="AY118"/>
  <c r="BK118" s="1"/>
  <c r="AX118"/>
  <c r="CH118" s="1"/>
  <c r="AW118"/>
  <c r="AV118"/>
  <c r="CF118" s="1"/>
  <c r="AU118"/>
  <c r="AT118"/>
  <c r="CD118" s="1"/>
  <c r="AS118"/>
  <c r="AR118"/>
  <c r="CB118" s="1"/>
  <c r="AQ118"/>
  <c r="AP118"/>
  <c r="BZ118" s="1"/>
  <c r="AO118"/>
  <c r="AN118"/>
  <c r="BY118" s="1"/>
  <c r="AM118"/>
  <c r="BX118" s="1"/>
  <c r="AL118"/>
  <c r="AK118"/>
  <c r="AJ118"/>
  <c r="AI118"/>
  <c r="AH118"/>
  <c r="AG118"/>
  <c r="AF118"/>
  <c r="AE118"/>
  <c r="AD118"/>
  <c r="AC118"/>
  <c r="AB118"/>
  <c r="AA118"/>
  <c r="DE117"/>
  <c r="BJ117"/>
  <c r="BV117" s="1"/>
  <c r="BI117"/>
  <c r="BH117"/>
  <c r="BT117" s="1"/>
  <c r="BG117"/>
  <c r="BF117"/>
  <c r="BR117" s="1"/>
  <c r="BE117"/>
  <c r="BD117"/>
  <c r="BP117" s="1"/>
  <c r="BC117"/>
  <c r="BB117"/>
  <c r="BN117" s="1"/>
  <c r="BA117"/>
  <c r="AZ117"/>
  <c r="BL117" s="1"/>
  <c r="AY117"/>
  <c r="BK117" s="1"/>
  <c r="AX117"/>
  <c r="CH117" s="1"/>
  <c r="AW117"/>
  <c r="AV117"/>
  <c r="CF117" s="1"/>
  <c r="AU117"/>
  <c r="AT117"/>
  <c r="CD117" s="1"/>
  <c r="AS117"/>
  <c r="AR117"/>
  <c r="CB117" s="1"/>
  <c r="AQ117"/>
  <c r="AP117"/>
  <c r="BZ117" s="1"/>
  <c r="AO117"/>
  <c r="AN117"/>
  <c r="BX117" s="1"/>
  <c r="AM117"/>
  <c r="AL117"/>
  <c r="AK117"/>
  <c r="AJ117"/>
  <c r="AI117"/>
  <c r="AH117"/>
  <c r="AG117"/>
  <c r="AF117"/>
  <c r="AE117"/>
  <c r="AD117"/>
  <c r="AC117"/>
  <c r="AB117"/>
  <c r="AA117"/>
  <c r="DE116"/>
  <c r="BJ116"/>
  <c r="BV116" s="1"/>
  <c r="BI116"/>
  <c r="BH116"/>
  <c r="BT116" s="1"/>
  <c r="BG116"/>
  <c r="BF116"/>
  <c r="BR116" s="1"/>
  <c r="BE116"/>
  <c r="BD116"/>
  <c r="BP116" s="1"/>
  <c r="BC116"/>
  <c r="BB116"/>
  <c r="BN116" s="1"/>
  <c r="BA116"/>
  <c r="AZ116"/>
  <c r="BL116" s="1"/>
  <c r="AY116"/>
  <c r="BK116" s="1"/>
  <c r="AX116"/>
  <c r="CH116" s="1"/>
  <c r="AW116"/>
  <c r="AV116"/>
  <c r="CF116" s="1"/>
  <c r="AU116"/>
  <c r="AT116"/>
  <c r="CD116" s="1"/>
  <c r="AS116"/>
  <c r="AR116"/>
  <c r="CB116" s="1"/>
  <c r="AQ116"/>
  <c r="AP116"/>
  <c r="BZ116" s="1"/>
  <c r="AO116"/>
  <c r="AN116"/>
  <c r="BX116" s="1"/>
  <c r="AM116"/>
  <c r="AL116"/>
  <c r="AK116"/>
  <c r="AJ116"/>
  <c r="AI116"/>
  <c r="AH116"/>
  <c r="AG116"/>
  <c r="AF116"/>
  <c r="AE116"/>
  <c r="AD116"/>
  <c r="AC116"/>
  <c r="AB116"/>
  <c r="AA116"/>
  <c r="DE115"/>
  <c r="BJ115"/>
  <c r="BV115" s="1"/>
  <c r="BI115"/>
  <c r="BH115"/>
  <c r="BT115" s="1"/>
  <c r="BG115"/>
  <c r="BF115"/>
  <c r="BR115" s="1"/>
  <c r="BE115"/>
  <c r="BD115"/>
  <c r="BP115" s="1"/>
  <c r="BC115"/>
  <c r="BB115"/>
  <c r="BN115" s="1"/>
  <c r="BA115"/>
  <c r="AZ115"/>
  <c r="BL115" s="1"/>
  <c r="AY115"/>
  <c r="BK115" s="1"/>
  <c r="AX115"/>
  <c r="CH115" s="1"/>
  <c r="AW115"/>
  <c r="AV115"/>
  <c r="CF115" s="1"/>
  <c r="AU115"/>
  <c r="AT115"/>
  <c r="CD115" s="1"/>
  <c r="AS115"/>
  <c r="AR115"/>
  <c r="CB115" s="1"/>
  <c r="AQ115"/>
  <c r="AP115"/>
  <c r="BZ115" s="1"/>
  <c r="AO115"/>
  <c r="AN115"/>
  <c r="BX115" s="1"/>
  <c r="AM115"/>
  <c r="AL115"/>
  <c r="AK115"/>
  <c r="AJ115"/>
  <c r="AI115"/>
  <c r="AH115"/>
  <c r="AG115"/>
  <c r="AF115"/>
  <c r="AE115"/>
  <c r="AD115"/>
  <c r="AC115"/>
  <c r="AB115"/>
  <c r="AA115"/>
  <c r="DE114"/>
  <c r="BJ114"/>
  <c r="BV114" s="1"/>
  <c r="BI114"/>
  <c r="BH114"/>
  <c r="BT114" s="1"/>
  <c r="BG114"/>
  <c r="BF114"/>
  <c r="BR114" s="1"/>
  <c r="BE114"/>
  <c r="BD114"/>
  <c r="BP114" s="1"/>
  <c r="BC114"/>
  <c r="BB114"/>
  <c r="BN114" s="1"/>
  <c r="BA114"/>
  <c r="AZ114"/>
  <c r="BL114" s="1"/>
  <c r="AY114"/>
  <c r="BK114" s="1"/>
  <c r="AX114"/>
  <c r="CH114" s="1"/>
  <c r="AW114"/>
  <c r="AV114"/>
  <c r="CF114" s="1"/>
  <c r="AU114"/>
  <c r="AT114"/>
  <c r="CD114" s="1"/>
  <c r="AS114"/>
  <c r="AR114"/>
  <c r="CB114" s="1"/>
  <c r="AQ114"/>
  <c r="AP114"/>
  <c r="BZ114" s="1"/>
  <c r="AO114"/>
  <c r="AN114"/>
  <c r="BX114" s="1"/>
  <c r="AM114"/>
  <c r="AL114"/>
  <c r="AK114"/>
  <c r="AJ114"/>
  <c r="AI114"/>
  <c r="AH114"/>
  <c r="AG114"/>
  <c r="AF114"/>
  <c r="AE114"/>
  <c r="AD114"/>
  <c r="AC114"/>
  <c r="AB114"/>
  <c r="AA114"/>
  <c r="DE113"/>
  <c r="BJ113"/>
  <c r="BV113" s="1"/>
  <c r="BI113"/>
  <c r="BH113"/>
  <c r="BT113" s="1"/>
  <c r="BG113"/>
  <c r="BF113"/>
  <c r="BR113" s="1"/>
  <c r="BE113"/>
  <c r="BD113"/>
  <c r="BP113" s="1"/>
  <c r="BC113"/>
  <c r="BB113"/>
  <c r="BN113" s="1"/>
  <c r="BA113"/>
  <c r="AZ113"/>
  <c r="BL113" s="1"/>
  <c r="AY113"/>
  <c r="BK113" s="1"/>
  <c r="AX113"/>
  <c r="CH113" s="1"/>
  <c r="AW113"/>
  <c r="AV113"/>
  <c r="CF113" s="1"/>
  <c r="AU113"/>
  <c r="AT113"/>
  <c r="CD113" s="1"/>
  <c r="AS113"/>
  <c r="AR113"/>
  <c r="CB113" s="1"/>
  <c r="AQ113"/>
  <c r="AP113"/>
  <c r="BZ113" s="1"/>
  <c r="AO113"/>
  <c r="AN113"/>
  <c r="BX113" s="1"/>
  <c r="AM113"/>
  <c r="AL113"/>
  <c r="AK113"/>
  <c r="AJ113"/>
  <c r="AI113"/>
  <c r="AH113"/>
  <c r="AG113"/>
  <c r="AF113"/>
  <c r="AE113"/>
  <c r="AD113"/>
  <c r="AC113"/>
  <c r="AB113"/>
  <c r="AA113"/>
  <c r="DE112"/>
  <c r="BJ112"/>
  <c r="BV112" s="1"/>
  <c r="BI112"/>
  <c r="BH112"/>
  <c r="BT112" s="1"/>
  <c r="BG112"/>
  <c r="BF112"/>
  <c r="BR112" s="1"/>
  <c r="BE112"/>
  <c r="BD112"/>
  <c r="BP112" s="1"/>
  <c r="BC112"/>
  <c r="BB112"/>
  <c r="BN112" s="1"/>
  <c r="BA112"/>
  <c r="AZ112"/>
  <c r="BL112" s="1"/>
  <c r="AY112"/>
  <c r="BK112" s="1"/>
  <c r="AX112"/>
  <c r="CH112" s="1"/>
  <c r="AW112"/>
  <c r="AV112"/>
  <c r="CF112" s="1"/>
  <c r="AU112"/>
  <c r="AT112"/>
  <c r="CD112" s="1"/>
  <c r="AS112"/>
  <c r="AR112"/>
  <c r="CB112" s="1"/>
  <c r="AQ112"/>
  <c r="AP112"/>
  <c r="BZ112" s="1"/>
  <c r="AO112"/>
  <c r="AN112"/>
  <c r="BX112" s="1"/>
  <c r="AM112"/>
  <c r="AL112"/>
  <c r="AK112"/>
  <c r="AJ112"/>
  <c r="AI112"/>
  <c r="AH112"/>
  <c r="AG112"/>
  <c r="AF112"/>
  <c r="AE112"/>
  <c r="AD112"/>
  <c r="AC112"/>
  <c r="AB112"/>
  <c r="AA112"/>
  <c r="DE111"/>
  <c r="BJ111"/>
  <c r="BV111" s="1"/>
  <c r="BI111"/>
  <c r="BH111"/>
  <c r="BT111" s="1"/>
  <c r="BG111"/>
  <c r="BF111"/>
  <c r="BR111" s="1"/>
  <c r="BE111"/>
  <c r="BD111"/>
  <c r="BP111" s="1"/>
  <c r="BC111"/>
  <c r="BB111"/>
  <c r="BN111" s="1"/>
  <c r="BA111"/>
  <c r="AZ111"/>
  <c r="BL111" s="1"/>
  <c r="AY111"/>
  <c r="BK111" s="1"/>
  <c r="AX111"/>
  <c r="CH111" s="1"/>
  <c r="AW111"/>
  <c r="AV111"/>
  <c r="CF111" s="1"/>
  <c r="AU111"/>
  <c r="AT111"/>
  <c r="CD111" s="1"/>
  <c r="AS111"/>
  <c r="AR111"/>
  <c r="CB111" s="1"/>
  <c r="AQ111"/>
  <c r="AP111"/>
  <c r="BZ111" s="1"/>
  <c r="AO111"/>
  <c r="AN111"/>
  <c r="BX111" s="1"/>
  <c r="AM111"/>
  <c r="AL111"/>
  <c r="AK111"/>
  <c r="AJ111"/>
  <c r="AI111"/>
  <c r="AH111"/>
  <c r="AG111"/>
  <c r="AF111"/>
  <c r="AE111"/>
  <c r="AD111"/>
  <c r="AC111"/>
  <c r="AB111"/>
  <c r="AA111"/>
  <c r="DE110"/>
  <c r="BJ110"/>
  <c r="BV110" s="1"/>
  <c r="BI110"/>
  <c r="BH110"/>
  <c r="BT110" s="1"/>
  <c r="BG110"/>
  <c r="BF110"/>
  <c r="BR110" s="1"/>
  <c r="BE110"/>
  <c r="BD110"/>
  <c r="BP110" s="1"/>
  <c r="BC110"/>
  <c r="BB110"/>
  <c r="BN110" s="1"/>
  <c r="BA110"/>
  <c r="AZ110"/>
  <c r="BL110" s="1"/>
  <c r="AY110"/>
  <c r="BK110" s="1"/>
  <c r="AX110"/>
  <c r="CH110" s="1"/>
  <c r="AW110"/>
  <c r="AV110"/>
  <c r="CF110" s="1"/>
  <c r="AU110"/>
  <c r="AT110"/>
  <c r="CD110" s="1"/>
  <c r="AS110"/>
  <c r="AR110"/>
  <c r="CB110" s="1"/>
  <c r="AQ110"/>
  <c r="AP110"/>
  <c r="BZ110" s="1"/>
  <c r="AO110"/>
  <c r="AN110"/>
  <c r="BX110" s="1"/>
  <c r="AM110"/>
  <c r="AL110"/>
  <c r="AK110"/>
  <c r="AJ110"/>
  <c r="AI110"/>
  <c r="AH110"/>
  <c r="AG110"/>
  <c r="AF110"/>
  <c r="AE110"/>
  <c r="AD110"/>
  <c r="AC110"/>
  <c r="AB110"/>
  <c r="AA110"/>
  <c r="DE109"/>
  <c r="BJ109"/>
  <c r="BV109" s="1"/>
  <c r="BI109"/>
  <c r="BH109"/>
  <c r="BT109" s="1"/>
  <c r="BG109"/>
  <c r="BF109"/>
  <c r="BR109" s="1"/>
  <c r="BE109"/>
  <c r="BD109"/>
  <c r="BP109" s="1"/>
  <c r="BC109"/>
  <c r="BB109"/>
  <c r="BN109" s="1"/>
  <c r="BA109"/>
  <c r="AZ109"/>
  <c r="BL109" s="1"/>
  <c r="AY109"/>
  <c r="BK109" s="1"/>
  <c r="AX109"/>
  <c r="CH109" s="1"/>
  <c r="AW109"/>
  <c r="AV109"/>
  <c r="CF109" s="1"/>
  <c r="AU109"/>
  <c r="AT109"/>
  <c r="CD109" s="1"/>
  <c r="AS109"/>
  <c r="AR109"/>
  <c r="CB109" s="1"/>
  <c r="AQ109"/>
  <c r="AP109"/>
  <c r="BZ109" s="1"/>
  <c r="AO109"/>
  <c r="AN109"/>
  <c r="BX109" s="1"/>
  <c r="AM109"/>
  <c r="AL109"/>
  <c r="AK109"/>
  <c r="AJ109"/>
  <c r="AI109"/>
  <c r="AH109"/>
  <c r="AG109"/>
  <c r="AF109"/>
  <c r="AE109"/>
  <c r="AD109"/>
  <c r="AC109"/>
  <c r="AB109"/>
  <c r="AA109"/>
  <c r="DE108"/>
  <c r="BJ108"/>
  <c r="BV108" s="1"/>
  <c r="BI108"/>
  <c r="BH108"/>
  <c r="BT108" s="1"/>
  <c r="BG108"/>
  <c r="BF108"/>
  <c r="BR108" s="1"/>
  <c r="BE108"/>
  <c r="BD108"/>
  <c r="BP108" s="1"/>
  <c r="BC108"/>
  <c r="BB108"/>
  <c r="BN108" s="1"/>
  <c r="BA108"/>
  <c r="AZ108"/>
  <c r="BL108" s="1"/>
  <c r="AY108"/>
  <c r="BK108" s="1"/>
  <c r="AX108"/>
  <c r="CH108" s="1"/>
  <c r="AW108"/>
  <c r="AV108"/>
  <c r="CF108" s="1"/>
  <c r="AU108"/>
  <c r="AT108"/>
  <c r="CD108" s="1"/>
  <c r="AS108"/>
  <c r="AR108"/>
  <c r="CB108" s="1"/>
  <c r="AQ108"/>
  <c r="AP108"/>
  <c r="BZ108" s="1"/>
  <c r="AO108"/>
  <c r="AN108"/>
  <c r="BX108" s="1"/>
  <c r="AM108"/>
  <c r="AL108"/>
  <c r="AK108"/>
  <c r="AJ108"/>
  <c r="AI108"/>
  <c r="AH108"/>
  <c r="AG108"/>
  <c r="AF108"/>
  <c r="AE108"/>
  <c r="AD108"/>
  <c r="AC108"/>
  <c r="AB108"/>
  <c r="AA108"/>
  <c r="DE107"/>
  <c r="BJ107"/>
  <c r="BV107" s="1"/>
  <c r="BI107"/>
  <c r="BH107"/>
  <c r="BT107" s="1"/>
  <c r="BG107"/>
  <c r="BF107"/>
  <c r="BR107" s="1"/>
  <c r="BE107"/>
  <c r="BD107"/>
  <c r="BP107" s="1"/>
  <c r="BC107"/>
  <c r="BB107"/>
  <c r="BN107" s="1"/>
  <c r="BA107"/>
  <c r="AZ107"/>
  <c r="BL107" s="1"/>
  <c r="AY107"/>
  <c r="BK107" s="1"/>
  <c r="AX107"/>
  <c r="CH107" s="1"/>
  <c r="AW107"/>
  <c r="AV107"/>
  <c r="CF107" s="1"/>
  <c r="AU107"/>
  <c r="AT107"/>
  <c r="CD107" s="1"/>
  <c r="AS107"/>
  <c r="AR107"/>
  <c r="CB107" s="1"/>
  <c r="AQ107"/>
  <c r="AP107"/>
  <c r="BZ107" s="1"/>
  <c r="AO107"/>
  <c r="AN107"/>
  <c r="BX107" s="1"/>
  <c r="AM107"/>
  <c r="AL107"/>
  <c r="AK107"/>
  <c r="AJ107"/>
  <c r="AI107"/>
  <c r="AH107"/>
  <c r="AG107"/>
  <c r="AF107"/>
  <c r="AE107"/>
  <c r="AD107"/>
  <c r="AC107"/>
  <c r="AB107"/>
  <c r="AA107"/>
  <c r="DE106"/>
  <c r="BJ106"/>
  <c r="BV106" s="1"/>
  <c r="BI106"/>
  <c r="BH106"/>
  <c r="BT106" s="1"/>
  <c r="BG106"/>
  <c r="BF106"/>
  <c r="BR106" s="1"/>
  <c r="BE106"/>
  <c r="BD106"/>
  <c r="BP106" s="1"/>
  <c r="BC106"/>
  <c r="BB106"/>
  <c r="BN106" s="1"/>
  <c r="BA106"/>
  <c r="AZ106"/>
  <c r="BL106" s="1"/>
  <c r="AY106"/>
  <c r="BK106" s="1"/>
  <c r="AX106"/>
  <c r="CH106" s="1"/>
  <c r="AW106"/>
  <c r="AV106"/>
  <c r="CF106" s="1"/>
  <c r="AU106"/>
  <c r="AT106"/>
  <c r="CD106" s="1"/>
  <c r="AS106"/>
  <c r="AR106"/>
  <c r="CB106" s="1"/>
  <c r="AQ106"/>
  <c r="AP106"/>
  <c r="BZ106" s="1"/>
  <c r="AO106"/>
  <c r="AN106"/>
  <c r="BX106" s="1"/>
  <c r="AM106"/>
  <c r="AL106"/>
  <c r="AK106"/>
  <c r="AJ106"/>
  <c r="AI106"/>
  <c r="AH106"/>
  <c r="AG106"/>
  <c r="AF106"/>
  <c r="AE106"/>
  <c r="AD106"/>
  <c r="AC106"/>
  <c r="AB106"/>
  <c r="AA106"/>
  <c r="DE105"/>
  <c r="BJ105"/>
  <c r="BV105" s="1"/>
  <c r="BI105"/>
  <c r="BH105"/>
  <c r="BT105" s="1"/>
  <c r="BG105"/>
  <c r="BF105"/>
  <c r="BR105" s="1"/>
  <c r="BE105"/>
  <c r="BD105"/>
  <c r="BP105" s="1"/>
  <c r="BC105"/>
  <c r="BB105"/>
  <c r="BN105" s="1"/>
  <c r="BA105"/>
  <c r="AZ105"/>
  <c r="BL105" s="1"/>
  <c r="AY105"/>
  <c r="BK105" s="1"/>
  <c r="AX105"/>
  <c r="CH105" s="1"/>
  <c r="AW105"/>
  <c r="AV105"/>
  <c r="CF105" s="1"/>
  <c r="AU105"/>
  <c r="AT105"/>
  <c r="CD105" s="1"/>
  <c r="AS105"/>
  <c r="AR105"/>
  <c r="CB105" s="1"/>
  <c r="AQ105"/>
  <c r="AP105"/>
  <c r="BZ105" s="1"/>
  <c r="AO105"/>
  <c r="AN105"/>
  <c r="BX105" s="1"/>
  <c r="AM105"/>
  <c r="AL105"/>
  <c r="AK105"/>
  <c r="AJ105"/>
  <c r="AI105"/>
  <c r="AH105"/>
  <c r="AG105"/>
  <c r="AF105"/>
  <c r="AE105"/>
  <c r="AD105"/>
  <c r="AC105"/>
  <c r="AB105"/>
  <c r="AA105"/>
  <c r="DE104"/>
  <c r="BJ104"/>
  <c r="BV104" s="1"/>
  <c r="BI104"/>
  <c r="BH104"/>
  <c r="BT104" s="1"/>
  <c r="BG104"/>
  <c r="BF104"/>
  <c r="BR104" s="1"/>
  <c r="BE104"/>
  <c r="BD104"/>
  <c r="BP104" s="1"/>
  <c r="BC104"/>
  <c r="BB104"/>
  <c r="BN104" s="1"/>
  <c r="BA104"/>
  <c r="AZ104"/>
  <c r="BL104" s="1"/>
  <c r="AY104"/>
  <c r="BK104" s="1"/>
  <c r="AX104"/>
  <c r="CH104" s="1"/>
  <c r="AW104"/>
  <c r="AV104"/>
  <c r="CF104" s="1"/>
  <c r="AU104"/>
  <c r="AT104"/>
  <c r="CD104" s="1"/>
  <c r="AS104"/>
  <c r="AR104"/>
  <c r="CB104" s="1"/>
  <c r="AQ104"/>
  <c r="AP104"/>
  <c r="BZ104" s="1"/>
  <c r="AO104"/>
  <c r="AN104"/>
  <c r="BX104" s="1"/>
  <c r="AM104"/>
  <c r="AL104"/>
  <c r="AK104"/>
  <c r="AJ104"/>
  <c r="AI104"/>
  <c r="AH104"/>
  <c r="AG104"/>
  <c r="AF104"/>
  <c r="AE104"/>
  <c r="AD104"/>
  <c r="AC104"/>
  <c r="AB104"/>
  <c r="AA104"/>
  <c r="DE103"/>
  <c r="BJ103"/>
  <c r="BV103" s="1"/>
  <c r="BI103"/>
  <c r="BH103"/>
  <c r="BT103" s="1"/>
  <c r="BG103"/>
  <c r="BF103"/>
  <c r="BR103" s="1"/>
  <c r="BE103"/>
  <c r="BD103"/>
  <c r="BP103" s="1"/>
  <c r="BC103"/>
  <c r="BB103"/>
  <c r="BN103" s="1"/>
  <c r="BA103"/>
  <c r="AZ103"/>
  <c r="BL103" s="1"/>
  <c r="AY103"/>
  <c r="BK103" s="1"/>
  <c r="AX103"/>
  <c r="CH103" s="1"/>
  <c r="AW103"/>
  <c r="AV103"/>
  <c r="CF103" s="1"/>
  <c r="AU103"/>
  <c r="AT103"/>
  <c r="CD103" s="1"/>
  <c r="AS103"/>
  <c r="AR103"/>
  <c r="CB103" s="1"/>
  <c r="AQ103"/>
  <c r="AP103"/>
  <c r="BZ103" s="1"/>
  <c r="AO103"/>
  <c r="AN103"/>
  <c r="BX103" s="1"/>
  <c r="AM103"/>
  <c r="AL103"/>
  <c r="AK103"/>
  <c r="AJ103"/>
  <c r="AI103"/>
  <c r="AH103"/>
  <c r="AG103"/>
  <c r="AF103"/>
  <c r="AE103"/>
  <c r="AD103"/>
  <c r="AC103"/>
  <c r="AB103"/>
  <c r="AA103"/>
  <c r="DE102"/>
  <c r="BJ102"/>
  <c r="BV102" s="1"/>
  <c r="BI102"/>
  <c r="BH102"/>
  <c r="BT102" s="1"/>
  <c r="BG102"/>
  <c r="BF102"/>
  <c r="BR102" s="1"/>
  <c r="BE102"/>
  <c r="BD102"/>
  <c r="BP102" s="1"/>
  <c r="BC102"/>
  <c r="BB102"/>
  <c r="BN102" s="1"/>
  <c r="BA102"/>
  <c r="AZ102"/>
  <c r="BL102" s="1"/>
  <c r="AY102"/>
  <c r="BK102" s="1"/>
  <c r="AX102"/>
  <c r="CH102" s="1"/>
  <c r="AW102"/>
  <c r="AV102"/>
  <c r="CF102" s="1"/>
  <c r="AU102"/>
  <c r="AT102"/>
  <c r="CD102" s="1"/>
  <c r="AS102"/>
  <c r="AR102"/>
  <c r="CB102" s="1"/>
  <c r="AQ102"/>
  <c r="AP102"/>
  <c r="BZ102" s="1"/>
  <c r="AO102"/>
  <c r="AN102"/>
  <c r="BX102" s="1"/>
  <c r="AM102"/>
  <c r="AL102"/>
  <c r="AK102"/>
  <c r="AJ102"/>
  <c r="AI102"/>
  <c r="AH102"/>
  <c r="AG102"/>
  <c r="AF102"/>
  <c r="AE102"/>
  <c r="AD102"/>
  <c r="AC102"/>
  <c r="AB102"/>
  <c r="AA102"/>
  <c r="DE101"/>
  <c r="BJ101"/>
  <c r="BV101" s="1"/>
  <c r="BI101"/>
  <c r="BH101"/>
  <c r="BT101" s="1"/>
  <c r="BG101"/>
  <c r="BF101"/>
  <c r="BR101" s="1"/>
  <c r="BE101"/>
  <c r="BD101"/>
  <c r="BP101" s="1"/>
  <c r="BC101"/>
  <c r="BB101"/>
  <c r="BN101" s="1"/>
  <c r="BA101"/>
  <c r="AZ101"/>
  <c r="BL101" s="1"/>
  <c r="AY101"/>
  <c r="BK101" s="1"/>
  <c r="AX101"/>
  <c r="CH101" s="1"/>
  <c r="AW101"/>
  <c r="AV101"/>
  <c r="CF101" s="1"/>
  <c r="AU101"/>
  <c r="AT101"/>
  <c r="CD101" s="1"/>
  <c r="AS101"/>
  <c r="AR101"/>
  <c r="CB101" s="1"/>
  <c r="AQ101"/>
  <c r="AP101"/>
  <c r="BZ101" s="1"/>
  <c r="AO101"/>
  <c r="AN101"/>
  <c r="BX101" s="1"/>
  <c r="AM101"/>
  <c r="AL101"/>
  <c r="AK101"/>
  <c r="AJ101"/>
  <c r="AI101"/>
  <c r="AH101"/>
  <c r="AG101"/>
  <c r="AF101"/>
  <c r="AE101"/>
  <c r="AD101"/>
  <c r="AC101"/>
  <c r="AB101"/>
  <c r="AA101"/>
  <c r="DE100"/>
  <c r="BJ100"/>
  <c r="BV100" s="1"/>
  <c r="BI100"/>
  <c r="BH100"/>
  <c r="BT100" s="1"/>
  <c r="BG100"/>
  <c r="BF100"/>
  <c r="BR100" s="1"/>
  <c r="BE100"/>
  <c r="BD100"/>
  <c r="BP100" s="1"/>
  <c r="BC100"/>
  <c r="BB100"/>
  <c r="BN100" s="1"/>
  <c r="BA100"/>
  <c r="AZ100"/>
  <c r="BL100" s="1"/>
  <c r="AY100"/>
  <c r="BK100" s="1"/>
  <c r="AX100"/>
  <c r="CH100" s="1"/>
  <c r="AW100"/>
  <c r="AV100"/>
  <c r="CF100" s="1"/>
  <c r="AU100"/>
  <c r="AT100"/>
  <c r="CD100" s="1"/>
  <c r="AS100"/>
  <c r="AR100"/>
  <c r="CB100" s="1"/>
  <c r="AQ100"/>
  <c r="AP100"/>
  <c r="BZ100" s="1"/>
  <c r="AO100"/>
  <c r="AN100"/>
  <c r="BX100" s="1"/>
  <c r="AM100"/>
  <c r="AL100"/>
  <c r="AK100"/>
  <c r="AJ100"/>
  <c r="AI100"/>
  <c r="AH100"/>
  <c r="AG100"/>
  <c r="AF100"/>
  <c r="AE100"/>
  <c r="AD100"/>
  <c r="AC100"/>
  <c r="AB100"/>
  <c r="AA100"/>
  <c r="DE99"/>
  <c r="BJ99"/>
  <c r="BV99" s="1"/>
  <c r="BI99"/>
  <c r="BH99"/>
  <c r="BT99" s="1"/>
  <c r="BG99"/>
  <c r="BF99"/>
  <c r="BR99" s="1"/>
  <c r="BE99"/>
  <c r="BD99"/>
  <c r="BP99" s="1"/>
  <c r="BC99"/>
  <c r="BB99"/>
  <c r="BN99" s="1"/>
  <c r="BA99"/>
  <c r="AZ99"/>
  <c r="BL99" s="1"/>
  <c r="AY99"/>
  <c r="BK99" s="1"/>
  <c r="AX99"/>
  <c r="CH99" s="1"/>
  <c r="AW99"/>
  <c r="AV99"/>
  <c r="CF99" s="1"/>
  <c r="AU99"/>
  <c r="AT99"/>
  <c r="CD99" s="1"/>
  <c r="AS99"/>
  <c r="AR99"/>
  <c r="CB99" s="1"/>
  <c r="AQ99"/>
  <c r="AP99"/>
  <c r="BZ99" s="1"/>
  <c r="AO99"/>
  <c r="AN99"/>
  <c r="BX99" s="1"/>
  <c r="AM99"/>
  <c r="AL99"/>
  <c r="AK99"/>
  <c r="AJ99"/>
  <c r="AI99"/>
  <c r="AH99"/>
  <c r="AG99"/>
  <c r="AF99"/>
  <c r="AE99"/>
  <c r="AD99"/>
  <c r="AC99"/>
  <c r="AB99"/>
  <c r="AA99"/>
  <c r="DE98"/>
  <c r="BJ98"/>
  <c r="BV98" s="1"/>
  <c r="BI98"/>
  <c r="BH98"/>
  <c r="BT98" s="1"/>
  <c r="BG98"/>
  <c r="BF98"/>
  <c r="BR98" s="1"/>
  <c r="BE98"/>
  <c r="BD98"/>
  <c r="BP98" s="1"/>
  <c r="BC98"/>
  <c r="BB98"/>
  <c r="BN98" s="1"/>
  <c r="BA98"/>
  <c r="AZ98"/>
  <c r="BL98" s="1"/>
  <c r="AY98"/>
  <c r="BK98" s="1"/>
  <c r="AX98"/>
  <c r="CH98" s="1"/>
  <c r="AW98"/>
  <c r="AV98"/>
  <c r="CF98" s="1"/>
  <c r="AU98"/>
  <c r="AT98"/>
  <c r="CD98" s="1"/>
  <c r="AS98"/>
  <c r="AR98"/>
  <c r="CB98" s="1"/>
  <c r="AQ98"/>
  <c r="AP98"/>
  <c r="BZ98" s="1"/>
  <c r="AO98"/>
  <c r="AN98"/>
  <c r="BX98" s="1"/>
  <c r="AM98"/>
  <c r="AL98"/>
  <c r="AK98"/>
  <c r="AJ98"/>
  <c r="AI98"/>
  <c r="AH98"/>
  <c r="AG98"/>
  <c r="AF98"/>
  <c r="AE98"/>
  <c r="AD98"/>
  <c r="AC98"/>
  <c r="AB98"/>
  <c r="AA98"/>
  <c r="DE97"/>
  <c r="BJ97"/>
  <c r="BV97" s="1"/>
  <c r="BI97"/>
  <c r="BH97"/>
  <c r="BT97" s="1"/>
  <c r="BG97"/>
  <c r="BF97"/>
  <c r="BR97" s="1"/>
  <c r="BE97"/>
  <c r="BD97"/>
  <c r="BP97" s="1"/>
  <c r="BC97"/>
  <c r="BB97"/>
  <c r="BN97" s="1"/>
  <c r="BA97"/>
  <c r="AZ97"/>
  <c r="BL97" s="1"/>
  <c r="AY97"/>
  <c r="BK97" s="1"/>
  <c r="AX97"/>
  <c r="CH97" s="1"/>
  <c r="AW97"/>
  <c r="AV97"/>
  <c r="CF97" s="1"/>
  <c r="AU97"/>
  <c r="AT97"/>
  <c r="CD97" s="1"/>
  <c r="AS97"/>
  <c r="AR97"/>
  <c r="CB97" s="1"/>
  <c r="AQ97"/>
  <c r="AP97"/>
  <c r="BZ97" s="1"/>
  <c r="AO97"/>
  <c r="AN97"/>
  <c r="BX97" s="1"/>
  <c r="AM97"/>
  <c r="AL97"/>
  <c r="AK97"/>
  <c r="AJ97"/>
  <c r="AI97"/>
  <c r="AH97"/>
  <c r="AG97"/>
  <c r="AF97"/>
  <c r="AE97"/>
  <c r="AD97"/>
  <c r="AC97"/>
  <c r="AB97"/>
  <c r="AA97"/>
  <c r="DE96"/>
  <c r="BJ96"/>
  <c r="BV96" s="1"/>
  <c r="BI96"/>
  <c r="BH96"/>
  <c r="BT96" s="1"/>
  <c r="BG96"/>
  <c r="BF96"/>
  <c r="BR96" s="1"/>
  <c r="BE96"/>
  <c r="BD96"/>
  <c r="BP96" s="1"/>
  <c r="BC96"/>
  <c r="BB96"/>
  <c r="BN96" s="1"/>
  <c r="BA96"/>
  <c r="AZ96"/>
  <c r="BL96" s="1"/>
  <c r="AY96"/>
  <c r="BK96" s="1"/>
  <c r="AX96"/>
  <c r="CH96" s="1"/>
  <c r="AW96"/>
  <c r="AV96"/>
  <c r="CF96" s="1"/>
  <c r="AU96"/>
  <c r="AT96"/>
  <c r="CD96" s="1"/>
  <c r="AS96"/>
  <c r="AR96"/>
  <c r="CB96" s="1"/>
  <c r="AQ96"/>
  <c r="AP96"/>
  <c r="BZ96" s="1"/>
  <c r="AO96"/>
  <c r="AN96"/>
  <c r="BX96" s="1"/>
  <c r="AM96"/>
  <c r="AL96"/>
  <c r="AK96"/>
  <c r="AJ96"/>
  <c r="AI96"/>
  <c r="AH96"/>
  <c r="AG96"/>
  <c r="AF96"/>
  <c r="AE96"/>
  <c r="AD96"/>
  <c r="AC96"/>
  <c r="AB96"/>
  <c r="AA96"/>
  <c r="DE95"/>
  <c r="BJ95"/>
  <c r="BV95" s="1"/>
  <c r="BI95"/>
  <c r="BH95"/>
  <c r="BT95" s="1"/>
  <c r="BG95"/>
  <c r="BF95"/>
  <c r="BR95" s="1"/>
  <c r="BE95"/>
  <c r="BD95"/>
  <c r="BP95" s="1"/>
  <c r="BC95"/>
  <c r="BB95"/>
  <c r="BN95" s="1"/>
  <c r="BA95"/>
  <c r="AZ95"/>
  <c r="BL95" s="1"/>
  <c r="AY95"/>
  <c r="BK95" s="1"/>
  <c r="AX95"/>
  <c r="CH95" s="1"/>
  <c r="AW95"/>
  <c r="AV95"/>
  <c r="CF95" s="1"/>
  <c r="AU95"/>
  <c r="AT95"/>
  <c r="CD95" s="1"/>
  <c r="AS95"/>
  <c r="AR95"/>
  <c r="CB95" s="1"/>
  <c r="AQ95"/>
  <c r="AP95"/>
  <c r="BZ95" s="1"/>
  <c r="AO95"/>
  <c r="AN95"/>
  <c r="BX95" s="1"/>
  <c r="AM95"/>
  <c r="AL95"/>
  <c r="AK95"/>
  <c r="AJ95"/>
  <c r="AI95"/>
  <c r="AH95"/>
  <c r="AG95"/>
  <c r="AF95"/>
  <c r="AE95"/>
  <c r="AD95"/>
  <c r="AC95"/>
  <c r="AB95"/>
  <c r="AA95"/>
  <c r="DE94"/>
  <c r="BJ94"/>
  <c r="BV94" s="1"/>
  <c r="BI94"/>
  <c r="BH94"/>
  <c r="BT94" s="1"/>
  <c r="BG94"/>
  <c r="BF94"/>
  <c r="BR94" s="1"/>
  <c r="BE94"/>
  <c r="BD94"/>
  <c r="BP94" s="1"/>
  <c r="BC94"/>
  <c r="BB94"/>
  <c r="BN94" s="1"/>
  <c r="BA94"/>
  <c r="AZ94"/>
  <c r="BL94" s="1"/>
  <c r="AY94"/>
  <c r="BK94" s="1"/>
  <c r="AX94"/>
  <c r="CH94" s="1"/>
  <c r="AW94"/>
  <c r="AV94"/>
  <c r="CF94" s="1"/>
  <c r="AU94"/>
  <c r="AT94"/>
  <c r="CD94" s="1"/>
  <c r="AS94"/>
  <c r="AR94"/>
  <c r="CB94" s="1"/>
  <c r="AQ94"/>
  <c r="AP94"/>
  <c r="BZ94" s="1"/>
  <c r="AO94"/>
  <c r="AN94"/>
  <c r="BX94" s="1"/>
  <c r="AM94"/>
  <c r="AL94"/>
  <c r="AK94"/>
  <c r="AJ94"/>
  <c r="AI94"/>
  <c r="AH94"/>
  <c r="AG94"/>
  <c r="AF94"/>
  <c r="AE94"/>
  <c r="AD94"/>
  <c r="AC94"/>
  <c r="AB94"/>
  <c r="AA94"/>
  <c r="DE93"/>
  <c r="BJ93"/>
  <c r="BV93" s="1"/>
  <c r="BI93"/>
  <c r="BH93"/>
  <c r="BT93" s="1"/>
  <c r="BG93"/>
  <c r="BF93"/>
  <c r="BR93" s="1"/>
  <c r="BE93"/>
  <c r="BD93"/>
  <c r="BP93" s="1"/>
  <c r="BC93"/>
  <c r="BB93"/>
  <c r="BN93" s="1"/>
  <c r="BA93"/>
  <c r="AZ93"/>
  <c r="BL93" s="1"/>
  <c r="AY93"/>
  <c r="BK93" s="1"/>
  <c r="AX93"/>
  <c r="CH93" s="1"/>
  <c r="AW93"/>
  <c r="AV93"/>
  <c r="CF93" s="1"/>
  <c r="AU93"/>
  <c r="AT93"/>
  <c r="CD93" s="1"/>
  <c r="AS93"/>
  <c r="AR93"/>
  <c r="CB93" s="1"/>
  <c r="AQ93"/>
  <c r="AP93"/>
  <c r="BZ93" s="1"/>
  <c r="AO93"/>
  <c r="AN93"/>
  <c r="BX93" s="1"/>
  <c r="AM93"/>
  <c r="AL93"/>
  <c r="AK93"/>
  <c r="AJ93"/>
  <c r="AI93"/>
  <c r="AH93"/>
  <c r="AG93"/>
  <c r="AF93"/>
  <c r="AE93"/>
  <c r="AD93"/>
  <c r="AC93"/>
  <c r="AB93"/>
  <c r="AA93"/>
  <c r="DE92"/>
  <c r="BJ92"/>
  <c r="BV92" s="1"/>
  <c r="BI92"/>
  <c r="BH92"/>
  <c r="BT92" s="1"/>
  <c r="BG92"/>
  <c r="BF92"/>
  <c r="BR92" s="1"/>
  <c r="BE92"/>
  <c r="BD92"/>
  <c r="BP92" s="1"/>
  <c r="BC92"/>
  <c r="BB92"/>
  <c r="BN92" s="1"/>
  <c r="BA92"/>
  <c r="AZ92"/>
  <c r="BL92" s="1"/>
  <c r="AY92"/>
  <c r="BK92" s="1"/>
  <c r="AX92"/>
  <c r="CH92" s="1"/>
  <c r="AW92"/>
  <c r="AV92"/>
  <c r="CF92" s="1"/>
  <c r="AU92"/>
  <c r="AT92"/>
  <c r="CD92" s="1"/>
  <c r="AS92"/>
  <c r="AR92"/>
  <c r="CB92" s="1"/>
  <c r="AQ92"/>
  <c r="AP92"/>
  <c r="BZ92" s="1"/>
  <c r="AO92"/>
  <c r="AN92"/>
  <c r="BX92" s="1"/>
  <c r="AM92"/>
  <c r="AL92"/>
  <c r="AK92"/>
  <c r="AJ92"/>
  <c r="AI92"/>
  <c r="AH92"/>
  <c r="AG92"/>
  <c r="AF92"/>
  <c r="AE92"/>
  <c r="AD92"/>
  <c r="AC92"/>
  <c r="AB92"/>
  <c r="AA92"/>
  <c r="DE91"/>
  <c r="BJ91"/>
  <c r="BV91" s="1"/>
  <c r="BI91"/>
  <c r="BH91"/>
  <c r="BT91" s="1"/>
  <c r="BG91"/>
  <c r="BF91"/>
  <c r="BR91" s="1"/>
  <c r="BE91"/>
  <c r="BD91"/>
  <c r="BP91" s="1"/>
  <c r="BC91"/>
  <c r="BB91"/>
  <c r="BN91" s="1"/>
  <c r="BA91"/>
  <c r="AZ91"/>
  <c r="BL91" s="1"/>
  <c r="AY91"/>
  <c r="BK91" s="1"/>
  <c r="AX91"/>
  <c r="CH91" s="1"/>
  <c r="AW91"/>
  <c r="AV91"/>
  <c r="CF91" s="1"/>
  <c r="AU91"/>
  <c r="AT91"/>
  <c r="CD91" s="1"/>
  <c r="AS91"/>
  <c r="AR91"/>
  <c r="CB91" s="1"/>
  <c r="AQ91"/>
  <c r="AP91"/>
  <c r="BZ91" s="1"/>
  <c r="AO91"/>
  <c r="AN91"/>
  <c r="BX91" s="1"/>
  <c r="AM91"/>
  <c r="AL91"/>
  <c r="AK91"/>
  <c r="AJ91"/>
  <c r="AI91"/>
  <c r="AH91"/>
  <c r="AG91"/>
  <c r="AF91"/>
  <c r="AE91"/>
  <c r="AD91"/>
  <c r="AC91"/>
  <c r="AB91"/>
  <c r="AA91"/>
  <c r="DE90"/>
  <c r="BJ90"/>
  <c r="BV90" s="1"/>
  <c r="BI90"/>
  <c r="BH90"/>
  <c r="BT90" s="1"/>
  <c r="BG90"/>
  <c r="BF90"/>
  <c r="BR90" s="1"/>
  <c r="BE90"/>
  <c r="BD90"/>
  <c r="BP90" s="1"/>
  <c r="BC90"/>
  <c r="BB90"/>
  <c r="BN90" s="1"/>
  <c r="BA90"/>
  <c r="AZ90"/>
  <c r="BL90" s="1"/>
  <c r="AY90"/>
  <c r="BK90" s="1"/>
  <c r="AX90"/>
  <c r="CH90" s="1"/>
  <c r="AW90"/>
  <c r="AV90"/>
  <c r="CF90" s="1"/>
  <c r="AU90"/>
  <c r="AT90"/>
  <c r="CD90" s="1"/>
  <c r="AS90"/>
  <c r="AR90"/>
  <c r="CB90" s="1"/>
  <c r="AQ90"/>
  <c r="AP90"/>
  <c r="BZ90" s="1"/>
  <c r="AO90"/>
  <c r="AN90"/>
  <c r="BX90" s="1"/>
  <c r="AM90"/>
  <c r="AL90"/>
  <c r="AK90"/>
  <c r="AJ90"/>
  <c r="AI90"/>
  <c r="AH90"/>
  <c r="AG90"/>
  <c r="AF90"/>
  <c r="AE90"/>
  <c r="AD90"/>
  <c r="AC90"/>
  <c r="AB90"/>
  <c r="AA90"/>
  <c r="DE89"/>
  <c r="BJ89"/>
  <c r="BV89" s="1"/>
  <c r="BI89"/>
  <c r="BH89"/>
  <c r="BT89" s="1"/>
  <c r="BG89"/>
  <c r="BF89"/>
  <c r="BR89" s="1"/>
  <c r="BE89"/>
  <c r="BD89"/>
  <c r="BP89" s="1"/>
  <c r="BC89"/>
  <c r="BB89"/>
  <c r="BN89" s="1"/>
  <c r="BA89"/>
  <c r="AZ89"/>
  <c r="BL89" s="1"/>
  <c r="AY89"/>
  <c r="BK89" s="1"/>
  <c r="AX89"/>
  <c r="CH89" s="1"/>
  <c r="AW89"/>
  <c r="AV89"/>
  <c r="CF89" s="1"/>
  <c r="AU89"/>
  <c r="AT89"/>
  <c r="CD89" s="1"/>
  <c r="AS89"/>
  <c r="AR89"/>
  <c r="CB89" s="1"/>
  <c r="AQ89"/>
  <c r="AP89"/>
  <c r="BZ89" s="1"/>
  <c r="AO89"/>
  <c r="AN89"/>
  <c r="BX89" s="1"/>
  <c r="AM89"/>
  <c r="AL89"/>
  <c r="AK89"/>
  <c r="AJ89"/>
  <c r="AI89"/>
  <c r="AH89"/>
  <c r="AG89"/>
  <c r="AF89"/>
  <c r="AE89"/>
  <c r="AD89"/>
  <c r="AC89"/>
  <c r="AB89"/>
  <c r="AA89"/>
  <c r="DE88"/>
  <c r="BJ88"/>
  <c r="BV88" s="1"/>
  <c r="BI88"/>
  <c r="BH88"/>
  <c r="BT88" s="1"/>
  <c r="BG88"/>
  <c r="BF88"/>
  <c r="BR88" s="1"/>
  <c r="BE88"/>
  <c r="BD88"/>
  <c r="BP88" s="1"/>
  <c r="BC88"/>
  <c r="BB88"/>
  <c r="BN88" s="1"/>
  <c r="BA88"/>
  <c r="AZ88"/>
  <c r="BL88" s="1"/>
  <c r="AY88"/>
  <c r="BK88" s="1"/>
  <c r="AX88"/>
  <c r="CH88" s="1"/>
  <c r="AW88"/>
  <c r="AV88"/>
  <c r="CF88" s="1"/>
  <c r="AU88"/>
  <c r="AT88"/>
  <c r="CD88" s="1"/>
  <c r="AS88"/>
  <c r="AR88"/>
  <c r="CB88" s="1"/>
  <c r="AQ88"/>
  <c r="AP88"/>
  <c r="BZ88" s="1"/>
  <c r="AO88"/>
  <c r="AN88"/>
  <c r="BX88" s="1"/>
  <c r="AM88"/>
  <c r="AL88"/>
  <c r="AK88"/>
  <c r="AJ88"/>
  <c r="AI88"/>
  <c r="AH88"/>
  <c r="AG88"/>
  <c r="AF88"/>
  <c r="AE88"/>
  <c r="AD88"/>
  <c r="AC88"/>
  <c r="AB88"/>
  <c r="AA88"/>
  <c r="DE87"/>
  <c r="BJ87"/>
  <c r="BV87" s="1"/>
  <c r="BI87"/>
  <c r="BH87"/>
  <c r="BT87" s="1"/>
  <c r="BG87"/>
  <c r="BF87"/>
  <c r="BR87" s="1"/>
  <c r="BE87"/>
  <c r="BD87"/>
  <c r="BP87" s="1"/>
  <c r="BC87"/>
  <c r="BB87"/>
  <c r="BN87" s="1"/>
  <c r="BA87"/>
  <c r="AZ87"/>
  <c r="BL87" s="1"/>
  <c r="AY87"/>
  <c r="BK87" s="1"/>
  <c r="AX87"/>
  <c r="CH87" s="1"/>
  <c r="AW87"/>
  <c r="AV87"/>
  <c r="CF87" s="1"/>
  <c r="AU87"/>
  <c r="AT87"/>
  <c r="CD87" s="1"/>
  <c r="AS87"/>
  <c r="AR87"/>
  <c r="CB87" s="1"/>
  <c r="AQ87"/>
  <c r="AP87"/>
  <c r="BZ87" s="1"/>
  <c r="AO87"/>
  <c r="AN87"/>
  <c r="BX87" s="1"/>
  <c r="AM87"/>
  <c r="AL87"/>
  <c r="AK87"/>
  <c r="AJ87"/>
  <c r="AI87"/>
  <c r="AH87"/>
  <c r="AG87"/>
  <c r="AF87"/>
  <c r="AE87"/>
  <c r="AD87"/>
  <c r="AC87"/>
  <c r="AB87"/>
  <c r="AA87"/>
  <c r="DE86"/>
  <c r="BJ86"/>
  <c r="BV86" s="1"/>
  <c r="BI86"/>
  <c r="BH86"/>
  <c r="BT86" s="1"/>
  <c r="BG86"/>
  <c r="BF86"/>
  <c r="BR86" s="1"/>
  <c r="BE86"/>
  <c r="BD86"/>
  <c r="BP86" s="1"/>
  <c r="BC86"/>
  <c r="BB86"/>
  <c r="BN86" s="1"/>
  <c r="BA86"/>
  <c r="AZ86"/>
  <c r="BL86" s="1"/>
  <c r="AY86"/>
  <c r="BK86" s="1"/>
  <c r="AX86"/>
  <c r="CH86" s="1"/>
  <c r="AW86"/>
  <c r="AV86"/>
  <c r="CF86" s="1"/>
  <c r="AU86"/>
  <c r="AT86"/>
  <c r="CD86" s="1"/>
  <c r="AS86"/>
  <c r="AR86"/>
  <c r="CB86" s="1"/>
  <c r="AQ86"/>
  <c r="AP86"/>
  <c r="BZ86" s="1"/>
  <c r="AO86"/>
  <c r="AN86"/>
  <c r="BX86" s="1"/>
  <c r="AM86"/>
  <c r="AL86"/>
  <c r="AK86"/>
  <c r="AJ86"/>
  <c r="AI86"/>
  <c r="AH86"/>
  <c r="AG86"/>
  <c r="AF86"/>
  <c r="AE86"/>
  <c r="AD86"/>
  <c r="AC86"/>
  <c r="AB86"/>
  <c r="AA86"/>
  <c r="DE85"/>
  <c r="BJ85"/>
  <c r="BV85" s="1"/>
  <c r="BI85"/>
  <c r="BH85"/>
  <c r="BT85" s="1"/>
  <c r="BG85"/>
  <c r="BF85"/>
  <c r="BR85" s="1"/>
  <c r="BE85"/>
  <c r="BD85"/>
  <c r="BP85" s="1"/>
  <c r="BC85"/>
  <c r="BB85"/>
  <c r="BN85" s="1"/>
  <c r="BA85"/>
  <c r="AZ85"/>
  <c r="BL85" s="1"/>
  <c r="AY85"/>
  <c r="BK85" s="1"/>
  <c r="AX85"/>
  <c r="CH85" s="1"/>
  <c r="AW85"/>
  <c r="AV85"/>
  <c r="CF85" s="1"/>
  <c r="AU85"/>
  <c r="AT85"/>
  <c r="CD85" s="1"/>
  <c r="AS85"/>
  <c r="AR85"/>
  <c r="CB85" s="1"/>
  <c r="AQ85"/>
  <c r="AP85"/>
  <c r="BZ85" s="1"/>
  <c r="AO85"/>
  <c r="AN85"/>
  <c r="BX85" s="1"/>
  <c r="AM85"/>
  <c r="AL85"/>
  <c r="AK85"/>
  <c r="AJ85"/>
  <c r="AI85"/>
  <c r="AH85"/>
  <c r="AG85"/>
  <c r="AF85"/>
  <c r="AE85"/>
  <c r="AD85"/>
  <c r="AC85"/>
  <c r="AB85"/>
  <c r="AA85"/>
  <c r="DE84"/>
  <c r="BJ84"/>
  <c r="BV84" s="1"/>
  <c r="BI84"/>
  <c r="BH84"/>
  <c r="BT84" s="1"/>
  <c r="BG84"/>
  <c r="BF84"/>
  <c r="BR84" s="1"/>
  <c r="BE84"/>
  <c r="BD84"/>
  <c r="BP84" s="1"/>
  <c r="BC84"/>
  <c r="BB84"/>
  <c r="BN84" s="1"/>
  <c r="BA84"/>
  <c r="AZ84"/>
  <c r="BL84" s="1"/>
  <c r="AY84"/>
  <c r="BK84" s="1"/>
  <c r="AX84"/>
  <c r="CH84" s="1"/>
  <c r="AW84"/>
  <c r="AV84"/>
  <c r="CF84" s="1"/>
  <c r="AU84"/>
  <c r="AT84"/>
  <c r="CD84" s="1"/>
  <c r="AS84"/>
  <c r="AR84"/>
  <c r="CB84" s="1"/>
  <c r="AQ84"/>
  <c r="AP84"/>
  <c r="BZ84" s="1"/>
  <c r="AO84"/>
  <c r="AN84"/>
  <c r="BX84" s="1"/>
  <c r="AM84"/>
  <c r="AL84"/>
  <c r="AK84"/>
  <c r="AJ84"/>
  <c r="AI84"/>
  <c r="AH84"/>
  <c r="AG84"/>
  <c r="AF84"/>
  <c r="AE84"/>
  <c r="AD84"/>
  <c r="AC84"/>
  <c r="AB84"/>
  <c r="AA84"/>
  <c r="DE83"/>
  <c r="BJ83"/>
  <c r="BV83" s="1"/>
  <c r="BI83"/>
  <c r="BH83"/>
  <c r="BT83" s="1"/>
  <c r="BG83"/>
  <c r="BF83"/>
  <c r="BR83" s="1"/>
  <c r="BE83"/>
  <c r="BD83"/>
  <c r="BP83" s="1"/>
  <c r="BC83"/>
  <c r="BB83"/>
  <c r="BN83" s="1"/>
  <c r="BA83"/>
  <c r="AZ83"/>
  <c r="BL83" s="1"/>
  <c r="AY83"/>
  <c r="BK83" s="1"/>
  <c r="AX83"/>
  <c r="CH83" s="1"/>
  <c r="AW83"/>
  <c r="AV83"/>
  <c r="CF83" s="1"/>
  <c r="AU83"/>
  <c r="AT83"/>
  <c r="CD83" s="1"/>
  <c r="AS83"/>
  <c r="AR83"/>
  <c r="CB83" s="1"/>
  <c r="AQ83"/>
  <c r="AP83"/>
  <c r="BZ83" s="1"/>
  <c r="AO83"/>
  <c r="AN83"/>
  <c r="BX83" s="1"/>
  <c r="AM83"/>
  <c r="AL83"/>
  <c r="AK83"/>
  <c r="AJ83"/>
  <c r="AI83"/>
  <c r="AH83"/>
  <c r="AG83"/>
  <c r="AF83"/>
  <c r="AE83"/>
  <c r="AD83"/>
  <c r="AC83"/>
  <c r="AB83"/>
  <c r="AA83"/>
  <c r="DE82"/>
  <c r="BJ82"/>
  <c r="BV82" s="1"/>
  <c r="BI82"/>
  <c r="BH82"/>
  <c r="BT82" s="1"/>
  <c r="BG82"/>
  <c r="BF82"/>
  <c r="BR82" s="1"/>
  <c r="BE82"/>
  <c r="BD82"/>
  <c r="BP82" s="1"/>
  <c r="BC82"/>
  <c r="BB82"/>
  <c r="BN82" s="1"/>
  <c r="BA82"/>
  <c r="AZ82"/>
  <c r="BL82" s="1"/>
  <c r="AY82"/>
  <c r="BK82" s="1"/>
  <c r="AX82"/>
  <c r="CH82" s="1"/>
  <c r="AW82"/>
  <c r="AV82"/>
  <c r="CF82" s="1"/>
  <c r="AU82"/>
  <c r="AT82"/>
  <c r="CD82" s="1"/>
  <c r="AS82"/>
  <c r="AR82"/>
  <c r="CB82" s="1"/>
  <c r="AQ82"/>
  <c r="AP82"/>
  <c r="BZ82" s="1"/>
  <c r="AO82"/>
  <c r="AN82"/>
  <c r="BX82" s="1"/>
  <c r="AM82"/>
  <c r="AL82"/>
  <c r="AK82"/>
  <c r="AJ82"/>
  <c r="AI82"/>
  <c r="AH82"/>
  <c r="AG82"/>
  <c r="AF82"/>
  <c r="AE82"/>
  <c r="AD82"/>
  <c r="AC82"/>
  <c r="AB82"/>
  <c r="AA82"/>
  <c r="DE81"/>
  <c r="BJ81"/>
  <c r="BV81" s="1"/>
  <c r="BI81"/>
  <c r="BH81"/>
  <c r="BT81" s="1"/>
  <c r="BG81"/>
  <c r="BF81"/>
  <c r="BR81" s="1"/>
  <c r="BE81"/>
  <c r="BD81"/>
  <c r="BP81" s="1"/>
  <c r="BC81"/>
  <c r="BB81"/>
  <c r="BN81" s="1"/>
  <c r="BA81"/>
  <c r="AZ81"/>
  <c r="BL81" s="1"/>
  <c r="AY81"/>
  <c r="BK81" s="1"/>
  <c r="AX81"/>
  <c r="CH81" s="1"/>
  <c r="AW81"/>
  <c r="AV81"/>
  <c r="CF81" s="1"/>
  <c r="AU81"/>
  <c r="AT81"/>
  <c r="CD81" s="1"/>
  <c r="AS81"/>
  <c r="AR81"/>
  <c r="CB81" s="1"/>
  <c r="AQ81"/>
  <c r="AP81"/>
  <c r="BZ81" s="1"/>
  <c r="AO81"/>
  <c r="AN81"/>
  <c r="BX81" s="1"/>
  <c r="AM81"/>
  <c r="AL81"/>
  <c r="AK81"/>
  <c r="AJ81"/>
  <c r="AI81"/>
  <c r="AH81"/>
  <c r="AG81"/>
  <c r="AF81"/>
  <c r="AE81"/>
  <c r="AD81"/>
  <c r="AC81"/>
  <c r="AB81"/>
  <c r="AA81"/>
  <c r="DE80"/>
  <c r="BJ80"/>
  <c r="BV80" s="1"/>
  <c r="BI80"/>
  <c r="BH80"/>
  <c r="BT80" s="1"/>
  <c r="BG80"/>
  <c r="BF80"/>
  <c r="BR80" s="1"/>
  <c r="BE80"/>
  <c r="BD80"/>
  <c r="BP80" s="1"/>
  <c r="BC80"/>
  <c r="BB80"/>
  <c r="BN80" s="1"/>
  <c r="BA80"/>
  <c r="AZ80"/>
  <c r="BL80" s="1"/>
  <c r="AY80"/>
  <c r="BK80" s="1"/>
  <c r="AX80"/>
  <c r="CH80" s="1"/>
  <c r="AW80"/>
  <c r="AV80"/>
  <c r="CF80" s="1"/>
  <c r="AU80"/>
  <c r="AT80"/>
  <c r="CD80" s="1"/>
  <c r="AS80"/>
  <c r="AR80"/>
  <c r="CB80" s="1"/>
  <c r="AQ80"/>
  <c r="AP80"/>
  <c r="BZ80" s="1"/>
  <c r="AO80"/>
  <c r="AN80"/>
  <c r="BX80" s="1"/>
  <c r="AM80"/>
  <c r="AL80"/>
  <c r="AK80"/>
  <c r="AJ80"/>
  <c r="AI80"/>
  <c r="AH80"/>
  <c r="AG80"/>
  <c r="AF80"/>
  <c r="AE80"/>
  <c r="AD80"/>
  <c r="AC80"/>
  <c r="AB80"/>
  <c r="AA80"/>
  <c r="DE79"/>
  <c r="BJ79"/>
  <c r="BV79" s="1"/>
  <c r="BI79"/>
  <c r="BH79"/>
  <c r="BT79" s="1"/>
  <c r="BG79"/>
  <c r="BF79"/>
  <c r="BR79" s="1"/>
  <c r="BE79"/>
  <c r="BD79"/>
  <c r="BP79" s="1"/>
  <c r="BC79"/>
  <c r="BB79"/>
  <c r="BN79" s="1"/>
  <c r="BA79"/>
  <c r="AZ79"/>
  <c r="BL79" s="1"/>
  <c r="AY79"/>
  <c r="BK79" s="1"/>
  <c r="AX79"/>
  <c r="CH79" s="1"/>
  <c r="AW79"/>
  <c r="AV79"/>
  <c r="CF79" s="1"/>
  <c r="AU79"/>
  <c r="AT79"/>
  <c r="CD79" s="1"/>
  <c r="AS79"/>
  <c r="AR79"/>
  <c r="CB79" s="1"/>
  <c r="AQ79"/>
  <c r="AP79"/>
  <c r="BZ79" s="1"/>
  <c r="AO79"/>
  <c r="AN79"/>
  <c r="BX79" s="1"/>
  <c r="AM79"/>
  <c r="AL79"/>
  <c r="AK79"/>
  <c r="AJ79"/>
  <c r="AI79"/>
  <c r="AH79"/>
  <c r="AG79"/>
  <c r="AF79"/>
  <c r="AE79"/>
  <c r="AD79"/>
  <c r="AC79"/>
  <c r="AB79"/>
  <c r="AA79"/>
  <c r="DE78"/>
  <c r="BJ78"/>
  <c r="BV78" s="1"/>
  <c r="BI78"/>
  <c r="BH78"/>
  <c r="BT78" s="1"/>
  <c r="BG78"/>
  <c r="BF78"/>
  <c r="BR78" s="1"/>
  <c r="BE78"/>
  <c r="BD78"/>
  <c r="BP78" s="1"/>
  <c r="BC78"/>
  <c r="BB78"/>
  <c r="BN78" s="1"/>
  <c r="BA78"/>
  <c r="AZ78"/>
  <c r="BL78" s="1"/>
  <c r="AY78"/>
  <c r="BK78" s="1"/>
  <c r="AX78"/>
  <c r="CH78" s="1"/>
  <c r="AW78"/>
  <c r="AV78"/>
  <c r="CF78" s="1"/>
  <c r="AU78"/>
  <c r="AT78"/>
  <c r="CD78" s="1"/>
  <c r="AS78"/>
  <c r="AR78"/>
  <c r="CB78" s="1"/>
  <c r="AQ78"/>
  <c r="AP78"/>
  <c r="BZ78" s="1"/>
  <c r="AO78"/>
  <c r="AN78"/>
  <c r="BX78" s="1"/>
  <c r="AM78"/>
  <c r="AL78"/>
  <c r="AK78"/>
  <c r="AJ78"/>
  <c r="AI78"/>
  <c r="AH78"/>
  <c r="AG78"/>
  <c r="AF78"/>
  <c r="AE78"/>
  <c r="AD78"/>
  <c r="AC78"/>
  <c r="AB78"/>
  <c r="AA78"/>
  <c r="DE77"/>
  <c r="BJ77"/>
  <c r="BV77" s="1"/>
  <c r="BI77"/>
  <c r="BH77"/>
  <c r="BT77" s="1"/>
  <c r="BG77"/>
  <c r="BF77"/>
  <c r="BR77" s="1"/>
  <c r="BE77"/>
  <c r="BD77"/>
  <c r="BP77" s="1"/>
  <c r="BC77"/>
  <c r="BB77"/>
  <c r="BN77" s="1"/>
  <c r="BA77"/>
  <c r="AZ77"/>
  <c r="BL77" s="1"/>
  <c r="AY77"/>
  <c r="BK77" s="1"/>
  <c r="AX77"/>
  <c r="CH77" s="1"/>
  <c r="AW77"/>
  <c r="AV77"/>
  <c r="CF77" s="1"/>
  <c r="AU77"/>
  <c r="AT77"/>
  <c r="CD77" s="1"/>
  <c r="AS77"/>
  <c r="AR77"/>
  <c r="CB77" s="1"/>
  <c r="AQ77"/>
  <c r="AP77"/>
  <c r="BZ77" s="1"/>
  <c r="AO77"/>
  <c r="AN77"/>
  <c r="BX77" s="1"/>
  <c r="AM77"/>
  <c r="AL77"/>
  <c r="AK77"/>
  <c r="AJ77"/>
  <c r="AI77"/>
  <c r="AH77"/>
  <c r="AG77"/>
  <c r="AF77"/>
  <c r="AE77"/>
  <c r="AD77"/>
  <c r="AC77"/>
  <c r="AB77"/>
  <c r="AA77"/>
  <c r="DE76"/>
  <c r="BJ76"/>
  <c r="BV76" s="1"/>
  <c r="BI76"/>
  <c r="BH76"/>
  <c r="BT76" s="1"/>
  <c r="BG76"/>
  <c r="BF76"/>
  <c r="BR76" s="1"/>
  <c r="BE76"/>
  <c r="BD76"/>
  <c r="BP76" s="1"/>
  <c r="BC76"/>
  <c r="BB76"/>
  <c r="BN76" s="1"/>
  <c r="BA76"/>
  <c r="AZ76"/>
  <c r="BL76" s="1"/>
  <c r="AY76"/>
  <c r="BK76" s="1"/>
  <c r="AX76"/>
  <c r="CH76" s="1"/>
  <c r="AW76"/>
  <c r="AV76"/>
  <c r="CF76" s="1"/>
  <c r="AU76"/>
  <c r="AT76"/>
  <c r="CD76" s="1"/>
  <c r="AS76"/>
  <c r="AR76"/>
  <c r="CB76" s="1"/>
  <c r="AQ76"/>
  <c r="AP76"/>
  <c r="BZ76" s="1"/>
  <c r="AO76"/>
  <c r="AN76"/>
  <c r="BX76" s="1"/>
  <c r="AM76"/>
  <c r="AL76"/>
  <c r="AK76"/>
  <c r="AJ76"/>
  <c r="AI76"/>
  <c r="AH76"/>
  <c r="AG76"/>
  <c r="AF76"/>
  <c r="AE76"/>
  <c r="AD76"/>
  <c r="AC76"/>
  <c r="AB76"/>
  <c r="AA76"/>
  <c r="DE75"/>
  <c r="BJ75"/>
  <c r="BV75" s="1"/>
  <c r="BI75"/>
  <c r="BH75"/>
  <c r="BT75" s="1"/>
  <c r="BG75"/>
  <c r="BF75"/>
  <c r="BR75" s="1"/>
  <c r="BE75"/>
  <c r="BD75"/>
  <c r="BP75" s="1"/>
  <c r="BC75"/>
  <c r="BB75"/>
  <c r="BN75" s="1"/>
  <c r="BA75"/>
  <c r="AZ75"/>
  <c r="BL75" s="1"/>
  <c r="AY75"/>
  <c r="BK75" s="1"/>
  <c r="AX75"/>
  <c r="CH75" s="1"/>
  <c r="AW75"/>
  <c r="AV75"/>
  <c r="CF75" s="1"/>
  <c r="AU75"/>
  <c r="AT75"/>
  <c r="CD75" s="1"/>
  <c r="AS75"/>
  <c r="AR75"/>
  <c r="CB75" s="1"/>
  <c r="AQ75"/>
  <c r="AP75"/>
  <c r="BZ75" s="1"/>
  <c r="AO75"/>
  <c r="AN75"/>
  <c r="BX75" s="1"/>
  <c r="AM75"/>
  <c r="AL75"/>
  <c r="AK75"/>
  <c r="AJ75"/>
  <c r="AI75"/>
  <c r="AH75"/>
  <c r="AG75"/>
  <c r="AF75"/>
  <c r="AE75"/>
  <c r="AD75"/>
  <c r="AC75"/>
  <c r="AB75"/>
  <c r="AA75"/>
  <c r="DE74"/>
  <c r="BJ74"/>
  <c r="BV74" s="1"/>
  <c r="BI74"/>
  <c r="BH74"/>
  <c r="BT74" s="1"/>
  <c r="BG74"/>
  <c r="BF74"/>
  <c r="BR74" s="1"/>
  <c r="BE74"/>
  <c r="BD74"/>
  <c r="BP74" s="1"/>
  <c r="BC74"/>
  <c r="BB74"/>
  <c r="BN74" s="1"/>
  <c r="BA74"/>
  <c r="AZ74"/>
  <c r="BL74" s="1"/>
  <c r="AY74"/>
  <c r="BK74" s="1"/>
  <c r="AX74"/>
  <c r="CH74" s="1"/>
  <c r="AW74"/>
  <c r="AV74"/>
  <c r="CF74" s="1"/>
  <c r="AU74"/>
  <c r="AT74"/>
  <c r="CD74" s="1"/>
  <c r="AS74"/>
  <c r="AR74"/>
  <c r="CB74" s="1"/>
  <c r="AQ74"/>
  <c r="AP74"/>
  <c r="BZ74" s="1"/>
  <c r="AO74"/>
  <c r="AN74"/>
  <c r="BX74" s="1"/>
  <c r="AM74"/>
  <c r="AL74"/>
  <c r="AK74"/>
  <c r="AJ74"/>
  <c r="AI74"/>
  <c r="AH74"/>
  <c r="AG74"/>
  <c r="AF74"/>
  <c r="AE74"/>
  <c r="AD74"/>
  <c r="AC74"/>
  <c r="AB74"/>
  <c r="AA74"/>
  <c r="DE73"/>
  <c r="BJ73"/>
  <c r="BV73" s="1"/>
  <c r="BI73"/>
  <c r="BH73"/>
  <c r="BT73" s="1"/>
  <c r="BG73"/>
  <c r="BF73"/>
  <c r="BR73" s="1"/>
  <c r="BE73"/>
  <c r="BD73"/>
  <c r="BP73" s="1"/>
  <c r="BC73"/>
  <c r="BB73"/>
  <c r="BN73" s="1"/>
  <c r="BA73"/>
  <c r="AZ73"/>
  <c r="BL73" s="1"/>
  <c r="AY73"/>
  <c r="BK73" s="1"/>
  <c r="AX73"/>
  <c r="CH73" s="1"/>
  <c r="AW73"/>
  <c r="AV73"/>
  <c r="CF73" s="1"/>
  <c r="AU73"/>
  <c r="AT73"/>
  <c r="CD73" s="1"/>
  <c r="AS73"/>
  <c r="AR73"/>
  <c r="CB73" s="1"/>
  <c r="AQ73"/>
  <c r="AP73"/>
  <c r="BZ73" s="1"/>
  <c r="AO73"/>
  <c r="AN73"/>
  <c r="BX73" s="1"/>
  <c r="AM73"/>
  <c r="AL73"/>
  <c r="AK73"/>
  <c r="AJ73"/>
  <c r="AI73"/>
  <c r="AH73"/>
  <c r="AG73"/>
  <c r="AF73"/>
  <c r="AE73"/>
  <c r="AD73"/>
  <c r="AC73"/>
  <c r="AB73"/>
  <c r="AA73"/>
  <c r="DE72"/>
  <c r="BJ72"/>
  <c r="BV72" s="1"/>
  <c r="BI72"/>
  <c r="BH72"/>
  <c r="BT72" s="1"/>
  <c r="BG72"/>
  <c r="BF72"/>
  <c r="BR72" s="1"/>
  <c r="BE72"/>
  <c r="BD72"/>
  <c r="BP72" s="1"/>
  <c r="BC72"/>
  <c r="BB72"/>
  <c r="BN72" s="1"/>
  <c r="BA72"/>
  <c r="AZ72"/>
  <c r="BL72" s="1"/>
  <c r="AY72"/>
  <c r="BK72" s="1"/>
  <c r="AX72"/>
  <c r="CH72" s="1"/>
  <c r="AW72"/>
  <c r="AV72"/>
  <c r="CF72" s="1"/>
  <c r="AU72"/>
  <c r="AT72"/>
  <c r="CD72" s="1"/>
  <c r="AS72"/>
  <c r="AR72"/>
  <c r="CB72" s="1"/>
  <c r="AQ72"/>
  <c r="AP72"/>
  <c r="BZ72" s="1"/>
  <c r="AO72"/>
  <c r="AN72"/>
  <c r="BX72" s="1"/>
  <c r="AM72"/>
  <c r="AL72"/>
  <c r="AK72"/>
  <c r="AJ72"/>
  <c r="AI72"/>
  <c r="AH72"/>
  <c r="AG72"/>
  <c r="AF72"/>
  <c r="AE72"/>
  <c r="AD72"/>
  <c r="AC72"/>
  <c r="AB72"/>
  <c r="AA72"/>
  <c r="DE71"/>
  <c r="BJ71"/>
  <c r="BV71" s="1"/>
  <c r="BI71"/>
  <c r="BH71"/>
  <c r="BT71" s="1"/>
  <c r="BG71"/>
  <c r="BF71"/>
  <c r="BR71" s="1"/>
  <c r="BE71"/>
  <c r="BD71"/>
  <c r="BP71" s="1"/>
  <c r="BC71"/>
  <c r="BB71"/>
  <c r="BN71" s="1"/>
  <c r="BA71"/>
  <c r="AZ71"/>
  <c r="BL71" s="1"/>
  <c r="AY71"/>
  <c r="BK71" s="1"/>
  <c r="AX71"/>
  <c r="CH71" s="1"/>
  <c r="AW71"/>
  <c r="AV71"/>
  <c r="CF71" s="1"/>
  <c r="AU71"/>
  <c r="AT71"/>
  <c r="CD71" s="1"/>
  <c r="AS71"/>
  <c r="AR71"/>
  <c r="CB71" s="1"/>
  <c r="AQ71"/>
  <c r="AP71"/>
  <c r="BZ71" s="1"/>
  <c r="AO71"/>
  <c r="AN71"/>
  <c r="BX71" s="1"/>
  <c r="AM71"/>
  <c r="AL71"/>
  <c r="AK71"/>
  <c r="AJ71"/>
  <c r="AI71"/>
  <c r="AH71"/>
  <c r="AG71"/>
  <c r="AF71"/>
  <c r="AE71"/>
  <c r="AD71"/>
  <c r="AC71"/>
  <c r="AB71"/>
  <c r="AA71"/>
  <c r="DE70"/>
  <c r="BJ70"/>
  <c r="BV70" s="1"/>
  <c r="BI70"/>
  <c r="BH70"/>
  <c r="BT70" s="1"/>
  <c r="BG70"/>
  <c r="BF70"/>
  <c r="BR70" s="1"/>
  <c r="BE70"/>
  <c r="BD70"/>
  <c r="BP70" s="1"/>
  <c r="BC70"/>
  <c r="BB70"/>
  <c r="BN70" s="1"/>
  <c r="BA70"/>
  <c r="AZ70"/>
  <c r="BL70" s="1"/>
  <c r="AY70"/>
  <c r="BK70" s="1"/>
  <c r="AX70"/>
  <c r="CH70" s="1"/>
  <c r="AW70"/>
  <c r="AV70"/>
  <c r="CF70" s="1"/>
  <c r="AU70"/>
  <c r="AT70"/>
  <c r="CD70" s="1"/>
  <c r="AS70"/>
  <c r="AR70"/>
  <c r="CB70" s="1"/>
  <c r="AQ70"/>
  <c r="AP70"/>
  <c r="BZ70" s="1"/>
  <c r="AO70"/>
  <c r="AN70"/>
  <c r="BX70" s="1"/>
  <c r="AM70"/>
  <c r="AL70"/>
  <c r="AK70"/>
  <c r="AJ70"/>
  <c r="AI70"/>
  <c r="AH70"/>
  <c r="AG70"/>
  <c r="AF70"/>
  <c r="AE70"/>
  <c r="AD70"/>
  <c r="AC70"/>
  <c r="AB70"/>
  <c r="AA70"/>
  <c r="DE69"/>
  <c r="BJ69"/>
  <c r="BV69" s="1"/>
  <c r="BI69"/>
  <c r="BH69"/>
  <c r="BT69" s="1"/>
  <c r="BG69"/>
  <c r="BF69"/>
  <c r="BR69" s="1"/>
  <c r="BE69"/>
  <c r="BD69"/>
  <c r="BP69" s="1"/>
  <c r="BC69"/>
  <c r="BB69"/>
  <c r="BN69" s="1"/>
  <c r="BA69"/>
  <c r="AZ69"/>
  <c r="BL69" s="1"/>
  <c r="AY69"/>
  <c r="BK69" s="1"/>
  <c r="AX69"/>
  <c r="CH69" s="1"/>
  <c r="AW69"/>
  <c r="AV69"/>
  <c r="CF69" s="1"/>
  <c r="AU69"/>
  <c r="AT69"/>
  <c r="CD69" s="1"/>
  <c r="AS69"/>
  <c r="AR69"/>
  <c r="CB69" s="1"/>
  <c r="AQ69"/>
  <c r="AP69"/>
  <c r="BZ69" s="1"/>
  <c r="AO69"/>
  <c r="AN69"/>
  <c r="BX69" s="1"/>
  <c r="AM69"/>
  <c r="AL69"/>
  <c r="AK69"/>
  <c r="AJ69"/>
  <c r="AI69"/>
  <c r="AH69"/>
  <c r="AG69"/>
  <c r="AF69"/>
  <c r="AE69"/>
  <c r="AD69"/>
  <c r="AC69"/>
  <c r="AB69"/>
  <c r="AA69"/>
  <c r="DE68"/>
  <c r="BJ68"/>
  <c r="BV68" s="1"/>
  <c r="BI68"/>
  <c r="BH68"/>
  <c r="BT68" s="1"/>
  <c r="BG68"/>
  <c r="BF68"/>
  <c r="BR68" s="1"/>
  <c r="BE68"/>
  <c r="BD68"/>
  <c r="BP68" s="1"/>
  <c r="BC68"/>
  <c r="BB68"/>
  <c r="BN68" s="1"/>
  <c r="BA68"/>
  <c r="AZ68"/>
  <c r="BL68" s="1"/>
  <c r="AY68"/>
  <c r="BK68" s="1"/>
  <c r="AX68"/>
  <c r="CH68" s="1"/>
  <c r="AW68"/>
  <c r="AV68"/>
  <c r="CF68" s="1"/>
  <c r="AU68"/>
  <c r="AT68"/>
  <c r="CD68" s="1"/>
  <c r="AS68"/>
  <c r="AR68"/>
  <c r="CB68" s="1"/>
  <c r="AQ68"/>
  <c r="AP68"/>
  <c r="BZ68" s="1"/>
  <c r="AO68"/>
  <c r="AN68"/>
  <c r="BX68" s="1"/>
  <c r="AM68"/>
  <c r="AL68"/>
  <c r="AK68"/>
  <c r="AJ68"/>
  <c r="AI68"/>
  <c r="AH68"/>
  <c r="AG68"/>
  <c r="AF68"/>
  <c r="AE68"/>
  <c r="AD68"/>
  <c r="AC68"/>
  <c r="AB68"/>
  <c r="AA68"/>
  <c r="DE67"/>
  <c r="BJ67"/>
  <c r="BV67" s="1"/>
  <c r="BI67"/>
  <c r="BH67"/>
  <c r="BT67" s="1"/>
  <c r="BG67"/>
  <c r="BF67"/>
  <c r="BR67" s="1"/>
  <c r="BE67"/>
  <c r="BD67"/>
  <c r="BP67" s="1"/>
  <c r="BC67"/>
  <c r="BB67"/>
  <c r="BN67" s="1"/>
  <c r="BA67"/>
  <c r="AZ67"/>
  <c r="BL67" s="1"/>
  <c r="AY67"/>
  <c r="BK67" s="1"/>
  <c r="AX67"/>
  <c r="CH67" s="1"/>
  <c r="AW67"/>
  <c r="AV67"/>
  <c r="CF67" s="1"/>
  <c r="AU67"/>
  <c r="AT67"/>
  <c r="CD67" s="1"/>
  <c r="AS67"/>
  <c r="AR67"/>
  <c r="CB67" s="1"/>
  <c r="AQ67"/>
  <c r="AP67"/>
  <c r="BZ67" s="1"/>
  <c r="AO67"/>
  <c r="AN67"/>
  <c r="BX67" s="1"/>
  <c r="AM67"/>
  <c r="AL67"/>
  <c r="AK67"/>
  <c r="AJ67"/>
  <c r="AI67"/>
  <c r="AH67"/>
  <c r="AG67"/>
  <c r="AF67"/>
  <c r="AE67"/>
  <c r="AD67"/>
  <c r="AC67"/>
  <c r="AB67"/>
  <c r="AA67"/>
  <c r="DE66"/>
  <c r="BJ66"/>
  <c r="BV66" s="1"/>
  <c r="BI66"/>
  <c r="BH66"/>
  <c r="BT66" s="1"/>
  <c r="BG66"/>
  <c r="BF66"/>
  <c r="BR66" s="1"/>
  <c r="BE66"/>
  <c r="BD66"/>
  <c r="BP66" s="1"/>
  <c r="BC66"/>
  <c r="BB66"/>
  <c r="BN66" s="1"/>
  <c r="BA66"/>
  <c r="AZ66"/>
  <c r="BL66" s="1"/>
  <c r="AY66"/>
  <c r="BK66" s="1"/>
  <c r="AX66"/>
  <c r="CH66" s="1"/>
  <c r="AW66"/>
  <c r="AV66"/>
  <c r="CF66" s="1"/>
  <c r="AU66"/>
  <c r="AT66"/>
  <c r="CD66" s="1"/>
  <c r="AS66"/>
  <c r="AR66"/>
  <c r="CB66" s="1"/>
  <c r="AQ66"/>
  <c r="AP66"/>
  <c r="BZ66" s="1"/>
  <c r="AO66"/>
  <c r="AN66"/>
  <c r="BX66" s="1"/>
  <c r="AM66"/>
  <c r="AL66"/>
  <c r="AK66"/>
  <c r="AJ66"/>
  <c r="AI66"/>
  <c r="AH66"/>
  <c r="AG66"/>
  <c r="AF66"/>
  <c r="AE66"/>
  <c r="AD66"/>
  <c r="AC66"/>
  <c r="AB66"/>
  <c r="AA66"/>
  <c r="DE65"/>
  <c r="BJ65"/>
  <c r="BV65" s="1"/>
  <c r="BI65"/>
  <c r="BH65"/>
  <c r="BT65" s="1"/>
  <c r="BG65"/>
  <c r="BF65"/>
  <c r="BR65" s="1"/>
  <c r="BE65"/>
  <c r="BD65"/>
  <c r="BP65" s="1"/>
  <c r="BC65"/>
  <c r="BB65"/>
  <c r="BN65" s="1"/>
  <c r="BA65"/>
  <c r="AZ65"/>
  <c r="BL65" s="1"/>
  <c r="AY65"/>
  <c r="BK65" s="1"/>
  <c r="AX65"/>
  <c r="CH65" s="1"/>
  <c r="AW65"/>
  <c r="AV65"/>
  <c r="CF65" s="1"/>
  <c r="AU65"/>
  <c r="AT65"/>
  <c r="CD65" s="1"/>
  <c r="AS65"/>
  <c r="AR65"/>
  <c r="CB65" s="1"/>
  <c r="AQ65"/>
  <c r="AP65"/>
  <c r="BZ65" s="1"/>
  <c r="AO65"/>
  <c r="AN65"/>
  <c r="BX65" s="1"/>
  <c r="AM65"/>
  <c r="AL65"/>
  <c r="AK65"/>
  <c r="AJ65"/>
  <c r="AI65"/>
  <c r="AH65"/>
  <c r="AG65"/>
  <c r="AF65"/>
  <c r="AE65"/>
  <c r="AD65"/>
  <c r="AC65"/>
  <c r="AB65"/>
  <c r="AA65"/>
  <c r="DE64"/>
  <c r="BJ64"/>
  <c r="BV64" s="1"/>
  <c r="BI64"/>
  <c r="BH64"/>
  <c r="BT64" s="1"/>
  <c r="BG64"/>
  <c r="BF64"/>
  <c r="BR64" s="1"/>
  <c r="BE64"/>
  <c r="BD64"/>
  <c r="BP64" s="1"/>
  <c r="BC64"/>
  <c r="BB64"/>
  <c r="BN64" s="1"/>
  <c r="BA64"/>
  <c r="AZ64"/>
  <c r="BL64" s="1"/>
  <c r="AY64"/>
  <c r="BK64" s="1"/>
  <c r="AX64"/>
  <c r="CH64" s="1"/>
  <c r="AW64"/>
  <c r="AV64"/>
  <c r="CF64" s="1"/>
  <c r="AU64"/>
  <c r="AT64"/>
  <c r="CD64" s="1"/>
  <c r="AS64"/>
  <c r="AR64"/>
  <c r="CB64" s="1"/>
  <c r="AQ64"/>
  <c r="AP64"/>
  <c r="BZ64" s="1"/>
  <c r="AO64"/>
  <c r="AN64"/>
  <c r="BX64" s="1"/>
  <c r="AM64"/>
  <c r="AL64"/>
  <c r="AK64"/>
  <c r="AJ64"/>
  <c r="AI64"/>
  <c r="AH64"/>
  <c r="AG64"/>
  <c r="AF64"/>
  <c r="AE64"/>
  <c r="AD64"/>
  <c r="AC64"/>
  <c r="AB64"/>
  <c r="AA64"/>
  <c r="DE63"/>
  <c r="BJ63"/>
  <c r="BV63" s="1"/>
  <c r="BI63"/>
  <c r="BH63"/>
  <c r="BT63" s="1"/>
  <c r="BG63"/>
  <c r="BF63"/>
  <c r="BR63" s="1"/>
  <c r="BE63"/>
  <c r="BD63"/>
  <c r="BP63" s="1"/>
  <c r="BC63"/>
  <c r="BB63"/>
  <c r="BN63" s="1"/>
  <c r="BA63"/>
  <c r="AZ63"/>
  <c r="BL63" s="1"/>
  <c r="AY63"/>
  <c r="BK63" s="1"/>
  <c r="AX63"/>
  <c r="CH63" s="1"/>
  <c r="AW63"/>
  <c r="AV63"/>
  <c r="CF63" s="1"/>
  <c r="AU63"/>
  <c r="AT63"/>
  <c r="CD63" s="1"/>
  <c r="AS63"/>
  <c r="AR63"/>
  <c r="CB63" s="1"/>
  <c r="AQ63"/>
  <c r="AP63"/>
  <c r="BZ63" s="1"/>
  <c r="AO63"/>
  <c r="AN63"/>
  <c r="BX63" s="1"/>
  <c r="AM63"/>
  <c r="AL63"/>
  <c r="AK63"/>
  <c r="AJ63"/>
  <c r="AI63"/>
  <c r="AH63"/>
  <c r="AG63"/>
  <c r="AF63"/>
  <c r="AE63"/>
  <c r="AD63"/>
  <c r="AC63"/>
  <c r="AB63"/>
  <c r="AA63"/>
  <c r="DE62"/>
  <c r="BJ62"/>
  <c r="BV62" s="1"/>
  <c r="BI62"/>
  <c r="BH62"/>
  <c r="BT62" s="1"/>
  <c r="BG62"/>
  <c r="BF62"/>
  <c r="BR62" s="1"/>
  <c r="BE62"/>
  <c r="BD62"/>
  <c r="BP62" s="1"/>
  <c r="BC62"/>
  <c r="BB62"/>
  <c r="BN62" s="1"/>
  <c r="BA62"/>
  <c r="AZ62"/>
  <c r="BL62" s="1"/>
  <c r="AY62"/>
  <c r="BK62" s="1"/>
  <c r="AX62"/>
  <c r="CH62" s="1"/>
  <c r="AW62"/>
  <c r="AV62"/>
  <c r="CF62" s="1"/>
  <c r="AU62"/>
  <c r="AT62"/>
  <c r="CD62" s="1"/>
  <c r="AS62"/>
  <c r="AR62"/>
  <c r="CB62" s="1"/>
  <c r="AQ62"/>
  <c r="AP62"/>
  <c r="BZ62" s="1"/>
  <c r="AO62"/>
  <c r="AN62"/>
  <c r="BX62" s="1"/>
  <c r="AM62"/>
  <c r="AL62"/>
  <c r="AK62"/>
  <c r="AJ62"/>
  <c r="AI62"/>
  <c r="AH62"/>
  <c r="AG62"/>
  <c r="AF62"/>
  <c r="AE62"/>
  <c r="AD62"/>
  <c r="AC62"/>
  <c r="AB62"/>
  <c r="AA62"/>
  <c r="DE61"/>
  <c r="BJ61"/>
  <c r="BV61" s="1"/>
  <c r="BI61"/>
  <c r="BH61"/>
  <c r="BT61" s="1"/>
  <c r="BG61"/>
  <c r="BF61"/>
  <c r="BR61" s="1"/>
  <c r="BE61"/>
  <c r="BD61"/>
  <c r="BP61" s="1"/>
  <c r="BC61"/>
  <c r="BB61"/>
  <c r="BN61" s="1"/>
  <c r="BA61"/>
  <c r="AZ61"/>
  <c r="BL61" s="1"/>
  <c r="AY61"/>
  <c r="BK61" s="1"/>
  <c r="AX61"/>
  <c r="CH61" s="1"/>
  <c r="AW61"/>
  <c r="AV61"/>
  <c r="CF61" s="1"/>
  <c r="AU61"/>
  <c r="AT61"/>
  <c r="CD61" s="1"/>
  <c r="AS61"/>
  <c r="AR61"/>
  <c r="CB61" s="1"/>
  <c r="AQ61"/>
  <c r="AP61"/>
  <c r="BZ61" s="1"/>
  <c r="AO61"/>
  <c r="AN61"/>
  <c r="BX61" s="1"/>
  <c r="AM61"/>
  <c r="AL61"/>
  <c r="AK61"/>
  <c r="AJ61"/>
  <c r="AI61"/>
  <c r="AH61"/>
  <c r="AG61"/>
  <c r="AF61"/>
  <c r="AE61"/>
  <c r="AD61"/>
  <c r="AC61"/>
  <c r="AB61"/>
  <c r="AA61"/>
  <c r="DE60"/>
  <c r="BJ60"/>
  <c r="BV60" s="1"/>
  <c r="BI60"/>
  <c r="BH60"/>
  <c r="BT60" s="1"/>
  <c r="BG60"/>
  <c r="BF60"/>
  <c r="BR60" s="1"/>
  <c r="BE60"/>
  <c r="BD60"/>
  <c r="BP60" s="1"/>
  <c r="BC60"/>
  <c r="BB60"/>
  <c r="BN60" s="1"/>
  <c r="BA60"/>
  <c r="AZ60"/>
  <c r="BL60" s="1"/>
  <c r="AY60"/>
  <c r="BK60" s="1"/>
  <c r="AX60"/>
  <c r="CH60" s="1"/>
  <c r="AW60"/>
  <c r="AV60"/>
  <c r="CF60" s="1"/>
  <c r="AU60"/>
  <c r="AT60"/>
  <c r="CD60" s="1"/>
  <c r="AS60"/>
  <c r="AR60"/>
  <c r="CB60" s="1"/>
  <c r="AQ60"/>
  <c r="AP60"/>
  <c r="BZ60" s="1"/>
  <c r="AO60"/>
  <c r="AN60"/>
  <c r="BX60" s="1"/>
  <c r="AM60"/>
  <c r="AL60"/>
  <c r="AK60"/>
  <c r="AJ60"/>
  <c r="AI60"/>
  <c r="AH60"/>
  <c r="AG60"/>
  <c r="AF60"/>
  <c r="AE60"/>
  <c r="AD60"/>
  <c r="AC60"/>
  <c r="AB60"/>
  <c r="AA60"/>
  <c r="DE59"/>
  <c r="BJ59"/>
  <c r="BV59" s="1"/>
  <c r="BI59"/>
  <c r="BH59"/>
  <c r="BT59" s="1"/>
  <c r="BG59"/>
  <c r="BF59"/>
  <c r="BR59" s="1"/>
  <c r="BE59"/>
  <c r="BD59"/>
  <c r="BP59" s="1"/>
  <c r="BC59"/>
  <c r="BB59"/>
  <c r="BN59" s="1"/>
  <c r="BA59"/>
  <c r="AZ59"/>
  <c r="BL59" s="1"/>
  <c r="AY59"/>
  <c r="BK59" s="1"/>
  <c r="AX59"/>
  <c r="CH59" s="1"/>
  <c r="AW59"/>
  <c r="AV59"/>
  <c r="CF59" s="1"/>
  <c r="AU59"/>
  <c r="AT59"/>
  <c r="CD59" s="1"/>
  <c r="AS59"/>
  <c r="AR59"/>
  <c r="CB59" s="1"/>
  <c r="AQ59"/>
  <c r="AP59"/>
  <c r="BZ59" s="1"/>
  <c r="AO59"/>
  <c r="AN59"/>
  <c r="BX59" s="1"/>
  <c r="AM59"/>
  <c r="AL59"/>
  <c r="AK59"/>
  <c r="AJ59"/>
  <c r="AI59"/>
  <c r="AH59"/>
  <c r="AG59"/>
  <c r="AF59"/>
  <c r="AE59"/>
  <c r="AD59"/>
  <c r="AC59"/>
  <c r="AB59"/>
  <c r="AA59"/>
  <c r="DE58"/>
  <c r="BJ58"/>
  <c r="BV58" s="1"/>
  <c r="BI58"/>
  <c r="BH58"/>
  <c r="BT58" s="1"/>
  <c r="BG58"/>
  <c r="BF58"/>
  <c r="BR58" s="1"/>
  <c r="BE58"/>
  <c r="BD58"/>
  <c r="BP58" s="1"/>
  <c r="BC58"/>
  <c r="BB58"/>
  <c r="BN58" s="1"/>
  <c r="BA58"/>
  <c r="AZ58"/>
  <c r="BL58" s="1"/>
  <c r="AY58"/>
  <c r="BK58" s="1"/>
  <c r="AX58"/>
  <c r="CH58" s="1"/>
  <c r="AW58"/>
  <c r="AV58"/>
  <c r="CF58" s="1"/>
  <c r="AU58"/>
  <c r="AT58"/>
  <c r="CD58" s="1"/>
  <c r="AS58"/>
  <c r="AR58"/>
  <c r="CB58" s="1"/>
  <c r="AQ58"/>
  <c r="AP58"/>
  <c r="BZ58" s="1"/>
  <c r="AO58"/>
  <c r="AN58"/>
  <c r="BX58" s="1"/>
  <c r="AM58"/>
  <c r="AL58"/>
  <c r="AK58"/>
  <c r="AJ58"/>
  <c r="AI58"/>
  <c r="AH58"/>
  <c r="AG58"/>
  <c r="AF58"/>
  <c r="AE58"/>
  <c r="AD58"/>
  <c r="AC58"/>
  <c r="AB58"/>
  <c r="AA58"/>
  <c r="DE57"/>
  <c r="BJ57"/>
  <c r="BV57" s="1"/>
  <c r="BI57"/>
  <c r="BH57"/>
  <c r="BT57" s="1"/>
  <c r="BG57"/>
  <c r="BF57"/>
  <c r="BR57" s="1"/>
  <c r="BE57"/>
  <c r="BD57"/>
  <c r="BP57" s="1"/>
  <c r="BC57"/>
  <c r="BB57"/>
  <c r="BN57" s="1"/>
  <c r="BA57"/>
  <c r="AZ57"/>
  <c r="BL57" s="1"/>
  <c r="AY57"/>
  <c r="BK57" s="1"/>
  <c r="AX57"/>
  <c r="CH57" s="1"/>
  <c r="AW57"/>
  <c r="AV57"/>
  <c r="CF57" s="1"/>
  <c r="AU57"/>
  <c r="AT57"/>
  <c r="CD57" s="1"/>
  <c r="AS57"/>
  <c r="AR57"/>
  <c r="CB57" s="1"/>
  <c r="AQ57"/>
  <c r="AP57"/>
  <c r="BZ57" s="1"/>
  <c r="AO57"/>
  <c r="AN57"/>
  <c r="BX57" s="1"/>
  <c r="AM57"/>
  <c r="AL57"/>
  <c r="AK57"/>
  <c r="AJ57"/>
  <c r="AI57"/>
  <c r="AH57"/>
  <c r="AG57"/>
  <c r="AF57"/>
  <c r="AE57"/>
  <c r="AD57"/>
  <c r="AC57"/>
  <c r="AB57"/>
  <c r="AA57"/>
  <c r="DE56"/>
  <c r="BJ56"/>
  <c r="BV56" s="1"/>
  <c r="BI56"/>
  <c r="BH56"/>
  <c r="BT56" s="1"/>
  <c r="BG56"/>
  <c r="BF56"/>
  <c r="BR56" s="1"/>
  <c r="BE56"/>
  <c r="BD56"/>
  <c r="BP56" s="1"/>
  <c r="BC56"/>
  <c r="BB56"/>
  <c r="BN56" s="1"/>
  <c r="BA56"/>
  <c r="AZ56"/>
  <c r="BL56" s="1"/>
  <c r="AY56"/>
  <c r="BK56" s="1"/>
  <c r="AX56"/>
  <c r="CH56" s="1"/>
  <c r="AW56"/>
  <c r="AV56"/>
  <c r="CF56" s="1"/>
  <c r="AU56"/>
  <c r="AT56"/>
  <c r="CD56" s="1"/>
  <c r="AS56"/>
  <c r="AR56"/>
  <c r="CB56" s="1"/>
  <c r="AQ56"/>
  <c r="AP56"/>
  <c r="BZ56" s="1"/>
  <c r="AO56"/>
  <c r="AN56"/>
  <c r="BX56" s="1"/>
  <c r="AM56"/>
  <c r="AL56"/>
  <c r="AK56"/>
  <c r="AJ56"/>
  <c r="AI56"/>
  <c r="AH56"/>
  <c r="AG56"/>
  <c r="AF56"/>
  <c r="AE56"/>
  <c r="AD56"/>
  <c r="AC56"/>
  <c r="AB56"/>
  <c r="AA56"/>
  <c r="DE55"/>
  <c r="BJ55"/>
  <c r="BV55" s="1"/>
  <c r="BI55"/>
  <c r="BH55"/>
  <c r="BT55" s="1"/>
  <c r="BG55"/>
  <c r="BF55"/>
  <c r="BR55" s="1"/>
  <c r="BE55"/>
  <c r="BD55"/>
  <c r="BP55" s="1"/>
  <c r="BC55"/>
  <c r="BB55"/>
  <c r="BN55" s="1"/>
  <c r="BA55"/>
  <c r="AZ55"/>
  <c r="BL55" s="1"/>
  <c r="AY55"/>
  <c r="BK55" s="1"/>
  <c r="AX55"/>
  <c r="CH55" s="1"/>
  <c r="AW55"/>
  <c r="AV55"/>
  <c r="CF55" s="1"/>
  <c r="AU55"/>
  <c r="AT55"/>
  <c r="CD55" s="1"/>
  <c r="AS55"/>
  <c r="AR55"/>
  <c r="CB55" s="1"/>
  <c r="AQ55"/>
  <c r="AP55"/>
  <c r="BZ55" s="1"/>
  <c r="AO55"/>
  <c r="AN55"/>
  <c r="BX55" s="1"/>
  <c r="AM55"/>
  <c r="AL55"/>
  <c r="AK55"/>
  <c r="AJ55"/>
  <c r="AI55"/>
  <c r="AH55"/>
  <c r="AG55"/>
  <c r="AF55"/>
  <c r="AE55"/>
  <c r="AD55"/>
  <c r="AC55"/>
  <c r="AB55"/>
  <c r="AA55"/>
  <c r="DE54"/>
  <c r="BJ54"/>
  <c r="BV54" s="1"/>
  <c r="BI54"/>
  <c r="BH54"/>
  <c r="BT54" s="1"/>
  <c r="BG54"/>
  <c r="BF54"/>
  <c r="BR54" s="1"/>
  <c r="BE54"/>
  <c r="BD54"/>
  <c r="BP54" s="1"/>
  <c r="BC54"/>
  <c r="BB54"/>
  <c r="BN54" s="1"/>
  <c r="BA54"/>
  <c r="AZ54"/>
  <c r="BL54" s="1"/>
  <c r="AY54"/>
  <c r="BK54" s="1"/>
  <c r="AX54"/>
  <c r="CH54" s="1"/>
  <c r="AW54"/>
  <c r="AV54"/>
  <c r="CF54" s="1"/>
  <c r="AU54"/>
  <c r="AT54"/>
  <c r="CD54" s="1"/>
  <c r="AS54"/>
  <c r="AR54"/>
  <c r="CB54" s="1"/>
  <c r="AQ54"/>
  <c r="AP54"/>
  <c r="BZ54" s="1"/>
  <c r="AO54"/>
  <c r="AN54"/>
  <c r="BX54" s="1"/>
  <c r="AM54"/>
  <c r="AL54"/>
  <c r="AK54"/>
  <c r="AJ54"/>
  <c r="AI54"/>
  <c r="AH54"/>
  <c r="AG54"/>
  <c r="AF54"/>
  <c r="AE54"/>
  <c r="AD54"/>
  <c r="AC54"/>
  <c r="AB54"/>
  <c r="AA54"/>
  <c r="DE53"/>
  <c r="BJ53"/>
  <c r="BV53" s="1"/>
  <c r="BI53"/>
  <c r="BH53"/>
  <c r="BT53" s="1"/>
  <c r="BG53"/>
  <c r="BF53"/>
  <c r="BR53" s="1"/>
  <c r="BE53"/>
  <c r="BD53"/>
  <c r="BP53" s="1"/>
  <c r="BC53"/>
  <c r="BB53"/>
  <c r="BN53" s="1"/>
  <c r="BA53"/>
  <c r="AZ53"/>
  <c r="BL53" s="1"/>
  <c r="AY53"/>
  <c r="BK53" s="1"/>
  <c r="AX53"/>
  <c r="CH53" s="1"/>
  <c r="AW53"/>
  <c r="AV53"/>
  <c r="CF53" s="1"/>
  <c r="AU53"/>
  <c r="AT53"/>
  <c r="CD53" s="1"/>
  <c r="AS53"/>
  <c r="AR53"/>
  <c r="CB53" s="1"/>
  <c r="AQ53"/>
  <c r="AP53"/>
  <c r="BZ53" s="1"/>
  <c r="AO53"/>
  <c r="AN53"/>
  <c r="BX53" s="1"/>
  <c r="AM53"/>
  <c r="AL53"/>
  <c r="AK53"/>
  <c r="AJ53"/>
  <c r="AI53"/>
  <c r="AH53"/>
  <c r="AG53"/>
  <c r="AF53"/>
  <c r="AE53"/>
  <c r="AD53"/>
  <c r="AC53"/>
  <c r="AB53"/>
  <c r="AA53"/>
  <c r="DE52"/>
  <c r="BJ52"/>
  <c r="BV52" s="1"/>
  <c r="BI52"/>
  <c r="BH52"/>
  <c r="BT52" s="1"/>
  <c r="BG52"/>
  <c r="BF52"/>
  <c r="BR52" s="1"/>
  <c r="BE52"/>
  <c r="BD52"/>
  <c r="BP52" s="1"/>
  <c r="BC52"/>
  <c r="BB52"/>
  <c r="BN52" s="1"/>
  <c r="BA52"/>
  <c r="AZ52"/>
  <c r="BL52" s="1"/>
  <c r="AY52"/>
  <c r="BK52" s="1"/>
  <c r="AX52"/>
  <c r="CH52" s="1"/>
  <c r="AW52"/>
  <c r="AV52"/>
  <c r="CF52" s="1"/>
  <c r="AU52"/>
  <c r="AT52"/>
  <c r="CD52" s="1"/>
  <c r="AS52"/>
  <c r="AR52"/>
  <c r="CB52" s="1"/>
  <c r="AQ52"/>
  <c r="AP52"/>
  <c r="BZ52" s="1"/>
  <c r="AO52"/>
  <c r="AN52"/>
  <c r="BX52" s="1"/>
  <c r="AM52"/>
  <c r="AL52"/>
  <c r="AK52"/>
  <c r="AJ52"/>
  <c r="AI52"/>
  <c r="AH52"/>
  <c r="AG52"/>
  <c r="AF52"/>
  <c r="AE52"/>
  <c r="AD52"/>
  <c r="AC52"/>
  <c r="AB52"/>
  <c r="AA52"/>
  <c r="DE51"/>
  <c r="BJ51"/>
  <c r="BV51" s="1"/>
  <c r="BI51"/>
  <c r="BH51"/>
  <c r="BT51" s="1"/>
  <c r="BG51"/>
  <c r="BF51"/>
  <c r="BR51" s="1"/>
  <c r="BE51"/>
  <c r="BD51"/>
  <c r="BP51" s="1"/>
  <c r="BC51"/>
  <c r="BB51"/>
  <c r="BN51" s="1"/>
  <c r="BA51"/>
  <c r="AZ51"/>
  <c r="BL51" s="1"/>
  <c r="AY51"/>
  <c r="BK51" s="1"/>
  <c r="AX51"/>
  <c r="CH51" s="1"/>
  <c r="AW51"/>
  <c r="AV51"/>
  <c r="CF51" s="1"/>
  <c r="AU51"/>
  <c r="AT51"/>
  <c r="CD51" s="1"/>
  <c r="AS51"/>
  <c r="AR51"/>
  <c r="CB51" s="1"/>
  <c r="AQ51"/>
  <c r="AP51"/>
  <c r="BZ51" s="1"/>
  <c r="AO51"/>
  <c r="AN51"/>
  <c r="BX51" s="1"/>
  <c r="AM51"/>
  <c r="AL51"/>
  <c r="AK51"/>
  <c r="AJ51"/>
  <c r="AI51"/>
  <c r="AH51"/>
  <c r="AG51"/>
  <c r="AF51"/>
  <c r="AE51"/>
  <c r="AD51"/>
  <c r="AC51"/>
  <c r="AB51"/>
  <c r="AA51"/>
  <c r="DE50"/>
  <c r="BJ50"/>
  <c r="BV50" s="1"/>
  <c r="BI50"/>
  <c r="BH50"/>
  <c r="BT50" s="1"/>
  <c r="BG50"/>
  <c r="BF50"/>
  <c r="BR50" s="1"/>
  <c r="BE50"/>
  <c r="BD50"/>
  <c r="BP50" s="1"/>
  <c r="BC50"/>
  <c r="BB50"/>
  <c r="BN50" s="1"/>
  <c r="BA50"/>
  <c r="AZ50"/>
  <c r="BL50" s="1"/>
  <c r="AY50"/>
  <c r="BK50" s="1"/>
  <c r="AX50"/>
  <c r="CH50" s="1"/>
  <c r="AW50"/>
  <c r="AV50"/>
  <c r="CF50" s="1"/>
  <c r="AU50"/>
  <c r="AT50"/>
  <c r="CD50" s="1"/>
  <c r="AS50"/>
  <c r="AR50"/>
  <c r="CB50" s="1"/>
  <c r="AQ50"/>
  <c r="AP50"/>
  <c r="BZ50" s="1"/>
  <c r="AO50"/>
  <c r="AN50"/>
  <c r="BX50" s="1"/>
  <c r="AM50"/>
  <c r="AL50"/>
  <c r="AK50"/>
  <c r="AJ50"/>
  <c r="AI50"/>
  <c r="AH50"/>
  <c r="AG50"/>
  <c r="AF50"/>
  <c r="AE50"/>
  <c r="AD50"/>
  <c r="AC50"/>
  <c r="AB50"/>
  <c r="AA50"/>
  <c r="DE49"/>
  <c r="BJ49"/>
  <c r="BV49" s="1"/>
  <c r="BI49"/>
  <c r="BH49"/>
  <c r="BT49" s="1"/>
  <c r="BG49"/>
  <c r="BF49"/>
  <c r="BR49" s="1"/>
  <c r="BE49"/>
  <c r="BD49"/>
  <c r="BP49" s="1"/>
  <c r="BC49"/>
  <c r="BB49"/>
  <c r="BN49" s="1"/>
  <c r="BA49"/>
  <c r="AZ49"/>
  <c r="BL49" s="1"/>
  <c r="AY49"/>
  <c r="BK49" s="1"/>
  <c r="AX49"/>
  <c r="CH49" s="1"/>
  <c r="AW49"/>
  <c r="AV49"/>
  <c r="CF49" s="1"/>
  <c r="AU49"/>
  <c r="AT49"/>
  <c r="CD49" s="1"/>
  <c r="AS49"/>
  <c r="AR49"/>
  <c r="CB49" s="1"/>
  <c r="AQ49"/>
  <c r="AP49"/>
  <c r="BZ49" s="1"/>
  <c r="AO49"/>
  <c r="AN49"/>
  <c r="BX49" s="1"/>
  <c r="AM49"/>
  <c r="AL49"/>
  <c r="AK49"/>
  <c r="AJ49"/>
  <c r="AI49"/>
  <c r="AH49"/>
  <c r="AG49"/>
  <c r="AF49"/>
  <c r="AE49"/>
  <c r="AD49"/>
  <c r="AC49"/>
  <c r="AB49"/>
  <c r="AA49"/>
  <c r="DE48"/>
  <c r="BJ48"/>
  <c r="BV48" s="1"/>
  <c r="BI48"/>
  <c r="BH48"/>
  <c r="BT48" s="1"/>
  <c r="BG48"/>
  <c r="BF48"/>
  <c r="BR48" s="1"/>
  <c r="BE48"/>
  <c r="BD48"/>
  <c r="BP48" s="1"/>
  <c r="BC48"/>
  <c r="BB48"/>
  <c r="BN48" s="1"/>
  <c r="BA48"/>
  <c r="AZ48"/>
  <c r="BL48" s="1"/>
  <c r="AY48"/>
  <c r="BK48" s="1"/>
  <c r="AX48"/>
  <c r="CH48" s="1"/>
  <c r="AW48"/>
  <c r="AV48"/>
  <c r="CF48" s="1"/>
  <c r="AU48"/>
  <c r="AT48"/>
  <c r="CD48" s="1"/>
  <c r="AS48"/>
  <c r="AR48"/>
  <c r="CB48" s="1"/>
  <c r="AQ48"/>
  <c r="AP48"/>
  <c r="BZ48" s="1"/>
  <c r="AO48"/>
  <c r="AN48"/>
  <c r="BX48" s="1"/>
  <c r="AM48"/>
  <c r="AL48"/>
  <c r="AK48"/>
  <c r="AJ48"/>
  <c r="AI48"/>
  <c r="AH48"/>
  <c r="AG48"/>
  <c r="AF48"/>
  <c r="AE48"/>
  <c r="AD48"/>
  <c r="AC48"/>
  <c r="AB48"/>
  <c r="AA48"/>
  <c r="DE47"/>
  <c r="BJ47"/>
  <c r="BV47" s="1"/>
  <c r="BI47"/>
  <c r="BH47"/>
  <c r="BT47" s="1"/>
  <c r="BG47"/>
  <c r="BF47"/>
  <c r="BR47" s="1"/>
  <c r="BE47"/>
  <c r="BD47"/>
  <c r="BP47" s="1"/>
  <c r="BC47"/>
  <c r="BB47"/>
  <c r="BN47" s="1"/>
  <c r="BA47"/>
  <c r="AZ47"/>
  <c r="BL47" s="1"/>
  <c r="AY47"/>
  <c r="BK47" s="1"/>
  <c r="AX47"/>
  <c r="CH47" s="1"/>
  <c r="AW47"/>
  <c r="AV47"/>
  <c r="CF47" s="1"/>
  <c r="AU47"/>
  <c r="AT47"/>
  <c r="CD47" s="1"/>
  <c r="AS47"/>
  <c r="AR47"/>
  <c r="CB47" s="1"/>
  <c r="AQ47"/>
  <c r="AP47"/>
  <c r="BZ47" s="1"/>
  <c r="AO47"/>
  <c r="AN47"/>
  <c r="BX47" s="1"/>
  <c r="AM47"/>
  <c r="AL47"/>
  <c r="AK47"/>
  <c r="AJ47"/>
  <c r="AI47"/>
  <c r="AH47"/>
  <c r="AG47"/>
  <c r="AF47"/>
  <c r="AE47"/>
  <c r="AD47"/>
  <c r="AC47"/>
  <c r="AB47"/>
  <c r="AA47"/>
  <c r="DE46"/>
  <c r="BJ46"/>
  <c r="BV46" s="1"/>
  <c r="BI46"/>
  <c r="BH46"/>
  <c r="BT46" s="1"/>
  <c r="BG46"/>
  <c r="BF46"/>
  <c r="BR46" s="1"/>
  <c r="BE46"/>
  <c r="BD46"/>
  <c r="BP46" s="1"/>
  <c r="BC46"/>
  <c r="BB46"/>
  <c r="BN46" s="1"/>
  <c r="BA46"/>
  <c r="AZ46"/>
  <c r="BL46" s="1"/>
  <c r="AY46"/>
  <c r="BK46" s="1"/>
  <c r="AX46"/>
  <c r="CH46" s="1"/>
  <c r="AW46"/>
  <c r="AV46"/>
  <c r="CF46" s="1"/>
  <c r="AU46"/>
  <c r="AT46"/>
  <c r="CD46" s="1"/>
  <c r="AS46"/>
  <c r="AR46"/>
  <c r="CB46" s="1"/>
  <c r="AQ46"/>
  <c r="AP46"/>
  <c r="BZ46" s="1"/>
  <c r="AO46"/>
  <c r="AN46"/>
  <c r="BX46" s="1"/>
  <c r="AM46"/>
  <c r="AL46"/>
  <c r="AK46"/>
  <c r="AJ46"/>
  <c r="AI46"/>
  <c r="AH46"/>
  <c r="AG46"/>
  <c r="AF46"/>
  <c r="AE46"/>
  <c r="AD46"/>
  <c r="AC46"/>
  <c r="AB46"/>
  <c r="AA46"/>
  <c r="DE45"/>
  <c r="BJ45"/>
  <c r="BV45" s="1"/>
  <c r="BI45"/>
  <c r="BH45"/>
  <c r="BT45" s="1"/>
  <c r="BG45"/>
  <c r="BF45"/>
  <c r="BR45" s="1"/>
  <c r="BE45"/>
  <c r="BD45"/>
  <c r="BP45" s="1"/>
  <c r="BC45"/>
  <c r="BB45"/>
  <c r="BN45" s="1"/>
  <c r="BA45"/>
  <c r="AZ45"/>
  <c r="BL45" s="1"/>
  <c r="AY45"/>
  <c r="BK45" s="1"/>
  <c r="AX45"/>
  <c r="CH45" s="1"/>
  <c r="AW45"/>
  <c r="AV45"/>
  <c r="CF45" s="1"/>
  <c r="AU45"/>
  <c r="AT45"/>
  <c r="CD45" s="1"/>
  <c r="AS45"/>
  <c r="AR45"/>
  <c r="CB45" s="1"/>
  <c r="AQ45"/>
  <c r="AP45"/>
  <c r="BZ45" s="1"/>
  <c r="AO45"/>
  <c r="AN45"/>
  <c r="BX45" s="1"/>
  <c r="AM45"/>
  <c r="AL45"/>
  <c r="AK45"/>
  <c r="AJ45"/>
  <c r="AI45"/>
  <c r="AH45"/>
  <c r="AG45"/>
  <c r="AF45"/>
  <c r="AE45"/>
  <c r="AD45"/>
  <c r="AC45"/>
  <c r="AB45"/>
  <c r="AA45"/>
  <c r="DE44"/>
  <c r="BJ44"/>
  <c r="BV44" s="1"/>
  <c r="BI44"/>
  <c r="BH44"/>
  <c r="BT44" s="1"/>
  <c r="BG44"/>
  <c r="BF44"/>
  <c r="BR44" s="1"/>
  <c r="BE44"/>
  <c r="BD44"/>
  <c r="BP44" s="1"/>
  <c r="BC44"/>
  <c r="BB44"/>
  <c r="BN44" s="1"/>
  <c r="BA44"/>
  <c r="AZ44"/>
  <c r="BL44" s="1"/>
  <c r="AY44"/>
  <c r="BK44" s="1"/>
  <c r="AX44"/>
  <c r="CH44" s="1"/>
  <c r="AW44"/>
  <c r="AV44"/>
  <c r="CF44" s="1"/>
  <c r="AU44"/>
  <c r="AT44"/>
  <c r="CD44" s="1"/>
  <c r="AS44"/>
  <c r="AR44"/>
  <c r="CB44" s="1"/>
  <c r="AQ44"/>
  <c r="AP44"/>
  <c r="BZ44" s="1"/>
  <c r="AO44"/>
  <c r="AN44"/>
  <c r="BX44" s="1"/>
  <c r="AM44"/>
  <c r="AL44"/>
  <c r="AK44"/>
  <c r="AJ44"/>
  <c r="AI44"/>
  <c r="AH44"/>
  <c r="AG44"/>
  <c r="AF44"/>
  <c r="AE44"/>
  <c r="AD44"/>
  <c r="AC44"/>
  <c r="AB44"/>
  <c r="AA44"/>
  <c r="DE43"/>
  <c r="BJ43"/>
  <c r="BV43" s="1"/>
  <c r="BI43"/>
  <c r="BH43"/>
  <c r="BT43" s="1"/>
  <c r="BG43"/>
  <c r="BF43"/>
  <c r="BR43" s="1"/>
  <c r="BE43"/>
  <c r="BD43"/>
  <c r="BP43" s="1"/>
  <c r="BC43"/>
  <c r="BB43"/>
  <c r="BN43" s="1"/>
  <c r="BA43"/>
  <c r="AZ43"/>
  <c r="BL43" s="1"/>
  <c r="AY43"/>
  <c r="BK43" s="1"/>
  <c r="AX43"/>
  <c r="CH43" s="1"/>
  <c r="AW43"/>
  <c r="AV43"/>
  <c r="CF43" s="1"/>
  <c r="AU43"/>
  <c r="AT43"/>
  <c r="CD43" s="1"/>
  <c r="AS43"/>
  <c r="AR43"/>
  <c r="CB43" s="1"/>
  <c r="AQ43"/>
  <c r="AP43"/>
  <c r="BZ43" s="1"/>
  <c r="AO43"/>
  <c r="AN43"/>
  <c r="BX43" s="1"/>
  <c r="AM43"/>
  <c r="AL43"/>
  <c r="AK43"/>
  <c r="AJ43"/>
  <c r="AI43"/>
  <c r="AH43"/>
  <c r="AG43"/>
  <c r="AF43"/>
  <c r="AE43"/>
  <c r="AD43"/>
  <c r="AC43"/>
  <c r="AB43"/>
  <c r="AA43"/>
  <c r="DE42"/>
  <c r="BJ42"/>
  <c r="BV42" s="1"/>
  <c r="BI42"/>
  <c r="BH42"/>
  <c r="BT42" s="1"/>
  <c r="BG42"/>
  <c r="BF42"/>
  <c r="BR42" s="1"/>
  <c r="BE42"/>
  <c r="BD42"/>
  <c r="BP42" s="1"/>
  <c r="BC42"/>
  <c r="BB42"/>
  <c r="BN42" s="1"/>
  <c r="BA42"/>
  <c r="AZ42"/>
  <c r="BL42" s="1"/>
  <c r="AY42"/>
  <c r="BK42" s="1"/>
  <c r="AX42"/>
  <c r="CH42" s="1"/>
  <c r="AW42"/>
  <c r="AV42"/>
  <c r="CF42" s="1"/>
  <c r="AU42"/>
  <c r="AT42"/>
  <c r="CD42" s="1"/>
  <c r="AS42"/>
  <c r="AR42"/>
  <c r="CB42" s="1"/>
  <c r="AQ42"/>
  <c r="AP42"/>
  <c r="BZ42" s="1"/>
  <c r="AO42"/>
  <c r="AN42"/>
  <c r="BX42" s="1"/>
  <c r="AM42"/>
  <c r="AL42"/>
  <c r="AK42"/>
  <c r="AJ42"/>
  <c r="AI42"/>
  <c r="AH42"/>
  <c r="AG42"/>
  <c r="AF42"/>
  <c r="AE42"/>
  <c r="AD42"/>
  <c r="AC42"/>
  <c r="AB42"/>
  <c r="AA42"/>
  <c r="DE41"/>
  <c r="BJ41"/>
  <c r="BV41" s="1"/>
  <c r="BI41"/>
  <c r="BH41"/>
  <c r="BT41" s="1"/>
  <c r="BG41"/>
  <c r="BF41"/>
  <c r="BR41" s="1"/>
  <c r="BE41"/>
  <c r="BD41"/>
  <c r="BP41" s="1"/>
  <c r="BC41"/>
  <c r="BB41"/>
  <c r="BN41" s="1"/>
  <c r="BA41"/>
  <c r="AZ41"/>
  <c r="BL41" s="1"/>
  <c r="AY41"/>
  <c r="BK41" s="1"/>
  <c r="AX41"/>
  <c r="CH41" s="1"/>
  <c r="AW41"/>
  <c r="AV41"/>
  <c r="CF41" s="1"/>
  <c r="AU41"/>
  <c r="AT41"/>
  <c r="CD41" s="1"/>
  <c r="AS41"/>
  <c r="AR41"/>
  <c r="CB41" s="1"/>
  <c r="AQ41"/>
  <c r="AP41"/>
  <c r="BZ41" s="1"/>
  <c r="AO41"/>
  <c r="AN41"/>
  <c r="BX41" s="1"/>
  <c r="AM41"/>
  <c r="AL41"/>
  <c r="AK41"/>
  <c r="AJ41"/>
  <c r="AI41"/>
  <c r="AH41"/>
  <c r="AG41"/>
  <c r="AF41"/>
  <c r="AE41"/>
  <c r="AD41"/>
  <c r="AC41"/>
  <c r="AB41"/>
  <c r="AA41"/>
  <c r="DE40"/>
  <c r="BJ40"/>
  <c r="BV40" s="1"/>
  <c r="BI40"/>
  <c r="BH40"/>
  <c r="BT40" s="1"/>
  <c r="BG40"/>
  <c r="BF40"/>
  <c r="BR40" s="1"/>
  <c r="BE40"/>
  <c r="BD40"/>
  <c r="BP40" s="1"/>
  <c r="BC40"/>
  <c r="BB40"/>
  <c r="BN40" s="1"/>
  <c r="BA40"/>
  <c r="AZ40"/>
  <c r="BL40" s="1"/>
  <c r="AY40"/>
  <c r="BK40" s="1"/>
  <c r="AX40"/>
  <c r="CH40" s="1"/>
  <c r="AW40"/>
  <c r="AV40"/>
  <c r="CF40" s="1"/>
  <c r="AU40"/>
  <c r="AT40"/>
  <c r="CD40" s="1"/>
  <c r="AS40"/>
  <c r="AR40"/>
  <c r="CB40" s="1"/>
  <c r="AQ40"/>
  <c r="AP40"/>
  <c r="BZ40" s="1"/>
  <c r="AO40"/>
  <c r="AN40"/>
  <c r="BX40" s="1"/>
  <c r="AM40"/>
  <c r="AL40"/>
  <c r="AK40"/>
  <c r="AJ40"/>
  <c r="AI40"/>
  <c r="AH40"/>
  <c r="AG40"/>
  <c r="AF40"/>
  <c r="AE40"/>
  <c r="AD40"/>
  <c r="AC40"/>
  <c r="AB40"/>
  <c r="AA40"/>
  <c r="DE39"/>
  <c r="BJ39"/>
  <c r="BV39" s="1"/>
  <c r="BI39"/>
  <c r="BH39"/>
  <c r="BT39" s="1"/>
  <c r="BG39"/>
  <c r="BF39"/>
  <c r="BR39" s="1"/>
  <c r="BE39"/>
  <c r="BD39"/>
  <c r="BP39" s="1"/>
  <c r="BC39"/>
  <c r="BB39"/>
  <c r="BN39" s="1"/>
  <c r="BA39"/>
  <c r="AZ39"/>
  <c r="BL39" s="1"/>
  <c r="AY39"/>
  <c r="BK39" s="1"/>
  <c r="AX39"/>
  <c r="CH39" s="1"/>
  <c r="AW39"/>
  <c r="AV39"/>
  <c r="CF39" s="1"/>
  <c r="AU39"/>
  <c r="AT39"/>
  <c r="CD39" s="1"/>
  <c r="AS39"/>
  <c r="AR39"/>
  <c r="CB39" s="1"/>
  <c r="AQ39"/>
  <c r="AP39"/>
  <c r="BZ39" s="1"/>
  <c r="AO39"/>
  <c r="AN39"/>
  <c r="BX39" s="1"/>
  <c r="AM39"/>
  <c r="AL39"/>
  <c r="AK39"/>
  <c r="AJ39"/>
  <c r="AI39"/>
  <c r="AH39"/>
  <c r="AG39"/>
  <c r="AF39"/>
  <c r="AE39"/>
  <c r="AD39"/>
  <c r="AC39"/>
  <c r="AB39"/>
  <c r="AA39"/>
  <c r="DE38"/>
  <c r="BJ38"/>
  <c r="BV38" s="1"/>
  <c r="BI38"/>
  <c r="BH38"/>
  <c r="BT38" s="1"/>
  <c r="BG38"/>
  <c r="BF38"/>
  <c r="BR38" s="1"/>
  <c r="BE38"/>
  <c r="BD38"/>
  <c r="BP38" s="1"/>
  <c r="BC38"/>
  <c r="BB38"/>
  <c r="BN38" s="1"/>
  <c r="BA38"/>
  <c r="AZ38"/>
  <c r="BL38" s="1"/>
  <c r="AY38"/>
  <c r="BK38" s="1"/>
  <c r="AX38"/>
  <c r="CH38" s="1"/>
  <c r="AW38"/>
  <c r="AV38"/>
  <c r="CF38" s="1"/>
  <c r="AU38"/>
  <c r="AT38"/>
  <c r="CD38" s="1"/>
  <c r="AS38"/>
  <c r="AR38"/>
  <c r="CB38" s="1"/>
  <c r="AQ38"/>
  <c r="AP38"/>
  <c r="BZ38" s="1"/>
  <c r="AO38"/>
  <c r="AN38"/>
  <c r="BX38" s="1"/>
  <c r="AM38"/>
  <c r="AL38"/>
  <c r="AK38"/>
  <c r="AJ38"/>
  <c r="AI38"/>
  <c r="AH38"/>
  <c r="AG38"/>
  <c r="AF38"/>
  <c r="AE38"/>
  <c r="AD38"/>
  <c r="AC38"/>
  <c r="AB38"/>
  <c r="AA38"/>
  <c r="DE37"/>
  <c r="BJ37"/>
  <c r="BV37" s="1"/>
  <c r="BI37"/>
  <c r="BH37"/>
  <c r="BT37" s="1"/>
  <c r="BG37"/>
  <c r="BF37"/>
  <c r="BR37" s="1"/>
  <c r="BE37"/>
  <c r="BD37"/>
  <c r="BP37" s="1"/>
  <c r="BC37"/>
  <c r="BB37"/>
  <c r="BN37" s="1"/>
  <c r="BA37"/>
  <c r="AZ37"/>
  <c r="BL37" s="1"/>
  <c r="AY37"/>
  <c r="BK37" s="1"/>
  <c r="AX37"/>
  <c r="CH37" s="1"/>
  <c r="AW37"/>
  <c r="AV37"/>
  <c r="CF37" s="1"/>
  <c r="AU37"/>
  <c r="AT37"/>
  <c r="CD37" s="1"/>
  <c r="AS37"/>
  <c r="AR37"/>
  <c r="CB37" s="1"/>
  <c r="AQ37"/>
  <c r="AP37"/>
  <c r="BZ37" s="1"/>
  <c r="AO37"/>
  <c r="AN37"/>
  <c r="BX37" s="1"/>
  <c r="AM37"/>
  <c r="AL37"/>
  <c r="AK37"/>
  <c r="AJ37"/>
  <c r="AI37"/>
  <c r="AH37"/>
  <c r="AG37"/>
  <c r="AF37"/>
  <c r="AE37"/>
  <c r="AD37"/>
  <c r="AC37"/>
  <c r="AB37"/>
  <c r="AA37"/>
  <c r="DE36"/>
  <c r="BJ36"/>
  <c r="BV36" s="1"/>
  <c r="BI36"/>
  <c r="BH36"/>
  <c r="BT36" s="1"/>
  <c r="BG36"/>
  <c r="BF36"/>
  <c r="BR36" s="1"/>
  <c r="BE36"/>
  <c r="BD36"/>
  <c r="BP36" s="1"/>
  <c r="BC36"/>
  <c r="BB36"/>
  <c r="BN36" s="1"/>
  <c r="BA36"/>
  <c r="AZ36"/>
  <c r="BL36" s="1"/>
  <c r="AY36"/>
  <c r="BK36" s="1"/>
  <c r="AX36"/>
  <c r="CH36" s="1"/>
  <c r="AW36"/>
  <c r="AV36"/>
  <c r="CF36" s="1"/>
  <c r="AU36"/>
  <c r="AT36"/>
  <c r="CD36" s="1"/>
  <c r="AS36"/>
  <c r="AR36"/>
  <c r="CB36" s="1"/>
  <c r="AQ36"/>
  <c r="AP36"/>
  <c r="BZ36" s="1"/>
  <c r="AO36"/>
  <c r="AN36"/>
  <c r="BX36" s="1"/>
  <c r="AM36"/>
  <c r="AL36"/>
  <c r="AK36"/>
  <c r="AJ36"/>
  <c r="AI36"/>
  <c r="AH36"/>
  <c r="AG36"/>
  <c r="AF36"/>
  <c r="AE36"/>
  <c r="AD36"/>
  <c r="AC36"/>
  <c r="AB36"/>
  <c r="AA36"/>
  <c r="DE35"/>
  <c r="BJ35"/>
  <c r="BV35" s="1"/>
  <c r="BI35"/>
  <c r="BH35"/>
  <c r="BT35" s="1"/>
  <c r="BG35"/>
  <c r="BF35"/>
  <c r="BR35" s="1"/>
  <c r="BE35"/>
  <c r="BD35"/>
  <c r="BP35" s="1"/>
  <c r="BC35"/>
  <c r="BB35"/>
  <c r="BN35" s="1"/>
  <c r="BA35"/>
  <c r="AZ35"/>
  <c r="BL35" s="1"/>
  <c r="AY35"/>
  <c r="BK35" s="1"/>
  <c r="AX35"/>
  <c r="CH35" s="1"/>
  <c r="AW35"/>
  <c r="AV35"/>
  <c r="CF35" s="1"/>
  <c r="AU35"/>
  <c r="AT35"/>
  <c r="CD35" s="1"/>
  <c r="AS35"/>
  <c r="AR35"/>
  <c r="CB35" s="1"/>
  <c r="AQ35"/>
  <c r="AP35"/>
  <c r="BZ35" s="1"/>
  <c r="AO35"/>
  <c r="AN35"/>
  <c r="BX35" s="1"/>
  <c r="AM35"/>
  <c r="AL35"/>
  <c r="AK35"/>
  <c r="AJ35"/>
  <c r="AI35"/>
  <c r="AH35"/>
  <c r="AG35"/>
  <c r="AF35"/>
  <c r="AE35"/>
  <c r="AD35"/>
  <c r="AC35"/>
  <c r="AB35"/>
  <c r="AA35"/>
  <c r="DE34"/>
  <c r="BJ34"/>
  <c r="BV34" s="1"/>
  <c r="BI34"/>
  <c r="BH34"/>
  <c r="BT34" s="1"/>
  <c r="BG34"/>
  <c r="BF34"/>
  <c r="BR34" s="1"/>
  <c r="BE34"/>
  <c r="BD34"/>
  <c r="BP34" s="1"/>
  <c r="BC34"/>
  <c r="BB34"/>
  <c r="BN34" s="1"/>
  <c r="BA34"/>
  <c r="AZ34"/>
  <c r="BL34" s="1"/>
  <c r="AY34"/>
  <c r="BK34" s="1"/>
  <c r="AX34"/>
  <c r="CH34" s="1"/>
  <c r="AW34"/>
  <c r="AV34"/>
  <c r="CF34" s="1"/>
  <c r="AU34"/>
  <c r="AT34"/>
  <c r="CD34" s="1"/>
  <c r="AS34"/>
  <c r="AR34"/>
  <c r="CB34" s="1"/>
  <c r="AQ34"/>
  <c r="AP34"/>
  <c r="BZ34" s="1"/>
  <c r="AO34"/>
  <c r="AN34"/>
  <c r="BX34" s="1"/>
  <c r="AM34"/>
  <c r="AL34"/>
  <c r="AK34"/>
  <c r="AJ34"/>
  <c r="AI34"/>
  <c r="AH34"/>
  <c r="AG34"/>
  <c r="AF34"/>
  <c r="AE34"/>
  <c r="AD34"/>
  <c r="AC34"/>
  <c r="AB34"/>
  <c r="AA34"/>
  <c r="DE33"/>
  <c r="BJ33"/>
  <c r="BV33" s="1"/>
  <c r="BI33"/>
  <c r="BH33"/>
  <c r="BT33" s="1"/>
  <c r="BG33"/>
  <c r="BF33"/>
  <c r="BR33" s="1"/>
  <c r="BE33"/>
  <c r="BD33"/>
  <c r="BP33" s="1"/>
  <c r="BC33"/>
  <c r="BB33"/>
  <c r="BN33" s="1"/>
  <c r="BA33"/>
  <c r="AZ33"/>
  <c r="BL33" s="1"/>
  <c r="AY33"/>
  <c r="BK33" s="1"/>
  <c r="AX33"/>
  <c r="CH33" s="1"/>
  <c r="AW33"/>
  <c r="AV33"/>
  <c r="CF33" s="1"/>
  <c r="AU33"/>
  <c r="AT33"/>
  <c r="CD33" s="1"/>
  <c r="AS33"/>
  <c r="AR33"/>
  <c r="CB33" s="1"/>
  <c r="AQ33"/>
  <c r="AP33"/>
  <c r="BZ33" s="1"/>
  <c r="AO33"/>
  <c r="AN33"/>
  <c r="BX33" s="1"/>
  <c r="AM33"/>
  <c r="AL33"/>
  <c r="AK33"/>
  <c r="AJ33"/>
  <c r="AI33"/>
  <c r="AH33"/>
  <c r="AG33"/>
  <c r="AF33"/>
  <c r="AE33"/>
  <c r="AD33"/>
  <c r="AC33"/>
  <c r="AB33"/>
  <c r="AA33"/>
  <c r="DE32"/>
  <c r="BJ32"/>
  <c r="BV32" s="1"/>
  <c r="BI32"/>
  <c r="BH32"/>
  <c r="BT32" s="1"/>
  <c r="BG32"/>
  <c r="BF32"/>
  <c r="BR32" s="1"/>
  <c r="BE32"/>
  <c r="BD32"/>
  <c r="BP32" s="1"/>
  <c r="BC32"/>
  <c r="BB32"/>
  <c r="BN32" s="1"/>
  <c r="BA32"/>
  <c r="AZ32"/>
  <c r="BL32" s="1"/>
  <c r="AY32"/>
  <c r="BK32" s="1"/>
  <c r="AX32"/>
  <c r="CH32" s="1"/>
  <c r="AW32"/>
  <c r="AV32"/>
  <c r="CF32" s="1"/>
  <c r="AU32"/>
  <c r="AT32"/>
  <c r="CD32" s="1"/>
  <c r="AS32"/>
  <c r="AR32"/>
  <c r="CB32" s="1"/>
  <c r="AQ32"/>
  <c r="AP32"/>
  <c r="BZ32" s="1"/>
  <c r="AO32"/>
  <c r="AN32"/>
  <c r="BX32" s="1"/>
  <c r="AM32"/>
  <c r="AL32"/>
  <c r="AK32"/>
  <c r="AJ32"/>
  <c r="AI32"/>
  <c r="AH32"/>
  <c r="AG32"/>
  <c r="AF32"/>
  <c r="AE32"/>
  <c r="AD32"/>
  <c r="AC32"/>
  <c r="AB32"/>
  <c r="AA32"/>
  <c r="DE31"/>
  <c r="BJ31"/>
  <c r="BV31" s="1"/>
  <c r="BI31"/>
  <c r="BH31"/>
  <c r="BT31" s="1"/>
  <c r="BG31"/>
  <c r="BF31"/>
  <c r="BR31" s="1"/>
  <c r="BE31"/>
  <c r="BD31"/>
  <c r="BP31" s="1"/>
  <c r="BC31"/>
  <c r="BB31"/>
  <c r="BN31" s="1"/>
  <c r="BA31"/>
  <c r="AZ31"/>
  <c r="BL31" s="1"/>
  <c r="AY31"/>
  <c r="BK31" s="1"/>
  <c r="AX31"/>
  <c r="CH31" s="1"/>
  <c r="AW31"/>
  <c r="AV31"/>
  <c r="CF31" s="1"/>
  <c r="AU31"/>
  <c r="AT31"/>
  <c r="CD31" s="1"/>
  <c r="AS31"/>
  <c r="AR31"/>
  <c r="CB31" s="1"/>
  <c r="AQ31"/>
  <c r="AP31"/>
  <c r="BZ31" s="1"/>
  <c r="AO31"/>
  <c r="AN31"/>
  <c r="BX31" s="1"/>
  <c r="AM31"/>
  <c r="AL31"/>
  <c r="AK31"/>
  <c r="AJ31"/>
  <c r="AI31"/>
  <c r="AH31"/>
  <c r="AG31"/>
  <c r="AF31"/>
  <c r="AE31"/>
  <c r="AD31"/>
  <c r="AC31"/>
  <c r="AB31"/>
  <c r="AA31"/>
  <c r="DE30"/>
  <c r="BJ30"/>
  <c r="BV30" s="1"/>
  <c r="BI30"/>
  <c r="BH30"/>
  <c r="BT30" s="1"/>
  <c r="BG30"/>
  <c r="BF30"/>
  <c r="BR30" s="1"/>
  <c r="BE30"/>
  <c r="BD30"/>
  <c r="BP30" s="1"/>
  <c r="BC30"/>
  <c r="BB30"/>
  <c r="BN30" s="1"/>
  <c r="BA30"/>
  <c r="AZ30"/>
  <c r="BL30" s="1"/>
  <c r="AY30"/>
  <c r="BK30" s="1"/>
  <c r="AX30"/>
  <c r="CH30" s="1"/>
  <c r="AW30"/>
  <c r="AV30"/>
  <c r="CF30" s="1"/>
  <c r="AU30"/>
  <c r="AT30"/>
  <c r="CD30" s="1"/>
  <c r="AS30"/>
  <c r="AR30"/>
  <c r="CB30" s="1"/>
  <c r="AQ30"/>
  <c r="AP30"/>
  <c r="BZ30" s="1"/>
  <c r="AO30"/>
  <c r="AN30"/>
  <c r="BX30" s="1"/>
  <c r="AM30"/>
  <c r="AL30"/>
  <c r="AK30"/>
  <c r="AJ30"/>
  <c r="AI30"/>
  <c r="AH30"/>
  <c r="AG30"/>
  <c r="AF30"/>
  <c r="AE30"/>
  <c r="AD30"/>
  <c r="AC30"/>
  <c r="AB30"/>
  <c r="AA30"/>
  <c r="DE29"/>
  <c r="BJ29"/>
  <c r="BV29" s="1"/>
  <c r="BI29"/>
  <c r="BH29"/>
  <c r="BT29" s="1"/>
  <c r="BG29"/>
  <c r="BF29"/>
  <c r="BR29" s="1"/>
  <c r="BE29"/>
  <c r="BD29"/>
  <c r="BP29" s="1"/>
  <c r="BC29"/>
  <c r="BB29"/>
  <c r="BN29" s="1"/>
  <c r="BA29"/>
  <c r="AZ29"/>
  <c r="BL29" s="1"/>
  <c r="AY29"/>
  <c r="BK29" s="1"/>
  <c r="AX29"/>
  <c r="CH29" s="1"/>
  <c r="AW29"/>
  <c r="AV29"/>
  <c r="CF29" s="1"/>
  <c r="AU29"/>
  <c r="AT29"/>
  <c r="CD29" s="1"/>
  <c r="AS29"/>
  <c r="AR29"/>
  <c r="CB29" s="1"/>
  <c r="AQ29"/>
  <c r="AP29"/>
  <c r="BZ29" s="1"/>
  <c r="AO29"/>
  <c r="AN29"/>
  <c r="BX29" s="1"/>
  <c r="AM29"/>
  <c r="AL29"/>
  <c r="AK29"/>
  <c r="AJ29"/>
  <c r="AI29"/>
  <c r="AH29"/>
  <c r="AG29"/>
  <c r="AF29"/>
  <c r="AE29"/>
  <c r="AD29"/>
  <c r="AC29"/>
  <c r="AB29"/>
  <c r="AA29"/>
  <c r="DE28"/>
  <c r="BJ28"/>
  <c r="BV28" s="1"/>
  <c r="BI28"/>
  <c r="BH28"/>
  <c r="BT28" s="1"/>
  <c r="BG28"/>
  <c r="BF28"/>
  <c r="BR28" s="1"/>
  <c r="BE28"/>
  <c r="BD28"/>
  <c r="BP28" s="1"/>
  <c r="BC28"/>
  <c r="BB28"/>
  <c r="BN28" s="1"/>
  <c r="BA28"/>
  <c r="AZ28"/>
  <c r="BL28" s="1"/>
  <c r="AY28"/>
  <c r="BK28" s="1"/>
  <c r="AX28"/>
  <c r="CH28" s="1"/>
  <c r="AW28"/>
  <c r="AV28"/>
  <c r="CF28" s="1"/>
  <c r="AU28"/>
  <c r="AT28"/>
  <c r="CD28" s="1"/>
  <c r="AS28"/>
  <c r="AR28"/>
  <c r="CB28" s="1"/>
  <c r="AQ28"/>
  <c r="AP28"/>
  <c r="BZ28" s="1"/>
  <c r="AO28"/>
  <c r="AN28"/>
  <c r="BX28" s="1"/>
  <c r="AM28"/>
  <c r="AL28"/>
  <c r="AK28"/>
  <c r="AJ28"/>
  <c r="AI28"/>
  <c r="AH28"/>
  <c r="AG28"/>
  <c r="AF28"/>
  <c r="AE28"/>
  <c r="AD28"/>
  <c r="AC28"/>
  <c r="AB28"/>
  <c r="AA28"/>
  <c r="DE27"/>
  <c r="BJ27"/>
  <c r="BV27" s="1"/>
  <c r="BI27"/>
  <c r="BH27"/>
  <c r="BT27" s="1"/>
  <c r="BG27"/>
  <c r="BF27"/>
  <c r="BR27" s="1"/>
  <c r="BE27"/>
  <c r="BD27"/>
  <c r="BP27" s="1"/>
  <c r="BC27"/>
  <c r="BB27"/>
  <c r="BN27" s="1"/>
  <c r="BA27"/>
  <c r="AZ27"/>
  <c r="BL27" s="1"/>
  <c r="AY27"/>
  <c r="BK27" s="1"/>
  <c r="AX27"/>
  <c r="CH27" s="1"/>
  <c r="AW27"/>
  <c r="AV27"/>
  <c r="CF27" s="1"/>
  <c r="AU27"/>
  <c r="AT27"/>
  <c r="CD27" s="1"/>
  <c r="AS27"/>
  <c r="AR27"/>
  <c r="CB27" s="1"/>
  <c r="AQ27"/>
  <c r="AP27"/>
  <c r="BZ27" s="1"/>
  <c r="AO27"/>
  <c r="AN27"/>
  <c r="BX27" s="1"/>
  <c r="AM27"/>
  <c r="AL27"/>
  <c r="AK27"/>
  <c r="AJ27"/>
  <c r="AI27"/>
  <c r="AH27"/>
  <c r="AG27"/>
  <c r="AF27"/>
  <c r="AE27"/>
  <c r="AD27"/>
  <c r="AC27"/>
  <c r="AB27"/>
  <c r="AA27"/>
  <c r="DE26"/>
  <c r="BJ26"/>
  <c r="BV26" s="1"/>
  <c r="BI26"/>
  <c r="BH26"/>
  <c r="BT26" s="1"/>
  <c r="BG26"/>
  <c r="BF26"/>
  <c r="BR26" s="1"/>
  <c r="BE26"/>
  <c r="BD26"/>
  <c r="BP26" s="1"/>
  <c r="BC26"/>
  <c r="BB26"/>
  <c r="BN26" s="1"/>
  <c r="BA26"/>
  <c r="AZ26"/>
  <c r="BL26" s="1"/>
  <c r="AY26"/>
  <c r="BK26" s="1"/>
  <c r="AX26"/>
  <c r="CH26" s="1"/>
  <c r="AW26"/>
  <c r="AV26"/>
  <c r="CF26" s="1"/>
  <c r="AU26"/>
  <c r="AT26"/>
  <c r="CD26" s="1"/>
  <c r="AS26"/>
  <c r="AR26"/>
  <c r="CB26" s="1"/>
  <c r="AQ26"/>
  <c r="AP26"/>
  <c r="BZ26" s="1"/>
  <c r="AO26"/>
  <c r="AN26"/>
  <c r="BX26" s="1"/>
  <c r="AM26"/>
  <c r="AL26"/>
  <c r="AK26"/>
  <c r="AJ26"/>
  <c r="AI26"/>
  <c r="AH26"/>
  <c r="AG26"/>
  <c r="AF26"/>
  <c r="AE26"/>
  <c r="AD26"/>
  <c r="AC26"/>
  <c r="AB26"/>
  <c r="AA26"/>
  <c r="DE25"/>
  <c r="BJ25"/>
  <c r="BV25" s="1"/>
  <c r="BI25"/>
  <c r="BH25"/>
  <c r="BT25" s="1"/>
  <c r="BG25"/>
  <c r="BF25"/>
  <c r="BR25" s="1"/>
  <c r="BE25"/>
  <c r="BD25"/>
  <c r="BP25" s="1"/>
  <c r="BC25"/>
  <c r="BB25"/>
  <c r="BN25" s="1"/>
  <c r="BA25"/>
  <c r="AZ25"/>
  <c r="BL25" s="1"/>
  <c r="AY25"/>
  <c r="BK25" s="1"/>
  <c r="AX25"/>
  <c r="CH25" s="1"/>
  <c r="AW25"/>
  <c r="AV25"/>
  <c r="CF25" s="1"/>
  <c r="AU25"/>
  <c r="AT25"/>
  <c r="CD25" s="1"/>
  <c r="AS25"/>
  <c r="AR25"/>
  <c r="CB25" s="1"/>
  <c r="AQ25"/>
  <c r="AP25"/>
  <c r="BZ25" s="1"/>
  <c r="AO25"/>
  <c r="AN25"/>
  <c r="BX25" s="1"/>
  <c r="AM25"/>
  <c r="AL25"/>
  <c r="AK25"/>
  <c r="AJ25"/>
  <c r="AI25"/>
  <c r="AH25"/>
  <c r="AG25"/>
  <c r="AF25"/>
  <c r="AE25"/>
  <c r="AD25"/>
  <c r="AC25"/>
  <c r="AB25"/>
  <c r="AA25"/>
  <c r="DE24"/>
  <c r="BJ24"/>
  <c r="BV24" s="1"/>
  <c r="BI24"/>
  <c r="BH24"/>
  <c r="BT24" s="1"/>
  <c r="BG24"/>
  <c r="BF24"/>
  <c r="BR24" s="1"/>
  <c r="BE24"/>
  <c r="BD24"/>
  <c r="BP24" s="1"/>
  <c r="BC24"/>
  <c r="BB24"/>
  <c r="BN24" s="1"/>
  <c r="BA24"/>
  <c r="AZ24"/>
  <c r="BL24" s="1"/>
  <c r="AY24"/>
  <c r="BK24" s="1"/>
  <c r="AX24"/>
  <c r="CH24" s="1"/>
  <c r="AW24"/>
  <c r="AV24"/>
  <c r="CF24" s="1"/>
  <c r="AU24"/>
  <c r="AT24"/>
  <c r="CD24" s="1"/>
  <c r="AS24"/>
  <c r="AR24"/>
  <c r="CB24" s="1"/>
  <c r="AQ24"/>
  <c r="AP24"/>
  <c r="BZ24" s="1"/>
  <c r="AO24"/>
  <c r="AN24"/>
  <c r="BX24" s="1"/>
  <c r="AM24"/>
  <c r="AL24"/>
  <c r="AK24"/>
  <c r="AJ24"/>
  <c r="AI24"/>
  <c r="AH24"/>
  <c r="AG24"/>
  <c r="AF24"/>
  <c r="AE24"/>
  <c r="AD24"/>
  <c r="AC24"/>
  <c r="AB24"/>
  <c r="AA24"/>
  <c r="DE23"/>
  <c r="BJ23"/>
  <c r="BV23" s="1"/>
  <c r="BI23"/>
  <c r="BH23"/>
  <c r="BT23" s="1"/>
  <c r="BG23"/>
  <c r="BF23"/>
  <c r="BR23" s="1"/>
  <c r="BE23"/>
  <c r="BD23"/>
  <c r="BP23" s="1"/>
  <c r="BC23"/>
  <c r="BB23"/>
  <c r="BN23" s="1"/>
  <c r="BA23"/>
  <c r="AZ23"/>
  <c r="BL23" s="1"/>
  <c r="AY23"/>
  <c r="BK23" s="1"/>
  <c r="AX23"/>
  <c r="CH23" s="1"/>
  <c r="AW23"/>
  <c r="AV23"/>
  <c r="CF23" s="1"/>
  <c r="AU23"/>
  <c r="AT23"/>
  <c r="CD23" s="1"/>
  <c r="AS23"/>
  <c r="AR23"/>
  <c r="CB23" s="1"/>
  <c r="AQ23"/>
  <c r="AP23"/>
  <c r="BZ23" s="1"/>
  <c r="AO23"/>
  <c r="AN23"/>
  <c r="BX23" s="1"/>
  <c r="AM23"/>
  <c r="AL23"/>
  <c r="AK23"/>
  <c r="AJ23"/>
  <c r="AI23"/>
  <c r="AH23"/>
  <c r="AG23"/>
  <c r="AF23"/>
  <c r="AE23"/>
  <c r="AD23"/>
  <c r="AC23"/>
  <c r="AB23"/>
  <c r="AA23"/>
  <c r="DE22"/>
  <c r="BJ22"/>
  <c r="BV22" s="1"/>
  <c r="BI22"/>
  <c r="BH22"/>
  <c r="BT22" s="1"/>
  <c r="BG22"/>
  <c r="BF22"/>
  <c r="BR22" s="1"/>
  <c r="BE22"/>
  <c r="BD22"/>
  <c r="BP22" s="1"/>
  <c r="BC22"/>
  <c r="BB22"/>
  <c r="BN22" s="1"/>
  <c r="BA22"/>
  <c r="AZ22"/>
  <c r="BL22" s="1"/>
  <c r="AY22"/>
  <c r="BK22" s="1"/>
  <c r="AX22"/>
  <c r="CH22" s="1"/>
  <c r="AW22"/>
  <c r="AV22"/>
  <c r="CF22" s="1"/>
  <c r="AU22"/>
  <c r="AT22"/>
  <c r="CD22" s="1"/>
  <c r="AS22"/>
  <c r="AR22"/>
  <c r="CB22" s="1"/>
  <c r="AQ22"/>
  <c r="AP22"/>
  <c r="BZ22" s="1"/>
  <c r="AO22"/>
  <c r="AN22"/>
  <c r="BX22" s="1"/>
  <c r="AM22"/>
  <c r="AL22"/>
  <c r="AK22"/>
  <c r="AJ22"/>
  <c r="AI22"/>
  <c r="AH22"/>
  <c r="AG22"/>
  <c r="AF22"/>
  <c r="AE22"/>
  <c r="AD22"/>
  <c r="AC22"/>
  <c r="AB22"/>
  <c r="AA22"/>
  <c r="DE21"/>
  <c r="BJ21"/>
  <c r="BV21" s="1"/>
  <c r="BI21"/>
  <c r="BH21"/>
  <c r="BT21" s="1"/>
  <c r="BG21"/>
  <c r="BF21"/>
  <c r="BR21" s="1"/>
  <c r="BE21"/>
  <c r="BD21"/>
  <c r="BP21" s="1"/>
  <c r="BC21"/>
  <c r="BB21"/>
  <c r="BN21" s="1"/>
  <c r="BA21"/>
  <c r="AZ21"/>
  <c r="BL21" s="1"/>
  <c r="AY21"/>
  <c r="BK21" s="1"/>
  <c r="AX21"/>
  <c r="CH21" s="1"/>
  <c r="AW21"/>
  <c r="AV21"/>
  <c r="CF21" s="1"/>
  <c r="AU21"/>
  <c r="AT21"/>
  <c r="CD21" s="1"/>
  <c r="AS21"/>
  <c r="AR21"/>
  <c r="CB21" s="1"/>
  <c r="AQ21"/>
  <c r="AP21"/>
  <c r="BZ21" s="1"/>
  <c r="AO21"/>
  <c r="AN21"/>
  <c r="BX21" s="1"/>
  <c r="AM21"/>
  <c r="AL21"/>
  <c r="AK21"/>
  <c r="AJ21"/>
  <c r="AI21"/>
  <c r="AH21"/>
  <c r="AG21"/>
  <c r="AF21"/>
  <c r="AE21"/>
  <c r="AD21"/>
  <c r="AC21"/>
  <c r="AB21"/>
  <c r="AA21"/>
  <c r="DE20"/>
  <c r="BJ20"/>
  <c r="BV20" s="1"/>
  <c r="BI20"/>
  <c r="BH20"/>
  <c r="BT20" s="1"/>
  <c r="BG20"/>
  <c r="BF20"/>
  <c r="BR20" s="1"/>
  <c r="BE20"/>
  <c r="BD20"/>
  <c r="BP20" s="1"/>
  <c r="BC20"/>
  <c r="BB20"/>
  <c r="BN20" s="1"/>
  <c r="BA20"/>
  <c r="AZ20"/>
  <c r="BL20" s="1"/>
  <c r="AY20"/>
  <c r="BK20" s="1"/>
  <c r="AX20"/>
  <c r="CH20" s="1"/>
  <c r="AW20"/>
  <c r="AV20"/>
  <c r="CF20" s="1"/>
  <c r="AU20"/>
  <c r="AT20"/>
  <c r="CD20" s="1"/>
  <c r="AS20"/>
  <c r="AR20"/>
  <c r="CB20" s="1"/>
  <c r="AQ20"/>
  <c r="AP20"/>
  <c r="BZ20" s="1"/>
  <c r="AO20"/>
  <c r="AN20"/>
  <c r="BX20" s="1"/>
  <c r="AM20"/>
  <c r="AL20"/>
  <c r="AK20"/>
  <c r="AJ20"/>
  <c r="AI20"/>
  <c r="AH20"/>
  <c r="AG20"/>
  <c r="AF20"/>
  <c r="AE20"/>
  <c r="AD20"/>
  <c r="AC20"/>
  <c r="AB20"/>
  <c r="AA20"/>
  <c r="DE19"/>
  <c r="BJ19"/>
  <c r="BV19" s="1"/>
  <c r="BI19"/>
  <c r="BH19"/>
  <c r="BT19" s="1"/>
  <c r="BG19"/>
  <c r="BF19"/>
  <c r="BR19" s="1"/>
  <c r="BE19"/>
  <c r="BD19"/>
  <c r="BP19" s="1"/>
  <c r="BC19"/>
  <c r="BB19"/>
  <c r="BN19" s="1"/>
  <c r="BA19"/>
  <c r="AZ19"/>
  <c r="BL19" s="1"/>
  <c r="AY19"/>
  <c r="BK19" s="1"/>
  <c r="AX19"/>
  <c r="CH19" s="1"/>
  <c r="AW19"/>
  <c r="AV19"/>
  <c r="CF19" s="1"/>
  <c r="AU19"/>
  <c r="AT19"/>
  <c r="CD19" s="1"/>
  <c r="AS19"/>
  <c r="AR19"/>
  <c r="CB19" s="1"/>
  <c r="AQ19"/>
  <c r="AP19"/>
  <c r="BZ19" s="1"/>
  <c r="AO19"/>
  <c r="AN19"/>
  <c r="BX19" s="1"/>
  <c r="AM19"/>
  <c r="AL19"/>
  <c r="AK19"/>
  <c r="AJ19"/>
  <c r="AI19"/>
  <c r="AH19"/>
  <c r="AG19"/>
  <c r="AF19"/>
  <c r="AE19"/>
  <c r="AD19"/>
  <c r="AC19"/>
  <c r="AB19"/>
  <c r="AA19"/>
  <c r="DE18"/>
  <c r="BJ18"/>
  <c r="BV18" s="1"/>
  <c r="BI18"/>
  <c r="BH18"/>
  <c r="BT18" s="1"/>
  <c r="BG18"/>
  <c r="BF18"/>
  <c r="BR18" s="1"/>
  <c r="BE18"/>
  <c r="BD18"/>
  <c r="BP18" s="1"/>
  <c r="BC18"/>
  <c r="BB18"/>
  <c r="BN18" s="1"/>
  <c r="BA18"/>
  <c r="AZ18"/>
  <c r="BL18" s="1"/>
  <c r="AY18"/>
  <c r="BK18" s="1"/>
  <c r="AX18"/>
  <c r="CH18" s="1"/>
  <c r="AW18"/>
  <c r="AV18"/>
  <c r="CF18" s="1"/>
  <c r="AU18"/>
  <c r="AT18"/>
  <c r="CD18" s="1"/>
  <c r="AS18"/>
  <c r="AR18"/>
  <c r="CB18" s="1"/>
  <c r="AQ18"/>
  <c r="AP18"/>
  <c r="BZ18" s="1"/>
  <c r="AO18"/>
  <c r="AN18"/>
  <c r="BX18" s="1"/>
  <c r="AM18"/>
  <c r="AL18"/>
  <c r="AK18"/>
  <c r="AJ18"/>
  <c r="AI18"/>
  <c r="AH18"/>
  <c r="AG18"/>
  <c r="AF18"/>
  <c r="AE18"/>
  <c r="AD18"/>
  <c r="AC18"/>
  <c r="AB18"/>
  <c r="AA18"/>
  <c r="DE17"/>
  <c r="BJ17"/>
  <c r="BV17" s="1"/>
  <c r="BI17"/>
  <c r="BH17"/>
  <c r="BT17" s="1"/>
  <c r="BG17"/>
  <c r="BF17"/>
  <c r="BR17" s="1"/>
  <c r="BE17"/>
  <c r="BD17"/>
  <c r="BP17" s="1"/>
  <c r="BC17"/>
  <c r="BB17"/>
  <c r="BN17" s="1"/>
  <c r="BA17"/>
  <c r="AZ17"/>
  <c r="BL17" s="1"/>
  <c r="AY17"/>
  <c r="BK17" s="1"/>
  <c r="AX17"/>
  <c r="CH17" s="1"/>
  <c r="AW17"/>
  <c r="AV17"/>
  <c r="CF17" s="1"/>
  <c r="AU17"/>
  <c r="AT17"/>
  <c r="CD17" s="1"/>
  <c r="AS17"/>
  <c r="AR17"/>
  <c r="CB17" s="1"/>
  <c r="AQ17"/>
  <c r="AP17"/>
  <c r="BZ17" s="1"/>
  <c r="AO17"/>
  <c r="AN17"/>
  <c r="BX17" s="1"/>
  <c r="AM17"/>
  <c r="AL17"/>
  <c r="AK17"/>
  <c r="AJ17"/>
  <c r="AI17"/>
  <c r="AH17"/>
  <c r="AG17"/>
  <c r="AF17"/>
  <c r="AE17"/>
  <c r="AD17"/>
  <c r="AC17"/>
  <c r="AB17"/>
  <c r="AA17"/>
  <c r="DE16"/>
  <c r="BJ16"/>
  <c r="BV16" s="1"/>
  <c r="BI16"/>
  <c r="BH16"/>
  <c r="BT16" s="1"/>
  <c r="BG16"/>
  <c r="BF16"/>
  <c r="BR16" s="1"/>
  <c r="BE16"/>
  <c r="BD16"/>
  <c r="BP16" s="1"/>
  <c r="BC16"/>
  <c r="BB16"/>
  <c r="BN16" s="1"/>
  <c r="BA16"/>
  <c r="AZ16"/>
  <c r="BL16" s="1"/>
  <c r="AY16"/>
  <c r="BK16" s="1"/>
  <c r="AX16"/>
  <c r="CH16" s="1"/>
  <c r="AW16"/>
  <c r="AV16"/>
  <c r="CF16" s="1"/>
  <c r="AU16"/>
  <c r="AT16"/>
  <c r="CD16" s="1"/>
  <c r="AS16"/>
  <c r="AR16"/>
  <c r="CB16" s="1"/>
  <c r="AQ16"/>
  <c r="AP16"/>
  <c r="BZ16" s="1"/>
  <c r="AO16"/>
  <c r="AN16"/>
  <c r="BX16" s="1"/>
  <c r="AM16"/>
  <c r="AL16"/>
  <c r="AK16"/>
  <c r="AJ16"/>
  <c r="AI16"/>
  <c r="AH16"/>
  <c r="AG16"/>
  <c r="AF16"/>
  <c r="AE16"/>
  <c r="AD16"/>
  <c r="AC16"/>
  <c r="AB16"/>
  <c r="AA16"/>
  <c r="DE15"/>
  <c r="BJ15"/>
  <c r="BV15" s="1"/>
  <c r="BI15"/>
  <c r="BH15"/>
  <c r="BT15" s="1"/>
  <c r="BG15"/>
  <c r="BF15"/>
  <c r="BR15" s="1"/>
  <c r="BE15"/>
  <c r="BD15"/>
  <c r="BP15" s="1"/>
  <c r="BC15"/>
  <c r="BB15"/>
  <c r="BN15" s="1"/>
  <c r="BA15"/>
  <c r="AZ15"/>
  <c r="BL15" s="1"/>
  <c r="AY15"/>
  <c r="BK15" s="1"/>
  <c r="AX15"/>
  <c r="CH15" s="1"/>
  <c r="AW15"/>
  <c r="AV15"/>
  <c r="CF15" s="1"/>
  <c r="AU15"/>
  <c r="AT15"/>
  <c r="CD15" s="1"/>
  <c r="AS15"/>
  <c r="AR15"/>
  <c r="CB15" s="1"/>
  <c r="AQ15"/>
  <c r="AP15"/>
  <c r="BZ15" s="1"/>
  <c r="AO15"/>
  <c r="AN15"/>
  <c r="BX15" s="1"/>
  <c r="AM15"/>
  <c r="AL15"/>
  <c r="AK15"/>
  <c r="AJ15"/>
  <c r="AI15"/>
  <c r="AH15"/>
  <c r="AG15"/>
  <c r="AF15"/>
  <c r="AE15"/>
  <c r="AD15"/>
  <c r="AC15"/>
  <c r="AB15"/>
  <c r="AA15"/>
  <c r="DE14"/>
  <c r="BJ14"/>
  <c r="BV14" s="1"/>
  <c r="BI14"/>
  <c r="BH14"/>
  <c r="BT14" s="1"/>
  <c r="BG14"/>
  <c r="BF14"/>
  <c r="BR14" s="1"/>
  <c r="BE14"/>
  <c r="BD14"/>
  <c r="BP14" s="1"/>
  <c r="BC14"/>
  <c r="BB14"/>
  <c r="BN14" s="1"/>
  <c r="BA14"/>
  <c r="AZ14"/>
  <c r="BL14" s="1"/>
  <c r="AY14"/>
  <c r="BK14" s="1"/>
  <c r="AX14"/>
  <c r="CH14" s="1"/>
  <c r="AW14"/>
  <c r="AV14"/>
  <c r="CF14" s="1"/>
  <c r="AU14"/>
  <c r="AT14"/>
  <c r="CD14" s="1"/>
  <c r="AS14"/>
  <c r="AR14"/>
  <c r="CB14" s="1"/>
  <c r="AQ14"/>
  <c r="AP14"/>
  <c r="BZ14" s="1"/>
  <c r="AO14"/>
  <c r="AN14"/>
  <c r="BX14" s="1"/>
  <c r="AM14"/>
  <c r="AL14"/>
  <c r="AK14"/>
  <c r="AJ14"/>
  <c r="AI14"/>
  <c r="AH14"/>
  <c r="AG14"/>
  <c r="AF14"/>
  <c r="AE14"/>
  <c r="AD14"/>
  <c r="AC14"/>
  <c r="AB14"/>
  <c r="AA14"/>
  <c r="DJ13"/>
  <c r="DE13"/>
  <c r="BJ13"/>
  <c r="BI13"/>
  <c r="BU13" s="1"/>
  <c r="BH13"/>
  <c r="BG13"/>
  <c r="BS13" s="1"/>
  <c r="BF13"/>
  <c r="BE13"/>
  <c r="BQ13" s="1"/>
  <c r="BD13"/>
  <c r="BC13"/>
  <c r="BO13" s="1"/>
  <c r="BB13"/>
  <c r="BA13"/>
  <c r="BM13" s="1"/>
  <c r="AZ13"/>
  <c r="AY13"/>
  <c r="BK13" s="1"/>
  <c r="AX13"/>
  <c r="AW13"/>
  <c r="CG13" s="1"/>
  <c r="AV13"/>
  <c r="AU13"/>
  <c r="CE13" s="1"/>
  <c r="AT13"/>
  <c r="AS13"/>
  <c r="CC13" s="1"/>
  <c r="AR13"/>
  <c r="AQ13"/>
  <c r="CA13" s="1"/>
  <c r="AP13"/>
  <c r="AO13"/>
  <c r="BY13" s="1"/>
  <c r="AN13"/>
  <c r="AM13"/>
  <c r="BW13" s="1"/>
  <c r="AL13"/>
  <c r="AK13"/>
  <c r="AJ13"/>
  <c r="AI13"/>
  <c r="AH13"/>
  <c r="AG13"/>
  <c r="AF13"/>
  <c r="AE13"/>
  <c r="AD13"/>
  <c r="AC13"/>
  <c r="AB13"/>
  <c r="AA13"/>
  <c r="DJ12"/>
  <c r="DE12"/>
  <c r="BJ12"/>
  <c r="BV12" s="1"/>
  <c r="BI12"/>
  <c r="BH12"/>
  <c r="BT12" s="1"/>
  <c r="BG12"/>
  <c r="BF12"/>
  <c r="BR12" s="1"/>
  <c r="BE12"/>
  <c r="BD12"/>
  <c r="BP12" s="1"/>
  <c r="BC12"/>
  <c r="BB12"/>
  <c r="BN12" s="1"/>
  <c r="BA12"/>
  <c r="AZ12"/>
  <c r="BL12" s="1"/>
  <c r="AY12"/>
  <c r="BK12" s="1"/>
  <c r="AX12"/>
  <c r="CH12" s="1"/>
  <c r="AW12"/>
  <c r="AV12"/>
  <c r="CF12" s="1"/>
  <c r="AU12"/>
  <c r="AT12"/>
  <c r="CD12" s="1"/>
  <c r="AS12"/>
  <c r="AR12"/>
  <c r="CB12" s="1"/>
  <c r="AQ12"/>
  <c r="AP12"/>
  <c r="BZ12" s="1"/>
  <c r="AO12"/>
  <c r="AN12"/>
  <c r="BX12" s="1"/>
  <c r="AM12"/>
  <c r="AL12"/>
  <c r="AK12"/>
  <c r="AJ12"/>
  <c r="AI12"/>
  <c r="AH12"/>
  <c r="AG12"/>
  <c r="AF12"/>
  <c r="AE12"/>
  <c r="AD12"/>
  <c r="AC12"/>
  <c r="AB12"/>
  <c r="AA12"/>
  <c r="DJ11"/>
  <c r="DE11"/>
  <c r="BJ11"/>
  <c r="BI11"/>
  <c r="BU11" s="1"/>
  <c r="BH11"/>
  <c r="BG11"/>
  <c r="BS11" s="1"/>
  <c r="BF11"/>
  <c r="BE11"/>
  <c r="BQ11" s="1"/>
  <c r="BD11"/>
  <c r="BC11"/>
  <c r="BO11" s="1"/>
  <c r="BB11"/>
  <c r="BA11"/>
  <c r="BM11" s="1"/>
  <c r="AZ11"/>
  <c r="AY11"/>
  <c r="BK11" s="1"/>
  <c r="AX11"/>
  <c r="AW11"/>
  <c r="CG11" s="1"/>
  <c r="AV11"/>
  <c r="AU11"/>
  <c r="CE11" s="1"/>
  <c r="AT11"/>
  <c r="AS11"/>
  <c r="CC11" s="1"/>
  <c r="AR11"/>
  <c r="AQ11"/>
  <c r="CA11" s="1"/>
  <c r="AP11"/>
  <c r="AO11"/>
  <c r="BY11" s="1"/>
  <c r="AN11"/>
  <c r="AM11"/>
  <c r="BW11" s="1"/>
  <c r="AL11"/>
  <c r="AK11"/>
  <c r="AJ11"/>
  <c r="AI11"/>
  <c r="AH11"/>
  <c r="AG11"/>
  <c r="AF11"/>
  <c r="AE11"/>
  <c r="AD11"/>
  <c r="AC11"/>
  <c r="AB11"/>
  <c r="AA11"/>
  <c r="DJ10"/>
  <c r="DE10"/>
  <c r="BJ10"/>
  <c r="BV10" s="1"/>
  <c r="BI10"/>
  <c r="BH10"/>
  <c r="BT10" s="1"/>
  <c r="BG10"/>
  <c r="BF10"/>
  <c r="BR10" s="1"/>
  <c r="BE10"/>
  <c r="BD10"/>
  <c r="BP10" s="1"/>
  <c r="BC10"/>
  <c r="BB10"/>
  <c r="BN10" s="1"/>
  <c r="BA10"/>
  <c r="AZ10"/>
  <c r="BL10" s="1"/>
  <c r="AY10"/>
  <c r="BK10" s="1"/>
  <c r="AX10"/>
  <c r="CH10" s="1"/>
  <c r="AW10"/>
  <c r="AV10"/>
  <c r="CF10" s="1"/>
  <c r="AU10"/>
  <c r="AT10"/>
  <c r="CD10" s="1"/>
  <c r="AS10"/>
  <c r="AR10"/>
  <c r="CB10" s="1"/>
  <c r="AQ10"/>
  <c r="AP10"/>
  <c r="BZ10" s="1"/>
  <c r="AO10"/>
  <c r="AN10"/>
  <c r="BX10" s="1"/>
  <c r="AM10"/>
  <c r="AL10"/>
  <c r="AK10"/>
  <c r="AJ10"/>
  <c r="AI10"/>
  <c r="AH10"/>
  <c r="AG10"/>
  <c r="AF10"/>
  <c r="AE10"/>
  <c r="AD10"/>
  <c r="AC10"/>
  <c r="AB10"/>
  <c r="AA10"/>
  <c r="DE9"/>
  <c r="BJ9"/>
  <c r="BV9" s="1"/>
  <c r="BI9"/>
  <c r="BH9"/>
  <c r="BT9" s="1"/>
  <c r="BG9"/>
  <c r="BF9"/>
  <c r="BR9" s="1"/>
  <c r="BE9"/>
  <c r="BD9"/>
  <c r="BP9" s="1"/>
  <c r="BC9"/>
  <c r="BB9"/>
  <c r="BN9" s="1"/>
  <c r="BA9"/>
  <c r="AZ9"/>
  <c r="BL9" s="1"/>
  <c r="AY9"/>
  <c r="BK9" s="1"/>
  <c r="AX9"/>
  <c r="CH9" s="1"/>
  <c r="AW9"/>
  <c r="AV9"/>
  <c r="CF9" s="1"/>
  <c r="AU9"/>
  <c r="AT9"/>
  <c r="CD9" s="1"/>
  <c r="AS9"/>
  <c r="AR9"/>
  <c r="CB9" s="1"/>
  <c r="AQ9"/>
  <c r="AP9"/>
  <c r="BZ9" s="1"/>
  <c r="AO9"/>
  <c r="AN9"/>
  <c r="BX9" s="1"/>
  <c r="AM9"/>
  <c r="AL9"/>
  <c r="AK9"/>
  <c r="AJ9"/>
  <c r="AI9"/>
  <c r="AH9"/>
  <c r="AG9"/>
  <c r="AF9"/>
  <c r="AE9"/>
  <c r="AD9"/>
  <c r="AC9"/>
  <c r="AB9"/>
  <c r="AA9"/>
  <c r="DE8"/>
  <c r="BJ8"/>
  <c r="BV8" s="1"/>
  <c r="BI8"/>
  <c r="BH8"/>
  <c r="BT8" s="1"/>
  <c r="BG8"/>
  <c r="BF8"/>
  <c r="BR8" s="1"/>
  <c r="BE8"/>
  <c r="BD8"/>
  <c r="BP8" s="1"/>
  <c r="BC8"/>
  <c r="BB8"/>
  <c r="BN8" s="1"/>
  <c r="BA8"/>
  <c r="AZ8"/>
  <c r="BL8" s="1"/>
  <c r="AY8"/>
  <c r="BK8" s="1"/>
  <c r="AX8"/>
  <c r="CH8" s="1"/>
  <c r="AW8"/>
  <c r="AV8"/>
  <c r="CF8" s="1"/>
  <c r="AU8"/>
  <c r="AT8"/>
  <c r="CD8" s="1"/>
  <c r="AS8"/>
  <c r="AR8"/>
  <c r="CB8" s="1"/>
  <c r="AQ8"/>
  <c r="AP8"/>
  <c r="BZ8" s="1"/>
  <c r="AO8"/>
  <c r="AN8"/>
  <c r="BX8" s="1"/>
  <c r="AM8"/>
  <c r="AL8"/>
  <c r="AK8"/>
  <c r="AJ8"/>
  <c r="AI8"/>
  <c r="AH8"/>
  <c r="AG8"/>
  <c r="AF8"/>
  <c r="AE8"/>
  <c r="AD8"/>
  <c r="AC8"/>
  <c r="AB8"/>
  <c r="AA8"/>
  <c r="DE7"/>
  <c r="BJ7"/>
  <c r="BV7" s="1"/>
  <c r="BI7"/>
  <c r="BH7"/>
  <c r="BT7" s="1"/>
  <c r="BG7"/>
  <c r="BF7"/>
  <c r="BR7" s="1"/>
  <c r="BE7"/>
  <c r="BD7"/>
  <c r="BP7" s="1"/>
  <c r="BC7"/>
  <c r="BB7"/>
  <c r="BN7" s="1"/>
  <c r="BA7"/>
  <c r="AZ7"/>
  <c r="BL7" s="1"/>
  <c r="AY7"/>
  <c r="BK7" s="1"/>
  <c r="AX7"/>
  <c r="CH7" s="1"/>
  <c r="AW7"/>
  <c r="AV7"/>
  <c r="CF7" s="1"/>
  <c r="AU7"/>
  <c r="AT7"/>
  <c r="CD7" s="1"/>
  <c r="AS7"/>
  <c r="AR7"/>
  <c r="CB7" s="1"/>
  <c r="AQ7"/>
  <c r="AP7"/>
  <c r="BZ7" s="1"/>
  <c r="AO7"/>
  <c r="AN7"/>
  <c r="BX7" s="1"/>
  <c r="AM7"/>
  <c r="AL7"/>
  <c r="AK7"/>
  <c r="AJ7"/>
  <c r="AI7"/>
  <c r="AH7"/>
  <c r="AG7"/>
  <c r="AF7"/>
  <c r="AE7"/>
  <c r="AD7"/>
  <c r="AC7"/>
  <c r="AB7"/>
  <c r="AA7"/>
  <c r="DE6"/>
  <c r="BJ6"/>
  <c r="BV6" s="1"/>
  <c r="BI6"/>
  <c r="BH6"/>
  <c r="BU6" s="1"/>
  <c r="BG6"/>
  <c r="BF6"/>
  <c r="BS6" s="1"/>
  <c r="BE6"/>
  <c r="BD6"/>
  <c r="BP6" s="1"/>
  <c r="BC6"/>
  <c r="BB6"/>
  <c r="BO6" s="1"/>
  <c r="BA6"/>
  <c r="AZ6"/>
  <c r="BM6" s="1"/>
  <c r="AY6"/>
  <c r="BK6" s="1"/>
  <c r="AX6"/>
  <c r="BW6" s="1"/>
  <c r="AW6"/>
  <c r="AV6"/>
  <c r="CG6" s="1"/>
  <c r="AU6"/>
  <c r="AT6"/>
  <c r="CE6" s="1"/>
  <c r="AS6"/>
  <c r="AR6"/>
  <c r="CC6" s="1"/>
  <c r="AQ6"/>
  <c r="AP6"/>
  <c r="CA6" s="1"/>
  <c r="AO6"/>
  <c r="AN6"/>
  <c r="BY6" s="1"/>
  <c r="AM6"/>
  <c r="AL6"/>
  <c r="AK6"/>
  <c r="AJ6"/>
  <c r="AI6"/>
  <c r="AH6"/>
  <c r="AG6"/>
  <c r="AF6"/>
  <c r="AE6"/>
  <c r="AD6"/>
  <c r="AC6"/>
  <c r="AB6"/>
  <c r="AA6"/>
  <c r="DE5"/>
  <c r="BJ5"/>
  <c r="BV5" s="1"/>
  <c r="BI5"/>
  <c r="BH5"/>
  <c r="BT5" s="1"/>
  <c r="BG5"/>
  <c r="BF5"/>
  <c r="BS5" s="1"/>
  <c r="BE5"/>
  <c r="BD5"/>
  <c r="BP5" s="1"/>
  <c r="BC5"/>
  <c r="BB5"/>
  <c r="BO5" s="1"/>
  <c r="BA5"/>
  <c r="AZ5"/>
  <c r="BL5" s="1"/>
  <c r="AY5"/>
  <c r="BK5" s="1"/>
  <c r="AX5"/>
  <c r="BW5" s="1"/>
  <c r="AW5"/>
  <c r="AV5"/>
  <c r="CG5" s="1"/>
  <c r="AU5"/>
  <c r="AT5"/>
  <c r="CE5" s="1"/>
  <c r="AS5"/>
  <c r="AR5"/>
  <c r="CC5" s="1"/>
  <c r="AQ5"/>
  <c r="AP5"/>
  <c r="BZ5" s="1"/>
  <c r="AO5"/>
  <c r="AN5"/>
  <c r="BY5" s="1"/>
  <c r="AM5"/>
  <c r="AL5"/>
  <c r="AK5"/>
  <c r="AJ5"/>
  <c r="AI5"/>
  <c r="AH5"/>
  <c r="AG5"/>
  <c r="AF5"/>
  <c r="AE5"/>
  <c r="AD5"/>
  <c r="AC5"/>
  <c r="AB5"/>
  <c r="AA5"/>
  <c r="DE4"/>
  <c r="BJ4"/>
  <c r="BV4" s="1"/>
  <c r="BI4"/>
  <c r="BH4"/>
  <c r="BT4" s="1"/>
  <c r="BG4"/>
  <c r="BF4"/>
  <c r="BR4" s="1"/>
  <c r="BE4"/>
  <c r="BD4"/>
  <c r="BP4" s="1"/>
  <c r="BC4"/>
  <c r="BB4"/>
  <c r="BO4" s="1"/>
  <c r="BA4"/>
  <c r="AZ4"/>
  <c r="BL4" s="1"/>
  <c r="AY4"/>
  <c r="BK4" s="1"/>
  <c r="AX4"/>
  <c r="CH4" s="1"/>
  <c r="AW4"/>
  <c r="AV4"/>
  <c r="CF4" s="1"/>
  <c r="AU4"/>
  <c r="AT4"/>
  <c r="CD4" s="1"/>
  <c r="AS4"/>
  <c r="AR4"/>
  <c r="CB4" s="1"/>
  <c r="AQ4"/>
  <c r="AP4"/>
  <c r="BZ4" s="1"/>
  <c r="AO4"/>
  <c r="AN4"/>
  <c r="BX4" s="1"/>
  <c r="AM4"/>
  <c r="AL4"/>
  <c r="AK4"/>
  <c r="AJ4"/>
  <c r="AI4"/>
  <c r="AH4"/>
  <c r="AG4"/>
  <c r="AF4"/>
  <c r="AE4"/>
  <c r="AD4"/>
  <c r="AC4"/>
  <c r="AB4"/>
  <c r="AA4"/>
  <c r="DE3"/>
  <c r="BJ3"/>
  <c r="BV3" s="1"/>
  <c r="BI3"/>
  <c r="BH3"/>
  <c r="BT3" s="1"/>
  <c r="BG3"/>
  <c r="BF3"/>
  <c r="BS3" s="1"/>
  <c r="BE3"/>
  <c r="BD3"/>
  <c r="BQ3" s="1"/>
  <c r="BC3"/>
  <c r="BB3"/>
  <c r="BN3" s="1"/>
  <c r="BA3"/>
  <c r="AZ3"/>
  <c r="BM3" s="1"/>
  <c r="AY3"/>
  <c r="BK3" s="1"/>
  <c r="AX3"/>
  <c r="BW3" s="1"/>
  <c r="AW3"/>
  <c r="AV3"/>
  <c r="CG3" s="1"/>
  <c r="AU3"/>
  <c r="AT3"/>
  <c r="CE3" s="1"/>
  <c r="AS3"/>
  <c r="AR3"/>
  <c r="CC3" s="1"/>
  <c r="AQ3"/>
  <c r="AP3"/>
  <c r="CA3" s="1"/>
  <c r="AO3"/>
  <c r="AN3"/>
  <c r="BY3" s="1"/>
  <c r="AM3"/>
  <c r="AL3"/>
  <c r="AK3"/>
  <c r="AJ3"/>
  <c r="AI3"/>
  <c r="AH3"/>
  <c r="AG3"/>
  <c r="AF3"/>
  <c r="AE3"/>
  <c r="AD3"/>
  <c r="AC3"/>
  <c r="AB3"/>
  <c r="AA3"/>
  <c r="A2"/>
  <c r="CY2" s="1"/>
  <c r="F8" i="4" s="1"/>
  <c r="K688" i="13"/>
  <c r="K687"/>
  <c r="K686"/>
  <c r="K685"/>
  <c r="K684"/>
  <c r="K683"/>
  <c r="K682"/>
  <c r="K681"/>
  <c r="K680"/>
  <c r="K679"/>
  <c r="K678"/>
  <c r="K677"/>
  <c r="K676"/>
  <c r="K675"/>
  <c r="K674"/>
  <c r="K673"/>
  <c r="K672"/>
  <c r="K671"/>
  <c r="K670"/>
  <c r="K669"/>
  <c r="K668"/>
  <c r="K667"/>
  <c r="K666"/>
  <c r="K665"/>
  <c r="K664"/>
  <c r="K663"/>
  <c r="K662"/>
  <c r="K661"/>
  <c r="K660"/>
  <c r="K659"/>
  <c r="K658"/>
  <c r="K657"/>
  <c r="K656"/>
  <c r="K655"/>
  <c r="K654"/>
  <c r="K653"/>
  <c r="K652"/>
  <c r="K651"/>
  <c r="K650"/>
  <c r="K649"/>
  <c r="K648"/>
  <c r="K647"/>
  <c r="K646"/>
  <c r="K645"/>
  <c r="K644"/>
  <c r="K643"/>
  <c r="K642"/>
  <c r="K641"/>
  <c r="K640"/>
  <c r="K639"/>
  <c r="K638"/>
  <c r="K637"/>
  <c r="K636"/>
  <c r="K635"/>
  <c r="K634"/>
  <c r="K633"/>
  <c r="K632"/>
  <c r="K631"/>
  <c r="K630"/>
  <c r="K629"/>
  <c r="K628"/>
  <c r="K627"/>
  <c r="K626"/>
  <c r="K625"/>
  <c r="K624"/>
  <c r="K623"/>
  <c r="K622"/>
  <c r="K621"/>
  <c r="K620"/>
  <c r="K619"/>
  <c r="K618"/>
  <c r="K617"/>
  <c r="K616"/>
  <c r="K615"/>
  <c r="K614"/>
  <c r="K613"/>
  <c r="K612"/>
  <c r="K611"/>
  <c r="K610"/>
  <c r="K609"/>
  <c r="K608"/>
  <c r="K607"/>
  <c r="K606"/>
  <c r="K605"/>
  <c r="K604"/>
  <c r="K603"/>
  <c r="K602"/>
  <c r="K601"/>
  <c r="K600"/>
  <c r="K599"/>
  <c r="K598"/>
  <c r="K597"/>
  <c r="K596"/>
  <c r="K595"/>
  <c r="K594"/>
  <c r="K593"/>
  <c r="K592"/>
  <c r="K591"/>
  <c r="K590"/>
  <c r="K589"/>
  <c r="K588"/>
  <c r="K587"/>
  <c r="K586"/>
  <c r="K585"/>
  <c r="K584"/>
  <c r="K583"/>
  <c r="K582"/>
  <c r="K581"/>
  <c r="K580"/>
  <c r="K579"/>
  <c r="K578"/>
  <c r="K577"/>
  <c r="K576"/>
  <c r="K575"/>
  <c r="K574"/>
  <c r="K573"/>
  <c r="K572"/>
  <c r="K571"/>
  <c r="K570"/>
  <c r="K569"/>
  <c r="K568"/>
  <c r="K567"/>
  <c r="K566"/>
  <c r="K565"/>
  <c r="K564"/>
  <c r="K563"/>
  <c r="K562"/>
  <c r="K561"/>
  <c r="K560"/>
  <c r="K559"/>
  <c r="K558"/>
  <c r="K557"/>
  <c r="K556"/>
  <c r="K555"/>
  <c r="K554"/>
  <c r="K553"/>
  <c r="K552"/>
  <c r="K551"/>
  <c r="K550"/>
  <c r="K549"/>
  <c r="K548"/>
  <c r="K547"/>
  <c r="K546"/>
  <c r="K545"/>
  <c r="K544"/>
  <c r="K543"/>
  <c r="K542"/>
  <c r="K541"/>
  <c r="K540"/>
  <c r="K539"/>
  <c r="K538"/>
  <c r="K537"/>
  <c r="K536"/>
  <c r="K535"/>
  <c r="K534"/>
  <c r="K533"/>
  <c r="K532"/>
  <c r="K531"/>
  <c r="K530"/>
  <c r="K529"/>
  <c r="K528"/>
  <c r="K527"/>
  <c r="K526"/>
  <c r="K525"/>
  <c r="K524"/>
  <c r="K523"/>
  <c r="K522"/>
  <c r="K521"/>
  <c r="K520"/>
  <c r="K519"/>
  <c r="K518"/>
  <c r="K517"/>
  <c r="K516"/>
  <c r="K515"/>
  <c r="K514"/>
  <c r="K513"/>
  <c r="K512"/>
  <c r="K511"/>
  <c r="K510"/>
  <c r="K509"/>
  <c r="K508"/>
  <c r="K507"/>
  <c r="K506"/>
  <c r="K505"/>
  <c r="K504"/>
  <c r="K503"/>
  <c r="K502"/>
  <c r="K501"/>
  <c r="K500"/>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K6"/>
  <c r="K5"/>
  <c r="K4"/>
  <c r="K3"/>
  <c r="K2"/>
  <c r="B1"/>
  <c r="U369" i="12"/>
  <c r="U368"/>
  <c r="U367"/>
  <c r="U366"/>
  <c r="U365"/>
  <c r="U364"/>
  <c r="U363"/>
  <c r="U362"/>
  <c r="U361"/>
  <c r="U360"/>
  <c r="U359"/>
  <c r="U358"/>
  <c r="U357"/>
  <c r="U356"/>
  <c r="U355"/>
  <c r="U354"/>
  <c r="U353"/>
  <c r="U352"/>
  <c r="U351"/>
  <c r="U350"/>
  <c r="U349"/>
  <c r="U348"/>
  <c r="U347"/>
  <c r="U346"/>
  <c r="U345"/>
  <c r="U344"/>
  <c r="U343"/>
  <c r="U342"/>
  <c r="U341"/>
  <c r="U340"/>
  <c r="U339"/>
  <c r="U338"/>
  <c r="U337"/>
  <c r="U336"/>
  <c r="U335"/>
  <c r="U334"/>
  <c r="U333"/>
  <c r="U332"/>
  <c r="U331"/>
  <c r="U330"/>
  <c r="U329"/>
  <c r="U328"/>
  <c r="U327"/>
  <c r="U326"/>
  <c r="U325"/>
  <c r="U324"/>
  <c r="U323"/>
  <c r="U322"/>
  <c r="U321"/>
  <c r="U320"/>
  <c r="U319"/>
  <c r="U318"/>
  <c r="U317"/>
  <c r="U316"/>
  <c r="U315"/>
  <c r="U314"/>
  <c r="U313"/>
  <c r="U312"/>
  <c r="U311"/>
  <c r="U310"/>
  <c r="U309"/>
  <c r="U308"/>
  <c r="U307"/>
  <c r="U306"/>
  <c r="U305"/>
  <c r="U304"/>
  <c r="U303"/>
  <c r="U302"/>
  <c r="U301"/>
  <c r="U300"/>
  <c r="U299"/>
  <c r="U298"/>
  <c r="U297"/>
  <c r="U296"/>
  <c r="U295"/>
  <c r="U294"/>
  <c r="U293"/>
  <c r="U292"/>
  <c r="U291"/>
  <c r="U290"/>
  <c r="U289"/>
  <c r="U288"/>
  <c r="U287"/>
  <c r="U286"/>
  <c r="U285"/>
  <c r="U284"/>
  <c r="U283"/>
  <c r="U282"/>
  <c r="U281"/>
  <c r="U280"/>
  <c r="U279"/>
  <c r="U278"/>
  <c r="U277"/>
  <c r="U276"/>
  <c r="U275"/>
  <c r="U274"/>
  <c r="U273"/>
  <c r="U272"/>
  <c r="U271"/>
  <c r="U270"/>
  <c r="U269"/>
  <c r="U268"/>
  <c r="U267"/>
  <c r="U266"/>
  <c r="U265"/>
  <c r="U264"/>
  <c r="U263"/>
  <c r="U262"/>
  <c r="U261"/>
  <c r="U260"/>
  <c r="U259"/>
  <c r="U258"/>
  <c r="U257"/>
  <c r="U256"/>
  <c r="U255"/>
  <c r="U254"/>
  <c r="U253"/>
  <c r="U252"/>
  <c r="U251"/>
  <c r="U250"/>
  <c r="U249"/>
  <c r="U248"/>
  <c r="U247"/>
  <c r="U246"/>
  <c r="U245"/>
  <c r="U244"/>
  <c r="U243"/>
  <c r="U242"/>
  <c r="U241"/>
  <c r="U240"/>
  <c r="U239"/>
  <c r="U238"/>
  <c r="U237"/>
  <c r="U236"/>
  <c r="U235"/>
  <c r="U234"/>
  <c r="U233"/>
  <c r="U232"/>
  <c r="U231"/>
  <c r="U230"/>
  <c r="U229"/>
  <c r="U228"/>
  <c r="U227"/>
  <c r="U226"/>
  <c r="U225"/>
  <c r="U224"/>
  <c r="U223"/>
  <c r="U222"/>
  <c r="U221"/>
  <c r="U220"/>
  <c r="U219"/>
  <c r="U218"/>
  <c r="U217"/>
  <c r="U216"/>
  <c r="U215"/>
  <c r="U214"/>
  <c r="U213"/>
  <c r="U212"/>
  <c r="U211"/>
  <c r="U210"/>
  <c r="U209"/>
  <c r="U208"/>
  <c r="U207"/>
  <c r="U206"/>
  <c r="U205"/>
  <c r="U204"/>
  <c r="U203"/>
  <c r="U202"/>
  <c r="U201"/>
  <c r="U200"/>
  <c r="U199"/>
  <c r="U198"/>
  <c r="U197"/>
  <c r="U196"/>
  <c r="U195"/>
  <c r="U194"/>
  <c r="U193"/>
  <c r="U192"/>
  <c r="U191"/>
  <c r="U190"/>
  <c r="U189"/>
  <c r="U188"/>
  <c r="U187"/>
  <c r="U186"/>
  <c r="U185"/>
  <c r="U184"/>
  <c r="U183"/>
  <c r="U182"/>
  <c r="U181"/>
  <c r="U180"/>
  <c r="U179"/>
  <c r="U178"/>
  <c r="U177"/>
  <c r="U176"/>
  <c r="U175"/>
  <c r="U174"/>
  <c r="U173"/>
  <c r="U172"/>
  <c r="U171"/>
  <c r="U170"/>
  <c r="U169"/>
  <c r="U168"/>
  <c r="U167"/>
  <c r="U166"/>
  <c r="U165"/>
  <c r="U164"/>
  <c r="U163"/>
  <c r="U162"/>
  <c r="U161"/>
  <c r="U160"/>
  <c r="U159"/>
  <c r="U158"/>
  <c r="U157"/>
  <c r="U156"/>
  <c r="U155"/>
  <c r="U154"/>
  <c r="U153"/>
  <c r="U152"/>
  <c r="U151"/>
  <c r="U150"/>
  <c r="U149"/>
  <c r="U148"/>
  <c r="U147"/>
  <c r="U146"/>
  <c r="U145"/>
  <c r="U144"/>
  <c r="U143"/>
  <c r="U142"/>
  <c r="U141"/>
  <c r="U140"/>
  <c r="U139"/>
  <c r="U138"/>
  <c r="U137"/>
  <c r="U136"/>
  <c r="U135"/>
  <c r="U134"/>
  <c r="U133"/>
  <c r="U132"/>
  <c r="U131"/>
  <c r="U130"/>
  <c r="U129"/>
  <c r="U128"/>
  <c r="U127"/>
  <c r="U126"/>
  <c r="U125"/>
  <c r="U124"/>
  <c r="U123"/>
  <c r="U122"/>
  <c r="U121"/>
  <c r="U120"/>
  <c r="U119"/>
  <c r="U118"/>
  <c r="U117"/>
  <c r="U116"/>
  <c r="U115"/>
  <c r="U114"/>
  <c r="U113"/>
  <c r="U112"/>
  <c r="U111"/>
  <c r="U110"/>
  <c r="U109"/>
  <c r="U108"/>
  <c r="U107"/>
  <c r="U106"/>
  <c r="U105"/>
  <c r="U104"/>
  <c r="U103"/>
  <c r="U102"/>
  <c r="U101"/>
  <c r="U100"/>
  <c r="U99"/>
  <c r="U98"/>
  <c r="U97"/>
  <c r="U96"/>
  <c r="U95"/>
  <c r="U94"/>
  <c r="U93"/>
  <c r="U92"/>
  <c r="U91"/>
  <c r="U90"/>
  <c r="U89"/>
  <c r="U88"/>
  <c r="U87"/>
  <c r="U86"/>
  <c r="U85"/>
  <c r="U84"/>
  <c r="U83"/>
  <c r="U82"/>
  <c r="U81"/>
  <c r="U80"/>
  <c r="R80"/>
  <c r="Q80"/>
  <c r="U79"/>
  <c r="R79"/>
  <c r="Q79"/>
  <c r="U78"/>
  <c r="R78"/>
  <c r="Q78"/>
  <c r="U77"/>
  <c r="R77"/>
  <c r="Q77"/>
  <c r="U76"/>
  <c r="R76"/>
  <c r="Q76"/>
  <c r="AH75"/>
  <c r="AE75"/>
  <c r="AB75"/>
  <c r="Y75"/>
  <c r="U75"/>
  <c r="R75"/>
  <c r="Q75"/>
  <c r="U74"/>
  <c r="R74"/>
  <c r="Q74"/>
  <c r="AH73"/>
  <c r="AG73"/>
  <c r="AF73"/>
  <c r="AE73"/>
  <c r="AD73"/>
  <c r="AC73"/>
  <c r="AB73"/>
  <c r="AA73"/>
  <c r="Z73"/>
  <c r="Y73"/>
  <c r="X73"/>
  <c r="W73"/>
  <c r="U73"/>
  <c r="R73"/>
  <c r="Q73"/>
  <c r="U72"/>
  <c r="R72"/>
  <c r="Q72"/>
  <c r="U71"/>
  <c r="R71"/>
  <c r="Q71"/>
  <c r="U70"/>
  <c r="R70"/>
  <c r="Q70"/>
  <c r="U69"/>
  <c r="R69"/>
  <c r="Q69"/>
  <c r="BU68"/>
  <c r="AH68"/>
  <c r="N131" s="1"/>
  <c r="AG68"/>
  <c r="AF68"/>
  <c r="AE68"/>
  <c r="M131" s="1"/>
  <c r="AD68"/>
  <c r="AC68"/>
  <c r="AB68"/>
  <c r="O131" s="1"/>
  <c r="AA68"/>
  <c r="Z68"/>
  <c r="Y68"/>
  <c r="L131" s="1"/>
  <c r="X68"/>
  <c r="W68"/>
  <c r="U68"/>
  <c r="R68"/>
  <c r="Q68"/>
  <c r="BU67"/>
  <c r="AH67"/>
  <c r="N130" s="1"/>
  <c r="AG67"/>
  <c r="AF67"/>
  <c r="AE67"/>
  <c r="M130" s="1"/>
  <c r="AD67"/>
  <c r="AC67"/>
  <c r="AB67"/>
  <c r="O130" s="1"/>
  <c r="AA67"/>
  <c r="Z67"/>
  <c r="Y67"/>
  <c r="L130" s="1"/>
  <c r="X67"/>
  <c r="W67"/>
  <c r="U67"/>
  <c r="R67"/>
  <c r="Q67"/>
  <c r="DF1018" i="22" l="1"/>
  <c r="DF1020"/>
  <c r="Y170" i="12"/>
  <c r="Y169"/>
  <c r="BL3" i="22"/>
  <c r="BP3"/>
  <c r="BR3"/>
  <c r="BX3"/>
  <c r="CW3" s="1"/>
  <c r="BZ3"/>
  <c r="CB3"/>
  <c r="CD3"/>
  <c r="CF3"/>
  <c r="CH3"/>
  <c r="BN4"/>
  <c r="BN5"/>
  <c r="BR5"/>
  <c r="BX5"/>
  <c r="CW5" s="1"/>
  <c r="CB5"/>
  <c r="CD5"/>
  <c r="CF5"/>
  <c r="CH5"/>
  <c r="BL6"/>
  <c r="BN6"/>
  <c r="BR6"/>
  <c r="BT6"/>
  <c r="BX6"/>
  <c r="BZ6"/>
  <c r="CW6" s="1"/>
  <c r="CB6"/>
  <c r="CD6"/>
  <c r="CF6"/>
  <c r="CH6"/>
  <c r="BO3"/>
  <c r="BU3"/>
  <c r="BM4"/>
  <c r="BQ4"/>
  <c r="BS4"/>
  <c r="BU4"/>
  <c r="BW4"/>
  <c r="BY4"/>
  <c r="CA4"/>
  <c r="CC4"/>
  <c r="CE4"/>
  <c r="CG4"/>
  <c r="BM5"/>
  <c r="BQ5"/>
  <c r="BU5"/>
  <c r="CA5"/>
  <c r="BQ6"/>
  <c r="BM7"/>
  <c r="BO7"/>
  <c r="BQ7"/>
  <c r="BS7"/>
  <c r="BU7"/>
  <c r="BW7"/>
  <c r="BY7"/>
  <c r="CA7"/>
  <c r="CC7"/>
  <c r="CE7"/>
  <c r="CG7"/>
  <c r="BM8"/>
  <c r="BO8"/>
  <c r="BQ8"/>
  <c r="BS8"/>
  <c r="BU8"/>
  <c r="BW8"/>
  <c r="BY8"/>
  <c r="CA8"/>
  <c r="CC8"/>
  <c r="CE8"/>
  <c r="CG8"/>
  <c r="BM9"/>
  <c r="BO9"/>
  <c r="BQ9"/>
  <c r="BS9"/>
  <c r="BU9"/>
  <c r="BW9"/>
  <c r="BY9"/>
  <c r="CA9"/>
  <c r="CC9"/>
  <c r="CE9"/>
  <c r="CG9"/>
  <c r="BM10"/>
  <c r="BO10"/>
  <c r="BQ10"/>
  <c r="BS10"/>
  <c r="BU10"/>
  <c r="BW10"/>
  <c r="BY10"/>
  <c r="CA10"/>
  <c r="CC10"/>
  <c r="CE10"/>
  <c r="CG10"/>
  <c r="BL11"/>
  <c r="BN11"/>
  <c r="BP11"/>
  <c r="BR11"/>
  <c r="BT11"/>
  <c r="BV11"/>
  <c r="BX11"/>
  <c r="CW11" s="1"/>
  <c r="BZ11"/>
  <c r="CB11"/>
  <c r="CD11"/>
  <c r="CF11"/>
  <c r="CH11"/>
  <c r="BM12"/>
  <c r="BO12"/>
  <c r="BQ12"/>
  <c r="BS12"/>
  <c r="BU12"/>
  <c r="BW12"/>
  <c r="BY12"/>
  <c r="CA12"/>
  <c r="CC12"/>
  <c r="CE12"/>
  <c r="CG12"/>
  <c r="BL13"/>
  <c r="BN13"/>
  <c r="BP13"/>
  <c r="BR13"/>
  <c r="BT13"/>
  <c r="BV13"/>
  <c r="BX13"/>
  <c r="CW13" s="1"/>
  <c r="BZ13"/>
  <c r="CB13"/>
  <c r="CD13"/>
  <c r="CF13"/>
  <c r="CH13"/>
  <c r="BM14"/>
  <c r="BO14"/>
  <c r="BQ14"/>
  <c r="BS14"/>
  <c r="BU14"/>
  <c r="BW14"/>
  <c r="BY14"/>
  <c r="CA14"/>
  <c r="CC14"/>
  <c r="CE14"/>
  <c r="CG14"/>
  <c r="BM15"/>
  <c r="BO15"/>
  <c r="BQ15"/>
  <c r="BS15"/>
  <c r="BU15"/>
  <c r="BW15"/>
  <c r="BY15"/>
  <c r="CA15"/>
  <c r="CC15"/>
  <c r="CE15"/>
  <c r="CG15"/>
  <c r="BM16"/>
  <c r="BO16"/>
  <c r="BQ16"/>
  <c r="BS16"/>
  <c r="BU16"/>
  <c r="BW16"/>
  <c r="BY16"/>
  <c r="CA16"/>
  <c r="CC16"/>
  <c r="CE16"/>
  <c r="CG16"/>
  <c r="BM17"/>
  <c r="BO17"/>
  <c r="BQ17"/>
  <c r="BS17"/>
  <c r="BU17"/>
  <c r="BW17"/>
  <c r="BY17"/>
  <c r="CA17"/>
  <c r="CC17"/>
  <c r="CE17"/>
  <c r="CG17"/>
  <c r="BM18"/>
  <c r="BO18"/>
  <c r="BQ18"/>
  <c r="BS18"/>
  <c r="BU18"/>
  <c r="BW18"/>
  <c r="BY18"/>
  <c r="CA18"/>
  <c r="CC18"/>
  <c r="CE18"/>
  <c r="CG18"/>
  <c r="BM19"/>
  <c r="BO19"/>
  <c r="BQ19"/>
  <c r="BS19"/>
  <c r="BU19"/>
  <c r="BW19"/>
  <c r="BY19"/>
  <c r="CA19"/>
  <c r="CC19"/>
  <c r="CE19"/>
  <c r="CG19"/>
  <c r="BM20"/>
  <c r="BO20"/>
  <c r="BQ20"/>
  <c r="BS20"/>
  <c r="BU20"/>
  <c r="BW20"/>
  <c r="BY20"/>
  <c r="CA20"/>
  <c r="CC20"/>
  <c r="CE20"/>
  <c r="CG20"/>
  <c r="BM21"/>
  <c r="BO21"/>
  <c r="BQ21"/>
  <c r="BS21"/>
  <c r="BU21"/>
  <c r="BW21"/>
  <c r="BY21"/>
  <c r="CA21"/>
  <c r="CC21"/>
  <c r="CE21"/>
  <c r="CG21"/>
  <c r="BM22"/>
  <c r="BO22"/>
  <c r="BQ22"/>
  <c r="BS22"/>
  <c r="BU22"/>
  <c r="BW22"/>
  <c r="BY22"/>
  <c r="CA22"/>
  <c r="CC22"/>
  <c r="CE22"/>
  <c r="CG22"/>
  <c r="BM23"/>
  <c r="BO23"/>
  <c r="BQ23"/>
  <c r="BS23"/>
  <c r="BU23"/>
  <c r="BW23"/>
  <c r="BY23"/>
  <c r="CA23"/>
  <c r="CC23"/>
  <c r="CE23"/>
  <c r="CG23"/>
  <c r="BM24"/>
  <c r="BO24"/>
  <c r="BQ24"/>
  <c r="BS24"/>
  <c r="BU24"/>
  <c r="BW24"/>
  <c r="BY24"/>
  <c r="CA24"/>
  <c r="CC24"/>
  <c r="CE24"/>
  <c r="CG24"/>
  <c r="BM25"/>
  <c r="BO25"/>
  <c r="BQ25"/>
  <c r="BS25"/>
  <c r="BU25"/>
  <c r="BW25"/>
  <c r="BY25"/>
  <c r="CA25"/>
  <c r="CC25"/>
  <c r="CE25"/>
  <c r="CG25"/>
  <c r="BM26"/>
  <c r="BO26"/>
  <c r="BQ26"/>
  <c r="BS26"/>
  <c r="BU26"/>
  <c r="BW26"/>
  <c r="BY26"/>
  <c r="CA26"/>
  <c r="CC26"/>
  <c r="CE26"/>
  <c r="CG26"/>
  <c r="BM27"/>
  <c r="BO27"/>
  <c r="BQ27"/>
  <c r="BS27"/>
  <c r="BU27"/>
  <c r="BW27"/>
  <c r="BY27"/>
  <c r="CA27"/>
  <c r="CC27"/>
  <c r="CE27"/>
  <c r="CG27"/>
  <c r="BM28"/>
  <c r="BO28"/>
  <c r="BQ28"/>
  <c r="BS28"/>
  <c r="BU28"/>
  <c r="BW28"/>
  <c r="BY28"/>
  <c r="CA28"/>
  <c r="CC28"/>
  <c r="CE28"/>
  <c r="CG28"/>
  <c r="BM29"/>
  <c r="BO29"/>
  <c r="BQ29"/>
  <c r="BS29"/>
  <c r="BU29"/>
  <c r="BW29"/>
  <c r="BY29"/>
  <c r="CA29"/>
  <c r="CC29"/>
  <c r="CE29"/>
  <c r="CG29"/>
  <c r="BM30"/>
  <c r="BO30"/>
  <c r="BQ30"/>
  <c r="BS30"/>
  <c r="BU30"/>
  <c r="BW30"/>
  <c r="BY30"/>
  <c r="CA30"/>
  <c r="CC30"/>
  <c r="CE30"/>
  <c r="CG30"/>
  <c r="BM31"/>
  <c r="BO31"/>
  <c r="BQ31"/>
  <c r="BS31"/>
  <c r="BU31"/>
  <c r="BW31"/>
  <c r="BY31"/>
  <c r="CA31"/>
  <c r="CC31"/>
  <c r="CE31"/>
  <c r="CG31"/>
  <c r="BM32"/>
  <c r="BO32"/>
  <c r="BQ32"/>
  <c r="BS32"/>
  <c r="BU32"/>
  <c r="BW32"/>
  <c r="BY32"/>
  <c r="CA32"/>
  <c r="CC32"/>
  <c r="CE32"/>
  <c r="CG32"/>
  <c r="BM33"/>
  <c r="BO33"/>
  <c r="BQ33"/>
  <c r="BS33"/>
  <c r="BU33"/>
  <c r="BW33"/>
  <c r="BY33"/>
  <c r="CA33"/>
  <c r="CC33"/>
  <c r="CE33"/>
  <c r="CG33"/>
  <c r="BM34"/>
  <c r="BO34"/>
  <c r="BQ34"/>
  <c r="BS34"/>
  <c r="BU34"/>
  <c r="BW34"/>
  <c r="BY34"/>
  <c r="CA34"/>
  <c r="CC34"/>
  <c r="CE34"/>
  <c r="CG34"/>
  <c r="BM35"/>
  <c r="BO35"/>
  <c r="BQ35"/>
  <c r="BS35"/>
  <c r="BU35"/>
  <c r="BW35"/>
  <c r="BY35"/>
  <c r="CA35"/>
  <c r="CC35"/>
  <c r="CE35"/>
  <c r="CG35"/>
  <c r="BM36"/>
  <c r="BO36"/>
  <c r="BQ36"/>
  <c r="BS36"/>
  <c r="BU36"/>
  <c r="BW36"/>
  <c r="BY36"/>
  <c r="CA36"/>
  <c r="CC36"/>
  <c r="CE36"/>
  <c r="CG36"/>
  <c r="BM37"/>
  <c r="BO37"/>
  <c r="BQ37"/>
  <c r="BS37"/>
  <c r="BU37"/>
  <c r="BW37"/>
  <c r="BY37"/>
  <c r="CA37"/>
  <c r="CC37"/>
  <c r="CE37"/>
  <c r="CG37"/>
  <c r="BM38"/>
  <c r="BO38"/>
  <c r="BQ38"/>
  <c r="BS38"/>
  <c r="BU38"/>
  <c r="BW38"/>
  <c r="BY38"/>
  <c r="CA38"/>
  <c r="CC38"/>
  <c r="CE38"/>
  <c r="CG38"/>
  <c r="BM39"/>
  <c r="BO39"/>
  <c r="BQ39"/>
  <c r="BS39"/>
  <c r="BU39"/>
  <c r="BW39"/>
  <c r="BY39"/>
  <c r="CA39"/>
  <c r="CC39"/>
  <c r="CE39"/>
  <c r="CG39"/>
  <c r="BM40"/>
  <c r="BO40"/>
  <c r="BQ40"/>
  <c r="BS40"/>
  <c r="BU40"/>
  <c r="BW40"/>
  <c r="BY40"/>
  <c r="CA40"/>
  <c r="CC40"/>
  <c r="CE40"/>
  <c r="CG40"/>
  <c r="BM41"/>
  <c r="BO41"/>
  <c r="BQ41"/>
  <c r="BS41"/>
  <c r="BU41"/>
  <c r="BW41"/>
  <c r="BY41"/>
  <c r="CA41"/>
  <c r="CC41"/>
  <c r="CE41"/>
  <c r="CG41"/>
  <c r="BM42"/>
  <c r="BO42"/>
  <c r="BQ42"/>
  <c r="BS42"/>
  <c r="BU42"/>
  <c r="BW42"/>
  <c r="BY42"/>
  <c r="CA42"/>
  <c r="CC42"/>
  <c r="CE42"/>
  <c r="CG42"/>
  <c r="BM43"/>
  <c r="BO43"/>
  <c r="BQ43"/>
  <c r="BS43"/>
  <c r="BU43"/>
  <c r="BW43"/>
  <c r="BY43"/>
  <c r="CA43"/>
  <c r="CC43"/>
  <c r="CE43"/>
  <c r="CG43"/>
  <c r="BM44"/>
  <c r="BO44"/>
  <c r="BQ44"/>
  <c r="BS44"/>
  <c r="BU44"/>
  <c r="BW44"/>
  <c r="BY44"/>
  <c r="CA44"/>
  <c r="CC44"/>
  <c r="CE44"/>
  <c r="CG44"/>
  <c r="BM45"/>
  <c r="BO45"/>
  <c r="BQ45"/>
  <c r="BS45"/>
  <c r="BU45"/>
  <c r="BW45"/>
  <c r="BY45"/>
  <c r="CA45"/>
  <c r="CC45"/>
  <c r="CE45"/>
  <c r="CG45"/>
  <c r="BM46"/>
  <c r="BO46"/>
  <c r="BQ46"/>
  <c r="BS46"/>
  <c r="BU46"/>
  <c r="BW46"/>
  <c r="BY46"/>
  <c r="CA46"/>
  <c r="CC46"/>
  <c r="CE46"/>
  <c r="CG46"/>
  <c r="BM47"/>
  <c r="BO47"/>
  <c r="BQ47"/>
  <c r="BS47"/>
  <c r="BU47"/>
  <c r="BW47"/>
  <c r="BY47"/>
  <c r="CA47"/>
  <c r="CC47"/>
  <c r="CE47"/>
  <c r="CG47"/>
  <c r="BM48"/>
  <c r="BO48"/>
  <c r="BQ48"/>
  <c r="BS48"/>
  <c r="BU48"/>
  <c r="BW48"/>
  <c r="BY48"/>
  <c r="CA48"/>
  <c r="CC48"/>
  <c r="CE48"/>
  <c r="CG48"/>
  <c r="BM49"/>
  <c r="BO49"/>
  <c r="BQ49"/>
  <c r="BS49"/>
  <c r="BU49"/>
  <c r="BW49"/>
  <c r="BY49"/>
  <c r="CA49"/>
  <c r="CC49"/>
  <c r="CE49"/>
  <c r="CG49"/>
  <c r="BM50"/>
  <c r="BO50"/>
  <c r="BQ50"/>
  <c r="BS50"/>
  <c r="BU50"/>
  <c r="BW50"/>
  <c r="BY50"/>
  <c r="CA50"/>
  <c r="CC50"/>
  <c r="CE50"/>
  <c r="CG50"/>
  <c r="BM51"/>
  <c r="BO51"/>
  <c r="BQ51"/>
  <c r="BS51"/>
  <c r="BU51"/>
  <c r="BW51"/>
  <c r="BY51"/>
  <c r="CA51"/>
  <c r="CC51"/>
  <c r="CE51"/>
  <c r="CG51"/>
  <c r="BM52"/>
  <c r="BO52"/>
  <c r="BQ52"/>
  <c r="BS52"/>
  <c r="BU52"/>
  <c r="BW52"/>
  <c r="BY52"/>
  <c r="CA52"/>
  <c r="CC52"/>
  <c r="CE52"/>
  <c r="CG52"/>
  <c r="BM53"/>
  <c r="BO53"/>
  <c r="BQ53"/>
  <c r="BS53"/>
  <c r="BU53"/>
  <c r="BW53"/>
  <c r="BY53"/>
  <c r="CA53"/>
  <c r="CC53"/>
  <c r="CE53"/>
  <c r="CG53"/>
  <c r="BM54"/>
  <c r="BO54"/>
  <c r="BQ54"/>
  <c r="BS54"/>
  <c r="BU54"/>
  <c r="BW54"/>
  <c r="BY54"/>
  <c r="CA54"/>
  <c r="CC54"/>
  <c r="CE54"/>
  <c r="CG54"/>
  <c r="BM55"/>
  <c r="BO55"/>
  <c r="BQ55"/>
  <c r="BS55"/>
  <c r="BU55"/>
  <c r="BW55"/>
  <c r="BY55"/>
  <c r="CA55"/>
  <c r="CC55"/>
  <c r="CE55"/>
  <c r="CG55"/>
  <c r="BM56"/>
  <c r="BO56"/>
  <c r="BQ56"/>
  <c r="BS56"/>
  <c r="BU56"/>
  <c r="BW56"/>
  <c r="BY56"/>
  <c r="CA56"/>
  <c r="CC56"/>
  <c r="CE56"/>
  <c r="CG56"/>
  <c r="BM57"/>
  <c r="BO57"/>
  <c r="BQ57"/>
  <c r="BS57"/>
  <c r="BU57"/>
  <c r="BW57"/>
  <c r="BY57"/>
  <c r="CA57"/>
  <c r="CC57"/>
  <c r="CE57"/>
  <c r="CG57"/>
  <c r="BM58"/>
  <c r="BO58"/>
  <c r="BQ58"/>
  <c r="BS58"/>
  <c r="BU58"/>
  <c r="BW58"/>
  <c r="BY58"/>
  <c r="CA58"/>
  <c r="CC58"/>
  <c r="CE58"/>
  <c r="CG58"/>
  <c r="BM59"/>
  <c r="BO59"/>
  <c r="BQ59"/>
  <c r="BS59"/>
  <c r="BU59"/>
  <c r="BW59"/>
  <c r="BY59"/>
  <c r="CA59"/>
  <c r="CC59"/>
  <c r="CE59"/>
  <c r="CG59"/>
  <c r="BM60"/>
  <c r="BO60"/>
  <c r="BQ60"/>
  <c r="BS60"/>
  <c r="BU60"/>
  <c r="BW60"/>
  <c r="BY60"/>
  <c r="CA60"/>
  <c r="CC60"/>
  <c r="CE60"/>
  <c r="CG60"/>
  <c r="BM61"/>
  <c r="BO61"/>
  <c r="BQ61"/>
  <c r="BS61"/>
  <c r="BU61"/>
  <c r="BW61"/>
  <c r="BY61"/>
  <c r="CA61"/>
  <c r="CC61"/>
  <c r="CE61"/>
  <c r="CG61"/>
  <c r="BM62"/>
  <c r="BO62"/>
  <c r="BQ62"/>
  <c r="BS62"/>
  <c r="BU62"/>
  <c r="BW62"/>
  <c r="BY62"/>
  <c r="CA62"/>
  <c r="CC62"/>
  <c r="CE62"/>
  <c r="CG62"/>
  <c r="BM63"/>
  <c r="BO63"/>
  <c r="BQ63"/>
  <c r="BS63"/>
  <c r="BU63"/>
  <c r="BW63"/>
  <c r="BY63"/>
  <c r="CA63"/>
  <c r="CC63"/>
  <c r="CE63"/>
  <c r="CG63"/>
  <c r="BM64"/>
  <c r="BO64"/>
  <c r="BQ64"/>
  <c r="BS64"/>
  <c r="BU64"/>
  <c r="BW64"/>
  <c r="BY64"/>
  <c r="CA64"/>
  <c r="CC64"/>
  <c r="CE64"/>
  <c r="CG64"/>
  <c r="BM65"/>
  <c r="BO65"/>
  <c r="BQ65"/>
  <c r="BS65"/>
  <c r="BU65"/>
  <c r="BW65"/>
  <c r="BY65"/>
  <c r="CA65"/>
  <c r="CC65"/>
  <c r="CE65"/>
  <c r="CG65"/>
  <c r="BM66"/>
  <c r="BO66"/>
  <c r="BQ66"/>
  <c r="BS66"/>
  <c r="BU66"/>
  <c r="BW66"/>
  <c r="BY66"/>
  <c r="CA66"/>
  <c r="CC66"/>
  <c r="CE66"/>
  <c r="CG66"/>
  <c r="BM67"/>
  <c r="BO67"/>
  <c r="BQ67"/>
  <c r="BS67"/>
  <c r="BU67"/>
  <c r="BW67"/>
  <c r="BY67"/>
  <c r="CA67"/>
  <c r="CC67"/>
  <c r="CE67"/>
  <c r="CG67"/>
  <c r="BM68"/>
  <c r="BO68"/>
  <c r="BQ68"/>
  <c r="BS68"/>
  <c r="BU68"/>
  <c r="BW68"/>
  <c r="BY68"/>
  <c r="CA68"/>
  <c r="CC68"/>
  <c r="CE68"/>
  <c r="CG68"/>
  <c r="BM69"/>
  <c r="BO69"/>
  <c r="BQ69"/>
  <c r="BS69"/>
  <c r="BU69"/>
  <c r="BW69"/>
  <c r="BY69"/>
  <c r="CA69"/>
  <c r="CC69"/>
  <c r="CE69"/>
  <c r="CG69"/>
  <c r="BM70"/>
  <c r="BO70"/>
  <c r="BQ70"/>
  <c r="BS70"/>
  <c r="BU70"/>
  <c r="BW70"/>
  <c r="BY70"/>
  <c r="CA70"/>
  <c r="CC70"/>
  <c r="CE70"/>
  <c r="CG70"/>
  <c r="BM71"/>
  <c r="BO71"/>
  <c r="BQ71"/>
  <c r="BS71"/>
  <c r="BU71"/>
  <c r="BW71"/>
  <c r="BY71"/>
  <c r="CA71"/>
  <c r="CC71"/>
  <c r="CE71"/>
  <c r="CG71"/>
  <c r="BM72"/>
  <c r="BO72"/>
  <c r="BQ72"/>
  <c r="BS72"/>
  <c r="BU72"/>
  <c r="BW72"/>
  <c r="BY72"/>
  <c r="CA72"/>
  <c r="CC72"/>
  <c r="CE72"/>
  <c r="CG72"/>
  <c r="BM73"/>
  <c r="BO73"/>
  <c r="BQ73"/>
  <c r="BS73"/>
  <c r="BU73"/>
  <c r="BW73"/>
  <c r="BY73"/>
  <c r="CA73"/>
  <c r="CC73"/>
  <c r="CE73"/>
  <c r="CG73"/>
  <c r="BM74"/>
  <c r="BO74"/>
  <c r="BQ74"/>
  <c r="BS74"/>
  <c r="BU74"/>
  <c r="BW74"/>
  <c r="BY74"/>
  <c r="CA74"/>
  <c r="CC74"/>
  <c r="CE74"/>
  <c r="CG74"/>
  <c r="BM75"/>
  <c r="BO75"/>
  <c r="BQ75"/>
  <c r="BS75"/>
  <c r="BU75"/>
  <c r="BW75"/>
  <c r="BY75"/>
  <c r="CA75"/>
  <c r="CC75"/>
  <c r="CE75"/>
  <c r="CG75"/>
  <c r="BM76"/>
  <c r="BO76"/>
  <c r="BQ76"/>
  <c r="BS76"/>
  <c r="BU76"/>
  <c r="BW76"/>
  <c r="BY76"/>
  <c r="CA76"/>
  <c r="CC76"/>
  <c r="CE76"/>
  <c r="CG76"/>
  <c r="BM77"/>
  <c r="BO77"/>
  <c r="BQ77"/>
  <c r="BS77"/>
  <c r="BU77"/>
  <c r="BW77"/>
  <c r="BY77"/>
  <c r="CA77"/>
  <c r="CC77"/>
  <c r="CE77"/>
  <c r="CG77"/>
  <c r="BM78"/>
  <c r="BO78"/>
  <c r="BQ78"/>
  <c r="BS78"/>
  <c r="BU78"/>
  <c r="BW78"/>
  <c r="BY78"/>
  <c r="CA78"/>
  <c r="CC78"/>
  <c r="CE78"/>
  <c r="CG78"/>
  <c r="BM79"/>
  <c r="BO79"/>
  <c r="BQ79"/>
  <c r="BS79"/>
  <c r="BU79"/>
  <c r="BW79"/>
  <c r="BY79"/>
  <c r="CA79"/>
  <c r="CC79"/>
  <c r="CE79"/>
  <c r="CG79"/>
  <c r="BM80"/>
  <c r="BO80"/>
  <c r="BQ80"/>
  <c r="BS80"/>
  <c r="BU80"/>
  <c r="BW80"/>
  <c r="BY80"/>
  <c r="CA80"/>
  <c r="CC80"/>
  <c r="CE80"/>
  <c r="CG80"/>
  <c r="BM81"/>
  <c r="BO81"/>
  <c r="BQ81"/>
  <c r="BS81"/>
  <c r="BU81"/>
  <c r="BW81"/>
  <c r="BY81"/>
  <c r="CA81"/>
  <c r="CC81"/>
  <c r="CE81"/>
  <c r="CG81"/>
  <c r="BM82"/>
  <c r="BO82"/>
  <c r="BQ82"/>
  <c r="BS82"/>
  <c r="BU82"/>
  <c r="BW82"/>
  <c r="BY82"/>
  <c r="CA82"/>
  <c r="CC82"/>
  <c r="CE82"/>
  <c r="CG82"/>
  <c r="BM83"/>
  <c r="BO83"/>
  <c r="BQ83"/>
  <c r="BS83"/>
  <c r="BU83"/>
  <c r="BW83"/>
  <c r="BY83"/>
  <c r="CA83"/>
  <c r="CC83"/>
  <c r="CE83"/>
  <c r="CG83"/>
  <c r="BM84"/>
  <c r="BO84"/>
  <c r="BQ84"/>
  <c r="BS84"/>
  <c r="BU84"/>
  <c r="BW84"/>
  <c r="BY84"/>
  <c r="CA84"/>
  <c r="CC84"/>
  <c r="CE84"/>
  <c r="CG84"/>
  <c r="BM85"/>
  <c r="BO85"/>
  <c r="BQ85"/>
  <c r="BS85"/>
  <c r="BU85"/>
  <c r="BW85"/>
  <c r="BY85"/>
  <c r="CA85"/>
  <c r="CC85"/>
  <c r="CE85"/>
  <c r="CG85"/>
  <c r="BM86"/>
  <c r="BO86"/>
  <c r="BQ86"/>
  <c r="BS86"/>
  <c r="BU86"/>
  <c r="BW86"/>
  <c r="BY86"/>
  <c r="CA86"/>
  <c r="CC86"/>
  <c r="CE86"/>
  <c r="CG86"/>
  <c r="BM87"/>
  <c r="BO87"/>
  <c r="BQ87"/>
  <c r="BS87"/>
  <c r="BU87"/>
  <c r="BW87"/>
  <c r="BY87"/>
  <c r="CA87"/>
  <c r="CC87"/>
  <c r="CE87"/>
  <c r="CG87"/>
  <c r="BM88"/>
  <c r="BO88"/>
  <c r="BQ88"/>
  <c r="BS88"/>
  <c r="BU88"/>
  <c r="BW88"/>
  <c r="BY88"/>
  <c r="CA88"/>
  <c r="CC88"/>
  <c r="CE88"/>
  <c r="CG88"/>
  <c r="BM89"/>
  <c r="BO89"/>
  <c r="BQ89"/>
  <c r="BS89"/>
  <c r="BU89"/>
  <c r="BW89"/>
  <c r="BY89"/>
  <c r="CA89"/>
  <c r="CC89"/>
  <c r="CE89"/>
  <c r="CG89"/>
  <c r="BM90"/>
  <c r="BO90"/>
  <c r="BQ90"/>
  <c r="BS90"/>
  <c r="BU90"/>
  <c r="BW90"/>
  <c r="BY90"/>
  <c r="CA90"/>
  <c r="CC90"/>
  <c r="CE90"/>
  <c r="CG90"/>
  <c r="BM91"/>
  <c r="BO91"/>
  <c r="BQ91"/>
  <c r="BS91"/>
  <c r="BU91"/>
  <c r="BW91"/>
  <c r="BY91"/>
  <c r="CA91"/>
  <c r="CC91"/>
  <c r="CE91"/>
  <c r="CG91"/>
  <c r="BM92"/>
  <c r="BO92"/>
  <c r="BQ92"/>
  <c r="BS92"/>
  <c r="BU92"/>
  <c r="BW92"/>
  <c r="BY92"/>
  <c r="CA92"/>
  <c r="CC92"/>
  <c r="CE92"/>
  <c r="CG92"/>
  <c r="BM93"/>
  <c r="BO93"/>
  <c r="BQ93"/>
  <c r="BS93"/>
  <c r="BU93"/>
  <c r="BW93"/>
  <c r="BY93"/>
  <c r="CA93"/>
  <c r="CC93"/>
  <c r="CE93"/>
  <c r="CG93"/>
  <c r="BM94"/>
  <c r="BO94"/>
  <c r="BQ94"/>
  <c r="BS94"/>
  <c r="BU94"/>
  <c r="BW94"/>
  <c r="BY94"/>
  <c r="CA94"/>
  <c r="CC94"/>
  <c r="CE94"/>
  <c r="CG94"/>
  <c r="BM95"/>
  <c r="BO95"/>
  <c r="BQ95"/>
  <c r="BS95"/>
  <c r="BU95"/>
  <c r="BW95"/>
  <c r="BY95"/>
  <c r="CA95"/>
  <c r="CC95"/>
  <c r="CE95"/>
  <c r="CG95"/>
  <c r="BM96"/>
  <c r="BO96"/>
  <c r="BQ96"/>
  <c r="BS96"/>
  <c r="BU96"/>
  <c r="BW96"/>
  <c r="BY96"/>
  <c r="CA96"/>
  <c r="CC96"/>
  <c r="CE96"/>
  <c r="CG96"/>
  <c r="BM97"/>
  <c r="BO97"/>
  <c r="BQ97"/>
  <c r="BS97"/>
  <c r="BU97"/>
  <c r="BW97"/>
  <c r="BY97"/>
  <c r="CA97"/>
  <c r="CC97"/>
  <c r="CE97"/>
  <c r="CG97"/>
  <c r="BM98"/>
  <c r="BO98"/>
  <c r="BQ98"/>
  <c r="BS98"/>
  <c r="BU98"/>
  <c r="BW98"/>
  <c r="BY98"/>
  <c r="CA98"/>
  <c r="CC98"/>
  <c r="CE98"/>
  <c r="CG98"/>
  <c r="BM99"/>
  <c r="BO99"/>
  <c r="BQ99"/>
  <c r="BS99"/>
  <c r="BU99"/>
  <c r="BW99"/>
  <c r="BY99"/>
  <c r="CA99"/>
  <c r="CC99"/>
  <c r="CE99"/>
  <c r="CG99"/>
  <c r="BM100"/>
  <c r="BO100"/>
  <c r="BQ100"/>
  <c r="BS100"/>
  <c r="BU100"/>
  <c r="BW100"/>
  <c r="BY100"/>
  <c r="CA100"/>
  <c r="CC100"/>
  <c r="CE100"/>
  <c r="CG100"/>
  <c r="BM101"/>
  <c r="BO101"/>
  <c r="BQ101"/>
  <c r="BS101"/>
  <c r="BU101"/>
  <c r="BW101"/>
  <c r="BY101"/>
  <c r="CA101"/>
  <c r="CC101"/>
  <c r="CE101"/>
  <c r="CG101"/>
  <c r="BM102"/>
  <c r="BO102"/>
  <c r="BQ102"/>
  <c r="BS102"/>
  <c r="BU102"/>
  <c r="BW102"/>
  <c r="BY102"/>
  <c r="CA102"/>
  <c r="CC102"/>
  <c r="CE102"/>
  <c r="CG102"/>
  <c r="BM103"/>
  <c r="BO103"/>
  <c r="BQ103"/>
  <c r="BS103"/>
  <c r="BU103"/>
  <c r="BW103"/>
  <c r="BY103"/>
  <c r="CA103"/>
  <c r="CC103"/>
  <c r="CE103"/>
  <c r="CG103"/>
  <c r="BM104"/>
  <c r="BO104"/>
  <c r="BQ104"/>
  <c r="BS104"/>
  <c r="BU104"/>
  <c r="BW104"/>
  <c r="BY104"/>
  <c r="CA104"/>
  <c r="CC104"/>
  <c r="CE104"/>
  <c r="CG104"/>
  <c r="BM105"/>
  <c r="BO105"/>
  <c r="BQ105"/>
  <c r="BS105"/>
  <c r="BU105"/>
  <c r="BW105"/>
  <c r="BY105"/>
  <c r="CA105"/>
  <c r="CC105"/>
  <c r="CE105"/>
  <c r="CG105"/>
  <c r="BM106"/>
  <c r="BO106"/>
  <c r="BQ106"/>
  <c r="BS106"/>
  <c r="BU106"/>
  <c r="BW106"/>
  <c r="BY106"/>
  <c r="CA106"/>
  <c r="CC106"/>
  <c r="CE106"/>
  <c r="CG106"/>
  <c r="BM107"/>
  <c r="BO107"/>
  <c r="BQ107"/>
  <c r="BS107"/>
  <c r="BU107"/>
  <c r="BW107"/>
  <c r="BY107"/>
  <c r="CA107"/>
  <c r="CC107"/>
  <c r="CE107"/>
  <c r="CG107"/>
  <c r="BM108"/>
  <c r="BO108"/>
  <c r="BQ108"/>
  <c r="BS108"/>
  <c r="BU108"/>
  <c r="BW108"/>
  <c r="BY108"/>
  <c r="CA108"/>
  <c r="CC108"/>
  <c r="CE108"/>
  <c r="CG108"/>
  <c r="BM109"/>
  <c r="BO109"/>
  <c r="BQ109"/>
  <c r="BS109"/>
  <c r="BU109"/>
  <c r="BW109"/>
  <c r="BY109"/>
  <c r="CA109"/>
  <c r="CC109"/>
  <c r="CE109"/>
  <c r="CG109"/>
  <c r="BM110"/>
  <c r="BO110"/>
  <c r="BQ110"/>
  <c r="BS110"/>
  <c r="BU110"/>
  <c r="BW110"/>
  <c r="BY110"/>
  <c r="CA110"/>
  <c r="CC110"/>
  <c r="CE110"/>
  <c r="CG110"/>
  <c r="BM111"/>
  <c r="BO111"/>
  <c r="BQ111"/>
  <c r="BS111"/>
  <c r="BU111"/>
  <c r="BW111"/>
  <c r="BY111"/>
  <c r="CA111"/>
  <c r="CC111"/>
  <c r="CE111"/>
  <c r="CG111"/>
  <c r="BM112"/>
  <c r="BO112"/>
  <c r="BQ112"/>
  <c r="BS112"/>
  <c r="BU112"/>
  <c r="BW112"/>
  <c r="BY112"/>
  <c r="CA112"/>
  <c r="CC112"/>
  <c r="CE112"/>
  <c r="CG112"/>
  <c r="BM113"/>
  <c r="BO113"/>
  <c r="BQ113"/>
  <c r="BS113"/>
  <c r="BU113"/>
  <c r="BW113"/>
  <c r="BY113"/>
  <c r="CA113"/>
  <c r="CC113"/>
  <c r="CE113"/>
  <c r="CG113"/>
  <c r="BM114"/>
  <c r="BO114"/>
  <c r="BQ114"/>
  <c r="BS114"/>
  <c r="BU114"/>
  <c r="BW114"/>
  <c r="BY114"/>
  <c r="CA114"/>
  <c r="CC114"/>
  <c r="CE114"/>
  <c r="CG114"/>
  <c r="BM115"/>
  <c r="BO115"/>
  <c r="BQ115"/>
  <c r="BS115"/>
  <c r="BU115"/>
  <c r="BW115"/>
  <c r="BY115"/>
  <c r="CA115"/>
  <c r="CC115"/>
  <c r="CE115"/>
  <c r="CG115"/>
  <c r="BM116"/>
  <c r="BO116"/>
  <c r="BQ116"/>
  <c r="BS116"/>
  <c r="BU116"/>
  <c r="BW116"/>
  <c r="BY116"/>
  <c r="CA116"/>
  <c r="CC116"/>
  <c r="CE116"/>
  <c r="CG116"/>
  <c r="BM117"/>
  <c r="BO117"/>
  <c r="BQ117"/>
  <c r="BS117"/>
  <c r="BU117"/>
  <c r="BW117"/>
  <c r="BY117"/>
  <c r="CA117"/>
  <c r="CC117"/>
  <c r="CE117"/>
  <c r="CG117"/>
  <c r="BM118"/>
  <c r="BO118"/>
  <c r="BQ118"/>
  <c r="BS118"/>
  <c r="BU118"/>
  <c r="BW118"/>
  <c r="CA118"/>
  <c r="CC118"/>
  <c r="CE118"/>
  <c r="CG118"/>
  <c r="BK119"/>
  <c r="BL119"/>
  <c r="BW120"/>
  <c r="BN120"/>
  <c r="BR120"/>
  <c r="BZ120"/>
  <c r="CD120"/>
  <c r="CH120"/>
  <c r="BK121"/>
  <c r="BL121"/>
  <c r="BP121"/>
  <c r="BT121"/>
  <c r="BX121"/>
  <c r="CB121"/>
  <c r="CF121"/>
  <c r="BW122"/>
  <c r="BN122"/>
  <c r="BR122"/>
  <c r="BZ122"/>
  <c r="CD122"/>
  <c r="CH122"/>
  <c r="BK123"/>
  <c r="BL123"/>
  <c r="BP123"/>
  <c r="BT123"/>
  <c r="BX123"/>
  <c r="CB123"/>
  <c r="CF123"/>
  <c r="CW212"/>
  <c r="CT212" s="1"/>
  <c r="CS212" s="1"/>
  <c r="CR212" s="1"/>
  <c r="CQ212" s="1"/>
  <c r="CW214"/>
  <c r="CT214" s="1"/>
  <c r="CS214" s="1"/>
  <c r="CW216"/>
  <c r="CT216" s="1"/>
  <c r="CS216" s="1"/>
  <c r="CR216" s="1"/>
  <c r="CQ216" s="1"/>
  <c r="CP216" s="1"/>
  <c r="CO216" s="1"/>
  <c r="CN216" s="1"/>
  <c r="CM216" s="1"/>
  <c r="CL216" s="1"/>
  <c r="CK216" s="1"/>
  <c r="CW218"/>
  <c r="CT218" s="1"/>
  <c r="CS218" s="1"/>
  <c r="CR218" s="1"/>
  <c r="CQ218" s="1"/>
  <c r="CP218" s="1"/>
  <c r="CO218" s="1"/>
  <c r="CN218" s="1"/>
  <c r="CM218" s="1"/>
  <c r="CL218" s="1"/>
  <c r="CK218" s="1"/>
  <c r="CW220"/>
  <c r="CT220" s="1"/>
  <c r="CS220" s="1"/>
  <c r="CR220" s="1"/>
  <c r="CQ220" s="1"/>
  <c r="CP220" s="1"/>
  <c r="CO220" s="1"/>
  <c r="CN220" s="1"/>
  <c r="CM220" s="1"/>
  <c r="CL220" s="1"/>
  <c r="CK220" s="1"/>
  <c r="CW222"/>
  <c r="CW224"/>
  <c r="CT224" s="1"/>
  <c r="CS224" s="1"/>
  <c r="CJ239"/>
  <c r="CN239"/>
  <c r="CR239"/>
  <c r="CW317"/>
  <c r="CT317" s="1"/>
  <c r="CW319"/>
  <c r="CT319" s="1"/>
  <c r="CW321"/>
  <c r="CT321" s="1"/>
  <c r="CS321" s="1"/>
  <c r="CR321" s="1"/>
  <c r="CQ321" s="1"/>
  <c r="CP321" s="1"/>
  <c r="CO321" s="1"/>
  <c r="CN321" s="1"/>
  <c r="CM321" s="1"/>
  <c r="CL321" s="1"/>
  <c r="CK321" s="1"/>
  <c r="CJ321" s="1"/>
  <c r="CW323"/>
  <c r="CT323" s="1"/>
  <c r="CS323" s="1"/>
  <c r="CR323" s="1"/>
  <c r="CQ323" s="1"/>
  <c r="CP323" s="1"/>
  <c r="CO323" s="1"/>
  <c r="CN323" s="1"/>
  <c r="CM323" s="1"/>
  <c r="CL323" s="1"/>
  <c r="CK323" s="1"/>
  <c r="CJ323" s="1"/>
  <c r="CW325"/>
  <c r="CT325" s="1"/>
  <c r="CS325" s="1"/>
  <c r="CR325" s="1"/>
  <c r="CQ325" s="1"/>
  <c r="CP325" s="1"/>
  <c r="CO325" s="1"/>
  <c r="CN325" s="1"/>
  <c r="CM325" s="1"/>
  <c r="CL325" s="1"/>
  <c r="CK325" s="1"/>
  <c r="CJ325" s="1"/>
  <c r="CW327"/>
  <c r="CT327" s="1"/>
  <c r="CW329"/>
  <c r="CT329" s="1"/>
  <c r="BW119"/>
  <c r="CW119" s="1"/>
  <c r="CT119" s="1"/>
  <c r="CS119" s="1"/>
  <c r="CR119" s="1"/>
  <c r="CQ119" s="1"/>
  <c r="BN119"/>
  <c r="BR119"/>
  <c r="BW121"/>
  <c r="BN121"/>
  <c r="BR121"/>
  <c r="BZ121"/>
  <c r="CD121"/>
  <c r="CH121"/>
  <c r="BW123"/>
  <c r="BN123"/>
  <c r="BR123"/>
  <c r="BZ123"/>
  <c r="CD123"/>
  <c r="CH123"/>
  <c r="CW211"/>
  <c r="CT211" s="1"/>
  <c r="CS211" s="1"/>
  <c r="CW213"/>
  <c r="CT213" s="1"/>
  <c r="CS213" s="1"/>
  <c r="CR213" s="1"/>
  <c r="CQ213" s="1"/>
  <c r="CW215"/>
  <c r="CT215" s="1"/>
  <c r="CS215" s="1"/>
  <c r="CW217"/>
  <c r="CT217" s="1"/>
  <c r="CS217" s="1"/>
  <c r="CR217" s="1"/>
  <c r="CQ217" s="1"/>
  <c r="CP217" s="1"/>
  <c r="CO217" s="1"/>
  <c r="CN217" s="1"/>
  <c r="CM217" s="1"/>
  <c r="CL217" s="1"/>
  <c r="CK217" s="1"/>
  <c r="CW219"/>
  <c r="CT219" s="1"/>
  <c r="CS219" s="1"/>
  <c r="CR219" s="1"/>
  <c r="CQ219" s="1"/>
  <c r="CP219" s="1"/>
  <c r="CO219" s="1"/>
  <c r="CN219" s="1"/>
  <c r="CM219" s="1"/>
  <c r="CL219" s="1"/>
  <c r="CK219" s="1"/>
  <c r="CW221"/>
  <c r="CT221" s="1"/>
  <c r="CS221" s="1"/>
  <c r="CR221" s="1"/>
  <c r="CQ221" s="1"/>
  <c r="CP221" s="1"/>
  <c r="CO221" s="1"/>
  <c r="CN221" s="1"/>
  <c r="CM221" s="1"/>
  <c r="CL221" s="1"/>
  <c r="CK221" s="1"/>
  <c r="CW223"/>
  <c r="CW225"/>
  <c r="CW318"/>
  <c r="CT318" s="1"/>
  <c r="CW320"/>
  <c r="CT320" s="1"/>
  <c r="CS320" s="1"/>
  <c r="CR320" s="1"/>
  <c r="CQ320" s="1"/>
  <c r="CP320" s="1"/>
  <c r="CO320" s="1"/>
  <c r="CN320" s="1"/>
  <c r="CM320" s="1"/>
  <c r="CL320" s="1"/>
  <c r="CK320" s="1"/>
  <c r="CJ320" s="1"/>
  <c r="CW322"/>
  <c r="CT322" s="1"/>
  <c r="CS322" s="1"/>
  <c r="CR322" s="1"/>
  <c r="CQ322" s="1"/>
  <c r="CP322" s="1"/>
  <c r="CO322" s="1"/>
  <c r="CN322" s="1"/>
  <c r="CM322" s="1"/>
  <c r="CL322" s="1"/>
  <c r="CK322" s="1"/>
  <c r="CJ322" s="1"/>
  <c r="CW324"/>
  <c r="CT324" s="1"/>
  <c r="CS324" s="1"/>
  <c r="CR324" s="1"/>
  <c r="CQ324" s="1"/>
  <c r="CP324" s="1"/>
  <c r="CO324" s="1"/>
  <c r="CN324" s="1"/>
  <c r="CM324" s="1"/>
  <c r="CL324" s="1"/>
  <c r="CK324" s="1"/>
  <c r="CJ324" s="1"/>
  <c r="CW326"/>
  <c r="CT326" s="1"/>
  <c r="CS326" s="1"/>
  <c r="CR326" s="1"/>
  <c r="CQ326" s="1"/>
  <c r="CP326" s="1"/>
  <c r="CO326" s="1"/>
  <c r="CN326" s="1"/>
  <c r="CM326" s="1"/>
  <c r="CL326" s="1"/>
  <c r="CK326" s="1"/>
  <c r="CJ326" s="1"/>
  <c r="CW328"/>
  <c r="CT328" s="1"/>
  <c r="BX435"/>
  <c r="BY435"/>
  <c r="BZ435"/>
  <c r="CA435"/>
  <c r="CB435"/>
  <c r="CC435"/>
  <c r="CD435"/>
  <c r="CE435"/>
  <c r="CF435"/>
  <c r="CG435"/>
  <c r="CH435"/>
  <c r="BW435"/>
  <c r="CW435" s="1"/>
  <c r="BP435"/>
  <c r="BQ435"/>
  <c r="BR435"/>
  <c r="BS435"/>
  <c r="BT435"/>
  <c r="BU435"/>
  <c r="BL124"/>
  <c r="BN124"/>
  <c r="BP124"/>
  <c r="BR124"/>
  <c r="BT124"/>
  <c r="BX124"/>
  <c r="CW124" s="1"/>
  <c r="BZ124"/>
  <c r="CB124"/>
  <c r="CD124"/>
  <c r="CF124"/>
  <c r="CH124"/>
  <c r="BL125"/>
  <c r="BN125"/>
  <c r="BP125"/>
  <c r="BR125"/>
  <c r="BT125"/>
  <c r="BX125"/>
  <c r="CW125" s="1"/>
  <c r="BZ125"/>
  <c r="CB125"/>
  <c r="CD125"/>
  <c r="CF125"/>
  <c r="CH125"/>
  <c r="BL126"/>
  <c r="BN126"/>
  <c r="BP126"/>
  <c r="BR126"/>
  <c r="BT126"/>
  <c r="BX126"/>
  <c r="CW126" s="1"/>
  <c r="BZ126"/>
  <c r="CB126"/>
  <c r="CD126"/>
  <c r="CF126"/>
  <c r="CH126"/>
  <c r="BL127"/>
  <c r="BN127"/>
  <c r="BP127"/>
  <c r="BR127"/>
  <c r="BT127"/>
  <c r="BX127"/>
  <c r="CW127" s="1"/>
  <c r="BZ127"/>
  <c r="CB127"/>
  <c r="CD127"/>
  <c r="CF127"/>
  <c r="CH127"/>
  <c r="BL128"/>
  <c r="BN128"/>
  <c r="BP128"/>
  <c r="BR128"/>
  <c r="BT128"/>
  <c r="BX128"/>
  <c r="CW128" s="1"/>
  <c r="BZ128"/>
  <c r="CB128"/>
  <c r="CD128"/>
  <c r="CF128"/>
  <c r="CH128"/>
  <c r="BL129"/>
  <c r="BN129"/>
  <c r="BP129"/>
  <c r="BR129"/>
  <c r="BT129"/>
  <c r="BX129"/>
  <c r="CW129" s="1"/>
  <c r="BZ129"/>
  <c r="CB129"/>
  <c r="CD129"/>
  <c r="CF129"/>
  <c r="CH129"/>
  <c r="BL130"/>
  <c r="BN130"/>
  <c r="BP130"/>
  <c r="BR130"/>
  <c r="BT130"/>
  <c r="BX130"/>
  <c r="CW130" s="1"/>
  <c r="BZ130"/>
  <c r="CB130"/>
  <c r="CD130"/>
  <c r="CF130"/>
  <c r="CH130"/>
  <c r="BL131"/>
  <c r="BN131"/>
  <c r="BP131"/>
  <c r="BR131"/>
  <c r="BT131"/>
  <c r="BX131"/>
  <c r="CW131" s="1"/>
  <c r="BZ131"/>
  <c r="CB131"/>
  <c r="CD131"/>
  <c r="CF131"/>
  <c r="CH131"/>
  <c r="BL132"/>
  <c r="BN132"/>
  <c r="BP132"/>
  <c r="BR132"/>
  <c r="BT132"/>
  <c r="BX132"/>
  <c r="CW132" s="1"/>
  <c r="BZ132"/>
  <c r="CB132"/>
  <c r="CD132"/>
  <c r="CF132"/>
  <c r="CH132"/>
  <c r="BL133"/>
  <c r="BN133"/>
  <c r="BP133"/>
  <c r="BR133"/>
  <c r="BT133"/>
  <c r="BX133"/>
  <c r="CW133" s="1"/>
  <c r="BZ133"/>
  <c r="CB133"/>
  <c r="CD133"/>
  <c r="CF133"/>
  <c r="CH133"/>
  <c r="BL134"/>
  <c r="BN134"/>
  <c r="BP134"/>
  <c r="BR134"/>
  <c r="BT134"/>
  <c r="BX134"/>
  <c r="CW134" s="1"/>
  <c r="BZ134"/>
  <c r="CB134"/>
  <c r="CD134"/>
  <c r="CF134"/>
  <c r="CH134"/>
  <c r="BL135"/>
  <c r="BN135"/>
  <c r="BP135"/>
  <c r="BR135"/>
  <c r="BT135"/>
  <c r="BX135"/>
  <c r="CW135" s="1"/>
  <c r="BZ135"/>
  <c r="CB135"/>
  <c r="CD135"/>
  <c r="CF135"/>
  <c r="CH135"/>
  <c r="BL136"/>
  <c r="BN136"/>
  <c r="BP136"/>
  <c r="BR136"/>
  <c r="BT136"/>
  <c r="BX136"/>
  <c r="CW136" s="1"/>
  <c r="BZ136"/>
  <c r="CB136"/>
  <c r="CD136"/>
  <c r="CF136"/>
  <c r="CH136"/>
  <c r="BL137"/>
  <c r="BN137"/>
  <c r="BP137"/>
  <c r="BR137"/>
  <c r="BT137"/>
  <c r="BX137"/>
  <c r="CW137" s="1"/>
  <c r="BZ137"/>
  <c r="CB137"/>
  <c r="CD137"/>
  <c r="CF137"/>
  <c r="CH137"/>
  <c r="BL138"/>
  <c r="BN138"/>
  <c r="BP138"/>
  <c r="BR138"/>
  <c r="BT138"/>
  <c r="BX138"/>
  <c r="CW138" s="1"/>
  <c r="BZ138"/>
  <c r="CB138"/>
  <c r="CD138"/>
  <c r="CF138"/>
  <c r="CH138"/>
  <c r="BL139"/>
  <c r="BN139"/>
  <c r="BP139"/>
  <c r="BR139"/>
  <c r="BT139"/>
  <c r="BX139"/>
  <c r="CW139" s="1"/>
  <c r="BZ139"/>
  <c r="CB139"/>
  <c r="CD139"/>
  <c r="CF139"/>
  <c r="CH139"/>
  <c r="BL140"/>
  <c r="BN140"/>
  <c r="BP140"/>
  <c r="BR140"/>
  <c r="BT140"/>
  <c r="BX140"/>
  <c r="CW140" s="1"/>
  <c r="BZ140"/>
  <c r="CB140"/>
  <c r="CD140"/>
  <c r="CF140"/>
  <c r="CH140"/>
  <c r="BL141"/>
  <c r="BN141"/>
  <c r="BP141"/>
  <c r="BR141"/>
  <c r="BT141"/>
  <c r="BX141"/>
  <c r="CW141" s="1"/>
  <c r="BZ141"/>
  <c r="CB141"/>
  <c r="CD141"/>
  <c r="CF141"/>
  <c r="CH141"/>
  <c r="BL142"/>
  <c r="BN142"/>
  <c r="BP142"/>
  <c r="BR142"/>
  <c r="BT142"/>
  <c r="BX142"/>
  <c r="CW142" s="1"/>
  <c r="BZ142"/>
  <c r="CB142"/>
  <c r="CD142"/>
  <c r="CF142"/>
  <c r="CH142"/>
  <c r="BL143"/>
  <c r="BN143"/>
  <c r="BP143"/>
  <c r="BR143"/>
  <c r="BT143"/>
  <c r="BX143"/>
  <c r="CW143" s="1"/>
  <c r="BZ143"/>
  <c r="CB143"/>
  <c r="CD143"/>
  <c r="CF143"/>
  <c r="CH143"/>
  <c r="BL144"/>
  <c r="BN144"/>
  <c r="BP144"/>
  <c r="BR144"/>
  <c r="BT144"/>
  <c r="BX144"/>
  <c r="CW144" s="1"/>
  <c r="BZ144"/>
  <c r="CB144"/>
  <c r="CD144"/>
  <c r="CF144"/>
  <c r="CH144"/>
  <c r="BL145"/>
  <c r="BN145"/>
  <c r="BP145"/>
  <c r="BR145"/>
  <c r="BT145"/>
  <c r="BX145"/>
  <c r="CW145" s="1"/>
  <c r="BZ145"/>
  <c r="CB145"/>
  <c r="CD145"/>
  <c r="CF145"/>
  <c r="CH145"/>
  <c r="BL146"/>
  <c r="BN146"/>
  <c r="BP146"/>
  <c r="BR146"/>
  <c r="BT146"/>
  <c r="BX146"/>
  <c r="CW146" s="1"/>
  <c r="BZ146"/>
  <c r="CB146"/>
  <c r="CD146"/>
  <c r="CF146"/>
  <c r="CH146"/>
  <c r="BL147"/>
  <c r="BN147"/>
  <c r="BP147"/>
  <c r="BR147"/>
  <c r="BT147"/>
  <c r="BX147"/>
  <c r="CW147" s="1"/>
  <c r="BZ147"/>
  <c r="CB147"/>
  <c r="CD147"/>
  <c r="CF147"/>
  <c r="CH147"/>
  <c r="BL148"/>
  <c r="BN148"/>
  <c r="BP148"/>
  <c r="BR148"/>
  <c r="BT148"/>
  <c r="BX148"/>
  <c r="CW148" s="1"/>
  <c r="BZ148"/>
  <c r="CB148"/>
  <c r="CD148"/>
  <c r="CF148"/>
  <c r="CH148"/>
  <c r="BL149"/>
  <c r="BN149"/>
  <c r="BP149"/>
  <c r="BR149"/>
  <c r="BT149"/>
  <c r="BX149"/>
  <c r="CW149" s="1"/>
  <c r="BZ149"/>
  <c r="CB149"/>
  <c r="CD149"/>
  <c r="CF149"/>
  <c r="CH149"/>
  <c r="BL150"/>
  <c r="BN150"/>
  <c r="BP150"/>
  <c r="BR150"/>
  <c r="BT150"/>
  <c r="BX150"/>
  <c r="CW150" s="1"/>
  <c r="BZ150"/>
  <c r="CB150"/>
  <c r="CD150"/>
  <c r="CF150"/>
  <c r="CH150"/>
  <c r="BL151"/>
  <c r="BN151"/>
  <c r="BP151"/>
  <c r="BR151"/>
  <c r="BT151"/>
  <c r="BX151"/>
  <c r="CW151" s="1"/>
  <c r="BZ151"/>
  <c r="CB151"/>
  <c r="CD151"/>
  <c r="CF151"/>
  <c r="CH151"/>
  <c r="BL152"/>
  <c r="BN152"/>
  <c r="BP152"/>
  <c r="BR152"/>
  <c r="BT152"/>
  <c r="BX152"/>
  <c r="CW152" s="1"/>
  <c r="BZ152"/>
  <c r="CB152"/>
  <c r="CD152"/>
  <c r="CF152"/>
  <c r="CH152"/>
  <c r="BL153"/>
  <c r="BN153"/>
  <c r="BP153"/>
  <c r="BR153"/>
  <c r="BT153"/>
  <c r="BX153"/>
  <c r="CW153" s="1"/>
  <c r="BZ153"/>
  <c r="CB153"/>
  <c r="CD153"/>
  <c r="CF153"/>
  <c r="CH153"/>
  <c r="BL154"/>
  <c r="BN154"/>
  <c r="BP154"/>
  <c r="BR154"/>
  <c r="BT154"/>
  <c r="BX154"/>
  <c r="CW154" s="1"/>
  <c r="BZ154"/>
  <c r="CB154"/>
  <c r="CD154"/>
  <c r="CF154"/>
  <c r="CH154"/>
  <c r="BL155"/>
  <c r="BN155"/>
  <c r="BP155"/>
  <c r="BR155"/>
  <c r="BT155"/>
  <c r="BX155"/>
  <c r="CW155" s="1"/>
  <c r="BZ155"/>
  <c r="CB155"/>
  <c r="CD155"/>
  <c r="CF155"/>
  <c r="CH155"/>
  <c r="BL156"/>
  <c r="BN156"/>
  <c r="BP156"/>
  <c r="BR156"/>
  <c r="BT156"/>
  <c r="BX156"/>
  <c r="CW156" s="1"/>
  <c r="BZ156"/>
  <c r="CB156"/>
  <c r="CD156"/>
  <c r="CF156"/>
  <c r="CH156"/>
  <c r="BL157"/>
  <c r="BN157"/>
  <c r="BP157"/>
  <c r="BR157"/>
  <c r="BT157"/>
  <c r="BX157"/>
  <c r="CW157" s="1"/>
  <c r="BZ157"/>
  <c r="CB157"/>
  <c r="CD157"/>
  <c r="CF157"/>
  <c r="CH157"/>
  <c r="BL158"/>
  <c r="BN158"/>
  <c r="BP158"/>
  <c r="BR158"/>
  <c r="BT158"/>
  <c r="BX158"/>
  <c r="CW158" s="1"/>
  <c r="BZ158"/>
  <c r="CB158"/>
  <c r="CD158"/>
  <c r="CF158"/>
  <c r="CH158"/>
  <c r="BL159"/>
  <c r="BN159"/>
  <c r="BP159"/>
  <c r="BR159"/>
  <c r="BT159"/>
  <c r="BX159"/>
  <c r="CW159" s="1"/>
  <c r="BZ159"/>
  <c r="CB159"/>
  <c r="CD159"/>
  <c r="CF159"/>
  <c r="CH159"/>
  <c r="BL160"/>
  <c r="BN160"/>
  <c r="BP160"/>
  <c r="BR160"/>
  <c r="BT160"/>
  <c r="BX160"/>
  <c r="CW160" s="1"/>
  <c r="BZ160"/>
  <c r="CB160"/>
  <c r="CD160"/>
  <c r="CF160"/>
  <c r="CH160"/>
  <c r="BL161"/>
  <c r="BN161"/>
  <c r="BP161"/>
  <c r="BR161"/>
  <c r="BT161"/>
  <c r="BX161"/>
  <c r="CW161" s="1"/>
  <c r="BZ161"/>
  <c r="CB161"/>
  <c r="CD161"/>
  <c r="CF161"/>
  <c r="CH161"/>
  <c r="BL162"/>
  <c r="BN162"/>
  <c r="BP162"/>
  <c r="BR162"/>
  <c r="BT162"/>
  <c r="BX162"/>
  <c r="CW162" s="1"/>
  <c r="BZ162"/>
  <c r="CB162"/>
  <c r="CD162"/>
  <c r="CF162"/>
  <c r="CH162"/>
  <c r="BL163"/>
  <c r="BN163"/>
  <c r="BP163"/>
  <c r="BR163"/>
  <c r="BT163"/>
  <c r="BX163"/>
  <c r="CW163" s="1"/>
  <c r="BZ163"/>
  <c r="CB163"/>
  <c r="CD163"/>
  <c r="CF163"/>
  <c r="CH163"/>
  <c r="BL164"/>
  <c r="BN164"/>
  <c r="BP164"/>
  <c r="BR164"/>
  <c r="BT164"/>
  <c r="BX164"/>
  <c r="CW164" s="1"/>
  <c r="BZ164"/>
  <c r="CB164"/>
  <c r="CD164"/>
  <c r="CF164"/>
  <c r="CH164"/>
  <c r="BL165"/>
  <c r="BN165"/>
  <c r="BP165"/>
  <c r="BR165"/>
  <c r="BT165"/>
  <c r="BX165"/>
  <c r="CW165" s="1"/>
  <c r="BZ165"/>
  <c r="CB165"/>
  <c r="CD165"/>
  <c r="CF165"/>
  <c r="CH165"/>
  <c r="BL166"/>
  <c r="BN166"/>
  <c r="BP166"/>
  <c r="BR166"/>
  <c r="BT166"/>
  <c r="BX166"/>
  <c r="CW166" s="1"/>
  <c r="BZ166"/>
  <c r="CB166"/>
  <c r="CD166"/>
  <c r="CF166"/>
  <c r="CH166"/>
  <c r="BL167"/>
  <c r="BN167"/>
  <c r="BP167"/>
  <c r="BR167"/>
  <c r="BT167"/>
  <c r="BX167"/>
  <c r="CW167" s="1"/>
  <c r="BZ167"/>
  <c r="CB167"/>
  <c r="CD167"/>
  <c r="CF167"/>
  <c r="CH167"/>
  <c r="BL168"/>
  <c r="BN168"/>
  <c r="BP168"/>
  <c r="BR168"/>
  <c r="BT168"/>
  <c r="BX168"/>
  <c r="CW168" s="1"/>
  <c r="BZ168"/>
  <c r="CB168"/>
  <c r="CD168"/>
  <c r="CF168"/>
  <c r="CH168"/>
  <c r="BL169"/>
  <c r="BN169"/>
  <c r="BP169"/>
  <c r="BR169"/>
  <c r="BT169"/>
  <c r="BX169"/>
  <c r="CW169" s="1"/>
  <c r="BZ169"/>
  <c r="CB169"/>
  <c r="CD169"/>
  <c r="CF169"/>
  <c r="CH169"/>
  <c r="BL170"/>
  <c r="BN170"/>
  <c r="BP170"/>
  <c r="BR170"/>
  <c r="BT170"/>
  <c r="BX170"/>
  <c r="CW170" s="1"/>
  <c r="BZ170"/>
  <c r="CB170"/>
  <c r="CD170"/>
  <c r="CF170"/>
  <c r="CH170"/>
  <c r="BL171"/>
  <c r="BN171"/>
  <c r="BP171"/>
  <c r="BR171"/>
  <c r="BT171"/>
  <c r="BX171"/>
  <c r="CW171" s="1"/>
  <c r="BZ171"/>
  <c r="CB171"/>
  <c r="CD171"/>
  <c r="CF171"/>
  <c r="CH171"/>
  <c r="BL172"/>
  <c r="BN172"/>
  <c r="BP172"/>
  <c r="BR172"/>
  <c r="BT172"/>
  <c r="BX172"/>
  <c r="CW172" s="1"/>
  <c r="BZ172"/>
  <c r="CB172"/>
  <c r="CD172"/>
  <c r="CF172"/>
  <c r="CH172"/>
  <c r="BL173"/>
  <c r="BN173"/>
  <c r="BP173"/>
  <c r="BR173"/>
  <c r="BT173"/>
  <c r="BX173"/>
  <c r="CW173" s="1"/>
  <c r="BZ173"/>
  <c r="CB173"/>
  <c r="CD173"/>
  <c r="CF173"/>
  <c r="CH173"/>
  <c r="BL174"/>
  <c r="BN174"/>
  <c r="BP174"/>
  <c r="BR174"/>
  <c r="BT174"/>
  <c r="BX174"/>
  <c r="CW174" s="1"/>
  <c r="BZ174"/>
  <c r="CB174"/>
  <c r="CD174"/>
  <c r="CF174"/>
  <c r="CH174"/>
  <c r="BL175"/>
  <c r="BN175"/>
  <c r="BP175"/>
  <c r="BR175"/>
  <c r="BT175"/>
  <c r="BX175"/>
  <c r="CW175" s="1"/>
  <c r="BZ175"/>
  <c r="CB175"/>
  <c r="CD175"/>
  <c r="CF175"/>
  <c r="CH175"/>
  <c r="BL176"/>
  <c r="BN176"/>
  <c r="BP176"/>
  <c r="BR176"/>
  <c r="BT176"/>
  <c r="BX176"/>
  <c r="CW176" s="1"/>
  <c r="BZ176"/>
  <c r="CB176"/>
  <c r="CD176"/>
  <c r="CF176"/>
  <c r="CH176"/>
  <c r="BL177"/>
  <c r="BN177"/>
  <c r="BP177"/>
  <c r="BR177"/>
  <c r="BT177"/>
  <c r="BX177"/>
  <c r="CW177" s="1"/>
  <c r="BZ177"/>
  <c r="CB177"/>
  <c r="CD177"/>
  <c r="CF177"/>
  <c r="CH177"/>
  <c r="BL178"/>
  <c r="BN178"/>
  <c r="BP178"/>
  <c r="BR178"/>
  <c r="BT178"/>
  <c r="BX178"/>
  <c r="CW178" s="1"/>
  <c r="BZ178"/>
  <c r="CB178"/>
  <c r="CD178"/>
  <c r="CF178"/>
  <c r="CH178"/>
  <c r="BL179"/>
  <c r="BN179"/>
  <c r="BP179"/>
  <c r="BR179"/>
  <c r="BT179"/>
  <c r="BX179"/>
  <c r="CW179" s="1"/>
  <c r="BZ179"/>
  <c r="CB179"/>
  <c r="CD179"/>
  <c r="CF179"/>
  <c r="CH179"/>
  <c r="BL180"/>
  <c r="BN180"/>
  <c r="BP180"/>
  <c r="BR180"/>
  <c r="BT180"/>
  <c r="BX180"/>
  <c r="CW180" s="1"/>
  <c r="BZ180"/>
  <c r="CB180"/>
  <c r="CD180"/>
  <c r="CF180"/>
  <c r="CH180"/>
  <c r="BL181"/>
  <c r="BN181"/>
  <c r="BP181"/>
  <c r="BR181"/>
  <c r="BT181"/>
  <c r="BX181"/>
  <c r="CW181" s="1"/>
  <c r="BZ181"/>
  <c r="CB181"/>
  <c r="CD181"/>
  <c r="CF181"/>
  <c r="CH181"/>
  <c r="BL182"/>
  <c r="BN182"/>
  <c r="BP182"/>
  <c r="BR182"/>
  <c r="BT182"/>
  <c r="BX182"/>
  <c r="CW182" s="1"/>
  <c r="BZ182"/>
  <c r="CB182"/>
  <c r="CD182"/>
  <c r="CF182"/>
  <c r="CH182"/>
  <c r="BL183"/>
  <c r="BN183"/>
  <c r="BP183"/>
  <c r="BR183"/>
  <c r="BT183"/>
  <c r="BX183"/>
  <c r="CW183" s="1"/>
  <c r="BZ183"/>
  <c r="CB183"/>
  <c r="CD183"/>
  <c r="CF183"/>
  <c r="CH183"/>
  <c r="BL184"/>
  <c r="BN184"/>
  <c r="BP184"/>
  <c r="BR184"/>
  <c r="BT184"/>
  <c r="BX184"/>
  <c r="CW184" s="1"/>
  <c r="BZ184"/>
  <c r="CB184"/>
  <c r="CD184"/>
  <c r="CF184"/>
  <c r="CH184"/>
  <c r="BL185"/>
  <c r="BN185"/>
  <c r="BP185"/>
  <c r="BR185"/>
  <c r="BT185"/>
  <c r="BX185"/>
  <c r="CW185" s="1"/>
  <c r="BZ185"/>
  <c r="CB185"/>
  <c r="CD185"/>
  <c r="CF185"/>
  <c r="CH185"/>
  <c r="BL186"/>
  <c r="BN186"/>
  <c r="BP186"/>
  <c r="BR186"/>
  <c r="BT186"/>
  <c r="BX186"/>
  <c r="CW186" s="1"/>
  <c r="BZ186"/>
  <c r="CB186"/>
  <c r="CD186"/>
  <c r="CF186"/>
  <c r="CH186"/>
  <c r="BL187"/>
  <c r="BN187"/>
  <c r="BP187"/>
  <c r="BR187"/>
  <c r="BT187"/>
  <c r="BX187"/>
  <c r="CW187" s="1"/>
  <c r="BZ187"/>
  <c r="CB187"/>
  <c r="CD187"/>
  <c r="CF187"/>
  <c r="CH187"/>
  <c r="BL188"/>
  <c r="BN188"/>
  <c r="BP188"/>
  <c r="BR188"/>
  <c r="BT188"/>
  <c r="BX188"/>
  <c r="CW188" s="1"/>
  <c r="BZ188"/>
  <c r="CB188"/>
  <c r="CD188"/>
  <c r="CF188"/>
  <c r="CH188"/>
  <c r="BL189"/>
  <c r="BN189"/>
  <c r="BP189"/>
  <c r="BR189"/>
  <c r="BT189"/>
  <c r="BX189"/>
  <c r="CW189" s="1"/>
  <c r="BZ189"/>
  <c r="CB189"/>
  <c r="CD189"/>
  <c r="CF189"/>
  <c r="CH189"/>
  <c r="BL190"/>
  <c r="BN190"/>
  <c r="BP190"/>
  <c r="BR190"/>
  <c r="BT190"/>
  <c r="BX190"/>
  <c r="CW190" s="1"/>
  <c r="BZ190"/>
  <c r="CB190"/>
  <c r="CD190"/>
  <c r="CF190"/>
  <c r="CH190"/>
  <c r="BL191"/>
  <c r="BN191"/>
  <c r="BP191"/>
  <c r="BR191"/>
  <c r="BT191"/>
  <c r="BX191"/>
  <c r="CW191" s="1"/>
  <c r="BZ191"/>
  <c r="CB191"/>
  <c r="CD191"/>
  <c r="CF191"/>
  <c r="CH191"/>
  <c r="BL192"/>
  <c r="BN192"/>
  <c r="BP192"/>
  <c r="BR192"/>
  <c r="BT192"/>
  <c r="BX192"/>
  <c r="CW192" s="1"/>
  <c r="BZ192"/>
  <c r="CB192"/>
  <c r="CD192"/>
  <c r="CF192"/>
  <c r="CH192"/>
  <c r="BL193"/>
  <c r="BN193"/>
  <c r="BP193"/>
  <c r="BR193"/>
  <c r="BT193"/>
  <c r="BX193"/>
  <c r="CW193" s="1"/>
  <c r="BZ193"/>
  <c r="CB193"/>
  <c r="CD193"/>
  <c r="CF193"/>
  <c r="CH193"/>
  <c r="BL194"/>
  <c r="BN194"/>
  <c r="BP194"/>
  <c r="BR194"/>
  <c r="BT194"/>
  <c r="BX194"/>
  <c r="CW194" s="1"/>
  <c r="BZ194"/>
  <c r="CB194"/>
  <c r="CD194"/>
  <c r="CF194"/>
  <c r="CH194"/>
  <c r="BL195"/>
  <c r="BN195"/>
  <c r="BP195"/>
  <c r="BR195"/>
  <c r="BT195"/>
  <c r="BX195"/>
  <c r="CW195" s="1"/>
  <c r="BZ195"/>
  <c r="CB195"/>
  <c r="CD195"/>
  <c r="CF195"/>
  <c r="CH195"/>
  <c r="BL196"/>
  <c r="BN196"/>
  <c r="BP196"/>
  <c r="BR196"/>
  <c r="BT196"/>
  <c r="BX196"/>
  <c r="CW196" s="1"/>
  <c r="BZ196"/>
  <c r="CB196"/>
  <c r="CD196"/>
  <c r="CF196"/>
  <c r="CH196"/>
  <c r="BL197"/>
  <c r="BN197"/>
  <c r="BP197"/>
  <c r="BR197"/>
  <c r="BT197"/>
  <c r="BX197"/>
  <c r="CW197" s="1"/>
  <c r="BZ197"/>
  <c r="CB197"/>
  <c r="CD197"/>
  <c r="CF197"/>
  <c r="CH197"/>
  <c r="BL198"/>
  <c r="BN198"/>
  <c r="BP198"/>
  <c r="BR198"/>
  <c r="BT198"/>
  <c r="BX198"/>
  <c r="CW198" s="1"/>
  <c r="BZ198"/>
  <c r="CB198"/>
  <c r="CD198"/>
  <c r="CF198"/>
  <c r="CH198"/>
  <c r="BL199"/>
  <c r="BN199"/>
  <c r="BP199"/>
  <c r="BR199"/>
  <c r="BT199"/>
  <c r="BX199"/>
  <c r="CW199" s="1"/>
  <c r="BZ199"/>
  <c r="CB199"/>
  <c r="CD199"/>
  <c r="CF199"/>
  <c r="CH199"/>
  <c r="BL200"/>
  <c r="BN200"/>
  <c r="BP200"/>
  <c r="BR200"/>
  <c r="BT200"/>
  <c r="BX200"/>
  <c r="CW200" s="1"/>
  <c r="BZ200"/>
  <c r="CB200"/>
  <c r="CD200"/>
  <c r="CF200"/>
  <c r="CH200"/>
  <c r="BL201"/>
  <c r="BN201"/>
  <c r="BP201"/>
  <c r="BR201"/>
  <c r="BT201"/>
  <c r="BX201"/>
  <c r="CW201" s="1"/>
  <c r="BZ201"/>
  <c r="CB201"/>
  <c r="CD201"/>
  <c r="CF201"/>
  <c r="CH201"/>
  <c r="BL202"/>
  <c r="BN202"/>
  <c r="BP202"/>
  <c r="BR202"/>
  <c r="BT202"/>
  <c r="BX202"/>
  <c r="CW202" s="1"/>
  <c r="BZ202"/>
  <c r="CB202"/>
  <c r="CD202"/>
  <c r="CF202"/>
  <c r="CH202"/>
  <c r="BL203"/>
  <c r="BN203"/>
  <c r="BP203"/>
  <c r="BR203"/>
  <c r="BT203"/>
  <c r="BX203"/>
  <c r="CW203" s="1"/>
  <c r="BZ203"/>
  <c r="CB203"/>
  <c r="CD203"/>
  <c r="CF203"/>
  <c r="CH203"/>
  <c r="BL204"/>
  <c r="BN204"/>
  <c r="BP204"/>
  <c r="BR204"/>
  <c r="BT204"/>
  <c r="BX204"/>
  <c r="CW204" s="1"/>
  <c r="BZ204"/>
  <c r="CB204"/>
  <c r="CD204"/>
  <c r="CF204"/>
  <c r="CH204"/>
  <c r="BL205"/>
  <c r="BN205"/>
  <c r="BP205"/>
  <c r="BR205"/>
  <c r="BT205"/>
  <c r="BX205"/>
  <c r="CW205" s="1"/>
  <c r="BZ205"/>
  <c r="CB205"/>
  <c r="CD205"/>
  <c r="CF205"/>
  <c r="CH205"/>
  <c r="BL206"/>
  <c r="BN206"/>
  <c r="BP206"/>
  <c r="BR206"/>
  <c r="BT206"/>
  <c r="BX206"/>
  <c r="CW206" s="1"/>
  <c r="BZ206"/>
  <c r="CB206"/>
  <c r="CD206"/>
  <c r="CF206"/>
  <c r="CH206"/>
  <c r="BL207"/>
  <c r="BN207"/>
  <c r="BP207"/>
  <c r="BR207"/>
  <c r="BT207"/>
  <c r="CB207"/>
  <c r="CW207" s="1"/>
  <c r="CD207"/>
  <c r="CF207"/>
  <c r="CH207"/>
  <c r="BL208"/>
  <c r="BN208"/>
  <c r="BP208"/>
  <c r="BR208"/>
  <c r="BT208"/>
  <c r="CD208"/>
  <c r="CW208" s="1"/>
  <c r="CF208"/>
  <c r="CH208"/>
  <c r="BL209"/>
  <c r="BN209"/>
  <c r="BP209"/>
  <c r="BR209"/>
  <c r="BT209"/>
  <c r="CF209"/>
  <c r="CH209"/>
  <c r="CW209" s="1"/>
  <c r="BL210"/>
  <c r="BN210"/>
  <c r="BP210"/>
  <c r="BR210"/>
  <c r="BT210"/>
  <c r="CH210"/>
  <c r="CW210" s="1"/>
  <c r="BL211"/>
  <c r="BN211"/>
  <c r="BP211"/>
  <c r="BR211"/>
  <c r="BT211"/>
  <c r="CX211"/>
  <c r="BL212"/>
  <c r="BN212"/>
  <c r="BP212"/>
  <c r="BR212"/>
  <c r="BT212"/>
  <c r="CX212"/>
  <c r="BL213"/>
  <c r="BN213"/>
  <c r="BP213"/>
  <c r="BR213"/>
  <c r="BT213"/>
  <c r="CX213"/>
  <c r="BL214"/>
  <c r="BP214"/>
  <c r="BR214"/>
  <c r="BT214"/>
  <c r="CX214"/>
  <c r="BL215"/>
  <c r="BR215"/>
  <c r="BT215"/>
  <c r="CX215"/>
  <c r="BL216"/>
  <c r="BL217"/>
  <c r="BL218"/>
  <c r="CX218"/>
  <c r="BL219"/>
  <c r="CX219"/>
  <c r="BL220"/>
  <c r="BL221"/>
  <c r="BL222"/>
  <c r="BT222"/>
  <c r="BV222"/>
  <c r="CX222"/>
  <c r="BL223"/>
  <c r="BR223"/>
  <c r="BT223"/>
  <c r="BV223"/>
  <c r="CX223"/>
  <c r="BL224"/>
  <c r="BP224"/>
  <c r="BR224"/>
  <c r="BT224"/>
  <c r="BV224"/>
  <c r="CX224"/>
  <c r="BL225"/>
  <c r="BN225"/>
  <c r="BP225"/>
  <c r="BR225"/>
  <c r="BT225"/>
  <c r="BV225"/>
  <c r="BL226"/>
  <c r="BN226"/>
  <c r="BP226"/>
  <c r="BR226"/>
  <c r="BT226"/>
  <c r="BV226"/>
  <c r="BX226"/>
  <c r="CW226" s="1"/>
  <c r="BL227"/>
  <c r="BN227"/>
  <c r="BP227"/>
  <c r="BR227"/>
  <c r="BT227"/>
  <c r="BV227"/>
  <c r="BX227"/>
  <c r="CW227" s="1"/>
  <c r="CH227"/>
  <c r="BL228"/>
  <c r="BN228"/>
  <c r="BP228"/>
  <c r="BR228"/>
  <c r="BT228"/>
  <c r="BV228"/>
  <c r="BX228"/>
  <c r="CH228"/>
  <c r="CW228" s="1"/>
  <c r="BL229"/>
  <c r="BN229"/>
  <c r="BP229"/>
  <c r="BR229"/>
  <c r="BT229"/>
  <c r="BV229"/>
  <c r="BX229"/>
  <c r="CW229" s="1"/>
  <c r="CD229"/>
  <c r="CF229"/>
  <c r="CH229"/>
  <c r="BL230"/>
  <c r="BN230"/>
  <c r="BP230"/>
  <c r="BR230"/>
  <c r="BT230"/>
  <c r="BV230"/>
  <c r="BX230"/>
  <c r="CW230" s="1"/>
  <c r="CB230"/>
  <c r="CD230"/>
  <c r="CF230"/>
  <c r="CH230"/>
  <c r="BL231"/>
  <c r="BN231"/>
  <c r="BP231"/>
  <c r="BR231"/>
  <c r="BT231"/>
  <c r="BV231"/>
  <c r="BX231"/>
  <c r="CW231" s="1"/>
  <c r="BZ231"/>
  <c r="CB231"/>
  <c r="CD231"/>
  <c r="CF231"/>
  <c r="CH231"/>
  <c r="BL232"/>
  <c r="BN232"/>
  <c r="BP232"/>
  <c r="BR232"/>
  <c r="BT232"/>
  <c r="BV232"/>
  <c r="BX232"/>
  <c r="CW232" s="1"/>
  <c r="BZ232"/>
  <c r="CB232"/>
  <c r="CD232"/>
  <c r="CF232"/>
  <c r="CH232"/>
  <c r="BL233"/>
  <c r="BN233"/>
  <c r="BP233"/>
  <c r="BR233"/>
  <c r="BT233"/>
  <c r="BV233"/>
  <c r="BX233"/>
  <c r="BZ233"/>
  <c r="CW233" s="1"/>
  <c r="CB233"/>
  <c r="CD233"/>
  <c r="CF233"/>
  <c r="CH233"/>
  <c r="BL234"/>
  <c r="BN234"/>
  <c r="BP234"/>
  <c r="BR234"/>
  <c r="BT234"/>
  <c r="BV234"/>
  <c r="BX234"/>
  <c r="CW234" s="1"/>
  <c r="BZ234"/>
  <c r="CB234"/>
  <c r="CD234"/>
  <c r="CF234"/>
  <c r="CH234"/>
  <c r="BL235"/>
  <c r="BN235"/>
  <c r="BP235"/>
  <c r="BR235"/>
  <c r="BT235"/>
  <c r="BV235"/>
  <c r="BX235"/>
  <c r="CW235" s="1"/>
  <c r="BZ235"/>
  <c r="CB235"/>
  <c r="CD235"/>
  <c r="CF235"/>
  <c r="CH235"/>
  <c r="BL236"/>
  <c r="BN236"/>
  <c r="BP236"/>
  <c r="BR236"/>
  <c r="BT236"/>
  <c r="BV236"/>
  <c r="BX236"/>
  <c r="CW236" s="1"/>
  <c r="BZ236"/>
  <c r="CB236"/>
  <c r="CD236"/>
  <c r="CF236"/>
  <c r="CH236"/>
  <c r="BL237"/>
  <c r="BN237"/>
  <c r="BP237"/>
  <c r="BR237"/>
  <c r="BT237"/>
  <c r="BV237"/>
  <c r="BX237"/>
  <c r="BZ237"/>
  <c r="CW237" s="1"/>
  <c r="CB237"/>
  <c r="CD237"/>
  <c r="CF237"/>
  <c r="CH237"/>
  <c r="BL238"/>
  <c r="BN238"/>
  <c r="BP238"/>
  <c r="BR238"/>
  <c r="BT238"/>
  <c r="BV238"/>
  <c r="BX238"/>
  <c r="CW238" s="1"/>
  <c r="BZ238"/>
  <c r="CB238"/>
  <c r="CD238"/>
  <c r="CF238"/>
  <c r="CH238"/>
  <c r="BL239"/>
  <c r="BN239"/>
  <c r="CL239" s="1"/>
  <c r="BP239"/>
  <c r="BR239"/>
  <c r="CP239" s="1"/>
  <c r="BT239"/>
  <c r="BV239"/>
  <c r="BX239"/>
  <c r="CW239" s="1"/>
  <c r="BZ239"/>
  <c r="CB239"/>
  <c r="CD239"/>
  <c r="CF239"/>
  <c r="CH239"/>
  <c r="BL240"/>
  <c r="BN240"/>
  <c r="BP240"/>
  <c r="BR240"/>
  <c r="BT240"/>
  <c r="BV240"/>
  <c r="BX240"/>
  <c r="CW240" s="1"/>
  <c r="BZ240"/>
  <c r="CB240"/>
  <c r="CD240"/>
  <c r="CF240"/>
  <c r="CH240"/>
  <c r="BL241"/>
  <c r="BN241"/>
  <c r="BP241"/>
  <c r="BR241"/>
  <c r="BT241"/>
  <c r="BV241"/>
  <c r="BX241"/>
  <c r="CW241" s="1"/>
  <c r="BZ241"/>
  <c r="CB241"/>
  <c r="CD241"/>
  <c r="CF241"/>
  <c r="CH241"/>
  <c r="BL242"/>
  <c r="BN242"/>
  <c r="BP242"/>
  <c r="BR242"/>
  <c r="BT242"/>
  <c r="BV242"/>
  <c r="BX242"/>
  <c r="CW242" s="1"/>
  <c r="BZ242"/>
  <c r="CB242"/>
  <c r="CD242"/>
  <c r="CF242"/>
  <c r="CH242"/>
  <c r="BL243"/>
  <c r="BN243"/>
  <c r="BP243"/>
  <c r="BR243"/>
  <c r="BT243"/>
  <c r="BV243"/>
  <c r="BX243"/>
  <c r="CW243" s="1"/>
  <c r="BZ243"/>
  <c r="CB243"/>
  <c r="CD243"/>
  <c r="CF243"/>
  <c r="CH243"/>
  <c r="BL244"/>
  <c r="BN244"/>
  <c r="BP244"/>
  <c r="BR244"/>
  <c r="BT244"/>
  <c r="BV244"/>
  <c r="BX244"/>
  <c r="CW244" s="1"/>
  <c r="BZ244"/>
  <c r="CB244"/>
  <c r="CD244"/>
  <c r="CF244"/>
  <c r="CH244"/>
  <c r="BL245"/>
  <c r="BN245"/>
  <c r="BP245"/>
  <c r="BR245"/>
  <c r="BT245"/>
  <c r="BV245"/>
  <c r="BX245"/>
  <c r="CW245" s="1"/>
  <c r="BZ245"/>
  <c r="CB245"/>
  <c r="CD245"/>
  <c r="CF245"/>
  <c r="CH245"/>
  <c r="BL246"/>
  <c r="BN246"/>
  <c r="BP246"/>
  <c r="BR246"/>
  <c r="BT246"/>
  <c r="BV246"/>
  <c r="BX246"/>
  <c r="CW246" s="1"/>
  <c r="BZ246"/>
  <c r="CB246"/>
  <c r="CD246"/>
  <c r="CF246"/>
  <c r="CH246"/>
  <c r="BL247"/>
  <c r="BN247"/>
  <c r="BP247"/>
  <c r="BR247"/>
  <c r="BT247"/>
  <c r="BV247"/>
  <c r="BX247"/>
  <c r="CW247" s="1"/>
  <c r="BZ247"/>
  <c r="CB247"/>
  <c r="CD247"/>
  <c r="CF247"/>
  <c r="CH247"/>
  <c r="BL248"/>
  <c r="BN248"/>
  <c r="BP248"/>
  <c r="BR248"/>
  <c r="BT248"/>
  <c r="BV248"/>
  <c r="BX248"/>
  <c r="CW248" s="1"/>
  <c r="BZ248"/>
  <c r="CB248"/>
  <c r="CD248"/>
  <c r="CF248"/>
  <c r="CH248"/>
  <c r="BL249"/>
  <c r="BN249"/>
  <c r="BP249"/>
  <c r="BR249"/>
  <c r="BT249"/>
  <c r="BV249"/>
  <c r="BX249"/>
  <c r="CW249" s="1"/>
  <c r="BZ249"/>
  <c r="CB249"/>
  <c r="CD249"/>
  <c r="CF249"/>
  <c r="CH249"/>
  <c r="BL250"/>
  <c r="BN250"/>
  <c r="BP250"/>
  <c r="BR250"/>
  <c r="BT250"/>
  <c r="BV250"/>
  <c r="BX250"/>
  <c r="CW250" s="1"/>
  <c r="BZ250"/>
  <c r="CB250"/>
  <c r="CD250"/>
  <c r="CF250"/>
  <c r="CH250"/>
  <c r="BL251"/>
  <c r="BN251"/>
  <c r="BP251"/>
  <c r="BR251"/>
  <c r="BT251"/>
  <c r="BV251"/>
  <c r="BX251"/>
  <c r="CW251" s="1"/>
  <c r="BZ251"/>
  <c r="CB251"/>
  <c r="CD251"/>
  <c r="CF251"/>
  <c r="CH251"/>
  <c r="BL252"/>
  <c r="BN252"/>
  <c r="BP252"/>
  <c r="BR252"/>
  <c r="BT252"/>
  <c r="BV252"/>
  <c r="BX252"/>
  <c r="CW252" s="1"/>
  <c r="BZ252"/>
  <c r="CB252"/>
  <c r="CD252"/>
  <c r="CF252"/>
  <c r="CH252"/>
  <c r="BL253"/>
  <c r="BN253"/>
  <c r="BP253"/>
  <c r="BR253"/>
  <c r="BT253"/>
  <c r="BV253"/>
  <c r="BX253"/>
  <c r="CW253" s="1"/>
  <c r="BZ253"/>
  <c r="CB253"/>
  <c r="CD253"/>
  <c r="CF253"/>
  <c r="CH253"/>
  <c r="BL254"/>
  <c r="BN254"/>
  <c r="BP254"/>
  <c r="BR254"/>
  <c r="BT254"/>
  <c r="BV254"/>
  <c r="BX254"/>
  <c r="CW254" s="1"/>
  <c r="BZ254"/>
  <c r="CB254"/>
  <c r="CD254"/>
  <c r="CF254"/>
  <c r="CH254"/>
  <c r="BL255"/>
  <c r="BN255"/>
  <c r="BP255"/>
  <c r="BR255"/>
  <c r="BT255"/>
  <c r="BV255"/>
  <c r="BX255"/>
  <c r="CW255" s="1"/>
  <c r="BZ255"/>
  <c r="CB255"/>
  <c r="CD255"/>
  <c r="CF255"/>
  <c r="CH255"/>
  <c r="BL256"/>
  <c r="BN256"/>
  <c r="BP256"/>
  <c r="BR256"/>
  <c r="BT256"/>
  <c r="BV256"/>
  <c r="BX256"/>
  <c r="CW256" s="1"/>
  <c r="BZ256"/>
  <c r="CB256"/>
  <c r="CD256"/>
  <c r="CF256"/>
  <c r="CH256"/>
  <c r="BL257"/>
  <c r="BN257"/>
  <c r="BP257"/>
  <c r="BR257"/>
  <c r="BT257"/>
  <c r="BV257"/>
  <c r="BX257"/>
  <c r="CW257" s="1"/>
  <c r="BZ257"/>
  <c r="CB257"/>
  <c r="CD257"/>
  <c r="CF257"/>
  <c r="CH257"/>
  <c r="BL258"/>
  <c r="BN258"/>
  <c r="BP258"/>
  <c r="BR258"/>
  <c r="BT258"/>
  <c r="BV258"/>
  <c r="BX258"/>
  <c r="CW258" s="1"/>
  <c r="BZ258"/>
  <c r="CB258"/>
  <c r="CD258"/>
  <c r="CF258"/>
  <c r="CH258"/>
  <c r="BL259"/>
  <c r="BN259"/>
  <c r="BP259"/>
  <c r="BR259"/>
  <c r="BT259"/>
  <c r="BV259"/>
  <c r="BX259"/>
  <c r="CW259" s="1"/>
  <c r="BZ259"/>
  <c r="CB259"/>
  <c r="CD259"/>
  <c r="CF259"/>
  <c r="CH259"/>
  <c r="BL260"/>
  <c r="BN260"/>
  <c r="BP260"/>
  <c r="BR260"/>
  <c r="BT260"/>
  <c r="BV260"/>
  <c r="BX260"/>
  <c r="CW260" s="1"/>
  <c r="BZ260"/>
  <c r="CB260"/>
  <c r="CD260"/>
  <c r="CF260"/>
  <c r="CH260"/>
  <c r="BL261"/>
  <c r="BN261"/>
  <c r="BP261"/>
  <c r="BR261"/>
  <c r="BT261"/>
  <c r="BV261"/>
  <c r="BX261"/>
  <c r="CW261" s="1"/>
  <c r="BZ261"/>
  <c r="CB261"/>
  <c r="CD261"/>
  <c r="CF261"/>
  <c r="CH261"/>
  <c r="BL262"/>
  <c r="BN262"/>
  <c r="BP262"/>
  <c r="BR262"/>
  <c r="BT262"/>
  <c r="BV262"/>
  <c r="BX262"/>
  <c r="CW262" s="1"/>
  <c r="BZ262"/>
  <c r="CB262"/>
  <c r="CD262"/>
  <c r="CF262"/>
  <c r="CH262"/>
  <c r="BL263"/>
  <c r="BN263"/>
  <c r="BP263"/>
  <c r="BR263"/>
  <c r="BT263"/>
  <c r="BV263"/>
  <c r="BX263"/>
  <c r="CW263" s="1"/>
  <c r="BZ263"/>
  <c r="CB263"/>
  <c r="CD263"/>
  <c r="CF263"/>
  <c r="CH263"/>
  <c r="BL264"/>
  <c r="BN264"/>
  <c r="BP264"/>
  <c r="BR264"/>
  <c r="BT264"/>
  <c r="BV264"/>
  <c r="BX264"/>
  <c r="CW264" s="1"/>
  <c r="BZ264"/>
  <c r="CB264"/>
  <c r="CD264"/>
  <c r="CF264"/>
  <c r="CH264"/>
  <c r="BL265"/>
  <c r="BN265"/>
  <c r="BP265"/>
  <c r="BR265"/>
  <c r="BT265"/>
  <c r="BV265"/>
  <c r="BX265"/>
  <c r="CW265" s="1"/>
  <c r="BZ265"/>
  <c r="CB265"/>
  <c r="CD265"/>
  <c r="CF265"/>
  <c r="CH265"/>
  <c r="BL266"/>
  <c r="BN266"/>
  <c r="BP266"/>
  <c r="BR266"/>
  <c r="BT266"/>
  <c r="BV266"/>
  <c r="BX266"/>
  <c r="CW266" s="1"/>
  <c r="BZ266"/>
  <c r="CB266"/>
  <c r="CD266"/>
  <c r="CF266"/>
  <c r="CH266"/>
  <c r="BL267"/>
  <c r="BN267"/>
  <c r="BP267"/>
  <c r="BR267"/>
  <c r="BT267"/>
  <c r="BV267"/>
  <c r="BX267"/>
  <c r="CW267" s="1"/>
  <c r="BZ267"/>
  <c r="CB267"/>
  <c r="CD267"/>
  <c r="CF267"/>
  <c r="CH267"/>
  <c r="BL268"/>
  <c r="BN268"/>
  <c r="BP268"/>
  <c r="BR268"/>
  <c r="BT268"/>
  <c r="BV268"/>
  <c r="BX268"/>
  <c r="CW268" s="1"/>
  <c r="BZ268"/>
  <c r="CB268"/>
  <c r="CD268"/>
  <c r="CF268"/>
  <c r="CH268"/>
  <c r="BL269"/>
  <c r="BN269"/>
  <c r="BP269"/>
  <c r="BR269"/>
  <c r="BT269"/>
  <c r="BV269"/>
  <c r="BX269"/>
  <c r="CW269" s="1"/>
  <c r="BZ269"/>
  <c r="CB269"/>
  <c r="CD269"/>
  <c r="CF269"/>
  <c r="CH269"/>
  <c r="BL270"/>
  <c r="BN270"/>
  <c r="BP270"/>
  <c r="BR270"/>
  <c r="BT270"/>
  <c r="BV270"/>
  <c r="BX270"/>
  <c r="CW270" s="1"/>
  <c r="BZ270"/>
  <c r="CB270"/>
  <c r="CD270"/>
  <c r="CF270"/>
  <c r="CH270"/>
  <c r="BL271"/>
  <c r="BN271"/>
  <c r="BP271"/>
  <c r="BR271"/>
  <c r="BT271"/>
  <c r="BV271"/>
  <c r="BX271"/>
  <c r="CW271" s="1"/>
  <c r="BZ271"/>
  <c r="CB271"/>
  <c r="CD271"/>
  <c r="CF271"/>
  <c r="CH271"/>
  <c r="BL272"/>
  <c r="BN272"/>
  <c r="BP272"/>
  <c r="BR272"/>
  <c r="BT272"/>
  <c r="BV272"/>
  <c r="BX272"/>
  <c r="CW272" s="1"/>
  <c r="BZ272"/>
  <c r="CB272"/>
  <c r="CD272"/>
  <c r="CF272"/>
  <c r="CH272"/>
  <c r="BL273"/>
  <c r="BN273"/>
  <c r="BP273"/>
  <c r="BR273"/>
  <c r="BT273"/>
  <c r="BV273"/>
  <c r="BX273"/>
  <c r="CW273" s="1"/>
  <c r="BZ273"/>
  <c r="CB273"/>
  <c r="CD273"/>
  <c r="CF273"/>
  <c r="CH273"/>
  <c r="BL274"/>
  <c r="BN274"/>
  <c r="BP274"/>
  <c r="BR274"/>
  <c r="BT274"/>
  <c r="BV274"/>
  <c r="BX274"/>
  <c r="CW274" s="1"/>
  <c r="BZ274"/>
  <c r="CB274"/>
  <c r="CD274"/>
  <c r="CF274"/>
  <c r="CH274"/>
  <c r="BL275"/>
  <c r="BN275"/>
  <c r="BP275"/>
  <c r="BR275"/>
  <c r="BT275"/>
  <c r="BV275"/>
  <c r="BX275"/>
  <c r="CW275" s="1"/>
  <c r="BZ275"/>
  <c r="CB275"/>
  <c r="CD275"/>
  <c r="CF275"/>
  <c r="CH275"/>
  <c r="BM276"/>
  <c r="BO276"/>
  <c r="BQ276"/>
  <c r="BS276"/>
  <c r="BU276"/>
  <c r="BW276"/>
  <c r="BY276"/>
  <c r="CA276"/>
  <c r="CC276"/>
  <c r="CE276"/>
  <c r="CG276"/>
  <c r="BM277"/>
  <c r="BO277"/>
  <c r="BQ277"/>
  <c r="BS277"/>
  <c r="BU277"/>
  <c r="BW277"/>
  <c r="BY277"/>
  <c r="CA277"/>
  <c r="CC277"/>
  <c r="CE277"/>
  <c r="CG277"/>
  <c r="BM278"/>
  <c r="BO278"/>
  <c r="BQ278"/>
  <c r="BS278"/>
  <c r="BU278"/>
  <c r="BW278"/>
  <c r="BY278"/>
  <c r="CA278"/>
  <c r="CC278"/>
  <c r="CE278"/>
  <c r="CG278"/>
  <c r="BM279"/>
  <c r="BO279"/>
  <c r="BQ279"/>
  <c r="BS279"/>
  <c r="BU279"/>
  <c r="BW279"/>
  <c r="BY279"/>
  <c r="CA279"/>
  <c r="CC279"/>
  <c r="CE279"/>
  <c r="CG279"/>
  <c r="BM280"/>
  <c r="BO280"/>
  <c r="BQ280"/>
  <c r="BS280"/>
  <c r="BU280"/>
  <c r="BW280"/>
  <c r="BY280"/>
  <c r="CA280"/>
  <c r="CC280"/>
  <c r="CE280"/>
  <c r="CG280"/>
  <c r="BM281"/>
  <c r="BO281"/>
  <c r="BQ281"/>
  <c r="BS281"/>
  <c r="BU281"/>
  <c r="BW281"/>
  <c r="BY281"/>
  <c r="CA281"/>
  <c r="CC281"/>
  <c r="CE281"/>
  <c r="CG281"/>
  <c r="BM282"/>
  <c r="BO282"/>
  <c r="BQ282"/>
  <c r="BS282"/>
  <c r="BU282"/>
  <c r="BW282"/>
  <c r="BY282"/>
  <c r="CA282"/>
  <c r="CC282"/>
  <c r="CE282"/>
  <c r="CG282"/>
  <c r="BM283"/>
  <c r="BO283"/>
  <c r="BQ283"/>
  <c r="BS283"/>
  <c r="BU283"/>
  <c r="BW283"/>
  <c r="BY283"/>
  <c r="CA283"/>
  <c r="CC283"/>
  <c r="CE283"/>
  <c r="CG283"/>
  <c r="BM284"/>
  <c r="BO284"/>
  <c r="BQ284"/>
  <c r="BS284"/>
  <c r="BU284"/>
  <c r="BW284"/>
  <c r="BY284"/>
  <c r="CA284"/>
  <c r="CC284"/>
  <c r="CE284"/>
  <c r="CG284"/>
  <c r="BM285"/>
  <c r="BO285"/>
  <c r="BQ285"/>
  <c r="BS285"/>
  <c r="BU285"/>
  <c r="BW285"/>
  <c r="BY285"/>
  <c r="CA285"/>
  <c r="CC285"/>
  <c r="CE285"/>
  <c r="CG285"/>
  <c r="BM286"/>
  <c r="BO286"/>
  <c r="BQ286"/>
  <c r="BS286"/>
  <c r="BU286"/>
  <c r="BW286"/>
  <c r="BY286"/>
  <c r="CA286"/>
  <c r="CC286"/>
  <c r="CE286"/>
  <c r="CG286"/>
  <c r="BM287"/>
  <c r="BO287"/>
  <c r="BQ287"/>
  <c r="BS287"/>
  <c r="BU287"/>
  <c r="BW287"/>
  <c r="BY287"/>
  <c r="CA287"/>
  <c r="CC287"/>
  <c r="CE287"/>
  <c r="CG287"/>
  <c r="BM288"/>
  <c r="BO288"/>
  <c r="BQ288"/>
  <c r="BS288"/>
  <c r="BU288"/>
  <c r="BW288"/>
  <c r="BY288"/>
  <c r="CA288"/>
  <c r="CC288"/>
  <c r="CE288"/>
  <c r="CG288"/>
  <c r="BM289"/>
  <c r="BO289"/>
  <c r="BQ289"/>
  <c r="BS289"/>
  <c r="BU289"/>
  <c r="BW289"/>
  <c r="BY289"/>
  <c r="CA289"/>
  <c r="CC289"/>
  <c r="CE289"/>
  <c r="CG289"/>
  <c r="BM290"/>
  <c r="BO290"/>
  <c r="BQ290"/>
  <c r="BS290"/>
  <c r="BU290"/>
  <c r="BW290"/>
  <c r="BY290"/>
  <c r="CA290"/>
  <c r="CC290"/>
  <c r="CE290"/>
  <c r="CG290"/>
  <c r="BM291"/>
  <c r="BO291"/>
  <c r="BQ291"/>
  <c r="BS291"/>
  <c r="BU291"/>
  <c r="BW291"/>
  <c r="BY291"/>
  <c r="CA291"/>
  <c r="CC291"/>
  <c r="CE291"/>
  <c r="CG291"/>
  <c r="BM292"/>
  <c r="BO292"/>
  <c r="BQ292"/>
  <c r="BS292"/>
  <c r="BU292"/>
  <c r="BW292"/>
  <c r="BY292"/>
  <c r="CA292"/>
  <c r="CC292"/>
  <c r="CE292"/>
  <c r="CG292"/>
  <c r="BM293"/>
  <c r="BO293"/>
  <c r="BQ293"/>
  <c r="BS293"/>
  <c r="BU293"/>
  <c r="BW293"/>
  <c r="BY293"/>
  <c r="CA293"/>
  <c r="CC293"/>
  <c r="CE293"/>
  <c r="CG293"/>
  <c r="BM294"/>
  <c r="BO294"/>
  <c r="BQ294"/>
  <c r="BS294"/>
  <c r="BU294"/>
  <c r="BW294"/>
  <c r="BY294"/>
  <c r="CA294"/>
  <c r="CC294"/>
  <c r="CE294"/>
  <c r="CG294"/>
  <c r="BM295"/>
  <c r="BO295"/>
  <c r="BQ295"/>
  <c r="BS295"/>
  <c r="BU295"/>
  <c r="BW295"/>
  <c r="BY295"/>
  <c r="CA295"/>
  <c r="CC295"/>
  <c r="CE295"/>
  <c r="CG295"/>
  <c r="BM296"/>
  <c r="BO296"/>
  <c r="BQ296"/>
  <c r="BS296"/>
  <c r="BU296"/>
  <c r="BW296"/>
  <c r="BY296"/>
  <c r="CA296"/>
  <c r="CC296"/>
  <c r="CE296"/>
  <c r="CG296"/>
  <c r="BM297"/>
  <c r="BO297"/>
  <c r="BQ297"/>
  <c r="BS297"/>
  <c r="BU297"/>
  <c r="BW297"/>
  <c r="BY297"/>
  <c r="CA297"/>
  <c r="CC297"/>
  <c r="CE297"/>
  <c r="CG297"/>
  <c r="BM298"/>
  <c r="BO298"/>
  <c r="BQ298"/>
  <c r="BS298"/>
  <c r="BU298"/>
  <c r="BW298"/>
  <c r="BY298"/>
  <c r="CA298"/>
  <c r="CC298"/>
  <c r="CE298"/>
  <c r="CG298"/>
  <c r="BM299"/>
  <c r="BO299"/>
  <c r="BQ299"/>
  <c r="BS299"/>
  <c r="BU299"/>
  <c r="BW299"/>
  <c r="BY299"/>
  <c r="CA299"/>
  <c r="CC299"/>
  <c r="CE299"/>
  <c r="CG299"/>
  <c r="BM300"/>
  <c r="BO300"/>
  <c r="BQ300"/>
  <c r="BS300"/>
  <c r="BU300"/>
  <c r="BW300"/>
  <c r="BY300"/>
  <c r="CA300"/>
  <c r="CC300"/>
  <c r="CE300"/>
  <c r="CG300"/>
  <c r="BM301"/>
  <c r="BO301"/>
  <c r="BQ301"/>
  <c r="BS301"/>
  <c r="BU301"/>
  <c r="BW301"/>
  <c r="BY301"/>
  <c r="CA301"/>
  <c r="CC301"/>
  <c r="CE301"/>
  <c r="CG301"/>
  <c r="BM302"/>
  <c r="BO302"/>
  <c r="BQ302"/>
  <c r="BS302"/>
  <c r="BU302"/>
  <c r="BW302"/>
  <c r="BY302"/>
  <c r="CA302"/>
  <c r="CC302"/>
  <c r="CE302"/>
  <c r="CG302"/>
  <c r="BM303"/>
  <c r="BO303"/>
  <c r="BQ303"/>
  <c r="BS303"/>
  <c r="BU303"/>
  <c r="BW303"/>
  <c r="BY303"/>
  <c r="CA303"/>
  <c r="CC303"/>
  <c r="CE303"/>
  <c r="CG303"/>
  <c r="BM304"/>
  <c r="BO304"/>
  <c r="BQ304"/>
  <c r="BS304"/>
  <c r="BU304"/>
  <c r="BW304"/>
  <c r="BY304"/>
  <c r="CA304"/>
  <c r="CC304"/>
  <c r="CE304"/>
  <c r="CG304"/>
  <c r="BM305"/>
  <c r="BO305"/>
  <c r="BQ305"/>
  <c r="BS305"/>
  <c r="BU305"/>
  <c r="BW305"/>
  <c r="BY305"/>
  <c r="CA305"/>
  <c r="CC305"/>
  <c r="CE305"/>
  <c r="CG305"/>
  <c r="BM306"/>
  <c r="BO306"/>
  <c r="BQ306"/>
  <c r="BS306"/>
  <c r="BU306"/>
  <c r="BW306"/>
  <c r="BY306"/>
  <c r="CA306"/>
  <c r="CC306"/>
  <c r="CE306"/>
  <c r="CG306"/>
  <c r="BM307"/>
  <c r="BO307"/>
  <c r="BQ307"/>
  <c r="BS307"/>
  <c r="BU307"/>
  <c r="BW307"/>
  <c r="BY307"/>
  <c r="CA307"/>
  <c r="CC307"/>
  <c r="CE307"/>
  <c r="CG307"/>
  <c r="BM308"/>
  <c r="BO308"/>
  <c r="BQ308"/>
  <c r="BS308"/>
  <c r="BU308"/>
  <c r="BW308"/>
  <c r="BY308"/>
  <c r="CA308"/>
  <c r="CC308"/>
  <c r="CE308"/>
  <c r="CG308"/>
  <c r="BM309"/>
  <c r="BO309"/>
  <c r="BQ309"/>
  <c r="BS309"/>
  <c r="BU309"/>
  <c r="BW309"/>
  <c r="BY309"/>
  <c r="CA309"/>
  <c r="CC309"/>
  <c r="CE309"/>
  <c r="CG309"/>
  <c r="BM310"/>
  <c r="BO310"/>
  <c r="BQ310"/>
  <c r="BS310"/>
  <c r="BU310"/>
  <c r="BW310"/>
  <c r="BY310"/>
  <c r="CA310"/>
  <c r="CC310"/>
  <c r="CE310"/>
  <c r="CG310"/>
  <c r="BM311"/>
  <c r="BO311"/>
  <c r="BQ311"/>
  <c r="BS311"/>
  <c r="BU311"/>
  <c r="BW311"/>
  <c r="BY311"/>
  <c r="CA311"/>
  <c r="CC311"/>
  <c r="CE311"/>
  <c r="CG311"/>
  <c r="BM312"/>
  <c r="BO312"/>
  <c r="BQ312"/>
  <c r="BS312"/>
  <c r="BU312"/>
  <c r="BW312"/>
  <c r="BY312"/>
  <c r="CA312"/>
  <c r="CC312"/>
  <c r="CE312"/>
  <c r="CG312"/>
  <c r="BM313"/>
  <c r="BO313"/>
  <c r="BQ313"/>
  <c r="BS313"/>
  <c r="BU313"/>
  <c r="BW313"/>
  <c r="BY313"/>
  <c r="CA313"/>
  <c r="CC313"/>
  <c r="CE313"/>
  <c r="CG313"/>
  <c r="BM314"/>
  <c r="BO314"/>
  <c r="BQ314"/>
  <c r="BS314"/>
  <c r="BU314"/>
  <c r="BW314"/>
  <c r="BY314"/>
  <c r="CA314"/>
  <c r="CC314"/>
  <c r="CE314"/>
  <c r="CG314"/>
  <c r="BM315"/>
  <c r="BO315"/>
  <c r="BQ315"/>
  <c r="BS315"/>
  <c r="BU315"/>
  <c r="BW315"/>
  <c r="BY315"/>
  <c r="CA315"/>
  <c r="CC315"/>
  <c r="CE315"/>
  <c r="CG315"/>
  <c r="BM316"/>
  <c r="BO316"/>
  <c r="BQ316"/>
  <c r="BS316"/>
  <c r="BU316"/>
  <c r="BW316"/>
  <c r="BY316"/>
  <c r="CA316"/>
  <c r="CC316"/>
  <c r="CE316"/>
  <c r="CG316"/>
  <c r="BK317"/>
  <c r="BO317"/>
  <c r="BQ317"/>
  <c r="BS317"/>
  <c r="BU317"/>
  <c r="BK318"/>
  <c r="BS318"/>
  <c r="BU318"/>
  <c r="BK319"/>
  <c r="BU319"/>
  <c r="BK320"/>
  <c r="BK321"/>
  <c r="BK322"/>
  <c r="BK323"/>
  <c r="BK324"/>
  <c r="BK325"/>
  <c r="BK326"/>
  <c r="BK327"/>
  <c r="BS327"/>
  <c r="BU327"/>
  <c r="BK328"/>
  <c r="BO328"/>
  <c r="BQ328"/>
  <c r="BS328"/>
  <c r="BU328"/>
  <c r="BK329"/>
  <c r="BM329"/>
  <c r="BO329"/>
  <c r="BQ329"/>
  <c r="BS329"/>
  <c r="BU329"/>
  <c r="BK330"/>
  <c r="BM330"/>
  <c r="BO330"/>
  <c r="BQ330"/>
  <c r="BS330"/>
  <c r="BU330"/>
  <c r="BW330"/>
  <c r="CW330" s="1"/>
  <c r="CT330" s="1"/>
  <c r="CS330" s="1"/>
  <c r="CR330" s="1"/>
  <c r="CQ330" s="1"/>
  <c r="CP330" s="1"/>
  <c r="CO330" s="1"/>
  <c r="CN330" s="1"/>
  <c r="CM330" s="1"/>
  <c r="CL330" s="1"/>
  <c r="CK330" s="1"/>
  <c r="CJ330" s="1"/>
  <c r="CI330" s="1"/>
  <c r="BK331"/>
  <c r="BM331"/>
  <c r="BO331"/>
  <c r="BQ331"/>
  <c r="BS331"/>
  <c r="BU331"/>
  <c r="BW331"/>
  <c r="CG331"/>
  <c r="BK332"/>
  <c r="BM332"/>
  <c r="BO332"/>
  <c r="BQ332"/>
  <c r="BS332"/>
  <c r="BU332"/>
  <c r="BW332"/>
  <c r="CE332"/>
  <c r="CG332"/>
  <c r="BK333"/>
  <c r="BM333"/>
  <c r="BO333"/>
  <c r="BQ333"/>
  <c r="BS333"/>
  <c r="BU333"/>
  <c r="BW333"/>
  <c r="CC333"/>
  <c r="CE333"/>
  <c r="CG333"/>
  <c r="BK334"/>
  <c r="BM334"/>
  <c r="BO334"/>
  <c r="BQ334"/>
  <c r="BS334"/>
  <c r="BU334"/>
  <c r="BW334"/>
  <c r="CA334"/>
  <c r="CC334"/>
  <c r="CE334"/>
  <c r="CG334"/>
  <c r="BK335"/>
  <c r="BM335"/>
  <c r="BO335"/>
  <c r="BQ335"/>
  <c r="BS335"/>
  <c r="BU335"/>
  <c r="BW335"/>
  <c r="BY335"/>
  <c r="CA335"/>
  <c r="CC335"/>
  <c r="CE335"/>
  <c r="CG335"/>
  <c r="BK336"/>
  <c r="BM336"/>
  <c r="BO336"/>
  <c r="BQ336"/>
  <c r="BS336"/>
  <c r="BU336"/>
  <c r="BW336"/>
  <c r="BY336"/>
  <c r="CA336"/>
  <c r="CC336"/>
  <c r="CE336"/>
  <c r="CG336"/>
  <c r="BK337"/>
  <c r="BM337"/>
  <c r="BO337"/>
  <c r="BQ337"/>
  <c r="BS337"/>
  <c r="BU337"/>
  <c r="BW337"/>
  <c r="BY337"/>
  <c r="CA337"/>
  <c r="CC337"/>
  <c r="CE337"/>
  <c r="CG337"/>
  <c r="BK338"/>
  <c r="BM338"/>
  <c r="BO338"/>
  <c r="BQ338"/>
  <c r="BS338"/>
  <c r="BU338"/>
  <c r="BW338"/>
  <c r="BY338"/>
  <c r="CA338"/>
  <c r="CC338"/>
  <c r="CE338"/>
  <c r="CG338"/>
  <c r="BK339"/>
  <c r="BM339"/>
  <c r="BO339"/>
  <c r="BQ339"/>
  <c r="BS339"/>
  <c r="BU339"/>
  <c r="BW339"/>
  <c r="BY339"/>
  <c r="CA339"/>
  <c r="CC339"/>
  <c r="CE339"/>
  <c r="CG339"/>
  <c r="BK340"/>
  <c r="BM340"/>
  <c r="BO340"/>
  <c r="BQ340"/>
  <c r="BS340"/>
  <c r="BU340"/>
  <c r="BW340"/>
  <c r="BY340"/>
  <c r="CA340"/>
  <c r="CC340"/>
  <c r="CE340"/>
  <c r="CG340"/>
  <c r="BK341"/>
  <c r="BM341"/>
  <c r="BO341"/>
  <c r="BQ341"/>
  <c r="BS341"/>
  <c r="BU341"/>
  <c r="BW341"/>
  <c r="BY341"/>
  <c r="CA341"/>
  <c r="CC341"/>
  <c r="CE341"/>
  <c r="CG341"/>
  <c r="BK342"/>
  <c r="BM342"/>
  <c r="BO342"/>
  <c r="BQ342"/>
  <c r="BS342"/>
  <c r="BU342"/>
  <c r="BW342"/>
  <c r="BY342"/>
  <c r="CA342"/>
  <c r="CC342"/>
  <c r="CE342"/>
  <c r="CG342"/>
  <c r="BK343"/>
  <c r="BM343"/>
  <c r="BO343"/>
  <c r="BQ343"/>
  <c r="BS343"/>
  <c r="BU343"/>
  <c r="BW343"/>
  <c r="BY343"/>
  <c r="CA343"/>
  <c r="CC343"/>
  <c r="CE343"/>
  <c r="CG343"/>
  <c r="BK344"/>
  <c r="BM344"/>
  <c r="BO344"/>
  <c r="BQ344"/>
  <c r="BS344"/>
  <c r="BU344"/>
  <c r="BW344"/>
  <c r="BY344"/>
  <c r="CA344"/>
  <c r="CC344"/>
  <c r="CE344"/>
  <c r="CG344"/>
  <c r="BK345"/>
  <c r="BM345"/>
  <c r="BO345"/>
  <c r="BQ345"/>
  <c r="BS345"/>
  <c r="BU345"/>
  <c r="BW345"/>
  <c r="BY345"/>
  <c r="CA345"/>
  <c r="CC345"/>
  <c r="CE345"/>
  <c r="CG345"/>
  <c r="BK346"/>
  <c r="BM346"/>
  <c r="BO346"/>
  <c r="BQ346"/>
  <c r="BS346"/>
  <c r="BU346"/>
  <c r="BW346"/>
  <c r="BY346"/>
  <c r="CA346"/>
  <c r="CC346"/>
  <c r="CE346"/>
  <c r="CG346"/>
  <c r="BK347"/>
  <c r="BM347"/>
  <c r="BO347"/>
  <c r="BQ347"/>
  <c r="BS347"/>
  <c r="BU347"/>
  <c r="BW347"/>
  <c r="BY347"/>
  <c r="CA347"/>
  <c r="CC347"/>
  <c r="CE347"/>
  <c r="CG347"/>
  <c r="BK348"/>
  <c r="BM348"/>
  <c r="BO348"/>
  <c r="BQ348"/>
  <c r="BS348"/>
  <c r="BU348"/>
  <c r="BW348"/>
  <c r="BY348"/>
  <c r="CA348"/>
  <c r="CC348"/>
  <c r="CE348"/>
  <c r="CG348"/>
  <c r="BK349"/>
  <c r="BM349"/>
  <c r="BO349"/>
  <c r="BQ349"/>
  <c r="BS349"/>
  <c r="BU349"/>
  <c r="BW349"/>
  <c r="BY349"/>
  <c r="CA349"/>
  <c r="CC349"/>
  <c r="CE349"/>
  <c r="CG349"/>
  <c r="BK350"/>
  <c r="BM350"/>
  <c r="BO350"/>
  <c r="BQ350"/>
  <c r="BS350"/>
  <c r="BU350"/>
  <c r="BW350"/>
  <c r="BY350"/>
  <c r="CA350"/>
  <c r="CC350"/>
  <c r="CE350"/>
  <c r="CG350"/>
  <c r="BK351"/>
  <c r="BM351"/>
  <c r="BO351"/>
  <c r="BQ351"/>
  <c r="BS351"/>
  <c r="BU351"/>
  <c r="BW351"/>
  <c r="BY351"/>
  <c r="CA351"/>
  <c r="CC351"/>
  <c r="CE351"/>
  <c r="CG351"/>
  <c r="BK352"/>
  <c r="BM352"/>
  <c r="BO352"/>
  <c r="BQ352"/>
  <c r="BS352"/>
  <c r="BU352"/>
  <c r="BW352"/>
  <c r="BY352"/>
  <c r="CA352"/>
  <c r="CC352"/>
  <c r="CE352"/>
  <c r="CG352"/>
  <c r="BK353"/>
  <c r="BM353"/>
  <c r="BO353"/>
  <c r="BQ353"/>
  <c r="BS353"/>
  <c r="BU353"/>
  <c r="BW353"/>
  <c r="BY353"/>
  <c r="CA353"/>
  <c r="CC353"/>
  <c r="CE353"/>
  <c r="CG353"/>
  <c r="BK354"/>
  <c r="BM354"/>
  <c r="BO354"/>
  <c r="BQ354"/>
  <c r="BS354"/>
  <c r="BU354"/>
  <c r="BW354"/>
  <c r="BY354"/>
  <c r="CA354"/>
  <c r="CC354"/>
  <c r="CE354"/>
  <c r="CG354"/>
  <c r="BK355"/>
  <c r="BM355"/>
  <c r="BO355"/>
  <c r="BQ355"/>
  <c r="BS355"/>
  <c r="BU355"/>
  <c r="BW355"/>
  <c r="BY355"/>
  <c r="CA355"/>
  <c r="CC355"/>
  <c r="CE355"/>
  <c r="CG355"/>
  <c r="BK356"/>
  <c r="BM356"/>
  <c r="BO356"/>
  <c r="BQ356"/>
  <c r="BS356"/>
  <c r="BU356"/>
  <c r="BW356"/>
  <c r="BY356"/>
  <c r="CA356"/>
  <c r="CC356"/>
  <c r="CE356"/>
  <c r="CG356"/>
  <c r="BK357"/>
  <c r="BM357"/>
  <c r="BO357"/>
  <c r="BQ357"/>
  <c r="BS357"/>
  <c r="BU357"/>
  <c r="BW357"/>
  <c r="BY357"/>
  <c r="CA357"/>
  <c r="CC357"/>
  <c r="CE357"/>
  <c r="CG357"/>
  <c r="BK358"/>
  <c r="BM358"/>
  <c r="BO358"/>
  <c r="BQ358"/>
  <c r="BS358"/>
  <c r="BU358"/>
  <c r="BW358"/>
  <c r="BY358"/>
  <c r="CA358"/>
  <c r="CC358"/>
  <c r="CE358"/>
  <c r="CG358"/>
  <c r="BK359"/>
  <c r="BM359"/>
  <c r="BO359"/>
  <c r="BQ359"/>
  <c r="BS359"/>
  <c r="BU359"/>
  <c r="BW359"/>
  <c r="BY359"/>
  <c r="CA359"/>
  <c r="CC359"/>
  <c r="CE359"/>
  <c r="CG359"/>
  <c r="BK360"/>
  <c r="BM360"/>
  <c r="BO360"/>
  <c r="BQ360"/>
  <c r="BS360"/>
  <c r="BU360"/>
  <c r="BW360"/>
  <c r="BY360"/>
  <c r="CA360"/>
  <c r="CC360"/>
  <c r="CE360"/>
  <c r="CG360"/>
  <c r="BK361"/>
  <c r="BM361"/>
  <c r="BO361"/>
  <c r="BQ361"/>
  <c r="BS361"/>
  <c r="BU361"/>
  <c r="BW361"/>
  <c r="BY361"/>
  <c r="CA361"/>
  <c r="CC361"/>
  <c r="CE361"/>
  <c r="CG361"/>
  <c r="BK362"/>
  <c r="BM362"/>
  <c r="BO362"/>
  <c r="BQ362"/>
  <c r="BS362"/>
  <c r="BU362"/>
  <c r="BW362"/>
  <c r="BY362"/>
  <c r="CA362"/>
  <c r="CC362"/>
  <c r="CE362"/>
  <c r="CG362"/>
  <c r="BK363"/>
  <c r="BM363"/>
  <c r="BO363"/>
  <c r="BQ363"/>
  <c r="BS363"/>
  <c r="BU363"/>
  <c r="BW363"/>
  <c r="BY363"/>
  <c r="CA363"/>
  <c r="CC363"/>
  <c r="CE363"/>
  <c r="CG363"/>
  <c r="BK364"/>
  <c r="BM364"/>
  <c r="BO364"/>
  <c r="BQ364"/>
  <c r="BS364"/>
  <c r="BU364"/>
  <c r="BW364"/>
  <c r="BY364"/>
  <c r="CA364"/>
  <c r="CC364"/>
  <c r="CE364"/>
  <c r="CG364"/>
  <c r="BK365"/>
  <c r="BM365"/>
  <c r="BO365"/>
  <c r="BQ365"/>
  <c r="BS365"/>
  <c r="BU365"/>
  <c r="BW365"/>
  <c r="BY365"/>
  <c r="CA365"/>
  <c r="CC365"/>
  <c r="CE365"/>
  <c r="CG365"/>
  <c r="BK366"/>
  <c r="BM366"/>
  <c r="BO366"/>
  <c r="BQ366"/>
  <c r="BS366"/>
  <c r="BU366"/>
  <c r="BW366"/>
  <c r="BY366"/>
  <c r="CA366"/>
  <c r="CC366"/>
  <c r="CE366"/>
  <c r="CG366"/>
  <c r="BK367"/>
  <c r="BM367"/>
  <c r="BO367"/>
  <c r="BQ367"/>
  <c r="BS367"/>
  <c r="BU367"/>
  <c r="BW367"/>
  <c r="BY367"/>
  <c r="CA367"/>
  <c r="CC367"/>
  <c r="CE367"/>
  <c r="CG367"/>
  <c r="BK368"/>
  <c r="BM368"/>
  <c r="BO368"/>
  <c r="BQ368"/>
  <c r="BS368"/>
  <c r="BU368"/>
  <c r="BW368"/>
  <c r="BY368"/>
  <c r="CA368"/>
  <c r="CC368"/>
  <c r="CE368"/>
  <c r="CG368"/>
  <c r="BK369"/>
  <c r="BM369"/>
  <c r="BO369"/>
  <c r="BQ369"/>
  <c r="BS369"/>
  <c r="BU369"/>
  <c r="BW369"/>
  <c r="BY369"/>
  <c r="CA369"/>
  <c r="CC369"/>
  <c r="CE369"/>
  <c r="CG369"/>
  <c r="BK370"/>
  <c r="BM370"/>
  <c r="BO370"/>
  <c r="BQ370"/>
  <c r="BS370"/>
  <c r="BU370"/>
  <c r="BW370"/>
  <c r="BY370"/>
  <c r="CA370"/>
  <c r="CC370"/>
  <c r="CE370"/>
  <c r="CG370"/>
  <c r="BK371"/>
  <c r="BM371"/>
  <c r="BO371"/>
  <c r="BQ371"/>
  <c r="BS371"/>
  <c r="BU371"/>
  <c r="BW371"/>
  <c r="BY371"/>
  <c r="CA371"/>
  <c r="CC371"/>
  <c r="CE371"/>
  <c r="CG371"/>
  <c r="BK372"/>
  <c r="BM372"/>
  <c r="BO372"/>
  <c r="BQ372"/>
  <c r="BS372"/>
  <c r="BU372"/>
  <c r="BW372"/>
  <c r="BY372"/>
  <c r="CA372"/>
  <c r="CC372"/>
  <c r="CE372"/>
  <c r="CG372"/>
  <c r="BK373"/>
  <c r="BM373"/>
  <c r="BO373"/>
  <c r="BQ373"/>
  <c r="BS373"/>
  <c r="BU373"/>
  <c r="BW373"/>
  <c r="BY373"/>
  <c r="CA373"/>
  <c r="CC373"/>
  <c r="CE373"/>
  <c r="CG373"/>
  <c r="BK374"/>
  <c r="BM374"/>
  <c r="BO374"/>
  <c r="BQ374"/>
  <c r="BS374"/>
  <c r="BU374"/>
  <c r="BW374"/>
  <c r="BY374"/>
  <c r="CA374"/>
  <c r="CC374"/>
  <c r="CE374"/>
  <c r="CG374"/>
  <c r="BK375"/>
  <c r="BM375"/>
  <c r="BO375"/>
  <c r="BQ375"/>
  <c r="BS375"/>
  <c r="BU375"/>
  <c r="BW375"/>
  <c r="BY375"/>
  <c r="CA375"/>
  <c r="CC375"/>
  <c r="CE375"/>
  <c r="CG375"/>
  <c r="BK376"/>
  <c r="BM376"/>
  <c r="BO376"/>
  <c r="BQ376"/>
  <c r="BS376"/>
  <c r="BU376"/>
  <c r="BW376"/>
  <c r="BY376"/>
  <c r="CA376"/>
  <c r="CC376"/>
  <c r="CE376"/>
  <c r="CG376"/>
  <c r="BK377"/>
  <c r="BM377"/>
  <c r="BO377"/>
  <c r="BQ377"/>
  <c r="BS377"/>
  <c r="BU377"/>
  <c r="BW377"/>
  <c r="BY377"/>
  <c r="CA377"/>
  <c r="CC377"/>
  <c r="CE377"/>
  <c r="CG377"/>
  <c r="BK378"/>
  <c r="BM378"/>
  <c r="BO378"/>
  <c r="BQ378"/>
  <c r="BS378"/>
  <c r="BU378"/>
  <c r="BW378"/>
  <c r="BY378"/>
  <c r="CA378"/>
  <c r="CC378"/>
  <c r="CE378"/>
  <c r="CG378"/>
  <c r="BK379"/>
  <c r="BM379"/>
  <c r="BO379"/>
  <c r="BQ379"/>
  <c r="BS379"/>
  <c r="BU379"/>
  <c r="BW379"/>
  <c r="BY379"/>
  <c r="CA379"/>
  <c r="CC379"/>
  <c r="CE379"/>
  <c r="CG379"/>
  <c r="BK380"/>
  <c r="BM380"/>
  <c r="BO380"/>
  <c r="BQ380"/>
  <c r="BS380"/>
  <c r="BU380"/>
  <c r="BW380"/>
  <c r="BY380"/>
  <c r="CA380"/>
  <c r="CC380"/>
  <c r="CE380"/>
  <c r="CG380"/>
  <c r="BK381"/>
  <c r="BM381"/>
  <c r="BO381"/>
  <c r="BQ381"/>
  <c r="BS381"/>
  <c r="BU381"/>
  <c r="BW381"/>
  <c r="BY381"/>
  <c r="CA381"/>
  <c r="CC381"/>
  <c r="CE381"/>
  <c r="CG381"/>
  <c r="BL382"/>
  <c r="BN382"/>
  <c r="BP382"/>
  <c r="BR382"/>
  <c r="BT382"/>
  <c r="BX382"/>
  <c r="CW382" s="1"/>
  <c r="BZ382"/>
  <c r="CB382"/>
  <c r="CD382"/>
  <c r="CF382"/>
  <c r="CH382"/>
  <c r="BL383"/>
  <c r="BN383"/>
  <c r="BP383"/>
  <c r="BR383"/>
  <c r="BT383"/>
  <c r="BX383"/>
  <c r="CW383" s="1"/>
  <c r="BZ383"/>
  <c r="CB383"/>
  <c r="CD383"/>
  <c r="CF383"/>
  <c r="CH383"/>
  <c r="BL384"/>
  <c r="BN384"/>
  <c r="BP384"/>
  <c r="BR384"/>
  <c r="BT384"/>
  <c r="BX384"/>
  <c r="CW384" s="1"/>
  <c r="BZ384"/>
  <c r="CB384"/>
  <c r="CD384"/>
  <c r="CF384"/>
  <c r="CH384"/>
  <c r="BL385"/>
  <c r="BN385"/>
  <c r="BP385"/>
  <c r="BR385"/>
  <c r="BT385"/>
  <c r="BX385"/>
  <c r="CW385" s="1"/>
  <c r="BZ385"/>
  <c r="CB385"/>
  <c r="CD385"/>
  <c r="CF385"/>
  <c r="CH385"/>
  <c r="BL386"/>
  <c r="BN386"/>
  <c r="BP386"/>
  <c r="BR386"/>
  <c r="BT386"/>
  <c r="BX386"/>
  <c r="CW386" s="1"/>
  <c r="BZ386"/>
  <c r="CB386"/>
  <c r="CD386"/>
  <c r="CF386"/>
  <c r="CH386"/>
  <c r="BL387"/>
  <c r="BN387"/>
  <c r="BP387"/>
  <c r="BR387"/>
  <c r="BT387"/>
  <c r="BX387"/>
  <c r="CW387" s="1"/>
  <c r="BZ387"/>
  <c r="CB387"/>
  <c r="CD387"/>
  <c r="CF387"/>
  <c r="CH387"/>
  <c r="BL388"/>
  <c r="BN388"/>
  <c r="BP388"/>
  <c r="BR388"/>
  <c r="BT388"/>
  <c r="BX388"/>
  <c r="CW388" s="1"/>
  <c r="BZ388"/>
  <c r="CB388"/>
  <c r="CD388"/>
  <c r="CF388"/>
  <c r="CH388"/>
  <c r="BL389"/>
  <c r="BN389"/>
  <c r="BP389"/>
  <c r="BR389"/>
  <c r="BT389"/>
  <c r="BX389"/>
  <c r="CW389" s="1"/>
  <c r="BZ389"/>
  <c r="CB389"/>
  <c r="CD389"/>
  <c r="CF389"/>
  <c r="CH389"/>
  <c r="BL390"/>
  <c r="BN390"/>
  <c r="BP390"/>
  <c r="BR390"/>
  <c r="BT390"/>
  <c r="BX390"/>
  <c r="CW390" s="1"/>
  <c r="BZ390"/>
  <c r="CB390"/>
  <c r="CD390"/>
  <c r="CF390"/>
  <c r="CH390"/>
  <c r="BL391"/>
  <c r="BN391"/>
  <c r="BP391"/>
  <c r="BR391"/>
  <c r="BT391"/>
  <c r="BX391"/>
  <c r="CW391" s="1"/>
  <c r="BZ391"/>
  <c r="CB391"/>
  <c r="CD391"/>
  <c r="CF391"/>
  <c r="CH391"/>
  <c r="BL392"/>
  <c r="BN392"/>
  <c r="BP392"/>
  <c r="BR392"/>
  <c r="BT392"/>
  <c r="BX392"/>
  <c r="CW392" s="1"/>
  <c r="BZ392"/>
  <c r="CB392"/>
  <c r="CD392"/>
  <c r="CF392"/>
  <c r="CH392"/>
  <c r="BL393"/>
  <c r="BN393"/>
  <c r="BP393"/>
  <c r="BR393"/>
  <c r="BT393"/>
  <c r="BX393"/>
  <c r="CW393" s="1"/>
  <c r="BZ393"/>
  <c r="CB393"/>
  <c r="CD393"/>
  <c r="CF393"/>
  <c r="CH393"/>
  <c r="BL394"/>
  <c r="BN394"/>
  <c r="BP394"/>
  <c r="BR394"/>
  <c r="BT394"/>
  <c r="BX394"/>
  <c r="CW394" s="1"/>
  <c r="BZ394"/>
  <c r="CB394"/>
  <c r="CD394"/>
  <c r="CF394"/>
  <c r="CH394"/>
  <c r="BL395"/>
  <c r="BN395"/>
  <c r="BP395"/>
  <c r="BR395"/>
  <c r="BT395"/>
  <c r="BX395"/>
  <c r="CW395" s="1"/>
  <c r="BZ395"/>
  <c r="CB395"/>
  <c r="CD395"/>
  <c r="CF395"/>
  <c r="CH395"/>
  <c r="BL396"/>
  <c r="BN396"/>
  <c r="BP396"/>
  <c r="BR396"/>
  <c r="BT396"/>
  <c r="BX396"/>
  <c r="CW396" s="1"/>
  <c r="BZ396"/>
  <c r="CB396"/>
  <c r="CD396"/>
  <c r="CF396"/>
  <c r="CH396"/>
  <c r="BL397"/>
  <c r="BN397"/>
  <c r="BP397"/>
  <c r="BR397"/>
  <c r="BT397"/>
  <c r="BX397"/>
  <c r="CW397" s="1"/>
  <c r="BZ397"/>
  <c r="CB397"/>
  <c r="CD397"/>
  <c r="CF397"/>
  <c r="CH397"/>
  <c r="BL398"/>
  <c r="BN398"/>
  <c r="BP398"/>
  <c r="BR398"/>
  <c r="BT398"/>
  <c r="BX398"/>
  <c r="CW398" s="1"/>
  <c r="BZ398"/>
  <c r="CB398"/>
  <c r="CD398"/>
  <c r="CF398"/>
  <c r="CH398"/>
  <c r="BL399"/>
  <c r="BN399"/>
  <c r="BP399"/>
  <c r="BR399"/>
  <c r="BT399"/>
  <c r="BX399"/>
  <c r="CW399" s="1"/>
  <c r="BZ399"/>
  <c r="CB399"/>
  <c r="CD399"/>
  <c r="CF399"/>
  <c r="CH399"/>
  <c r="BL400"/>
  <c r="BN400"/>
  <c r="BP400"/>
  <c r="BR400"/>
  <c r="BT400"/>
  <c r="BX400"/>
  <c r="CW400" s="1"/>
  <c r="BZ400"/>
  <c r="CB400"/>
  <c r="CD400"/>
  <c r="CF400"/>
  <c r="CH400"/>
  <c r="BL401"/>
  <c r="BN401"/>
  <c r="BP401"/>
  <c r="BR401"/>
  <c r="BT401"/>
  <c r="BX401"/>
  <c r="CW401" s="1"/>
  <c r="BZ401"/>
  <c r="CB401"/>
  <c r="CD401"/>
  <c r="CF401"/>
  <c r="CH401"/>
  <c r="BL402"/>
  <c r="BN402"/>
  <c r="BP402"/>
  <c r="BR402"/>
  <c r="BT402"/>
  <c r="BX402"/>
  <c r="CW402" s="1"/>
  <c r="BZ402"/>
  <c r="CB402"/>
  <c r="CD402"/>
  <c r="CF402"/>
  <c r="CH402"/>
  <c r="BL403"/>
  <c r="BN403"/>
  <c r="BP403"/>
  <c r="BR403"/>
  <c r="BT403"/>
  <c r="BX403"/>
  <c r="CW403" s="1"/>
  <c r="BZ403"/>
  <c r="CB403"/>
  <c r="CD403"/>
  <c r="CF403"/>
  <c r="CH403"/>
  <c r="BL404"/>
  <c r="BN404"/>
  <c r="BP404"/>
  <c r="BR404"/>
  <c r="BT404"/>
  <c r="BX404"/>
  <c r="CW404" s="1"/>
  <c r="BZ404"/>
  <c r="CB404"/>
  <c r="CD404"/>
  <c r="CF404"/>
  <c r="CH404"/>
  <c r="BL405"/>
  <c r="BN405"/>
  <c r="BP405"/>
  <c r="BR405"/>
  <c r="BT405"/>
  <c r="BX405"/>
  <c r="CW405" s="1"/>
  <c r="BZ405"/>
  <c r="CB405"/>
  <c r="CD405"/>
  <c r="CF405"/>
  <c r="CH405"/>
  <c r="BL406"/>
  <c r="BN406"/>
  <c r="BP406"/>
  <c r="BR406"/>
  <c r="BT406"/>
  <c r="BX406"/>
  <c r="CW406" s="1"/>
  <c r="BZ406"/>
  <c r="CB406"/>
  <c r="CD406"/>
  <c r="CF406"/>
  <c r="CH406"/>
  <c r="BL407"/>
  <c r="BN407"/>
  <c r="BP407"/>
  <c r="BR407"/>
  <c r="BT407"/>
  <c r="BX407"/>
  <c r="CW407" s="1"/>
  <c r="BZ407"/>
  <c r="CB407"/>
  <c r="CD407"/>
  <c r="CF407"/>
  <c r="CH407"/>
  <c r="BL408"/>
  <c r="BN408"/>
  <c r="BP408"/>
  <c r="BR408"/>
  <c r="BT408"/>
  <c r="BX408"/>
  <c r="CW408" s="1"/>
  <c r="BZ408"/>
  <c r="CB408"/>
  <c r="CD408"/>
  <c r="CF408"/>
  <c r="CH408"/>
  <c r="BL409"/>
  <c r="BN409"/>
  <c r="BP409"/>
  <c r="BR409"/>
  <c r="BT409"/>
  <c r="BX409"/>
  <c r="CW409" s="1"/>
  <c r="BZ409"/>
  <c r="CB409"/>
  <c r="CD409"/>
  <c r="CF409"/>
  <c r="CH409"/>
  <c r="BL410"/>
  <c r="BN410"/>
  <c r="BP410"/>
  <c r="BR410"/>
  <c r="BT410"/>
  <c r="BX410"/>
  <c r="CW410" s="1"/>
  <c r="BZ410"/>
  <c r="CB410"/>
  <c r="CD410"/>
  <c r="CF410"/>
  <c r="CH410"/>
  <c r="BL411"/>
  <c r="BN411"/>
  <c r="BP411"/>
  <c r="BR411"/>
  <c r="BT411"/>
  <c r="BX411"/>
  <c r="CW411" s="1"/>
  <c r="BZ411"/>
  <c r="CB411"/>
  <c r="CD411"/>
  <c r="CF411"/>
  <c r="CH411"/>
  <c r="BL412"/>
  <c r="BN412"/>
  <c r="BP412"/>
  <c r="BR412"/>
  <c r="BT412"/>
  <c r="BX412"/>
  <c r="CW412" s="1"/>
  <c r="BZ412"/>
  <c r="CB412"/>
  <c r="CD412"/>
  <c r="CF412"/>
  <c r="CH412"/>
  <c r="BL413"/>
  <c r="BN413"/>
  <c r="BP413"/>
  <c r="BR413"/>
  <c r="BT413"/>
  <c r="BX413"/>
  <c r="CW413" s="1"/>
  <c r="BZ413"/>
  <c r="CB413"/>
  <c r="CD413"/>
  <c r="CF413"/>
  <c r="CH413"/>
  <c r="BL414"/>
  <c r="BN414"/>
  <c r="BP414"/>
  <c r="BR414"/>
  <c r="BT414"/>
  <c r="BX414"/>
  <c r="CW414" s="1"/>
  <c r="BZ414"/>
  <c r="CB414"/>
  <c r="CD414"/>
  <c r="CF414"/>
  <c r="CH414"/>
  <c r="BL415"/>
  <c r="BN415"/>
  <c r="BP415"/>
  <c r="BR415"/>
  <c r="BT415"/>
  <c r="BX415"/>
  <c r="CW415" s="1"/>
  <c r="BZ415"/>
  <c r="CB415"/>
  <c r="CD415"/>
  <c r="CF415"/>
  <c r="CH415"/>
  <c r="BL416"/>
  <c r="BN416"/>
  <c r="BP416"/>
  <c r="BR416"/>
  <c r="BT416"/>
  <c r="BX416"/>
  <c r="CW416" s="1"/>
  <c r="BZ416"/>
  <c r="CB416"/>
  <c r="CD416"/>
  <c r="CF416"/>
  <c r="CH416"/>
  <c r="BL417"/>
  <c r="BN417"/>
  <c r="BP417"/>
  <c r="BR417"/>
  <c r="BT417"/>
  <c r="BX417"/>
  <c r="CW417" s="1"/>
  <c r="BZ417"/>
  <c r="CB417"/>
  <c r="CD417"/>
  <c r="CF417"/>
  <c r="CH417"/>
  <c r="BL418"/>
  <c r="BN418"/>
  <c r="BP418"/>
  <c r="BR418"/>
  <c r="BT418"/>
  <c r="BX418"/>
  <c r="CW418" s="1"/>
  <c r="BZ418"/>
  <c r="CB418"/>
  <c r="CD418"/>
  <c r="CF418"/>
  <c r="CH418"/>
  <c r="BL419"/>
  <c r="BN419"/>
  <c r="BP419"/>
  <c r="BR419"/>
  <c r="BT419"/>
  <c r="BX419"/>
  <c r="CW419" s="1"/>
  <c r="BZ419"/>
  <c r="CB419"/>
  <c r="CD419"/>
  <c r="CF419"/>
  <c r="CH419"/>
  <c r="BL420"/>
  <c r="BN420"/>
  <c r="BP420"/>
  <c r="BR420"/>
  <c r="BT420"/>
  <c r="BX420"/>
  <c r="CW420" s="1"/>
  <c r="BZ420"/>
  <c r="CB420"/>
  <c r="CD420"/>
  <c r="CF420"/>
  <c r="CH420"/>
  <c r="BL421"/>
  <c r="BN421"/>
  <c r="BP421"/>
  <c r="BR421"/>
  <c r="BT421"/>
  <c r="BX421"/>
  <c r="CW421" s="1"/>
  <c r="BZ421"/>
  <c r="CB421"/>
  <c r="CD421"/>
  <c r="CF421"/>
  <c r="CH421"/>
  <c r="BL422"/>
  <c r="BN422"/>
  <c r="BP422"/>
  <c r="BR422"/>
  <c r="BT422"/>
  <c r="BX422"/>
  <c r="CW422" s="1"/>
  <c r="BZ422"/>
  <c r="CB422"/>
  <c r="CD422"/>
  <c r="CF422"/>
  <c r="CH422"/>
  <c r="BL423"/>
  <c r="BN423"/>
  <c r="BP423"/>
  <c r="BR423"/>
  <c r="BT423"/>
  <c r="BX423"/>
  <c r="CW423" s="1"/>
  <c r="BZ423"/>
  <c r="CB423"/>
  <c r="CD423"/>
  <c r="CF423"/>
  <c r="CH423"/>
  <c r="BL424"/>
  <c r="BN424"/>
  <c r="BP424"/>
  <c r="BR424"/>
  <c r="BT424"/>
  <c r="BX424"/>
  <c r="CW424" s="1"/>
  <c r="BZ424"/>
  <c r="CB424"/>
  <c r="CD424"/>
  <c r="CF424"/>
  <c r="CH424"/>
  <c r="BL425"/>
  <c r="BN425"/>
  <c r="BP425"/>
  <c r="BR425"/>
  <c r="BT425"/>
  <c r="BX425"/>
  <c r="CW425" s="1"/>
  <c r="BZ425"/>
  <c r="CB425"/>
  <c r="CD425"/>
  <c r="CF425"/>
  <c r="CH425"/>
  <c r="BL426"/>
  <c r="BN426"/>
  <c r="BP426"/>
  <c r="BR426"/>
  <c r="BT426"/>
  <c r="BX426"/>
  <c r="CW426" s="1"/>
  <c r="BZ426"/>
  <c r="CB426"/>
  <c r="CD426"/>
  <c r="CF426"/>
  <c r="CH426"/>
  <c r="BL427"/>
  <c r="BN427"/>
  <c r="BP427"/>
  <c r="BR427"/>
  <c r="BT427"/>
  <c r="BX427"/>
  <c r="CW427" s="1"/>
  <c r="BZ427"/>
  <c r="CB427"/>
  <c r="CD427"/>
  <c r="CF427"/>
  <c r="CH427"/>
  <c r="BL428"/>
  <c r="BN428"/>
  <c r="BP428"/>
  <c r="BR428"/>
  <c r="BT428"/>
  <c r="BX428"/>
  <c r="CW428" s="1"/>
  <c r="BZ428"/>
  <c r="CB428"/>
  <c r="CD428"/>
  <c r="CF428"/>
  <c r="CH428"/>
  <c r="BL429"/>
  <c r="BN429"/>
  <c r="BP429"/>
  <c r="BR429"/>
  <c r="BT429"/>
  <c r="BX429"/>
  <c r="CW429" s="1"/>
  <c r="BZ429"/>
  <c r="CB429"/>
  <c r="CD429"/>
  <c r="CF429"/>
  <c r="CH429"/>
  <c r="BL430"/>
  <c r="BN430"/>
  <c r="BP430"/>
  <c r="BR430"/>
  <c r="BT430"/>
  <c r="BX430"/>
  <c r="CW430" s="1"/>
  <c r="BZ430"/>
  <c r="CB430"/>
  <c r="CD430"/>
  <c r="CF430"/>
  <c r="CH430"/>
  <c r="BW431"/>
  <c r="BN431"/>
  <c r="BR431"/>
  <c r="BZ431"/>
  <c r="CD431"/>
  <c r="CH431"/>
  <c r="BW433"/>
  <c r="BN433"/>
  <c r="BR433"/>
  <c r="BZ433"/>
  <c r="CD433"/>
  <c r="CH433"/>
  <c r="BV435"/>
  <c r="BN435"/>
  <c r="CW547"/>
  <c r="CT547" s="1"/>
  <c r="CW549"/>
  <c r="CT549" s="1"/>
  <c r="CW551"/>
  <c r="CT551" s="1"/>
  <c r="CW553"/>
  <c r="CT553" s="1"/>
  <c r="CS553" s="1"/>
  <c r="CR553" s="1"/>
  <c r="CQ553" s="1"/>
  <c r="CP553" s="1"/>
  <c r="CO553" s="1"/>
  <c r="CN553" s="1"/>
  <c r="CM553" s="1"/>
  <c r="CL553" s="1"/>
  <c r="CK553" s="1"/>
  <c r="CJ553" s="1"/>
  <c r="CW555"/>
  <c r="CT555" s="1"/>
  <c r="CS555" s="1"/>
  <c r="CR555" s="1"/>
  <c r="CQ555" s="1"/>
  <c r="CP555" s="1"/>
  <c r="CO555" s="1"/>
  <c r="CN555" s="1"/>
  <c r="CM555" s="1"/>
  <c r="CL555" s="1"/>
  <c r="CK555" s="1"/>
  <c r="CJ555" s="1"/>
  <c r="CW557"/>
  <c r="CT557" s="1"/>
  <c r="CS557" s="1"/>
  <c r="CR557" s="1"/>
  <c r="CQ557" s="1"/>
  <c r="CP557" s="1"/>
  <c r="CO557" s="1"/>
  <c r="CN557" s="1"/>
  <c r="CM557" s="1"/>
  <c r="CL557" s="1"/>
  <c r="CK557" s="1"/>
  <c r="CJ557" s="1"/>
  <c r="CW559"/>
  <c r="CT559" s="1"/>
  <c r="CW561"/>
  <c r="CT561" s="1"/>
  <c r="CX317"/>
  <c r="CX318"/>
  <c r="CX319"/>
  <c r="CX320"/>
  <c r="CX321"/>
  <c r="CX322"/>
  <c r="CX323"/>
  <c r="CX324"/>
  <c r="CX325"/>
  <c r="CX326"/>
  <c r="CX327"/>
  <c r="CX328"/>
  <c r="CX329"/>
  <c r="CX330"/>
  <c r="BL431"/>
  <c r="BP431"/>
  <c r="BT431"/>
  <c r="BX431"/>
  <c r="CB431"/>
  <c r="CF431"/>
  <c r="BW432"/>
  <c r="BN432"/>
  <c r="BR432"/>
  <c r="BZ432"/>
  <c r="CD432"/>
  <c r="CH432"/>
  <c r="BL433"/>
  <c r="BP433"/>
  <c r="BT433"/>
  <c r="BX433"/>
  <c r="CB433"/>
  <c r="CF433"/>
  <c r="BW434"/>
  <c r="BN434"/>
  <c r="BR434"/>
  <c r="BZ434"/>
  <c r="CD434"/>
  <c r="CH434"/>
  <c r="BL435"/>
  <c r="CW546"/>
  <c r="CT546" s="1"/>
  <c r="CW548"/>
  <c r="CT548" s="1"/>
  <c r="CW550"/>
  <c r="CT550" s="1"/>
  <c r="CW552"/>
  <c r="CT552" s="1"/>
  <c r="CW554"/>
  <c r="CT554" s="1"/>
  <c r="CS554" s="1"/>
  <c r="CR554" s="1"/>
  <c r="CQ554" s="1"/>
  <c r="CP554" s="1"/>
  <c r="CO554" s="1"/>
  <c r="CN554" s="1"/>
  <c r="CM554" s="1"/>
  <c r="CL554" s="1"/>
  <c r="CK554" s="1"/>
  <c r="CJ554" s="1"/>
  <c r="CW556"/>
  <c r="CT556" s="1"/>
  <c r="CS556" s="1"/>
  <c r="CR556" s="1"/>
  <c r="CQ556" s="1"/>
  <c r="CP556" s="1"/>
  <c r="CO556" s="1"/>
  <c r="CN556" s="1"/>
  <c r="CM556" s="1"/>
  <c r="CL556" s="1"/>
  <c r="CK556" s="1"/>
  <c r="CJ556" s="1"/>
  <c r="CW558"/>
  <c r="CT558" s="1"/>
  <c r="CW560"/>
  <c r="CT560" s="1"/>
  <c r="CW562"/>
  <c r="CT562" s="1"/>
  <c r="BM436"/>
  <c r="BO436"/>
  <c r="BQ436"/>
  <c r="BS436"/>
  <c r="BU436"/>
  <c r="BW436"/>
  <c r="BY436"/>
  <c r="CA436"/>
  <c r="CC436"/>
  <c r="CE436"/>
  <c r="CG436"/>
  <c r="BM437"/>
  <c r="BO437"/>
  <c r="BQ437"/>
  <c r="BS437"/>
  <c r="BU437"/>
  <c r="BW437"/>
  <c r="BY437"/>
  <c r="CA437"/>
  <c r="CC437"/>
  <c r="CE437"/>
  <c r="CG437"/>
  <c r="BM438"/>
  <c r="BO438"/>
  <c r="BQ438"/>
  <c r="BS438"/>
  <c r="BU438"/>
  <c r="BW438"/>
  <c r="BY438"/>
  <c r="CA438"/>
  <c r="CC438"/>
  <c r="CE438"/>
  <c r="CG438"/>
  <c r="BM439"/>
  <c r="BO439"/>
  <c r="BQ439"/>
  <c r="BS439"/>
  <c r="BU439"/>
  <c r="BW439"/>
  <c r="BY439"/>
  <c r="CA439"/>
  <c r="CC439"/>
  <c r="CE439"/>
  <c r="CG439"/>
  <c r="BM440"/>
  <c r="BO440"/>
  <c r="BQ440"/>
  <c r="BS440"/>
  <c r="BU440"/>
  <c r="BW440"/>
  <c r="BY440"/>
  <c r="CA440"/>
  <c r="CC440"/>
  <c r="CE440"/>
  <c r="CG440"/>
  <c r="BM441"/>
  <c r="BO441"/>
  <c r="BQ441"/>
  <c r="BS441"/>
  <c r="BU441"/>
  <c r="BW441"/>
  <c r="BY441"/>
  <c r="CA441"/>
  <c r="CC441"/>
  <c r="CE441"/>
  <c r="CG441"/>
  <c r="BM442"/>
  <c r="BO442"/>
  <c r="BQ442"/>
  <c r="BS442"/>
  <c r="BU442"/>
  <c r="BW442"/>
  <c r="BY442"/>
  <c r="CA442"/>
  <c r="CC442"/>
  <c r="CE442"/>
  <c r="CG442"/>
  <c r="BM443"/>
  <c r="BO443"/>
  <c r="BQ443"/>
  <c r="BS443"/>
  <c r="BU443"/>
  <c r="BW443"/>
  <c r="BY443"/>
  <c r="CA443"/>
  <c r="CC443"/>
  <c r="CE443"/>
  <c r="CG443"/>
  <c r="BM444"/>
  <c r="BO444"/>
  <c r="BQ444"/>
  <c r="BS444"/>
  <c r="BU444"/>
  <c r="BW444"/>
  <c r="BY444"/>
  <c r="CA444"/>
  <c r="CC444"/>
  <c r="CE444"/>
  <c r="CG444"/>
  <c r="BM445"/>
  <c r="BO445"/>
  <c r="BQ445"/>
  <c r="BS445"/>
  <c r="BU445"/>
  <c r="BW445"/>
  <c r="BY445"/>
  <c r="CA445"/>
  <c r="CC445"/>
  <c r="CE445"/>
  <c r="CG445"/>
  <c r="BM446"/>
  <c r="BO446"/>
  <c r="BQ446"/>
  <c r="BS446"/>
  <c r="BU446"/>
  <c r="BW446"/>
  <c r="BY446"/>
  <c r="CA446"/>
  <c r="CC446"/>
  <c r="CE446"/>
  <c r="CG446"/>
  <c r="BM447"/>
  <c r="BO447"/>
  <c r="BQ447"/>
  <c r="BS447"/>
  <c r="BU447"/>
  <c r="BW447"/>
  <c r="BY447"/>
  <c r="CA447"/>
  <c r="CC447"/>
  <c r="CE447"/>
  <c r="CG447"/>
  <c r="BM448"/>
  <c r="BO448"/>
  <c r="BQ448"/>
  <c r="BS448"/>
  <c r="BU448"/>
  <c r="BW448"/>
  <c r="BY448"/>
  <c r="CA448"/>
  <c r="CC448"/>
  <c r="CE448"/>
  <c r="CG448"/>
  <c r="BM449"/>
  <c r="BO449"/>
  <c r="BQ449"/>
  <c r="BS449"/>
  <c r="BU449"/>
  <c r="BW449"/>
  <c r="BY449"/>
  <c r="CA449"/>
  <c r="CC449"/>
  <c r="CE449"/>
  <c r="CG449"/>
  <c r="BM450"/>
  <c r="BO450"/>
  <c r="BQ450"/>
  <c r="BS450"/>
  <c r="BU450"/>
  <c r="BW450"/>
  <c r="BY450"/>
  <c r="CA450"/>
  <c r="CC450"/>
  <c r="CE450"/>
  <c r="CG450"/>
  <c r="BM451"/>
  <c r="BO451"/>
  <c r="BQ451"/>
  <c r="BS451"/>
  <c r="BU451"/>
  <c r="BW451"/>
  <c r="BY451"/>
  <c r="CA451"/>
  <c r="CC451"/>
  <c r="CE451"/>
  <c r="CG451"/>
  <c r="BM452"/>
  <c r="BO452"/>
  <c r="BQ452"/>
  <c r="BS452"/>
  <c r="BU452"/>
  <c r="BW452"/>
  <c r="BY452"/>
  <c r="CA452"/>
  <c r="CC452"/>
  <c r="CE452"/>
  <c r="CG452"/>
  <c r="BM453"/>
  <c r="BO453"/>
  <c r="BQ453"/>
  <c r="BS453"/>
  <c r="BU453"/>
  <c r="BW453"/>
  <c r="BY453"/>
  <c r="CA453"/>
  <c r="CC453"/>
  <c r="CE453"/>
  <c r="CG453"/>
  <c r="BM454"/>
  <c r="BO454"/>
  <c r="BQ454"/>
  <c r="BS454"/>
  <c r="BU454"/>
  <c r="BW454"/>
  <c r="BY454"/>
  <c r="CA454"/>
  <c r="CC454"/>
  <c r="CE454"/>
  <c r="CG454"/>
  <c r="BM455"/>
  <c r="BO455"/>
  <c r="BQ455"/>
  <c r="BS455"/>
  <c r="BU455"/>
  <c r="BW455"/>
  <c r="BY455"/>
  <c r="CA455"/>
  <c r="CC455"/>
  <c r="CE455"/>
  <c r="CG455"/>
  <c r="BM456"/>
  <c r="BO456"/>
  <c r="BQ456"/>
  <c r="BS456"/>
  <c r="BU456"/>
  <c r="BW456"/>
  <c r="BY456"/>
  <c r="CA456"/>
  <c r="CC456"/>
  <c r="CE456"/>
  <c r="CG456"/>
  <c r="BM457"/>
  <c r="BO457"/>
  <c r="BQ457"/>
  <c r="BS457"/>
  <c r="BU457"/>
  <c r="BW457"/>
  <c r="BY457"/>
  <c r="CA457"/>
  <c r="CC457"/>
  <c r="CE457"/>
  <c r="CG457"/>
  <c r="BM458"/>
  <c r="BO458"/>
  <c r="BQ458"/>
  <c r="BS458"/>
  <c r="BU458"/>
  <c r="BW458"/>
  <c r="BY458"/>
  <c r="CA458"/>
  <c r="CC458"/>
  <c r="CE458"/>
  <c r="CG458"/>
  <c r="BM459"/>
  <c r="BO459"/>
  <c r="BQ459"/>
  <c r="BS459"/>
  <c r="BU459"/>
  <c r="BW459"/>
  <c r="BY459"/>
  <c r="CA459"/>
  <c r="CC459"/>
  <c r="CE459"/>
  <c r="CG459"/>
  <c r="BM460"/>
  <c r="BO460"/>
  <c r="BQ460"/>
  <c r="BS460"/>
  <c r="BU460"/>
  <c r="BW460"/>
  <c r="BY460"/>
  <c r="CA460"/>
  <c r="CC460"/>
  <c r="CE460"/>
  <c r="CG460"/>
  <c r="BM461"/>
  <c r="BO461"/>
  <c r="BQ461"/>
  <c r="BS461"/>
  <c r="BU461"/>
  <c r="BW461"/>
  <c r="BY461"/>
  <c r="CA461"/>
  <c r="CC461"/>
  <c r="CE461"/>
  <c r="CG461"/>
  <c r="BM462"/>
  <c r="BO462"/>
  <c r="BQ462"/>
  <c r="BS462"/>
  <c r="BU462"/>
  <c r="BW462"/>
  <c r="BY462"/>
  <c r="CA462"/>
  <c r="CC462"/>
  <c r="CE462"/>
  <c r="CG462"/>
  <c r="BM463"/>
  <c r="BO463"/>
  <c r="BQ463"/>
  <c r="BS463"/>
  <c r="BU463"/>
  <c r="BW463"/>
  <c r="BY463"/>
  <c r="CA463"/>
  <c r="CC463"/>
  <c r="CE463"/>
  <c r="CG463"/>
  <c r="BM464"/>
  <c r="BO464"/>
  <c r="BQ464"/>
  <c r="BS464"/>
  <c r="BU464"/>
  <c r="BW464"/>
  <c r="BY464"/>
  <c r="CA464"/>
  <c r="CC464"/>
  <c r="CE464"/>
  <c r="CG464"/>
  <c r="BM465"/>
  <c r="BO465"/>
  <c r="BQ465"/>
  <c r="BS465"/>
  <c r="BU465"/>
  <c r="BW465"/>
  <c r="BY465"/>
  <c r="CA465"/>
  <c r="CC465"/>
  <c r="CE465"/>
  <c r="CG465"/>
  <c r="BM466"/>
  <c r="BO466"/>
  <c r="BQ466"/>
  <c r="BS466"/>
  <c r="BU466"/>
  <c r="BW466"/>
  <c r="BY466"/>
  <c r="CA466"/>
  <c r="CC466"/>
  <c r="CE466"/>
  <c r="CG466"/>
  <c r="BM467"/>
  <c r="BO467"/>
  <c r="BQ467"/>
  <c r="BS467"/>
  <c r="BU467"/>
  <c r="BW467"/>
  <c r="BY467"/>
  <c r="CA467"/>
  <c r="CC467"/>
  <c r="CE467"/>
  <c r="CG467"/>
  <c r="BM468"/>
  <c r="BO468"/>
  <c r="BQ468"/>
  <c r="BS468"/>
  <c r="BU468"/>
  <c r="BW468"/>
  <c r="BY468"/>
  <c r="CA468"/>
  <c r="CC468"/>
  <c r="CE468"/>
  <c r="CG468"/>
  <c r="BM469"/>
  <c r="BO469"/>
  <c r="BQ469"/>
  <c r="BS469"/>
  <c r="BU469"/>
  <c r="BW469"/>
  <c r="BY469"/>
  <c r="CA469"/>
  <c r="CC469"/>
  <c r="CE469"/>
  <c r="CG469"/>
  <c r="BM470"/>
  <c r="BO470"/>
  <c r="BQ470"/>
  <c r="BS470"/>
  <c r="BU470"/>
  <c r="BW470"/>
  <c r="BY470"/>
  <c r="CA470"/>
  <c r="CC470"/>
  <c r="CE470"/>
  <c r="CG470"/>
  <c r="BM471"/>
  <c r="BO471"/>
  <c r="BQ471"/>
  <c r="BS471"/>
  <c r="BU471"/>
  <c r="BW471"/>
  <c r="BY471"/>
  <c r="CA471"/>
  <c r="CC471"/>
  <c r="CE471"/>
  <c r="CG471"/>
  <c r="BM472"/>
  <c r="BO472"/>
  <c r="BQ472"/>
  <c r="BS472"/>
  <c r="BU472"/>
  <c r="BW472"/>
  <c r="BY472"/>
  <c r="CA472"/>
  <c r="CC472"/>
  <c r="CE472"/>
  <c r="CG472"/>
  <c r="BM473"/>
  <c r="BO473"/>
  <c r="BQ473"/>
  <c r="BS473"/>
  <c r="BU473"/>
  <c r="BW473"/>
  <c r="BY473"/>
  <c r="CA473"/>
  <c r="CC473"/>
  <c r="CE473"/>
  <c r="CG473"/>
  <c r="BM474"/>
  <c r="BO474"/>
  <c r="BQ474"/>
  <c r="BS474"/>
  <c r="BU474"/>
  <c r="BW474"/>
  <c r="BY474"/>
  <c r="CA474"/>
  <c r="CC474"/>
  <c r="CE474"/>
  <c r="CG474"/>
  <c r="BM475"/>
  <c r="BO475"/>
  <c r="BQ475"/>
  <c r="BS475"/>
  <c r="BU475"/>
  <c r="BW475"/>
  <c r="BY475"/>
  <c r="CA475"/>
  <c r="CC475"/>
  <c r="CE475"/>
  <c r="CG475"/>
  <c r="BM476"/>
  <c r="BO476"/>
  <c r="BQ476"/>
  <c r="BS476"/>
  <c r="BU476"/>
  <c r="BW476"/>
  <c r="BY476"/>
  <c r="CA476"/>
  <c r="CC476"/>
  <c r="CE476"/>
  <c r="CG476"/>
  <c r="BM477"/>
  <c r="BO477"/>
  <c r="BQ477"/>
  <c r="BS477"/>
  <c r="BU477"/>
  <c r="BW477"/>
  <c r="BY477"/>
  <c r="CA477"/>
  <c r="CC477"/>
  <c r="CE477"/>
  <c r="CG477"/>
  <c r="BM478"/>
  <c r="BO478"/>
  <c r="BQ478"/>
  <c r="BS478"/>
  <c r="BU478"/>
  <c r="BW478"/>
  <c r="BY478"/>
  <c r="CA478"/>
  <c r="CC478"/>
  <c r="CE478"/>
  <c r="CG478"/>
  <c r="BM479"/>
  <c r="BO479"/>
  <c r="BQ479"/>
  <c r="BS479"/>
  <c r="BU479"/>
  <c r="BW479"/>
  <c r="BY479"/>
  <c r="CA479"/>
  <c r="CC479"/>
  <c r="CE479"/>
  <c r="CG479"/>
  <c r="BM480"/>
  <c r="BO480"/>
  <c r="BQ480"/>
  <c r="BS480"/>
  <c r="BU480"/>
  <c r="BW480"/>
  <c r="BY480"/>
  <c r="CA480"/>
  <c r="CC480"/>
  <c r="CE480"/>
  <c r="CG480"/>
  <c r="BM481"/>
  <c r="BO481"/>
  <c r="BQ481"/>
  <c r="BS481"/>
  <c r="BU481"/>
  <c r="BW481"/>
  <c r="BY481"/>
  <c r="CA481"/>
  <c r="CC481"/>
  <c r="CE481"/>
  <c r="CG481"/>
  <c r="BM482"/>
  <c r="BO482"/>
  <c r="BQ482"/>
  <c r="BS482"/>
  <c r="BU482"/>
  <c r="BW482"/>
  <c r="BY482"/>
  <c r="CA482"/>
  <c r="CC482"/>
  <c r="CE482"/>
  <c r="CG482"/>
  <c r="BM483"/>
  <c r="BO483"/>
  <c r="BQ483"/>
  <c r="BS483"/>
  <c r="BU483"/>
  <c r="BW483"/>
  <c r="BY483"/>
  <c r="CA483"/>
  <c r="CC483"/>
  <c r="CE483"/>
  <c r="CG483"/>
  <c r="BM484"/>
  <c r="BO484"/>
  <c r="BQ484"/>
  <c r="BS484"/>
  <c r="BU484"/>
  <c r="BW484"/>
  <c r="BY484"/>
  <c r="CA484"/>
  <c r="CC484"/>
  <c r="CE484"/>
  <c r="CG484"/>
  <c r="BM485"/>
  <c r="BO485"/>
  <c r="BQ485"/>
  <c r="BS485"/>
  <c r="BU485"/>
  <c r="BW485"/>
  <c r="BY485"/>
  <c r="CA485"/>
  <c r="CC485"/>
  <c r="CE485"/>
  <c r="CG485"/>
  <c r="BM486"/>
  <c r="BO486"/>
  <c r="BQ486"/>
  <c r="BS486"/>
  <c r="BU486"/>
  <c r="BW486"/>
  <c r="BY486"/>
  <c r="CA486"/>
  <c r="CC486"/>
  <c r="CE486"/>
  <c r="CG486"/>
  <c r="BM487"/>
  <c r="BO487"/>
  <c r="BQ487"/>
  <c r="BS487"/>
  <c r="BU487"/>
  <c r="BW487"/>
  <c r="BY487"/>
  <c r="CA487"/>
  <c r="CC487"/>
  <c r="CE487"/>
  <c r="CG487"/>
  <c r="BM488"/>
  <c r="BO488"/>
  <c r="BQ488"/>
  <c r="BS488"/>
  <c r="BU488"/>
  <c r="BW488"/>
  <c r="BY488"/>
  <c r="CA488"/>
  <c r="CC488"/>
  <c r="CE488"/>
  <c r="CG488"/>
  <c r="BM489"/>
  <c r="BO489"/>
  <c r="BQ489"/>
  <c r="BS489"/>
  <c r="BU489"/>
  <c r="BW489"/>
  <c r="BY489"/>
  <c r="CA489"/>
  <c r="CC489"/>
  <c r="CE489"/>
  <c r="CG489"/>
  <c r="BM490"/>
  <c r="BO490"/>
  <c r="BQ490"/>
  <c r="BS490"/>
  <c r="BU490"/>
  <c r="BW490"/>
  <c r="BY490"/>
  <c r="CA490"/>
  <c r="CC490"/>
  <c r="CE490"/>
  <c r="CG490"/>
  <c r="BM491"/>
  <c r="BO491"/>
  <c r="BQ491"/>
  <c r="BS491"/>
  <c r="BU491"/>
  <c r="BW491"/>
  <c r="BY491"/>
  <c r="CA491"/>
  <c r="CC491"/>
  <c r="CE491"/>
  <c r="CG491"/>
  <c r="BM492"/>
  <c r="BO492"/>
  <c r="BQ492"/>
  <c r="BS492"/>
  <c r="BU492"/>
  <c r="BW492"/>
  <c r="BY492"/>
  <c r="CA492"/>
  <c r="CC492"/>
  <c r="CE492"/>
  <c r="CG492"/>
  <c r="BM493"/>
  <c r="BO493"/>
  <c r="BQ493"/>
  <c r="BS493"/>
  <c r="BU493"/>
  <c r="BW493"/>
  <c r="BY493"/>
  <c r="CA493"/>
  <c r="CC493"/>
  <c r="CE493"/>
  <c r="CG493"/>
  <c r="BM494"/>
  <c r="BO494"/>
  <c r="BQ494"/>
  <c r="BS494"/>
  <c r="BU494"/>
  <c r="BW494"/>
  <c r="BY494"/>
  <c r="CA494"/>
  <c r="CC494"/>
  <c r="CE494"/>
  <c r="CG494"/>
  <c r="BM495"/>
  <c r="BO495"/>
  <c r="BQ495"/>
  <c r="BS495"/>
  <c r="BU495"/>
  <c r="BW495"/>
  <c r="BY495"/>
  <c r="CA495"/>
  <c r="CC495"/>
  <c r="CE495"/>
  <c r="CG495"/>
  <c r="BM496"/>
  <c r="BO496"/>
  <c r="BQ496"/>
  <c r="BS496"/>
  <c r="BU496"/>
  <c r="BW496"/>
  <c r="BY496"/>
  <c r="CA496"/>
  <c r="CC496"/>
  <c r="CE496"/>
  <c r="CG496"/>
  <c r="BM497"/>
  <c r="BO497"/>
  <c r="BQ497"/>
  <c r="BS497"/>
  <c r="BU497"/>
  <c r="BW497"/>
  <c r="BY497"/>
  <c r="CA497"/>
  <c r="CC497"/>
  <c r="CE497"/>
  <c r="CG497"/>
  <c r="BM498"/>
  <c r="BO498"/>
  <c r="BQ498"/>
  <c r="BS498"/>
  <c r="BU498"/>
  <c r="BW498"/>
  <c r="BY498"/>
  <c r="CA498"/>
  <c r="CC498"/>
  <c r="CE498"/>
  <c r="CG498"/>
  <c r="BM499"/>
  <c r="BO499"/>
  <c r="BQ499"/>
  <c r="BS499"/>
  <c r="BU499"/>
  <c r="BW499"/>
  <c r="BY499"/>
  <c r="CA499"/>
  <c r="CC499"/>
  <c r="CE499"/>
  <c r="CG499"/>
  <c r="BM500"/>
  <c r="BO500"/>
  <c r="BQ500"/>
  <c r="BS500"/>
  <c r="BU500"/>
  <c r="BW500"/>
  <c r="BY500"/>
  <c r="CA500"/>
  <c r="CC500"/>
  <c r="CE500"/>
  <c r="CG500"/>
  <c r="BM501"/>
  <c r="BO501"/>
  <c r="BQ501"/>
  <c r="BS501"/>
  <c r="BU501"/>
  <c r="BW501"/>
  <c r="BY501"/>
  <c r="CA501"/>
  <c r="CC501"/>
  <c r="CE501"/>
  <c r="CG501"/>
  <c r="BM502"/>
  <c r="BO502"/>
  <c r="BQ502"/>
  <c r="BS502"/>
  <c r="BU502"/>
  <c r="BW502"/>
  <c r="BY502"/>
  <c r="CA502"/>
  <c r="CC502"/>
  <c r="CE502"/>
  <c r="CG502"/>
  <c r="BM503"/>
  <c r="BO503"/>
  <c r="BQ503"/>
  <c r="BS503"/>
  <c r="BU503"/>
  <c r="BW503"/>
  <c r="BY503"/>
  <c r="CA503"/>
  <c r="CC503"/>
  <c r="CE503"/>
  <c r="CG503"/>
  <c r="BM504"/>
  <c r="BO504"/>
  <c r="BQ504"/>
  <c r="BS504"/>
  <c r="BU504"/>
  <c r="BW504"/>
  <c r="BY504"/>
  <c r="CA504"/>
  <c r="CC504"/>
  <c r="CE504"/>
  <c r="CG504"/>
  <c r="BM505"/>
  <c r="BO505"/>
  <c r="BQ505"/>
  <c r="BS505"/>
  <c r="BU505"/>
  <c r="BW505"/>
  <c r="BY505"/>
  <c r="CA505"/>
  <c r="CC505"/>
  <c r="CE505"/>
  <c r="CG505"/>
  <c r="BM506"/>
  <c r="BO506"/>
  <c r="BQ506"/>
  <c r="BS506"/>
  <c r="BU506"/>
  <c r="BW506"/>
  <c r="BY506"/>
  <c r="CA506"/>
  <c r="CC506"/>
  <c r="CE506"/>
  <c r="CG506"/>
  <c r="BM507"/>
  <c r="BO507"/>
  <c r="BQ507"/>
  <c r="BS507"/>
  <c r="BU507"/>
  <c r="BW507"/>
  <c r="BY507"/>
  <c r="CA507"/>
  <c r="CC507"/>
  <c r="CE507"/>
  <c r="CG507"/>
  <c r="BM508"/>
  <c r="BO508"/>
  <c r="BQ508"/>
  <c r="BS508"/>
  <c r="BU508"/>
  <c r="BW508"/>
  <c r="BY508"/>
  <c r="CA508"/>
  <c r="CC508"/>
  <c r="CE508"/>
  <c r="CG508"/>
  <c r="BM509"/>
  <c r="BO509"/>
  <c r="BQ509"/>
  <c r="BS509"/>
  <c r="BU509"/>
  <c r="BW509"/>
  <c r="BY509"/>
  <c r="CA509"/>
  <c r="CC509"/>
  <c r="CE509"/>
  <c r="CG509"/>
  <c r="BM510"/>
  <c r="BO510"/>
  <c r="BQ510"/>
  <c r="BS510"/>
  <c r="BU510"/>
  <c r="BW510"/>
  <c r="BY510"/>
  <c r="CA510"/>
  <c r="CC510"/>
  <c r="CE510"/>
  <c r="CG510"/>
  <c r="BM511"/>
  <c r="BO511"/>
  <c r="BQ511"/>
  <c r="BS511"/>
  <c r="BU511"/>
  <c r="BW511"/>
  <c r="BY511"/>
  <c r="CA511"/>
  <c r="CC511"/>
  <c r="CE511"/>
  <c r="CG511"/>
  <c r="BM512"/>
  <c r="BO512"/>
  <c r="BQ512"/>
  <c r="BS512"/>
  <c r="BU512"/>
  <c r="BW512"/>
  <c r="BY512"/>
  <c r="CA512"/>
  <c r="CC512"/>
  <c r="CE512"/>
  <c r="CG512"/>
  <c r="BM513"/>
  <c r="BO513"/>
  <c r="BQ513"/>
  <c r="BS513"/>
  <c r="BU513"/>
  <c r="BW513"/>
  <c r="BY513"/>
  <c r="CA513"/>
  <c r="CC513"/>
  <c r="CE513"/>
  <c r="CG513"/>
  <c r="BM514"/>
  <c r="BO514"/>
  <c r="BQ514"/>
  <c r="BS514"/>
  <c r="BU514"/>
  <c r="BW514"/>
  <c r="BY514"/>
  <c r="CA514"/>
  <c r="CC514"/>
  <c r="CE514"/>
  <c r="CG514"/>
  <c r="BM515"/>
  <c r="BO515"/>
  <c r="BQ515"/>
  <c r="BS515"/>
  <c r="BU515"/>
  <c r="BW515"/>
  <c r="BY515"/>
  <c r="CA515"/>
  <c r="CC515"/>
  <c r="CE515"/>
  <c r="CG515"/>
  <c r="BM516"/>
  <c r="BO516"/>
  <c r="BQ516"/>
  <c r="BS516"/>
  <c r="BU516"/>
  <c r="BW516"/>
  <c r="BY516"/>
  <c r="CA516"/>
  <c r="CC516"/>
  <c r="CE516"/>
  <c r="CG516"/>
  <c r="BM517"/>
  <c r="BO517"/>
  <c r="BQ517"/>
  <c r="BS517"/>
  <c r="BU517"/>
  <c r="BW517"/>
  <c r="BY517"/>
  <c r="CA517"/>
  <c r="CC517"/>
  <c r="CE517"/>
  <c r="CG517"/>
  <c r="BM518"/>
  <c r="BO518"/>
  <c r="BQ518"/>
  <c r="BS518"/>
  <c r="BU518"/>
  <c r="BW518"/>
  <c r="BY518"/>
  <c r="CA518"/>
  <c r="CC518"/>
  <c r="CE518"/>
  <c r="CG518"/>
  <c r="BM519"/>
  <c r="BO519"/>
  <c r="BQ519"/>
  <c r="BS519"/>
  <c r="BU519"/>
  <c r="BW519"/>
  <c r="BY519"/>
  <c r="CA519"/>
  <c r="CC519"/>
  <c r="CE519"/>
  <c r="CG519"/>
  <c r="BM520"/>
  <c r="BO520"/>
  <c r="BQ520"/>
  <c r="BS520"/>
  <c r="BU520"/>
  <c r="BW520"/>
  <c r="BY520"/>
  <c r="CA520"/>
  <c r="CC520"/>
  <c r="CE520"/>
  <c r="CG520"/>
  <c r="BM521"/>
  <c r="BO521"/>
  <c r="BQ521"/>
  <c r="BS521"/>
  <c r="BU521"/>
  <c r="BW521"/>
  <c r="BY521"/>
  <c r="CA521"/>
  <c r="CC521"/>
  <c r="CE521"/>
  <c r="CG521"/>
  <c r="BM522"/>
  <c r="BO522"/>
  <c r="BQ522"/>
  <c r="BS522"/>
  <c r="BU522"/>
  <c r="BW522"/>
  <c r="BY522"/>
  <c r="CA522"/>
  <c r="CC522"/>
  <c r="CE522"/>
  <c r="CG522"/>
  <c r="BM523"/>
  <c r="BO523"/>
  <c r="BQ523"/>
  <c r="BS523"/>
  <c r="BU523"/>
  <c r="BW523"/>
  <c r="BY523"/>
  <c r="CA523"/>
  <c r="CC523"/>
  <c r="CE523"/>
  <c r="CG523"/>
  <c r="BM524"/>
  <c r="BO524"/>
  <c r="BQ524"/>
  <c r="BS524"/>
  <c r="BU524"/>
  <c r="BW524"/>
  <c r="BY524"/>
  <c r="CA524"/>
  <c r="CC524"/>
  <c r="CE524"/>
  <c r="CG524"/>
  <c r="BM525"/>
  <c r="BO525"/>
  <c r="BQ525"/>
  <c r="BS525"/>
  <c r="BU525"/>
  <c r="BW525"/>
  <c r="BY525"/>
  <c r="CA525"/>
  <c r="CC525"/>
  <c r="CE525"/>
  <c r="CG525"/>
  <c r="BM526"/>
  <c r="BO526"/>
  <c r="BQ526"/>
  <c r="BS526"/>
  <c r="BU526"/>
  <c r="BW526"/>
  <c r="BY526"/>
  <c r="CA526"/>
  <c r="CC526"/>
  <c r="CE526"/>
  <c r="CG526"/>
  <c r="BM527"/>
  <c r="BO527"/>
  <c r="BQ527"/>
  <c r="BS527"/>
  <c r="BU527"/>
  <c r="BW527"/>
  <c r="BY527"/>
  <c r="CA527"/>
  <c r="CC527"/>
  <c r="CE527"/>
  <c r="CG527"/>
  <c r="BM528"/>
  <c r="BO528"/>
  <c r="BQ528"/>
  <c r="BS528"/>
  <c r="BU528"/>
  <c r="BW528"/>
  <c r="BY528"/>
  <c r="CA528"/>
  <c r="CC528"/>
  <c r="CE528"/>
  <c r="CG528"/>
  <c r="BM529"/>
  <c r="BO529"/>
  <c r="BQ529"/>
  <c r="BS529"/>
  <c r="BU529"/>
  <c r="BW529"/>
  <c r="BY529"/>
  <c r="CA529"/>
  <c r="CC529"/>
  <c r="CE529"/>
  <c r="CG529"/>
  <c r="BM530"/>
  <c r="BO530"/>
  <c r="BQ530"/>
  <c r="BS530"/>
  <c r="BU530"/>
  <c r="BW530"/>
  <c r="BY530"/>
  <c r="CA530"/>
  <c r="CC530"/>
  <c r="CE530"/>
  <c r="CG530"/>
  <c r="BM531"/>
  <c r="BO531"/>
  <c r="BQ531"/>
  <c r="BS531"/>
  <c r="BU531"/>
  <c r="BW531"/>
  <c r="BY531"/>
  <c r="CA531"/>
  <c r="CC531"/>
  <c r="CE531"/>
  <c r="CG531"/>
  <c r="BM532"/>
  <c r="BO532"/>
  <c r="BQ532"/>
  <c r="BS532"/>
  <c r="BU532"/>
  <c r="BW532"/>
  <c r="BY532"/>
  <c r="CA532"/>
  <c r="CC532"/>
  <c r="CE532"/>
  <c r="CG532"/>
  <c r="BM533"/>
  <c r="BO533"/>
  <c r="BQ533"/>
  <c r="BS533"/>
  <c r="BU533"/>
  <c r="BW533"/>
  <c r="BY533"/>
  <c r="CA533"/>
  <c r="CC533"/>
  <c r="CE533"/>
  <c r="CG533"/>
  <c r="BM534"/>
  <c r="BO534"/>
  <c r="BQ534"/>
  <c r="BS534"/>
  <c r="BU534"/>
  <c r="BW534"/>
  <c r="BY534"/>
  <c r="CA534"/>
  <c r="CC534"/>
  <c r="CE534"/>
  <c r="CG534"/>
  <c r="BM535"/>
  <c r="BO535"/>
  <c r="BQ535"/>
  <c r="BS535"/>
  <c r="BU535"/>
  <c r="BW535"/>
  <c r="BY535"/>
  <c r="CA535"/>
  <c r="CC535"/>
  <c r="CE535"/>
  <c r="CG535"/>
  <c r="BM536"/>
  <c r="BO536"/>
  <c r="BQ536"/>
  <c r="BS536"/>
  <c r="BU536"/>
  <c r="BW536"/>
  <c r="BY536"/>
  <c r="CA536"/>
  <c r="CC536"/>
  <c r="CE536"/>
  <c r="CG536"/>
  <c r="BM537"/>
  <c r="BO537"/>
  <c r="BQ537"/>
  <c r="BS537"/>
  <c r="BU537"/>
  <c r="BW537"/>
  <c r="BY537"/>
  <c r="CA537"/>
  <c r="CC537"/>
  <c r="CE537"/>
  <c r="CG537"/>
  <c r="BM538"/>
  <c r="BO538"/>
  <c r="BQ538"/>
  <c r="BS538"/>
  <c r="BU538"/>
  <c r="BW538"/>
  <c r="BY538"/>
  <c r="CA538"/>
  <c r="CC538"/>
  <c r="CE538"/>
  <c r="CG538"/>
  <c r="BM539"/>
  <c r="BO539"/>
  <c r="BQ539"/>
  <c r="BS539"/>
  <c r="BU539"/>
  <c r="BW539"/>
  <c r="BY539"/>
  <c r="CA539"/>
  <c r="CC539"/>
  <c r="CE539"/>
  <c r="CG539"/>
  <c r="BM540"/>
  <c r="BO540"/>
  <c r="BQ540"/>
  <c r="BS540"/>
  <c r="BU540"/>
  <c r="BW540"/>
  <c r="BY540"/>
  <c r="CA540"/>
  <c r="CC540"/>
  <c r="CE540"/>
  <c r="CG540"/>
  <c r="BM541"/>
  <c r="BO541"/>
  <c r="BQ541"/>
  <c r="BS541"/>
  <c r="BU541"/>
  <c r="BW541"/>
  <c r="BY541"/>
  <c r="CA541"/>
  <c r="CC541"/>
  <c r="CE541"/>
  <c r="CG541"/>
  <c r="BM542"/>
  <c r="BO542"/>
  <c r="BQ542"/>
  <c r="BS542"/>
  <c r="BU542"/>
  <c r="BW542"/>
  <c r="CC542"/>
  <c r="CE542"/>
  <c r="CG542"/>
  <c r="BM543"/>
  <c r="BO543"/>
  <c r="BQ543"/>
  <c r="BS543"/>
  <c r="BU543"/>
  <c r="BW543"/>
  <c r="CE543"/>
  <c r="CG543"/>
  <c r="BM544"/>
  <c r="BO544"/>
  <c r="BQ544"/>
  <c r="BS544"/>
  <c r="BU544"/>
  <c r="BW544"/>
  <c r="CG544"/>
  <c r="BM545"/>
  <c r="BO545"/>
  <c r="BQ545"/>
  <c r="BS545"/>
  <c r="BU545"/>
  <c r="BW545"/>
  <c r="CW545" s="1"/>
  <c r="CT545" s="1"/>
  <c r="CS545" s="1"/>
  <c r="CR545" s="1"/>
  <c r="CQ545" s="1"/>
  <c r="CP545" s="1"/>
  <c r="CO545" s="1"/>
  <c r="CN545" s="1"/>
  <c r="CM545" s="1"/>
  <c r="CL545" s="1"/>
  <c r="CK545" s="1"/>
  <c r="CJ545" s="1"/>
  <c r="CI545" s="1"/>
  <c r="BM546"/>
  <c r="BO546"/>
  <c r="BQ546"/>
  <c r="BS546"/>
  <c r="BU546"/>
  <c r="BM547"/>
  <c r="BO547"/>
  <c r="BQ547"/>
  <c r="BS547"/>
  <c r="BU547"/>
  <c r="BM548"/>
  <c r="BO548"/>
  <c r="BQ548"/>
  <c r="BS548"/>
  <c r="BU548"/>
  <c r="BK549"/>
  <c r="BO549"/>
  <c r="BQ549"/>
  <c r="BS549"/>
  <c r="BU549"/>
  <c r="BK550"/>
  <c r="BQ550"/>
  <c r="BS550"/>
  <c r="BU550"/>
  <c r="BK551"/>
  <c r="BS551"/>
  <c r="BU551"/>
  <c r="BK552"/>
  <c r="BU552"/>
  <c r="BK553"/>
  <c r="BK554"/>
  <c r="BK555"/>
  <c r="BK556"/>
  <c r="BK557"/>
  <c r="BK558"/>
  <c r="BU558"/>
  <c r="BK559"/>
  <c r="BS559"/>
  <c r="BU559"/>
  <c r="BK560"/>
  <c r="BO560"/>
  <c r="BQ560"/>
  <c r="BS560"/>
  <c r="BU560"/>
  <c r="BK561"/>
  <c r="BM561"/>
  <c r="BO561"/>
  <c r="BQ561"/>
  <c r="BS561"/>
  <c r="BU561"/>
  <c r="BK562"/>
  <c r="BM562"/>
  <c r="BO562"/>
  <c r="BQ562"/>
  <c r="BS562"/>
  <c r="BU562"/>
  <c r="BK563"/>
  <c r="BM563"/>
  <c r="BO563"/>
  <c r="BQ563"/>
  <c r="BS563"/>
  <c r="BU563"/>
  <c r="BW563"/>
  <c r="CW563" s="1"/>
  <c r="CT563" s="1"/>
  <c r="BK564"/>
  <c r="BM564"/>
  <c r="BO564"/>
  <c r="BQ564"/>
  <c r="BS564"/>
  <c r="BU564"/>
  <c r="BW564"/>
  <c r="CW564" s="1"/>
  <c r="CT564" s="1"/>
  <c r="CS564" s="1"/>
  <c r="CR564" s="1"/>
  <c r="CQ564" s="1"/>
  <c r="CP564" s="1"/>
  <c r="CO564" s="1"/>
  <c r="CN564" s="1"/>
  <c r="CM564" s="1"/>
  <c r="CL564" s="1"/>
  <c r="CK564" s="1"/>
  <c r="CJ564" s="1"/>
  <c r="CI564" s="1"/>
  <c r="CG564"/>
  <c r="BK565"/>
  <c r="BM565"/>
  <c r="BO565"/>
  <c r="BQ565"/>
  <c r="BS565"/>
  <c r="BU565"/>
  <c r="BW565"/>
  <c r="CE565"/>
  <c r="CG565"/>
  <c r="BK566"/>
  <c r="BM566"/>
  <c r="BO566"/>
  <c r="BQ566"/>
  <c r="BS566"/>
  <c r="BU566"/>
  <c r="BW566"/>
  <c r="CC566"/>
  <c r="CE566"/>
  <c r="CG566"/>
  <c r="BK567"/>
  <c r="BM567"/>
  <c r="BO567"/>
  <c r="BQ567"/>
  <c r="BS567"/>
  <c r="BU567"/>
  <c r="BW567"/>
  <c r="CA567"/>
  <c r="CC567"/>
  <c r="CE567"/>
  <c r="CG567"/>
  <c r="BK568"/>
  <c r="BM568"/>
  <c r="BO568"/>
  <c r="BQ568"/>
  <c r="BS568"/>
  <c r="BU568"/>
  <c r="BW568"/>
  <c r="BY568"/>
  <c r="CA568"/>
  <c r="CC568"/>
  <c r="CE568"/>
  <c r="CG568"/>
  <c r="BK569"/>
  <c r="BM569"/>
  <c r="BO569"/>
  <c r="BQ569"/>
  <c r="BS569"/>
  <c r="BU569"/>
  <c r="BW569"/>
  <c r="BY569"/>
  <c r="CA569"/>
  <c r="CC569"/>
  <c r="CE569"/>
  <c r="CG569"/>
  <c r="BK570"/>
  <c r="BM570"/>
  <c r="BO570"/>
  <c r="BQ570"/>
  <c r="BS570"/>
  <c r="BU570"/>
  <c r="BW570"/>
  <c r="BY570"/>
  <c r="CA570"/>
  <c r="CC570"/>
  <c r="CE570"/>
  <c r="CG570"/>
  <c r="BK571"/>
  <c r="BM571"/>
  <c r="BO571"/>
  <c r="BQ571"/>
  <c r="BS571"/>
  <c r="BU571"/>
  <c r="BW571"/>
  <c r="BY571"/>
  <c r="CA571"/>
  <c r="CC571"/>
  <c r="CE571"/>
  <c r="CG571"/>
  <c r="BK572"/>
  <c r="BM572"/>
  <c r="BO572"/>
  <c r="BQ572"/>
  <c r="BS572"/>
  <c r="BU572"/>
  <c r="BW572"/>
  <c r="BY572"/>
  <c r="CA572"/>
  <c r="CC572"/>
  <c r="CE572"/>
  <c r="CG572"/>
  <c r="BK573"/>
  <c r="BM573"/>
  <c r="BO573"/>
  <c r="BQ573"/>
  <c r="BS573"/>
  <c r="BU573"/>
  <c r="BW573"/>
  <c r="BY573"/>
  <c r="CA573"/>
  <c r="CC573"/>
  <c r="CE573"/>
  <c r="CG573"/>
  <c r="BK574"/>
  <c r="BM574"/>
  <c r="BO574"/>
  <c r="BQ574"/>
  <c r="BS574"/>
  <c r="BU574"/>
  <c r="BW574"/>
  <c r="BY574"/>
  <c r="CA574"/>
  <c r="CC574"/>
  <c r="CE574"/>
  <c r="CG574"/>
  <c r="BK575"/>
  <c r="BM575"/>
  <c r="BO575"/>
  <c r="BQ575"/>
  <c r="BS575"/>
  <c r="BU575"/>
  <c r="BW575"/>
  <c r="BY575"/>
  <c r="CA575"/>
  <c r="CC575"/>
  <c r="CE575"/>
  <c r="CG575"/>
  <c r="BK576"/>
  <c r="BM576"/>
  <c r="BO576"/>
  <c r="BQ576"/>
  <c r="BS576"/>
  <c r="BU576"/>
  <c r="BW576"/>
  <c r="BY576"/>
  <c r="CA576"/>
  <c r="CC576"/>
  <c r="CE576"/>
  <c r="CG576"/>
  <c r="BK577"/>
  <c r="BM577"/>
  <c r="BO577"/>
  <c r="BQ577"/>
  <c r="BS577"/>
  <c r="BU577"/>
  <c r="BW577"/>
  <c r="BY577"/>
  <c r="CA577"/>
  <c r="CC577"/>
  <c r="CE577"/>
  <c r="CG577"/>
  <c r="BK578"/>
  <c r="BM578"/>
  <c r="BO578"/>
  <c r="BQ578"/>
  <c r="BS578"/>
  <c r="BU578"/>
  <c r="BW578"/>
  <c r="BY578"/>
  <c r="CA578"/>
  <c r="CC578"/>
  <c r="CE578"/>
  <c r="CG578"/>
  <c r="BK579"/>
  <c r="BM579"/>
  <c r="BO579"/>
  <c r="BQ579"/>
  <c r="BS579"/>
  <c r="BU579"/>
  <c r="BW579"/>
  <c r="BY579"/>
  <c r="CA579"/>
  <c r="CC579"/>
  <c r="CE579"/>
  <c r="CG579"/>
  <c r="BK580"/>
  <c r="BM580"/>
  <c r="BO580"/>
  <c r="BQ580"/>
  <c r="BS580"/>
  <c r="BU580"/>
  <c r="BW580"/>
  <c r="BY580"/>
  <c r="CA580"/>
  <c r="CC580"/>
  <c r="CE580"/>
  <c r="CG580"/>
  <c r="BK581"/>
  <c r="BM581"/>
  <c r="BO581"/>
  <c r="BQ581"/>
  <c r="BS581"/>
  <c r="BU581"/>
  <c r="BW581"/>
  <c r="BY581"/>
  <c r="CA581"/>
  <c r="CC581"/>
  <c r="CE581"/>
  <c r="CG581"/>
  <c r="BK582"/>
  <c r="BM582"/>
  <c r="BO582"/>
  <c r="BQ582"/>
  <c r="BS582"/>
  <c r="BU582"/>
  <c r="BW582"/>
  <c r="BY582"/>
  <c r="CA582"/>
  <c r="CC582"/>
  <c r="CE582"/>
  <c r="CG582"/>
  <c r="BK583"/>
  <c r="BM583"/>
  <c r="BO583"/>
  <c r="BQ583"/>
  <c r="BS583"/>
  <c r="BU583"/>
  <c r="BW583"/>
  <c r="BY583"/>
  <c r="CA583"/>
  <c r="CC583"/>
  <c r="CE583"/>
  <c r="CG583"/>
  <c r="BK584"/>
  <c r="BM584"/>
  <c r="BO584"/>
  <c r="BQ584"/>
  <c r="BS584"/>
  <c r="BU584"/>
  <c r="BW584"/>
  <c r="BY584"/>
  <c r="CA584"/>
  <c r="CC584"/>
  <c r="CE584"/>
  <c r="CG584"/>
  <c r="BK585"/>
  <c r="BM585"/>
  <c r="BO585"/>
  <c r="BQ585"/>
  <c r="BS585"/>
  <c r="BU585"/>
  <c r="BW585"/>
  <c r="BY585"/>
  <c r="CA585"/>
  <c r="CC585"/>
  <c r="CE585"/>
  <c r="CG585"/>
  <c r="BK586"/>
  <c r="BM586"/>
  <c r="BO586"/>
  <c r="BQ586"/>
  <c r="BS586"/>
  <c r="BU586"/>
  <c r="BW586"/>
  <c r="BY586"/>
  <c r="CA586"/>
  <c r="CC586"/>
  <c r="CE586"/>
  <c r="CG586"/>
  <c r="BK587"/>
  <c r="BW589"/>
  <c r="BN589"/>
  <c r="BR589"/>
  <c r="BZ589"/>
  <c r="CD589"/>
  <c r="CH589"/>
  <c r="BW591"/>
  <c r="BN591"/>
  <c r="BR591"/>
  <c r="BZ591"/>
  <c r="CD591"/>
  <c r="CH591"/>
  <c r="BW593"/>
  <c r="BN593"/>
  <c r="BR593"/>
  <c r="BZ593"/>
  <c r="CD593"/>
  <c r="CH593"/>
  <c r="CW711"/>
  <c r="CT711" s="1"/>
  <c r="CW713"/>
  <c r="CT713" s="1"/>
  <c r="CW715"/>
  <c r="CT715" s="1"/>
  <c r="CW717"/>
  <c r="CT717" s="1"/>
  <c r="CS717" s="1"/>
  <c r="CR717" s="1"/>
  <c r="CQ717" s="1"/>
  <c r="CP717" s="1"/>
  <c r="CO717" s="1"/>
  <c r="CN717" s="1"/>
  <c r="CM717" s="1"/>
  <c r="CL717" s="1"/>
  <c r="CK717" s="1"/>
  <c r="CJ717" s="1"/>
  <c r="CW719"/>
  <c r="CT719" s="1"/>
  <c r="CS719" s="1"/>
  <c r="CR719" s="1"/>
  <c r="CQ719" s="1"/>
  <c r="CP719" s="1"/>
  <c r="CO719" s="1"/>
  <c r="CN719" s="1"/>
  <c r="CM719" s="1"/>
  <c r="CL719" s="1"/>
  <c r="CK719" s="1"/>
  <c r="CJ719" s="1"/>
  <c r="CW721"/>
  <c r="CT721" s="1"/>
  <c r="CW723"/>
  <c r="CT723" s="1"/>
  <c r="CW731"/>
  <c r="CT731" s="1"/>
  <c r="CW733"/>
  <c r="CT733" s="1"/>
  <c r="CW735"/>
  <c r="CT735" s="1"/>
  <c r="CW737"/>
  <c r="CT737" s="1"/>
  <c r="CS737" s="1"/>
  <c r="CR737" s="1"/>
  <c r="CQ737" s="1"/>
  <c r="CP737" s="1"/>
  <c r="CO737" s="1"/>
  <c r="CN737" s="1"/>
  <c r="CM737" s="1"/>
  <c r="CL737" s="1"/>
  <c r="CK737" s="1"/>
  <c r="CJ737" s="1"/>
  <c r="CW739"/>
  <c r="CT739" s="1"/>
  <c r="CS739" s="1"/>
  <c r="CR739" s="1"/>
  <c r="CQ739" s="1"/>
  <c r="CP739" s="1"/>
  <c r="CO739" s="1"/>
  <c r="CN739" s="1"/>
  <c r="CM739" s="1"/>
  <c r="CL739" s="1"/>
  <c r="CK739" s="1"/>
  <c r="CJ739" s="1"/>
  <c r="CX435"/>
  <c r="CX545"/>
  <c r="CX546"/>
  <c r="CX547"/>
  <c r="CX548"/>
  <c r="CX549"/>
  <c r="CX550"/>
  <c r="CX551"/>
  <c r="CX552"/>
  <c r="CX553"/>
  <c r="CX554"/>
  <c r="CX555"/>
  <c r="CX556"/>
  <c r="CX557"/>
  <c r="CX558"/>
  <c r="CX559"/>
  <c r="CX560"/>
  <c r="CX561"/>
  <c r="CX562"/>
  <c r="CX563"/>
  <c r="BY587"/>
  <c r="CA587"/>
  <c r="CC587"/>
  <c r="CE587"/>
  <c r="CG587"/>
  <c r="BW587"/>
  <c r="BM587"/>
  <c r="BO587"/>
  <c r="BQ587"/>
  <c r="BS587"/>
  <c r="BU587"/>
  <c r="BW588"/>
  <c r="BN588"/>
  <c r="BR588"/>
  <c r="BZ588"/>
  <c r="CD588"/>
  <c r="CH588"/>
  <c r="BK589"/>
  <c r="BL589"/>
  <c r="BP589"/>
  <c r="BT589"/>
  <c r="BX589"/>
  <c r="CB589"/>
  <c r="CF589"/>
  <c r="BW590"/>
  <c r="BN590"/>
  <c r="BR590"/>
  <c r="BZ590"/>
  <c r="CD590"/>
  <c r="CH590"/>
  <c r="BK591"/>
  <c r="BL591"/>
  <c r="BP591"/>
  <c r="BT591"/>
  <c r="BX591"/>
  <c r="CB591"/>
  <c r="CF591"/>
  <c r="BW592"/>
  <c r="BN592"/>
  <c r="BR592"/>
  <c r="BZ592"/>
  <c r="CD592"/>
  <c r="CH592"/>
  <c r="BK593"/>
  <c r="BL593"/>
  <c r="BP593"/>
  <c r="BT593"/>
  <c r="BX593"/>
  <c r="CB593"/>
  <c r="CF593"/>
  <c r="CW712"/>
  <c r="CT712" s="1"/>
  <c r="CW714"/>
  <c r="CT714" s="1"/>
  <c r="CW716"/>
  <c r="CT716" s="1"/>
  <c r="CS716" s="1"/>
  <c r="CR716" s="1"/>
  <c r="CQ716" s="1"/>
  <c r="CP716" s="1"/>
  <c r="CO716" s="1"/>
  <c r="CN716" s="1"/>
  <c r="CM716" s="1"/>
  <c r="CL716" s="1"/>
  <c r="CK716" s="1"/>
  <c r="CJ716" s="1"/>
  <c r="CW718"/>
  <c r="CT718" s="1"/>
  <c r="CS718" s="1"/>
  <c r="CR718" s="1"/>
  <c r="CQ718" s="1"/>
  <c r="CP718" s="1"/>
  <c r="CO718" s="1"/>
  <c r="CN718" s="1"/>
  <c r="CM718" s="1"/>
  <c r="CL718" s="1"/>
  <c r="CK718" s="1"/>
  <c r="CJ718" s="1"/>
  <c r="CW720"/>
  <c r="CT720" s="1"/>
  <c r="CS720" s="1"/>
  <c r="CR720" s="1"/>
  <c r="CQ720" s="1"/>
  <c r="CP720" s="1"/>
  <c r="CO720" s="1"/>
  <c r="CN720" s="1"/>
  <c r="CM720" s="1"/>
  <c r="CL720" s="1"/>
  <c r="CK720" s="1"/>
  <c r="CJ720" s="1"/>
  <c r="CW722"/>
  <c r="CT722" s="1"/>
  <c r="CW732"/>
  <c r="CT732" s="1"/>
  <c r="CW734"/>
  <c r="CT734" s="1"/>
  <c r="CW736"/>
  <c r="CT736" s="1"/>
  <c r="CW738"/>
  <c r="CT738" s="1"/>
  <c r="CS738" s="1"/>
  <c r="CR738" s="1"/>
  <c r="CQ738" s="1"/>
  <c r="CP738" s="1"/>
  <c r="CO738" s="1"/>
  <c r="CN738" s="1"/>
  <c r="CM738" s="1"/>
  <c r="CL738" s="1"/>
  <c r="CK738" s="1"/>
  <c r="CJ738" s="1"/>
  <c r="CW740"/>
  <c r="CT740" s="1"/>
  <c r="CS740" s="1"/>
  <c r="CR740" s="1"/>
  <c r="CQ740" s="1"/>
  <c r="CP740" s="1"/>
  <c r="CO740" s="1"/>
  <c r="CN740" s="1"/>
  <c r="CM740" s="1"/>
  <c r="CL740" s="1"/>
  <c r="CK740" s="1"/>
  <c r="CJ740" s="1"/>
  <c r="BY744"/>
  <c r="BX744"/>
  <c r="CA744"/>
  <c r="BZ744"/>
  <c r="CC744"/>
  <c r="CB744"/>
  <c r="CE744"/>
  <c r="CD744"/>
  <c r="CG744"/>
  <c r="CF744"/>
  <c r="BW744"/>
  <c r="CH744"/>
  <c r="BO744"/>
  <c r="BN744"/>
  <c r="BQ744"/>
  <c r="BP744"/>
  <c r="BS744"/>
  <c r="BR744"/>
  <c r="BU744"/>
  <c r="BT744"/>
  <c r="BM594"/>
  <c r="BO594"/>
  <c r="BQ594"/>
  <c r="BS594"/>
  <c r="BU594"/>
  <c r="BW594"/>
  <c r="BY594"/>
  <c r="CA594"/>
  <c r="CC594"/>
  <c r="CE594"/>
  <c r="CG594"/>
  <c r="BM595"/>
  <c r="BO595"/>
  <c r="BQ595"/>
  <c r="BS595"/>
  <c r="BU595"/>
  <c r="BW595"/>
  <c r="BY595"/>
  <c r="CA595"/>
  <c r="CC595"/>
  <c r="CE595"/>
  <c r="CG595"/>
  <c r="BM596"/>
  <c r="BO596"/>
  <c r="BQ596"/>
  <c r="BS596"/>
  <c r="BU596"/>
  <c r="BW596"/>
  <c r="BY596"/>
  <c r="CA596"/>
  <c r="CC596"/>
  <c r="CE596"/>
  <c r="CG596"/>
  <c r="BM597"/>
  <c r="BO597"/>
  <c r="BQ597"/>
  <c r="BS597"/>
  <c r="BU597"/>
  <c r="BW597"/>
  <c r="BY597"/>
  <c r="CA597"/>
  <c r="CC597"/>
  <c r="CE597"/>
  <c r="CG597"/>
  <c r="BM598"/>
  <c r="BO598"/>
  <c r="BQ598"/>
  <c r="BS598"/>
  <c r="BU598"/>
  <c r="BW598"/>
  <c r="BY598"/>
  <c r="CA598"/>
  <c r="CC598"/>
  <c r="CE598"/>
  <c r="CG598"/>
  <c r="BM599"/>
  <c r="BO599"/>
  <c r="BQ599"/>
  <c r="BS599"/>
  <c r="BU599"/>
  <c r="BW599"/>
  <c r="BY599"/>
  <c r="CA599"/>
  <c r="CC599"/>
  <c r="CE599"/>
  <c r="CG599"/>
  <c r="BM600"/>
  <c r="BO600"/>
  <c r="BQ600"/>
  <c r="BS600"/>
  <c r="BU600"/>
  <c r="BW600"/>
  <c r="BY600"/>
  <c r="CA600"/>
  <c r="CC600"/>
  <c r="CE600"/>
  <c r="CG600"/>
  <c r="BM601"/>
  <c r="BO601"/>
  <c r="BQ601"/>
  <c r="BS601"/>
  <c r="BU601"/>
  <c r="BW601"/>
  <c r="BY601"/>
  <c r="CA601"/>
  <c r="CC601"/>
  <c r="CE601"/>
  <c r="CG601"/>
  <c r="BM602"/>
  <c r="BO602"/>
  <c r="BQ602"/>
  <c r="BS602"/>
  <c r="BU602"/>
  <c r="BW602"/>
  <c r="BY602"/>
  <c r="CA602"/>
  <c r="CC602"/>
  <c r="CE602"/>
  <c r="CG602"/>
  <c r="BM603"/>
  <c r="BO603"/>
  <c r="BQ603"/>
  <c r="BS603"/>
  <c r="BU603"/>
  <c r="BW603"/>
  <c r="BY603"/>
  <c r="CA603"/>
  <c r="CC603"/>
  <c r="CE603"/>
  <c r="CG603"/>
  <c r="BM604"/>
  <c r="BO604"/>
  <c r="BQ604"/>
  <c r="BS604"/>
  <c r="BU604"/>
  <c r="BW604"/>
  <c r="BY604"/>
  <c r="CA604"/>
  <c r="CC604"/>
  <c r="CE604"/>
  <c r="CG604"/>
  <c r="BM605"/>
  <c r="BO605"/>
  <c r="BQ605"/>
  <c r="BS605"/>
  <c r="BU605"/>
  <c r="BW605"/>
  <c r="BY605"/>
  <c r="CA605"/>
  <c r="CC605"/>
  <c r="CE605"/>
  <c r="CG605"/>
  <c r="BM606"/>
  <c r="BO606"/>
  <c r="BQ606"/>
  <c r="BS606"/>
  <c r="BU606"/>
  <c r="BW606"/>
  <c r="BY606"/>
  <c r="CA606"/>
  <c r="CC606"/>
  <c r="CE606"/>
  <c r="CG606"/>
  <c r="BM607"/>
  <c r="BO607"/>
  <c r="BQ607"/>
  <c r="BS607"/>
  <c r="BU607"/>
  <c r="BW607"/>
  <c r="BY607"/>
  <c r="CA607"/>
  <c r="CC607"/>
  <c r="CE607"/>
  <c r="CG607"/>
  <c r="BM608"/>
  <c r="BO608"/>
  <c r="BQ608"/>
  <c r="BS608"/>
  <c r="BU608"/>
  <c r="BW608"/>
  <c r="BY608"/>
  <c r="CA608"/>
  <c r="CC608"/>
  <c r="CE608"/>
  <c r="CG608"/>
  <c r="BM609"/>
  <c r="BO609"/>
  <c r="BQ609"/>
  <c r="BS609"/>
  <c r="BU609"/>
  <c r="BW609"/>
  <c r="BY609"/>
  <c r="CA609"/>
  <c r="CC609"/>
  <c r="CE609"/>
  <c r="CG609"/>
  <c r="BM610"/>
  <c r="BO610"/>
  <c r="BQ610"/>
  <c r="BS610"/>
  <c r="BU610"/>
  <c r="BW610"/>
  <c r="BY610"/>
  <c r="CA610"/>
  <c r="CC610"/>
  <c r="CE610"/>
  <c r="CG610"/>
  <c r="BM611"/>
  <c r="BO611"/>
  <c r="BQ611"/>
  <c r="BS611"/>
  <c r="BU611"/>
  <c r="BW611"/>
  <c r="BY611"/>
  <c r="CA611"/>
  <c r="CC611"/>
  <c r="CE611"/>
  <c r="CG611"/>
  <c r="BM612"/>
  <c r="BO612"/>
  <c r="BQ612"/>
  <c r="BS612"/>
  <c r="BU612"/>
  <c r="BW612"/>
  <c r="BY612"/>
  <c r="CA612"/>
  <c r="CC612"/>
  <c r="CE612"/>
  <c r="CG612"/>
  <c r="BM613"/>
  <c r="BO613"/>
  <c r="BQ613"/>
  <c r="BS613"/>
  <c r="BU613"/>
  <c r="BW613"/>
  <c r="BY613"/>
  <c r="CA613"/>
  <c r="CC613"/>
  <c r="CE613"/>
  <c r="CG613"/>
  <c r="BM614"/>
  <c r="BO614"/>
  <c r="BQ614"/>
  <c r="BS614"/>
  <c r="BU614"/>
  <c r="BW614"/>
  <c r="BY614"/>
  <c r="CA614"/>
  <c r="CC614"/>
  <c r="CE614"/>
  <c r="CG614"/>
  <c r="BM615"/>
  <c r="BO615"/>
  <c r="BQ615"/>
  <c r="BS615"/>
  <c r="BU615"/>
  <c r="BW615"/>
  <c r="BY615"/>
  <c r="CA615"/>
  <c r="CC615"/>
  <c r="CE615"/>
  <c r="CG615"/>
  <c r="BM616"/>
  <c r="BO616"/>
  <c r="BQ616"/>
  <c r="BS616"/>
  <c r="BU616"/>
  <c r="BW616"/>
  <c r="BY616"/>
  <c r="CA616"/>
  <c r="CC616"/>
  <c r="CE616"/>
  <c r="CG616"/>
  <c r="BM617"/>
  <c r="BO617"/>
  <c r="BQ617"/>
  <c r="BS617"/>
  <c r="BU617"/>
  <c r="BW617"/>
  <c r="BY617"/>
  <c r="CA617"/>
  <c r="CC617"/>
  <c r="CE617"/>
  <c r="CG617"/>
  <c r="BM618"/>
  <c r="BO618"/>
  <c r="BQ618"/>
  <c r="BS618"/>
  <c r="BU618"/>
  <c r="BW618"/>
  <c r="BY618"/>
  <c r="CA618"/>
  <c r="CC618"/>
  <c r="CE618"/>
  <c r="CG618"/>
  <c r="BM619"/>
  <c r="BO619"/>
  <c r="BQ619"/>
  <c r="BS619"/>
  <c r="BU619"/>
  <c r="BW619"/>
  <c r="BY619"/>
  <c r="CA619"/>
  <c r="CC619"/>
  <c r="CE619"/>
  <c r="CG619"/>
  <c r="BM620"/>
  <c r="BO620"/>
  <c r="BQ620"/>
  <c r="BS620"/>
  <c r="BU620"/>
  <c r="BW620"/>
  <c r="BY620"/>
  <c r="CA620"/>
  <c r="CC620"/>
  <c r="CE620"/>
  <c r="CG620"/>
  <c r="BM621"/>
  <c r="BO621"/>
  <c r="BQ621"/>
  <c r="BS621"/>
  <c r="BU621"/>
  <c r="BW621"/>
  <c r="BY621"/>
  <c r="CA621"/>
  <c r="CC621"/>
  <c r="CE621"/>
  <c r="CG621"/>
  <c r="BM622"/>
  <c r="BO622"/>
  <c r="BQ622"/>
  <c r="BS622"/>
  <c r="BU622"/>
  <c r="BW622"/>
  <c r="BY622"/>
  <c r="CA622"/>
  <c r="CC622"/>
  <c r="CE622"/>
  <c r="CG622"/>
  <c r="BM623"/>
  <c r="BO623"/>
  <c r="BQ623"/>
  <c r="BS623"/>
  <c r="BU623"/>
  <c r="BW623"/>
  <c r="BY623"/>
  <c r="CA623"/>
  <c r="CC623"/>
  <c r="CE623"/>
  <c r="CG623"/>
  <c r="BM624"/>
  <c r="BO624"/>
  <c r="BQ624"/>
  <c r="BS624"/>
  <c r="BU624"/>
  <c r="BW624"/>
  <c r="BY624"/>
  <c r="CA624"/>
  <c r="CC624"/>
  <c r="CE624"/>
  <c r="CG624"/>
  <c r="BM625"/>
  <c r="BO625"/>
  <c r="BQ625"/>
  <c r="BS625"/>
  <c r="BU625"/>
  <c r="BW625"/>
  <c r="BY625"/>
  <c r="CA625"/>
  <c r="CC625"/>
  <c r="CE625"/>
  <c r="CG625"/>
  <c r="BM626"/>
  <c r="BO626"/>
  <c r="BQ626"/>
  <c r="BS626"/>
  <c r="BU626"/>
  <c r="BW626"/>
  <c r="BY626"/>
  <c r="CA626"/>
  <c r="CC626"/>
  <c r="CE626"/>
  <c r="CG626"/>
  <c r="BM627"/>
  <c r="BO627"/>
  <c r="BQ627"/>
  <c r="BS627"/>
  <c r="BU627"/>
  <c r="BW627"/>
  <c r="BY627"/>
  <c r="CA627"/>
  <c r="CC627"/>
  <c r="CE627"/>
  <c r="CG627"/>
  <c r="BM628"/>
  <c r="BO628"/>
  <c r="BQ628"/>
  <c r="BS628"/>
  <c r="BU628"/>
  <c r="BW628"/>
  <c r="BY628"/>
  <c r="CA628"/>
  <c r="CC628"/>
  <c r="CE628"/>
  <c r="CG628"/>
  <c r="BM629"/>
  <c r="BO629"/>
  <c r="BQ629"/>
  <c r="BS629"/>
  <c r="BU629"/>
  <c r="BW629"/>
  <c r="BY629"/>
  <c r="CA629"/>
  <c r="CC629"/>
  <c r="CE629"/>
  <c r="CG629"/>
  <c r="BM630"/>
  <c r="BO630"/>
  <c r="BQ630"/>
  <c r="BS630"/>
  <c r="BU630"/>
  <c r="BW630"/>
  <c r="BY630"/>
  <c r="CA630"/>
  <c r="CC630"/>
  <c r="CE630"/>
  <c r="CG630"/>
  <c r="BM631"/>
  <c r="BO631"/>
  <c r="BQ631"/>
  <c r="BS631"/>
  <c r="BU631"/>
  <c r="BW631"/>
  <c r="BY631"/>
  <c r="CA631"/>
  <c r="CC631"/>
  <c r="CE631"/>
  <c r="CG631"/>
  <c r="BM632"/>
  <c r="BO632"/>
  <c r="BQ632"/>
  <c r="BS632"/>
  <c r="BU632"/>
  <c r="BW632"/>
  <c r="BY632"/>
  <c r="CA632"/>
  <c r="CC632"/>
  <c r="CE632"/>
  <c r="CG632"/>
  <c r="BM633"/>
  <c r="BO633"/>
  <c r="BQ633"/>
  <c r="BS633"/>
  <c r="BU633"/>
  <c r="BW633"/>
  <c r="BY633"/>
  <c r="CA633"/>
  <c r="CC633"/>
  <c r="CE633"/>
  <c r="CG633"/>
  <c r="BM634"/>
  <c r="BO634"/>
  <c r="BQ634"/>
  <c r="BS634"/>
  <c r="BU634"/>
  <c r="BW634"/>
  <c r="BY634"/>
  <c r="CA634"/>
  <c r="CC634"/>
  <c r="CE634"/>
  <c r="CG634"/>
  <c r="BM635"/>
  <c r="BO635"/>
  <c r="BQ635"/>
  <c r="BS635"/>
  <c r="BU635"/>
  <c r="BW635"/>
  <c r="BY635"/>
  <c r="CA635"/>
  <c r="CC635"/>
  <c r="CE635"/>
  <c r="CG635"/>
  <c r="BM636"/>
  <c r="BO636"/>
  <c r="BQ636"/>
  <c r="BS636"/>
  <c r="BU636"/>
  <c r="BW636"/>
  <c r="BY636"/>
  <c r="CA636"/>
  <c r="CC636"/>
  <c r="CE636"/>
  <c r="CG636"/>
  <c r="BM637"/>
  <c r="BO637"/>
  <c r="BQ637"/>
  <c r="BS637"/>
  <c r="BU637"/>
  <c r="BW637"/>
  <c r="BY637"/>
  <c r="CA637"/>
  <c r="CC637"/>
  <c r="CE637"/>
  <c r="CG637"/>
  <c r="BM638"/>
  <c r="BO638"/>
  <c r="BQ638"/>
  <c r="BS638"/>
  <c r="BU638"/>
  <c r="BW638"/>
  <c r="BY638"/>
  <c r="CA638"/>
  <c r="CC638"/>
  <c r="CE638"/>
  <c r="CG638"/>
  <c r="BM639"/>
  <c r="BO639"/>
  <c r="BQ639"/>
  <c r="BS639"/>
  <c r="BU639"/>
  <c r="BW639"/>
  <c r="BY639"/>
  <c r="CA639"/>
  <c r="CC639"/>
  <c r="CE639"/>
  <c r="CG639"/>
  <c r="BM640"/>
  <c r="BO640"/>
  <c r="BQ640"/>
  <c r="BS640"/>
  <c r="BU640"/>
  <c r="BW640"/>
  <c r="BY640"/>
  <c r="CA640"/>
  <c r="CC640"/>
  <c r="CE640"/>
  <c r="CG640"/>
  <c r="BM641"/>
  <c r="BO641"/>
  <c r="BQ641"/>
  <c r="BS641"/>
  <c r="BU641"/>
  <c r="BW641"/>
  <c r="BY641"/>
  <c r="CA641"/>
  <c r="CC641"/>
  <c r="CE641"/>
  <c r="CG641"/>
  <c r="BM642"/>
  <c r="BO642"/>
  <c r="BQ642"/>
  <c r="BS642"/>
  <c r="BU642"/>
  <c r="BW642"/>
  <c r="BY642"/>
  <c r="CA642"/>
  <c r="CC642"/>
  <c r="CE642"/>
  <c r="CG642"/>
  <c r="BM643"/>
  <c r="BO643"/>
  <c r="BQ643"/>
  <c r="BS643"/>
  <c r="BU643"/>
  <c r="BW643"/>
  <c r="BY643"/>
  <c r="CA643"/>
  <c r="CC643"/>
  <c r="CE643"/>
  <c r="CG643"/>
  <c r="BM644"/>
  <c r="BO644"/>
  <c r="BQ644"/>
  <c r="BS644"/>
  <c r="BU644"/>
  <c r="BW644"/>
  <c r="BY644"/>
  <c r="CA644"/>
  <c r="CC644"/>
  <c r="CE644"/>
  <c r="CG644"/>
  <c r="BM645"/>
  <c r="BO645"/>
  <c r="BQ645"/>
  <c r="BS645"/>
  <c r="BU645"/>
  <c r="BW645"/>
  <c r="BY645"/>
  <c r="CA645"/>
  <c r="CC645"/>
  <c r="CE645"/>
  <c r="CG645"/>
  <c r="BM646"/>
  <c r="BO646"/>
  <c r="BQ646"/>
  <c r="BS646"/>
  <c r="BU646"/>
  <c r="BW646"/>
  <c r="BY646"/>
  <c r="CA646"/>
  <c r="CC646"/>
  <c r="CE646"/>
  <c r="CG646"/>
  <c r="BM647"/>
  <c r="BO647"/>
  <c r="BQ647"/>
  <c r="BS647"/>
  <c r="BU647"/>
  <c r="BW647"/>
  <c r="BY647"/>
  <c r="CA647"/>
  <c r="CC647"/>
  <c r="CE647"/>
  <c r="CG647"/>
  <c r="BM648"/>
  <c r="BO648"/>
  <c r="BQ648"/>
  <c r="BS648"/>
  <c r="BU648"/>
  <c r="BW648"/>
  <c r="BY648"/>
  <c r="CA648"/>
  <c r="CC648"/>
  <c r="CE648"/>
  <c r="CG648"/>
  <c r="BM649"/>
  <c r="BO649"/>
  <c r="BQ649"/>
  <c r="BS649"/>
  <c r="BU649"/>
  <c r="BW649"/>
  <c r="BY649"/>
  <c r="CA649"/>
  <c r="CC649"/>
  <c r="CE649"/>
  <c r="CG649"/>
  <c r="BM650"/>
  <c r="BO650"/>
  <c r="BQ650"/>
  <c r="BS650"/>
  <c r="BU650"/>
  <c r="BW650"/>
  <c r="BY650"/>
  <c r="CA650"/>
  <c r="CC650"/>
  <c r="CE650"/>
  <c r="CG650"/>
  <c r="BM651"/>
  <c r="BO651"/>
  <c r="BQ651"/>
  <c r="BS651"/>
  <c r="BU651"/>
  <c r="BW651"/>
  <c r="BY651"/>
  <c r="CA651"/>
  <c r="CC651"/>
  <c r="CE651"/>
  <c r="CG651"/>
  <c r="BM652"/>
  <c r="BO652"/>
  <c r="BQ652"/>
  <c r="BS652"/>
  <c r="BU652"/>
  <c r="BW652"/>
  <c r="BY652"/>
  <c r="CA652"/>
  <c r="CC652"/>
  <c r="CE652"/>
  <c r="CG652"/>
  <c r="BM653"/>
  <c r="BO653"/>
  <c r="BQ653"/>
  <c r="BS653"/>
  <c r="BU653"/>
  <c r="BW653"/>
  <c r="BY653"/>
  <c r="CA653"/>
  <c r="CC653"/>
  <c r="CE653"/>
  <c r="CG653"/>
  <c r="BM654"/>
  <c r="BO654"/>
  <c r="BQ654"/>
  <c r="BS654"/>
  <c r="BU654"/>
  <c r="BW654"/>
  <c r="BY654"/>
  <c r="CA654"/>
  <c r="CC654"/>
  <c r="CE654"/>
  <c r="CG654"/>
  <c r="BM655"/>
  <c r="BO655"/>
  <c r="BQ655"/>
  <c r="BS655"/>
  <c r="BU655"/>
  <c r="BW655"/>
  <c r="BY655"/>
  <c r="CA655"/>
  <c r="CC655"/>
  <c r="CE655"/>
  <c r="CG655"/>
  <c r="BM656"/>
  <c r="BO656"/>
  <c r="BQ656"/>
  <c r="BS656"/>
  <c r="BU656"/>
  <c r="BW656"/>
  <c r="BY656"/>
  <c r="CA656"/>
  <c r="CC656"/>
  <c r="CE656"/>
  <c r="CG656"/>
  <c r="BM657"/>
  <c r="BO657"/>
  <c r="BQ657"/>
  <c r="BS657"/>
  <c r="BU657"/>
  <c r="BW657"/>
  <c r="BY657"/>
  <c r="CA657"/>
  <c r="CC657"/>
  <c r="CE657"/>
  <c r="CG657"/>
  <c r="BM658"/>
  <c r="BO658"/>
  <c r="BQ658"/>
  <c r="BS658"/>
  <c r="BU658"/>
  <c r="BW658"/>
  <c r="BY658"/>
  <c r="CA658"/>
  <c r="CC658"/>
  <c r="CE658"/>
  <c r="CG658"/>
  <c r="BM659"/>
  <c r="BO659"/>
  <c r="BQ659"/>
  <c r="BS659"/>
  <c r="BU659"/>
  <c r="BW659"/>
  <c r="BY659"/>
  <c r="CA659"/>
  <c r="CC659"/>
  <c r="CE659"/>
  <c r="CG659"/>
  <c r="BM660"/>
  <c r="BO660"/>
  <c r="BQ660"/>
  <c r="BS660"/>
  <c r="BU660"/>
  <c r="BW660"/>
  <c r="BY660"/>
  <c r="CA660"/>
  <c r="CC660"/>
  <c r="CE660"/>
  <c r="CG660"/>
  <c r="BM661"/>
  <c r="BO661"/>
  <c r="BQ661"/>
  <c r="BS661"/>
  <c r="BU661"/>
  <c r="BW661"/>
  <c r="BY661"/>
  <c r="CA661"/>
  <c r="CC661"/>
  <c r="CE661"/>
  <c r="CG661"/>
  <c r="BM662"/>
  <c r="BO662"/>
  <c r="BQ662"/>
  <c r="BS662"/>
  <c r="BU662"/>
  <c r="BW662"/>
  <c r="BY662"/>
  <c r="CA662"/>
  <c r="CC662"/>
  <c r="CE662"/>
  <c r="CG662"/>
  <c r="BM663"/>
  <c r="BO663"/>
  <c r="BQ663"/>
  <c r="BS663"/>
  <c r="BU663"/>
  <c r="BW663"/>
  <c r="BY663"/>
  <c r="CA663"/>
  <c r="CC663"/>
  <c r="CE663"/>
  <c r="CG663"/>
  <c r="BM664"/>
  <c r="BO664"/>
  <c r="BQ664"/>
  <c r="BS664"/>
  <c r="BU664"/>
  <c r="BW664"/>
  <c r="BY664"/>
  <c r="CA664"/>
  <c r="CC664"/>
  <c r="CE664"/>
  <c r="CG664"/>
  <c r="BM665"/>
  <c r="BO665"/>
  <c r="BQ665"/>
  <c r="BS665"/>
  <c r="BU665"/>
  <c r="BW665"/>
  <c r="BY665"/>
  <c r="CA665"/>
  <c r="CC665"/>
  <c r="CE665"/>
  <c r="CG665"/>
  <c r="BM666"/>
  <c r="BO666"/>
  <c r="BQ666"/>
  <c r="BS666"/>
  <c r="BU666"/>
  <c r="BW666"/>
  <c r="BY666"/>
  <c r="CA666"/>
  <c r="CC666"/>
  <c r="CE666"/>
  <c r="CG666"/>
  <c r="BM667"/>
  <c r="BO667"/>
  <c r="BQ667"/>
  <c r="BS667"/>
  <c r="BU667"/>
  <c r="BW667"/>
  <c r="BY667"/>
  <c r="CA667"/>
  <c r="CC667"/>
  <c r="CE667"/>
  <c r="CG667"/>
  <c r="BM668"/>
  <c r="BO668"/>
  <c r="BQ668"/>
  <c r="BS668"/>
  <c r="BU668"/>
  <c r="BW668"/>
  <c r="BY668"/>
  <c r="CA668"/>
  <c r="CC668"/>
  <c r="CE668"/>
  <c r="CG668"/>
  <c r="BM669"/>
  <c r="BO669"/>
  <c r="BQ669"/>
  <c r="BS669"/>
  <c r="BU669"/>
  <c r="BW669"/>
  <c r="BY669"/>
  <c r="CA669"/>
  <c r="CC669"/>
  <c r="CE669"/>
  <c r="CG669"/>
  <c r="BM670"/>
  <c r="BO670"/>
  <c r="BQ670"/>
  <c r="BS670"/>
  <c r="BU670"/>
  <c r="BW670"/>
  <c r="BY670"/>
  <c r="CA670"/>
  <c r="CC670"/>
  <c r="CE670"/>
  <c r="CG670"/>
  <c r="BM671"/>
  <c r="BO671"/>
  <c r="BQ671"/>
  <c r="BS671"/>
  <c r="BU671"/>
  <c r="BW671"/>
  <c r="BY671"/>
  <c r="CA671"/>
  <c r="CC671"/>
  <c r="CE671"/>
  <c r="CG671"/>
  <c r="BM672"/>
  <c r="BO672"/>
  <c r="BQ672"/>
  <c r="BS672"/>
  <c r="BU672"/>
  <c r="BW672"/>
  <c r="BY672"/>
  <c r="CA672"/>
  <c r="CC672"/>
  <c r="CE672"/>
  <c r="CG672"/>
  <c r="BM673"/>
  <c r="BO673"/>
  <c r="BQ673"/>
  <c r="BS673"/>
  <c r="BU673"/>
  <c r="BW673"/>
  <c r="BY673"/>
  <c r="CA673"/>
  <c r="CC673"/>
  <c r="CE673"/>
  <c r="CG673"/>
  <c r="BM674"/>
  <c r="BO674"/>
  <c r="BQ674"/>
  <c r="BS674"/>
  <c r="BU674"/>
  <c r="BW674"/>
  <c r="BY674"/>
  <c r="CA674"/>
  <c r="CC674"/>
  <c r="CE674"/>
  <c r="CG674"/>
  <c r="BM675"/>
  <c r="BO675"/>
  <c r="BQ675"/>
  <c r="BS675"/>
  <c r="BU675"/>
  <c r="BW675"/>
  <c r="BY675"/>
  <c r="CA675"/>
  <c r="CC675"/>
  <c r="CE675"/>
  <c r="CG675"/>
  <c r="BM676"/>
  <c r="BO676"/>
  <c r="BQ676"/>
  <c r="BS676"/>
  <c r="BU676"/>
  <c r="BW676"/>
  <c r="BY676"/>
  <c r="CA676"/>
  <c r="CC676"/>
  <c r="CE676"/>
  <c r="CG676"/>
  <c r="BM677"/>
  <c r="BO677"/>
  <c r="BQ677"/>
  <c r="BS677"/>
  <c r="BU677"/>
  <c r="BW677"/>
  <c r="BY677"/>
  <c r="CA677"/>
  <c r="CC677"/>
  <c r="CE677"/>
  <c r="CG677"/>
  <c r="BM678"/>
  <c r="BO678"/>
  <c r="BQ678"/>
  <c r="BS678"/>
  <c r="BU678"/>
  <c r="BW678"/>
  <c r="BY678"/>
  <c r="CA678"/>
  <c r="CC678"/>
  <c r="CE678"/>
  <c r="CG678"/>
  <c r="BM679"/>
  <c r="BO679"/>
  <c r="BQ679"/>
  <c r="BS679"/>
  <c r="BU679"/>
  <c r="BW679"/>
  <c r="BY679"/>
  <c r="CA679"/>
  <c r="CC679"/>
  <c r="CE679"/>
  <c r="CG679"/>
  <c r="BM680"/>
  <c r="BO680"/>
  <c r="BQ680"/>
  <c r="BS680"/>
  <c r="BU680"/>
  <c r="BW680"/>
  <c r="BY680"/>
  <c r="CA680"/>
  <c r="CC680"/>
  <c r="CE680"/>
  <c r="CG680"/>
  <c r="BM681"/>
  <c r="BO681"/>
  <c r="BQ681"/>
  <c r="BS681"/>
  <c r="BU681"/>
  <c r="BW681"/>
  <c r="BY681"/>
  <c r="CA681"/>
  <c r="CC681"/>
  <c r="CE681"/>
  <c r="CG681"/>
  <c r="BM682"/>
  <c r="BO682"/>
  <c r="BQ682"/>
  <c r="BS682"/>
  <c r="BU682"/>
  <c r="BW682"/>
  <c r="BY682"/>
  <c r="CA682"/>
  <c r="CC682"/>
  <c r="CE682"/>
  <c r="CG682"/>
  <c r="BM683"/>
  <c r="BO683"/>
  <c r="BQ683"/>
  <c r="BS683"/>
  <c r="BU683"/>
  <c r="BW683"/>
  <c r="BY683"/>
  <c r="CA683"/>
  <c r="CC683"/>
  <c r="CE683"/>
  <c r="CG683"/>
  <c r="BM684"/>
  <c r="BO684"/>
  <c r="BQ684"/>
  <c r="BS684"/>
  <c r="BU684"/>
  <c r="BW684"/>
  <c r="BY684"/>
  <c r="CA684"/>
  <c r="CC684"/>
  <c r="CE684"/>
  <c r="CG684"/>
  <c r="BM685"/>
  <c r="BO685"/>
  <c r="BQ685"/>
  <c r="BS685"/>
  <c r="BU685"/>
  <c r="BW685"/>
  <c r="BY685"/>
  <c r="CA685"/>
  <c r="CC685"/>
  <c r="CE685"/>
  <c r="CG685"/>
  <c r="BM686"/>
  <c r="BO686"/>
  <c r="BQ686"/>
  <c r="BS686"/>
  <c r="BU686"/>
  <c r="BW686"/>
  <c r="BY686"/>
  <c r="CA686"/>
  <c r="CC686"/>
  <c r="CE686"/>
  <c r="CG686"/>
  <c r="BM687"/>
  <c r="BO687"/>
  <c r="BQ687"/>
  <c r="BS687"/>
  <c r="BU687"/>
  <c r="BW687"/>
  <c r="BY687"/>
  <c r="CA687"/>
  <c r="CC687"/>
  <c r="CE687"/>
  <c r="CG687"/>
  <c r="BM688"/>
  <c r="BO688"/>
  <c r="BQ688"/>
  <c r="BS688"/>
  <c r="BU688"/>
  <c r="BW688"/>
  <c r="BY688"/>
  <c r="CA688"/>
  <c r="CC688"/>
  <c r="CE688"/>
  <c r="CG688"/>
  <c r="BM689"/>
  <c r="BO689"/>
  <c r="BQ689"/>
  <c r="BS689"/>
  <c r="BU689"/>
  <c r="BW689"/>
  <c r="BY689"/>
  <c r="CA689"/>
  <c r="CC689"/>
  <c r="CE689"/>
  <c r="CG689"/>
  <c r="BM690"/>
  <c r="BO690"/>
  <c r="BQ690"/>
  <c r="BS690"/>
  <c r="BU690"/>
  <c r="BW690"/>
  <c r="BY690"/>
  <c r="CA690"/>
  <c r="CC690"/>
  <c r="CE690"/>
  <c r="CG690"/>
  <c r="BM691"/>
  <c r="BO691"/>
  <c r="BQ691"/>
  <c r="BS691"/>
  <c r="BU691"/>
  <c r="BW691"/>
  <c r="BY691"/>
  <c r="CA691"/>
  <c r="CC691"/>
  <c r="CE691"/>
  <c r="CG691"/>
  <c r="BM692"/>
  <c r="BO692"/>
  <c r="BQ692"/>
  <c r="BS692"/>
  <c r="BU692"/>
  <c r="BW692"/>
  <c r="BY692"/>
  <c r="CA692"/>
  <c r="CC692"/>
  <c r="CE692"/>
  <c r="CG692"/>
  <c r="BM693"/>
  <c r="BO693"/>
  <c r="BQ693"/>
  <c r="BS693"/>
  <c r="BU693"/>
  <c r="BW693"/>
  <c r="BY693"/>
  <c r="CA693"/>
  <c r="CC693"/>
  <c r="CE693"/>
  <c r="CG693"/>
  <c r="BM694"/>
  <c r="BO694"/>
  <c r="BQ694"/>
  <c r="BS694"/>
  <c r="BU694"/>
  <c r="BW694"/>
  <c r="BY694"/>
  <c r="CA694"/>
  <c r="CC694"/>
  <c r="CE694"/>
  <c r="CG694"/>
  <c r="BM695"/>
  <c r="BO695"/>
  <c r="BQ695"/>
  <c r="BS695"/>
  <c r="BU695"/>
  <c r="BW695"/>
  <c r="BY695"/>
  <c r="CA695"/>
  <c r="CC695"/>
  <c r="CE695"/>
  <c r="CG695"/>
  <c r="BM696"/>
  <c r="BO696"/>
  <c r="BQ696"/>
  <c r="BS696"/>
  <c r="BU696"/>
  <c r="BW696"/>
  <c r="BY696"/>
  <c r="CA696"/>
  <c r="CC696"/>
  <c r="CE696"/>
  <c r="CG696"/>
  <c r="BM697"/>
  <c r="BO697"/>
  <c r="BQ697"/>
  <c r="BS697"/>
  <c r="BU697"/>
  <c r="BW697"/>
  <c r="BY697"/>
  <c r="CA697"/>
  <c r="CC697"/>
  <c r="CE697"/>
  <c r="CG697"/>
  <c r="BM698"/>
  <c r="BO698"/>
  <c r="BQ698"/>
  <c r="BS698"/>
  <c r="BU698"/>
  <c r="BW698"/>
  <c r="BY698"/>
  <c r="CA698"/>
  <c r="CC698"/>
  <c r="CE698"/>
  <c r="CG698"/>
  <c r="BM699"/>
  <c r="BO699"/>
  <c r="BQ699"/>
  <c r="BS699"/>
  <c r="BU699"/>
  <c r="BW699"/>
  <c r="BY699"/>
  <c r="CA699"/>
  <c r="CC699"/>
  <c r="CE699"/>
  <c r="CG699"/>
  <c r="BM700"/>
  <c r="BO700"/>
  <c r="BQ700"/>
  <c r="BS700"/>
  <c r="BU700"/>
  <c r="BW700"/>
  <c r="BY700"/>
  <c r="CA700"/>
  <c r="CC700"/>
  <c r="CE700"/>
  <c r="CG700"/>
  <c r="BM701"/>
  <c r="BO701"/>
  <c r="BQ701"/>
  <c r="BS701"/>
  <c r="BU701"/>
  <c r="BW701"/>
  <c r="BY701"/>
  <c r="CA701"/>
  <c r="CC701"/>
  <c r="CE701"/>
  <c r="CG701"/>
  <c r="BM702"/>
  <c r="BO702"/>
  <c r="BQ702"/>
  <c r="BS702"/>
  <c r="BU702"/>
  <c r="BW702"/>
  <c r="BY702"/>
  <c r="CA702"/>
  <c r="CC702"/>
  <c r="CE702"/>
  <c r="CG702"/>
  <c r="BM703"/>
  <c r="BO703"/>
  <c r="BQ703"/>
  <c r="BS703"/>
  <c r="BU703"/>
  <c r="BW703"/>
  <c r="BY703"/>
  <c r="CA703"/>
  <c r="CC703"/>
  <c r="CE703"/>
  <c r="CG703"/>
  <c r="BM704"/>
  <c r="BO704"/>
  <c r="BQ704"/>
  <c r="BS704"/>
  <c r="BU704"/>
  <c r="BW704"/>
  <c r="BY704"/>
  <c r="CA704"/>
  <c r="CC704"/>
  <c r="CE704"/>
  <c r="CG704"/>
  <c r="BM705"/>
  <c r="BO705"/>
  <c r="BQ705"/>
  <c r="BS705"/>
  <c r="BU705"/>
  <c r="BW705"/>
  <c r="BY705"/>
  <c r="CA705"/>
  <c r="CC705"/>
  <c r="CE705"/>
  <c r="CG705"/>
  <c r="BM706"/>
  <c r="BO706"/>
  <c r="BQ706"/>
  <c r="BS706"/>
  <c r="BU706"/>
  <c r="BW706"/>
  <c r="CA706"/>
  <c r="CC706"/>
  <c r="CE706"/>
  <c r="CG706"/>
  <c r="BM707"/>
  <c r="BO707"/>
  <c r="BQ707"/>
  <c r="BS707"/>
  <c r="BU707"/>
  <c r="BW707"/>
  <c r="CC707"/>
  <c r="CE707"/>
  <c r="CG707"/>
  <c r="BM708"/>
  <c r="BO708"/>
  <c r="BQ708"/>
  <c r="BS708"/>
  <c r="BU708"/>
  <c r="BW708"/>
  <c r="CE708"/>
  <c r="CG708"/>
  <c r="BM709"/>
  <c r="BO709"/>
  <c r="BQ709"/>
  <c r="BS709"/>
  <c r="BU709"/>
  <c r="BW709"/>
  <c r="CG709"/>
  <c r="BM710"/>
  <c r="BO710"/>
  <c r="BQ710"/>
  <c r="BS710"/>
  <c r="BU710"/>
  <c r="BW710"/>
  <c r="CW710" s="1"/>
  <c r="CT710" s="1"/>
  <c r="CS710" s="1"/>
  <c r="CR710" s="1"/>
  <c r="CQ710" s="1"/>
  <c r="CP710" s="1"/>
  <c r="CO710" s="1"/>
  <c r="CN710" s="1"/>
  <c r="CM710" s="1"/>
  <c r="CL710" s="1"/>
  <c r="CK710" s="1"/>
  <c r="CJ710" s="1"/>
  <c r="CI710" s="1"/>
  <c r="BM711"/>
  <c r="BO711"/>
  <c r="BQ711"/>
  <c r="BS711"/>
  <c r="BU711"/>
  <c r="BM712"/>
  <c r="BO712"/>
  <c r="BQ712"/>
  <c r="BS712"/>
  <c r="BU712"/>
  <c r="BK713"/>
  <c r="BO713"/>
  <c r="BQ713"/>
  <c r="BS713"/>
  <c r="BU713"/>
  <c r="BK714"/>
  <c r="BQ714"/>
  <c r="BS714"/>
  <c r="BU714"/>
  <c r="BK715"/>
  <c r="BU715"/>
  <c r="BK716"/>
  <c r="BK717"/>
  <c r="BK718"/>
  <c r="BK719"/>
  <c r="BK720"/>
  <c r="BK721"/>
  <c r="BU721"/>
  <c r="BK722"/>
  <c r="BQ722"/>
  <c r="BS722"/>
  <c r="BU722"/>
  <c r="BK723"/>
  <c r="BS723"/>
  <c r="BU723"/>
  <c r="BM724"/>
  <c r="BO724"/>
  <c r="BQ724"/>
  <c r="BS724"/>
  <c r="BU724"/>
  <c r="BW724"/>
  <c r="BY724"/>
  <c r="CA724"/>
  <c r="CC724"/>
  <c r="CE724"/>
  <c r="CG724"/>
  <c r="BM725"/>
  <c r="BO725"/>
  <c r="BQ725"/>
  <c r="BS725"/>
  <c r="BU725"/>
  <c r="BW725"/>
  <c r="BY725"/>
  <c r="CA725"/>
  <c r="CC725"/>
  <c r="CE725"/>
  <c r="CG725"/>
  <c r="BM726"/>
  <c r="BO726"/>
  <c r="BQ726"/>
  <c r="BS726"/>
  <c r="BU726"/>
  <c r="BW726"/>
  <c r="CA726"/>
  <c r="CC726"/>
  <c r="CE726"/>
  <c r="CG726"/>
  <c r="BM727"/>
  <c r="BO727"/>
  <c r="BQ727"/>
  <c r="BS727"/>
  <c r="BU727"/>
  <c r="BW727"/>
  <c r="CC727"/>
  <c r="CE727"/>
  <c r="CG727"/>
  <c r="BM728"/>
  <c r="BO728"/>
  <c r="BQ728"/>
  <c r="BS728"/>
  <c r="BU728"/>
  <c r="BW728"/>
  <c r="CE728"/>
  <c r="CG728"/>
  <c r="BM729"/>
  <c r="BO729"/>
  <c r="BQ729"/>
  <c r="BS729"/>
  <c r="BU729"/>
  <c r="BW729"/>
  <c r="CW729" s="1"/>
  <c r="CT729" s="1"/>
  <c r="CS729" s="1"/>
  <c r="CR729" s="1"/>
  <c r="CQ729" s="1"/>
  <c r="CP729" s="1"/>
  <c r="CO729" s="1"/>
  <c r="CN729" s="1"/>
  <c r="CM729" s="1"/>
  <c r="CL729" s="1"/>
  <c r="CK729" s="1"/>
  <c r="CJ729" s="1"/>
  <c r="CI729" s="1"/>
  <c r="CG729"/>
  <c r="BM730"/>
  <c r="BO730"/>
  <c r="BQ730"/>
  <c r="BS730"/>
  <c r="BU730"/>
  <c r="BW730"/>
  <c r="CW730" s="1"/>
  <c r="CT730" s="1"/>
  <c r="BM731"/>
  <c r="BO731"/>
  <c r="BQ731"/>
  <c r="BS731"/>
  <c r="BU731"/>
  <c r="BM732"/>
  <c r="BO732"/>
  <c r="BQ732"/>
  <c r="BS732"/>
  <c r="BU732"/>
  <c r="BM733"/>
  <c r="BO733"/>
  <c r="BQ733"/>
  <c r="BS733"/>
  <c r="BU733"/>
  <c r="BK734"/>
  <c r="BQ734"/>
  <c r="BS734"/>
  <c r="BU734"/>
  <c r="BK735"/>
  <c r="BS735"/>
  <c r="BU735"/>
  <c r="BK736"/>
  <c r="BU736"/>
  <c r="BK737"/>
  <c r="BK738"/>
  <c r="BK739"/>
  <c r="BK740"/>
  <c r="BW742"/>
  <c r="BN742"/>
  <c r="BR742"/>
  <c r="BZ742"/>
  <c r="CD742"/>
  <c r="CH742"/>
  <c r="BV744"/>
  <c r="CW815"/>
  <c r="CT815" s="1"/>
  <c r="CS815" s="1"/>
  <c r="CW817"/>
  <c r="CT817" s="1"/>
  <c r="CS817" s="1"/>
  <c r="CX710"/>
  <c r="CX711"/>
  <c r="CX712"/>
  <c r="CX713"/>
  <c r="CX714"/>
  <c r="CX715"/>
  <c r="CX716"/>
  <c r="CX717"/>
  <c r="CX718"/>
  <c r="CX719"/>
  <c r="CX720"/>
  <c r="CX721"/>
  <c r="CX722"/>
  <c r="CX723"/>
  <c r="CX730"/>
  <c r="CX731"/>
  <c r="CX732"/>
  <c r="CX733"/>
  <c r="CX734"/>
  <c r="CX735"/>
  <c r="CX736"/>
  <c r="CX737"/>
  <c r="CX738"/>
  <c r="CX739"/>
  <c r="CX740"/>
  <c r="BW741"/>
  <c r="BN741"/>
  <c r="BR741"/>
  <c r="BZ741"/>
  <c r="CD741"/>
  <c r="CH741"/>
  <c r="BL742"/>
  <c r="BP742"/>
  <c r="BT742"/>
  <c r="BX742"/>
  <c r="CB742"/>
  <c r="CF742"/>
  <c r="BW743"/>
  <c r="BN743"/>
  <c r="BR743"/>
  <c r="BZ743"/>
  <c r="CD743"/>
  <c r="CH743"/>
  <c r="BL744"/>
  <c r="CW816"/>
  <c r="CT816" s="1"/>
  <c r="CS816" s="1"/>
  <c r="CR816" s="1"/>
  <c r="CQ816" s="1"/>
  <c r="BY821"/>
  <c r="BX821"/>
  <c r="CA821"/>
  <c r="BZ821"/>
  <c r="CC821"/>
  <c r="CB821"/>
  <c r="CE821"/>
  <c r="CD821"/>
  <c r="CG821"/>
  <c r="CF821"/>
  <c r="BL745"/>
  <c r="BN745"/>
  <c r="BP745"/>
  <c r="BR745"/>
  <c r="BT745"/>
  <c r="BX745"/>
  <c r="CW745" s="1"/>
  <c r="BZ745"/>
  <c r="CB745"/>
  <c r="CD745"/>
  <c r="CF745"/>
  <c r="CH745"/>
  <c r="BL746"/>
  <c r="BN746"/>
  <c r="BP746"/>
  <c r="BR746"/>
  <c r="BT746"/>
  <c r="BX746"/>
  <c r="CW746" s="1"/>
  <c r="BZ746"/>
  <c r="CB746"/>
  <c r="CD746"/>
  <c r="CF746"/>
  <c r="CH746"/>
  <c r="BL747"/>
  <c r="BN747"/>
  <c r="BP747"/>
  <c r="BR747"/>
  <c r="BT747"/>
  <c r="BX747"/>
  <c r="BZ747"/>
  <c r="CW747" s="1"/>
  <c r="CB747"/>
  <c r="CD747"/>
  <c r="CF747"/>
  <c r="CH747"/>
  <c r="BL748"/>
  <c r="BN748"/>
  <c r="BP748"/>
  <c r="BR748"/>
  <c r="BT748"/>
  <c r="BX748"/>
  <c r="BZ748"/>
  <c r="CW748" s="1"/>
  <c r="CB748"/>
  <c r="CD748"/>
  <c r="CF748"/>
  <c r="CH748"/>
  <c r="BL749"/>
  <c r="BN749"/>
  <c r="BP749"/>
  <c r="BR749"/>
  <c r="BT749"/>
  <c r="BX749"/>
  <c r="CW749" s="1"/>
  <c r="BZ749"/>
  <c r="CB749"/>
  <c r="CD749"/>
  <c r="CF749"/>
  <c r="CH749"/>
  <c r="BL750"/>
  <c r="BN750"/>
  <c r="BP750"/>
  <c r="BR750"/>
  <c r="BT750"/>
  <c r="BX750"/>
  <c r="CW750" s="1"/>
  <c r="BZ750"/>
  <c r="CB750"/>
  <c r="CD750"/>
  <c r="CF750"/>
  <c r="CH750"/>
  <c r="BL751"/>
  <c r="BN751"/>
  <c r="BP751"/>
  <c r="BR751"/>
  <c r="BT751"/>
  <c r="BX751"/>
  <c r="BZ751"/>
  <c r="CW751" s="1"/>
  <c r="CB751"/>
  <c r="CD751"/>
  <c r="CF751"/>
  <c r="CH751"/>
  <c r="BL752"/>
  <c r="BN752"/>
  <c r="BP752"/>
  <c r="BR752"/>
  <c r="BT752"/>
  <c r="BX752"/>
  <c r="BZ752"/>
  <c r="CW752" s="1"/>
  <c r="CB752"/>
  <c r="CD752"/>
  <c r="CF752"/>
  <c r="CH752"/>
  <c r="BL753"/>
  <c r="BN753"/>
  <c r="BP753"/>
  <c r="BR753"/>
  <c r="BT753"/>
  <c r="BX753"/>
  <c r="CW753" s="1"/>
  <c r="BZ753"/>
  <c r="CB753"/>
  <c r="CD753"/>
  <c r="CF753"/>
  <c r="CH753"/>
  <c r="BL754"/>
  <c r="BN754"/>
  <c r="BP754"/>
  <c r="BR754"/>
  <c r="BT754"/>
  <c r="BX754"/>
  <c r="CW754" s="1"/>
  <c r="BZ754"/>
  <c r="CB754"/>
  <c r="CD754"/>
  <c r="CF754"/>
  <c r="CH754"/>
  <c r="BL755"/>
  <c r="BN755"/>
  <c r="BP755"/>
  <c r="BR755"/>
  <c r="BT755"/>
  <c r="BX755"/>
  <c r="BZ755"/>
  <c r="CW755" s="1"/>
  <c r="CB755"/>
  <c r="CD755"/>
  <c r="CF755"/>
  <c r="CH755"/>
  <c r="BL756"/>
  <c r="BN756"/>
  <c r="BP756"/>
  <c r="BR756"/>
  <c r="BT756"/>
  <c r="BX756"/>
  <c r="BZ756"/>
  <c r="CW756" s="1"/>
  <c r="CB756"/>
  <c r="CD756"/>
  <c r="CF756"/>
  <c r="CH756"/>
  <c r="BL757"/>
  <c r="BN757"/>
  <c r="BP757"/>
  <c r="BR757"/>
  <c r="BT757"/>
  <c r="BX757"/>
  <c r="CW757" s="1"/>
  <c r="BZ757"/>
  <c r="CB757"/>
  <c r="CD757"/>
  <c r="CF757"/>
  <c r="CH757"/>
  <c r="BL758"/>
  <c r="BN758"/>
  <c r="BP758"/>
  <c r="BR758"/>
  <c r="BT758"/>
  <c r="BX758"/>
  <c r="CW758" s="1"/>
  <c r="BZ758"/>
  <c r="CB758"/>
  <c r="CD758"/>
  <c r="CF758"/>
  <c r="CH758"/>
  <c r="BL759"/>
  <c r="BN759"/>
  <c r="BP759"/>
  <c r="BR759"/>
  <c r="BT759"/>
  <c r="BX759"/>
  <c r="BZ759"/>
  <c r="CW759" s="1"/>
  <c r="CB759"/>
  <c r="CD759"/>
  <c r="CF759"/>
  <c r="CH759"/>
  <c r="BL760"/>
  <c r="BN760"/>
  <c r="BP760"/>
  <c r="BR760"/>
  <c r="BT760"/>
  <c r="BX760"/>
  <c r="BZ760"/>
  <c r="CW760" s="1"/>
  <c r="CB760"/>
  <c r="CD760"/>
  <c r="CF760"/>
  <c r="CH760"/>
  <c r="BL761"/>
  <c r="BN761"/>
  <c r="BP761"/>
  <c r="BR761"/>
  <c r="BT761"/>
  <c r="BX761"/>
  <c r="CW761" s="1"/>
  <c r="BZ761"/>
  <c r="CB761"/>
  <c r="CD761"/>
  <c r="CF761"/>
  <c r="CH761"/>
  <c r="BL762"/>
  <c r="BN762"/>
  <c r="BP762"/>
  <c r="BR762"/>
  <c r="BT762"/>
  <c r="BX762"/>
  <c r="CW762" s="1"/>
  <c r="BZ762"/>
  <c r="CB762"/>
  <c r="CD762"/>
  <c r="CF762"/>
  <c r="CH762"/>
  <c r="BL763"/>
  <c r="BN763"/>
  <c r="BP763"/>
  <c r="BR763"/>
  <c r="BT763"/>
  <c r="BX763"/>
  <c r="BZ763"/>
  <c r="CW763" s="1"/>
  <c r="CB763"/>
  <c r="CD763"/>
  <c r="CF763"/>
  <c r="CH763"/>
  <c r="BL764"/>
  <c r="BN764"/>
  <c r="BP764"/>
  <c r="BR764"/>
  <c r="BT764"/>
  <c r="BX764"/>
  <c r="BZ764"/>
  <c r="CW764" s="1"/>
  <c r="CB764"/>
  <c r="CD764"/>
  <c r="CF764"/>
  <c r="CH764"/>
  <c r="BL765"/>
  <c r="BN765"/>
  <c r="BP765"/>
  <c r="BR765"/>
  <c r="BT765"/>
  <c r="BX765"/>
  <c r="CW765" s="1"/>
  <c r="BZ765"/>
  <c r="CB765"/>
  <c r="CD765"/>
  <c r="CF765"/>
  <c r="CH765"/>
  <c r="BL766"/>
  <c r="BN766"/>
  <c r="BP766"/>
  <c r="BR766"/>
  <c r="BT766"/>
  <c r="BX766"/>
  <c r="CW766" s="1"/>
  <c r="BZ766"/>
  <c r="CB766"/>
  <c r="CD766"/>
  <c r="CF766"/>
  <c r="CH766"/>
  <c r="BL767"/>
  <c r="BN767"/>
  <c r="BP767"/>
  <c r="BR767"/>
  <c r="BT767"/>
  <c r="BX767"/>
  <c r="BZ767"/>
  <c r="CW767" s="1"/>
  <c r="CB767"/>
  <c r="CD767"/>
  <c r="CF767"/>
  <c r="CH767"/>
  <c r="BL768"/>
  <c r="BN768"/>
  <c r="BP768"/>
  <c r="BR768"/>
  <c r="BT768"/>
  <c r="BX768"/>
  <c r="BZ768"/>
  <c r="CW768" s="1"/>
  <c r="CB768"/>
  <c r="CD768"/>
  <c r="CF768"/>
  <c r="CH768"/>
  <c r="BL769"/>
  <c r="BN769"/>
  <c r="BP769"/>
  <c r="BR769"/>
  <c r="BT769"/>
  <c r="BX769"/>
  <c r="CW769" s="1"/>
  <c r="BZ769"/>
  <c r="CB769"/>
  <c r="CD769"/>
  <c r="CF769"/>
  <c r="CH769"/>
  <c r="BL770"/>
  <c r="BN770"/>
  <c r="BP770"/>
  <c r="BR770"/>
  <c r="BT770"/>
  <c r="BX770"/>
  <c r="CW770" s="1"/>
  <c r="BZ770"/>
  <c r="CB770"/>
  <c r="CD770"/>
  <c r="CF770"/>
  <c r="CH770"/>
  <c r="BL771"/>
  <c r="BN771"/>
  <c r="BP771"/>
  <c r="BR771"/>
  <c r="BT771"/>
  <c r="BX771"/>
  <c r="BZ771"/>
  <c r="CW771" s="1"/>
  <c r="CB771"/>
  <c r="CD771"/>
  <c r="CF771"/>
  <c r="CH771"/>
  <c r="BL772"/>
  <c r="BN772"/>
  <c r="BP772"/>
  <c r="BR772"/>
  <c r="BT772"/>
  <c r="BX772"/>
  <c r="BZ772"/>
  <c r="CW772" s="1"/>
  <c r="CB772"/>
  <c r="CD772"/>
  <c r="CF772"/>
  <c r="CH772"/>
  <c r="BL773"/>
  <c r="BN773"/>
  <c r="BP773"/>
  <c r="BR773"/>
  <c r="BT773"/>
  <c r="BX773"/>
  <c r="CW773" s="1"/>
  <c r="BZ773"/>
  <c r="CB773"/>
  <c r="CD773"/>
  <c r="CF773"/>
  <c r="CH773"/>
  <c r="BL774"/>
  <c r="BN774"/>
  <c r="BP774"/>
  <c r="BR774"/>
  <c r="BT774"/>
  <c r="BX774"/>
  <c r="CW774" s="1"/>
  <c r="BZ774"/>
  <c r="CB774"/>
  <c r="CD774"/>
  <c r="CF774"/>
  <c r="CH774"/>
  <c r="BL775"/>
  <c r="BN775"/>
  <c r="BP775"/>
  <c r="BR775"/>
  <c r="BT775"/>
  <c r="BX775"/>
  <c r="BZ775"/>
  <c r="CW775" s="1"/>
  <c r="CB775"/>
  <c r="CD775"/>
  <c r="CF775"/>
  <c r="CH775"/>
  <c r="BL776"/>
  <c r="BN776"/>
  <c r="BP776"/>
  <c r="BR776"/>
  <c r="BT776"/>
  <c r="BX776"/>
  <c r="BZ776"/>
  <c r="CW776" s="1"/>
  <c r="CB776"/>
  <c r="CD776"/>
  <c r="CF776"/>
  <c r="CH776"/>
  <c r="BL777"/>
  <c r="BN777"/>
  <c r="BP777"/>
  <c r="BR777"/>
  <c r="BT777"/>
  <c r="BX777"/>
  <c r="CW777" s="1"/>
  <c r="BZ777"/>
  <c r="CB777"/>
  <c r="CD777"/>
  <c r="CF777"/>
  <c r="CH777"/>
  <c r="BL778"/>
  <c r="BN778"/>
  <c r="BP778"/>
  <c r="BR778"/>
  <c r="BT778"/>
  <c r="BX778"/>
  <c r="CW778" s="1"/>
  <c r="BZ778"/>
  <c r="CB778"/>
  <c r="CD778"/>
  <c r="CF778"/>
  <c r="CH778"/>
  <c r="BL779"/>
  <c r="BN779"/>
  <c r="BP779"/>
  <c r="BR779"/>
  <c r="BT779"/>
  <c r="BX779"/>
  <c r="BZ779"/>
  <c r="CW779" s="1"/>
  <c r="CB779"/>
  <c r="CD779"/>
  <c r="CF779"/>
  <c r="CH779"/>
  <c r="BL780"/>
  <c r="BN780"/>
  <c r="BP780"/>
  <c r="BR780"/>
  <c r="BT780"/>
  <c r="BX780"/>
  <c r="BZ780"/>
  <c r="CW780" s="1"/>
  <c r="CB780"/>
  <c r="CD780"/>
  <c r="CF780"/>
  <c r="CH780"/>
  <c r="BL781"/>
  <c r="BN781"/>
  <c r="BP781"/>
  <c r="BR781"/>
  <c r="BT781"/>
  <c r="BX781"/>
  <c r="CW781" s="1"/>
  <c r="BZ781"/>
  <c r="CB781"/>
  <c r="CD781"/>
  <c r="CF781"/>
  <c r="CH781"/>
  <c r="BL782"/>
  <c r="BN782"/>
  <c r="BP782"/>
  <c r="BR782"/>
  <c r="BT782"/>
  <c r="BX782"/>
  <c r="CW782" s="1"/>
  <c r="BZ782"/>
  <c r="CB782"/>
  <c r="CD782"/>
  <c r="CF782"/>
  <c r="CH782"/>
  <c r="BL783"/>
  <c r="BN783"/>
  <c r="BP783"/>
  <c r="BR783"/>
  <c r="BT783"/>
  <c r="BX783"/>
  <c r="BZ783"/>
  <c r="CW783" s="1"/>
  <c r="CB783"/>
  <c r="CD783"/>
  <c r="CF783"/>
  <c r="CH783"/>
  <c r="BL784"/>
  <c r="BN784"/>
  <c r="BP784"/>
  <c r="BR784"/>
  <c r="BT784"/>
  <c r="BX784"/>
  <c r="BZ784"/>
  <c r="CW784" s="1"/>
  <c r="CB784"/>
  <c r="CD784"/>
  <c r="CF784"/>
  <c r="CH784"/>
  <c r="BL785"/>
  <c r="BN785"/>
  <c r="BP785"/>
  <c r="BR785"/>
  <c r="BT785"/>
  <c r="BX785"/>
  <c r="CW785" s="1"/>
  <c r="BZ785"/>
  <c r="CB785"/>
  <c r="CD785"/>
  <c r="CF785"/>
  <c r="CH785"/>
  <c r="BL786"/>
  <c r="BN786"/>
  <c r="BP786"/>
  <c r="BR786"/>
  <c r="BT786"/>
  <c r="BX786"/>
  <c r="CW786" s="1"/>
  <c r="BZ786"/>
  <c r="CB786"/>
  <c r="CD786"/>
  <c r="CF786"/>
  <c r="CH786"/>
  <c r="BL787"/>
  <c r="BN787"/>
  <c r="BP787"/>
  <c r="BR787"/>
  <c r="BT787"/>
  <c r="BX787"/>
  <c r="BZ787"/>
  <c r="CW787" s="1"/>
  <c r="CB787"/>
  <c r="CD787"/>
  <c r="CF787"/>
  <c r="CH787"/>
  <c r="BL788"/>
  <c r="BN788"/>
  <c r="BP788"/>
  <c r="BR788"/>
  <c r="BT788"/>
  <c r="BX788"/>
  <c r="BZ788"/>
  <c r="CW788" s="1"/>
  <c r="CB788"/>
  <c r="CD788"/>
  <c r="CF788"/>
  <c r="CH788"/>
  <c r="BL789"/>
  <c r="BN789"/>
  <c r="BP789"/>
  <c r="BR789"/>
  <c r="BT789"/>
  <c r="BX789"/>
  <c r="CW789" s="1"/>
  <c r="BZ789"/>
  <c r="CB789"/>
  <c r="CD789"/>
  <c r="CF789"/>
  <c r="CH789"/>
  <c r="BL790"/>
  <c r="BN790"/>
  <c r="BP790"/>
  <c r="BR790"/>
  <c r="BT790"/>
  <c r="BX790"/>
  <c r="CW790" s="1"/>
  <c r="BZ790"/>
  <c r="CB790"/>
  <c r="CD790"/>
  <c r="CF790"/>
  <c r="CH790"/>
  <c r="BL791"/>
  <c r="BN791"/>
  <c r="BP791"/>
  <c r="BR791"/>
  <c r="BT791"/>
  <c r="BX791"/>
  <c r="BZ791"/>
  <c r="CW791" s="1"/>
  <c r="CB791"/>
  <c r="CD791"/>
  <c r="CF791"/>
  <c r="CH791"/>
  <c r="BL792"/>
  <c r="BN792"/>
  <c r="BP792"/>
  <c r="BR792"/>
  <c r="BT792"/>
  <c r="BX792"/>
  <c r="BZ792"/>
  <c r="CW792" s="1"/>
  <c r="CB792"/>
  <c r="CD792"/>
  <c r="CF792"/>
  <c r="CH792"/>
  <c r="BL793"/>
  <c r="BN793"/>
  <c r="BP793"/>
  <c r="BR793"/>
  <c r="BT793"/>
  <c r="BX793"/>
  <c r="CW793" s="1"/>
  <c r="BZ793"/>
  <c r="CB793"/>
  <c r="CD793"/>
  <c r="CF793"/>
  <c r="CH793"/>
  <c r="BL794"/>
  <c r="BN794"/>
  <c r="BP794"/>
  <c r="BR794"/>
  <c r="BT794"/>
  <c r="BX794"/>
  <c r="CW794" s="1"/>
  <c r="BZ794"/>
  <c r="CB794"/>
  <c r="CD794"/>
  <c r="CF794"/>
  <c r="CH794"/>
  <c r="BL795"/>
  <c r="BN795"/>
  <c r="BP795"/>
  <c r="BR795"/>
  <c r="BT795"/>
  <c r="BX795"/>
  <c r="BZ795"/>
  <c r="CW795" s="1"/>
  <c r="CB795"/>
  <c r="CD795"/>
  <c r="CF795"/>
  <c r="CH795"/>
  <c r="BL796"/>
  <c r="BN796"/>
  <c r="BP796"/>
  <c r="BR796"/>
  <c r="BT796"/>
  <c r="BX796"/>
  <c r="BZ796"/>
  <c r="CW796" s="1"/>
  <c r="CB796"/>
  <c r="CD796"/>
  <c r="CF796"/>
  <c r="CH796"/>
  <c r="BL797"/>
  <c r="BN797"/>
  <c r="BP797"/>
  <c r="BR797"/>
  <c r="BT797"/>
  <c r="BX797"/>
  <c r="CW797" s="1"/>
  <c r="BZ797"/>
  <c r="CB797"/>
  <c r="CD797"/>
  <c r="CF797"/>
  <c r="CH797"/>
  <c r="BL798"/>
  <c r="BN798"/>
  <c r="BP798"/>
  <c r="BR798"/>
  <c r="BT798"/>
  <c r="BX798"/>
  <c r="CW798" s="1"/>
  <c r="BZ798"/>
  <c r="CB798"/>
  <c r="CD798"/>
  <c r="CF798"/>
  <c r="CH798"/>
  <c r="BL799"/>
  <c r="BN799"/>
  <c r="BP799"/>
  <c r="BR799"/>
  <c r="BT799"/>
  <c r="BX799"/>
  <c r="BZ799"/>
  <c r="CW799" s="1"/>
  <c r="CB799"/>
  <c r="CD799"/>
  <c r="CF799"/>
  <c r="CH799"/>
  <c r="BL800"/>
  <c r="BN800"/>
  <c r="BP800"/>
  <c r="BR800"/>
  <c r="BT800"/>
  <c r="BX800"/>
  <c r="BZ800"/>
  <c r="CW800" s="1"/>
  <c r="CB800"/>
  <c r="CD800"/>
  <c r="CF800"/>
  <c r="CH800"/>
  <c r="BL801"/>
  <c r="BN801"/>
  <c r="BP801"/>
  <c r="BR801"/>
  <c r="BT801"/>
  <c r="BX801"/>
  <c r="CW801" s="1"/>
  <c r="BZ801"/>
  <c r="CB801"/>
  <c r="CD801"/>
  <c r="CF801"/>
  <c r="CH801"/>
  <c r="BL802"/>
  <c r="BN802"/>
  <c r="BP802"/>
  <c r="BR802"/>
  <c r="BT802"/>
  <c r="BX802"/>
  <c r="CW802" s="1"/>
  <c r="BZ802"/>
  <c r="CB802"/>
  <c r="CD802"/>
  <c r="CF802"/>
  <c r="CH802"/>
  <c r="BL803"/>
  <c r="BN803"/>
  <c r="BP803"/>
  <c r="BR803"/>
  <c r="BT803"/>
  <c r="BX803"/>
  <c r="BZ803"/>
  <c r="CW803" s="1"/>
  <c r="CB803"/>
  <c r="CD803"/>
  <c r="CF803"/>
  <c r="CH803"/>
  <c r="BL804"/>
  <c r="BN804"/>
  <c r="BP804"/>
  <c r="BR804"/>
  <c r="BT804"/>
  <c r="BX804"/>
  <c r="BZ804"/>
  <c r="CW804" s="1"/>
  <c r="CB804"/>
  <c r="CD804"/>
  <c r="CF804"/>
  <c r="CH804"/>
  <c r="BL805"/>
  <c r="BN805"/>
  <c r="BP805"/>
  <c r="BR805"/>
  <c r="BT805"/>
  <c r="BX805"/>
  <c r="CW805" s="1"/>
  <c r="BZ805"/>
  <c r="CB805"/>
  <c r="CD805"/>
  <c r="CF805"/>
  <c r="CH805"/>
  <c r="BL806"/>
  <c r="BN806"/>
  <c r="BP806"/>
  <c r="BR806"/>
  <c r="BT806"/>
  <c r="BX806"/>
  <c r="CW806" s="1"/>
  <c r="BZ806"/>
  <c r="CB806"/>
  <c r="CD806"/>
  <c r="CF806"/>
  <c r="CH806"/>
  <c r="BL807"/>
  <c r="BN807"/>
  <c r="BP807"/>
  <c r="BR807"/>
  <c r="BT807"/>
  <c r="BX807"/>
  <c r="BZ807"/>
  <c r="CW807" s="1"/>
  <c r="CB807"/>
  <c r="CD807"/>
  <c r="CF807"/>
  <c r="CH807"/>
  <c r="BL808"/>
  <c r="BN808"/>
  <c r="BP808"/>
  <c r="BR808"/>
  <c r="BT808"/>
  <c r="BX808"/>
  <c r="BZ808"/>
  <c r="CW808" s="1"/>
  <c r="CB808"/>
  <c r="CD808"/>
  <c r="CF808"/>
  <c r="CH808"/>
  <c r="BL809"/>
  <c r="BN809"/>
  <c r="BP809"/>
  <c r="BR809"/>
  <c r="BT809"/>
  <c r="BX809"/>
  <c r="CW809" s="1"/>
  <c r="BZ809"/>
  <c r="CB809"/>
  <c r="CD809"/>
  <c r="CF809"/>
  <c r="CH809"/>
  <c r="BL810"/>
  <c r="BN810"/>
  <c r="BP810"/>
  <c r="BR810"/>
  <c r="BT810"/>
  <c r="BX810"/>
  <c r="CW810" s="1"/>
  <c r="BZ810"/>
  <c r="CB810"/>
  <c r="CD810"/>
  <c r="CF810"/>
  <c r="CH810"/>
  <c r="BL811"/>
  <c r="BN811"/>
  <c r="BP811"/>
  <c r="BR811"/>
  <c r="BT811"/>
  <c r="BZ811"/>
  <c r="CB811"/>
  <c r="CW811" s="1"/>
  <c r="CD811"/>
  <c r="CF811"/>
  <c r="CH811"/>
  <c r="BL812"/>
  <c r="BN812"/>
  <c r="BP812"/>
  <c r="BR812"/>
  <c r="BT812"/>
  <c r="CB812"/>
  <c r="CW812" s="1"/>
  <c r="CD812"/>
  <c r="CF812"/>
  <c r="CH812"/>
  <c r="BL813"/>
  <c r="BN813"/>
  <c r="BP813"/>
  <c r="BR813"/>
  <c r="BT813"/>
  <c r="CD813"/>
  <c r="CW813" s="1"/>
  <c r="CF813"/>
  <c r="CH813"/>
  <c r="BL814"/>
  <c r="BN814"/>
  <c r="BP814"/>
  <c r="BR814"/>
  <c r="BT814"/>
  <c r="CF814"/>
  <c r="CW814" s="1"/>
  <c r="CH814"/>
  <c r="BL815"/>
  <c r="BN815"/>
  <c r="BP815"/>
  <c r="BR815"/>
  <c r="BT815"/>
  <c r="CH815"/>
  <c r="CX815"/>
  <c r="BL816"/>
  <c r="BN816"/>
  <c r="BP816"/>
  <c r="BR816"/>
  <c r="BT816"/>
  <c r="CX816"/>
  <c r="BL817"/>
  <c r="BN817"/>
  <c r="BP817"/>
  <c r="BR817"/>
  <c r="BT817"/>
  <c r="CX817"/>
  <c r="BW818"/>
  <c r="CW818" s="1"/>
  <c r="CT818" s="1"/>
  <c r="BS818"/>
  <c r="BU818"/>
  <c r="BL818"/>
  <c r="CX818"/>
  <c r="BW819"/>
  <c r="BN819"/>
  <c r="BR819"/>
  <c r="BZ819"/>
  <c r="CD819"/>
  <c r="CH819"/>
  <c r="BL820"/>
  <c r="BP820"/>
  <c r="BT820"/>
  <c r="BX820"/>
  <c r="CB820"/>
  <c r="CF820"/>
  <c r="BW821"/>
  <c r="CW871"/>
  <c r="CT871" s="1"/>
  <c r="CS871" s="1"/>
  <c r="CW873"/>
  <c r="CT873" s="1"/>
  <c r="CS873" s="1"/>
  <c r="CW875"/>
  <c r="CT875" s="1"/>
  <c r="CS875" s="1"/>
  <c r="CR875" s="1"/>
  <c r="CQ875" s="1"/>
  <c r="CP875" s="1"/>
  <c r="CO875" s="1"/>
  <c r="CN875" s="1"/>
  <c r="CM875" s="1"/>
  <c r="CL875" s="1"/>
  <c r="CK875" s="1"/>
  <c r="CW877"/>
  <c r="CT877" s="1"/>
  <c r="CS877" s="1"/>
  <c r="CR877" s="1"/>
  <c r="CQ877" s="1"/>
  <c r="CP877" s="1"/>
  <c r="CO877" s="1"/>
  <c r="CN877" s="1"/>
  <c r="CM877" s="1"/>
  <c r="CL877" s="1"/>
  <c r="CK877" s="1"/>
  <c r="CW879"/>
  <c r="CW881"/>
  <c r="CW882"/>
  <c r="BW820"/>
  <c r="BN820"/>
  <c r="BR820"/>
  <c r="BZ820"/>
  <c r="CD820"/>
  <c r="CH820"/>
  <c r="CW870"/>
  <c r="CT870" s="1"/>
  <c r="CS870" s="1"/>
  <c r="CW872"/>
  <c r="CT872" s="1"/>
  <c r="CS872" s="1"/>
  <c r="CW874"/>
  <c r="CT874" s="1"/>
  <c r="CS874" s="1"/>
  <c r="CW876"/>
  <c r="CT876" s="1"/>
  <c r="CS876" s="1"/>
  <c r="CR876" s="1"/>
  <c r="CQ876" s="1"/>
  <c r="CP876" s="1"/>
  <c r="CO876" s="1"/>
  <c r="CN876" s="1"/>
  <c r="CM876" s="1"/>
  <c r="CL876" s="1"/>
  <c r="CK876" s="1"/>
  <c r="CW878"/>
  <c r="CT878" s="1"/>
  <c r="CS878" s="1"/>
  <c r="CR878" s="1"/>
  <c r="CQ878" s="1"/>
  <c r="CP878" s="1"/>
  <c r="CO878" s="1"/>
  <c r="CN878" s="1"/>
  <c r="CM878" s="1"/>
  <c r="CL878" s="1"/>
  <c r="CK878" s="1"/>
  <c r="CW880"/>
  <c r="BL821"/>
  <c r="BN821"/>
  <c r="BP821"/>
  <c r="BR821"/>
  <c r="BT821"/>
  <c r="CH821"/>
  <c r="BL822"/>
  <c r="BN822"/>
  <c r="BP822"/>
  <c r="BR822"/>
  <c r="BT822"/>
  <c r="BX822"/>
  <c r="BZ822"/>
  <c r="CW822" s="1"/>
  <c r="CB822"/>
  <c r="CD822"/>
  <c r="CF822"/>
  <c r="CH822"/>
  <c r="BL823"/>
  <c r="BN823"/>
  <c r="BP823"/>
  <c r="BR823"/>
  <c r="BT823"/>
  <c r="BX823"/>
  <c r="BZ823"/>
  <c r="CW823" s="1"/>
  <c r="CB823"/>
  <c r="CD823"/>
  <c r="CF823"/>
  <c r="CH823"/>
  <c r="BL824"/>
  <c r="BN824"/>
  <c r="BP824"/>
  <c r="BR824"/>
  <c r="BT824"/>
  <c r="BX824"/>
  <c r="CW824" s="1"/>
  <c r="BZ824"/>
  <c r="CB824"/>
  <c r="CD824"/>
  <c r="CF824"/>
  <c r="CH824"/>
  <c r="BL825"/>
  <c r="BN825"/>
  <c r="BP825"/>
  <c r="BR825"/>
  <c r="BT825"/>
  <c r="BX825"/>
  <c r="CW825" s="1"/>
  <c r="BZ825"/>
  <c r="CB825"/>
  <c r="CD825"/>
  <c r="CF825"/>
  <c r="CH825"/>
  <c r="BL826"/>
  <c r="BN826"/>
  <c r="BP826"/>
  <c r="BR826"/>
  <c r="BT826"/>
  <c r="BX826"/>
  <c r="BZ826"/>
  <c r="CW826" s="1"/>
  <c r="CB826"/>
  <c r="CD826"/>
  <c r="CF826"/>
  <c r="CH826"/>
  <c r="BL827"/>
  <c r="BN827"/>
  <c r="BP827"/>
  <c r="BR827"/>
  <c r="BT827"/>
  <c r="BX827"/>
  <c r="BZ827"/>
  <c r="CW827" s="1"/>
  <c r="CB827"/>
  <c r="CD827"/>
  <c r="CF827"/>
  <c r="CH827"/>
  <c r="BL828"/>
  <c r="BN828"/>
  <c r="BP828"/>
  <c r="BR828"/>
  <c r="BT828"/>
  <c r="BX828"/>
  <c r="CW828" s="1"/>
  <c r="BZ828"/>
  <c r="CB828"/>
  <c r="CD828"/>
  <c r="CF828"/>
  <c r="CH828"/>
  <c r="BL829"/>
  <c r="BN829"/>
  <c r="BP829"/>
  <c r="BR829"/>
  <c r="BT829"/>
  <c r="BX829"/>
  <c r="CW829" s="1"/>
  <c r="BZ829"/>
  <c r="CB829"/>
  <c r="CD829"/>
  <c r="CF829"/>
  <c r="CH829"/>
  <c r="BL830"/>
  <c r="BN830"/>
  <c r="BP830"/>
  <c r="BR830"/>
  <c r="BT830"/>
  <c r="BX830"/>
  <c r="BZ830"/>
  <c r="CW830" s="1"/>
  <c r="CB830"/>
  <c r="CD830"/>
  <c r="CF830"/>
  <c r="CH830"/>
  <c r="BL831"/>
  <c r="BN831"/>
  <c r="BP831"/>
  <c r="BR831"/>
  <c r="BT831"/>
  <c r="BX831"/>
  <c r="BZ831"/>
  <c r="CW831" s="1"/>
  <c r="CB831"/>
  <c r="CD831"/>
  <c r="CF831"/>
  <c r="CH831"/>
  <c r="BL832"/>
  <c r="BN832"/>
  <c r="BP832"/>
  <c r="BR832"/>
  <c r="BT832"/>
  <c r="BX832"/>
  <c r="CW832" s="1"/>
  <c r="BZ832"/>
  <c r="CB832"/>
  <c r="CD832"/>
  <c r="CF832"/>
  <c r="CH832"/>
  <c r="BL833"/>
  <c r="BN833"/>
  <c r="BP833"/>
  <c r="BR833"/>
  <c r="BT833"/>
  <c r="BX833"/>
  <c r="CW833" s="1"/>
  <c r="BZ833"/>
  <c r="CB833"/>
  <c r="CD833"/>
  <c r="CF833"/>
  <c r="CH833"/>
  <c r="BL834"/>
  <c r="BN834"/>
  <c r="BP834"/>
  <c r="BR834"/>
  <c r="BT834"/>
  <c r="BX834"/>
  <c r="BZ834"/>
  <c r="CW834" s="1"/>
  <c r="CB834"/>
  <c r="CD834"/>
  <c r="CF834"/>
  <c r="CH834"/>
  <c r="BL835"/>
  <c r="BN835"/>
  <c r="BP835"/>
  <c r="BR835"/>
  <c r="BT835"/>
  <c r="BX835"/>
  <c r="BZ835"/>
  <c r="CW835" s="1"/>
  <c r="CB835"/>
  <c r="CD835"/>
  <c r="CF835"/>
  <c r="CH835"/>
  <c r="BL836"/>
  <c r="BN836"/>
  <c r="BP836"/>
  <c r="BR836"/>
  <c r="BT836"/>
  <c r="BX836"/>
  <c r="CW836" s="1"/>
  <c r="BZ836"/>
  <c r="CB836"/>
  <c r="CD836"/>
  <c r="CF836"/>
  <c r="CH836"/>
  <c r="BL837"/>
  <c r="BN837"/>
  <c r="BP837"/>
  <c r="BR837"/>
  <c r="BT837"/>
  <c r="BX837"/>
  <c r="CW837" s="1"/>
  <c r="BZ837"/>
  <c r="CB837"/>
  <c r="CD837"/>
  <c r="CF837"/>
  <c r="CH837"/>
  <c r="BL838"/>
  <c r="BN838"/>
  <c r="BP838"/>
  <c r="BR838"/>
  <c r="BT838"/>
  <c r="BX838"/>
  <c r="BZ838"/>
  <c r="CW838" s="1"/>
  <c r="CB838"/>
  <c r="CD838"/>
  <c r="CF838"/>
  <c r="CH838"/>
  <c r="BL839"/>
  <c r="BN839"/>
  <c r="BP839"/>
  <c r="BR839"/>
  <c r="BT839"/>
  <c r="BX839"/>
  <c r="BZ839"/>
  <c r="CW839" s="1"/>
  <c r="CB839"/>
  <c r="CD839"/>
  <c r="CF839"/>
  <c r="CH839"/>
  <c r="BL840"/>
  <c r="BN840"/>
  <c r="BP840"/>
  <c r="BR840"/>
  <c r="BT840"/>
  <c r="BX840"/>
  <c r="CW840" s="1"/>
  <c r="BZ840"/>
  <c r="CB840"/>
  <c r="CD840"/>
  <c r="CF840"/>
  <c r="CH840"/>
  <c r="BL841"/>
  <c r="BN841"/>
  <c r="BP841"/>
  <c r="BR841"/>
  <c r="BT841"/>
  <c r="BX841"/>
  <c r="CW841" s="1"/>
  <c r="BZ841"/>
  <c r="CB841"/>
  <c r="CD841"/>
  <c r="CF841"/>
  <c r="CH841"/>
  <c r="BL842"/>
  <c r="BN842"/>
  <c r="BP842"/>
  <c r="BR842"/>
  <c r="BT842"/>
  <c r="BX842"/>
  <c r="BZ842"/>
  <c r="CW842" s="1"/>
  <c r="CB842"/>
  <c r="CD842"/>
  <c r="CF842"/>
  <c r="CH842"/>
  <c r="BL843"/>
  <c r="BN843"/>
  <c r="BP843"/>
  <c r="BR843"/>
  <c r="BT843"/>
  <c r="BX843"/>
  <c r="BZ843"/>
  <c r="CW843" s="1"/>
  <c r="CB843"/>
  <c r="CD843"/>
  <c r="CF843"/>
  <c r="CH843"/>
  <c r="BL844"/>
  <c r="BN844"/>
  <c r="BP844"/>
  <c r="BR844"/>
  <c r="BT844"/>
  <c r="BX844"/>
  <c r="CW844" s="1"/>
  <c r="BZ844"/>
  <c r="CB844"/>
  <c r="CD844"/>
  <c r="CF844"/>
  <c r="CH844"/>
  <c r="BL845"/>
  <c r="BN845"/>
  <c r="BP845"/>
  <c r="BR845"/>
  <c r="BT845"/>
  <c r="BX845"/>
  <c r="CW845" s="1"/>
  <c r="BZ845"/>
  <c r="CB845"/>
  <c r="CD845"/>
  <c r="CF845"/>
  <c r="CH845"/>
  <c r="BL846"/>
  <c r="BN846"/>
  <c r="BP846"/>
  <c r="BR846"/>
  <c r="BT846"/>
  <c r="BX846"/>
  <c r="BZ846"/>
  <c r="CW846" s="1"/>
  <c r="CB846"/>
  <c r="CD846"/>
  <c r="CF846"/>
  <c r="CH846"/>
  <c r="BL847"/>
  <c r="BN847"/>
  <c r="BP847"/>
  <c r="BR847"/>
  <c r="BT847"/>
  <c r="BX847"/>
  <c r="BZ847"/>
  <c r="CW847" s="1"/>
  <c r="CB847"/>
  <c r="CD847"/>
  <c r="CF847"/>
  <c r="CH847"/>
  <c r="BL848"/>
  <c r="BN848"/>
  <c r="BP848"/>
  <c r="BR848"/>
  <c r="BT848"/>
  <c r="BX848"/>
  <c r="CW848" s="1"/>
  <c r="BZ848"/>
  <c r="CB848"/>
  <c r="CD848"/>
  <c r="CF848"/>
  <c r="CH848"/>
  <c r="BL849"/>
  <c r="BN849"/>
  <c r="BP849"/>
  <c r="BR849"/>
  <c r="BT849"/>
  <c r="BX849"/>
  <c r="CW849" s="1"/>
  <c r="BZ849"/>
  <c r="CB849"/>
  <c r="CD849"/>
  <c r="CF849"/>
  <c r="CH849"/>
  <c r="BL850"/>
  <c r="BN850"/>
  <c r="BP850"/>
  <c r="BR850"/>
  <c r="BT850"/>
  <c r="BX850"/>
  <c r="BZ850"/>
  <c r="CW850" s="1"/>
  <c r="CB850"/>
  <c r="CD850"/>
  <c r="CF850"/>
  <c r="CH850"/>
  <c r="BL851"/>
  <c r="BN851"/>
  <c r="BP851"/>
  <c r="BR851"/>
  <c r="BT851"/>
  <c r="BX851"/>
  <c r="BZ851"/>
  <c r="CW851" s="1"/>
  <c r="CB851"/>
  <c r="CD851"/>
  <c r="CF851"/>
  <c r="CH851"/>
  <c r="BL852"/>
  <c r="BN852"/>
  <c r="BP852"/>
  <c r="BR852"/>
  <c r="BT852"/>
  <c r="BX852"/>
  <c r="CW852" s="1"/>
  <c r="BZ852"/>
  <c r="CB852"/>
  <c r="CD852"/>
  <c r="CF852"/>
  <c r="CH852"/>
  <c r="BL853"/>
  <c r="BN853"/>
  <c r="BP853"/>
  <c r="BR853"/>
  <c r="BT853"/>
  <c r="BX853"/>
  <c r="CW853" s="1"/>
  <c r="BZ853"/>
  <c r="CB853"/>
  <c r="CD853"/>
  <c r="CF853"/>
  <c r="CH853"/>
  <c r="BL854"/>
  <c r="BN854"/>
  <c r="BP854"/>
  <c r="BR854"/>
  <c r="BT854"/>
  <c r="BX854"/>
  <c r="BZ854"/>
  <c r="CW854" s="1"/>
  <c r="CB854"/>
  <c r="CD854"/>
  <c r="CF854"/>
  <c r="CH854"/>
  <c r="BL855"/>
  <c r="BN855"/>
  <c r="BP855"/>
  <c r="BR855"/>
  <c r="BT855"/>
  <c r="BX855"/>
  <c r="BZ855"/>
  <c r="CW855" s="1"/>
  <c r="CB855"/>
  <c r="CD855"/>
  <c r="CF855"/>
  <c r="CH855"/>
  <c r="BL856"/>
  <c r="BN856"/>
  <c r="BP856"/>
  <c r="BR856"/>
  <c r="BT856"/>
  <c r="BX856"/>
  <c r="CW856" s="1"/>
  <c r="BZ856"/>
  <c r="CB856"/>
  <c r="CD856"/>
  <c r="CF856"/>
  <c r="CH856"/>
  <c r="BL857"/>
  <c r="BN857"/>
  <c r="BP857"/>
  <c r="BR857"/>
  <c r="BT857"/>
  <c r="BX857"/>
  <c r="CW857" s="1"/>
  <c r="BZ857"/>
  <c r="CB857"/>
  <c r="CD857"/>
  <c r="CF857"/>
  <c r="CH857"/>
  <c r="BL858"/>
  <c r="BN858"/>
  <c r="BP858"/>
  <c r="BR858"/>
  <c r="BT858"/>
  <c r="BX858"/>
  <c r="BZ858"/>
  <c r="CW858" s="1"/>
  <c r="CB858"/>
  <c r="CD858"/>
  <c r="CF858"/>
  <c r="CH858"/>
  <c r="BL859"/>
  <c r="BN859"/>
  <c r="BP859"/>
  <c r="BR859"/>
  <c r="BT859"/>
  <c r="BX859"/>
  <c r="BZ859"/>
  <c r="CW859" s="1"/>
  <c r="CB859"/>
  <c r="CD859"/>
  <c r="CF859"/>
  <c r="CH859"/>
  <c r="BL860"/>
  <c r="BN860"/>
  <c r="BP860"/>
  <c r="BR860"/>
  <c r="BT860"/>
  <c r="BX860"/>
  <c r="CW860" s="1"/>
  <c r="BZ860"/>
  <c r="CB860"/>
  <c r="CD860"/>
  <c r="CF860"/>
  <c r="CH860"/>
  <c r="BL861"/>
  <c r="BN861"/>
  <c r="BP861"/>
  <c r="BR861"/>
  <c r="BT861"/>
  <c r="BX861"/>
  <c r="CW861" s="1"/>
  <c r="BZ861"/>
  <c r="CB861"/>
  <c r="CD861"/>
  <c r="CF861"/>
  <c r="CH861"/>
  <c r="BL862"/>
  <c r="BN862"/>
  <c r="BP862"/>
  <c r="BR862"/>
  <c r="BT862"/>
  <c r="BX862"/>
  <c r="BZ862"/>
  <c r="CW862" s="1"/>
  <c r="CB862"/>
  <c r="CD862"/>
  <c r="CF862"/>
  <c r="CH862"/>
  <c r="BL863"/>
  <c r="BN863"/>
  <c r="BP863"/>
  <c r="BR863"/>
  <c r="BT863"/>
  <c r="BX863"/>
  <c r="BZ863"/>
  <c r="CW863" s="1"/>
  <c r="CB863"/>
  <c r="CD863"/>
  <c r="CF863"/>
  <c r="CH863"/>
  <c r="BL864"/>
  <c r="BN864"/>
  <c r="BP864"/>
  <c r="BR864"/>
  <c r="BT864"/>
  <c r="BX864"/>
  <c r="CW864" s="1"/>
  <c r="BZ864"/>
  <c r="CB864"/>
  <c r="CD864"/>
  <c r="CF864"/>
  <c r="CH864"/>
  <c r="BL865"/>
  <c r="BN865"/>
  <c r="BP865"/>
  <c r="BR865"/>
  <c r="BT865"/>
  <c r="BX865"/>
  <c r="CW865" s="1"/>
  <c r="BZ865"/>
  <c r="CB865"/>
  <c r="CD865"/>
  <c r="CF865"/>
  <c r="CH865"/>
  <c r="BL866"/>
  <c r="BN866"/>
  <c r="BP866"/>
  <c r="BR866"/>
  <c r="BT866"/>
  <c r="CB866"/>
  <c r="CD866"/>
  <c r="CW866" s="1"/>
  <c r="CF866"/>
  <c r="CH866"/>
  <c r="BL867"/>
  <c r="BN867"/>
  <c r="BP867"/>
  <c r="BR867"/>
  <c r="BT867"/>
  <c r="CD867"/>
  <c r="CF867"/>
  <c r="CW867" s="1"/>
  <c r="CH867"/>
  <c r="BL868"/>
  <c r="BN868"/>
  <c r="BP868"/>
  <c r="BR868"/>
  <c r="BT868"/>
  <c r="CF868"/>
  <c r="CW868" s="1"/>
  <c r="CH868"/>
  <c r="BL869"/>
  <c r="BN869"/>
  <c r="BP869"/>
  <c r="BR869"/>
  <c r="BT869"/>
  <c r="CH869"/>
  <c r="CW869" s="1"/>
  <c r="BL870"/>
  <c r="BN870"/>
  <c r="BP870"/>
  <c r="BR870"/>
  <c r="BT870"/>
  <c r="BL871"/>
  <c r="BN871"/>
  <c r="BP871"/>
  <c r="BR871"/>
  <c r="BT871"/>
  <c r="BL872"/>
  <c r="BN872"/>
  <c r="BP872"/>
  <c r="BR872"/>
  <c r="BT872"/>
  <c r="CX872"/>
  <c r="BL873"/>
  <c r="BP873"/>
  <c r="BR873"/>
  <c r="BT873"/>
  <c r="CX873"/>
  <c r="BL874"/>
  <c r="BT874"/>
  <c r="BL875"/>
  <c r="BL876"/>
  <c r="CX876"/>
  <c r="BL877"/>
  <c r="CX877"/>
  <c r="BL878"/>
  <c r="BV878"/>
  <c r="CX878"/>
  <c r="BL879"/>
  <c r="BR879"/>
  <c r="BT879"/>
  <c r="BV879"/>
  <c r="BL880"/>
  <c r="BP880"/>
  <c r="BR880"/>
  <c r="BT880"/>
  <c r="BV880"/>
  <c r="CX880"/>
  <c r="BL881"/>
  <c r="BN881"/>
  <c r="BP881"/>
  <c r="BR881"/>
  <c r="BT881"/>
  <c r="BV881"/>
  <c r="CX881"/>
  <c r="BL882"/>
  <c r="BN882"/>
  <c r="BP882"/>
  <c r="BR882"/>
  <c r="BT882"/>
  <c r="BV882"/>
  <c r="BX882"/>
  <c r="CX882"/>
  <c r="BL883"/>
  <c r="BN883"/>
  <c r="BP883"/>
  <c r="BR883"/>
  <c r="BT883"/>
  <c r="BV883"/>
  <c r="BX883"/>
  <c r="CH883"/>
  <c r="CW883" s="1"/>
  <c r="BL884"/>
  <c r="BN884"/>
  <c r="BP884"/>
  <c r="BR884"/>
  <c r="BT884"/>
  <c r="BV884"/>
  <c r="BX884"/>
  <c r="CW884" s="1"/>
  <c r="CF884"/>
  <c r="CH884"/>
  <c r="BL885"/>
  <c r="BN885"/>
  <c r="BP885"/>
  <c r="BR885"/>
  <c r="BT885"/>
  <c r="BV885"/>
  <c r="BX885"/>
  <c r="CW885" s="1"/>
  <c r="CB885"/>
  <c r="CD885"/>
  <c r="CF885"/>
  <c r="CH885"/>
  <c r="BL886"/>
  <c r="BN886"/>
  <c r="BP886"/>
  <c r="BR886"/>
  <c r="BT886"/>
  <c r="BV886"/>
  <c r="BX886"/>
  <c r="CW886" s="1"/>
  <c r="BZ886"/>
  <c r="CB886"/>
  <c r="CD886"/>
  <c r="CF886"/>
  <c r="CH886"/>
  <c r="BL887"/>
  <c r="BN887"/>
  <c r="BP887"/>
  <c r="BR887"/>
  <c r="BT887"/>
  <c r="BV887"/>
  <c r="BX887"/>
  <c r="BZ887"/>
  <c r="CW887" s="1"/>
  <c r="CB887"/>
  <c r="CD887"/>
  <c r="CF887"/>
  <c r="CH887"/>
  <c r="BL888"/>
  <c r="BN888"/>
  <c r="BP888"/>
  <c r="BR888"/>
  <c r="BT888"/>
  <c r="BV888"/>
  <c r="BX888"/>
  <c r="CW888" s="1"/>
  <c r="BZ888"/>
  <c r="CB888"/>
  <c r="CD888"/>
  <c r="CF888"/>
  <c r="CH888"/>
  <c r="BL889"/>
  <c r="BN889"/>
  <c r="BP889"/>
  <c r="BR889"/>
  <c r="BT889"/>
  <c r="BV889"/>
  <c r="BX889"/>
  <c r="CW889" s="1"/>
  <c r="BZ889"/>
  <c r="CB889"/>
  <c r="CD889"/>
  <c r="CF889"/>
  <c r="CH889"/>
  <c r="BL890"/>
  <c r="BN890"/>
  <c r="BP890"/>
  <c r="BR890"/>
  <c r="BT890"/>
  <c r="BV890"/>
  <c r="BX890"/>
  <c r="CW890" s="1"/>
  <c r="BZ890"/>
  <c r="CB890"/>
  <c r="CD890"/>
  <c r="CF890"/>
  <c r="CH890"/>
  <c r="BL891"/>
  <c r="BN891"/>
  <c r="BP891"/>
  <c r="BR891"/>
  <c r="BT891"/>
  <c r="BV891"/>
  <c r="BX891"/>
  <c r="BZ891"/>
  <c r="CW891" s="1"/>
  <c r="CB891"/>
  <c r="CD891"/>
  <c r="CF891"/>
  <c r="CH891"/>
  <c r="BL892"/>
  <c r="BN892"/>
  <c r="BP892"/>
  <c r="BR892"/>
  <c r="BT892"/>
  <c r="BV892"/>
  <c r="BX892"/>
  <c r="CW892" s="1"/>
  <c r="BZ892"/>
  <c r="CB892"/>
  <c r="CD892"/>
  <c r="CF892"/>
  <c r="CH892"/>
  <c r="BL893"/>
  <c r="BN893"/>
  <c r="BP893"/>
  <c r="BR893"/>
  <c r="BT893"/>
  <c r="BV893"/>
  <c r="BX893"/>
  <c r="CW893" s="1"/>
  <c r="BZ893"/>
  <c r="CB893"/>
  <c r="CD893"/>
  <c r="CF893"/>
  <c r="CH893"/>
  <c r="BL894"/>
  <c r="BN894"/>
  <c r="BP894"/>
  <c r="BR894"/>
  <c r="BT894"/>
  <c r="BV894"/>
  <c r="BX894"/>
  <c r="CW894" s="1"/>
  <c r="BZ894"/>
  <c r="CB894"/>
  <c r="CD894"/>
  <c r="CF894"/>
  <c r="CH894"/>
  <c r="BL895"/>
  <c r="BN895"/>
  <c r="BP895"/>
  <c r="BR895"/>
  <c r="BT895"/>
  <c r="BV895"/>
  <c r="BX895"/>
  <c r="BZ895"/>
  <c r="CW895" s="1"/>
  <c r="CB895"/>
  <c r="CD895"/>
  <c r="CF895"/>
  <c r="CH895"/>
  <c r="BY896"/>
  <c r="CA896"/>
  <c r="BW896"/>
  <c r="BM896"/>
  <c r="BO896"/>
  <c r="BN896"/>
  <c r="BR896"/>
  <c r="CD896"/>
  <c r="CH896"/>
  <c r="BK897"/>
  <c r="BL897"/>
  <c r="BP897"/>
  <c r="BT897"/>
  <c r="CW919"/>
  <c r="CT919" s="1"/>
  <c r="CW921"/>
  <c r="CT921" s="1"/>
  <c r="CS921" s="1"/>
  <c r="CR921" s="1"/>
  <c r="CW923"/>
  <c r="CT923" s="1"/>
  <c r="CS923" s="1"/>
  <c r="CR923" s="1"/>
  <c r="CQ923" s="1"/>
  <c r="CP923" s="1"/>
  <c r="CO923" s="1"/>
  <c r="CN923" s="1"/>
  <c r="CM923" s="1"/>
  <c r="CL923" s="1"/>
  <c r="CK923" s="1"/>
  <c r="CJ923" s="1"/>
  <c r="CW925"/>
  <c r="CT925" s="1"/>
  <c r="CS925" s="1"/>
  <c r="CR925" s="1"/>
  <c r="CQ925" s="1"/>
  <c r="CP925" s="1"/>
  <c r="CO925" s="1"/>
  <c r="CN925" s="1"/>
  <c r="CM925" s="1"/>
  <c r="CL925" s="1"/>
  <c r="CK925" s="1"/>
  <c r="CJ925" s="1"/>
  <c r="CI925" s="1"/>
  <c r="CW927"/>
  <c r="CT927" s="1"/>
  <c r="CW929"/>
  <c r="CT929" s="1"/>
  <c r="CS929" s="1"/>
  <c r="CR929" s="1"/>
  <c r="BX897"/>
  <c r="BY897"/>
  <c r="BZ897"/>
  <c r="CA897"/>
  <c r="CB897"/>
  <c r="CC897"/>
  <c r="CD897"/>
  <c r="CE897"/>
  <c r="CF897"/>
  <c r="CG897"/>
  <c r="CH897"/>
  <c r="BW897"/>
  <c r="CW897" s="1"/>
  <c r="CT897" s="1"/>
  <c r="CS897" s="1"/>
  <c r="CR897" s="1"/>
  <c r="CQ897" s="1"/>
  <c r="CP897" s="1"/>
  <c r="CO897" s="1"/>
  <c r="CN897" s="1"/>
  <c r="CM897" s="1"/>
  <c r="BK896"/>
  <c r="BV897"/>
  <c r="BN897"/>
  <c r="BR897"/>
  <c r="CW920"/>
  <c r="CT920" s="1"/>
  <c r="CW922"/>
  <c r="CT922" s="1"/>
  <c r="CW924"/>
  <c r="CT924" s="1"/>
  <c r="CS924" s="1"/>
  <c r="CR924" s="1"/>
  <c r="CQ924" s="1"/>
  <c r="CP924" s="1"/>
  <c r="CO924" s="1"/>
  <c r="CN924" s="1"/>
  <c r="CM924" s="1"/>
  <c r="CL924" s="1"/>
  <c r="CK924" s="1"/>
  <c r="CJ924" s="1"/>
  <c r="CW926"/>
  <c r="CT926" s="1"/>
  <c r="CS926" s="1"/>
  <c r="CR926" s="1"/>
  <c r="CQ926" s="1"/>
  <c r="CP926" s="1"/>
  <c r="CO926" s="1"/>
  <c r="CN926" s="1"/>
  <c r="CM926" s="1"/>
  <c r="CL926" s="1"/>
  <c r="CK926" s="1"/>
  <c r="CJ926" s="1"/>
  <c r="CW928"/>
  <c r="CT928" s="1"/>
  <c r="CS928" s="1"/>
  <c r="CR928" s="1"/>
  <c r="CW930"/>
  <c r="CT930" s="1"/>
  <c r="BM898"/>
  <c r="BO898"/>
  <c r="BQ898"/>
  <c r="BS898"/>
  <c r="BU898"/>
  <c r="BW898"/>
  <c r="BY898"/>
  <c r="CA898"/>
  <c r="CC898"/>
  <c r="CE898"/>
  <c r="CG898"/>
  <c r="BM899"/>
  <c r="BO899"/>
  <c r="BQ899"/>
  <c r="BS899"/>
  <c r="BU899"/>
  <c r="BW899"/>
  <c r="BY899"/>
  <c r="CA899"/>
  <c r="CC899"/>
  <c r="CE899"/>
  <c r="CG899"/>
  <c r="BM900"/>
  <c r="BO900"/>
  <c r="BQ900"/>
  <c r="BS900"/>
  <c r="BU900"/>
  <c r="BW900"/>
  <c r="BY900"/>
  <c r="CA900"/>
  <c r="CC900"/>
  <c r="CE900"/>
  <c r="CG900"/>
  <c r="BM901"/>
  <c r="BO901"/>
  <c r="BQ901"/>
  <c r="BS901"/>
  <c r="BU901"/>
  <c r="BW901"/>
  <c r="BY901"/>
  <c r="CA901"/>
  <c r="CC901"/>
  <c r="CE901"/>
  <c r="CG901"/>
  <c r="BM902"/>
  <c r="BO902"/>
  <c r="BQ902"/>
  <c r="BS902"/>
  <c r="BU902"/>
  <c r="BW902"/>
  <c r="BY902"/>
  <c r="CA902"/>
  <c r="CC902"/>
  <c r="CE902"/>
  <c r="CG902"/>
  <c r="BM903"/>
  <c r="BO903"/>
  <c r="BQ903"/>
  <c r="BS903"/>
  <c r="BU903"/>
  <c r="BW903"/>
  <c r="BY903"/>
  <c r="CA903"/>
  <c r="CC903"/>
  <c r="CE903"/>
  <c r="CG903"/>
  <c r="BM904"/>
  <c r="BO904"/>
  <c r="BQ904"/>
  <c r="BS904"/>
  <c r="BU904"/>
  <c r="BW904"/>
  <c r="BY904"/>
  <c r="CA904"/>
  <c r="CC904"/>
  <c r="CE904"/>
  <c r="CG904"/>
  <c r="BM905"/>
  <c r="BO905"/>
  <c r="BQ905"/>
  <c r="BS905"/>
  <c r="BU905"/>
  <c r="BW905"/>
  <c r="BY905"/>
  <c r="CA905"/>
  <c r="CC905"/>
  <c r="CE905"/>
  <c r="CG905"/>
  <c r="BM906"/>
  <c r="BO906"/>
  <c r="BQ906"/>
  <c r="BS906"/>
  <c r="BU906"/>
  <c r="BW906"/>
  <c r="BY906"/>
  <c r="CA906"/>
  <c r="CC906"/>
  <c r="CE906"/>
  <c r="CG906"/>
  <c r="BM907"/>
  <c r="BO907"/>
  <c r="BQ907"/>
  <c r="BS907"/>
  <c r="BU907"/>
  <c r="BW907"/>
  <c r="BY907"/>
  <c r="CA907"/>
  <c r="CC907"/>
  <c r="CE907"/>
  <c r="CG907"/>
  <c r="BM908"/>
  <c r="BO908"/>
  <c r="BQ908"/>
  <c r="BS908"/>
  <c r="BU908"/>
  <c r="BW908"/>
  <c r="BY908"/>
  <c r="CA908"/>
  <c r="CC908"/>
  <c r="CE908"/>
  <c r="CG908"/>
  <c r="BM909"/>
  <c r="BO909"/>
  <c r="BQ909"/>
  <c r="BS909"/>
  <c r="BU909"/>
  <c r="BW909"/>
  <c r="BY909"/>
  <c r="CA909"/>
  <c r="CC909"/>
  <c r="CE909"/>
  <c r="CG909"/>
  <c r="BM910"/>
  <c r="BO910"/>
  <c r="BQ910"/>
  <c r="BS910"/>
  <c r="BU910"/>
  <c r="BW910"/>
  <c r="BY910"/>
  <c r="CA910"/>
  <c r="CC910"/>
  <c r="CE910"/>
  <c r="CG910"/>
  <c r="BM911"/>
  <c r="BO911"/>
  <c r="BQ911"/>
  <c r="BS911"/>
  <c r="BU911"/>
  <c r="BW911"/>
  <c r="BY911"/>
  <c r="CA911"/>
  <c r="CC911"/>
  <c r="CE911"/>
  <c r="CG911"/>
  <c r="BM912"/>
  <c r="BO912"/>
  <c r="BQ912"/>
  <c r="BS912"/>
  <c r="BU912"/>
  <c r="BW912"/>
  <c r="BY912"/>
  <c r="CA912"/>
  <c r="CC912"/>
  <c r="CE912"/>
  <c r="CG912"/>
  <c r="BM913"/>
  <c r="BO913"/>
  <c r="BQ913"/>
  <c r="BS913"/>
  <c r="BU913"/>
  <c r="BW913"/>
  <c r="BY913"/>
  <c r="CA913"/>
  <c r="CC913"/>
  <c r="CE913"/>
  <c r="CG913"/>
  <c r="BM914"/>
  <c r="BO914"/>
  <c r="BQ914"/>
  <c r="BS914"/>
  <c r="BU914"/>
  <c r="BW914"/>
  <c r="BY914"/>
  <c r="CA914"/>
  <c r="CC914"/>
  <c r="CE914"/>
  <c r="CG914"/>
  <c r="BM915"/>
  <c r="BO915"/>
  <c r="BQ915"/>
  <c r="BS915"/>
  <c r="BU915"/>
  <c r="BW915"/>
  <c r="CA915"/>
  <c r="CC915"/>
  <c r="CE915"/>
  <c r="CG915"/>
  <c r="BM916"/>
  <c r="BO916"/>
  <c r="BQ916"/>
  <c r="BS916"/>
  <c r="BU916"/>
  <c r="BW916"/>
  <c r="CC916"/>
  <c r="CE916"/>
  <c r="CG916"/>
  <c r="BM917"/>
  <c r="BO917"/>
  <c r="BQ917"/>
  <c r="BS917"/>
  <c r="BU917"/>
  <c r="BW917"/>
  <c r="CG917"/>
  <c r="BM918"/>
  <c r="BO918"/>
  <c r="BQ918"/>
  <c r="BS918"/>
  <c r="BU918"/>
  <c r="BW918"/>
  <c r="CW918" s="1"/>
  <c r="CT918" s="1"/>
  <c r="CS918" s="1"/>
  <c r="CR918" s="1"/>
  <c r="CQ918" s="1"/>
  <c r="CP918" s="1"/>
  <c r="CO918" s="1"/>
  <c r="CN918" s="1"/>
  <c r="CM918" s="1"/>
  <c r="CL918" s="1"/>
  <c r="CK918" s="1"/>
  <c r="CJ918" s="1"/>
  <c r="CI918" s="1"/>
  <c r="BM919"/>
  <c r="BO919"/>
  <c r="BQ919"/>
  <c r="BS919"/>
  <c r="BU919"/>
  <c r="BM920"/>
  <c r="BO920"/>
  <c r="BQ920"/>
  <c r="BS920"/>
  <c r="BU920"/>
  <c r="BK921"/>
  <c r="BO921"/>
  <c r="BQ921"/>
  <c r="BS921"/>
  <c r="BU921"/>
  <c r="BK922"/>
  <c r="BS922"/>
  <c r="BU922"/>
  <c r="BK923"/>
  <c r="BK924"/>
  <c r="BK925"/>
  <c r="BK926"/>
  <c r="BK927"/>
  <c r="BU927"/>
  <c r="BK928"/>
  <c r="BS928"/>
  <c r="BU928"/>
  <c r="BK929"/>
  <c r="BM929"/>
  <c r="BO929"/>
  <c r="BQ929"/>
  <c r="BS929"/>
  <c r="BU929"/>
  <c r="BK930"/>
  <c r="BM930"/>
  <c r="BO930"/>
  <c r="BQ930"/>
  <c r="BS930"/>
  <c r="BU930"/>
  <c r="BK931"/>
  <c r="BM931"/>
  <c r="BO931"/>
  <c r="BQ931"/>
  <c r="BS931"/>
  <c r="BU931"/>
  <c r="BW931"/>
  <c r="CW931" s="1"/>
  <c r="CT931" s="1"/>
  <c r="CS931" s="1"/>
  <c r="CR931" s="1"/>
  <c r="CQ931" s="1"/>
  <c r="CP931" s="1"/>
  <c r="CO931" s="1"/>
  <c r="CN931" s="1"/>
  <c r="CM931" s="1"/>
  <c r="CL931" s="1"/>
  <c r="CK931" s="1"/>
  <c r="CJ931" s="1"/>
  <c r="CI931" s="1"/>
  <c r="BK932"/>
  <c r="BM932"/>
  <c r="BO932"/>
  <c r="BQ932"/>
  <c r="BS932"/>
  <c r="BU932"/>
  <c r="BW932"/>
  <c r="CG932"/>
  <c r="BK933"/>
  <c r="BM933"/>
  <c r="BO933"/>
  <c r="BQ933"/>
  <c r="BS933"/>
  <c r="BU933"/>
  <c r="BW933"/>
  <c r="BY933"/>
  <c r="CA933"/>
  <c r="CC933"/>
  <c r="CE933"/>
  <c r="CG933"/>
  <c r="BK934"/>
  <c r="BM934"/>
  <c r="BO934"/>
  <c r="BQ934"/>
  <c r="BS934"/>
  <c r="BU934"/>
  <c r="BW934"/>
  <c r="BY934"/>
  <c r="CA934"/>
  <c r="CC934"/>
  <c r="CE934"/>
  <c r="CG934"/>
  <c r="CH935"/>
  <c r="BK935"/>
  <c r="BM935"/>
  <c r="BO935"/>
  <c r="BQ935"/>
  <c r="BS935"/>
  <c r="BU935"/>
  <c r="BW935"/>
  <c r="BY935"/>
  <c r="CA935"/>
  <c r="CE935"/>
  <c r="CH936"/>
  <c r="BK936"/>
  <c r="BO936"/>
  <c r="BS936"/>
  <c r="BW936"/>
  <c r="CA936"/>
  <c r="CE936"/>
  <c r="CX897"/>
  <c r="CX919"/>
  <c r="CX921"/>
  <c r="CX922"/>
  <c r="CX923"/>
  <c r="CX925"/>
  <c r="CX926"/>
  <c r="CX927"/>
  <c r="CX929"/>
  <c r="CX930"/>
  <c r="CX931"/>
  <c r="BM936"/>
  <c r="BU936"/>
  <c r="BY936"/>
  <c r="CC936"/>
  <c r="CG936"/>
  <c r="BL937"/>
  <c r="BN937"/>
  <c r="BP937"/>
  <c r="BR937"/>
  <c r="BT937"/>
  <c r="BV937"/>
  <c r="BX937"/>
  <c r="CW937" s="1"/>
  <c r="BZ937"/>
  <c r="CB937"/>
  <c r="CD937"/>
  <c r="CF937"/>
  <c r="CH937"/>
  <c r="BL938"/>
  <c r="BN938"/>
  <c r="BP938"/>
  <c r="BR938"/>
  <c r="BT938"/>
  <c r="BV938"/>
  <c r="BX938"/>
  <c r="CW938" s="1"/>
  <c r="BZ938"/>
  <c r="CB938"/>
  <c r="CD938"/>
  <c r="CF938"/>
  <c r="CH938"/>
  <c r="BL939"/>
  <c r="BN939"/>
  <c r="BP939"/>
  <c r="BR939"/>
  <c r="BT939"/>
  <c r="BV939"/>
  <c r="BX939"/>
  <c r="BZ939"/>
  <c r="CW939" s="1"/>
  <c r="CB939"/>
  <c r="CD939"/>
  <c r="CF939"/>
  <c r="CH939"/>
  <c r="BL940"/>
  <c r="BN940"/>
  <c r="BP940"/>
  <c r="BR940"/>
  <c r="BT940"/>
  <c r="BV940"/>
  <c r="BX940"/>
  <c r="CW940" s="1"/>
  <c r="BZ940"/>
  <c r="CB940"/>
  <c r="CD940"/>
  <c r="CF940"/>
  <c r="CH940"/>
  <c r="BL941"/>
  <c r="BN941"/>
  <c r="BP941"/>
  <c r="BR941"/>
  <c r="BT941"/>
  <c r="BV941"/>
  <c r="BX941"/>
  <c r="CW941" s="1"/>
  <c r="BZ941"/>
  <c r="CB941"/>
  <c r="CD941"/>
  <c r="CF941"/>
  <c r="CH941"/>
  <c r="BL942"/>
  <c r="BN942"/>
  <c r="BP942"/>
  <c r="BR942"/>
  <c r="BT942"/>
  <c r="BV942"/>
  <c r="BX942"/>
  <c r="CW942" s="1"/>
  <c r="BZ942"/>
  <c r="CB942"/>
  <c r="CD942"/>
  <c r="CF942"/>
  <c r="CH942"/>
  <c r="BL943"/>
  <c r="BN943"/>
  <c r="BP943"/>
  <c r="BR943"/>
  <c r="BT943"/>
  <c r="BV943"/>
  <c r="BX943"/>
  <c r="BZ943"/>
  <c r="CW943" s="1"/>
  <c r="CB943"/>
  <c r="CD943"/>
  <c r="CF943"/>
  <c r="CH943"/>
  <c r="BL944"/>
  <c r="BN944"/>
  <c r="BP944"/>
  <c r="BR944"/>
  <c r="BT944"/>
  <c r="BV944"/>
  <c r="BX944"/>
  <c r="CW944" s="1"/>
  <c r="BZ944"/>
  <c r="CB944"/>
  <c r="CD944"/>
  <c r="CF944"/>
  <c r="CH944"/>
  <c r="BL945"/>
  <c r="BN945"/>
  <c r="BP945"/>
  <c r="BR945"/>
  <c r="BT945"/>
  <c r="BV945"/>
  <c r="BX945"/>
  <c r="CW945" s="1"/>
  <c r="BZ945"/>
  <c r="CB945"/>
  <c r="CD945"/>
  <c r="CF945"/>
  <c r="CH945"/>
  <c r="BL946"/>
  <c r="BN946"/>
  <c r="BP946"/>
  <c r="BR946"/>
  <c r="BT946"/>
  <c r="BV946"/>
  <c r="BX946"/>
  <c r="CW946" s="1"/>
  <c r="BZ946"/>
  <c r="CB946"/>
  <c r="CD946"/>
  <c r="CF946"/>
  <c r="CH946"/>
  <c r="BL947"/>
  <c r="BN947"/>
  <c r="BP947"/>
  <c r="BR947"/>
  <c r="BT947"/>
  <c r="BV947"/>
  <c r="BX947"/>
  <c r="BZ947"/>
  <c r="CW947" s="1"/>
  <c r="CB947"/>
  <c r="CD947"/>
  <c r="CF947"/>
  <c r="CH947"/>
  <c r="BL948"/>
  <c r="BN948"/>
  <c r="BP948"/>
  <c r="BR948"/>
  <c r="BT948"/>
  <c r="BV948"/>
  <c r="BX948"/>
  <c r="CW948" s="1"/>
  <c r="BZ948"/>
  <c r="CB948"/>
  <c r="CD948"/>
  <c r="CF948"/>
  <c r="CH948"/>
  <c r="BL949"/>
  <c r="BN949"/>
  <c r="BP949"/>
  <c r="BR949"/>
  <c r="BT949"/>
  <c r="BV949"/>
  <c r="BX949"/>
  <c r="CW949" s="1"/>
  <c r="BZ949"/>
  <c r="CB949"/>
  <c r="CD949"/>
  <c r="CF949"/>
  <c r="CH949"/>
  <c r="BL950"/>
  <c r="BN950"/>
  <c r="BP950"/>
  <c r="BR950"/>
  <c r="BT950"/>
  <c r="BV950"/>
  <c r="BX950"/>
  <c r="CW950" s="1"/>
  <c r="BZ950"/>
  <c r="CB950"/>
  <c r="CD950"/>
  <c r="CF950"/>
  <c r="CH950"/>
  <c r="BL951"/>
  <c r="BN951"/>
  <c r="BP951"/>
  <c r="BR951"/>
  <c r="BT951"/>
  <c r="BV951"/>
  <c r="BX951"/>
  <c r="BZ951"/>
  <c r="CW951" s="1"/>
  <c r="CB951"/>
  <c r="CD951"/>
  <c r="CF951"/>
  <c r="CH951"/>
  <c r="BL952"/>
  <c r="BN952"/>
  <c r="BP952"/>
  <c r="BR952"/>
  <c r="BT952"/>
  <c r="BV952"/>
  <c r="BX952"/>
  <c r="CW952" s="1"/>
  <c r="BZ952"/>
  <c r="CB952"/>
  <c r="CD952"/>
  <c r="CF952"/>
  <c r="CH952"/>
  <c r="BL953"/>
  <c r="BN953"/>
  <c r="BP953"/>
  <c r="BR953"/>
  <c r="BT953"/>
  <c r="BV953"/>
  <c r="BX953"/>
  <c r="CW953" s="1"/>
  <c r="BZ953"/>
  <c r="CB953"/>
  <c r="CD953"/>
  <c r="CF953"/>
  <c r="CH953"/>
  <c r="BL954"/>
  <c r="BN954"/>
  <c r="BP954"/>
  <c r="BR954"/>
  <c r="BT954"/>
  <c r="BV954"/>
  <c r="BX954"/>
  <c r="BZ954"/>
  <c r="CB954"/>
  <c r="CD954"/>
  <c r="CF954"/>
  <c r="CH954"/>
  <c r="BM955"/>
  <c r="BO955"/>
  <c r="BQ955"/>
  <c r="BS955"/>
  <c r="BU955"/>
  <c r="BW955"/>
  <c r="BY955"/>
  <c r="CA955"/>
  <c r="CC955"/>
  <c r="CE955"/>
  <c r="CG955"/>
  <c r="BM956"/>
  <c r="BO956"/>
  <c r="BQ956"/>
  <c r="BS956"/>
  <c r="BU956"/>
  <c r="BW956"/>
  <c r="BY956"/>
  <c r="CA956"/>
  <c r="CC956"/>
  <c r="CE956"/>
  <c r="CG956"/>
  <c r="BM957"/>
  <c r="BO957"/>
  <c r="BQ957"/>
  <c r="BS957"/>
  <c r="BU957"/>
  <c r="BW957"/>
  <c r="BY957"/>
  <c r="CA957"/>
  <c r="CC957"/>
  <c r="CE957"/>
  <c r="CG957"/>
  <c r="BM958"/>
  <c r="BO958"/>
  <c r="BQ958"/>
  <c r="BS958"/>
  <c r="BU958"/>
  <c r="BW958"/>
  <c r="BY958"/>
  <c r="CA958"/>
  <c r="CC958"/>
  <c r="CE958"/>
  <c r="CG958"/>
  <c r="BM959"/>
  <c r="BO959"/>
  <c r="BQ959"/>
  <c r="BS959"/>
  <c r="BU959"/>
  <c r="BW959"/>
  <c r="BY959"/>
  <c r="CA959"/>
  <c r="CC959"/>
  <c r="CE959"/>
  <c r="CG959"/>
  <c r="BM960"/>
  <c r="BO960"/>
  <c r="BQ960"/>
  <c r="BS960"/>
  <c r="BU960"/>
  <c r="BW960"/>
  <c r="BY960"/>
  <c r="CA960"/>
  <c r="CC960"/>
  <c r="CE960"/>
  <c r="CG960"/>
  <c r="BM961"/>
  <c r="BO961"/>
  <c r="BQ961"/>
  <c r="BS961"/>
  <c r="BU961"/>
  <c r="BW961"/>
  <c r="BY961"/>
  <c r="CA961"/>
  <c r="CC961"/>
  <c r="CE961"/>
  <c r="CG961"/>
  <c r="BM962"/>
  <c r="BO962"/>
  <c r="BQ962"/>
  <c r="BS962"/>
  <c r="BU962"/>
  <c r="BW962"/>
  <c r="BY962"/>
  <c r="CA962"/>
  <c r="CC962"/>
  <c r="CE962"/>
  <c r="CG962"/>
  <c r="BM963"/>
  <c r="BO963"/>
  <c r="BQ963"/>
  <c r="BS963"/>
  <c r="BU963"/>
  <c r="BW963"/>
  <c r="BY963"/>
  <c r="CA963"/>
  <c r="CC963"/>
  <c r="CE963"/>
  <c r="CG963"/>
  <c r="BM964"/>
  <c r="BO964"/>
  <c r="BQ964"/>
  <c r="BS964"/>
  <c r="BU964"/>
  <c r="BW964"/>
  <c r="BY964"/>
  <c r="CA964"/>
  <c r="CC964"/>
  <c r="CE964"/>
  <c r="CG964"/>
  <c r="BM965"/>
  <c r="BO965"/>
  <c r="BQ965"/>
  <c r="BS965"/>
  <c r="BU965"/>
  <c r="BW965"/>
  <c r="BY965"/>
  <c r="CA965"/>
  <c r="CC965"/>
  <c r="CE965"/>
  <c r="CG965"/>
  <c r="BM966"/>
  <c r="BO966"/>
  <c r="BQ966"/>
  <c r="BS966"/>
  <c r="BU966"/>
  <c r="BW966"/>
  <c r="BY966"/>
  <c r="CA966"/>
  <c r="CC966"/>
  <c r="CE966"/>
  <c r="CG966"/>
  <c r="BM967"/>
  <c r="BO967"/>
  <c r="BQ967"/>
  <c r="BS967"/>
  <c r="BU967"/>
  <c r="BW967"/>
  <c r="BY967"/>
  <c r="CA967"/>
  <c r="CC967"/>
  <c r="CE967"/>
  <c r="CG967"/>
  <c r="BM968"/>
  <c r="BO968"/>
  <c r="BQ968"/>
  <c r="BS968"/>
  <c r="BU968"/>
  <c r="BW968"/>
  <c r="BY968"/>
  <c r="CA968"/>
  <c r="CC968"/>
  <c r="CE968"/>
  <c r="CG968"/>
  <c r="BM969"/>
  <c r="BO969"/>
  <c r="BQ969"/>
  <c r="BS969"/>
  <c r="BU969"/>
  <c r="BW969"/>
  <c r="BY969"/>
  <c r="CA969"/>
  <c r="CC969"/>
  <c r="CE969"/>
  <c r="CG969"/>
  <c r="BM970"/>
  <c r="BO970"/>
  <c r="BQ970"/>
  <c r="BS970"/>
  <c r="BU970"/>
  <c r="BW970"/>
  <c r="BY970"/>
  <c r="CA970"/>
  <c r="CC970"/>
  <c r="CE970"/>
  <c r="CG970"/>
  <c r="BM971"/>
  <c r="BO971"/>
  <c r="BQ971"/>
  <c r="BS971"/>
  <c r="BU971"/>
  <c r="BW971"/>
  <c r="BY971"/>
  <c r="CA971"/>
  <c r="CC971"/>
  <c r="CE971"/>
  <c r="CG971"/>
  <c r="BM972"/>
  <c r="BO972"/>
  <c r="BQ972"/>
  <c r="BS972"/>
  <c r="BU972"/>
  <c r="BW972"/>
  <c r="BY972"/>
  <c r="CA972"/>
  <c r="CC972"/>
  <c r="CE972"/>
  <c r="CG972"/>
  <c r="BM973"/>
  <c r="BO973"/>
  <c r="BQ973"/>
  <c r="BS973"/>
  <c r="BU973"/>
  <c r="BW973"/>
  <c r="BY973"/>
  <c r="CA973"/>
  <c r="CC973"/>
  <c r="CE973"/>
  <c r="CG973"/>
  <c r="BK974"/>
  <c r="BL974"/>
  <c r="BP974"/>
  <c r="BT974"/>
  <c r="BX974"/>
  <c r="CB974"/>
  <c r="CF974"/>
  <c r="CW980"/>
  <c r="CT980" s="1"/>
  <c r="CW982"/>
  <c r="CT982" s="1"/>
  <c r="CW984"/>
  <c r="CT984" s="1"/>
  <c r="CS984" s="1"/>
  <c r="CR984" s="1"/>
  <c r="CW986"/>
  <c r="CT986" s="1"/>
  <c r="CW988"/>
  <c r="CT988" s="1"/>
  <c r="CS988" s="1"/>
  <c r="CR988" s="1"/>
  <c r="CQ988" s="1"/>
  <c r="CP988" s="1"/>
  <c r="CO988" s="1"/>
  <c r="CN988" s="1"/>
  <c r="CM988" s="1"/>
  <c r="CL988" s="1"/>
  <c r="CK988" s="1"/>
  <c r="CJ988" s="1"/>
  <c r="CW990"/>
  <c r="CT990" s="1"/>
  <c r="CS990" s="1"/>
  <c r="CR990" s="1"/>
  <c r="CQ990" s="1"/>
  <c r="CP990" s="1"/>
  <c r="CO990" s="1"/>
  <c r="CN990" s="1"/>
  <c r="CM990" s="1"/>
  <c r="CL990" s="1"/>
  <c r="CK990" s="1"/>
  <c r="CJ990" s="1"/>
  <c r="CW992"/>
  <c r="CT992" s="1"/>
  <c r="CS992" s="1"/>
  <c r="CR992" s="1"/>
  <c r="CH974"/>
  <c r="BW974"/>
  <c r="BN974"/>
  <c r="BR974"/>
  <c r="BZ974"/>
  <c r="CD974"/>
  <c r="CW981"/>
  <c r="CT981" s="1"/>
  <c r="CW983"/>
  <c r="CT983" s="1"/>
  <c r="CS983" s="1"/>
  <c r="CR983" s="1"/>
  <c r="CW985"/>
  <c r="CT985" s="1"/>
  <c r="CW987"/>
  <c r="CT987" s="1"/>
  <c r="CS987" s="1"/>
  <c r="CR987" s="1"/>
  <c r="CQ987" s="1"/>
  <c r="CP987" s="1"/>
  <c r="CO987" s="1"/>
  <c r="CN987" s="1"/>
  <c r="CM987" s="1"/>
  <c r="CL987" s="1"/>
  <c r="CK987" s="1"/>
  <c r="CJ987" s="1"/>
  <c r="CI987" s="1"/>
  <c r="CW989"/>
  <c r="CT989" s="1"/>
  <c r="CS989" s="1"/>
  <c r="CR989" s="1"/>
  <c r="CQ989" s="1"/>
  <c r="CP989" s="1"/>
  <c r="CO989" s="1"/>
  <c r="CN989" s="1"/>
  <c r="CM989" s="1"/>
  <c r="CL989" s="1"/>
  <c r="CK989" s="1"/>
  <c r="CJ989" s="1"/>
  <c r="CW991"/>
  <c r="CT991" s="1"/>
  <c r="BX994"/>
  <c r="BY994"/>
  <c r="BZ994"/>
  <c r="CA994"/>
  <c r="CB994"/>
  <c r="CC994"/>
  <c r="CD994"/>
  <c r="CE994"/>
  <c r="CF994"/>
  <c r="CG994"/>
  <c r="CH994"/>
  <c r="BW994"/>
  <c r="CW994" s="1"/>
  <c r="CT994" s="1"/>
  <c r="BL994"/>
  <c r="BM994"/>
  <c r="BN994"/>
  <c r="BO994"/>
  <c r="BP994"/>
  <c r="BQ994"/>
  <c r="BR994"/>
  <c r="BS994"/>
  <c r="BT994"/>
  <c r="BU994"/>
  <c r="BM975"/>
  <c r="BO975"/>
  <c r="BQ975"/>
  <c r="BS975"/>
  <c r="BU975"/>
  <c r="BW975"/>
  <c r="BY975"/>
  <c r="CA975"/>
  <c r="CC975"/>
  <c r="CE975"/>
  <c r="CG975"/>
  <c r="BM976"/>
  <c r="BO976"/>
  <c r="BQ976"/>
  <c r="BS976"/>
  <c r="BU976"/>
  <c r="BW976"/>
  <c r="CA976"/>
  <c r="CC976"/>
  <c r="CE976"/>
  <c r="CG976"/>
  <c r="BM977"/>
  <c r="BO977"/>
  <c r="BQ977"/>
  <c r="BS977"/>
  <c r="BU977"/>
  <c r="BW977"/>
  <c r="CC977"/>
  <c r="CE977"/>
  <c r="CG977"/>
  <c r="BM978"/>
  <c r="BO978"/>
  <c r="BQ978"/>
  <c r="BS978"/>
  <c r="BU978"/>
  <c r="BW978"/>
  <c r="CE978"/>
  <c r="CG978"/>
  <c r="BM979"/>
  <c r="BO979"/>
  <c r="BQ979"/>
  <c r="BS979"/>
  <c r="BU979"/>
  <c r="BW979"/>
  <c r="CW979" s="1"/>
  <c r="CT979" s="1"/>
  <c r="CS979" s="1"/>
  <c r="CR979" s="1"/>
  <c r="CQ979" s="1"/>
  <c r="CP979" s="1"/>
  <c r="CO979" s="1"/>
  <c r="CN979" s="1"/>
  <c r="CM979" s="1"/>
  <c r="CL979" s="1"/>
  <c r="CK979" s="1"/>
  <c r="CJ979" s="1"/>
  <c r="CI979" s="1"/>
  <c r="CG979"/>
  <c r="BM980"/>
  <c r="BO980"/>
  <c r="BQ980"/>
  <c r="BS980"/>
  <c r="BU980"/>
  <c r="BM981"/>
  <c r="BO981"/>
  <c r="BQ981"/>
  <c r="BS981"/>
  <c r="BU981"/>
  <c r="BM982"/>
  <c r="BO982"/>
  <c r="BQ982"/>
  <c r="BS982"/>
  <c r="BU982"/>
  <c r="BK983"/>
  <c r="BO983"/>
  <c r="BQ983"/>
  <c r="BS983"/>
  <c r="BU983"/>
  <c r="BK984"/>
  <c r="BQ984"/>
  <c r="BS984"/>
  <c r="BU984"/>
  <c r="BK985"/>
  <c r="BS985"/>
  <c r="BU985"/>
  <c r="BK986"/>
  <c r="BU986"/>
  <c r="BK987"/>
  <c r="BK988"/>
  <c r="BK989"/>
  <c r="BK990"/>
  <c r="BK991"/>
  <c r="BU991"/>
  <c r="BK992"/>
  <c r="BS992"/>
  <c r="BU992"/>
  <c r="BK993"/>
  <c r="BM993"/>
  <c r="BO993"/>
  <c r="BQ993"/>
  <c r="BV994"/>
  <c r="CW1004"/>
  <c r="CT1004" s="1"/>
  <c r="CS1004" s="1"/>
  <c r="CR1004" s="1"/>
  <c r="CW1006"/>
  <c r="CT1006" s="1"/>
  <c r="CW1008"/>
  <c r="CT1008" s="1"/>
  <c r="CS1008" s="1"/>
  <c r="CR1008" s="1"/>
  <c r="CQ1008" s="1"/>
  <c r="CP1008" s="1"/>
  <c r="CO1008" s="1"/>
  <c r="CN1008" s="1"/>
  <c r="CM1008" s="1"/>
  <c r="CL1008" s="1"/>
  <c r="CK1008" s="1"/>
  <c r="CJ1008" s="1"/>
  <c r="CI1008" s="1"/>
  <c r="CW1010"/>
  <c r="CT1010" s="1"/>
  <c r="CS1010" s="1"/>
  <c r="CR1010" s="1"/>
  <c r="CQ1010" s="1"/>
  <c r="CP1010" s="1"/>
  <c r="CO1010" s="1"/>
  <c r="CN1010" s="1"/>
  <c r="CM1010" s="1"/>
  <c r="CL1010" s="1"/>
  <c r="CK1010" s="1"/>
  <c r="CJ1010" s="1"/>
  <c r="CW1012"/>
  <c r="CT1012" s="1"/>
  <c r="CS1012" s="1"/>
  <c r="CR1012" s="1"/>
  <c r="CX979"/>
  <c r="CX981"/>
  <c r="CX982"/>
  <c r="CX983"/>
  <c r="CX985"/>
  <c r="CX986"/>
  <c r="CX987"/>
  <c r="CX989"/>
  <c r="CX990"/>
  <c r="CX991"/>
  <c r="BY993"/>
  <c r="CA993"/>
  <c r="CC993"/>
  <c r="CE993"/>
  <c r="CG993"/>
  <c r="BW993"/>
  <c r="BS993"/>
  <c r="BU993"/>
  <c r="CW1005"/>
  <c r="CT1005" s="1"/>
  <c r="CW1007"/>
  <c r="CT1007" s="1"/>
  <c r="CW1009"/>
  <c r="CT1009" s="1"/>
  <c r="CS1009" s="1"/>
  <c r="CR1009" s="1"/>
  <c r="CQ1009" s="1"/>
  <c r="CP1009" s="1"/>
  <c r="CO1009" s="1"/>
  <c r="CN1009" s="1"/>
  <c r="CM1009" s="1"/>
  <c r="CL1009" s="1"/>
  <c r="CK1009" s="1"/>
  <c r="CJ1009" s="1"/>
  <c r="CW1011"/>
  <c r="CT1011" s="1"/>
  <c r="CS1011" s="1"/>
  <c r="CR1011" s="1"/>
  <c r="CQ1011" s="1"/>
  <c r="CP1011" s="1"/>
  <c r="CO1011" s="1"/>
  <c r="CN1011" s="1"/>
  <c r="CM1011" s="1"/>
  <c r="CL1011" s="1"/>
  <c r="CK1011" s="1"/>
  <c r="CJ1011" s="1"/>
  <c r="BM995"/>
  <c r="BO995"/>
  <c r="BQ995"/>
  <c r="BS995"/>
  <c r="BU995"/>
  <c r="BW995"/>
  <c r="BY995"/>
  <c r="CA995"/>
  <c r="CC995"/>
  <c r="CE995"/>
  <c r="CG995"/>
  <c r="BM996"/>
  <c r="BO996"/>
  <c r="BQ996"/>
  <c r="BS996"/>
  <c r="BU996"/>
  <c r="BW996"/>
  <c r="BY996"/>
  <c r="CA996"/>
  <c r="CC996"/>
  <c r="CE996"/>
  <c r="CG996"/>
  <c r="BM997"/>
  <c r="BO997"/>
  <c r="BQ997"/>
  <c r="BS997"/>
  <c r="BU997"/>
  <c r="BW997"/>
  <c r="BY997"/>
  <c r="CA997"/>
  <c r="CC997"/>
  <c r="CE997"/>
  <c r="CG997"/>
  <c r="BM998"/>
  <c r="BO998"/>
  <c r="BQ998"/>
  <c r="BS998"/>
  <c r="BU998"/>
  <c r="BW998"/>
  <c r="BY998"/>
  <c r="CA998"/>
  <c r="CC998"/>
  <c r="CE998"/>
  <c r="CG998"/>
  <c r="BM999"/>
  <c r="BO999"/>
  <c r="BQ999"/>
  <c r="BS999"/>
  <c r="BU999"/>
  <c r="BW999"/>
  <c r="BY999"/>
  <c r="CA999"/>
  <c r="CC999"/>
  <c r="CE999"/>
  <c r="CG999"/>
  <c r="BM1000"/>
  <c r="BO1000"/>
  <c r="BQ1000"/>
  <c r="BS1000"/>
  <c r="BU1000"/>
  <c r="BW1000"/>
  <c r="BY1000"/>
  <c r="CA1000"/>
  <c r="CC1000"/>
  <c r="CE1000"/>
  <c r="CG1000"/>
  <c r="BM1001"/>
  <c r="BO1001"/>
  <c r="BQ1001"/>
  <c r="BS1001"/>
  <c r="BU1001"/>
  <c r="BW1001"/>
  <c r="CA1001"/>
  <c r="CC1001"/>
  <c r="CE1001"/>
  <c r="CG1001"/>
  <c r="BM1002"/>
  <c r="BO1002"/>
  <c r="BQ1002"/>
  <c r="BS1002"/>
  <c r="BU1002"/>
  <c r="BW1002"/>
  <c r="CE1002"/>
  <c r="CG1002"/>
  <c r="BM1003"/>
  <c r="BO1003"/>
  <c r="BQ1003"/>
  <c r="BS1003"/>
  <c r="BU1003"/>
  <c r="BW1003"/>
  <c r="CG1003"/>
  <c r="BM1004"/>
  <c r="BO1004"/>
  <c r="BQ1004"/>
  <c r="BS1004"/>
  <c r="BU1004"/>
  <c r="BM1005"/>
  <c r="BO1005"/>
  <c r="BQ1005"/>
  <c r="BS1005"/>
  <c r="BU1005"/>
  <c r="BK1006"/>
  <c r="BO1006"/>
  <c r="BQ1006"/>
  <c r="BS1006"/>
  <c r="BU1006"/>
  <c r="BK1007"/>
  <c r="BS1007"/>
  <c r="BU1007"/>
  <c r="BK1008"/>
  <c r="BK1009"/>
  <c r="BK1010"/>
  <c r="BK1011"/>
  <c r="BK1012"/>
  <c r="BS1012"/>
  <c r="BU1012"/>
  <c r="CX994"/>
  <c r="CX1004"/>
  <c r="CX1006"/>
  <c r="CX1007"/>
  <c r="CX1008"/>
  <c r="CX1010"/>
  <c r="CX1011"/>
  <c r="CX1012"/>
  <c r="AI68" i="12"/>
  <c r="C2" i="22"/>
  <c r="E2"/>
  <c r="G2"/>
  <c r="I2"/>
  <c r="K2"/>
  <c r="M2"/>
  <c r="O2"/>
  <c r="Q2"/>
  <c r="S2"/>
  <c r="U2"/>
  <c r="W2"/>
  <c r="Y2"/>
  <c r="AA2"/>
  <c r="AC2"/>
  <c r="AE2"/>
  <c r="AG2"/>
  <c r="AI2"/>
  <c r="AK2"/>
  <c r="AM2"/>
  <c r="AO2"/>
  <c r="AQ2"/>
  <c r="AS2"/>
  <c r="AU2"/>
  <c r="AW2"/>
  <c r="AY2"/>
  <c r="BA2"/>
  <c r="BC2"/>
  <c r="BE2"/>
  <c r="BG2"/>
  <c r="BI2"/>
  <c r="BK2"/>
  <c r="BM2"/>
  <c r="BO2"/>
  <c r="BQ2"/>
  <c r="BS2"/>
  <c r="BU2"/>
  <c r="BW2"/>
  <c r="BZ2"/>
  <c r="BY2" s="1"/>
  <c r="CD2"/>
  <c r="CC2" s="1"/>
  <c r="CH2"/>
  <c r="CG2" s="1"/>
  <c r="CU2"/>
  <c r="CZ2"/>
  <c r="D2"/>
  <c r="F2"/>
  <c r="H2"/>
  <c r="B4" i="13" s="1"/>
  <c r="B5" s="1"/>
  <c r="J2" i="22"/>
  <c r="L2"/>
  <c r="N2"/>
  <c r="P2"/>
  <c r="R2"/>
  <c r="T2"/>
  <c r="V2"/>
  <c r="X2"/>
  <c r="Z2"/>
  <c r="AB2"/>
  <c r="AD2"/>
  <c r="AF2"/>
  <c r="AH2"/>
  <c r="AJ2"/>
  <c r="AL2"/>
  <c r="AN2"/>
  <c r="AP2"/>
  <c r="AR2"/>
  <c r="AT2"/>
  <c r="AV2"/>
  <c r="AX2"/>
  <c r="AZ2"/>
  <c r="BB2"/>
  <c r="BD2"/>
  <c r="BF2"/>
  <c r="BH2"/>
  <c r="BJ2"/>
  <c r="BL2"/>
  <c r="BN2"/>
  <c r="BP2"/>
  <c r="BR2"/>
  <c r="BT2"/>
  <c r="BV2"/>
  <c r="BX2"/>
  <c r="CB2"/>
  <c r="CA2" s="1"/>
  <c r="CF2"/>
  <c r="CE2" s="1"/>
  <c r="B3" i="13"/>
  <c r="B2"/>
  <c r="AI67" i="12"/>
  <c r="BU66"/>
  <c r="AH66"/>
  <c r="N129" s="1"/>
  <c r="AG66"/>
  <c r="AF66"/>
  <c r="CE67" s="1"/>
  <c r="AE66"/>
  <c r="M129" s="1"/>
  <c r="AD66"/>
  <c r="AC66"/>
  <c r="AB66"/>
  <c r="O129" s="1"/>
  <c r="AA66"/>
  <c r="Z66"/>
  <c r="Y66"/>
  <c r="L129" s="1"/>
  <c r="X66"/>
  <c r="W66"/>
  <c r="U66"/>
  <c r="R66"/>
  <c r="Q66"/>
  <c r="BU65"/>
  <c r="AH65"/>
  <c r="N128" s="1"/>
  <c r="AG65"/>
  <c r="AF65"/>
  <c r="AE65"/>
  <c r="M128" s="1"/>
  <c r="AD65"/>
  <c r="AC65"/>
  <c r="AB65"/>
  <c r="O128" s="1"/>
  <c r="AA65"/>
  <c r="Z65"/>
  <c r="Y65"/>
  <c r="L128" s="1"/>
  <c r="X65"/>
  <c r="W65"/>
  <c r="U65"/>
  <c r="R65"/>
  <c r="Q65"/>
  <c r="BU64"/>
  <c r="U64"/>
  <c r="R64"/>
  <c r="Q64"/>
  <c r="BU63"/>
  <c r="U63"/>
  <c r="R63"/>
  <c r="Q63"/>
  <c r="BU62"/>
  <c r="U62"/>
  <c r="R62"/>
  <c r="Q62"/>
  <c r="BU61"/>
  <c r="U61"/>
  <c r="R61"/>
  <c r="Q61"/>
  <c r="BU60"/>
  <c r="U60"/>
  <c r="R60"/>
  <c r="Q60"/>
  <c r="BU59"/>
  <c r="U59"/>
  <c r="R59"/>
  <c r="Q59"/>
  <c r="P59"/>
  <c r="BU58"/>
  <c r="U58"/>
  <c r="R58"/>
  <c r="Q58"/>
  <c r="P58"/>
  <c r="BU57"/>
  <c r="U57"/>
  <c r="R57"/>
  <c r="Q57"/>
  <c r="P57"/>
  <c r="BU56"/>
  <c r="U56"/>
  <c r="R56"/>
  <c r="Q56"/>
  <c r="P56"/>
  <c r="BU55"/>
  <c r="U55"/>
  <c r="R55"/>
  <c r="Q55"/>
  <c r="P55"/>
  <c r="BU54"/>
  <c r="U54"/>
  <c r="R54"/>
  <c r="Q54"/>
  <c r="P54"/>
  <c r="BU53"/>
  <c r="U53"/>
  <c r="R53"/>
  <c r="Q53"/>
  <c r="P53"/>
  <c r="BU52"/>
  <c r="U52"/>
  <c r="R52"/>
  <c r="Q52"/>
  <c r="P52"/>
  <c r="BU51"/>
  <c r="U51"/>
  <c r="R51"/>
  <c r="Q51"/>
  <c r="P51"/>
  <c r="BU50"/>
  <c r="U50"/>
  <c r="R50"/>
  <c r="Q50"/>
  <c r="P50"/>
  <c r="BU49"/>
  <c r="U49"/>
  <c r="R49"/>
  <c r="Q49"/>
  <c r="P49"/>
  <c r="BU48"/>
  <c r="U48"/>
  <c r="R48"/>
  <c r="Q48"/>
  <c r="P48"/>
  <c r="BU47"/>
  <c r="U47"/>
  <c r="R47"/>
  <c r="Q47"/>
  <c r="P47"/>
  <c r="BU46"/>
  <c r="U46"/>
  <c r="R46"/>
  <c r="Q46"/>
  <c r="P46"/>
  <c r="BU45"/>
  <c r="U45"/>
  <c r="R45"/>
  <c r="Q45"/>
  <c r="P45"/>
  <c r="CI44"/>
  <c r="BU44"/>
  <c r="U44"/>
  <c r="R44"/>
  <c r="Q44"/>
  <c r="P44"/>
  <c r="CI43"/>
  <c r="F11" i="13"/>
  <c r="G8"/>
  <c r="F6"/>
  <c r="B7"/>
  <c r="B8"/>
  <c r="G4"/>
  <c r="B22"/>
  <c r="B18"/>
  <c r="F10"/>
  <c r="B19"/>
  <c r="G9"/>
  <c r="G7"/>
  <c r="F4"/>
  <c r="G5"/>
  <c r="G2"/>
  <c r="F13"/>
  <c r="G10"/>
  <c r="B20"/>
  <c r="F9"/>
  <c r="F5"/>
  <c r="F7"/>
  <c r="B17"/>
  <c r="G13"/>
  <c r="B21"/>
  <c r="F8"/>
  <c r="F2"/>
  <c r="G3"/>
  <c r="F12"/>
  <c r="G11"/>
  <c r="F3"/>
  <c r="G6"/>
  <c r="G12"/>
  <c r="Y167" i="12" l="1"/>
  <c r="CA67"/>
  <c r="Y168"/>
  <c r="CT953" i="22"/>
  <c r="CS953" s="1"/>
  <c r="CR953" s="1"/>
  <c r="CQ953" s="1"/>
  <c r="CP953" s="1"/>
  <c r="CO953" s="1"/>
  <c r="CN953" s="1"/>
  <c r="CM953" s="1"/>
  <c r="CL953" s="1"/>
  <c r="CK953" s="1"/>
  <c r="CJ953" s="1"/>
  <c r="CI953" s="1"/>
  <c r="CX953"/>
  <c r="CT950"/>
  <c r="CS950" s="1"/>
  <c r="CR950" s="1"/>
  <c r="CQ950" s="1"/>
  <c r="CP950" s="1"/>
  <c r="CO950" s="1"/>
  <c r="CN950" s="1"/>
  <c r="CM950" s="1"/>
  <c r="CL950" s="1"/>
  <c r="CK950" s="1"/>
  <c r="CJ950" s="1"/>
  <c r="CI950" s="1"/>
  <c r="CX950"/>
  <c r="CT948"/>
  <c r="CS948" s="1"/>
  <c r="CR948" s="1"/>
  <c r="CQ948" s="1"/>
  <c r="CP948" s="1"/>
  <c r="CO948" s="1"/>
  <c r="CN948" s="1"/>
  <c r="CM948" s="1"/>
  <c r="CL948" s="1"/>
  <c r="CK948" s="1"/>
  <c r="CJ948" s="1"/>
  <c r="CI948" s="1"/>
  <c r="CX948"/>
  <c r="CT946"/>
  <c r="CS946" s="1"/>
  <c r="CR946" s="1"/>
  <c r="CQ946" s="1"/>
  <c r="CP946" s="1"/>
  <c r="CO946" s="1"/>
  <c r="CN946" s="1"/>
  <c r="CM946" s="1"/>
  <c r="CL946" s="1"/>
  <c r="CK946" s="1"/>
  <c r="CJ946" s="1"/>
  <c r="CI946" s="1"/>
  <c r="CX946"/>
  <c r="CT945"/>
  <c r="CS945" s="1"/>
  <c r="CR945" s="1"/>
  <c r="CQ945" s="1"/>
  <c r="CP945" s="1"/>
  <c r="CO945" s="1"/>
  <c r="CN945" s="1"/>
  <c r="CM945" s="1"/>
  <c r="CL945" s="1"/>
  <c r="CK945" s="1"/>
  <c r="CJ945" s="1"/>
  <c r="CI945" s="1"/>
  <c r="CX945"/>
  <c r="CT944"/>
  <c r="CS944" s="1"/>
  <c r="CR944" s="1"/>
  <c r="CQ944" s="1"/>
  <c r="CP944" s="1"/>
  <c r="CO944" s="1"/>
  <c r="CN944" s="1"/>
  <c r="CM944" s="1"/>
  <c r="CL944" s="1"/>
  <c r="CK944" s="1"/>
  <c r="CJ944" s="1"/>
  <c r="CI944" s="1"/>
  <c r="CX944"/>
  <c r="CT942"/>
  <c r="CS942" s="1"/>
  <c r="CR942" s="1"/>
  <c r="CQ942" s="1"/>
  <c r="CP942" s="1"/>
  <c r="CO942" s="1"/>
  <c r="CN942" s="1"/>
  <c r="CM942" s="1"/>
  <c r="CL942" s="1"/>
  <c r="CK942" s="1"/>
  <c r="CJ942" s="1"/>
  <c r="CI942" s="1"/>
  <c r="CX942"/>
  <c r="CT941"/>
  <c r="CS941" s="1"/>
  <c r="CR941" s="1"/>
  <c r="CQ941" s="1"/>
  <c r="CP941" s="1"/>
  <c r="CO941" s="1"/>
  <c r="CN941" s="1"/>
  <c r="CM941" s="1"/>
  <c r="CL941" s="1"/>
  <c r="CK941" s="1"/>
  <c r="CJ941" s="1"/>
  <c r="CI941" s="1"/>
  <c r="CX941"/>
  <c r="CT940"/>
  <c r="CS940" s="1"/>
  <c r="CR940" s="1"/>
  <c r="CQ940" s="1"/>
  <c r="CP940" s="1"/>
  <c r="CO940" s="1"/>
  <c r="CN940" s="1"/>
  <c r="CM940" s="1"/>
  <c r="CL940" s="1"/>
  <c r="CK940" s="1"/>
  <c r="CJ940" s="1"/>
  <c r="CI940" s="1"/>
  <c r="CX940"/>
  <c r="CT938"/>
  <c r="CS938" s="1"/>
  <c r="CR938" s="1"/>
  <c r="CQ938" s="1"/>
  <c r="CP938" s="1"/>
  <c r="CO938" s="1"/>
  <c r="CN938" s="1"/>
  <c r="CM938" s="1"/>
  <c r="CL938" s="1"/>
  <c r="CK938" s="1"/>
  <c r="CJ938" s="1"/>
  <c r="CI938" s="1"/>
  <c r="CX938"/>
  <c r="CT937"/>
  <c r="CS937" s="1"/>
  <c r="CR937" s="1"/>
  <c r="CQ937" s="1"/>
  <c r="CP937" s="1"/>
  <c r="CO937" s="1"/>
  <c r="CN937" s="1"/>
  <c r="CM937" s="1"/>
  <c r="CL937" s="1"/>
  <c r="CK937" s="1"/>
  <c r="CJ937" s="1"/>
  <c r="CI937" s="1"/>
  <c r="CX937"/>
  <c r="CT894"/>
  <c r="CS894" s="1"/>
  <c r="CR894" s="1"/>
  <c r="CQ894" s="1"/>
  <c r="CP894" s="1"/>
  <c r="CO894" s="1"/>
  <c r="CN894" s="1"/>
  <c r="CM894" s="1"/>
  <c r="CL894" s="1"/>
  <c r="CK894" s="1"/>
  <c r="CJ894" s="1"/>
  <c r="CI894" s="1"/>
  <c r="CX894"/>
  <c r="CT893"/>
  <c r="CS893" s="1"/>
  <c r="CR893" s="1"/>
  <c r="CQ893" s="1"/>
  <c r="CP893" s="1"/>
  <c r="CO893" s="1"/>
  <c r="CN893" s="1"/>
  <c r="CM893" s="1"/>
  <c r="CL893" s="1"/>
  <c r="CK893" s="1"/>
  <c r="CJ893" s="1"/>
  <c r="CI893" s="1"/>
  <c r="CX893"/>
  <c r="CT892"/>
  <c r="CS892" s="1"/>
  <c r="CR892" s="1"/>
  <c r="CQ892" s="1"/>
  <c r="CP892" s="1"/>
  <c r="CO892" s="1"/>
  <c r="CN892" s="1"/>
  <c r="CM892" s="1"/>
  <c r="CL892" s="1"/>
  <c r="CK892" s="1"/>
  <c r="CJ892" s="1"/>
  <c r="CI892" s="1"/>
  <c r="CX892"/>
  <c r="CT890"/>
  <c r="CS890" s="1"/>
  <c r="CR890" s="1"/>
  <c r="CQ890" s="1"/>
  <c r="CP890" s="1"/>
  <c r="CO890" s="1"/>
  <c r="CN890" s="1"/>
  <c r="CM890" s="1"/>
  <c r="CL890" s="1"/>
  <c r="CK890" s="1"/>
  <c r="CJ890" s="1"/>
  <c r="CI890" s="1"/>
  <c r="CX890"/>
  <c r="CT889"/>
  <c r="CS889" s="1"/>
  <c r="CR889" s="1"/>
  <c r="CQ889" s="1"/>
  <c r="CP889" s="1"/>
  <c r="CO889" s="1"/>
  <c r="CN889" s="1"/>
  <c r="CM889" s="1"/>
  <c r="CL889" s="1"/>
  <c r="CK889" s="1"/>
  <c r="CJ889" s="1"/>
  <c r="CI889" s="1"/>
  <c r="CX889"/>
  <c r="CT888"/>
  <c r="CS888" s="1"/>
  <c r="CR888" s="1"/>
  <c r="CQ888" s="1"/>
  <c r="CP888" s="1"/>
  <c r="CO888" s="1"/>
  <c r="CN888" s="1"/>
  <c r="CM888" s="1"/>
  <c r="CL888" s="1"/>
  <c r="CK888" s="1"/>
  <c r="CJ888" s="1"/>
  <c r="CI888" s="1"/>
  <c r="CX888"/>
  <c r="CT886"/>
  <c r="CS886" s="1"/>
  <c r="CR886" s="1"/>
  <c r="CQ886" s="1"/>
  <c r="CP886" s="1"/>
  <c r="CO886" s="1"/>
  <c r="CN886" s="1"/>
  <c r="CM886" s="1"/>
  <c r="CL886" s="1"/>
  <c r="CK886" s="1"/>
  <c r="CJ886" s="1"/>
  <c r="CI886" s="1"/>
  <c r="CX886"/>
  <c r="CT884"/>
  <c r="CS884" s="1"/>
  <c r="CR884" s="1"/>
  <c r="CQ884" s="1"/>
  <c r="CP884" s="1"/>
  <c r="CO884" s="1"/>
  <c r="CN884" s="1"/>
  <c r="CM884" s="1"/>
  <c r="CL884" s="1"/>
  <c r="CK884" s="1"/>
  <c r="CJ884" s="1"/>
  <c r="CI884" s="1"/>
  <c r="CX884"/>
  <c r="CT868"/>
  <c r="CS868" s="1"/>
  <c r="CR868" s="1"/>
  <c r="CQ868" s="1"/>
  <c r="CP868" s="1"/>
  <c r="CO868" s="1"/>
  <c r="CN868" s="1"/>
  <c r="CM868" s="1"/>
  <c r="CL868" s="1"/>
  <c r="CK868" s="1"/>
  <c r="CJ868" s="1"/>
  <c r="CI868" s="1"/>
  <c r="CX868"/>
  <c r="CT866"/>
  <c r="CS866" s="1"/>
  <c r="CR866" s="1"/>
  <c r="CQ866" s="1"/>
  <c r="CP866" s="1"/>
  <c r="CO866" s="1"/>
  <c r="CN866" s="1"/>
  <c r="CM866" s="1"/>
  <c r="CL866" s="1"/>
  <c r="CK866" s="1"/>
  <c r="CJ866" s="1"/>
  <c r="CI866" s="1"/>
  <c r="CX866"/>
  <c r="CT865"/>
  <c r="CS865" s="1"/>
  <c r="CR865" s="1"/>
  <c r="CQ865" s="1"/>
  <c r="CP865" s="1"/>
  <c r="CO865" s="1"/>
  <c r="CN865" s="1"/>
  <c r="CM865" s="1"/>
  <c r="CL865" s="1"/>
  <c r="CK865" s="1"/>
  <c r="CJ865" s="1"/>
  <c r="CI865" s="1"/>
  <c r="CX865"/>
  <c r="CT862"/>
  <c r="CS862" s="1"/>
  <c r="CR862" s="1"/>
  <c r="CQ862" s="1"/>
  <c r="CP862" s="1"/>
  <c r="CO862" s="1"/>
  <c r="CN862" s="1"/>
  <c r="CM862" s="1"/>
  <c r="CL862" s="1"/>
  <c r="CK862" s="1"/>
  <c r="CJ862" s="1"/>
  <c r="CI862" s="1"/>
  <c r="CX862"/>
  <c r="CT861"/>
  <c r="CS861" s="1"/>
  <c r="CR861" s="1"/>
  <c r="CQ861" s="1"/>
  <c r="CP861" s="1"/>
  <c r="CO861" s="1"/>
  <c r="CN861" s="1"/>
  <c r="CM861" s="1"/>
  <c r="CL861" s="1"/>
  <c r="CK861" s="1"/>
  <c r="CJ861" s="1"/>
  <c r="CI861" s="1"/>
  <c r="CX861"/>
  <c r="CT858"/>
  <c r="CS858" s="1"/>
  <c r="CR858" s="1"/>
  <c r="CQ858" s="1"/>
  <c r="CP858" s="1"/>
  <c r="CO858" s="1"/>
  <c r="CN858" s="1"/>
  <c r="CM858" s="1"/>
  <c r="CL858" s="1"/>
  <c r="CK858" s="1"/>
  <c r="CJ858" s="1"/>
  <c r="CI858" s="1"/>
  <c r="CX858"/>
  <c r="CT857"/>
  <c r="CS857" s="1"/>
  <c r="CR857" s="1"/>
  <c r="CQ857" s="1"/>
  <c r="CP857" s="1"/>
  <c r="CO857" s="1"/>
  <c r="CN857" s="1"/>
  <c r="CM857" s="1"/>
  <c r="CL857" s="1"/>
  <c r="CK857" s="1"/>
  <c r="CJ857" s="1"/>
  <c r="CI857" s="1"/>
  <c r="CX857"/>
  <c r="CT854"/>
  <c r="CS854" s="1"/>
  <c r="CR854" s="1"/>
  <c r="CQ854" s="1"/>
  <c r="CP854" s="1"/>
  <c r="CO854" s="1"/>
  <c r="CN854" s="1"/>
  <c r="CM854" s="1"/>
  <c r="CL854" s="1"/>
  <c r="CK854" s="1"/>
  <c r="CJ854" s="1"/>
  <c r="CI854" s="1"/>
  <c r="CX854"/>
  <c r="CT853"/>
  <c r="CS853" s="1"/>
  <c r="CR853" s="1"/>
  <c r="CQ853" s="1"/>
  <c r="CP853" s="1"/>
  <c r="CO853" s="1"/>
  <c r="CN853" s="1"/>
  <c r="CM853" s="1"/>
  <c r="CL853" s="1"/>
  <c r="CK853" s="1"/>
  <c r="CJ853" s="1"/>
  <c r="CI853" s="1"/>
  <c r="CX853"/>
  <c r="CT850"/>
  <c r="CS850" s="1"/>
  <c r="CR850" s="1"/>
  <c r="CQ850" s="1"/>
  <c r="CP850" s="1"/>
  <c r="CO850" s="1"/>
  <c r="CN850" s="1"/>
  <c r="CM850" s="1"/>
  <c r="CL850" s="1"/>
  <c r="CK850" s="1"/>
  <c r="CJ850" s="1"/>
  <c r="CI850" s="1"/>
  <c r="CX850"/>
  <c r="CT849"/>
  <c r="CS849" s="1"/>
  <c r="CR849" s="1"/>
  <c r="CQ849" s="1"/>
  <c r="CP849" s="1"/>
  <c r="CO849" s="1"/>
  <c r="CN849" s="1"/>
  <c r="CM849" s="1"/>
  <c r="CL849" s="1"/>
  <c r="CK849" s="1"/>
  <c r="CJ849" s="1"/>
  <c r="CI849" s="1"/>
  <c r="CX849"/>
  <c r="CT846"/>
  <c r="CS846" s="1"/>
  <c r="CR846" s="1"/>
  <c r="CQ846" s="1"/>
  <c r="CP846" s="1"/>
  <c r="CO846" s="1"/>
  <c r="CN846" s="1"/>
  <c r="CM846" s="1"/>
  <c r="CL846" s="1"/>
  <c r="CK846" s="1"/>
  <c r="CJ846" s="1"/>
  <c r="CI846" s="1"/>
  <c r="CX846"/>
  <c r="CT845"/>
  <c r="CS845" s="1"/>
  <c r="CR845" s="1"/>
  <c r="CQ845" s="1"/>
  <c r="CP845" s="1"/>
  <c r="CO845" s="1"/>
  <c r="CN845" s="1"/>
  <c r="CM845" s="1"/>
  <c r="CL845" s="1"/>
  <c r="CK845" s="1"/>
  <c r="CJ845" s="1"/>
  <c r="CI845" s="1"/>
  <c r="CX845"/>
  <c r="CT842"/>
  <c r="CS842" s="1"/>
  <c r="CR842" s="1"/>
  <c r="CQ842" s="1"/>
  <c r="CP842" s="1"/>
  <c r="CO842" s="1"/>
  <c r="CN842" s="1"/>
  <c r="CM842" s="1"/>
  <c r="CL842" s="1"/>
  <c r="CK842" s="1"/>
  <c r="CJ842" s="1"/>
  <c r="CI842" s="1"/>
  <c r="CX842"/>
  <c r="CT841"/>
  <c r="CS841" s="1"/>
  <c r="CR841" s="1"/>
  <c r="CQ841" s="1"/>
  <c r="CP841" s="1"/>
  <c r="CO841" s="1"/>
  <c r="CN841" s="1"/>
  <c r="CM841" s="1"/>
  <c r="CL841" s="1"/>
  <c r="CK841" s="1"/>
  <c r="CJ841" s="1"/>
  <c r="CI841" s="1"/>
  <c r="CX841"/>
  <c r="CT838"/>
  <c r="CS838" s="1"/>
  <c r="CR838" s="1"/>
  <c r="CQ838" s="1"/>
  <c r="CP838" s="1"/>
  <c r="CO838" s="1"/>
  <c r="CN838" s="1"/>
  <c r="CM838" s="1"/>
  <c r="CL838" s="1"/>
  <c r="CK838" s="1"/>
  <c r="CJ838" s="1"/>
  <c r="CI838" s="1"/>
  <c r="CX838"/>
  <c r="CT837"/>
  <c r="CS837" s="1"/>
  <c r="CR837" s="1"/>
  <c r="CQ837" s="1"/>
  <c r="CP837" s="1"/>
  <c r="CO837" s="1"/>
  <c r="CN837" s="1"/>
  <c r="CM837" s="1"/>
  <c r="CL837" s="1"/>
  <c r="CK837" s="1"/>
  <c r="CJ837" s="1"/>
  <c r="CI837" s="1"/>
  <c r="CX837"/>
  <c r="CT834"/>
  <c r="CS834" s="1"/>
  <c r="CR834" s="1"/>
  <c r="CQ834" s="1"/>
  <c r="CP834" s="1"/>
  <c r="CO834" s="1"/>
  <c r="CN834" s="1"/>
  <c r="CM834" s="1"/>
  <c r="CL834" s="1"/>
  <c r="CK834" s="1"/>
  <c r="CJ834" s="1"/>
  <c r="CI834" s="1"/>
  <c r="CX834"/>
  <c r="CT833"/>
  <c r="CS833" s="1"/>
  <c r="CR833" s="1"/>
  <c r="CQ833" s="1"/>
  <c r="CP833" s="1"/>
  <c r="CO833" s="1"/>
  <c r="CN833" s="1"/>
  <c r="CM833" s="1"/>
  <c r="CL833" s="1"/>
  <c r="CK833" s="1"/>
  <c r="CJ833" s="1"/>
  <c r="CI833" s="1"/>
  <c r="CX833"/>
  <c r="CT830"/>
  <c r="CS830" s="1"/>
  <c r="CR830" s="1"/>
  <c r="CQ830" s="1"/>
  <c r="CP830" s="1"/>
  <c r="CO830" s="1"/>
  <c r="CN830" s="1"/>
  <c r="CM830" s="1"/>
  <c r="CL830" s="1"/>
  <c r="CK830" s="1"/>
  <c r="CJ830" s="1"/>
  <c r="CI830" s="1"/>
  <c r="CX830"/>
  <c r="CT829"/>
  <c r="CS829" s="1"/>
  <c r="CR829" s="1"/>
  <c r="CQ829" s="1"/>
  <c r="CP829" s="1"/>
  <c r="CO829" s="1"/>
  <c r="CN829" s="1"/>
  <c r="CM829" s="1"/>
  <c r="CL829" s="1"/>
  <c r="CK829" s="1"/>
  <c r="CJ829" s="1"/>
  <c r="CI829" s="1"/>
  <c r="CX829"/>
  <c r="CT826"/>
  <c r="CS826" s="1"/>
  <c r="CR826" s="1"/>
  <c r="CQ826" s="1"/>
  <c r="CP826" s="1"/>
  <c r="CO826" s="1"/>
  <c r="CN826" s="1"/>
  <c r="CM826" s="1"/>
  <c r="CL826" s="1"/>
  <c r="CK826" s="1"/>
  <c r="CJ826" s="1"/>
  <c r="CI826" s="1"/>
  <c r="CX826"/>
  <c r="CT825"/>
  <c r="CS825" s="1"/>
  <c r="CR825" s="1"/>
  <c r="CQ825" s="1"/>
  <c r="CP825" s="1"/>
  <c r="CO825" s="1"/>
  <c r="CN825" s="1"/>
  <c r="CM825" s="1"/>
  <c r="CL825" s="1"/>
  <c r="CK825" s="1"/>
  <c r="CJ825" s="1"/>
  <c r="CI825" s="1"/>
  <c r="CX825"/>
  <c r="CT822"/>
  <c r="CS822" s="1"/>
  <c r="CR822" s="1"/>
  <c r="CQ822" s="1"/>
  <c r="CP822" s="1"/>
  <c r="CO822" s="1"/>
  <c r="CN822" s="1"/>
  <c r="CM822" s="1"/>
  <c r="CL822" s="1"/>
  <c r="CK822" s="1"/>
  <c r="CJ822" s="1"/>
  <c r="CI822" s="1"/>
  <c r="CX822"/>
  <c r="CT814"/>
  <c r="CS814" s="1"/>
  <c r="CR814" s="1"/>
  <c r="CQ814" s="1"/>
  <c r="CP814" s="1"/>
  <c r="CO814" s="1"/>
  <c r="CN814" s="1"/>
  <c r="CM814" s="1"/>
  <c r="CL814" s="1"/>
  <c r="CK814" s="1"/>
  <c r="CJ814" s="1"/>
  <c r="CI814" s="1"/>
  <c r="CX814"/>
  <c r="CT813"/>
  <c r="CS813" s="1"/>
  <c r="CR813" s="1"/>
  <c r="CQ813" s="1"/>
  <c r="CP813" s="1"/>
  <c r="CO813" s="1"/>
  <c r="CN813" s="1"/>
  <c r="CM813" s="1"/>
  <c r="CL813" s="1"/>
  <c r="CK813" s="1"/>
  <c r="CJ813" s="1"/>
  <c r="CI813" s="1"/>
  <c r="CX813"/>
  <c r="CT811"/>
  <c r="CS811" s="1"/>
  <c r="CR811" s="1"/>
  <c r="CQ811" s="1"/>
  <c r="CP811" s="1"/>
  <c r="CO811" s="1"/>
  <c r="CN811" s="1"/>
  <c r="CM811" s="1"/>
  <c r="CL811" s="1"/>
  <c r="CK811" s="1"/>
  <c r="CJ811" s="1"/>
  <c r="CI811" s="1"/>
  <c r="CX811"/>
  <c r="CT810"/>
  <c r="CS810" s="1"/>
  <c r="CR810" s="1"/>
  <c r="CQ810" s="1"/>
  <c r="CP810" s="1"/>
  <c r="CO810" s="1"/>
  <c r="CN810" s="1"/>
  <c r="CM810" s="1"/>
  <c r="CL810" s="1"/>
  <c r="CK810" s="1"/>
  <c r="CJ810" s="1"/>
  <c r="CI810" s="1"/>
  <c r="CX810"/>
  <c r="CT807"/>
  <c r="CS807" s="1"/>
  <c r="CR807" s="1"/>
  <c r="CQ807" s="1"/>
  <c r="CP807" s="1"/>
  <c r="CO807" s="1"/>
  <c r="CN807" s="1"/>
  <c r="CM807" s="1"/>
  <c r="CL807" s="1"/>
  <c r="CK807" s="1"/>
  <c r="CJ807" s="1"/>
  <c r="CI807" s="1"/>
  <c r="CX807"/>
  <c r="CT806"/>
  <c r="CS806" s="1"/>
  <c r="CR806" s="1"/>
  <c r="CQ806" s="1"/>
  <c r="CP806" s="1"/>
  <c r="CO806" s="1"/>
  <c r="CN806" s="1"/>
  <c r="CM806" s="1"/>
  <c r="CL806" s="1"/>
  <c r="CK806" s="1"/>
  <c r="CJ806" s="1"/>
  <c r="CI806" s="1"/>
  <c r="CX806"/>
  <c r="CT803"/>
  <c r="CS803" s="1"/>
  <c r="CR803" s="1"/>
  <c r="CQ803" s="1"/>
  <c r="CP803" s="1"/>
  <c r="CO803" s="1"/>
  <c r="CN803" s="1"/>
  <c r="CM803" s="1"/>
  <c r="CL803" s="1"/>
  <c r="CK803" s="1"/>
  <c r="CJ803" s="1"/>
  <c r="CI803" s="1"/>
  <c r="CX803"/>
  <c r="CT802"/>
  <c r="CS802" s="1"/>
  <c r="CR802" s="1"/>
  <c r="CQ802" s="1"/>
  <c r="CP802" s="1"/>
  <c r="CO802" s="1"/>
  <c r="CN802" s="1"/>
  <c r="CM802" s="1"/>
  <c r="CL802" s="1"/>
  <c r="CK802" s="1"/>
  <c r="CJ802" s="1"/>
  <c r="CI802" s="1"/>
  <c r="CX802"/>
  <c r="CT799"/>
  <c r="CS799" s="1"/>
  <c r="CR799" s="1"/>
  <c r="CQ799" s="1"/>
  <c r="CP799" s="1"/>
  <c r="CO799" s="1"/>
  <c r="CN799" s="1"/>
  <c r="CM799" s="1"/>
  <c r="CL799" s="1"/>
  <c r="CK799" s="1"/>
  <c r="CJ799" s="1"/>
  <c r="CI799" s="1"/>
  <c r="CX799"/>
  <c r="CT798"/>
  <c r="CS798" s="1"/>
  <c r="CR798" s="1"/>
  <c r="CQ798" s="1"/>
  <c r="CP798" s="1"/>
  <c r="CO798" s="1"/>
  <c r="CN798" s="1"/>
  <c r="CM798" s="1"/>
  <c r="CL798" s="1"/>
  <c r="CK798" s="1"/>
  <c r="CJ798" s="1"/>
  <c r="CI798" s="1"/>
  <c r="CX798"/>
  <c r="CT795"/>
  <c r="CS795" s="1"/>
  <c r="CR795" s="1"/>
  <c r="CQ795" s="1"/>
  <c r="CP795" s="1"/>
  <c r="CO795" s="1"/>
  <c r="CN795" s="1"/>
  <c r="CM795" s="1"/>
  <c r="CL795" s="1"/>
  <c r="CK795" s="1"/>
  <c r="CJ795" s="1"/>
  <c r="CI795" s="1"/>
  <c r="CX795"/>
  <c r="CT794"/>
  <c r="CS794" s="1"/>
  <c r="CR794" s="1"/>
  <c r="CQ794" s="1"/>
  <c r="CP794" s="1"/>
  <c r="CO794" s="1"/>
  <c r="CN794" s="1"/>
  <c r="CM794" s="1"/>
  <c r="CL794" s="1"/>
  <c r="CK794" s="1"/>
  <c r="CJ794" s="1"/>
  <c r="CI794" s="1"/>
  <c r="CX794"/>
  <c r="CT791"/>
  <c r="CS791" s="1"/>
  <c r="CR791" s="1"/>
  <c r="CQ791" s="1"/>
  <c r="CP791" s="1"/>
  <c r="CO791" s="1"/>
  <c r="CN791" s="1"/>
  <c r="CM791" s="1"/>
  <c r="CL791" s="1"/>
  <c r="CK791" s="1"/>
  <c r="CJ791" s="1"/>
  <c r="CI791" s="1"/>
  <c r="CX791"/>
  <c r="CT790"/>
  <c r="CS790" s="1"/>
  <c r="CR790" s="1"/>
  <c r="CQ790" s="1"/>
  <c r="CP790" s="1"/>
  <c r="CO790" s="1"/>
  <c r="CN790" s="1"/>
  <c r="CM790" s="1"/>
  <c r="CL790" s="1"/>
  <c r="CK790" s="1"/>
  <c r="CJ790" s="1"/>
  <c r="CI790" s="1"/>
  <c r="CX790"/>
  <c r="CT787"/>
  <c r="CS787" s="1"/>
  <c r="CR787" s="1"/>
  <c r="CQ787" s="1"/>
  <c r="CP787" s="1"/>
  <c r="CO787" s="1"/>
  <c r="CN787" s="1"/>
  <c r="CM787" s="1"/>
  <c r="CL787" s="1"/>
  <c r="CK787" s="1"/>
  <c r="CJ787" s="1"/>
  <c r="CI787" s="1"/>
  <c r="CX787"/>
  <c r="CT786"/>
  <c r="CS786" s="1"/>
  <c r="CR786" s="1"/>
  <c r="CQ786" s="1"/>
  <c r="CP786" s="1"/>
  <c r="CO786" s="1"/>
  <c r="CN786" s="1"/>
  <c r="CM786" s="1"/>
  <c r="CL786" s="1"/>
  <c r="CK786" s="1"/>
  <c r="CJ786" s="1"/>
  <c r="CI786" s="1"/>
  <c r="CX786"/>
  <c r="CT783"/>
  <c r="CS783" s="1"/>
  <c r="CR783" s="1"/>
  <c r="CQ783" s="1"/>
  <c r="CP783" s="1"/>
  <c r="CO783" s="1"/>
  <c r="CN783" s="1"/>
  <c r="CM783" s="1"/>
  <c r="CL783" s="1"/>
  <c r="CK783" s="1"/>
  <c r="CJ783" s="1"/>
  <c r="CI783" s="1"/>
  <c r="CX783"/>
  <c r="CT782"/>
  <c r="CS782" s="1"/>
  <c r="CR782" s="1"/>
  <c r="CQ782" s="1"/>
  <c r="CP782" s="1"/>
  <c r="CO782" s="1"/>
  <c r="CN782" s="1"/>
  <c r="CM782" s="1"/>
  <c r="CL782" s="1"/>
  <c r="CK782" s="1"/>
  <c r="CJ782" s="1"/>
  <c r="CI782" s="1"/>
  <c r="CX782"/>
  <c r="CT779"/>
  <c r="CS779" s="1"/>
  <c r="CR779" s="1"/>
  <c r="CQ779" s="1"/>
  <c r="CP779" s="1"/>
  <c r="CO779" s="1"/>
  <c r="CN779" s="1"/>
  <c r="CM779" s="1"/>
  <c r="CL779" s="1"/>
  <c r="CK779" s="1"/>
  <c r="CJ779" s="1"/>
  <c r="CI779" s="1"/>
  <c r="CX779"/>
  <c r="CT778"/>
  <c r="CS778" s="1"/>
  <c r="CR778" s="1"/>
  <c r="CQ778" s="1"/>
  <c r="CP778" s="1"/>
  <c r="CO778" s="1"/>
  <c r="CN778" s="1"/>
  <c r="CM778" s="1"/>
  <c r="CL778" s="1"/>
  <c r="CK778" s="1"/>
  <c r="CJ778" s="1"/>
  <c r="CI778" s="1"/>
  <c r="CX778"/>
  <c r="CT775"/>
  <c r="CS775" s="1"/>
  <c r="CR775" s="1"/>
  <c r="CQ775" s="1"/>
  <c r="CP775" s="1"/>
  <c r="CO775" s="1"/>
  <c r="CN775" s="1"/>
  <c r="CM775" s="1"/>
  <c r="CL775" s="1"/>
  <c r="CK775" s="1"/>
  <c r="CJ775" s="1"/>
  <c r="CI775" s="1"/>
  <c r="CX775"/>
  <c r="CT774"/>
  <c r="CS774" s="1"/>
  <c r="CR774" s="1"/>
  <c r="CQ774" s="1"/>
  <c r="CP774" s="1"/>
  <c r="CO774" s="1"/>
  <c r="CN774" s="1"/>
  <c r="CM774" s="1"/>
  <c r="CL774" s="1"/>
  <c r="CK774" s="1"/>
  <c r="CJ774" s="1"/>
  <c r="CI774" s="1"/>
  <c r="CX774"/>
  <c r="CT771"/>
  <c r="CS771" s="1"/>
  <c r="CR771" s="1"/>
  <c r="CQ771" s="1"/>
  <c r="CP771" s="1"/>
  <c r="CO771" s="1"/>
  <c r="CN771" s="1"/>
  <c r="CM771" s="1"/>
  <c r="CL771" s="1"/>
  <c r="CK771" s="1"/>
  <c r="CJ771" s="1"/>
  <c r="CI771" s="1"/>
  <c r="CX771"/>
  <c r="CT770"/>
  <c r="CS770" s="1"/>
  <c r="CR770" s="1"/>
  <c r="CQ770" s="1"/>
  <c r="CP770" s="1"/>
  <c r="CO770" s="1"/>
  <c r="CN770" s="1"/>
  <c r="CM770" s="1"/>
  <c r="CL770" s="1"/>
  <c r="CK770" s="1"/>
  <c r="CJ770" s="1"/>
  <c r="CI770" s="1"/>
  <c r="CX770"/>
  <c r="CT767"/>
  <c r="CS767" s="1"/>
  <c r="CR767" s="1"/>
  <c r="CQ767" s="1"/>
  <c r="CP767" s="1"/>
  <c r="CO767" s="1"/>
  <c r="CN767" s="1"/>
  <c r="CM767" s="1"/>
  <c r="CL767" s="1"/>
  <c r="CK767" s="1"/>
  <c r="CJ767" s="1"/>
  <c r="CI767" s="1"/>
  <c r="CX767"/>
  <c r="CT766"/>
  <c r="CS766" s="1"/>
  <c r="CR766" s="1"/>
  <c r="CQ766" s="1"/>
  <c r="CP766" s="1"/>
  <c r="CO766" s="1"/>
  <c r="CN766" s="1"/>
  <c r="CM766" s="1"/>
  <c r="CL766" s="1"/>
  <c r="CK766" s="1"/>
  <c r="CJ766" s="1"/>
  <c r="CI766" s="1"/>
  <c r="CX766"/>
  <c r="CT763"/>
  <c r="CS763" s="1"/>
  <c r="CR763" s="1"/>
  <c r="CQ763" s="1"/>
  <c r="CP763" s="1"/>
  <c r="CO763" s="1"/>
  <c r="CN763" s="1"/>
  <c r="CM763" s="1"/>
  <c r="CL763" s="1"/>
  <c r="CK763" s="1"/>
  <c r="CJ763" s="1"/>
  <c r="CI763" s="1"/>
  <c r="CX763"/>
  <c r="CT762"/>
  <c r="CS762" s="1"/>
  <c r="CR762" s="1"/>
  <c r="CQ762" s="1"/>
  <c r="CP762" s="1"/>
  <c r="CO762" s="1"/>
  <c r="CN762" s="1"/>
  <c r="CM762" s="1"/>
  <c r="CL762" s="1"/>
  <c r="CK762" s="1"/>
  <c r="CJ762" s="1"/>
  <c r="CI762" s="1"/>
  <c r="CX762"/>
  <c r="CT759"/>
  <c r="CS759" s="1"/>
  <c r="CR759" s="1"/>
  <c r="CQ759" s="1"/>
  <c r="CP759" s="1"/>
  <c r="CO759" s="1"/>
  <c r="CN759" s="1"/>
  <c r="CM759" s="1"/>
  <c r="CL759" s="1"/>
  <c r="CK759" s="1"/>
  <c r="CJ759" s="1"/>
  <c r="CI759" s="1"/>
  <c r="CX759"/>
  <c r="CT758"/>
  <c r="CS758" s="1"/>
  <c r="CR758" s="1"/>
  <c r="CQ758" s="1"/>
  <c r="CP758" s="1"/>
  <c r="CO758" s="1"/>
  <c r="CN758" s="1"/>
  <c r="CM758" s="1"/>
  <c r="CL758" s="1"/>
  <c r="CK758" s="1"/>
  <c r="CJ758" s="1"/>
  <c r="CI758" s="1"/>
  <c r="CX758"/>
  <c r="CT755"/>
  <c r="CS755" s="1"/>
  <c r="CR755" s="1"/>
  <c r="CQ755" s="1"/>
  <c r="CP755" s="1"/>
  <c r="CO755" s="1"/>
  <c r="CN755" s="1"/>
  <c r="CM755" s="1"/>
  <c r="CL755" s="1"/>
  <c r="CK755" s="1"/>
  <c r="CJ755" s="1"/>
  <c r="CI755" s="1"/>
  <c r="CX755"/>
  <c r="CT754"/>
  <c r="CS754" s="1"/>
  <c r="CR754" s="1"/>
  <c r="CQ754" s="1"/>
  <c r="CP754" s="1"/>
  <c r="CO754" s="1"/>
  <c r="CN754" s="1"/>
  <c r="CM754" s="1"/>
  <c r="CL754" s="1"/>
  <c r="CK754" s="1"/>
  <c r="CJ754" s="1"/>
  <c r="CI754" s="1"/>
  <c r="CX754"/>
  <c r="CT751"/>
  <c r="CS751" s="1"/>
  <c r="CR751" s="1"/>
  <c r="CQ751" s="1"/>
  <c r="CP751" s="1"/>
  <c r="CO751" s="1"/>
  <c r="CN751" s="1"/>
  <c r="CM751" s="1"/>
  <c r="CL751" s="1"/>
  <c r="CK751" s="1"/>
  <c r="CJ751" s="1"/>
  <c r="CI751" s="1"/>
  <c r="CX751"/>
  <c r="CT750"/>
  <c r="CS750" s="1"/>
  <c r="CR750" s="1"/>
  <c r="CQ750" s="1"/>
  <c r="CP750" s="1"/>
  <c r="CO750" s="1"/>
  <c r="CN750" s="1"/>
  <c r="CM750" s="1"/>
  <c r="CL750" s="1"/>
  <c r="CK750" s="1"/>
  <c r="CJ750" s="1"/>
  <c r="CI750" s="1"/>
  <c r="CX750"/>
  <c r="CT747"/>
  <c r="CS747" s="1"/>
  <c r="CR747" s="1"/>
  <c r="CQ747" s="1"/>
  <c r="CP747" s="1"/>
  <c r="CO747" s="1"/>
  <c r="CN747" s="1"/>
  <c r="CM747" s="1"/>
  <c r="CL747" s="1"/>
  <c r="CK747" s="1"/>
  <c r="CJ747" s="1"/>
  <c r="CI747" s="1"/>
  <c r="CX747"/>
  <c r="CT746"/>
  <c r="CS746" s="1"/>
  <c r="CR746" s="1"/>
  <c r="CQ746" s="1"/>
  <c r="CP746" s="1"/>
  <c r="CO746" s="1"/>
  <c r="CN746" s="1"/>
  <c r="CM746" s="1"/>
  <c r="CL746" s="1"/>
  <c r="CK746" s="1"/>
  <c r="CJ746" s="1"/>
  <c r="CI746" s="1"/>
  <c r="CX746"/>
  <c r="CT430"/>
  <c r="CS430" s="1"/>
  <c r="CR430" s="1"/>
  <c r="CQ430" s="1"/>
  <c r="CP430" s="1"/>
  <c r="CO430" s="1"/>
  <c r="CN430" s="1"/>
  <c r="CM430" s="1"/>
  <c r="CL430" s="1"/>
  <c r="CK430" s="1"/>
  <c r="CJ430" s="1"/>
  <c r="CI430" s="1"/>
  <c r="CX430"/>
  <c r="CT428"/>
  <c r="CS428" s="1"/>
  <c r="CR428" s="1"/>
  <c r="CQ428" s="1"/>
  <c r="CP428" s="1"/>
  <c r="CO428" s="1"/>
  <c r="CN428" s="1"/>
  <c r="CM428" s="1"/>
  <c r="CL428" s="1"/>
  <c r="CK428" s="1"/>
  <c r="CJ428" s="1"/>
  <c r="CI428" s="1"/>
  <c r="CX428"/>
  <c r="CT426"/>
  <c r="CS426" s="1"/>
  <c r="CR426" s="1"/>
  <c r="CQ426" s="1"/>
  <c r="CP426" s="1"/>
  <c r="CO426" s="1"/>
  <c r="CN426" s="1"/>
  <c r="CM426" s="1"/>
  <c r="CL426" s="1"/>
  <c r="CK426" s="1"/>
  <c r="CJ426" s="1"/>
  <c r="CI426" s="1"/>
  <c r="CX426"/>
  <c r="CT424"/>
  <c r="CS424" s="1"/>
  <c r="CR424" s="1"/>
  <c r="CQ424" s="1"/>
  <c r="CP424" s="1"/>
  <c r="CO424" s="1"/>
  <c r="CN424" s="1"/>
  <c r="CM424" s="1"/>
  <c r="CL424" s="1"/>
  <c r="CK424" s="1"/>
  <c r="CJ424" s="1"/>
  <c r="CI424" s="1"/>
  <c r="CX424"/>
  <c r="CT422"/>
  <c r="CS422" s="1"/>
  <c r="CR422" s="1"/>
  <c r="CQ422" s="1"/>
  <c r="CP422" s="1"/>
  <c r="CO422" s="1"/>
  <c r="CN422" s="1"/>
  <c r="CM422" s="1"/>
  <c r="CL422" s="1"/>
  <c r="CK422" s="1"/>
  <c r="CJ422" s="1"/>
  <c r="CI422" s="1"/>
  <c r="CX422"/>
  <c r="CT420"/>
  <c r="CS420" s="1"/>
  <c r="CR420" s="1"/>
  <c r="CQ420" s="1"/>
  <c r="CP420" s="1"/>
  <c r="CO420" s="1"/>
  <c r="CN420" s="1"/>
  <c r="CM420" s="1"/>
  <c r="CL420" s="1"/>
  <c r="CK420" s="1"/>
  <c r="CJ420" s="1"/>
  <c r="CI420" s="1"/>
  <c r="CX420"/>
  <c r="CT418"/>
  <c r="CS418" s="1"/>
  <c r="CR418" s="1"/>
  <c r="CQ418" s="1"/>
  <c r="CP418" s="1"/>
  <c r="CO418" s="1"/>
  <c r="CN418" s="1"/>
  <c r="CM418" s="1"/>
  <c r="CL418" s="1"/>
  <c r="CK418" s="1"/>
  <c r="CJ418" s="1"/>
  <c r="CI418" s="1"/>
  <c r="CX418"/>
  <c r="CT416"/>
  <c r="CS416" s="1"/>
  <c r="CR416" s="1"/>
  <c r="CQ416" s="1"/>
  <c r="CP416" s="1"/>
  <c r="CO416" s="1"/>
  <c r="CN416" s="1"/>
  <c r="CM416" s="1"/>
  <c r="CL416" s="1"/>
  <c r="CK416" s="1"/>
  <c r="CJ416" s="1"/>
  <c r="CI416" s="1"/>
  <c r="CX416"/>
  <c r="CT414"/>
  <c r="CS414" s="1"/>
  <c r="CR414" s="1"/>
  <c r="CQ414" s="1"/>
  <c r="CP414" s="1"/>
  <c r="CO414" s="1"/>
  <c r="CN414" s="1"/>
  <c r="CM414" s="1"/>
  <c r="CL414" s="1"/>
  <c r="CK414" s="1"/>
  <c r="CJ414" s="1"/>
  <c r="CI414" s="1"/>
  <c r="CX414"/>
  <c r="CT412"/>
  <c r="CS412" s="1"/>
  <c r="CR412" s="1"/>
  <c r="CQ412" s="1"/>
  <c r="CP412" s="1"/>
  <c r="CO412" s="1"/>
  <c r="CN412" s="1"/>
  <c r="CM412" s="1"/>
  <c r="CL412" s="1"/>
  <c r="CK412" s="1"/>
  <c r="CJ412" s="1"/>
  <c r="CI412" s="1"/>
  <c r="CX412"/>
  <c r="CT410"/>
  <c r="CS410" s="1"/>
  <c r="CR410" s="1"/>
  <c r="CQ410" s="1"/>
  <c r="CP410" s="1"/>
  <c r="CO410" s="1"/>
  <c r="CN410" s="1"/>
  <c r="CM410" s="1"/>
  <c r="CL410" s="1"/>
  <c r="CK410" s="1"/>
  <c r="CJ410" s="1"/>
  <c r="CI410" s="1"/>
  <c r="CX410"/>
  <c r="CT408"/>
  <c r="CS408" s="1"/>
  <c r="CR408" s="1"/>
  <c r="CQ408" s="1"/>
  <c r="CP408" s="1"/>
  <c r="CO408" s="1"/>
  <c r="CN408" s="1"/>
  <c r="CM408" s="1"/>
  <c r="CL408" s="1"/>
  <c r="CK408" s="1"/>
  <c r="CJ408" s="1"/>
  <c r="CI408" s="1"/>
  <c r="CX408"/>
  <c r="CT406"/>
  <c r="CS406" s="1"/>
  <c r="CR406" s="1"/>
  <c r="CQ406" s="1"/>
  <c r="CP406" s="1"/>
  <c r="CO406" s="1"/>
  <c r="CN406" s="1"/>
  <c r="CM406" s="1"/>
  <c r="CL406" s="1"/>
  <c r="CK406" s="1"/>
  <c r="CJ406" s="1"/>
  <c r="CI406" s="1"/>
  <c r="CX406"/>
  <c r="CT404"/>
  <c r="CS404" s="1"/>
  <c r="CR404" s="1"/>
  <c r="CQ404" s="1"/>
  <c r="CP404" s="1"/>
  <c r="CO404" s="1"/>
  <c r="CN404" s="1"/>
  <c r="CM404" s="1"/>
  <c r="CL404" s="1"/>
  <c r="CK404" s="1"/>
  <c r="CJ404" s="1"/>
  <c r="CI404" s="1"/>
  <c r="CX404"/>
  <c r="CT402"/>
  <c r="CS402" s="1"/>
  <c r="CR402" s="1"/>
  <c r="CQ402" s="1"/>
  <c r="CP402" s="1"/>
  <c r="CO402" s="1"/>
  <c r="CN402" s="1"/>
  <c r="CM402" s="1"/>
  <c r="CL402" s="1"/>
  <c r="CK402" s="1"/>
  <c r="CJ402" s="1"/>
  <c r="CI402" s="1"/>
  <c r="CX402"/>
  <c r="CT400"/>
  <c r="CS400" s="1"/>
  <c r="CR400" s="1"/>
  <c r="CQ400" s="1"/>
  <c r="CP400" s="1"/>
  <c r="CO400" s="1"/>
  <c r="CN400" s="1"/>
  <c r="CM400" s="1"/>
  <c r="CL400" s="1"/>
  <c r="CK400" s="1"/>
  <c r="CJ400" s="1"/>
  <c r="CI400" s="1"/>
  <c r="CX400"/>
  <c r="CT398"/>
  <c r="CS398" s="1"/>
  <c r="CR398" s="1"/>
  <c r="CQ398" s="1"/>
  <c r="CP398" s="1"/>
  <c r="CO398" s="1"/>
  <c r="CN398" s="1"/>
  <c r="CM398" s="1"/>
  <c r="CL398" s="1"/>
  <c r="CK398" s="1"/>
  <c r="CJ398" s="1"/>
  <c r="CI398" s="1"/>
  <c r="CX398"/>
  <c r="CT396"/>
  <c r="CS396" s="1"/>
  <c r="CR396" s="1"/>
  <c r="CQ396" s="1"/>
  <c r="CP396" s="1"/>
  <c r="CO396" s="1"/>
  <c r="CN396" s="1"/>
  <c r="CM396" s="1"/>
  <c r="CL396" s="1"/>
  <c r="CK396" s="1"/>
  <c r="CJ396" s="1"/>
  <c r="CI396" s="1"/>
  <c r="CX396"/>
  <c r="CT394"/>
  <c r="CS394" s="1"/>
  <c r="CR394" s="1"/>
  <c r="CQ394" s="1"/>
  <c r="CP394" s="1"/>
  <c r="CO394" s="1"/>
  <c r="CN394" s="1"/>
  <c r="CM394" s="1"/>
  <c r="CL394" s="1"/>
  <c r="CK394" s="1"/>
  <c r="CJ394" s="1"/>
  <c r="CI394" s="1"/>
  <c r="CX394"/>
  <c r="CT392"/>
  <c r="CS392" s="1"/>
  <c r="CR392" s="1"/>
  <c r="CQ392" s="1"/>
  <c r="CP392" s="1"/>
  <c r="CO392" s="1"/>
  <c r="CN392" s="1"/>
  <c r="CM392" s="1"/>
  <c r="CL392" s="1"/>
  <c r="CK392" s="1"/>
  <c r="CJ392" s="1"/>
  <c r="CI392" s="1"/>
  <c r="CX392"/>
  <c r="CT390"/>
  <c r="CS390" s="1"/>
  <c r="CR390" s="1"/>
  <c r="CQ390" s="1"/>
  <c r="CP390" s="1"/>
  <c r="CO390" s="1"/>
  <c r="CN390" s="1"/>
  <c r="CM390" s="1"/>
  <c r="CL390" s="1"/>
  <c r="CK390" s="1"/>
  <c r="CJ390" s="1"/>
  <c r="CI390" s="1"/>
  <c r="CX390"/>
  <c r="CT388"/>
  <c r="CS388" s="1"/>
  <c r="CR388" s="1"/>
  <c r="CQ388" s="1"/>
  <c r="CP388" s="1"/>
  <c r="CO388" s="1"/>
  <c r="CN388" s="1"/>
  <c r="CM388" s="1"/>
  <c r="CL388" s="1"/>
  <c r="CK388" s="1"/>
  <c r="CJ388" s="1"/>
  <c r="CI388" s="1"/>
  <c r="CX388"/>
  <c r="CT386"/>
  <c r="CS386" s="1"/>
  <c r="CR386" s="1"/>
  <c r="CQ386" s="1"/>
  <c r="CP386" s="1"/>
  <c r="CO386" s="1"/>
  <c r="CN386" s="1"/>
  <c r="CM386" s="1"/>
  <c r="CL386" s="1"/>
  <c r="CK386" s="1"/>
  <c r="CJ386" s="1"/>
  <c r="CI386" s="1"/>
  <c r="CX386"/>
  <c r="CT384"/>
  <c r="CS384" s="1"/>
  <c r="CR384" s="1"/>
  <c r="CQ384" s="1"/>
  <c r="CP384" s="1"/>
  <c r="CO384" s="1"/>
  <c r="CN384" s="1"/>
  <c r="CM384" s="1"/>
  <c r="CL384" s="1"/>
  <c r="CK384" s="1"/>
  <c r="CJ384" s="1"/>
  <c r="CI384" s="1"/>
  <c r="CX384"/>
  <c r="CT382"/>
  <c r="CS382" s="1"/>
  <c r="CR382" s="1"/>
  <c r="CQ382" s="1"/>
  <c r="CP382" s="1"/>
  <c r="CO382" s="1"/>
  <c r="CN382" s="1"/>
  <c r="CM382" s="1"/>
  <c r="CL382" s="1"/>
  <c r="CK382" s="1"/>
  <c r="CJ382" s="1"/>
  <c r="CI382" s="1"/>
  <c r="CX382"/>
  <c r="CT275"/>
  <c r="CS275" s="1"/>
  <c r="CR275" s="1"/>
  <c r="CQ275" s="1"/>
  <c r="CP275" s="1"/>
  <c r="CO275" s="1"/>
  <c r="CN275" s="1"/>
  <c r="CM275" s="1"/>
  <c r="CL275" s="1"/>
  <c r="CK275" s="1"/>
  <c r="CJ275" s="1"/>
  <c r="CI275" s="1"/>
  <c r="CX275"/>
  <c r="CT274"/>
  <c r="CS274" s="1"/>
  <c r="CR274" s="1"/>
  <c r="CQ274" s="1"/>
  <c r="CP274" s="1"/>
  <c r="CO274" s="1"/>
  <c r="CN274" s="1"/>
  <c r="CM274" s="1"/>
  <c r="CL274" s="1"/>
  <c r="CK274" s="1"/>
  <c r="CJ274" s="1"/>
  <c r="CI274" s="1"/>
  <c r="CX274"/>
  <c r="CT273"/>
  <c r="CS273" s="1"/>
  <c r="CR273" s="1"/>
  <c r="CQ273" s="1"/>
  <c r="CP273" s="1"/>
  <c r="CO273" s="1"/>
  <c r="CN273" s="1"/>
  <c r="CM273" s="1"/>
  <c r="CL273" s="1"/>
  <c r="CK273" s="1"/>
  <c r="CJ273" s="1"/>
  <c r="CI273" s="1"/>
  <c r="CX273"/>
  <c r="CT272"/>
  <c r="CS272" s="1"/>
  <c r="CR272" s="1"/>
  <c r="CQ272" s="1"/>
  <c r="CP272" s="1"/>
  <c r="CO272" s="1"/>
  <c r="CN272" s="1"/>
  <c r="CM272" s="1"/>
  <c r="CL272" s="1"/>
  <c r="CK272" s="1"/>
  <c r="CJ272" s="1"/>
  <c r="CI272" s="1"/>
  <c r="CX272"/>
  <c r="CT271"/>
  <c r="CS271" s="1"/>
  <c r="CR271" s="1"/>
  <c r="CQ271" s="1"/>
  <c r="CP271" s="1"/>
  <c r="CO271" s="1"/>
  <c r="CN271" s="1"/>
  <c r="CM271" s="1"/>
  <c r="CL271" s="1"/>
  <c r="CK271" s="1"/>
  <c r="CJ271" s="1"/>
  <c r="CI271" s="1"/>
  <c r="CX271"/>
  <c r="CT270"/>
  <c r="CS270" s="1"/>
  <c r="CR270" s="1"/>
  <c r="CQ270" s="1"/>
  <c r="CP270" s="1"/>
  <c r="CO270" s="1"/>
  <c r="CN270" s="1"/>
  <c r="CM270" s="1"/>
  <c r="CL270" s="1"/>
  <c r="CK270" s="1"/>
  <c r="CJ270" s="1"/>
  <c r="CI270" s="1"/>
  <c r="CX270"/>
  <c r="CT269"/>
  <c r="CS269" s="1"/>
  <c r="CR269" s="1"/>
  <c r="CQ269" s="1"/>
  <c r="CP269" s="1"/>
  <c r="CO269" s="1"/>
  <c r="CN269" s="1"/>
  <c r="CM269" s="1"/>
  <c r="CL269" s="1"/>
  <c r="CK269" s="1"/>
  <c r="CJ269" s="1"/>
  <c r="CI269" s="1"/>
  <c r="CX269"/>
  <c r="CT268"/>
  <c r="CS268" s="1"/>
  <c r="CR268" s="1"/>
  <c r="CQ268" s="1"/>
  <c r="CP268" s="1"/>
  <c r="CO268" s="1"/>
  <c r="CN268" s="1"/>
  <c r="CM268" s="1"/>
  <c r="CL268" s="1"/>
  <c r="CK268" s="1"/>
  <c r="CJ268" s="1"/>
  <c r="CI268" s="1"/>
  <c r="CX268"/>
  <c r="CT267"/>
  <c r="CS267" s="1"/>
  <c r="CR267" s="1"/>
  <c r="CQ267" s="1"/>
  <c r="CP267" s="1"/>
  <c r="CO267" s="1"/>
  <c r="CN267" s="1"/>
  <c r="CM267" s="1"/>
  <c r="CL267" s="1"/>
  <c r="CK267" s="1"/>
  <c r="CJ267" s="1"/>
  <c r="CI267" s="1"/>
  <c r="CX267"/>
  <c r="CT266"/>
  <c r="CS266" s="1"/>
  <c r="CR266" s="1"/>
  <c r="CQ266" s="1"/>
  <c r="CP266" s="1"/>
  <c r="CO266" s="1"/>
  <c r="CN266" s="1"/>
  <c r="CM266" s="1"/>
  <c r="CL266" s="1"/>
  <c r="CK266" s="1"/>
  <c r="CJ266" s="1"/>
  <c r="CI266" s="1"/>
  <c r="CX266"/>
  <c r="CT265"/>
  <c r="CS265" s="1"/>
  <c r="CR265" s="1"/>
  <c r="CQ265" s="1"/>
  <c r="CP265" s="1"/>
  <c r="CO265" s="1"/>
  <c r="CN265" s="1"/>
  <c r="CM265" s="1"/>
  <c r="CL265" s="1"/>
  <c r="CK265" s="1"/>
  <c r="CJ265" s="1"/>
  <c r="CI265" s="1"/>
  <c r="CX265"/>
  <c r="CT264"/>
  <c r="CS264" s="1"/>
  <c r="CR264" s="1"/>
  <c r="CQ264" s="1"/>
  <c r="CP264" s="1"/>
  <c r="CO264" s="1"/>
  <c r="CN264" s="1"/>
  <c r="CM264" s="1"/>
  <c r="CL264" s="1"/>
  <c r="CK264" s="1"/>
  <c r="CJ264" s="1"/>
  <c r="CI264" s="1"/>
  <c r="CX264"/>
  <c r="CT263"/>
  <c r="CS263" s="1"/>
  <c r="CR263" s="1"/>
  <c r="CQ263" s="1"/>
  <c r="CP263" s="1"/>
  <c r="CO263" s="1"/>
  <c r="CN263" s="1"/>
  <c r="CM263" s="1"/>
  <c r="CL263" s="1"/>
  <c r="CK263" s="1"/>
  <c r="CJ263" s="1"/>
  <c r="CI263" s="1"/>
  <c r="CX263"/>
  <c r="CT262"/>
  <c r="CS262" s="1"/>
  <c r="CR262" s="1"/>
  <c r="CQ262" s="1"/>
  <c r="CP262" s="1"/>
  <c r="CO262" s="1"/>
  <c r="CN262" s="1"/>
  <c r="CM262" s="1"/>
  <c r="CL262" s="1"/>
  <c r="CK262" s="1"/>
  <c r="CJ262" s="1"/>
  <c r="CI262" s="1"/>
  <c r="CX262"/>
  <c r="CT261"/>
  <c r="CS261" s="1"/>
  <c r="CR261" s="1"/>
  <c r="CQ261" s="1"/>
  <c r="CP261" s="1"/>
  <c r="CO261" s="1"/>
  <c r="CN261" s="1"/>
  <c r="CM261" s="1"/>
  <c r="CL261" s="1"/>
  <c r="CK261" s="1"/>
  <c r="CJ261" s="1"/>
  <c r="CI261" s="1"/>
  <c r="CX261"/>
  <c r="CT260"/>
  <c r="CS260" s="1"/>
  <c r="CR260" s="1"/>
  <c r="CQ260" s="1"/>
  <c r="CP260" s="1"/>
  <c r="CO260" s="1"/>
  <c r="CN260" s="1"/>
  <c r="CM260" s="1"/>
  <c r="CL260" s="1"/>
  <c r="CK260" s="1"/>
  <c r="CJ260" s="1"/>
  <c r="CI260" s="1"/>
  <c r="CX260"/>
  <c r="CT259"/>
  <c r="CS259" s="1"/>
  <c r="CR259" s="1"/>
  <c r="CQ259" s="1"/>
  <c r="CP259" s="1"/>
  <c r="CO259" s="1"/>
  <c r="CN259" s="1"/>
  <c r="CM259" s="1"/>
  <c r="CL259" s="1"/>
  <c r="CK259" s="1"/>
  <c r="CJ259" s="1"/>
  <c r="CI259" s="1"/>
  <c r="CX259"/>
  <c r="CT258"/>
  <c r="CS258" s="1"/>
  <c r="CR258" s="1"/>
  <c r="CQ258" s="1"/>
  <c r="CP258" s="1"/>
  <c r="CO258" s="1"/>
  <c r="CN258" s="1"/>
  <c r="CM258" s="1"/>
  <c r="CL258" s="1"/>
  <c r="CK258" s="1"/>
  <c r="CJ258" s="1"/>
  <c r="CI258" s="1"/>
  <c r="CX258"/>
  <c r="CT257"/>
  <c r="CS257" s="1"/>
  <c r="CR257" s="1"/>
  <c r="CQ257" s="1"/>
  <c r="CP257" s="1"/>
  <c r="CO257" s="1"/>
  <c r="CN257" s="1"/>
  <c r="CM257" s="1"/>
  <c r="CL257" s="1"/>
  <c r="CK257" s="1"/>
  <c r="CJ257" s="1"/>
  <c r="CI257" s="1"/>
  <c r="CX257"/>
  <c r="CT256"/>
  <c r="CS256" s="1"/>
  <c r="CR256" s="1"/>
  <c r="CQ256" s="1"/>
  <c r="CP256" s="1"/>
  <c r="CO256" s="1"/>
  <c r="CN256" s="1"/>
  <c r="CM256" s="1"/>
  <c r="CL256" s="1"/>
  <c r="CK256" s="1"/>
  <c r="CJ256" s="1"/>
  <c r="CI256" s="1"/>
  <c r="CX256"/>
  <c r="CT255"/>
  <c r="CS255" s="1"/>
  <c r="CR255" s="1"/>
  <c r="CQ255" s="1"/>
  <c r="CP255" s="1"/>
  <c r="CO255" s="1"/>
  <c r="CN255" s="1"/>
  <c r="CM255" s="1"/>
  <c r="CL255" s="1"/>
  <c r="CK255" s="1"/>
  <c r="CJ255" s="1"/>
  <c r="CI255" s="1"/>
  <c r="CX255"/>
  <c r="CT254"/>
  <c r="CS254" s="1"/>
  <c r="CR254" s="1"/>
  <c r="CQ254" s="1"/>
  <c r="CP254" s="1"/>
  <c r="CO254" s="1"/>
  <c r="CN254" s="1"/>
  <c r="CM254" s="1"/>
  <c r="CL254" s="1"/>
  <c r="CK254" s="1"/>
  <c r="CJ254" s="1"/>
  <c r="CI254" s="1"/>
  <c r="CX254"/>
  <c r="CT253"/>
  <c r="CS253" s="1"/>
  <c r="CR253" s="1"/>
  <c r="CQ253" s="1"/>
  <c r="CP253" s="1"/>
  <c r="CO253" s="1"/>
  <c r="CN253" s="1"/>
  <c r="CM253" s="1"/>
  <c r="CL253" s="1"/>
  <c r="CK253" s="1"/>
  <c r="CJ253" s="1"/>
  <c r="CI253" s="1"/>
  <c r="CX253"/>
  <c r="CT252"/>
  <c r="CS252" s="1"/>
  <c r="CR252" s="1"/>
  <c r="CQ252" s="1"/>
  <c r="CP252" s="1"/>
  <c r="CO252" s="1"/>
  <c r="CN252" s="1"/>
  <c r="CM252" s="1"/>
  <c r="CL252" s="1"/>
  <c r="CK252" s="1"/>
  <c r="CJ252" s="1"/>
  <c r="CI252" s="1"/>
  <c r="CX252"/>
  <c r="CT251"/>
  <c r="CS251" s="1"/>
  <c r="CR251" s="1"/>
  <c r="CX251"/>
  <c r="CX2" s="1"/>
  <c r="CW2"/>
  <c r="CT250"/>
  <c r="CS250" s="1"/>
  <c r="CR250" s="1"/>
  <c r="CQ250" s="1"/>
  <c r="CP250" s="1"/>
  <c r="CO250" s="1"/>
  <c r="CN250" s="1"/>
  <c r="CM250" s="1"/>
  <c r="CL250" s="1"/>
  <c r="CK250" s="1"/>
  <c r="CJ250" s="1"/>
  <c r="CI250" s="1"/>
  <c r="CX250"/>
  <c r="CT249"/>
  <c r="CS249" s="1"/>
  <c r="CR249" s="1"/>
  <c r="CQ249" s="1"/>
  <c r="CP249" s="1"/>
  <c r="CO249" s="1"/>
  <c r="CN249" s="1"/>
  <c r="CM249" s="1"/>
  <c r="CL249" s="1"/>
  <c r="CK249" s="1"/>
  <c r="CJ249" s="1"/>
  <c r="CI249" s="1"/>
  <c r="CX249"/>
  <c r="CT248"/>
  <c r="CS248" s="1"/>
  <c r="CR248" s="1"/>
  <c r="CQ248" s="1"/>
  <c r="CP248" s="1"/>
  <c r="CO248" s="1"/>
  <c r="CN248" s="1"/>
  <c r="CM248" s="1"/>
  <c r="CL248" s="1"/>
  <c r="CK248" s="1"/>
  <c r="CJ248" s="1"/>
  <c r="CI248" s="1"/>
  <c r="CX248"/>
  <c r="CT247"/>
  <c r="CS247" s="1"/>
  <c r="CR247" s="1"/>
  <c r="CQ247" s="1"/>
  <c r="CP247" s="1"/>
  <c r="CO247" s="1"/>
  <c r="CN247" s="1"/>
  <c r="CM247" s="1"/>
  <c r="CL247" s="1"/>
  <c r="CK247" s="1"/>
  <c r="CJ247" s="1"/>
  <c r="CI247" s="1"/>
  <c r="CX247"/>
  <c r="CT246"/>
  <c r="CS246" s="1"/>
  <c r="CR246" s="1"/>
  <c r="CQ246" s="1"/>
  <c r="CP246" s="1"/>
  <c r="CO246" s="1"/>
  <c r="CN246" s="1"/>
  <c r="CM246" s="1"/>
  <c r="CL246" s="1"/>
  <c r="CK246" s="1"/>
  <c r="CJ246" s="1"/>
  <c r="CI246" s="1"/>
  <c r="CX246"/>
  <c r="CT245"/>
  <c r="CS245" s="1"/>
  <c r="CR245" s="1"/>
  <c r="CQ245" s="1"/>
  <c r="CP245" s="1"/>
  <c r="CO245" s="1"/>
  <c r="CN245" s="1"/>
  <c r="CM245" s="1"/>
  <c r="CL245" s="1"/>
  <c r="CK245" s="1"/>
  <c r="CJ245" s="1"/>
  <c r="CI245" s="1"/>
  <c r="CX245"/>
  <c r="CT244"/>
  <c r="CS244" s="1"/>
  <c r="CR244" s="1"/>
  <c r="CQ244" s="1"/>
  <c r="CP244" s="1"/>
  <c r="CO244" s="1"/>
  <c r="CN244" s="1"/>
  <c r="CM244" s="1"/>
  <c r="CL244" s="1"/>
  <c r="CK244" s="1"/>
  <c r="CJ244" s="1"/>
  <c r="CI244" s="1"/>
  <c r="CX244"/>
  <c r="CT243"/>
  <c r="CS243" s="1"/>
  <c r="CR243" s="1"/>
  <c r="CQ243" s="1"/>
  <c r="CP243" s="1"/>
  <c r="CO243" s="1"/>
  <c r="CN243" s="1"/>
  <c r="CM243" s="1"/>
  <c r="CL243" s="1"/>
  <c r="CK243" s="1"/>
  <c r="CJ243" s="1"/>
  <c r="CI243" s="1"/>
  <c r="CX243"/>
  <c r="CT242"/>
  <c r="CS242" s="1"/>
  <c r="CR242" s="1"/>
  <c r="CQ242" s="1"/>
  <c r="CP242" s="1"/>
  <c r="CO242" s="1"/>
  <c r="CN242" s="1"/>
  <c r="CM242" s="1"/>
  <c r="CL242" s="1"/>
  <c r="CK242" s="1"/>
  <c r="CJ242" s="1"/>
  <c r="CI242" s="1"/>
  <c r="CX242"/>
  <c r="CT241"/>
  <c r="CS241" s="1"/>
  <c r="CR241" s="1"/>
  <c r="CQ241" s="1"/>
  <c r="CP241" s="1"/>
  <c r="CO241" s="1"/>
  <c r="CN241" s="1"/>
  <c r="CM241" s="1"/>
  <c r="CL241" s="1"/>
  <c r="CK241" s="1"/>
  <c r="CJ241" s="1"/>
  <c r="CI241" s="1"/>
  <c r="CX241"/>
  <c r="CT240"/>
  <c r="CS240" s="1"/>
  <c r="CR240" s="1"/>
  <c r="CQ240" s="1"/>
  <c r="CP240" s="1"/>
  <c r="CO240" s="1"/>
  <c r="CN240" s="1"/>
  <c r="CM240" s="1"/>
  <c r="CL240" s="1"/>
  <c r="CK240" s="1"/>
  <c r="CJ240" s="1"/>
  <c r="CI240" s="1"/>
  <c r="CX240"/>
  <c r="CT239"/>
  <c r="CX239"/>
  <c r="CT238"/>
  <c r="CS238" s="1"/>
  <c r="CR238" s="1"/>
  <c r="CQ238" s="1"/>
  <c r="CP238" s="1"/>
  <c r="CO238" s="1"/>
  <c r="CN238" s="1"/>
  <c r="CM238" s="1"/>
  <c r="CL238" s="1"/>
  <c r="CK238" s="1"/>
  <c r="CJ238" s="1"/>
  <c r="CI238" s="1"/>
  <c r="CX238"/>
  <c r="CT236"/>
  <c r="CS236" s="1"/>
  <c r="CR236" s="1"/>
  <c r="CQ236" s="1"/>
  <c r="CP236" s="1"/>
  <c r="CO236" s="1"/>
  <c r="CN236" s="1"/>
  <c r="CM236" s="1"/>
  <c r="CL236" s="1"/>
  <c r="CK236" s="1"/>
  <c r="CJ236" s="1"/>
  <c r="CI236" s="1"/>
  <c r="CX236"/>
  <c r="CT235"/>
  <c r="CS235" s="1"/>
  <c r="CR235" s="1"/>
  <c r="CQ235" s="1"/>
  <c r="CP235" s="1"/>
  <c r="CO235" s="1"/>
  <c r="CN235" s="1"/>
  <c r="CM235" s="1"/>
  <c r="CL235" s="1"/>
  <c r="CK235" s="1"/>
  <c r="CJ235" s="1"/>
  <c r="CI235" s="1"/>
  <c r="CX235"/>
  <c r="CT234"/>
  <c r="CS234" s="1"/>
  <c r="CR234" s="1"/>
  <c r="CQ234" s="1"/>
  <c r="CP234" s="1"/>
  <c r="CO234" s="1"/>
  <c r="CN234" s="1"/>
  <c r="CM234" s="1"/>
  <c r="CL234" s="1"/>
  <c r="CK234" s="1"/>
  <c r="CJ234" s="1"/>
  <c r="CI234" s="1"/>
  <c r="CX234"/>
  <c r="CT232"/>
  <c r="CS232" s="1"/>
  <c r="CR232" s="1"/>
  <c r="CQ232" s="1"/>
  <c r="CP232" s="1"/>
  <c r="CO232" s="1"/>
  <c r="CN232" s="1"/>
  <c r="CM232" s="1"/>
  <c r="CL232" s="1"/>
  <c r="CK232" s="1"/>
  <c r="CJ232" s="1"/>
  <c r="CI232" s="1"/>
  <c r="CX232"/>
  <c r="CT231"/>
  <c r="CS231" s="1"/>
  <c r="CR231" s="1"/>
  <c r="CQ231" s="1"/>
  <c r="CP231" s="1"/>
  <c r="CO231" s="1"/>
  <c r="CN231" s="1"/>
  <c r="CM231" s="1"/>
  <c r="CL231" s="1"/>
  <c r="CK231" s="1"/>
  <c r="CJ231" s="1"/>
  <c r="CI231" s="1"/>
  <c r="CX231"/>
  <c r="CT228"/>
  <c r="CS228" s="1"/>
  <c r="CR228" s="1"/>
  <c r="CQ228" s="1"/>
  <c r="CP228" s="1"/>
  <c r="CO228" s="1"/>
  <c r="CN228" s="1"/>
  <c r="CM228" s="1"/>
  <c r="CL228" s="1"/>
  <c r="CK228" s="1"/>
  <c r="CJ228" s="1"/>
  <c r="CI228" s="1"/>
  <c r="CX228"/>
  <c r="CT226"/>
  <c r="CS226" s="1"/>
  <c r="CR226" s="1"/>
  <c r="CQ226" s="1"/>
  <c r="CP226" s="1"/>
  <c r="CO226" s="1"/>
  <c r="CN226" s="1"/>
  <c r="CM226" s="1"/>
  <c r="CL226" s="1"/>
  <c r="CK226" s="1"/>
  <c r="CJ226" s="1"/>
  <c r="CI226" s="1"/>
  <c r="CX226"/>
  <c r="CT208"/>
  <c r="CS208" s="1"/>
  <c r="CR208" s="1"/>
  <c r="CQ208" s="1"/>
  <c r="CP208" s="1"/>
  <c r="CO208" s="1"/>
  <c r="CN208" s="1"/>
  <c r="CM208" s="1"/>
  <c r="CL208" s="1"/>
  <c r="CK208" s="1"/>
  <c r="CJ208" s="1"/>
  <c r="CI208" s="1"/>
  <c r="CX208"/>
  <c r="CT206"/>
  <c r="CS206" s="1"/>
  <c r="CR206" s="1"/>
  <c r="CQ206" s="1"/>
  <c r="CP206" s="1"/>
  <c r="CO206" s="1"/>
  <c r="CN206" s="1"/>
  <c r="CM206" s="1"/>
  <c r="CL206" s="1"/>
  <c r="CK206" s="1"/>
  <c r="CJ206" s="1"/>
  <c r="CI206" s="1"/>
  <c r="CX206"/>
  <c r="CT204"/>
  <c r="CS204" s="1"/>
  <c r="CR204" s="1"/>
  <c r="CQ204" s="1"/>
  <c r="CP204" s="1"/>
  <c r="CO204" s="1"/>
  <c r="CN204" s="1"/>
  <c r="CM204" s="1"/>
  <c r="CL204" s="1"/>
  <c r="CK204" s="1"/>
  <c r="CJ204" s="1"/>
  <c r="CI204" s="1"/>
  <c r="CX204"/>
  <c r="CT202"/>
  <c r="CS202" s="1"/>
  <c r="CR202" s="1"/>
  <c r="CQ202" s="1"/>
  <c r="CP202" s="1"/>
  <c r="CO202" s="1"/>
  <c r="CN202" s="1"/>
  <c r="CM202" s="1"/>
  <c r="CL202" s="1"/>
  <c r="CK202" s="1"/>
  <c r="CJ202" s="1"/>
  <c r="CI202" s="1"/>
  <c r="CX202"/>
  <c r="CT200"/>
  <c r="CS200" s="1"/>
  <c r="CR200" s="1"/>
  <c r="CQ200" s="1"/>
  <c r="CP200" s="1"/>
  <c r="CO200" s="1"/>
  <c r="CN200" s="1"/>
  <c r="CM200" s="1"/>
  <c r="CL200" s="1"/>
  <c r="CK200" s="1"/>
  <c r="CJ200" s="1"/>
  <c r="CI200" s="1"/>
  <c r="CX200"/>
  <c r="CT198"/>
  <c r="CS198" s="1"/>
  <c r="CR198" s="1"/>
  <c r="CQ198" s="1"/>
  <c r="CP198" s="1"/>
  <c r="CO198" s="1"/>
  <c r="CN198" s="1"/>
  <c r="CM198" s="1"/>
  <c r="CL198" s="1"/>
  <c r="CK198" s="1"/>
  <c r="CJ198" s="1"/>
  <c r="CI198" s="1"/>
  <c r="CX198"/>
  <c r="CT196"/>
  <c r="CS196" s="1"/>
  <c r="CR196" s="1"/>
  <c r="CQ196" s="1"/>
  <c r="CP196" s="1"/>
  <c r="CO196" s="1"/>
  <c r="CN196" s="1"/>
  <c r="CM196" s="1"/>
  <c r="CL196" s="1"/>
  <c r="CK196" s="1"/>
  <c r="CJ196" s="1"/>
  <c r="CI196" s="1"/>
  <c r="CX196"/>
  <c r="CT194"/>
  <c r="CS194" s="1"/>
  <c r="CR194" s="1"/>
  <c r="CQ194" s="1"/>
  <c r="CP194" s="1"/>
  <c r="CO194" s="1"/>
  <c r="CN194" s="1"/>
  <c r="CM194" s="1"/>
  <c r="CL194" s="1"/>
  <c r="CK194" s="1"/>
  <c r="CJ194" s="1"/>
  <c r="CI194" s="1"/>
  <c r="CX194"/>
  <c r="CT192"/>
  <c r="CS192" s="1"/>
  <c r="CR192" s="1"/>
  <c r="CQ192" s="1"/>
  <c r="CP192" s="1"/>
  <c r="CO192" s="1"/>
  <c r="CN192" s="1"/>
  <c r="CM192" s="1"/>
  <c r="CL192" s="1"/>
  <c r="CK192" s="1"/>
  <c r="CJ192" s="1"/>
  <c r="CI192" s="1"/>
  <c r="CX192"/>
  <c r="CT190"/>
  <c r="CS190" s="1"/>
  <c r="CR190" s="1"/>
  <c r="CQ190" s="1"/>
  <c r="CP190" s="1"/>
  <c r="CO190" s="1"/>
  <c r="CN190" s="1"/>
  <c r="CM190" s="1"/>
  <c r="CL190" s="1"/>
  <c r="CK190" s="1"/>
  <c r="CJ190" s="1"/>
  <c r="CI190" s="1"/>
  <c r="CX190"/>
  <c r="CT188"/>
  <c r="CS188" s="1"/>
  <c r="CR188" s="1"/>
  <c r="CQ188" s="1"/>
  <c r="CP188" s="1"/>
  <c r="CO188" s="1"/>
  <c r="CN188" s="1"/>
  <c r="CM188" s="1"/>
  <c r="CL188" s="1"/>
  <c r="CK188" s="1"/>
  <c r="CJ188" s="1"/>
  <c r="CI188" s="1"/>
  <c r="CX188"/>
  <c r="CT186"/>
  <c r="CS186" s="1"/>
  <c r="CR186" s="1"/>
  <c r="CQ186" s="1"/>
  <c r="CP186" s="1"/>
  <c r="CO186" s="1"/>
  <c r="CN186" s="1"/>
  <c r="CM186" s="1"/>
  <c r="CL186" s="1"/>
  <c r="CK186" s="1"/>
  <c r="CJ186" s="1"/>
  <c r="CI186" s="1"/>
  <c r="CX186"/>
  <c r="CT184"/>
  <c r="CS184" s="1"/>
  <c r="CR184" s="1"/>
  <c r="CQ184" s="1"/>
  <c r="CP184" s="1"/>
  <c r="CO184" s="1"/>
  <c r="CN184" s="1"/>
  <c r="CM184" s="1"/>
  <c r="CL184" s="1"/>
  <c r="CK184" s="1"/>
  <c r="CJ184" s="1"/>
  <c r="CI184" s="1"/>
  <c r="CX184"/>
  <c r="CT182"/>
  <c r="CS182" s="1"/>
  <c r="CR182" s="1"/>
  <c r="CQ182" s="1"/>
  <c r="CP182" s="1"/>
  <c r="CO182" s="1"/>
  <c r="CN182" s="1"/>
  <c r="CM182" s="1"/>
  <c r="CL182" s="1"/>
  <c r="CK182" s="1"/>
  <c r="CJ182" s="1"/>
  <c r="CI182" s="1"/>
  <c r="CX182"/>
  <c r="CT180"/>
  <c r="CS180" s="1"/>
  <c r="CR180" s="1"/>
  <c r="CQ180" s="1"/>
  <c r="CP180" s="1"/>
  <c r="CO180" s="1"/>
  <c r="CN180" s="1"/>
  <c r="CM180" s="1"/>
  <c r="CL180" s="1"/>
  <c r="CK180" s="1"/>
  <c r="CJ180" s="1"/>
  <c r="CI180" s="1"/>
  <c r="CX180"/>
  <c r="CT178"/>
  <c r="CS178" s="1"/>
  <c r="CR178" s="1"/>
  <c r="CQ178" s="1"/>
  <c r="CP178" s="1"/>
  <c r="CO178" s="1"/>
  <c r="CN178" s="1"/>
  <c r="CM178" s="1"/>
  <c r="CL178" s="1"/>
  <c r="CK178" s="1"/>
  <c r="CJ178" s="1"/>
  <c r="CI178" s="1"/>
  <c r="CX178"/>
  <c r="CT176"/>
  <c r="CS176" s="1"/>
  <c r="CR176" s="1"/>
  <c r="CQ176" s="1"/>
  <c r="CP176" s="1"/>
  <c r="CO176" s="1"/>
  <c r="CN176" s="1"/>
  <c r="CM176" s="1"/>
  <c r="CL176" s="1"/>
  <c r="CK176" s="1"/>
  <c r="CJ176" s="1"/>
  <c r="CI176" s="1"/>
  <c r="CX176"/>
  <c r="CT174"/>
  <c r="CS174" s="1"/>
  <c r="CR174" s="1"/>
  <c r="CQ174" s="1"/>
  <c r="CP174" s="1"/>
  <c r="CO174" s="1"/>
  <c r="CN174" s="1"/>
  <c r="CM174" s="1"/>
  <c r="CL174" s="1"/>
  <c r="CK174" s="1"/>
  <c r="CJ174" s="1"/>
  <c r="CI174" s="1"/>
  <c r="CX174"/>
  <c r="CT172"/>
  <c r="CS172" s="1"/>
  <c r="CR172" s="1"/>
  <c r="CQ172" s="1"/>
  <c r="CP172" s="1"/>
  <c r="CO172" s="1"/>
  <c r="CN172" s="1"/>
  <c r="CM172" s="1"/>
  <c r="CL172" s="1"/>
  <c r="CK172" s="1"/>
  <c r="CJ172" s="1"/>
  <c r="CI172" s="1"/>
  <c r="CX172"/>
  <c r="CT170"/>
  <c r="CS170" s="1"/>
  <c r="CR170" s="1"/>
  <c r="CQ170" s="1"/>
  <c r="CP170" s="1"/>
  <c r="CO170" s="1"/>
  <c r="CN170" s="1"/>
  <c r="CM170" s="1"/>
  <c r="CL170" s="1"/>
  <c r="CK170" s="1"/>
  <c r="CJ170" s="1"/>
  <c r="CI170" s="1"/>
  <c r="CX170"/>
  <c r="CT168"/>
  <c r="CS168" s="1"/>
  <c r="CR168" s="1"/>
  <c r="CQ168" s="1"/>
  <c r="CP168" s="1"/>
  <c r="CO168" s="1"/>
  <c r="CN168" s="1"/>
  <c r="CM168" s="1"/>
  <c r="CL168" s="1"/>
  <c r="CK168" s="1"/>
  <c r="CJ168" s="1"/>
  <c r="CI168" s="1"/>
  <c r="CX168"/>
  <c r="CT166"/>
  <c r="CS166" s="1"/>
  <c r="CR166" s="1"/>
  <c r="CQ166" s="1"/>
  <c r="CP166" s="1"/>
  <c r="CO166" s="1"/>
  <c r="CN166" s="1"/>
  <c r="CM166" s="1"/>
  <c r="CL166" s="1"/>
  <c r="CK166" s="1"/>
  <c r="CJ166" s="1"/>
  <c r="CI166" s="1"/>
  <c r="CX166"/>
  <c r="CT164"/>
  <c r="CS164" s="1"/>
  <c r="CR164" s="1"/>
  <c r="CQ164" s="1"/>
  <c r="CP164" s="1"/>
  <c r="CO164" s="1"/>
  <c r="CN164" s="1"/>
  <c r="CM164" s="1"/>
  <c r="CL164" s="1"/>
  <c r="CK164" s="1"/>
  <c r="CJ164" s="1"/>
  <c r="CI164" s="1"/>
  <c r="CX164"/>
  <c r="CT162"/>
  <c r="CS162" s="1"/>
  <c r="CR162" s="1"/>
  <c r="CQ162" s="1"/>
  <c r="CP162" s="1"/>
  <c r="CO162" s="1"/>
  <c r="CN162" s="1"/>
  <c r="CM162" s="1"/>
  <c r="CL162" s="1"/>
  <c r="CK162" s="1"/>
  <c r="CJ162" s="1"/>
  <c r="CI162" s="1"/>
  <c r="CX162"/>
  <c r="CT160"/>
  <c r="CS160" s="1"/>
  <c r="CR160" s="1"/>
  <c r="CQ160" s="1"/>
  <c r="CP160" s="1"/>
  <c r="CO160" s="1"/>
  <c r="CN160" s="1"/>
  <c r="CM160" s="1"/>
  <c r="CL160" s="1"/>
  <c r="CK160" s="1"/>
  <c r="CJ160" s="1"/>
  <c r="CI160" s="1"/>
  <c r="CX160"/>
  <c r="CT158"/>
  <c r="CS158" s="1"/>
  <c r="CR158" s="1"/>
  <c r="CQ158" s="1"/>
  <c r="CP158" s="1"/>
  <c r="CO158" s="1"/>
  <c r="CN158" s="1"/>
  <c r="CM158" s="1"/>
  <c r="CL158" s="1"/>
  <c r="CK158" s="1"/>
  <c r="CJ158" s="1"/>
  <c r="CI158" s="1"/>
  <c r="CX158"/>
  <c r="CT156"/>
  <c r="CS156" s="1"/>
  <c r="CR156" s="1"/>
  <c r="CQ156" s="1"/>
  <c r="CP156" s="1"/>
  <c r="CO156" s="1"/>
  <c r="CN156" s="1"/>
  <c r="CM156" s="1"/>
  <c r="CL156" s="1"/>
  <c r="CK156" s="1"/>
  <c r="CJ156" s="1"/>
  <c r="CI156" s="1"/>
  <c r="CX156"/>
  <c r="CT154"/>
  <c r="CS154" s="1"/>
  <c r="CR154" s="1"/>
  <c r="CQ154" s="1"/>
  <c r="CP154" s="1"/>
  <c r="CO154" s="1"/>
  <c r="CN154" s="1"/>
  <c r="CM154" s="1"/>
  <c r="CL154" s="1"/>
  <c r="CK154" s="1"/>
  <c r="CJ154" s="1"/>
  <c r="CI154" s="1"/>
  <c r="CX154"/>
  <c r="CT152"/>
  <c r="CS152" s="1"/>
  <c r="CR152" s="1"/>
  <c r="CQ152" s="1"/>
  <c r="CP152" s="1"/>
  <c r="CO152" s="1"/>
  <c r="CN152" s="1"/>
  <c r="CM152" s="1"/>
  <c r="CL152" s="1"/>
  <c r="CK152" s="1"/>
  <c r="CJ152" s="1"/>
  <c r="CI152" s="1"/>
  <c r="CX152"/>
  <c r="CT150"/>
  <c r="CS150" s="1"/>
  <c r="CR150" s="1"/>
  <c r="CQ150" s="1"/>
  <c r="CP150" s="1"/>
  <c r="CO150" s="1"/>
  <c r="CN150" s="1"/>
  <c r="CM150" s="1"/>
  <c r="CL150" s="1"/>
  <c r="CK150" s="1"/>
  <c r="CJ150" s="1"/>
  <c r="CI150" s="1"/>
  <c r="CX150"/>
  <c r="CT148"/>
  <c r="CS148" s="1"/>
  <c r="CR148" s="1"/>
  <c r="CQ148" s="1"/>
  <c r="CP148" s="1"/>
  <c r="CO148" s="1"/>
  <c r="CN148" s="1"/>
  <c r="CM148" s="1"/>
  <c r="CL148" s="1"/>
  <c r="CK148" s="1"/>
  <c r="CJ148" s="1"/>
  <c r="CI148" s="1"/>
  <c r="CX148"/>
  <c r="CT146"/>
  <c r="CS146" s="1"/>
  <c r="CR146" s="1"/>
  <c r="CQ146" s="1"/>
  <c r="CP146" s="1"/>
  <c r="CO146" s="1"/>
  <c r="CN146" s="1"/>
  <c r="CM146" s="1"/>
  <c r="CL146" s="1"/>
  <c r="CK146" s="1"/>
  <c r="CJ146" s="1"/>
  <c r="CI146" s="1"/>
  <c r="CX146"/>
  <c r="CT144"/>
  <c r="CS144" s="1"/>
  <c r="CR144" s="1"/>
  <c r="CQ144" s="1"/>
  <c r="CP144" s="1"/>
  <c r="CO144" s="1"/>
  <c r="CN144" s="1"/>
  <c r="CM144" s="1"/>
  <c r="CL144" s="1"/>
  <c r="CK144" s="1"/>
  <c r="CJ144" s="1"/>
  <c r="CI144" s="1"/>
  <c r="CX144"/>
  <c r="CT142"/>
  <c r="CS142" s="1"/>
  <c r="CR142" s="1"/>
  <c r="CQ142" s="1"/>
  <c r="CP142" s="1"/>
  <c r="CO142" s="1"/>
  <c r="CN142" s="1"/>
  <c r="CM142" s="1"/>
  <c r="CL142" s="1"/>
  <c r="CK142" s="1"/>
  <c r="CJ142" s="1"/>
  <c r="CI142" s="1"/>
  <c r="CX142"/>
  <c r="CT140"/>
  <c r="CS140" s="1"/>
  <c r="CR140" s="1"/>
  <c r="CQ140" s="1"/>
  <c r="CP140" s="1"/>
  <c r="CO140" s="1"/>
  <c r="CN140" s="1"/>
  <c r="CM140" s="1"/>
  <c r="CL140" s="1"/>
  <c r="CK140" s="1"/>
  <c r="CJ140" s="1"/>
  <c r="CI140" s="1"/>
  <c r="CX140"/>
  <c r="CT138"/>
  <c r="CS138" s="1"/>
  <c r="CR138" s="1"/>
  <c r="CQ138" s="1"/>
  <c r="CP138" s="1"/>
  <c r="CO138" s="1"/>
  <c r="CN138" s="1"/>
  <c r="CM138" s="1"/>
  <c r="CL138" s="1"/>
  <c r="CK138" s="1"/>
  <c r="CJ138" s="1"/>
  <c r="CI138" s="1"/>
  <c r="CX138"/>
  <c r="CT136"/>
  <c r="CS136" s="1"/>
  <c r="CR136" s="1"/>
  <c r="CQ136" s="1"/>
  <c r="CP136" s="1"/>
  <c r="CO136" s="1"/>
  <c r="CN136" s="1"/>
  <c r="CM136" s="1"/>
  <c r="CL136" s="1"/>
  <c r="CK136" s="1"/>
  <c r="CJ136" s="1"/>
  <c r="CI136" s="1"/>
  <c r="CX136"/>
  <c r="CT134"/>
  <c r="CS134" s="1"/>
  <c r="CR134" s="1"/>
  <c r="CQ134" s="1"/>
  <c r="CP134" s="1"/>
  <c r="CO134" s="1"/>
  <c r="CN134" s="1"/>
  <c r="CM134" s="1"/>
  <c r="CL134" s="1"/>
  <c r="CK134" s="1"/>
  <c r="CJ134" s="1"/>
  <c r="CI134" s="1"/>
  <c r="CX134"/>
  <c r="CT132"/>
  <c r="CS132" s="1"/>
  <c r="CR132" s="1"/>
  <c r="CQ132" s="1"/>
  <c r="CP132" s="1"/>
  <c r="CO132" s="1"/>
  <c r="CN132" s="1"/>
  <c r="CM132" s="1"/>
  <c r="CL132" s="1"/>
  <c r="CK132" s="1"/>
  <c r="CJ132" s="1"/>
  <c r="CI132" s="1"/>
  <c r="CX132"/>
  <c r="CT130"/>
  <c r="CS130" s="1"/>
  <c r="CR130" s="1"/>
  <c r="CQ130" s="1"/>
  <c r="CP130" s="1"/>
  <c r="CO130" s="1"/>
  <c r="CN130" s="1"/>
  <c r="CM130" s="1"/>
  <c r="CL130" s="1"/>
  <c r="CK130" s="1"/>
  <c r="CJ130" s="1"/>
  <c r="CI130" s="1"/>
  <c r="CX130"/>
  <c r="CT128"/>
  <c r="CS128" s="1"/>
  <c r="CR128" s="1"/>
  <c r="CQ128" s="1"/>
  <c r="CP128" s="1"/>
  <c r="CO128" s="1"/>
  <c r="CN128" s="1"/>
  <c r="CM128" s="1"/>
  <c r="CL128" s="1"/>
  <c r="CK128" s="1"/>
  <c r="CJ128" s="1"/>
  <c r="CI128" s="1"/>
  <c r="CX128"/>
  <c r="CT126"/>
  <c r="CS126" s="1"/>
  <c r="CR126" s="1"/>
  <c r="CQ126" s="1"/>
  <c r="CP126" s="1"/>
  <c r="CO126" s="1"/>
  <c r="CN126" s="1"/>
  <c r="CM126" s="1"/>
  <c r="CL126" s="1"/>
  <c r="CK126" s="1"/>
  <c r="CJ126" s="1"/>
  <c r="CI126" s="1"/>
  <c r="CX126"/>
  <c r="CT124"/>
  <c r="CS124" s="1"/>
  <c r="CR124" s="1"/>
  <c r="CQ124" s="1"/>
  <c r="CP124" s="1"/>
  <c r="CO124" s="1"/>
  <c r="CN124" s="1"/>
  <c r="CM124" s="1"/>
  <c r="CL124" s="1"/>
  <c r="CK124" s="1"/>
  <c r="CJ124" s="1"/>
  <c r="CI124" s="1"/>
  <c r="CX124"/>
  <c r="CT11"/>
  <c r="CS11" s="1"/>
  <c r="CR11" s="1"/>
  <c r="CQ11" s="1"/>
  <c r="CP11" s="1"/>
  <c r="CO11" s="1"/>
  <c r="CN11" s="1"/>
  <c r="CM11" s="1"/>
  <c r="CL11" s="1"/>
  <c r="CK11" s="1"/>
  <c r="CJ11" s="1"/>
  <c r="CI11" s="1"/>
  <c r="CX11"/>
  <c r="CT6"/>
  <c r="CS6" s="1"/>
  <c r="CR6" s="1"/>
  <c r="CQ6" s="1"/>
  <c r="CP6" s="1"/>
  <c r="CO6" s="1"/>
  <c r="CN6" s="1"/>
  <c r="CM6" s="1"/>
  <c r="CL6" s="1"/>
  <c r="CK6" s="1"/>
  <c r="CJ6" s="1"/>
  <c r="CI6" s="1"/>
  <c r="CX6"/>
  <c r="CT5"/>
  <c r="CS5" s="1"/>
  <c r="CR5" s="1"/>
  <c r="CQ5" s="1"/>
  <c r="CP5" s="1"/>
  <c r="CO5" s="1"/>
  <c r="CN5" s="1"/>
  <c r="CM5" s="1"/>
  <c r="CL5" s="1"/>
  <c r="CK5" s="1"/>
  <c r="CJ5" s="1"/>
  <c r="CI5" s="1"/>
  <c r="CX5"/>
  <c r="CT952"/>
  <c r="CS952" s="1"/>
  <c r="CR952" s="1"/>
  <c r="CQ952" s="1"/>
  <c r="CP952" s="1"/>
  <c r="CO952" s="1"/>
  <c r="CN952" s="1"/>
  <c r="CM952" s="1"/>
  <c r="CL952" s="1"/>
  <c r="CK952" s="1"/>
  <c r="CJ952" s="1"/>
  <c r="CI952" s="1"/>
  <c r="CX952"/>
  <c r="CT949"/>
  <c r="CS949" s="1"/>
  <c r="CR949" s="1"/>
  <c r="CQ949" s="1"/>
  <c r="CP949" s="1"/>
  <c r="CO949" s="1"/>
  <c r="CN949" s="1"/>
  <c r="CM949" s="1"/>
  <c r="CL949" s="1"/>
  <c r="CK949" s="1"/>
  <c r="CJ949" s="1"/>
  <c r="CI949" s="1"/>
  <c r="CX949"/>
  <c r="CT951"/>
  <c r="CS951" s="1"/>
  <c r="CR951" s="1"/>
  <c r="CQ951" s="1"/>
  <c r="CP951" s="1"/>
  <c r="CO951" s="1"/>
  <c r="CN951" s="1"/>
  <c r="CM951" s="1"/>
  <c r="CL951" s="1"/>
  <c r="CK951" s="1"/>
  <c r="CJ951" s="1"/>
  <c r="CI951" s="1"/>
  <c r="CX951"/>
  <c r="CT947"/>
  <c r="CS947" s="1"/>
  <c r="CR947" s="1"/>
  <c r="CQ947" s="1"/>
  <c r="CP947" s="1"/>
  <c r="CO947" s="1"/>
  <c r="CN947" s="1"/>
  <c r="CM947" s="1"/>
  <c r="CL947" s="1"/>
  <c r="CK947" s="1"/>
  <c r="CJ947" s="1"/>
  <c r="CI947" s="1"/>
  <c r="CX947"/>
  <c r="CT943"/>
  <c r="CS943" s="1"/>
  <c r="CR943" s="1"/>
  <c r="CQ943" s="1"/>
  <c r="CP943" s="1"/>
  <c r="CO943" s="1"/>
  <c r="CN943" s="1"/>
  <c r="CM943" s="1"/>
  <c r="CL943" s="1"/>
  <c r="CK943" s="1"/>
  <c r="CJ943" s="1"/>
  <c r="CI943" s="1"/>
  <c r="CX943"/>
  <c r="CT939"/>
  <c r="CS939" s="1"/>
  <c r="CR939" s="1"/>
  <c r="CQ939" s="1"/>
  <c r="CP939" s="1"/>
  <c r="CO939" s="1"/>
  <c r="CN939" s="1"/>
  <c r="CM939" s="1"/>
  <c r="CL939" s="1"/>
  <c r="CK939" s="1"/>
  <c r="CJ939" s="1"/>
  <c r="CI939" s="1"/>
  <c r="CX939"/>
  <c r="CT895"/>
  <c r="CS895" s="1"/>
  <c r="CR895" s="1"/>
  <c r="CQ895" s="1"/>
  <c r="CP895" s="1"/>
  <c r="CO895" s="1"/>
  <c r="CN895" s="1"/>
  <c r="CM895" s="1"/>
  <c r="CL895" s="1"/>
  <c r="CK895" s="1"/>
  <c r="CJ895" s="1"/>
  <c r="CI895" s="1"/>
  <c r="CX895"/>
  <c r="CT891"/>
  <c r="CS891" s="1"/>
  <c r="CR891" s="1"/>
  <c r="CQ891" s="1"/>
  <c r="CP891" s="1"/>
  <c r="CO891" s="1"/>
  <c r="CN891" s="1"/>
  <c r="CM891" s="1"/>
  <c r="CL891" s="1"/>
  <c r="CK891" s="1"/>
  <c r="CJ891" s="1"/>
  <c r="CI891" s="1"/>
  <c r="CX891"/>
  <c r="CT887"/>
  <c r="CS887" s="1"/>
  <c r="CR887" s="1"/>
  <c r="CQ887" s="1"/>
  <c r="CP887" s="1"/>
  <c r="CO887" s="1"/>
  <c r="CN887" s="1"/>
  <c r="CM887" s="1"/>
  <c r="CL887" s="1"/>
  <c r="CK887" s="1"/>
  <c r="CJ887" s="1"/>
  <c r="CI887" s="1"/>
  <c r="CX887"/>
  <c r="CT885"/>
  <c r="CS885" s="1"/>
  <c r="CR885" s="1"/>
  <c r="CQ885" s="1"/>
  <c r="CP885" s="1"/>
  <c r="CO885" s="1"/>
  <c r="CN885" s="1"/>
  <c r="CM885" s="1"/>
  <c r="CL885" s="1"/>
  <c r="CK885" s="1"/>
  <c r="CJ885" s="1"/>
  <c r="CI885" s="1"/>
  <c r="CX885"/>
  <c r="CT883"/>
  <c r="CS883" s="1"/>
  <c r="CR883" s="1"/>
  <c r="CQ883" s="1"/>
  <c r="CP883" s="1"/>
  <c r="CO883" s="1"/>
  <c r="CN883" s="1"/>
  <c r="CM883" s="1"/>
  <c r="CL883" s="1"/>
  <c r="CK883" s="1"/>
  <c r="CJ883" s="1"/>
  <c r="CI883" s="1"/>
  <c r="CX883"/>
  <c r="CT869"/>
  <c r="CS869" s="1"/>
  <c r="CR869" s="1"/>
  <c r="CQ869" s="1"/>
  <c r="CP869" s="1"/>
  <c r="CO869" s="1"/>
  <c r="CN869" s="1"/>
  <c r="CM869" s="1"/>
  <c r="CL869" s="1"/>
  <c r="CK869" s="1"/>
  <c r="CJ869" s="1"/>
  <c r="CI869" s="1"/>
  <c r="CX869"/>
  <c r="CT867"/>
  <c r="CS867" s="1"/>
  <c r="CR867" s="1"/>
  <c r="CQ867" s="1"/>
  <c r="CP867" s="1"/>
  <c r="CO867" s="1"/>
  <c r="CN867" s="1"/>
  <c r="CM867" s="1"/>
  <c r="CL867" s="1"/>
  <c r="CK867" s="1"/>
  <c r="CJ867" s="1"/>
  <c r="CI867" s="1"/>
  <c r="CX867"/>
  <c r="CT864"/>
  <c r="CS864" s="1"/>
  <c r="CR864" s="1"/>
  <c r="CQ864" s="1"/>
  <c r="CP864" s="1"/>
  <c r="CO864" s="1"/>
  <c r="CN864" s="1"/>
  <c r="CM864" s="1"/>
  <c r="CL864" s="1"/>
  <c r="CK864" s="1"/>
  <c r="CJ864" s="1"/>
  <c r="CI864" s="1"/>
  <c r="CX864"/>
  <c r="CT863"/>
  <c r="CS863" s="1"/>
  <c r="CR863" s="1"/>
  <c r="CQ863" s="1"/>
  <c r="CP863" s="1"/>
  <c r="CO863" s="1"/>
  <c r="CN863" s="1"/>
  <c r="CM863" s="1"/>
  <c r="CL863" s="1"/>
  <c r="CK863" s="1"/>
  <c r="CJ863" s="1"/>
  <c r="CI863" s="1"/>
  <c r="CX863"/>
  <c r="CT860"/>
  <c r="CS860" s="1"/>
  <c r="CR860" s="1"/>
  <c r="CQ860" s="1"/>
  <c r="CP860" s="1"/>
  <c r="CO860" s="1"/>
  <c r="CN860" s="1"/>
  <c r="CM860" s="1"/>
  <c r="CL860" s="1"/>
  <c r="CK860" s="1"/>
  <c r="CJ860" s="1"/>
  <c r="CI860" s="1"/>
  <c r="CX860"/>
  <c r="CT859"/>
  <c r="CS859" s="1"/>
  <c r="CR859" s="1"/>
  <c r="CQ859" s="1"/>
  <c r="CP859" s="1"/>
  <c r="CO859" s="1"/>
  <c r="CN859" s="1"/>
  <c r="CM859" s="1"/>
  <c r="CL859" s="1"/>
  <c r="CK859" s="1"/>
  <c r="CJ859" s="1"/>
  <c r="CI859" s="1"/>
  <c r="CX859"/>
  <c r="CT856"/>
  <c r="CS856" s="1"/>
  <c r="CR856" s="1"/>
  <c r="CQ856" s="1"/>
  <c r="CP856" s="1"/>
  <c r="CO856" s="1"/>
  <c r="CN856" s="1"/>
  <c r="CM856" s="1"/>
  <c r="CL856" s="1"/>
  <c r="CK856" s="1"/>
  <c r="CJ856" s="1"/>
  <c r="CI856" s="1"/>
  <c r="CX856"/>
  <c r="CT855"/>
  <c r="CS855" s="1"/>
  <c r="CR855" s="1"/>
  <c r="CQ855" s="1"/>
  <c r="CP855" s="1"/>
  <c r="CO855" s="1"/>
  <c r="CN855" s="1"/>
  <c r="CM855" s="1"/>
  <c r="CL855" s="1"/>
  <c r="CK855" s="1"/>
  <c r="CJ855" s="1"/>
  <c r="CI855" s="1"/>
  <c r="CX855"/>
  <c r="CT852"/>
  <c r="CS852" s="1"/>
  <c r="CR852" s="1"/>
  <c r="CQ852" s="1"/>
  <c r="CP852" s="1"/>
  <c r="CO852" s="1"/>
  <c r="CN852" s="1"/>
  <c r="CM852" s="1"/>
  <c r="CL852" s="1"/>
  <c r="CK852" s="1"/>
  <c r="CJ852" s="1"/>
  <c r="CI852" s="1"/>
  <c r="CX852"/>
  <c r="CT851"/>
  <c r="CS851" s="1"/>
  <c r="CR851" s="1"/>
  <c r="CQ851" s="1"/>
  <c r="CP851" s="1"/>
  <c r="CO851" s="1"/>
  <c r="CN851" s="1"/>
  <c r="CM851" s="1"/>
  <c r="CL851" s="1"/>
  <c r="CK851" s="1"/>
  <c r="CJ851" s="1"/>
  <c r="CI851" s="1"/>
  <c r="CX851"/>
  <c r="CT848"/>
  <c r="CS848" s="1"/>
  <c r="CR848" s="1"/>
  <c r="CQ848" s="1"/>
  <c r="CP848" s="1"/>
  <c r="CO848" s="1"/>
  <c r="CN848" s="1"/>
  <c r="CM848" s="1"/>
  <c r="CL848" s="1"/>
  <c r="CK848" s="1"/>
  <c r="CJ848" s="1"/>
  <c r="CI848" s="1"/>
  <c r="CX848"/>
  <c r="CT847"/>
  <c r="CS847" s="1"/>
  <c r="CR847" s="1"/>
  <c r="CQ847" s="1"/>
  <c r="CP847" s="1"/>
  <c r="CO847" s="1"/>
  <c r="CN847" s="1"/>
  <c r="CM847" s="1"/>
  <c r="CL847" s="1"/>
  <c r="CK847" s="1"/>
  <c r="CJ847" s="1"/>
  <c r="CI847" s="1"/>
  <c r="CX847"/>
  <c r="CT844"/>
  <c r="CS844" s="1"/>
  <c r="CR844" s="1"/>
  <c r="CQ844" s="1"/>
  <c r="CP844" s="1"/>
  <c r="CO844" s="1"/>
  <c r="CN844" s="1"/>
  <c r="CM844" s="1"/>
  <c r="CL844" s="1"/>
  <c r="CK844" s="1"/>
  <c r="CJ844" s="1"/>
  <c r="CI844" s="1"/>
  <c r="CX844"/>
  <c r="CT843"/>
  <c r="CS843" s="1"/>
  <c r="CR843" s="1"/>
  <c r="CQ843" s="1"/>
  <c r="CP843" s="1"/>
  <c r="CO843" s="1"/>
  <c r="CN843" s="1"/>
  <c r="CM843" s="1"/>
  <c r="CL843" s="1"/>
  <c r="CK843" s="1"/>
  <c r="CJ843" s="1"/>
  <c r="CI843" s="1"/>
  <c r="CX843"/>
  <c r="CT840"/>
  <c r="CS840" s="1"/>
  <c r="CR840" s="1"/>
  <c r="CQ840" s="1"/>
  <c r="CP840" s="1"/>
  <c r="CO840" s="1"/>
  <c r="CN840" s="1"/>
  <c r="CM840" s="1"/>
  <c r="CL840" s="1"/>
  <c r="CK840" s="1"/>
  <c r="CJ840" s="1"/>
  <c r="CI840" s="1"/>
  <c r="CX840"/>
  <c r="CT839"/>
  <c r="CS839" s="1"/>
  <c r="CR839" s="1"/>
  <c r="CQ839" s="1"/>
  <c r="CP839" s="1"/>
  <c r="CO839" s="1"/>
  <c r="CN839" s="1"/>
  <c r="CM839" s="1"/>
  <c r="CL839" s="1"/>
  <c r="CK839" s="1"/>
  <c r="CJ839" s="1"/>
  <c r="CI839" s="1"/>
  <c r="CX839"/>
  <c r="CT836"/>
  <c r="CS836" s="1"/>
  <c r="CR836" s="1"/>
  <c r="CQ836" s="1"/>
  <c r="CP836" s="1"/>
  <c r="CO836" s="1"/>
  <c r="CN836" s="1"/>
  <c r="CM836" s="1"/>
  <c r="CL836" s="1"/>
  <c r="CK836" s="1"/>
  <c r="CJ836" s="1"/>
  <c r="CI836" s="1"/>
  <c r="CX836"/>
  <c r="CT835"/>
  <c r="CS835" s="1"/>
  <c r="CR835" s="1"/>
  <c r="CQ835" s="1"/>
  <c r="CP835" s="1"/>
  <c r="CO835" s="1"/>
  <c r="CN835" s="1"/>
  <c r="CM835" s="1"/>
  <c r="CL835" s="1"/>
  <c r="CK835" s="1"/>
  <c r="CJ835" s="1"/>
  <c r="CI835" s="1"/>
  <c r="CX835"/>
  <c r="CT832"/>
  <c r="CS832" s="1"/>
  <c r="CR832" s="1"/>
  <c r="CQ832" s="1"/>
  <c r="CP832" s="1"/>
  <c r="CO832" s="1"/>
  <c r="CN832" s="1"/>
  <c r="CM832" s="1"/>
  <c r="CL832" s="1"/>
  <c r="CK832" s="1"/>
  <c r="CJ832" s="1"/>
  <c r="CI832" s="1"/>
  <c r="CX832"/>
  <c r="CT831"/>
  <c r="CS831" s="1"/>
  <c r="CR831" s="1"/>
  <c r="CQ831" s="1"/>
  <c r="CP831" s="1"/>
  <c r="CO831" s="1"/>
  <c r="CN831" s="1"/>
  <c r="CM831" s="1"/>
  <c r="CL831" s="1"/>
  <c r="CK831" s="1"/>
  <c r="CJ831" s="1"/>
  <c r="CI831" s="1"/>
  <c r="CX831"/>
  <c r="CT828"/>
  <c r="CS828" s="1"/>
  <c r="CR828" s="1"/>
  <c r="CQ828" s="1"/>
  <c r="CP828" s="1"/>
  <c r="CO828" s="1"/>
  <c r="CN828" s="1"/>
  <c r="CM828" s="1"/>
  <c r="CL828" s="1"/>
  <c r="CK828" s="1"/>
  <c r="CJ828" s="1"/>
  <c r="CI828" s="1"/>
  <c r="CX828"/>
  <c r="CT827"/>
  <c r="CS827" s="1"/>
  <c r="CR827" s="1"/>
  <c r="CQ827" s="1"/>
  <c r="CP827" s="1"/>
  <c r="CO827" s="1"/>
  <c r="CN827" s="1"/>
  <c r="CM827" s="1"/>
  <c r="CL827" s="1"/>
  <c r="CK827" s="1"/>
  <c r="CJ827" s="1"/>
  <c r="CI827" s="1"/>
  <c r="CX827"/>
  <c r="CT824"/>
  <c r="CS824" s="1"/>
  <c r="CR824" s="1"/>
  <c r="CQ824" s="1"/>
  <c r="CP824" s="1"/>
  <c r="CO824" s="1"/>
  <c r="CN824" s="1"/>
  <c r="CM824" s="1"/>
  <c r="CL824" s="1"/>
  <c r="CK824" s="1"/>
  <c r="CJ824" s="1"/>
  <c r="CI824" s="1"/>
  <c r="CX824"/>
  <c r="CT823"/>
  <c r="CS823" s="1"/>
  <c r="CR823" s="1"/>
  <c r="CQ823" s="1"/>
  <c r="CP823" s="1"/>
  <c r="CO823" s="1"/>
  <c r="CN823" s="1"/>
  <c r="CM823" s="1"/>
  <c r="CL823" s="1"/>
  <c r="CK823" s="1"/>
  <c r="CJ823" s="1"/>
  <c r="CI823" s="1"/>
  <c r="CX823"/>
  <c r="CT812"/>
  <c r="CS812" s="1"/>
  <c r="CR812" s="1"/>
  <c r="CQ812" s="1"/>
  <c r="CP812" s="1"/>
  <c r="CO812" s="1"/>
  <c r="CN812" s="1"/>
  <c r="CM812" s="1"/>
  <c r="CL812" s="1"/>
  <c r="CK812" s="1"/>
  <c r="CJ812" s="1"/>
  <c r="CI812" s="1"/>
  <c r="CX812"/>
  <c r="CT809"/>
  <c r="CS809" s="1"/>
  <c r="CR809" s="1"/>
  <c r="CQ809" s="1"/>
  <c r="CP809" s="1"/>
  <c r="CO809" s="1"/>
  <c r="CN809" s="1"/>
  <c r="CM809" s="1"/>
  <c r="CL809" s="1"/>
  <c r="CK809" s="1"/>
  <c r="CJ809" s="1"/>
  <c r="CI809" s="1"/>
  <c r="CX809"/>
  <c r="CT808"/>
  <c r="CS808" s="1"/>
  <c r="CR808" s="1"/>
  <c r="CQ808" s="1"/>
  <c r="CP808" s="1"/>
  <c r="CO808" s="1"/>
  <c r="CN808" s="1"/>
  <c r="CM808" s="1"/>
  <c r="CL808" s="1"/>
  <c r="CK808" s="1"/>
  <c r="CJ808" s="1"/>
  <c r="CI808" s="1"/>
  <c r="CX808"/>
  <c r="CT805"/>
  <c r="CS805" s="1"/>
  <c r="CR805" s="1"/>
  <c r="CQ805" s="1"/>
  <c r="CP805" s="1"/>
  <c r="CO805" s="1"/>
  <c r="CN805" s="1"/>
  <c r="CM805" s="1"/>
  <c r="CL805" s="1"/>
  <c r="CK805" s="1"/>
  <c r="CJ805" s="1"/>
  <c r="CI805" s="1"/>
  <c r="CX805"/>
  <c r="CT804"/>
  <c r="CS804" s="1"/>
  <c r="CR804" s="1"/>
  <c r="CQ804" s="1"/>
  <c r="CP804" s="1"/>
  <c r="CO804" s="1"/>
  <c r="CN804" s="1"/>
  <c r="CM804" s="1"/>
  <c r="CL804" s="1"/>
  <c r="CK804" s="1"/>
  <c r="CJ804" s="1"/>
  <c r="CI804" s="1"/>
  <c r="CX804"/>
  <c r="CT801"/>
  <c r="CS801" s="1"/>
  <c r="CR801" s="1"/>
  <c r="CQ801" s="1"/>
  <c r="CP801" s="1"/>
  <c r="CO801" s="1"/>
  <c r="CN801" s="1"/>
  <c r="CM801" s="1"/>
  <c r="CL801" s="1"/>
  <c r="CK801" s="1"/>
  <c r="CJ801" s="1"/>
  <c r="CI801" s="1"/>
  <c r="CX801"/>
  <c r="CT800"/>
  <c r="CS800" s="1"/>
  <c r="CR800" s="1"/>
  <c r="CQ800" s="1"/>
  <c r="CP800" s="1"/>
  <c r="CO800" s="1"/>
  <c r="CN800" s="1"/>
  <c r="CM800" s="1"/>
  <c r="CL800" s="1"/>
  <c r="CK800" s="1"/>
  <c r="CJ800" s="1"/>
  <c r="CI800" s="1"/>
  <c r="CX800"/>
  <c r="CT797"/>
  <c r="CS797" s="1"/>
  <c r="CR797" s="1"/>
  <c r="CQ797" s="1"/>
  <c r="CP797" s="1"/>
  <c r="CO797" s="1"/>
  <c r="CN797" s="1"/>
  <c r="CM797" s="1"/>
  <c r="CL797" s="1"/>
  <c r="CK797" s="1"/>
  <c r="CJ797" s="1"/>
  <c r="CI797" s="1"/>
  <c r="CX797"/>
  <c r="CT796"/>
  <c r="CS796" s="1"/>
  <c r="CR796" s="1"/>
  <c r="CQ796" s="1"/>
  <c r="CP796" s="1"/>
  <c r="CO796" s="1"/>
  <c r="CN796" s="1"/>
  <c r="CM796" s="1"/>
  <c r="CL796" s="1"/>
  <c r="CK796" s="1"/>
  <c r="CJ796" s="1"/>
  <c r="CI796" s="1"/>
  <c r="CX796"/>
  <c r="CT793"/>
  <c r="CS793" s="1"/>
  <c r="CR793" s="1"/>
  <c r="CQ793" s="1"/>
  <c r="CP793" s="1"/>
  <c r="CO793" s="1"/>
  <c r="CN793" s="1"/>
  <c r="CM793" s="1"/>
  <c r="CL793" s="1"/>
  <c r="CK793" s="1"/>
  <c r="CJ793" s="1"/>
  <c r="CI793" s="1"/>
  <c r="CX793"/>
  <c r="CT792"/>
  <c r="CS792" s="1"/>
  <c r="CR792" s="1"/>
  <c r="CQ792" s="1"/>
  <c r="CP792" s="1"/>
  <c r="CO792" s="1"/>
  <c r="CN792" s="1"/>
  <c r="CM792" s="1"/>
  <c r="CL792" s="1"/>
  <c r="CK792" s="1"/>
  <c r="CJ792" s="1"/>
  <c r="CI792" s="1"/>
  <c r="CX792"/>
  <c r="CT789"/>
  <c r="CS789" s="1"/>
  <c r="CR789" s="1"/>
  <c r="CQ789" s="1"/>
  <c r="CP789" s="1"/>
  <c r="CO789" s="1"/>
  <c r="CN789" s="1"/>
  <c r="CM789" s="1"/>
  <c r="CL789" s="1"/>
  <c r="CK789" s="1"/>
  <c r="CJ789" s="1"/>
  <c r="CI789" s="1"/>
  <c r="CX789"/>
  <c r="CT788"/>
  <c r="CS788" s="1"/>
  <c r="CR788" s="1"/>
  <c r="CQ788" s="1"/>
  <c r="CP788" s="1"/>
  <c r="CO788" s="1"/>
  <c r="CN788" s="1"/>
  <c r="CM788" s="1"/>
  <c r="CL788" s="1"/>
  <c r="CK788" s="1"/>
  <c r="CJ788" s="1"/>
  <c r="CI788" s="1"/>
  <c r="CX788"/>
  <c r="CT785"/>
  <c r="CS785" s="1"/>
  <c r="CR785" s="1"/>
  <c r="CQ785" s="1"/>
  <c r="CP785" s="1"/>
  <c r="CO785" s="1"/>
  <c r="CN785" s="1"/>
  <c r="CM785" s="1"/>
  <c r="CL785" s="1"/>
  <c r="CK785" s="1"/>
  <c r="CJ785" s="1"/>
  <c r="CI785" s="1"/>
  <c r="CX785"/>
  <c r="CT784"/>
  <c r="CS784" s="1"/>
  <c r="CR784" s="1"/>
  <c r="CQ784" s="1"/>
  <c r="CP784" s="1"/>
  <c r="CO784" s="1"/>
  <c r="CN784" s="1"/>
  <c r="CM784" s="1"/>
  <c r="CL784" s="1"/>
  <c r="CK784" s="1"/>
  <c r="CJ784" s="1"/>
  <c r="CI784" s="1"/>
  <c r="CX784"/>
  <c r="CT781"/>
  <c r="CS781" s="1"/>
  <c r="CR781" s="1"/>
  <c r="CQ781" s="1"/>
  <c r="CP781" s="1"/>
  <c r="CO781" s="1"/>
  <c r="CN781" s="1"/>
  <c r="CM781" s="1"/>
  <c r="CL781" s="1"/>
  <c r="CK781" s="1"/>
  <c r="CJ781" s="1"/>
  <c r="CI781" s="1"/>
  <c r="CX781"/>
  <c r="CT780"/>
  <c r="CS780" s="1"/>
  <c r="CR780" s="1"/>
  <c r="CQ780" s="1"/>
  <c r="CP780" s="1"/>
  <c r="CO780" s="1"/>
  <c r="CN780" s="1"/>
  <c r="CM780" s="1"/>
  <c r="CL780" s="1"/>
  <c r="CK780" s="1"/>
  <c r="CJ780" s="1"/>
  <c r="CI780" s="1"/>
  <c r="CX780"/>
  <c r="CT777"/>
  <c r="CS777" s="1"/>
  <c r="CR777" s="1"/>
  <c r="CQ777" s="1"/>
  <c r="CP777" s="1"/>
  <c r="CO777" s="1"/>
  <c r="CN777" s="1"/>
  <c r="CM777" s="1"/>
  <c r="CL777" s="1"/>
  <c r="CK777" s="1"/>
  <c r="CJ777" s="1"/>
  <c r="CI777" s="1"/>
  <c r="CX777"/>
  <c r="CT776"/>
  <c r="CS776" s="1"/>
  <c r="CR776" s="1"/>
  <c r="CQ776" s="1"/>
  <c r="CP776" s="1"/>
  <c r="CO776" s="1"/>
  <c r="CN776" s="1"/>
  <c r="CM776" s="1"/>
  <c r="CL776" s="1"/>
  <c r="CK776" s="1"/>
  <c r="CJ776" s="1"/>
  <c r="CI776" s="1"/>
  <c r="CX776"/>
  <c r="CT773"/>
  <c r="CS773" s="1"/>
  <c r="CR773" s="1"/>
  <c r="CQ773" s="1"/>
  <c r="CP773" s="1"/>
  <c r="CO773" s="1"/>
  <c r="CN773" s="1"/>
  <c r="CM773" s="1"/>
  <c r="CL773" s="1"/>
  <c r="CK773" s="1"/>
  <c r="CJ773" s="1"/>
  <c r="CI773" s="1"/>
  <c r="CX773"/>
  <c r="CT772"/>
  <c r="CS772" s="1"/>
  <c r="CR772" s="1"/>
  <c r="CQ772" s="1"/>
  <c r="CP772" s="1"/>
  <c r="CO772" s="1"/>
  <c r="CN772" s="1"/>
  <c r="CM772" s="1"/>
  <c r="CL772" s="1"/>
  <c r="CK772" s="1"/>
  <c r="CJ772" s="1"/>
  <c r="CI772" s="1"/>
  <c r="CX772"/>
  <c r="CT769"/>
  <c r="CS769" s="1"/>
  <c r="CR769" s="1"/>
  <c r="CQ769" s="1"/>
  <c r="CP769" s="1"/>
  <c r="CO769" s="1"/>
  <c r="CN769" s="1"/>
  <c r="CM769" s="1"/>
  <c r="CL769" s="1"/>
  <c r="CK769" s="1"/>
  <c r="CJ769" s="1"/>
  <c r="CI769" s="1"/>
  <c r="CX769"/>
  <c r="CT768"/>
  <c r="CS768" s="1"/>
  <c r="CR768" s="1"/>
  <c r="CQ768" s="1"/>
  <c r="CP768" s="1"/>
  <c r="CO768" s="1"/>
  <c r="CN768" s="1"/>
  <c r="CM768" s="1"/>
  <c r="CL768" s="1"/>
  <c r="CK768" s="1"/>
  <c r="CJ768" s="1"/>
  <c r="CI768" s="1"/>
  <c r="CX768"/>
  <c r="CT765"/>
  <c r="CS765" s="1"/>
  <c r="CR765" s="1"/>
  <c r="CQ765" s="1"/>
  <c r="CP765" s="1"/>
  <c r="CO765" s="1"/>
  <c r="CN765" s="1"/>
  <c r="CM765" s="1"/>
  <c r="CL765" s="1"/>
  <c r="CK765" s="1"/>
  <c r="CJ765" s="1"/>
  <c r="CI765" s="1"/>
  <c r="CX765"/>
  <c r="CT764"/>
  <c r="CS764" s="1"/>
  <c r="CR764" s="1"/>
  <c r="CQ764" s="1"/>
  <c r="CP764" s="1"/>
  <c r="CO764" s="1"/>
  <c r="CN764" s="1"/>
  <c r="CM764" s="1"/>
  <c r="CL764" s="1"/>
  <c r="CK764" s="1"/>
  <c r="CJ764" s="1"/>
  <c r="CI764" s="1"/>
  <c r="CX764"/>
  <c r="CT761"/>
  <c r="CS761" s="1"/>
  <c r="CR761" s="1"/>
  <c r="CQ761" s="1"/>
  <c r="CP761" s="1"/>
  <c r="CO761" s="1"/>
  <c r="CN761" s="1"/>
  <c r="CM761" s="1"/>
  <c r="CL761" s="1"/>
  <c r="CK761" s="1"/>
  <c r="CJ761" s="1"/>
  <c r="CI761" s="1"/>
  <c r="CX761"/>
  <c r="CT760"/>
  <c r="CS760" s="1"/>
  <c r="CR760" s="1"/>
  <c r="CQ760" s="1"/>
  <c r="CP760" s="1"/>
  <c r="CO760" s="1"/>
  <c r="CN760" s="1"/>
  <c r="CM760" s="1"/>
  <c r="CL760" s="1"/>
  <c r="CK760" s="1"/>
  <c r="CJ760" s="1"/>
  <c r="CI760" s="1"/>
  <c r="CX760"/>
  <c r="CT757"/>
  <c r="CS757" s="1"/>
  <c r="CR757" s="1"/>
  <c r="CQ757" s="1"/>
  <c r="CP757" s="1"/>
  <c r="CO757" s="1"/>
  <c r="CN757" s="1"/>
  <c r="CM757" s="1"/>
  <c r="CL757" s="1"/>
  <c r="CK757" s="1"/>
  <c r="CJ757" s="1"/>
  <c r="CI757" s="1"/>
  <c r="CX757"/>
  <c r="CT756"/>
  <c r="CS756" s="1"/>
  <c r="CR756" s="1"/>
  <c r="CQ756" s="1"/>
  <c r="CP756" s="1"/>
  <c r="CO756" s="1"/>
  <c r="CN756" s="1"/>
  <c r="CM756" s="1"/>
  <c r="CL756" s="1"/>
  <c r="CK756" s="1"/>
  <c r="CJ756" s="1"/>
  <c r="CI756" s="1"/>
  <c r="CX756"/>
  <c r="CT753"/>
  <c r="CS753" s="1"/>
  <c r="CR753" s="1"/>
  <c r="CQ753" s="1"/>
  <c r="CP753" s="1"/>
  <c r="CO753" s="1"/>
  <c r="CN753" s="1"/>
  <c r="CM753" s="1"/>
  <c r="CL753" s="1"/>
  <c r="CK753" s="1"/>
  <c r="CJ753" s="1"/>
  <c r="CI753" s="1"/>
  <c r="CX753"/>
  <c r="CT752"/>
  <c r="CS752" s="1"/>
  <c r="CR752" s="1"/>
  <c r="CQ752" s="1"/>
  <c r="CP752" s="1"/>
  <c r="CO752" s="1"/>
  <c r="CN752" s="1"/>
  <c r="CM752" s="1"/>
  <c r="CL752" s="1"/>
  <c r="CK752" s="1"/>
  <c r="CJ752" s="1"/>
  <c r="CI752" s="1"/>
  <c r="CX752"/>
  <c r="CT749"/>
  <c r="CS749" s="1"/>
  <c r="CR749" s="1"/>
  <c r="CQ749" s="1"/>
  <c r="CP749" s="1"/>
  <c r="CO749" s="1"/>
  <c r="CN749" s="1"/>
  <c r="CM749" s="1"/>
  <c r="CL749" s="1"/>
  <c r="CK749" s="1"/>
  <c r="CJ749" s="1"/>
  <c r="CI749" s="1"/>
  <c r="CX749"/>
  <c r="CT748"/>
  <c r="CS748" s="1"/>
  <c r="CR748" s="1"/>
  <c r="CQ748" s="1"/>
  <c r="CP748" s="1"/>
  <c r="CO748" s="1"/>
  <c r="CN748" s="1"/>
  <c r="CM748" s="1"/>
  <c r="CL748" s="1"/>
  <c r="CK748" s="1"/>
  <c r="CJ748" s="1"/>
  <c r="CI748" s="1"/>
  <c r="CX748"/>
  <c r="CT745"/>
  <c r="CS745" s="1"/>
  <c r="CR745" s="1"/>
  <c r="CQ745" s="1"/>
  <c r="CP745" s="1"/>
  <c r="CO745" s="1"/>
  <c r="CN745" s="1"/>
  <c r="CM745" s="1"/>
  <c r="CL745" s="1"/>
  <c r="CK745" s="1"/>
  <c r="CJ745" s="1"/>
  <c r="CI745" s="1"/>
  <c r="CX745"/>
  <c r="CT429"/>
  <c r="CS429" s="1"/>
  <c r="CR429" s="1"/>
  <c r="CQ429" s="1"/>
  <c r="CP429" s="1"/>
  <c r="CO429" s="1"/>
  <c r="CN429" s="1"/>
  <c r="CM429" s="1"/>
  <c r="CL429" s="1"/>
  <c r="CK429" s="1"/>
  <c r="CJ429" s="1"/>
  <c r="CI429" s="1"/>
  <c r="CX429"/>
  <c r="CT427"/>
  <c r="CS427" s="1"/>
  <c r="CR427" s="1"/>
  <c r="CQ427" s="1"/>
  <c r="CP427" s="1"/>
  <c r="CO427" s="1"/>
  <c r="CN427" s="1"/>
  <c r="CM427" s="1"/>
  <c r="CL427" s="1"/>
  <c r="CK427" s="1"/>
  <c r="CJ427" s="1"/>
  <c r="CI427" s="1"/>
  <c r="CX427"/>
  <c r="CT425"/>
  <c r="CS425" s="1"/>
  <c r="CR425" s="1"/>
  <c r="CQ425" s="1"/>
  <c r="CP425" s="1"/>
  <c r="CO425" s="1"/>
  <c r="CN425" s="1"/>
  <c r="CM425" s="1"/>
  <c r="CL425" s="1"/>
  <c r="CK425" s="1"/>
  <c r="CJ425" s="1"/>
  <c r="CI425" s="1"/>
  <c r="CX425"/>
  <c r="CT423"/>
  <c r="CS423" s="1"/>
  <c r="CR423" s="1"/>
  <c r="CQ423" s="1"/>
  <c r="CP423" s="1"/>
  <c r="CO423" s="1"/>
  <c r="CN423" s="1"/>
  <c r="CM423" s="1"/>
  <c r="CL423" s="1"/>
  <c r="CK423" s="1"/>
  <c r="CJ423" s="1"/>
  <c r="CI423" s="1"/>
  <c r="CX423"/>
  <c r="CT421"/>
  <c r="CS421" s="1"/>
  <c r="CR421" s="1"/>
  <c r="CQ421" s="1"/>
  <c r="CP421" s="1"/>
  <c r="CO421" s="1"/>
  <c r="CN421" s="1"/>
  <c r="CM421" s="1"/>
  <c r="CL421" s="1"/>
  <c r="CK421" s="1"/>
  <c r="CJ421" s="1"/>
  <c r="CI421" s="1"/>
  <c r="CX421"/>
  <c r="CT419"/>
  <c r="CS419" s="1"/>
  <c r="CR419" s="1"/>
  <c r="CQ419" s="1"/>
  <c r="CP419" s="1"/>
  <c r="CO419" s="1"/>
  <c r="CN419" s="1"/>
  <c r="CM419" s="1"/>
  <c r="CL419" s="1"/>
  <c r="CK419" s="1"/>
  <c r="CJ419" s="1"/>
  <c r="CI419" s="1"/>
  <c r="CX419"/>
  <c r="CT417"/>
  <c r="CS417" s="1"/>
  <c r="CR417" s="1"/>
  <c r="CQ417" s="1"/>
  <c r="CP417" s="1"/>
  <c r="CO417" s="1"/>
  <c r="CN417" s="1"/>
  <c r="CM417" s="1"/>
  <c r="CL417" s="1"/>
  <c r="CK417" s="1"/>
  <c r="CJ417" s="1"/>
  <c r="CI417" s="1"/>
  <c r="CX417"/>
  <c r="CT415"/>
  <c r="CS415" s="1"/>
  <c r="CR415" s="1"/>
  <c r="CQ415" s="1"/>
  <c r="CP415" s="1"/>
  <c r="CO415" s="1"/>
  <c r="CN415" s="1"/>
  <c r="CM415" s="1"/>
  <c r="CL415" s="1"/>
  <c r="CK415" s="1"/>
  <c r="CJ415" s="1"/>
  <c r="CI415" s="1"/>
  <c r="CX415"/>
  <c r="CT413"/>
  <c r="CS413" s="1"/>
  <c r="CR413" s="1"/>
  <c r="CQ413" s="1"/>
  <c r="CP413" s="1"/>
  <c r="CO413" s="1"/>
  <c r="CN413" s="1"/>
  <c r="CM413" s="1"/>
  <c r="CL413" s="1"/>
  <c r="CK413" s="1"/>
  <c r="CJ413" s="1"/>
  <c r="CI413" s="1"/>
  <c r="CX413"/>
  <c r="CT411"/>
  <c r="CS411" s="1"/>
  <c r="CR411" s="1"/>
  <c r="CQ411" s="1"/>
  <c r="CP411" s="1"/>
  <c r="CO411" s="1"/>
  <c r="CN411" s="1"/>
  <c r="CM411" s="1"/>
  <c r="CL411" s="1"/>
  <c r="CK411" s="1"/>
  <c r="CJ411" s="1"/>
  <c r="CI411" s="1"/>
  <c r="CX411"/>
  <c r="CT409"/>
  <c r="CS409" s="1"/>
  <c r="CR409" s="1"/>
  <c r="CQ409" s="1"/>
  <c r="CP409" s="1"/>
  <c r="CO409" s="1"/>
  <c r="CN409" s="1"/>
  <c r="CM409" s="1"/>
  <c r="CL409" s="1"/>
  <c r="CK409" s="1"/>
  <c r="CJ409" s="1"/>
  <c r="CI409" s="1"/>
  <c r="CX409"/>
  <c r="CT407"/>
  <c r="CS407" s="1"/>
  <c r="CR407" s="1"/>
  <c r="CQ407" s="1"/>
  <c r="CP407" s="1"/>
  <c r="CO407" s="1"/>
  <c r="CN407" s="1"/>
  <c r="CM407" s="1"/>
  <c r="CL407" s="1"/>
  <c r="CK407" s="1"/>
  <c r="CJ407" s="1"/>
  <c r="CI407" s="1"/>
  <c r="CX407"/>
  <c r="CT405"/>
  <c r="CS405" s="1"/>
  <c r="CR405" s="1"/>
  <c r="CQ405" s="1"/>
  <c r="CP405" s="1"/>
  <c r="CO405" s="1"/>
  <c r="CN405" s="1"/>
  <c r="CM405" s="1"/>
  <c r="CL405" s="1"/>
  <c r="CK405" s="1"/>
  <c r="CJ405" s="1"/>
  <c r="CI405" s="1"/>
  <c r="CX405"/>
  <c r="CT403"/>
  <c r="CS403" s="1"/>
  <c r="CR403" s="1"/>
  <c r="CQ403" s="1"/>
  <c r="CP403" s="1"/>
  <c r="CO403" s="1"/>
  <c r="CN403" s="1"/>
  <c r="CM403" s="1"/>
  <c r="CL403" s="1"/>
  <c r="CK403" s="1"/>
  <c r="CJ403" s="1"/>
  <c r="CI403" s="1"/>
  <c r="CX403"/>
  <c r="CT401"/>
  <c r="CS401" s="1"/>
  <c r="CR401" s="1"/>
  <c r="CQ401" s="1"/>
  <c r="CP401" s="1"/>
  <c r="CO401" s="1"/>
  <c r="CN401" s="1"/>
  <c r="CM401" s="1"/>
  <c r="CL401" s="1"/>
  <c r="CK401" s="1"/>
  <c r="CJ401" s="1"/>
  <c r="CI401" s="1"/>
  <c r="CX401"/>
  <c r="CT399"/>
  <c r="CS399" s="1"/>
  <c r="CR399" s="1"/>
  <c r="CQ399" s="1"/>
  <c r="CP399" s="1"/>
  <c r="CO399" s="1"/>
  <c r="CN399" s="1"/>
  <c r="CM399" s="1"/>
  <c r="CL399" s="1"/>
  <c r="CK399" s="1"/>
  <c r="CJ399" s="1"/>
  <c r="CI399" s="1"/>
  <c r="CX399"/>
  <c r="CT397"/>
  <c r="CS397" s="1"/>
  <c r="CR397" s="1"/>
  <c r="CQ397" s="1"/>
  <c r="CP397" s="1"/>
  <c r="CO397" s="1"/>
  <c r="CN397" s="1"/>
  <c r="CM397" s="1"/>
  <c r="CL397" s="1"/>
  <c r="CK397" s="1"/>
  <c r="CJ397" s="1"/>
  <c r="CI397" s="1"/>
  <c r="CX397"/>
  <c r="CT395"/>
  <c r="CS395" s="1"/>
  <c r="CR395" s="1"/>
  <c r="CQ395" s="1"/>
  <c r="CP395" s="1"/>
  <c r="CO395" s="1"/>
  <c r="CN395" s="1"/>
  <c r="CM395" s="1"/>
  <c r="CL395" s="1"/>
  <c r="CK395" s="1"/>
  <c r="CJ395" s="1"/>
  <c r="CI395" s="1"/>
  <c r="CX395"/>
  <c r="CT393"/>
  <c r="CS393" s="1"/>
  <c r="CR393" s="1"/>
  <c r="CQ393" s="1"/>
  <c r="CP393" s="1"/>
  <c r="CO393" s="1"/>
  <c r="CN393" s="1"/>
  <c r="CM393" s="1"/>
  <c r="CL393" s="1"/>
  <c r="CK393" s="1"/>
  <c r="CJ393" s="1"/>
  <c r="CI393" s="1"/>
  <c r="CX393"/>
  <c r="CT391"/>
  <c r="CS391" s="1"/>
  <c r="CR391" s="1"/>
  <c r="CQ391" s="1"/>
  <c r="CP391" s="1"/>
  <c r="CO391" s="1"/>
  <c r="CN391" s="1"/>
  <c r="CM391" s="1"/>
  <c r="CL391" s="1"/>
  <c r="CK391" s="1"/>
  <c r="CJ391" s="1"/>
  <c r="CI391" s="1"/>
  <c r="CX391"/>
  <c r="CT389"/>
  <c r="CS389" s="1"/>
  <c r="CR389" s="1"/>
  <c r="CQ389" s="1"/>
  <c r="CP389" s="1"/>
  <c r="CO389" s="1"/>
  <c r="CN389" s="1"/>
  <c r="CM389" s="1"/>
  <c r="CL389" s="1"/>
  <c r="CK389" s="1"/>
  <c r="CJ389" s="1"/>
  <c r="CI389" s="1"/>
  <c r="CX389"/>
  <c r="CT387"/>
  <c r="CS387" s="1"/>
  <c r="CR387" s="1"/>
  <c r="CQ387" s="1"/>
  <c r="CP387" s="1"/>
  <c r="CO387" s="1"/>
  <c r="CN387" s="1"/>
  <c r="CM387" s="1"/>
  <c r="CL387" s="1"/>
  <c r="CK387" s="1"/>
  <c r="CJ387" s="1"/>
  <c r="CI387" s="1"/>
  <c r="CX387"/>
  <c r="CT385"/>
  <c r="CS385" s="1"/>
  <c r="CR385" s="1"/>
  <c r="CQ385" s="1"/>
  <c r="CP385" s="1"/>
  <c r="CO385" s="1"/>
  <c r="CN385" s="1"/>
  <c r="CM385" s="1"/>
  <c r="CL385" s="1"/>
  <c r="CK385" s="1"/>
  <c r="CJ385" s="1"/>
  <c r="CI385" s="1"/>
  <c r="CX385"/>
  <c r="CT383"/>
  <c r="CS383" s="1"/>
  <c r="CR383" s="1"/>
  <c r="CQ383" s="1"/>
  <c r="CP383" s="1"/>
  <c r="CO383" s="1"/>
  <c r="CN383" s="1"/>
  <c r="CM383" s="1"/>
  <c r="CL383" s="1"/>
  <c r="CK383" s="1"/>
  <c r="CJ383" s="1"/>
  <c r="CI383" s="1"/>
  <c r="CX383"/>
  <c r="CT237"/>
  <c r="CS237" s="1"/>
  <c r="CR237" s="1"/>
  <c r="CQ237" s="1"/>
  <c r="CP237" s="1"/>
  <c r="CO237" s="1"/>
  <c r="CN237" s="1"/>
  <c r="CM237" s="1"/>
  <c r="CL237" s="1"/>
  <c r="CK237" s="1"/>
  <c r="CJ237" s="1"/>
  <c r="CI237" s="1"/>
  <c r="CX237"/>
  <c r="CT233"/>
  <c r="CS233" s="1"/>
  <c r="CR233" s="1"/>
  <c r="CQ233" s="1"/>
  <c r="CP233" s="1"/>
  <c r="CO233" s="1"/>
  <c r="CN233" s="1"/>
  <c r="CM233" s="1"/>
  <c r="CL233" s="1"/>
  <c r="CK233" s="1"/>
  <c r="CJ233" s="1"/>
  <c r="CI233" s="1"/>
  <c r="CX233"/>
  <c r="CT230"/>
  <c r="CS230" s="1"/>
  <c r="CR230" s="1"/>
  <c r="CQ230" s="1"/>
  <c r="CP230" s="1"/>
  <c r="CO230" s="1"/>
  <c r="CN230" s="1"/>
  <c r="CM230" s="1"/>
  <c r="CL230" s="1"/>
  <c r="CK230" s="1"/>
  <c r="CJ230" s="1"/>
  <c r="CI230" s="1"/>
  <c r="CX230"/>
  <c r="CT229"/>
  <c r="CS229" s="1"/>
  <c r="CR229" s="1"/>
  <c r="CQ229" s="1"/>
  <c r="CP229" s="1"/>
  <c r="CO229" s="1"/>
  <c r="CN229" s="1"/>
  <c r="CM229" s="1"/>
  <c r="CL229" s="1"/>
  <c r="CK229" s="1"/>
  <c r="CJ229" s="1"/>
  <c r="CI229" s="1"/>
  <c r="CX229"/>
  <c r="CT227"/>
  <c r="CS227" s="1"/>
  <c r="CR227" s="1"/>
  <c r="CQ227" s="1"/>
  <c r="CP227" s="1"/>
  <c r="CO227" s="1"/>
  <c r="CN227" s="1"/>
  <c r="CM227" s="1"/>
  <c r="CL227" s="1"/>
  <c r="CK227" s="1"/>
  <c r="CJ227" s="1"/>
  <c r="CI227" s="1"/>
  <c r="CX227"/>
  <c r="CT210"/>
  <c r="CS210" s="1"/>
  <c r="CR210" s="1"/>
  <c r="CQ210" s="1"/>
  <c r="CP210" s="1"/>
  <c r="CO210" s="1"/>
  <c r="CN210" s="1"/>
  <c r="CM210" s="1"/>
  <c r="CL210" s="1"/>
  <c r="CK210" s="1"/>
  <c r="CJ210" s="1"/>
  <c r="CI210" s="1"/>
  <c r="CX210"/>
  <c r="CT209"/>
  <c r="CS209" s="1"/>
  <c r="CR209" s="1"/>
  <c r="CQ209" s="1"/>
  <c r="CP209" s="1"/>
  <c r="CO209" s="1"/>
  <c r="CN209" s="1"/>
  <c r="CM209" s="1"/>
  <c r="CL209" s="1"/>
  <c r="CK209" s="1"/>
  <c r="CJ209" s="1"/>
  <c r="CI209" s="1"/>
  <c r="CX209"/>
  <c r="CT207"/>
  <c r="CS207" s="1"/>
  <c r="CR207" s="1"/>
  <c r="CQ207" s="1"/>
  <c r="CP207" s="1"/>
  <c r="CO207" s="1"/>
  <c r="CN207" s="1"/>
  <c r="CM207" s="1"/>
  <c r="CL207" s="1"/>
  <c r="CK207" s="1"/>
  <c r="CJ207" s="1"/>
  <c r="CI207" s="1"/>
  <c r="CX207"/>
  <c r="CT205"/>
  <c r="CS205" s="1"/>
  <c r="CR205" s="1"/>
  <c r="CQ205" s="1"/>
  <c r="CP205" s="1"/>
  <c r="CO205" s="1"/>
  <c r="CN205" s="1"/>
  <c r="CM205" s="1"/>
  <c r="CL205" s="1"/>
  <c r="CK205" s="1"/>
  <c r="CJ205" s="1"/>
  <c r="CI205" s="1"/>
  <c r="CX205"/>
  <c r="CT203"/>
  <c r="CS203" s="1"/>
  <c r="CR203" s="1"/>
  <c r="CQ203" s="1"/>
  <c r="CP203" s="1"/>
  <c r="CO203" s="1"/>
  <c r="CN203" s="1"/>
  <c r="CM203" s="1"/>
  <c r="CL203" s="1"/>
  <c r="CK203" s="1"/>
  <c r="CJ203" s="1"/>
  <c r="CI203" s="1"/>
  <c r="CX203"/>
  <c r="CT201"/>
  <c r="CS201" s="1"/>
  <c r="CR201" s="1"/>
  <c r="CQ201" s="1"/>
  <c r="CP201" s="1"/>
  <c r="CO201" s="1"/>
  <c r="CN201" s="1"/>
  <c r="CM201" s="1"/>
  <c r="CL201" s="1"/>
  <c r="CK201" s="1"/>
  <c r="CJ201" s="1"/>
  <c r="CI201" s="1"/>
  <c r="CX201"/>
  <c r="CT199"/>
  <c r="CS199" s="1"/>
  <c r="CR199" s="1"/>
  <c r="CQ199" s="1"/>
  <c r="CP199" s="1"/>
  <c r="CO199" s="1"/>
  <c r="CN199" s="1"/>
  <c r="CM199" s="1"/>
  <c r="CL199" s="1"/>
  <c r="CK199" s="1"/>
  <c r="CJ199" s="1"/>
  <c r="CI199" s="1"/>
  <c r="CX199"/>
  <c r="CT197"/>
  <c r="CS197" s="1"/>
  <c r="CR197" s="1"/>
  <c r="CQ197" s="1"/>
  <c r="CP197" s="1"/>
  <c r="CO197" s="1"/>
  <c r="CN197" s="1"/>
  <c r="CM197" s="1"/>
  <c r="CL197" s="1"/>
  <c r="CK197" s="1"/>
  <c r="CJ197" s="1"/>
  <c r="CI197" s="1"/>
  <c r="CX197"/>
  <c r="CT195"/>
  <c r="CS195" s="1"/>
  <c r="CR195" s="1"/>
  <c r="CQ195" s="1"/>
  <c r="CP195" s="1"/>
  <c r="CO195" s="1"/>
  <c r="CN195" s="1"/>
  <c r="CM195" s="1"/>
  <c r="CL195" s="1"/>
  <c r="CK195" s="1"/>
  <c r="CJ195" s="1"/>
  <c r="CI195" s="1"/>
  <c r="CX195"/>
  <c r="CT193"/>
  <c r="CS193" s="1"/>
  <c r="CR193" s="1"/>
  <c r="CQ193" s="1"/>
  <c r="CP193" s="1"/>
  <c r="CO193" s="1"/>
  <c r="CN193" s="1"/>
  <c r="CM193" s="1"/>
  <c r="CL193" s="1"/>
  <c r="CK193" s="1"/>
  <c r="CJ193" s="1"/>
  <c r="CI193" s="1"/>
  <c r="CX193"/>
  <c r="CT191"/>
  <c r="CS191" s="1"/>
  <c r="CR191" s="1"/>
  <c r="CQ191" s="1"/>
  <c r="CP191" s="1"/>
  <c r="CO191" s="1"/>
  <c r="CN191" s="1"/>
  <c r="CM191" s="1"/>
  <c r="CL191" s="1"/>
  <c r="CK191" s="1"/>
  <c r="CJ191" s="1"/>
  <c r="CI191" s="1"/>
  <c r="CX191"/>
  <c r="CT189"/>
  <c r="CS189" s="1"/>
  <c r="CR189" s="1"/>
  <c r="CQ189" s="1"/>
  <c r="CP189" s="1"/>
  <c r="CO189" s="1"/>
  <c r="CN189" s="1"/>
  <c r="CM189" s="1"/>
  <c r="CL189" s="1"/>
  <c r="CK189" s="1"/>
  <c r="CJ189" s="1"/>
  <c r="CI189" s="1"/>
  <c r="CX189"/>
  <c r="CT187"/>
  <c r="CS187" s="1"/>
  <c r="CR187" s="1"/>
  <c r="CQ187" s="1"/>
  <c r="CP187" s="1"/>
  <c r="CO187" s="1"/>
  <c r="CN187" s="1"/>
  <c r="CM187" s="1"/>
  <c r="CL187" s="1"/>
  <c r="CK187" s="1"/>
  <c r="CJ187" s="1"/>
  <c r="CI187" s="1"/>
  <c r="CX187"/>
  <c r="CT185"/>
  <c r="CS185" s="1"/>
  <c r="CR185" s="1"/>
  <c r="CQ185" s="1"/>
  <c r="CP185" s="1"/>
  <c r="CO185" s="1"/>
  <c r="CN185" s="1"/>
  <c r="CM185" s="1"/>
  <c r="CL185" s="1"/>
  <c r="CK185" s="1"/>
  <c r="CJ185" s="1"/>
  <c r="CI185" s="1"/>
  <c r="CX185"/>
  <c r="CT183"/>
  <c r="CS183" s="1"/>
  <c r="CR183" s="1"/>
  <c r="CQ183" s="1"/>
  <c r="CP183" s="1"/>
  <c r="CO183" s="1"/>
  <c r="CN183" s="1"/>
  <c r="CM183" s="1"/>
  <c r="CL183" s="1"/>
  <c r="CK183" s="1"/>
  <c r="CJ183" s="1"/>
  <c r="CI183" s="1"/>
  <c r="CX183"/>
  <c r="CT181"/>
  <c r="CS181" s="1"/>
  <c r="CR181" s="1"/>
  <c r="CQ181" s="1"/>
  <c r="CP181" s="1"/>
  <c r="CO181" s="1"/>
  <c r="CN181" s="1"/>
  <c r="CM181" s="1"/>
  <c r="CL181" s="1"/>
  <c r="CK181" s="1"/>
  <c r="CJ181" s="1"/>
  <c r="CI181" s="1"/>
  <c r="CX181"/>
  <c r="CT179"/>
  <c r="CS179" s="1"/>
  <c r="CR179" s="1"/>
  <c r="CQ179" s="1"/>
  <c r="CP179" s="1"/>
  <c r="CO179" s="1"/>
  <c r="CN179" s="1"/>
  <c r="CM179" s="1"/>
  <c r="CL179" s="1"/>
  <c r="CK179" s="1"/>
  <c r="CJ179" s="1"/>
  <c r="CI179" s="1"/>
  <c r="CX179"/>
  <c r="CT177"/>
  <c r="CS177" s="1"/>
  <c r="CR177" s="1"/>
  <c r="CQ177" s="1"/>
  <c r="CP177" s="1"/>
  <c r="CO177" s="1"/>
  <c r="CN177" s="1"/>
  <c r="CM177" s="1"/>
  <c r="CL177" s="1"/>
  <c r="CK177" s="1"/>
  <c r="CJ177" s="1"/>
  <c r="CI177" s="1"/>
  <c r="CX177"/>
  <c r="CT175"/>
  <c r="CS175" s="1"/>
  <c r="CR175" s="1"/>
  <c r="CQ175" s="1"/>
  <c r="CP175" s="1"/>
  <c r="CO175" s="1"/>
  <c r="CN175" s="1"/>
  <c r="CM175" s="1"/>
  <c r="CL175" s="1"/>
  <c r="CK175" s="1"/>
  <c r="CJ175" s="1"/>
  <c r="CI175" s="1"/>
  <c r="CX175"/>
  <c r="CT173"/>
  <c r="CS173" s="1"/>
  <c r="CR173" s="1"/>
  <c r="CQ173" s="1"/>
  <c r="CP173" s="1"/>
  <c r="CO173" s="1"/>
  <c r="CN173" s="1"/>
  <c r="CM173" s="1"/>
  <c r="CL173" s="1"/>
  <c r="CK173" s="1"/>
  <c r="CJ173" s="1"/>
  <c r="CI173" s="1"/>
  <c r="CX173"/>
  <c r="CT171"/>
  <c r="CS171" s="1"/>
  <c r="CR171" s="1"/>
  <c r="CQ171" s="1"/>
  <c r="CP171" s="1"/>
  <c r="CO171" s="1"/>
  <c r="CN171" s="1"/>
  <c r="CM171" s="1"/>
  <c r="CL171" s="1"/>
  <c r="CK171" s="1"/>
  <c r="CJ171" s="1"/>
  <c r="CI171" s="1"/>
  <c r="CX171"/>
  <c r="CT169"/>
  <c r="CS169" s="1"/>
  <c r="CR169" s="1"/>
  <c r="CQ169" s="1"/>
  <c r="CP169" s="1"/>
  <c r="CO169" s="1"/>
  <c r="CN169" s="1"/>
  <c r="CM169" s="1"/>
  <c r="CL169" s="1"/>
  <c r="CK169" s="1"/>
  <c r="CJ169" s="1"/>
  <c r="CI169" s="1"/>
  <c r="CX169"/>
  <c r="CT167"/>
  <c r="CS167" s="1"/>
  <c r="CR167" s="1"/>
  <c r="CQ167" s="1"/>
  <c r="CP167" s="1"/>
  <c r="CO167" s="1"/>
  <c r="CN167" s="1"/>
  <c r="CM167" s="1"/>
  <c r="CL167" s="1"/>
  <c r="CK167" s="1"/>
  <c r="CJ167" s="1"/>
  <c r="CI167" s="1"/>
  <c r="CX167"/>
  <c r="CT165"/>
  <c r="CS165" s="1"/>
  <c r="CR165" s="1"/>
  <c r="CQ165" s="1"/>
  <c r="CP165" s="1"/>
  <c r="CO165" s="1"/>
  <c r="CN165" s="1"/>
  <c r="CM165" s="1"/>
  <c r="CL165" s="1"/>
  <c r="CK165" s="1"/>
  <c r="CJ165" s="1"/>
  <c r="CI165" s="1"/>
  <c r="CX165"/>
  <c r="CT163"/>
  <c r="CS163" s="1"/>
  <c r="CR163" s="1"/>
  <c r="CQ163" s="1"/>
  <c r="CP163" s="1"/>
  <c r="CO163" s="1"/>
  <c r="CN163" s="1"/>
  <c r="CM163" s="1"/>
  <c r="CL163" s="1"/>
  <c r="CK163" s="1"/>
  <c r="CJ163" s="1"/>
  <c r="CI163" s="1"/>
  <c r="CX163"/>
  <c r="CT161"/>
  <c r="CS161" s="1"/>
  <c r="CR161" s="1"/>
  <c r="CQ161" s="1"/>
  <c r="CP161" s="1"/>
  <c r="CO161" s="1"/>
  <c r="CN161" s="1"/>
  <c r="CM161" s="1"/>
  <c r="CL161" s="1"/>
  <c r="CK161" s="1"/>
  <c r="CJ161" s="1"/>
  <c r="CI161" s="1"/>
  <c r="CX161"/>
  <c r="CT159"/>
  <c r="CS159" s="1"/>
  <c r="CR159" s="1"/>
  <c r="CQ159" s="1"/>
  <c r="CP159" s="1"/>
  <c r="CO159" s="1"/>
  <c r="CN159" s="1"/>
  <c r="CM159" s="1"/>
  <c r="CL159" s="1"/>
  <c r="CK159" s="1"/>
  <c r="CJ159" s="1"/>
  <c r="CI159" s="1"/>
  <c r="CX159"/>
  <c r="CT157"/>
  <c r="CS157" s="1"/>
  <c r="CR157" s="1"/>
  <c r="CQ157" s="1"/>
  <c r="CP157" s="1"/>
  <c r="CO157" s="1"/>
  <c r="CN157" s="1"/>
  <c r="CM157" s="1"/>
  <c r="CL157" s="1"/>
  <c r="CK157" s="1"/>
  <c r="CJ157" s="1"/>
  <c r="CI157" s="1"/>
  <c r="CX157"/>
  <c r="CT155"/>
  <c r="CS155" s="1"/>
  <c r="CR155" s="1"/>
  <c r="CQ155" s="1"/>
  <c r="CP155" s="1"/>
  <c r="CO155" s="1"/>
  <c r="CN155" s="1"/>
  <c r="CM155" s="1"/>
  <c r="CL155" s="1"/>
  <c r="CK155" s="1"/>
  <c r="CJ155" s="1"/>
  <c r="CI155" s="1"/>
  <c r="CX155"/>
  <c r="CT153"/>
  <c r="CS153" s="1"/>
  <c r="CR153" s="1"/>
  <c r="CQ153" s="1"/>
  <c r="CP153" s="1"/>
  <c r="CO153" s="1"/>
  <c r="CN153" s="1"/>
  <c r="CM153" s="1"/>
  <c r="CL153" s="1"/>
  <c r="CK153" s="1"/>
  <c r="CJ153" s="1"/>
  <c r="CI153" s="1"/>
  <c r="CX153"/>
  <c r="CT151"/>
  <c r="CS151" s="1"/>
  <c r="CR151" s="1"/>
  <c r="CQ151" s="1"/>
  <c r="CP151" s="1"/>
  <c r="CO151" s="1"/>
  <c r="CN151" s="1"/>
  <c r="CM151" s="1"/>
  <c r="CL151" s="1"/>
  <c r="CK151" s="1"/>
  <c r="CJ151" s="1"/>
  <c r="CI151" s="1"/>
  <c r="CX151"/>
  <c r="CT149"/>
  <c r="CS149" s="1"/>
  <c r="CR149" s="1"/>
  <c r="CQ149" s="1"/>
  <c r="CP149" s="1"/>
  <c r="CO149" s="1"/>
  <c r="CN149" s="1"/>
  <c r="CM149" s="1"/>
  <c r="CL149" s="1"/>
  <c r="CK149" s="1"/>
  <c r="CJ149" s="1"/>
  <c r="CI149" s="1"/>
  <c r="CX149"/>
  <c r="CT147"/>
  <c r="CS147" s="1"/>
  <c r="CR147" s="1"/>
  <c r="CQ147" s="1"/>
  <c r="CP147" s="1"/>
  <c r="CO147" s="1"/>
  <c r="CN147" s="1"/>
  <c r="CM147" s="1"/>
  <c r="CL147" s="1"/>
  <c r="CK147" s="1"/>
  <c r="CJ147" s="1"/>
  <c r="CI147" s="1"/>
  <c r="CX147"/>
  <c r="CT145"/>
  <c r="CS145" s="1"/>
  <c r="CR145" s="1"/>
  <c r="CQ145" s="1"/>
  <c r="CP145" s="1"/>
  <c r="CO145" s="1"/>
  <c r="CN145" s="1"/>
  <c r="CM145" s="1"/>
  <c r="CL145" s="1"/>
  <c r="CK145" s="1"/>
  <c r="CJ145" s="1"/>
  <c r="CI145" s="1"/>
  <c r="CX145"/>
  <c r="CT143"/>
  <c r="CS143" s="1"/>
  <c r="CR143" s="1"/>
  <c r="CQ143" s="1"/>
  <c r="CP143" s="1"/>
  <c r="CO143" s="1"/>
  <c r="CN143" s="1"/>
  <c r="CM143" s="1"/>
  <c r="CL143" s="1"/>
  <c r="CK143" s="1"/>
  <c r="CJ143" s="1"/>
  <c r="CI143" s="1"/>
  <c r="CX143"/>
  <c r="CT141"/>
  <c r="CS141" s="1"/>
  <c r="CR141" s="1"/>
  <c r="CQ141" s="1"/>
  <c r="CP141" s="1"/>
  <c r="CO141" s="1"/>
  <c r="CN141" s="1"/>
  <c r="CM141" s="1"/>
  <c r="CL141" s="1"/>
  <c r="CK141" s="1"/>
  <c r="CJ141" s="1"/>
  <c r="CI141" s="1"/>
  <c r="CX141"/>
  <c r="CT139"/>
  <c r="CS139" s="1"/>
  <c r="CR139" s="1"/>
  <c r="CQ139" s="1"/>
  <c r="CP139" s="1"/>
  <c r="CO139" s="1"/>
  <c r="CN139" s="1"/>
  <c r="CM139" s="1"/>
  <c r="CL139" s="1"/>
  <c r="CK139" s="1"/>
  <c r="CJ139" s="1"/>
  <c r="CI139" s="1"/>
  <c r="CX139"/>
  <c r="CT137"/>
  <c r="CS137" s="1"/>
  <c r="CR137" s="1"/>
  <c r="CQ137" s="1"/>
  <c r="CP137" s="1"/>
  <c r="CO137" s="1"/>
  <c r="CN137" s="1"/>
  <c r="CM137" s="1"/>
  <c r="CL137" s="1"/>
  <c r="CK137" s="1"/>
  <c r="CJ137" s="1"/>
  <c r="CI137" s="1"/>
  <c r="CX137"/>
  <c r="CT135"/>
  <c r="CS135" s="1"/>
  <c r="CR135" s="1"/>
  <c r="CQ135" s="1"/>
  <c r="CP135" s="1"/>
  <c r="CO135" s="1"/>
  <c r="CN135" s="1"/>
  <c r="CM135" s="1"/>
  <c r="CL135" s="1"/>
  <c r="CK135" s="1"/>
  <c r="CJ135" s="1"/>
  <c r="CI135" s="1"/>
  <c r="CX135"/>
  <c r="CT133"/>
  <c r="CS133" s="1"/>
  <c r="CR133" s="1"/>
  <c r="CQ133" s="1"/>
  <c r="CP133" s="1"/>
  <c r="CO133" s="1"/>
  <c r="CN133" s="1"/>
  <c r="CM133" s="1"/>
  <c r="CL133" s="1"/>
  <c r="CK133" s="1"/>
  <c r="CJ133" s="1"/>
  <c r="CI133" s="1"/>
  <c r="CX133"/>
  <c r="CT131"/>
  <c r="CS131" s="1"/>
  <c r="CR131" s="1"/>
  <c r="CQ131" s="1"/>
  <c r="CP131" s="1"/>
  <c r="CO131" s="1"/>
  <c r="CN131" s="1"/>
  <c r="CM131" s="1"/>
  <c r="CL131" s="1"/>
  <c r="CK131" s="1"/>
  <c r="CJ131" s="1"/>
  <c r="CI131" s="1"/>
  <c r="CX131"/>
  <c r="CT129"/>
  <c r="CS129" s="1"/>
  <c r="CR129" s="1"/>
  <c r="CQ129" s="1"/>
  <c r="CP129" s="1"/>
  <c r="CO129" s="1"/>
  <c r="CN129" s="1"/>
  <c r="CM129" s="1"/>
  <c r="CL129" s="1"/>
  <c r="CK129" s="1"/>
  <c r="CJ129" s="1"/>
  <c r="CI129" s="1"/>
  <c r="CX129"/>
  <c r="CT127"/>
  <c r="CS127" s="1"/>
  <c r="CR127" s="1"/>
  <c r="CQ127" s="1"/>
  <c r="CP127" s="1"/>
  <c r="CO127" s="1"/>
  <c r="CN127" s="1"/>
  <c r="CM127" s="1"/>
  <c r="CL127" s="1"/>
  <c r="CK127" s="1"/>
  <c r="CJ127" s="1"/>
  <c r="CI127" s="1"/>
  <c r="CX127"/>
  <c r="CT125"/>
  <c r="CS125" s="1"/>
  <c r="CR125" s="1"/>
  <c r="CQ125" s="1"/>
  <c r="CP125" s="1"/>
  <c r="CO125" s="1"/>
  <c r="CN125" s="1"/>
  <c r="CM125" s="1"/>
  <c r="CL125" s="1"/>
  <c r="CK125" s="1"/>
  <c r="CJ125" s="1"/>
  <c r="CI125" s="1"/>
  <c r="CX125"/>
  <c r="CT13"/>
  <c r="CS13" s="1"/>
  <c r="CR13" s="1"/>
  <c r="CQ13" s="1"/>
  <c r="CP13" s="1"/>
  <c r="CO13" s="1"/>
  <c r="CN13" s="1"/>
  <c r="CM13" s="1"/>
  <c r="CL13" s="1"/>
  <c r="CK13" s="1"/>
  <c r="CJ13" s="1"/>
  <c r="CI13" s="1"/>
  <c r="CX13"/>
  <c r="CT3"/>
  <c r="CS3" s="1"/>
  <c r="CR3" s="1"/>
  <c r="CQ3" s="1"/>
  <c r="CP3" s="1"/>
  <c r="CO3" s="1"/>
  <c r="CN3" s="1"/>
  <c r="CM3" s="1"/>
  <c r="CL3" s="1"/>
  <c r="CK3" s="1"/>
  <c r="CJ3" s="1"/>
  <c r="CI3" s="1"/>
  <c r="CX3"/>
  <c r="CT2"/>
  <c r="CS2" s="1"/>
  <c r="CW1000"/>
  <c r="CW998"/>
  <c r="CW996"/>
  <c r="CI1009"/>
  <c r="CS1005"/>
  <c r="CR1005" s="1"/>
  <c r="CQ1005" s="1"/>
  <c r="CP1005" s="1"/>
  <c r="CO1005" s="1"/>
  <c r="CN1005" s="1"/>
  <c r="CM1005" s="1"/>
  <c r="CL1005" s="1"/>
  <c r="CK1005" s="1"/>
  <c r="CJ1005" s="1"/>
  <c r="CI1005" s="1"/>
  <c r="CQ1012"/>
  <c r="CP1012" s="1"/>
  <c r="CO1012" s="1"/>
  <c r="CN1012" s="1"/>
  <c r="CM1012" s="1"/>
  <c r="CL1012" s="1"/>
  <c r="CK1012" s="1"/>
  <c r="CJ1012" s="1"/>
  <c r="CI1012" s="1"/>
  <c r="CQ1004"/>
  <c r="CP1004" s="1"/>
  <c r="CO1004" s="1"/>
  <c r="CN1004" s="1"/>
  <c r="CM1004" s="1"/>
  <c r="CL1004" s="1"/>
  <c r="CK1004" s="1"/>
  <c r="CJ1004" s="1"/>
  <c r="CI1004" s="1"/>
  <c r="CW978"/>
  <c r="CW975"/>
  <c r="CS994"/>
  <c r="CR994" s="1"/>
  <c r="CQ994" s="1"/>
  <c r="CP994" s="1"/>
  <c r="CO994" s="1"/>
  <c r="CN994" s="1"/>
  <c r="CM994" s="1"/>
  <c r="CL994" s="1"/>
  <c r="CK994" s="1"/>
  <c r="CJ994" s="1"/>
  <c r="CI994" s="1"/>
  <c r="CS991"/>
  <c r="CR991" s="1"/>
  <c r="CQ991" s="1"/>
  <c r="CP991" s="1"/>
  <c r="CO991" s="1"/>
  <c r="CN991" s="1"/>
  <c r="CM991" s="1"/>
  <c r="CL991" s="1"/>
  <c r="CK991" s="1"/>
  <c r="CJ991" s="1"/>
  <c r="CI991" s="1"/>
  <c r="CQ983"/>
  <c r="CP983" s="1"/>
  <c r="CO983" s="1"/>
  <c r="CN983" s="1"/>
  <c r="CM983" s="1"/>
  <c r="CL983" s="1"/>
  <c r="CK983" s="1"/>
  <c r="CJ983" s="1"/>
  <c r="CI983" s="1"/>
  <c r="CW974"/>
  <c r="CQ992"/>
  <c r="CP992" s="1"/>
  <c r="CO992" s="1"/>
  <c r="CN992" s="1"/>
  <c r="CM992" s="1"/>
  <c r="CL992" s="1"/>
  <c r="CK992" s="1"/>
  <c r="CJ992" s="1"/>
  <c r="CI992" s="1"/>
  <c r="CI988"/>
  <c r="CQ984"/>
  <c r="CP984" s="1"/>
  <c r="CO984" s="1"/>
  <c r="CN984" s="1"/>
  <c r="CM984" s="1"/>
  <c r="CL984" s="1"/>
  <c r="CK984" s="1"/>
  <c r="CJ984" s="1"/>
  <c r="CI984" s="1"/>
  <c r="CS980"/>
  <c r="CR980" s="1"/>
  <c r="CQ980" s="1"/>
  <c r="CP980" s="1"/>
  <c r="CO980" s="1"/>
  <c r="CN980" s="1"/>
  <c r="CM980" s="1"/>
  <c r="CL980" s="1"/>
  <c r="CK980" s="1"/>
  <c r="CJ980" s="1"/>
  <c r="CI980" s="1"/>
  <c r="CW972"/>
  <c r="CW970"/>
  <c r="CW968"/>
  <c r="CW966"/>
  <c r="CW964"/>
  <c r="CW962"/>
  <c r="CW960"/>
  <c r="CW958"/>
  <c r="CW956"/>
  <c r="CW936"/>
  <c r="CW935"/>
  <c r="CW916"/>
  <c r="CW915"/>
  <c r="CW913"/>
  <c r="CW911"/>
  <c r="CW909"/>
  <c r="CW907"/>
  <c r="CW905"/>
  <c r="CW903"/>
  <c r="CW901"/>
  <c r="CW899"/>
  <c r="CQ928"/>
  <c r="CP928" s="1"/>
  <c r="CO928" s="1"/>
  <c r="CN928" s="1"/>
  <c r="CM928" s="1"/>
  <c r="CL928" s="1"/>
  <c r="CK928" s="1"/>
  <c r="CJ928" s="1"/>
  <c r="CI928" s="1"/>
  <c r="CI924"/>
  <c r="CS920"/>
  <c r="CR920" s="1"/>
  <c r="CQ920" s="1"/>
  <c r="CP920" s="1"/>
  <c r="CO920" s="1"/>
  <c r="CN920" s="1"/>
  <c r="CM920" s="1"/>
  <c r="CL920" s="1"/>
  <c r="CK920" s="1"/>
  <c r="CJ920" s="1"/>
  <c r="CI920" s="1"/>
  <c r="CL897"/>
  <c r="CK897" s="1"/>
  <c r="CJ897" s="1"/>
  <c r="CI897" s="1"/>
  <c r="CQ929"/>
  <c r="CP929" s="1"/>
  <c r="CO929" s="1"/>
  <c r="CN929" s="1"/>
  <c r="CM929" s="1"/>
  <c r="CL929" s="1"/>
  <c r="CK929" s="1"/>
  <c r="CJ929" s="1"/>
  <c r="CI929" s="1"/>
  <c r="CQ921"/>
  <c r="CP921" s="1"/>
  <c r="CO921" s="1"/>
  <c r="CN921" s="1"/>
  <c r="CM921" s="1"/>
  <c r="CL921" s="1"/>
  <c r="CK921" s="1"/>
  <c r="CJ921" s="1"/>
  <c r="CI921" s="1"/>
  <c r="CW896"/>
  <c r="CJ878"/>
  <c r="CI878" s="1"/>
  <c r="CR874"/>
  <c r="CQ874" s="1"/>
  <c r="CP874" s="1"/>
  <c r="CO874" s="1"/>
  <c r="CN874" s="1"/>
  <c r="CM874" s="1"/>
  <c r="CL874" s="1"/>
  <c r="CK874" s="1"/>
  <c r="CJ874" s="1"/>
  <c r="CI874" s="1"/>
  <c r="CR870"/>
  <c r="CQ870" s="1"/>
  <c r="CP870" s="1"/>
  <c r="CO870" s="1"/>
  <c r="CN870" s="1"/>
  <c r="CM870" s="1"/>
  <c r="CL870" s="1"/>
  <c r="CK870" s="1"/>
  <c r="CJ870" s="1"/>
  <c r="CI870" s="1"/>
  <c r="CW820"/>
  <c r="CT882"/>
  <c r="CS882" s="1"/>
  <c r="CR882" s="1"/>
  <c r="CQ882" s="1"/>
  <c r="CP882" s="1"/>
  <c r="CO882" s="1"/>
  <c r="CN882" s="1"/>
  <c r="CM882" s="1"/>
  <c r="CL882" s="1"/>
  <c r="CK882" s="1"/>
  <c r="CJ882" s="1"/>
  <c r="CI882" s="1"/>
  <c r="CT879"/>
  <c r="CS879" s="1"/>
  <c r="CR879" s="1"/>
  <c r="CQ879" s="1"/>
  <c r="CP879" s="1"/>
  <c r="CO879" s="1"/>
  <c r="CN879" s="1"/>
  <c r="CM879" s="1"/>
  <c r="CL879" s="1"/>
  <c r="CK879" s="1"/>
  <c r="CJ879" s="1"/>
  <c r="CI879" s="1"/>
  <c r="CJ875"/>
  <c r="CI875" s="1"/>
  <c r="CR871"/>
  <c r="CQ871" s="1"/>
  <c r="CP871" s="1"/>
  <c r="CO871" s="1"/>
  <c r="CN871" s="1"/>
  <c r="CM871" s="1"/>
  <c r="CL871" s="1"/>
  <c r="CK871" s="1"/>
  <c r="CJ871" s="1"/>
  <c r="CI871" s="1"/>
  <c r="CW819"/>
  <c r="CP816"/>
  <c r="CO816" s="1"/>
  <c r="CN816" s="1"/>
  <c r="CM816" s="1"/>
  <c r="CL816" s="1"/>
  <c r="CK816" s="1"/>
  <c r="CJ816" s="1"/>
  <c r="CI816" s="1"/>
  <c r="CW743"/>
  <c r="CR815"/>
  <c r="CQ815" s="1"/>
  <c r="CP815" s="1"/>
  <c r="CO815" s="1"/>
  <c r="CN815" s="1"/>
  <c r="CM815" s="1"/>
  <c r="CL815" s="1"/>
  <c r="CK815" s="1"/>
  <c r="CJ815" s="1"/>
  <c r="CI815" s="1"/>
  <c r="CW728"/>
  <c r="CW725"/>
  <c r="CW707"/>
  <c r="CW706"/>
  <c r="CW704"/>
  <c r="CW702"/>
  <c r="CW700"/>
  <c r="CW698"/>
  <c r="CW696"/>
  <c r="CW694"/>
  <c r="CW692"/>
  <c r="CW690"/>
  <c r="CW688"/>
  <c r="CW686"/>
  <c r="CW684"/>
  <c r="CW682"/>
  <c r="CW680"/>
  <c r="CW678"/>
  <c r="CW676"/>
  <c r="CW674"/>
  <c r="CW672"/>
  <c r="CW670"/>
  <c r="CW668"/>
  <c r="CW666"/>
  <c r="CW664"/>
  <c r="CW662"/>
  <c r="CW660"/>
  <c r="CW658"/>
  <c r="CW656"/>
  <c r="CW654"/>
  <c r="CW652"/>
  <c r="CW650"/>
  <c r="CW648"/>
  <c r="CW646"/>
  <c r="CW644"/>
  <c r="CW642"/>
  <c r="CW640"/>
  <c r="CW638"/>
  <c r="CW636"/>
  <c r="CW634"/>
  <c r="CW632"/>
  <c r="CW630"/>
  <c r="CW628"/>
  <c r="CW626"/>
  <c r="CW624"/>
  <c r="CW622"/>
  <c r="CW620"/>
  <c r="CW618"/>
  <c r="CW616"/>
  <c r="CW614"/>
  <c r="CW612"/>
  <c r="CW610"/>
  <c r="CW608"/>
  <c r="CW606"/>
  <c r="CW604"/>
  <c r="CW602"/>
  <c r="CW600"/>
  <c r="CW598"/>
  <c r="CW596"/>
  <c r="CW594"/>
  <c r="CI740"/>
  <c r="CS736"/>
  <c r="CR736" s="1"/>
  <c r="CQ736" s="1"/>
  <c r="CP736" s="1"/>
  <c r="CO736" s="1"/>
  <c r="CN736" s="1"/>
  <c r="CM736" s="1"/>
  <c r="CL736" s="1"/>
  <c r="CK736" s="1"/>
  <c r="CJ736" s="1"/>
  <c r="CI736" s="1"/>
  <c r="CS732"/>
  <c r="CR732" s="1"/>
  <c r="CQ732" s="1"/>
  <c r="CP732" s="1"/>
  <c r="CO732" s="1"/>
  <c r="CN732" s="1"/>
  <c r="CM732" s="1"/>
  <c r="CL732" s="1"/>
  <c r="CK732" s="1"/>
  <c r="CJ732" s="1"/>
  <c r="CI732" s="1"/>
  <c r="CI720"/>
  <c r="CI716"/>
  <c r="CS712"/>
  <c r="CR712" s="1"/>
  <c r="CQ712" s="1"/>
  <c r="CP712" s="1"/>
  <c r="CO712" s="1"/>
  <c r="CN712" s="1"/>
  <c r="CM712" s="1"/>
  <c r="CL712" s="1"/>
  <c r="CK712" s="1"/>
  <c r="CJ712" s="1"/>
  <c r="CI712" s="1"/>
  <c r="CW592"/>
  <c r="CW590"/>
  <c r="CW588"/>
  <c r="CI737"/>
  <c r="CS733"/>
  <c r="CR733" s="1"/>
  <c r="CQ733" s="1"/>
  <c r="CP733" s="1"/>
  <c r="CO733" s="1"/>
  <c r="CN733" s="1"/>
  <c r="CM733" s="1"/>
  <c r="CL733" s="1"/>
  <c r="CK733" s="1"/>
  <c r="CJ733" s="1"/>
  <c r="CI733" s="1"/>
  <c r="CS723"/>
  <c r="CR723" s="1"/>
  <c r="CQ723" s="1"/>
  <c r="CP723" s="1"/>
  <c r="CO723" s="1"/>
  <c r="CN723" s="1"/>
  <c r="CM723" s="1"/>
  <c r="CL723" s="1"/>
  <c r="CK723" s="1"/>
  <c r="CJ723" s="1"/>
  <c r="CI723" s="1"/>
  <c r="CI719"/>
  <c r="CS715"/>
  <c r="CR715" s="1"/>
  <c r="CQ715" s="1"/>
  <c r="CP715" s="1"/>
  <c r="CO715" s="1"/>
  <c r="CN715" s="1"/>
  <c r="CM715" s="1"/>
  <c r="CL715" s="1"/>
  <c r="CK715" s="1"/>
  <c r="CJ715" s="1"/>
  <c r="CI715" s="1"/>
  <c r="CS711"/>
  <c r="CR711" s="1"/>
  <c r="CQ711" s="1"/>
  <c r="CP711" s="1"/>
  <c r="CO711" s="1"/>
  <c r="CN711" s="1"/>
  <c r="CM711" s="1"/>
  <c r="CL711" s="1"/>
  <c r="CK711" s="1"/>
  <c r="CJ711" s="1"/>
  <c r="CI711" s="1"/>
  <c r="CW593"/>
  <c r="CW589"/>
  <c r="CW586"/>
  <c r="CW585"/>
  <c r="CW584"/>
  <c r="CW583"/>
  <c r="CW582"/>
  <c r="CW581"/>
  <c r="CW580"/>
  <c r="CW579"/>
  <c r="CW578"/>
  <c r="CW577"/>
  <c r="CW576"/>
  <c r="CW575"/>
  <c r="CW574"/>
  <c r="CW573"/>
  <c r="CW572"/>
  <c r="CW571"/>
  <c r="CW570"/>
  <c r="CW569"/>
  <c r="CW568"/>
  <c r="CW565"/>
  <c r="CW542"/>
  <c r="CW540"/>
  <c r="CW538"/>
  <c r="CW536"/>
  <c r="CW534"/>
  <c r="CW532"/>
  <c r="CW530"/>
  <c r="CW528"/>
  <c r="CW526"/>
  <c r="CW524"/>
  <c r="CW522"/>
  <c r="CW520"/>
  <c r="CW518"/>
  <c r="CW516"/>
  <c r="CW514"/>
  <c r="CW512"/>
  <c r="CW510"/>
  <c r="CW508"/>
  <c r="CW506"/>
  <c r="CW504"/>
  <c r="CW502"/>
  <c r="CW500"/>
  <c r="CW498"/>
  <c r="CW496"/>
  <c r="CW494"/>
  <c r="CW492"/>
  <c r="CW490"/>
  <c r="CW488"/>
  <c r="CW486"/>
  <c r="CW484"/>
  <c r="CW482"/>
  <c r="CW480"/>
  <c r="CW478"/>
  <c r="CW476"/>
  <c r="CW474"/>
  <c r="CW472"/>
  <c r="CW470"/>
  <c r="CW468"/>
  <c r="CW466"/>
  <c r="CW464"/>
  <c r="CW462"/>
  <c r="CW460"/>
  <c r="CW458"/>
  <c r="CW456"/>
  <c r="CW454"/>
  <c r="CW452"/>
  <c r="CW450"/>
  <c r="CW448"/>
  <c r="CW446"/>
  <c r="CW444"/>
  <c r="CW442"/>
  <c r="CW440"/>
  <c r="CW438"/>
  <c r="CW436"/>
  <c r="CS562"/>
  <c r="CR562" s="1"/>
  <c r="CQ562" s="1"/>
  <c r="CP562" s="1"/>
  <c r="CO562" s="1"/>
  <c r="CN562" s="1"/>
  <c r="CM562" s="1"/>
  <c r="CL562" s="1"/>
  <c r="CK562" s="1"/>
  <c r="CJ562" s="1"/>
  <c r="CI562" s="1"/>
  <c r="CS558"/>
  <c r="CR558" s="1"/>
  <c r="CQ558" s="1"/>
  <c r="CP558" s="1"/>
  <c r="CO558" s="1"/>
  <c r="CN558" s="1"/>
  <c r="CM558" s="1"/>
  <c r="CL558" s="1"/>
  <c r="CK558" s="1"/>
  <c r="CJ558" s="1"/>
  <c r="CI558" s="1"/>
  <c r="CI554"/>
  <c r="CS550"/>
  <c r="CR550" s="1"/>
  <c r="CQ550" s="1"/>
  <c r="CP550" s="1"/>
  <c r="CO550" s="1"/>
  <c r="CN550" s="1"/>
  <c r="CM550" s="1"/>
  <c r="CL550" s="1"/>
  <c r="CK550" s="1"/>
  <c r="CJ550" s="1"/>
  <c r="CI550" s="1"/>
  <c r="CS546"/>
  <c r="CR546" s="1"/>
  <c r="CQ546" s="1"/>
  <c r="CP546" s="1"/>
  <c r="CO546" s="1"/>
  <c r="CN546" s="1"/>
  <c r="CM546" s="1"/>
  <c r="CL546" s="1"/>
  <c r="CK546" s="1"/>
  <c r="CJ546" s="1"/>
  <c r="CI546" s="1"/>
  <c r="CW432"/>
  <c r="CS559"/>
  <c r="CR559" s="1"/>
  <c r="CQ559" s="1"/>
  <c r="CP559" s="1"/>
  <c r="CO559" s="1"/>
  <c r="CN559" s="1"/>
  <c r="CM559" s="1"/>
  <c r="CL559" s="1"/>
  <c r="CK559" s="1"/>
  <c r="CJ559" s="1"/>
  <c r="CI559" s="1"/>
  <c r="CI555"/>
  <c r="CS551"/>
  <c r="CR551" s="1"/>
  <c r="CQ551" s="1"/>
  <c r="CP551" s="1"/>
  <c r="CO551" s="1"/>
  <c r="CN551" s="1"/>
  <c r="CM551" s="1"/>
  <c r="CL551" s="1"/>
  <c r="CK551" s="1"/>
  <c r="CJ551" s="1"/>
  <c r="CI551" s="1"/>
  <c r="CS547"/>
  <c r="CR547" s="1"/>
  <c r="CQ547" s="1"/>
  <c r="CP547" s="1"/>
  <c r="CO547" s="1"/>
  <c r="CN547" s="1"/>
  <c r="CM547" s="1"/>
  <c r="CL547" s="1"/>
  <c r="CK547" s="1"/>
  <c r="CJ547" s="1"/>
  <c r="CI547" s="1"/>
  <c r="CW431"/>
  <c r="CW334"/>
  <c r="CW333"/>
  <c r="CW315"/>
  <c r="CW313"/>
  <c r="CW311"/>
  <c r="CW309"/>
  <c r="CW307"/>
  <c r="CW305"/>
  <c r="CW303"/>
  <c r="CW301"/>
  <c r="CW299"/>
  <c r="CW297"/>
  <c r="CW295"/>
  <c r="CW293"/>
  <c r="CW291"/>
  <c r="CW289"/>
  <c r="CW287"/>
  <c r="CW285"/>
  <c r="CW283"/>
  <c r="CW281"/>
  <c r="CW279"/>
  <c r="CW277"/>
  <c r="CT435"/>
  <c r="CS435" s="1"/>
  <c r="CR435" s="1"/>
  <c r="CQ435" s="1"/>
  <c r="CP435" s="1"/>
  <c r="CO435" s="1"/>
  <c r="CN435" s="1"/>
  <c r="CM435" s="1"/>
  <c r="CL435" s="1"/>
  <c r="CK435" s="1"/>
  <c r="CJ435" s="1"/>
  <c r="CI435" s="1"/>
  <c r="CI326"/>
  <c r="CI322"/>
  <c r="CS318"/>
  <c r="CR318" s="1"/>
  <c r="CQ318" s="1"/>
  <c r="CP318" s="1"/>
  <c r="CO318" s="1"/>
  <c r="CN318" s="1"/>
  <c r="CM318" s="1"/>
  <c r="CL318" s="1"/>
  <c r="CK318" s="1"/>
  <c r="CJ318" s="1"/>
  <c r="CI318" s="1"/>
  <c r="CT225"/>
  <c r="CS225" s="1"/>
  <c r="CR225" s="1"/>
  <c r="CQ225" s="1"/>
  <c r="CP225" s="1"/>
  <c r="CO225" s="1"/>
  <c r="CN225" s="1"/>
  <c r="CM225" s="1"/>
  <c r="CL225" s="1"/>
  <c r="CK225" s="1"/>
  <c r="CJ225" s="1"/>
  <c r="CI225" s="1"/>
  <c r="CJ221"/>
  <c r="CI221" s="1"/>
  <c r="CJ217"/>
  <c r="CI217" s="1"/>
  <c r="CP213"/>
  <c r="CO213" s="1"/>
  <c r="CN213" s="1"/>
  <c r="CM213" s="1"/>
  <c r="CL213" s="1"/>
  <c r="CK213" s="1"/>
  <c r="CJ213" s="1"/>
  <c r="CI213" s="1"/>
  <c r="CW123"/>
  <c r="CS327"/>
  <c r="CR327" s="1"/>
  <c r="CQ327" s="1"/>
  <c r="CP327" s="1"/>
  <c r="CO327" s="1"/>
  <c r="CN327" s="1"/>
  <c r="CM327" s="1"/>
  <c r="CL327" s="1"/>
  <c r="CK327" s="1"/>
  <c r="CJ327" s="1"/>
  <c r="CI327" s="1"/>
  <c r="CI323"/>
  <c r="CS319"/>
  <c r="CR319" s="1"/>
  <c r="CQ319" s="1"/>
  <c r="CP319" s="1"/>
  <c r="CO319" s="1"/>
  <c r="CN319" s="1"/>
  <c r="CM319" s="1"/>
  <c r="CL319" s="1"/>
  <c r="CK319" s="1"/>
  <c r="CJ319" s="1"/>
  <c r="CI319" s="1"/>
  <c r="CR224"/>
  <c r="CQ224" s="1"/>
  <c r="CP224" s="1"/>
  <c r="CO224" s="1"/>
  <c r="CN224" s="1"/>
  <c r="CM224" s="1"/>
  <c r="CL224" s="1"/>
  <c r="CK224" s="1"/>
  <c r="CJ224" s="1"/>
  <c r="CI224" s="1"/>
  <c r="CJ220"/>
  <c r="CI220" s="1"/>
  <c r="CJ216"/>
  <c r="CI216" s="1"/>
  <c r="CP212"/>
  <c r="CO212" s="1"/>
  <c r="CN212" s="1"/>
  <c r="CM212" s="1"/>
  <c r="CL212" s="1"/>
  <c r="CK212" s="1"/>
  <c r="CJ212" s="1"/>
  <c r="CI212" s="1"/>
  <c r="CW122"/>
  <c r="CW120"/>
  <c r="CW118"/>
  <c r="CW116"/>
  <c r="CW114"/>
  <c r="CW112"/>
  <c r="CW110"/>
  <c r="CW108"/>
  <c r="CW106"/>
  <c r="CW104"/>
  <c r="CW102"/>
  <c r="CW100"/>
  <c r="CW98"/>
  <c r="CW96"/>
  <c r="CW94"/>
  <c r="CW92"/>
  <c r="CW90"/>
  <c r="CW88"/>
  <c r="CW86"/>
  <c r="CW84"/>
  <c r="CW82"/>
  <c r="CW80"/>
  <c r="CW78"/>
  <c r="CW76"/>
  <c r="CW74"/>
  <c r="CW72"/>
  <c r="CW70"/>
  <c r="CW68"/>
  <c r="CW66"/>
  <c r="CW64"/>
  <c r="CW62"/>
  <c r="CW60"/>
  <c r="CW58"/>
  <c r="CW56"/>
  <c r="CW54"/>
  <c r="CW52"/>
  <c r="CW50"/>
  <c r="CW48"/>
  <c r="CW46"/>
  <c r="CW44"/>
  <c r="CW42"/>
  <c r="CW40"/>
  <c r="CW38"/>
  <c r="CW36"/>
  <c r="CW34"/>
  <c r="CW32"/>
  <c r="CW30"/>
  <c r="CW28"/>
  <c r="CW26"/>
  <c r="CW24"/>
  <c r="CW22"/>
  <c r="CW20"/>
  <c r="CW18"/>
  <c r="CW16"/>
  <c r="CW14"/>
  <c r="CW12"/>
  <c r="CW10"/>
  <c r="CW8"/>
  <c r="CX1009"/>
  <c r="CX1005"/>
  <c r="CW1003"/>
  <c r="CW1002"/>
  <c r="CW1001"/>
  <c r="CW999"/>
  <c r="CW997"/>
  <c r="CW995"/>
  <c r="CI1011"/>
  <c r="CS1007"/>
  <c r="CR1007" s="1"/>
  <c r="CQ1007" s="1"/>
  <c r="CP1007" s="1"/>
  <c r="CO1007" s="1"/>
  <c r="CN1007" s="1"/>
  <c r="CM1007" s="1"/>
  <c r="CL1007" s="1"/>
  <c r="CK1007" s="1"/>
  <c r="CJ1007" s="1"/>
  <c r="CI1007" s="1"/>
  <c r="CW993"/>
  <c r="CX992"/>
  <c r="CX988"/>
  <c r="CX984"/>
  <c r="CX980"/>
  <c r="CI1010"/>
  <c r="CS1006"/>
  <c r="CR1006" s="1"/>
  <c r="CQ1006" s="1"/>
  <c r="CP1006" s="1"/>
  <c r="CO1006" s="1"/>
  <c r="CN1006" s="1"/>
  <c r="CM1006" s="1"/>
  <c r="CL1006" s="1"/>
  <c r="CK1006" s="1"/>
  <c r="CJ1006" s="1"/>
  <c r="CI1006" s="1"/>
  <c r="CW977"/>
  <c r="CW976"/>
  <c r="CI989"/>
  <c r="CS985"/>
  <c r="CR985" s="1"/>
  <c r="CQ985" s="1"/>
  <c r="CP985" s="1"/>
  <c r="CO985" s="1"/>
  <c r="CN985" s="1"/>
  <c r="CM985" s="1"/>
  <c r="CL985" s="1"/>
  <c r="CK985" s="1"/>
  <c r="CJ985" s="1"/>
  <c r="CI985" s="1"/>
  <c r="CS981"/>
  <c r="CR981" s="1"/>
  <c r="CQ981" s="1"/>
  <c r="CP981" s="1"/>
  <c r="CO981" s="1"/>
  <c r="CN981" s="1"/>
  <c r="CM981" s="1"/>
  <c r="CL981" s="1"/>
  <c r="CK981" s="1"/>
  <c r="CJ981" s="1"/>
  <c r="CI981" s="1"/>
  <c r="CI990"/>
  <c r="CS986"/>
  <c r="CR986" s="1"/>
  <c r="CQ986" s="1"/>
  <c r="CP986" s="1"/>
  <c r="CO986" s="1"/>
  <c r="CN986" s="1"/>
  <c r="CM986" s="1"/>
  <c r="CL986" s="1"/>
  <c r="CK986" s="1"/>
  <c r="CJ986" s="1"/>
  <c r="CI986" s="1"/>
  <c r="CS982"/>
  <c r="CR982" s="1"/>
  <c r="CQ982" s="1"/>
  <c r="CP982" s="1"/>
  <c r="CO982" s="1"/>
  <c r="CN982" s="1"/>
  <c r="CM982" s="1"/>
  <c r="CL982" s="1"/>
  <c r="CK982" s="1"/>
  <c r="CJ982" s="1"/>
  <c r="CI982" s="1"/>
  <c r="CW973"/>
  <c r="CW971"/>
  <c r="CW969"/>
  <c r="CW967"/>
  <c r="CW965"/>
  <c r="CW963"/>
  <c r="CW961"/>
  <c r="CW959"/>
  <c r="CW957"/>
  <c r="CW955"/>
  <c r="CX928"/>
  <c r="CX924"/>
  <c r="CX920"/>
  <c r="CX918"/>
  <c r="CW934"/>
  <c r="CW933"/>
  <c r="CW932"/>
  <c r="CW917"/>
  <c r="CW914"/>
  <c r="CW912"/>
  <c r="CW910"/>
  <c r="CW908"/>
  <c r="CW906"/>
  <c r="CW904"/>
  <c r="CW902"/>
  <c r="CW900"/>
  <c r="CW898"/>
  <c r="CS930"/>
  <c r="CR930" s="1"/>
  <c r="CQ930" s="1"/>
  <c r="CP930" s="1"/>
  <c r="CO930" s="1"/>
  <c r="CN930" s="1"/>
  <c r="CM930" s="1"/>
  <c r="CL930" s="1"/>
  <c r="CK930" s="1"/>
  <c r="CJ930" s="1"/>
  <c r="CI930" s="1"/>
  <c r="CI926"/>
  <c r="CS922"/>
  <c r="CR922" s="1"/>
  <c r="CQ922" s="1"/>
  <c r="CP922" s="1"/>
  <c r="CO922" s="1"/>
  <c r="CN922" s="1"/>
  <c r="CM922" s="1"/>
  <c r="CL922" s="1"/>
  <c r="CK922" s="1"/>
  <c r="CJ922" s="1"/>
  <c r="CI922" s="1"/>
  <c r="CS927"/>
  <c r="CR927" s="1"/>
  <c r="CQ927" s="1"/>
  <c r="CP927" s="1"/>
  <c r="CO927" s="1"/>
  <c r="CN927" s="1"/>
  <c r="CM927" s="1"/>
  <c r="CL927" s="1"/>
  <c r="CK927" s="1"/>
  <c r="CJ927" s="1"/>
  <c r="CI927" s="1"/>
  <c r="CI923"/>
  <c r="CS919"/>
  <c r="CR919" s="1"/>
  <c r="CQ919" s="1"/>
  <c r="CP919" s="1"/>
  <c r="CO919" s="1"/>
  <c r="CN919" s="1"/>
  <c r="CM919" s="1"/>
  <c r="CL919" s="1"/>
  <c r="CK919" s="1"/>
  <c r="CJ919" s="1"/>
  <c r="CI919" s="1"/>
  <c r="CX879"/>
  <c r="CX875"/>
  <c r="CX874"/>
  <c r="CX871"/>
  <c r="CX870"/>
  <c r="CT880"/>
  <c r="CS880" s="1"/>
  <c r="CR880" s="1"/>
  <c r="CQ880" s="1"/>
  <c r="CP880" s="1"/>
  <c r="CO880" s="1"/>
  <c r="CN880" s="1"/>
  <c r="CM880" s="1"/>
  <c r="CL880" s="1"/>
  <c r="CK880" s="1"/>
  <c r="CJ880" s="1"/>
  <c r="CI880" s="1"/>
  <c r="CJ876"/>
  <c r="CI876" s="1"/>
  <c r="CR872"/>
  <c r="CQ872" s="1"/>
  <c r="CP872" s="1"/>
  <c r="CO872" s="1"/>
  <c r="CN872" s="1"/>
  <c r="CM872" s="1"/>
  <c r="CL872" s="1"/>
  <c r="CK872" s="1"/>
  <c r="CJ872" s="1"/>
  <c r="CI872" s="1"/>
  <c r="CT881"/>
  <c r="CS881" s="1"/>
  <c r="CR881" s="1"/>
  <c r="CQ881" s="1"/>
  <c r="CP881" s="1"/>
  <c r="CO881" s="1"/>
  <c r="CN881" s="1"/>
  <c r="CM881" s="1"/>
  <c r="CL881" s="1"/>
  <c r="CK881" s="1"/>
  <c r="CJ881" s="1"/>
  <c r="CI881" s="1"/>
  <c r="CJ877"/>
  <c r="CI877" s="1"/>
  <c r="CR873"/>
  <c r="CQ873" s="1"/>
  <c r="CP873" s="1"/>
  <c r="CO873" s="1"/>
  <c r="CN873" s="1"/>
  <c r="CM873" s="1"/>
  <c r="CL873" s="1"/>
  <c r="CK873" s="1"/>
  <c r="CJ873" s="1"/>
  <c r="CI873" s="1"/>
  <c r="CW821"/>
  <c r="CS818"/>
  <c r="CR818" s="1"/>
  <c r="CQ818" s="1"/>
  <c r="CP818" s="1"/>
  <c r="CO818" s="1"/>
  <c r="CN818" s="1"/>
  <c r="CM818" s="1"/>
  <c r="CL818" s="1"/>
  <c r="CK818" s="1"/>
  <c r="CJ818" s="1"/>
  <c r="CI818" s="1"/>
  <c r="CW741"/>
  <c r="CX729"/>
  <c r="CR817"/>
  <c r="CQ817" s="1"/>
  <c r="CP817" s="1"/>
  <c r="CO817" s="1"/>
  <c r="CN817" s="1"/>
  <c r="CM817" s="1"/>
  <c r="CL817" s="1"/>
  <c r="CK817" s="1"/>
  <c r="CJ817" s="1"/>
  <c r="CI817" s="1"/>
  <c r="CW742"/>
  <c r="CS730"/>
  <c r="CR730" s="1"/>
  <c r="CQ730" s="1"/>
  <c r="CP730" s="1"/>
  <c r="CO730" s="1"/>
  <c r="CN730" s="1"/>
  <c r="CM730" s="1"/>
  <c r="CL730" s="1"/>
  <c r="CK730" s="1"/>
  <c r="CJ730" s="1"/>
  <c r="CI730" s="1"/>
  <c r="CW727"/>
  <c r="CW726"/>
  <c r="CW724"/>
  <c r="CW709"/>
  <c r="CW708"/>
  <c r="CW705"/>
  <c r="CW703"/>
  <c r="CW701"/>
  <c r="CW699"/>
  <c r="CW697"/>
  <c r="CW695"/>
  <c r="CW693"/>
  <c r="CW691"/>
  <c r="CW689"/>
  <c r="CW687"/>
  <c r="CW685"/>
  <c r="CW683"/>
  <c r="CW681"/>
  <c r="CW679"/>
  <c r="CW677"/>
  <c r="CW675"/>
  <c r="CW673"/>
  <c r="CW671"/>
  <c r="CW669"/>
  <c r="CW667"/>
  <c r="CW665"/>
  <c r="CW663"/>
  <c r="CW661"/>
  <c r="CW659"/>
  <c r="CW657"/>
  <c r="CW655"/>
  <c r="CW653"/>
  <c r="CW651"/>
  <c r="CW649"/>
  <c r="CW647"/>
  <c r="CW645"/>
  <c r="CW643"/>
  <c r="CW641"/>
  <c r="CW639"/>
  <c r="CW637"/>
  <c r="CW635"/>
  <c r="CW633"/>
  <c r="CW631"/>
  <c r="CW629"/>
  <c r="CW627"/>
  <c r="CW625"/>
  <c r="CW623"/>
  <c r="CW621"/>
  <c r="CW619"/>
  <c r="CW617"/>
  <c r="CW615"/>
  <c r="CW613"/>
  <c r="CW611"/>
  <c r="CW609"/>
  <c r="CW607"/>
  <c r="CW605"/>
  <c r="CW603"/>
  <c r="CW601"/>
  <c r="CW599"/>
  <c r="CW597"/>
  <c r="CW595"/>
  <c r="CW744"/>
  <c r="CI738"/>
  <c r="CS734"/>
  <c r="CR734" s="1"/>
  <c r="CQ734" s="1"/>
  <c r="CP734" s="1"/>
  <c r="CO734" s="1"/>
  <c r="CN734" s="1"/>
  <c r="CM734" s="1"/>
  <c r="CL734" s="1"/>
  <c r="CK734" s="1"/>
  <c r="CJ734" s="1"/>
  <c r="CI734" s="1"/>
  <c r="CS722"/>
  <c r="CR722" s="1"/>
  <c r="CQ722" s="1"/>
  <c r="CP722" s="1"/>
  <c r="CO722" s="1"/>
  <c r="CN722" s="1"/>
  <c r="CM722" s="1"/>
  <c r="CL722" s="1"/>
  <c r="CK722" s="1"/>
  <c r="CJ722" s="1"/>
  <c r="CI722" s="1"/>
  <c r="CI718"/>
  <c r="CS714"/>
  <c r="CR714" s="1"/>
  <c r="CQ714" s="1"/>
  <c r="CP714" s="1"/>
  <c r="CO714" s="1"/>
  <c r="CN714" s="1"/>
  <c r="CM714" s="1"/>
  <c r="CL714" s="1"/>
  <c r="CK714" s="1"/>
  <c r="CJ714" s="1"/>
  <c r="CI714" s="1"/>
  <c r="CW587"/>
  <c r="CX564"/>
  <c r="CI739"/>
  <c r="CS735"/>
  <c r="CR735" s="1"/>
  <c r="CQ735" s="1"/>
  <c r="CP735" s="1"/>
  <c r="CO735" s="1"/>
  <c r="CN735" s="1"/>
  <c r="CM735" s="1"/>
  <c r="CL735" s="1"/>
  <c r="CK735" s="1"/>
  <c r="CJ735" s="1"/>
  <c r="CI735" s="1"/>
  <c r="CS731"/>
  <c r="CR731" s="1"/>
  <c r="CQ731" s="1"/>
  <c r="CP731" s="1"/>
  <c r="CO731" s="1"/>
  <c r="CN731" s="1"/>
  <c r="CM731" s="1"/>
  <c r="CL731" s="1"/>
  <c r="CK731" s="1"/>
  <c r="CJ731" s="1"/>
  <c r="CI731" s="1"/>
  <c r="CS721"/>
  <c r="CR721" s="1"/>
  <c r="CQ721" s="1"/>
  <c r="CP721" s="1"/>
  <c r="CO721" s="1"/>
  <c r="CN721" s="1"/>
  <c r="CM721" s="1"/>
  <c r="CL721" s="1"/>
  <c r="CK721" s="1"/>
  <c r="CJ721" s="1"/>
  <c r="CI721" s="1"/>
  <c r="CI717"/>
  <c r="CS713"/>
  <c r="CR713" s="1"/>
  <c r="CQ713" s="1"/>
  <c r="CP713" s="1"/>
  <c r="CO713" s="1"/>
  <c r="CN713" s="1"/>
  <c r="CM713" s="1"/>
  <c r="CL713" s="1"/>
  <c r="CK713" s="1"/>
  <c r="CJ713" s="1"/>
  <c r="CI713" s="1"/>
  <c r="CW591"/>
  <c r="CW567"/>
  <c r="CW566"/>
  <c r="CS563"/>
  <c r="CR563" s="1"/>
  <c r="CQ563" s="1"/>
  <c r="CP563" s="1"/>
  <c r="CO563" s="1"/>
  <c r="CN563" s="1"/>
  <c r="CM563" s="1"/>
  <c r="CL563" s="1"/>
  <c r="CK563" s="1"/>
  <c r="CJ563" s="1"/>
  <c r="CI563" s="1"/>
  <c r="CW544"/>
  <c r="CW543"/>
  <c r="CW541"/>
  <c r="CW539"/>
  <c r="CW537"/>
  <c r="CW535"/>
  <c r="CW533"/>
  <c r="CW531"/>
  <c r="CW529"/>
  <c r="CW527"/>
  <c r="CW525"/>
  <c r="CW523"/>
  <c r="CW521"/>
  <c r="CW519"/>
  <c r="CW517"/>
  <c r="CW515"/>
  <c r="CW513"/>
  <c r="CW511"/>
  <c r="CW509"/>
  <c r="CW507"/>
  <c r="CW505"/>
  <c r="CW503"/>
  <c r="CW501"/>
  <c r="CW499"/>
  <c r="CW497"/>
  <c r="CW495"/>
  <c r="CW493"/>
  <c r="CW491"/>
  <c r="CW489"/>
  <c r="CW487"/>
  <c r="CW485"/>
  <c r="CW483"/>
  <c r="CW481"/>
  <c r="CW479"/>
  <c r="CW477"/>
  <c r="CW475"/>
  <c r="CW473"/>
  <c r="CW471"/>
  <c r="CW469"/>
  <c r="CW467"/>
  <c r="CW465"/>
  <c r="CW463"/>
  <c r="CW461"/>
  <c r="CW459"/>
  <c r="CW457"/>
  <c r="CW455"/>
  <c r="CW453"/>
  <c r="CW451"/>
  <c r="CW449"/>
  <c r="CW447"/>
  <c r="CW445"/>
  <c r="CW443"/>
  <c r="CW441"/>
  <c r="CW439"/>
  <c r="CW437"/>
  <c r="CS560"/>
  <c r="CR560" s="1"/>
  <c r="CQ560" s="1"/>
  <c r="CP560" s="1"/>
  <c r="CO560" s="1"/>
  <c r="CN560" s="1"/>
  <c r="CM560" s="1"/>
  <c r="CL560" s="1"/>
  <c r="CK560" s="1"/>
  <c r="CJ560" s="1"/>
  <c r="CI560" s="1"/>
  <c r="CI556"/>
  <c r="CS552"/>
  <c r="CR552" s="1"/>
  <c r="CQ552" s="1"/>
  <c r="CP552" s="1"/>
  <c r="CO552" s="1"/>
  <c r="CN552" s="1"/>
  <c r="CM552" s="1"/>
  <c r="CL552" s="1"/>
  <c r="CK552" s="1"/>
  <c r="CJ552" s="1"/>
  <c r="CI552" s="1"/>
  <c r="CS548"/>
  <c r="CR548" s="1"/>
  <c r="CQ548" s="1"/>
  <c r="CP548" s="1"/>
  <c r="CO548" s="1"/>
  <c r="CN548" s="1"/>
  <c r="CM548" s="1"/>
  <c r="CL548" s="1"/>
  <c r="CK548" s="1"/>
  <c r="CJ548" s="1"/>
  <c r="CI548" s="1"/>
  <c r="CW434"/>
  <c r="CS561"/>
  <c r="CR561" s="1"/>
  <c r="CQ561" s="1"/>
  <c r="CP561" s="1"/>
  <c r="CO561" s="1"/>
  <c r="CN561" s="1"/>
  <c r="CM561" s="1"/>
  <c r="CL561" s="1"/>
  <c r="CK561" s="1"/>
  <c r="CJ561" s="1"/>
  <c r="CI561" s="1"/>
  <c r="CI557"/>
  <c r="CI553"/>
  <c r="CS549"/>
  <c r="CR549" s="1"/>
  <c r="CQ549" s="1"/>
  <c r="CP549" s="1"/>
  <c r="CO549" s="1"/>
  <c r="CN549" s="1"/>
  <c r="CM549" s="1"/>
  <c r="CL549" s="1"/>
  <c r="CK549" s="1"/>
  <c r="CJ549" s="1"/>
  <c r="CI549" s="1"/>
  <c r="CW433"/>
  <c r="CW380"/>
  <c r="CW379"/>
  <c r="CW378"/>
  <c r="CW377"/>
  <c r="CW376"/>
  <c r="CW375"/>
  <c r="CW374"/>
  <c r="CW373"/>
  <c r="CW372"/>
  <c r="CW371"/>
  <c r="CW370"/>
  <c r="CW369"/>
  <c r="CW368"/>
  <c r="CW367"/>
  <c r="CW366"/>
  <c r="CW365"/>
  <c r="CW364"/>
  <c r="CW363"/>
  <c r="CW362"/>
  <c r="CW361"/>
  <c r="CW360"/>
  <c r="CW359"/>
  <c r="CW358"/>
  <c r="CW357"/>
  <c r="CW356"/>
  <c r="CW355"/>
  <c r="CW354"/>
  <c r="CW353"/>
  <c r="CW352"/>
  <c r="CW351"/>
  <c r="CW350"/>
  <c r="CW349"/>
  <c r="CW348"/>
  <c r="CW347"/>
  <c r="CW346"/>
  <c r="CW345"/>
  <c r="CW344"/>
  <c r="CW343"/>
  <c r="CW342"/>
  <c r="CW341"/>
  <c r="CW340"/>
  <c r="CW339"/>
  <c r="CW338"/>
  <c r="CW337"/>
  <c r="CW336"/>
  <c r="CW335"/>
  <c r="CW332"/>
  <c r="CW331"/>
  <c r="CW316"/>
  <c r="CW314"/>
  <c r="CW312"/>
  <c r="CW310"/>
  <c r="CW308"/>
  <c r="CW306"/>
  <c r="CW304"/>
  <c r="CW302"/>
  <c r="CW300"/>
  <c r="CW298"/>
  <c r="CW296"/>
  <c r="CW294"/>
  <c r="CW292"/>
  <c r="CW290"/>
  <c r="CW288"/>
  <c r="CW286"/>
  <c r="CW284"/>
  <c r="CW282"/>
  <c r="CW280"/>
  <c r="CW278"/>
  <c r="CW276"/>
  <c r="CX225"/>
  <c r="CX221"/>
  <c r="CX220"/>
  <c r="CX217"/>
  <c r="CX216"/>
  <c r="CS328"/>
  <c r="CR328" s="1"/>
  <c r="CQ328" s="1"/>
  <c r="CP328" s="1"/>
  <c r="CO328" s="1"/>
  <c r="CN328" s="1"/>
  <c r="CM328" s="1"/>
  <c r="CL328" s="1"/>
  <c r="CK328" s="1"/>
  <c r="CJ328" s="1"/>
  <c r="CI328" s="1"/>
  <c r="CI324"/>
  <c r="CI320"/>
  <c r="CT223"/>
  <c r="CS223" s="1"/>
  <c r="CR223" s="1"/>
  <c r="CQ223" s="1"/>
  <c r="CP223" s="1"/>
  <c r="CO223" s="1"/>
  <c r="CN223" s="1"/>
  <c r="CM223" s="1"/>
  <c r="CL223" s="1"/>
  <c r="CK223" s="1"/>
  <c r="CJ223" s="1"/>
  <c r="CI223" s="1"/>
  <c r="CJ219"/>
  <c r="CI219" s="1"/>
  <c r="CR215"/>
  <c r="CQ215" s="1"/>
  <c r="CP215" s="1"/>
  <c r="CO215" s="1"/>
  <c r="CN215" s="1"/>
  <c r="CM215" s="1"/>
  <c r="CL215" s="1"/>
  <c r="CK215" s="1"/>
  <c r="CJ215" s="1"/>
  <c r="CI215" s="1"/>
  <c r="CR211"/>
  <c r="CQ211" s="1"/>
  <c r="CP211" s="1"/>
  <c r="CO211" s="1"/>
  <c r="CN211" s="1"/>
  <c r="CM211" s="1"/>
  <c r="CL211" s="1"/>
  <c r="CK211" s="1"/>
  <c r="CJ211" s="1"/>
  <c r="CI211" s="1"/>
  <c r="CW121"/>
  <c r="CP119"/>
  <c r="CO119" s="1"/>
  <c r="CN119" s="1"/>
  <c r="CM119" s="1"/>
  <c r="CL119" s="1"/>
  <c r="CK119" s="1"/>
  <c r="CJ119" s="1"/>
  <c r="CI119" s="1"/>
  <c r="CS329"/>
  <c r="CR329" s="1"/>
  <c r="CQ329" s="1"/>
  <c r="CP329" s="1"/>
  <c r="CO329" s="1"/>
  <c r="CN329" s="1"/>
  <c r="CM329" s="1"/>
  <c r="CL329" s="1"/>
  <c r="CK329" s="1"/>
  <c r="CJ329" s="1"/>
  <c r="CI329" s="1"/>
  <c r="CI325"/>
  <c r="CI321"/>
  <c r="CS317"/>
  <c r="CR317" s="1"/>
  <c r="CQ317" s="1"/>
  <c r="CP317" s="1"/>
  <c r="CO317" s="1"/>
  <c r="CN317" s="1"/>
  <c r="CM317" s="1"/>
  <c r="CL317" s="1"/>
  <c r="CK317" s="1"/>
  <c r="CJ317" s="1"/>
  <c r="CI317" s="1"/>
  <c r="CT222"/>
  <c r="CS222" s="1"/>
  <c r="CR222" s="1"/>
  <c r="CQ222" s="1"/>
  <c r="CP222" s="1"/>
  <c r="CO222" s="1"/>
  <c r="CN222" s="1"/>
  <c r="CM222" s="1"/>
  <c r="CL222" s="1"/>
  <c r="CK222" s="1"/>
  <c r="CJ222" s="1"/>
  <c r="CI222" s="1"/>
  <c r="CJ218"/>
  <c r="CI218" s="1"/>
  <c r="CR214"/>
  <c r="CQ214" s="1"/>
  <c r="CP214" s="1"/>
  <c r="CO214" s="1"/>
  <c r="CN214" s="1"/>
  <c r="CM214" s="1"/>
  <c r="CL214" s="1"/>
  <c r="CK214" s="1"/>
  <c r="CJ214" s="1"/>
  <c r="CI214" s="1"/>
  <c r="CX119"/>
  <c r="CW117"/>
  <c r="CW115"/>
  <c r="CW113"/>
  <c r="CW111"/>
  <c r="CW109"/>
  <c r="CW107"/>
  <c r="CW105"/>
  <c r="CW103"/>
  <c r="CW101"/>
  <c r="CW99"/>
  <c r="CW97"/>
  <c r="CW95"/>
  <c r="CW93"/>
  <c r="CW91"/>
  <c r="CW89"/>
  <c r="CW87"/>
  <c r="CW85"/>
  <c r="CW83"/>
  <c r="CW81"/>
  <c r="CW79"/>
  <c r="CW77"/>
  <c r="CW75"/>
  <c r="CW73"/>
  <c r="CW71"/>
  <c r="CW69"/>
  <c r="CW67"/>
  <c r="CW65"/>
  <c r="CW63"/>
  <c r="CW61"/>
  <c r="CW59"/>
  <c r="CW57"/>
  <c r="CW55"/>
  <c r="CW53"/>
  <c r="CW51"/>
  <c r="CW49"/>
  <c r="CW47"/>
  <c r="CW45"/>
  <c r="CW43"/>
  <c r="CW41"/>
  <c r="CW39"/>
  <c r="CW37"/>
  <c r="CW35"/>
  <c r="CW33"/>
  <c r="CW31"/>
  <c r="CW29"/>
  <c r="CW27"/>
  <c r="CW25"/>
  <c r="CW23"/>
  <c r="CW21"/>
  <c r="CW19"/>
  <c r="CW17"/>
  <c r="CW15"/>
  <c r="CW9"/>
  <c r="CW7"/>
  <c r="CW4"/>
  <c r="AI65" i="12"/>
  <c r="B23" i="13"/>
  <c r="DA2" i="22"/>
  <c r="DB2"/>
  <c r="AI66" i="12"/>
  <c r="BX66"/>
  <c r="BZ66"/>
  <c r="CB66"/>
  <c r="CD66"/>
  <c r="CF66"/>
  <c r="BW66"/>
  <c r="BY66"/>
  <c r="CA66"/>
  <c r="CC66"/>
  <c r="CE66"/>
  <c r="CG66"/>
  <c r="BV66"/>
  <c r="CG67"/>
  <c r="CC67"/>
  <c r="BY67"/>
  <c r="CD67"/>
  <c r="BZ67"/>
  <c r="BV67"/>
  <c r="CF67"/>
  <c r="BW67"/>
  <c r="CB67"/>
  <c r="BX67"/>
  <c r="BU43"/>
  <c r="U43"/>
  <c r="R43"/>
  <c r="Q43"/>
  <c r="P43"/>
  <c r="CI42"/>
  <c r="BU42"/>
  <c r="U42"/>
  <c r="R42"/>
  <c r="Q42"/>
  <c r="P42"/>
  <c r="CI41"/>
  <c r="BU41"/>
  <c r="U41"/>
  <c r="R41"/>
  <c r="Q41"/>
  <c r="P41"/>
  <c r="CI40"/>
  <c r="BU40"/>
  <c r="U40"/>
  <c r="R40"/>
  <c r="Q40"/>
  <c r="P40"/>
  <c r="CI39"/>
  <c r="B24" i="13"/>
  <c r="CT7" i="22" l="1"/>
  <c r="CS7" s="1"/>
  <c r="CR7" s="1"/>
  <c r="CQ7" s="1"/>
  <c r="CP7" s="1"/>
  <c r="CO7" s="1"/>
  <c r="CN7" s="1"/>
  <c r="CM7" s="1"/>
  <c r="CL7" s="1"/>
  <c r="CK7" s="1"/>
  <c r="CJ7" s="1"/>
  <c r="CI7" s="1"/>
  <c r="CX7"/>
  <c r="CT19"/>
  <c r="CS19" s="1"/>
  <c r="CR19" s="1"/>
  <c r="CQ19" s="1"/>
  <c r="CP19" s="1"/>
  <c r="CO19" s="1"/>
  <c r="CN19" s="1"/>
  <c r="CM19" s="1"/>
  <c r="CL19" s="1"/>
  <c r="CK19" s="1"/>
  <c r="CJ19" s="1"/>
  <c r="CI19" s="1"/>
  <c r="CX19"/>
  <c r="CT27"/>
  <c r="CS27" s="1"/>
  <c r="CR27" s="1"/>
  <c r="CQ27" s="1"/>
  <c r="CP27" s="1"/>
  <c r="CO27" s="1"/>
  <c r="CN27" s="1"/>
  <c r="CM27" s="1"/>
  <c r="CL27" s="1"/>
  <c r="CK27" s="1"/>
  <c r="CJ27" s="1"/>
  <c r="CI27" s="1"/>
  <c r="CX27"/>
  <c r="CT35"/>
  <c r="CS35" s="1"/>
  <c r="CR35" s="1"/>
  <c r="CQ35" s="1"/>
  <c r="CP35" s="1"/>
  <c r="CO35" s="1"/>
  <c r="CN35" s="1"/>
  <c r="CM35" s="1"/>
  <c r="CL35" s="1"/>
  <c r="CK35" s="1"/>
  <c r="CJ35" s="1"/>
  <c r="CI35" s="1"/>
  <c r="CX35"/>
  <c r="CT39"/>
  <c r="CS39" s="1"/>
  <c r="CR39" s="1"/>
  <c r="CQ39" s="1"/>
  <c r="CP39" s="1"/>
  <c r="CO39" s="1"/>
  <c r="CN39" s="1"/>
  <c r="CM39" s="1"/>
  <c r="CL39" s="1"/>
  <c r="CK39" s="1"/>
  <c r="CJ39" s="1"/>
  <c r="CI39" s="1"/>
  <c r="CX39"/>
  <c r="CT47"/>
  <c r="CS47" s="1"/>
  <c r="CR47" s="1"/>
  <c r="CQ47" s="1"/>
  <c r="CP47" s="1"/>
  <c r="CO47" s="1"/>
  <c r="CN47" s="1"/>
  <c r="CM47" s="1"/>
  <c r="CL47" s="1"/>
  <c r="CK47" s="1"/>
  <c r="CJ47" s="1"/>
  <c r="CI47" s="1"/>
  <c r="CX47"/>
  <c r="CT55"/>
  <c r="CS55" s="1"/>
  <c r="CR55" s="1"/>
  <c r="CQ55" s="1"/>
  <c r="CP55" s="1"/>
  <c r="CO55" s="1"/>
  <c r="CN55" s="1"/>
  <c r="CM55" s="1"/>
  <c r="CL55" s="1"/>
  <c r="CK55" s="1"/>
  <c r="CJ55" s="1"/>
  <c r="CI55" s="1"/>
  <c r="CX55"/>
  <c r="CT63"/>
  <c r="CS63" s="1"/>
  <c r="CR63" s="1"/>
  <c r="CQ63" s="1"/>
  <c r="CP63" s="1"/>
  <c r="CO63" s="1"/>
  <c r="CN63" s="1"/>
  <c r="CM63" s="1"/>
  <c r="CL63" s="1"/>
  <c r="CK63" s="1"/>
  <c r="CJ63" s="1"/>
  <c r="CI63" s="1"/>
  <c r="CX63"/>
  <c r="CT71"/>
  <c r="CS71" s="1"/>
  <c r="CR71" s="1"/>
  <c r="CQ71" s="1"/>
  <c r="CP71" s="1"/>
  <c r="CO71" s="1"/>
  <c r="CN71" s="1"/>
  <c r="CM71" s="1"/>
  <c r="CL71" s="1"/>
  <c r="CK71" s="1"/>
  <c r="CJ71" s="1"/>
  <c r="CI71" s="1"/>
  <c r="CX71"/>
  <c r="CT79"/>
  <c r="CS79" s="1"/>
  <c r="CR79" s="1"/>
  <c r="CQ79" s="1"/>
  <c r="CP79" s="1"/>
  <c r="CO79" s="1"/>
  <c r="CN79" s="1"/>
  <c r="CM79" s="1"/>
  <c r="CL79" s="1"/>
  <c r="CK79" s="1"/>
  <c r="CJ79" s="1"/>
  <c r="CI79" s="1"/>
  <c r="CX79"/>
  <c r="CT87"/>
  <c r="CS87" s="1"/>
  <c r="CR87" s="1"/>
  <c r="CQ87" s="1"/>
  <c r="CP87" s="1"/>
  <c r="CO87" s="1"/>
  <c r="CN87" s="1"/>
  <c r="CM87" s="1"/>
  <c r="CL87" s="1"/>
  <c r="CK87" s="1"/>
  <c r="CJ87" s="1"/>
  <c r="CI87" s="1"/>
  <c r="CX87"/>
  <c r="CT95"/>
  <c r="CS95" s="1"/>
  <c r="CR95" s="1"/>
  <c r="CQ95" s="1"/>
  <c r="CP95" s="1"/>
  <c r="CO95" s="1"/>
  <c r="CN95" s="1"/>
  <c r="CM95" s="1"/>
  <c r="CL95" s="1"/>
  <c r="CK95" s="1"/>
  <c r="CJ95" s="1"/>
  <c r="CI95" s="1"/>
  <c r="CX95"/>
  <c r="CT99"/>
  <c r="CS99" s="1"/>
  <c r="CR99" s="1"/>
  <c r="CQ99" s="1"/>
  <c r="CP99" s="1"/>
  <c r="CO99" s="1"/>
  <c r="CN99" s="1"/>
  <c r="CM99" s="1"/>
  <c r="CL99" s="1"/>
  <c r="CK99" s="1"/>
  <c r="CJ99" s="1"/>
  <c r="CI99" s="1"/>
  <c r="CX99"/>
  <c r="CT107"/>
  <c r="CS107" s="1"/>
  <c r="CR107" s="1"/>
  <c r="CQ107" s="1"/>
  <c r="CP107" s="1"/>
  <c r="CO107" s="1"/>
  <c r="CN107" s="1"/>
  <c r="CM107" s="1"/>
  <c r="CL107" s="1"/>
  <c r="CK107" s="1"/>
  <c r="CJ107" s="1"/>
  <c r="CI107" s="1"/>
  <c r="CX107"/>
  <c r="CT276"/>
  <c r="CS276" s="1"/>
  <c r="CR276" s="1"/>
  <c r="CQ276" s="1"/>
  <c r="CP276" s="1"/>
  <c r="CO276" s="1"/>
  <c r="CN276" s="1"/>
  <c r="CM276" s="1"/>
  <c r="CL276" s="1"/>
  <c r="CK276" s="1"/>
  <c r="CJ276" s="1"/>
  <c r="CI276" s="1"/>
  <c r="CX276"/>
  <c r="CT284"/>
  <c r="CS284" s="1"/>
  <c r="CR284" s="1"/>
  <c r="CQ284" s="1"/>
  <c r="CP284" s="1"/>
  <c r="CO284" s="1"/>
  <c r="CN284" s="1"/>
  <c r="CM284" s="1"/>
  <c r="CL284" s="1"/>
  <c r="CK284" s="1"/>
  <c r="CJ284" s="1"/>
  <c r="CI284" s="1"/>
  <c r="CX284"/>
  <c r="CT292"/>
  <c r="CS292" s="1"/>
  <c r="CR292" s="1"/>
  <c r="CQ292" s="1"/>
  <c r="CP292" s="1"/>
  <c r="CO292" s="1"/>
  <c r="CN292" s="1"/>
  <c r="CM292" s="1"/>
  <c r="CL292" s="1"/>
  <c r="CK292" s="1"/>
  <c r="CJ292" s="1"/>
  <c r="CI292" s="1"/>
  <c r="CX292"/>
  <c r="CT300"/>
  <c r="CS300" s="1"/>
  <c r="CR300" s="1"/>
  <c r="CQ300" s="1"/>
  <c r="CP300" s="1"/>
  <c r="CO300" s="1"/>
  <c r="CN300" s="1"/>
  <c r="CM300" s="1"/>
  <c r="CL300" s="1"/>
  <c r="CK300" s="1"/>
  <c r="CJ300" s="1"/>
  <c r="CI300" s="1"/>
  <c r="CX300"/>
  <c r="CT308"/>
  <c r="CS308" s="1"/>
  <c r="CR308" s="1"/>
  <c r="CQ308" s="1"/>
  <c r="CP308" s="1"/>
  <c r="CO308" s="1"/>
  <c r="CN308" s="1"/>
  <c r="CM308" s="1"/>
  <c r="CL308" s="1"/>
  <c r="CK308" s="1"/>
  <c r="CJ308" s="1"/>
  <c r="CI308" s="1"/>
  <c r="CX308"/>
  <c r="CT316"/>
  <c r="CS316" s="1"/>
  <c r="CR316" s="1"/>
  <c r="CQ316" s="1"/>
  <c r="CP316" s="1"/>
  <c r="CO316" s="1"/>
  <c r="CN316" s="1"/>
  <c r="CM316" s="1"/>
  <c r="CL316" s="1"/>
  <c r="CK316" s="1"/>
  <c r="CJ316" s="1"/>
  <c r="CI316" s="1"/>
  <c r="CX316"/>
  <c r="CT336"/>
  <c r="CS336" s="1"/>
  <c r="CR336" s="1"/>
  <c r="CQ336" s="1"/>
  <c r="CP336" s="1"/>
  <c r="CO336" s="1"/>
  <c r="CN336" s="1"/>
  <c r="CM336" s="1"/>
  <c r="CL336" s="1"/>
  <c r="CK336" s="1"/>
  <c r="CJ336" s="1"/>
  <c r="CI336" s="1"/>
  <c r="CX336"/>
  <c r="CT340"/>
  <c r="CS340" s="1"/>
  <c r="CR340" s="1"/>
  <c r="CQ340" s="1"/>
  <c r="CP340" s="1"/>
  <c r="CO340" s="1"/>
  <c r="CN340" s="1"/>
  <c r="CM340" s="1"/>
  <c r="CL340" s="1"/>
  <c r="CK340" s="1"/>
  <c r="CJ340" s="1"/>
  <c r="CI340" s="1"/>
  <c r="CX340"/>
  <c r="CT344"/>
  <c r="CS344" s="1"/>
  <c r="CR344" s="1"/>
  <c r="CQ344" s="1"/>
  <c r="CP344" s="1"/>
  <c r="CO344" s="1"/>
  <c r="CN344" s="1"/>
  <c r="CM344" s="1"/>
  <c r="CL344" s="1"/>
  <c r="CK344" s="1"/>
  <c r="CJ344" s="1"/>
  <c r="CI344" s="1"/>
  <c r="CX344"/>
  <c r="CT346"/>
  <c r="CS346" s="1"/>
  <c r="CR346" s="1"/>
  <c r="CQ346" s="1"/>
  <c r="CP346" s="1"/>
  <c r="CO346" s="1"/>
  <c r="CN346" s="1"/>
  <c r="CM346" s="1"/>
  <c r="CL346" s="1"/>
  <c r="CK346" s="1"/>
  <c r="CJ346" s="1"/>
  <c r="CI346" s="1"/>
  <c r="CX346"/>
  <c r="CT350"/>
  <c r="CS350" s="1"/>
  <c r="CR350" s="1"/>
  <c r="CQ350" s="1"/>
  <c r="CP350" s="1"/>
  <c r="CO350" s="1"/>
  <c r="CN350" s="1"/>
  <c r="CM350" s="1"/>
  <c r="CL350" s="1"/>
  <c r="CK350" s="1"/>
  <c r="CJ350" s="1"/>
  <c r="CI350" s="1"/>
  <c r="CX350"/>
  <c r="CT354"/>
  <c r="CS354" s="1"/>
  <c r="CR354" s="1"/>
  <c r="CQ354" s="1"/>
  <c r="CP354" s="1"/>
  <c r="CO354" s="1"/>
  <c r="CN354" s="1"/>
  <c r="CM354" s="1"/>
  <c r="CL354" s="1"/>
  <c r="CK354" s="1"/>
  <c r="CJ354" s="1"/>
  <c r="CI354" s="1"/>
  <c r="CX354"/>
  <c r="CT358"/>
  <c r="CS358" s="1"/>
  <c r="CR358" s="1"/>
  <c r="CQ358" s="1"/>
  <c r="CP358" s="1"/>
  <c r="CO358" s="1"/>
  <c r="CN358" s="1"/>
  <c r="CM358" s="1"/>
  <c r="CL358" s="1"/>
  <c r="CK358" s="1"/>
  <c r="CJ358" s="1"/>
  <c r="CI358" s="1"/>
  <c r="CX358"/>
  <c r="CT362"/>
  <c r="CS362" s="1"/>
  <c r="CR362" s="1"/>
  <c r="CQ362" s="1"/>
  <c r="CP362" s="1"/>
  <c r="CO362" s="1"/>
  <c r="CN362" s="1"/>
  <c r="CM362" s="1"/>
  <c r="CL362" s="1"/>
  <c r="CK362" s="1"/>
  <c r="CJ362" s="1"/>
  <c r="CI362" s="1"/>
  <c r="CX362"/>
  <c r="CT364"/>
  <c r="CS364" s="1"/>
  <c r="CR364" s="1"/>
  <c r="CQ364" s="1"/>
  <c r="CP364" s="1"/>
  <c r="CO364" s="1"/>
  <c r="CN364" s="1"/>
  <c r="CM364" s="1"/>
  <c r="CL364" s="1"/>
  <c r="CK364" s="1"/>
  <c r="CJ364" s="1"/>
  <c r="CI364" s="1"/>
  <c r="CX364"/>
  <c r="CT368"/>
  <c r="CS368" s="1"/>
  <c r="CR368" s="1"/>
  <c r="CQ368" s="1"/>
  <c r="CP368" s="1"/>
  <c r="CO368" s="1"/>
  <c r="CN368" s="1"/>
  <c r="CM368" s="1"/>
  <c r="CL368" s="1"/>
  <c r="CK368" s="1"/>
  <c r="CJ368" s="1"/>
  <c r="CI368" s="1"/>
  <c r="CX368"/>
  <c r="CT372"/>
  <c r="CS372" s="1"/>
  <c r="CR372" s="1"/>
  <c r="CQ372" s="1"/>
  <c r="CP372" s="1"/>
  <c r="CO372" s="1"/>
  <c r="CN372" s="1"/>
  <c r="CM372" s="1"/>
  <c r="CL372" s="1"/>
  <c r="CK372" s="1"/>
  <c r="CJ372" s="1"/>
  <c r="CI372" s="1"/>
  <c r="CX372"/>
  <c r="CT376"/>
  <c r="CS376" s="1"/>
  <c r="CR376" s="1"/>
  <c r="CQ376" s="1"/>
  <c r="CP376" s="1"/>
  <c r="CO376" s="1"/>
  <c r="CN376" s="1"/>
  <c r="CM376" s="1"/>
  <c r="CL376" s="1"/>
  <c r="CK376" s="1"/>
  <c r="CJ376" s="1"/>
  <c r="CI376" s="1"/>
  <c r="CX376"/>
  <c r="CT378"/>
  <c r="CS378" s="1"/>
  <c r="CR378" s="1"/>
  <c r="CQ378" s="1"/>
  <c r="CP378" s="1"/>
  <c r="CO378" s="1"/>
  <c r="CN378" s="1"/>
  <c r="CM378" s="1"/>
  <c r="CL378" s="1"/>
  <c r="CK378" s="1"/>
  <c r="CJ378" s="1"/>
  <c r="CI378" s="1"/>
  <c r="CX378"/>
  <c r="CT380"/>
  <c r="CS380" s="1"/>
  <c r="CR380" s="1"/>
  <c r="CQ380" s="1"/>
  <c r="CP380" s="1"/>
  <c r="CO380" s="1"/>
  <c r="CN380" s="1"/>
  <c r="CM380" s="1"/>
  <c r="CL380" s="1"/>
  <c r="CK380" s="1"/>
  <c r="CJ380" s="1"/>
  <c r="CI380" s="1"/>
  <c r="CX380"/>
  <c r="CT434"/>
  <c r="CS434" s="1"/>
  <c r="CR434" s="1"/>
  <c r="CQ434" s="1"/>
  <c r="CP434" s="1"/>
  <c r="CO434" s="1"/>
  <c r="CN434" s="1"/>
  <c r="CM434" s="1"/>
  <c r="CL434" s="1"/>
  <c r="CK434" s="1"/>
  <c r="CJ434" s="1"/>
  <c r="CI434" s="1"/>
  <c r="CX434"/>
  <c r="CT443"/>
  <c r="CS443" s="1"/>
  <c r="CR443" s="1"/>
  <c r="CQ443" s="1"/>
  <c r="CP443" s="1"/>
  <c r="CO443" s="1"/>
  <c r="CN443" s="1"/>
  <c r="CM443" s="1"/>
  <c r="CL443" s="1"/>
  <c r="CK443" s="1"/>
  <c r="CJ443" s="1"/>
  <c r="CI443" s="1"/>
  <c r="CX443"/>
  <c r="CT451"/>
  <c r="CS451" s="1"/>
  <c r="CR451" s="1"/>
  <c r="CQ451" s="1"/>
  <c r="CP451" s="1"/>
  <c r="CO451" s="1"/>
  <c r="CN451" s="1"/>
  <c r="CM451" s="1"/>
  <c r="CL451" s="1"/>
  <c r="CK451" s="1"/>
  <c r="CJ451" s="1"/>
  <c r="CI451" s="1"/>
  <c r="CX451"/>
  <c r="CT459"/>
  <c r="CS459" s="1"/>
  <c r="CR459" s="1"/>
  <c r="CQ459" s="1"/>
  <c r="CP459" s="1"/>
  <c r="CO459" s="1"/>
  <c r="CN459" s="1"/>
  <c r="CM459" s="1"/>
  <c r="CL459" s="1"/>
  <c r="CK459" s="1"/>
  <c r="CJ459" s="1"/>
  <c r="CI459" s="1"/>
  <c r="CX459"/>
  <c r="CT463"/>
  <c r="CS463" s="1"/>
  <c r="CR463" s="1"/>
  <c r="CQ463" s="1"/>
  <c r="CP463" s="1"/>
  <c r="CO463" s="1"/>
  <c r="CN463" s="1"/>
  <c r="CM463" s="1"/>
  <c r="CL463" s="1"/>
  <c r="CK463" s="1"/>
  <c r="CJ463" s="1"/>
  <c r="CI463" s="1"/>
  <c r="CX463"/>
  <c r="CT471"/>
  <c r="CS471" s="1"/>
  <c r="CR471" s="1"/>
  <c r="CQ471" s="1"/>
  <c r="CP471" s="1"/>
  <c r="CO471" s="1"/>
  <c r="CN471" s="1"/>
  <c r="CM471" s="1"/>
  <c r="CL471" s="1"/>
  <c r="CK471" s="1"/>
  <c r="CJ471" s="1"/>
  <c r="CI471" s="1"/>
  <c r="CX471"/>
  <c r="CT479"/>
  <c r="CS479" s="1"/>
  <c r="CR479" s="1"/>
  <c r="CQ479" s="1"/>
  <c r="CP479" s="1"/>
  <c r="CO479" s="1"/>
  <c r="CN479" s="1"/>
  <c r="CM479" s="1"/>
  <c r="CL479" s="1"/>
  <c r="CK479" s="1"/>
  <c r="CJ479" s="1"/>
  <c r="CI479" s="1"/>
  <c r="CX479"/>
  <c r="CT487"/>
  <c r="CS487" s="1"/>
  <c r="CR487" s="1"/>
  <c r="CQ487" s="1"/>
  <c r="CP487" s="1"/>
  <c r="CO487" s="1"/>
  <c r="CN487" s="1"/>
  <c r="CM487" s="1"/>
  <c r="CL487" s="1"/>
  <c r="CK487" s="1"/>
  <c r="CJ487" s="1"/>
  <c r="CI487" s="1"/>
  <c r="CX487"/>
  <c r="CT495"/>
  <c r="CS495" s="1"/>
  <c r="CR495" s="1"/>
  <c r="CQ495" s="1"/>
  <c r="CP495" s="1"/>
  <c r="CO495" s="1"/>
  <c r="CN495" s="1"/>
  <c r="CM495" s="1"/>
  <c r="CL495" s="1"/>
  <c r="CK495" s="1"/>
  <c r="CJ495" s="1"/>
  <c r="CI495" s="1"/>
  <c r="CX495"/>
  <c r="CT503"/>
  <c r="CS503" s="1"/>
  <c r="CR503" s="1"/>
  <c r="CQ503" s="1"/>
  <c r="CP503" s="1"/>
  <c r="CO503" s="1"/>
  <c r="CN503" s="1"/>
  <c r="CM503" s="1"/>
  <c r="CL503" s="1"/>
  <c r="CK503" s="1"/>
  <c r="CJ503" s="1"/>
  <c r="CI503" s="1"/>
  <c r="CX503"/>
  <c r="CT511"/>
  <c r="CS511" s="1"/>
  <c r="CR511" s="1"/>
  <c r="CQ511" s="1"/>
  <c r="CP511" s="1"/>
  <c r="CO511" s="1"/>
  <c r="CN511" s="1"/>
  <c r="CM511" s="1"/>
  <c r="CL511" s="1"/>
  <c r="CK511" s="1"/>
  <c r="CJ511" s="1"/>
  <c r="CI511" s="1"/>
  <c r="CX511"/>
  <c r="CT515"/>
  <c r="CS515" s="1"/>
  <c r="CR515" s="1"/>
  <c r="CQ515" s="1"/>
  <c r="CP515" s="1"/>
  <c r="CO515" s="1"/>
  <c r="CN515" s="1"/>
  <c r="CM515" s="1"/>
  <c r="CL515" s="1"/>
  <c r="CK515" s="1"/>
  <c r="CJ515" s="1"/>
  <c r="CI515" s="1"/>
  <c r="CX515"/>
  <c r="CT523"/>
  <c r="CS523" s="1"/>
  <c r="CR523" s="1"/>
  <c r="CQ523" s="1"/>
  <c r="CP523" s="1"/>
  <c r="CO523" s="1"/>
  <c r="CN523" s="1"/>
  <c r="CM523" s="1"/>
  <c r="CL523" s="1"/>
  <c r="CK523" s="1"/>
  <c r="CJ523" s="1"/>
  <c r="CI523" s="1"/>
  <c r="CX523"/>
  <c r="CT531"/>
  <c r="CS531" s="1"/>
  <c r="CR531" s="1"/>
  <c r="CQ531" s="1"/>
  <c r="CP531" s="1"/>
  <c r="CO531" s="1"/>
  <c r="CN531" s="1"/>
  <c r="CM531" s="1"/>
  <c r="CL531" s="1"/>
  <c r="CK531" s="1"/>
  <c r="CJ531" s="1"/>
  <c r="CI531" s="1"/>
  <c r="CX531"/>
  <c r="CT539"/>
  <c r="CS539" s="1"/>
  <c r="CR539" s="1"/>
  <c r="CQ539" s="1"/>
  <c r="CP539" s="1"/>
  <c r="CO539" s="1"/>
  <c r="CN539" s="1"/>
  <c r="CM539" s="1"/>
  <c r="CL539" s="1"/>
  <c r="CK539" s="1"/>
  <c r="CJ539" s="1"/>
  <c r="CI539" s="1"/>
  <c r="CX539"/>
  <c r="CT543"/>
  <c r="CS543" s="1"/>
  <c r="CR543" s="1"/>
  <c r="CQ543" s="1"/>
  <c r="CP543" s="1"/>
  <c r="CO543" s="1"/>
  <c r="CN543" s="1"/>
  <c r="CM543" s="1"/>
  <c r="CL543" s="1"/>
  <c r="CK543" s="1"/>
  <c r="CJ543" s="1"/>
  <c r="CI543" s="1"/>
  <c r="CX543"/>
  <c r="CT595"/>
  <c r="CS595" s="1"/>
  <c r="CR595" s="1"/>
  <c r="CQ595" s="1"/>
  <c r="CP595" s="1"/>
  <c r="CO595" s="1"/>
  <c r="CN595" s="1"/>
  <c r="CM595" s="1"/>
  <c r="CL595" s="1"/>
  <c r="CK595" s="1"/>
  <c r="CJ595" s="1"/>
  <c r="CI595" s="1"/>
  <c r="CX595"/>
  <c r="CT599"/>
  <c r="CS599" s="1"/>
  <c r="CR599" s="1"/>
  <c r="CQ599" s="1"/>
  <c r="CP599" s="1"/>
  <c r="CO599" s="1"/>
  <c r="CN599" s="1"/>
  <c r="CM599" s="1"/>
  <c r="CL599" s="1"/>
  <c r="CK599" s="1"/>
  <c r="CJ599" s="1"/>
  <c r="CI599" s="1"/>
  <c r="CX599"/>
  <c r="CT607"/>
  <c r="CS607" s="1"/>
  <c r="CR607" s="1"/>
  <c r="CQ607" s="1"/>
  <c r="CP607" s="1"/>
  <c r="CO607" s="1"/>
  <c r="CN607" s="1"/>
  <c r="CM607" s="1"/>
  <c r="CL607" s="1"/>
  <c r="CK607" s="1"/>
  <c r="CJ607" s="1"/>
  <c r="CI607" s="1"/>
  <c r="CX607"/>
  <c r="CT615"/>
  <c r="CS615" s="1"/>
  <c r="CR615" s="1"/>
  <c r="CQ615" s="1"/>
  <c r="CP615" s="1"/>
  <c r="CO615" s="1"/>
  <c r="CN615" s="1"/>
  <c r="CM615" s="1"/>
  <c r="CL615" s="1"/>
  <c r="CK615" s="1"/>
  <c r="CJ615" s="1"/>
  <c r="CI615" s="1"/>
  <c r="CX615"/>
  <c r="CT623"/>
  <c r="CS623" s="1"/>
  <c r="CR623" s="1"/>
  <c r="CQ623" s="1"/>
  <c r="CP623" s="1"/>
  <c r="CO623" s="1"/>
  <c r="CN623" s="1"/>
  <c r="CM623" s="1"/>
  <c r="CL623" s="1"/>
  <c r="CK623" s="1"/>
  <c r="CJ623" s="1"/>
  <c r="CI623" s="1"/>
  <c r="CX623"/>
  <c r="CT631"/>
  <c r="CS631" s="1"/>
  <c r="CR631" s="1"/>
  <c r="CQ631" s="1"/>
  <c r="CP631" s="1"/>
  <c r="CO631" s="1"/>
  <c r="CN631" s="1"/>
  <c r="CM631" s="1"/>
  <c r="CL631" s="1"/>
  <c r="CK631" s="1"/>
  <c r="CJ631" s="1"/>
  <c r="CI631" s="1"/>
  <c r="CX631"/>
  <c r="CT639"/>
  <c r="CS639" s="1"/>
  <c r="CR639" s="1"/>
  <c r="CQ639" s="1"/>
  <c r="CP639" s="1"/>
  <c r="CO639" s="1"/>
  <c r="CN639" s="1"/>
  <c r="CM639" s="1"/>
  <c r="CL639" s="1"/>
  <c r="CK639" s="1"/>
  <c r="CJ639" s="1"/>
  <c r="CI639" s="1"/>
  <c r="CX639"/>
  <c r="CT643"/>
  <c r="CS643" s="1"/>
  <c r="CR643" s="1"/>
  <c r="CQ643" s="1"/>
  <c r="CP643" s="1"/>
  <c r="CO643" s="1"/>
  <c r="CN643" s="1"/>
  <c r="CM643" s="1"/>
  <c r="CL643" s="1"/>
  <c r="CK643" s="1"/>
  <c r="CJ643" s="1"/>
  <c r="CI643" s="1"/>
  <c r="CX643"/>
  <c r="CT651"/>
  <c r="CS651" s="1"/>
  <c r="CR651" s="1"/>
  <c r="CQ651" s="1"/>
  <c r="CP651" s="1"/>
  <c r="CO651" s="1"/>
  <c r="CN651" s="1"/>
  <c r="CM651" s="1"/>
  <c r="CL651" s="1"/>
  <c r="CK651" s="1"/>
  <c r="CJ651" s="1"/>
  <c r="CI651" s="1"/>
  <c r="CX651"/>
  <c r="CT659"/>
  <c r="CS659" s="1"/>
  <c r="CR659" s="1"/>
  <c r="CQ659" s="1"/>
  <c r="CP659" s="1"/>
  <c r="CO659" s="1"/>
  <c r="CN659" s="1"/>
  <c r="CM659" s="1"/>
  <c r="CL659" s="1"/>
  <c r="CK659" s="1"/>
  <c r="CJ659" s="1"/>
  <c r="CI659" s="1"/>
  <c r="CX659"/>
  <c r="CT667"/>
  <c r="CS667" s="1"/>
  <c r="CR667" s="1"/>
  <c r="CQ667" s="1"/>
  <c r="CP667" s="1"/>
  <c r="CO667" s="1"/>
  <c r="CN667" s="1"/>
  <c r="CM667" s="1"/>
  <c r="CL667" s="1"/>
  <c r="CK667" s="1"/>
  <c r="CJ667" s="1"/>
  <c r="CI667" s="1"/>
  <c r="CX667"/>
  <c r="CT675"/>
  <c r="CS675" s="1"/>
  <c r="CR675" s="1"/>
  <c r="CQ675" s="1"/>
  <c r="CP675" s="1"/>
  <c r="CO675" s="1"/>
  <c r="CN675" s="1"/>
  <c r="CM675" s="1"/>
  <c r="CL675" s="1"/>
  <c r="CK675" s="1"/>
  <c r="CJ675" s="1"/>
  <c r="CI675" s="1"/>
  <c r="CX675"/>
  <c r="CT683"/>
  <c r="CS683" s="1"/>
  <c r="CR683" s="1"/>
  <c r="CQ683" s="1"/>
  <c r="CP683" s="1"/>
  <c r="CO683" s="1"/>
  <c r="CN683" s="1"/>
  <c r="CM683" s="1"/>
  <c r="CL683" s="1"/>
  <c r="CK683" s="1"/>
  <c r="CJ683" s="1"/>
  <c r="CI683" s="1"/>
  <c r="CX683"/>
  <c r="CT691"/>
  <c r="CS691" s="1"/>
  <c r="CR691" s="1"/>
  <c r="CQ691" s="1"/>
  <c r="CP691" s="1"/>
  <c r="CO691" s="1"/>
  <c r="CN691" s="1"/>
  <c r="CM691" s="1"/>
  <c r="CL691" s="1"/>
  <c r="CK691" s="1"/>
  <c r="CJ691" s="1"/>
  <c r="CI691" s="1"/>
  <c r="CX691"/>
  <c r="CT695"/>
  <c r="CS695" s="1"/>
  <c r="CR695" s="1"/>
  <c r="CQ695" s="1"/>
  <c r="CP695" s="1"/>
  <c r="CO695" s="1"/>
  <c r="CN695" s="1"/>
  <c r="CM695" s="1"/>
  <c r="CL695" s="1"/>
  <c r="CK695" s="1"/>
  <c r="CJ695" s="1"/>
  <c r="CI695" s="1"/>
  <c r="CX695"/>
  <c r="CT703"/>
  <c r="CS703" s="1"/>
  <c r="CR703" s="1"/>
  <c r="CQ703" s="1"/>
  <c r="CP703" s="1"/>
  <c r="CO703" s="1"/>
  <c r="CN703" s="1"/>
  <c r="CM703" s="1"/>
  <c r="CL703" s="1"/>
  <c r="CK703" s="1"/>
  <c r="CJ703" s="1"/>
  <c r="CI703" s="1"/>
  <c r="CX703"/>
  <c r="CT724"/>
  <c r="CS724" s="1"/>
  <c r="CR724" s="1"/>
  <c r="CQ724" s="1"/>
  <c r="CP724" s="1"/>
  <c r="CO724" s="1"/>
  <c r="CN724" s="1"/>
  <c r="CM724" s="1"/>
  <c r="CL724" s="1"/>
  <c r="CK724" s="1"/>
  <c r="CJ724" s="1"/>
  <c r="CI724" s="1"/>
  <c r="CX724"/>
  <c r="CT727"/>
  <c r="CS727" s="1"/>
  <c r="CR727" s="1"/>
  <c r="CQ727" s="1"/>
  <c r="CP727" s="1"/>
  <c r="CO727" s="1"/>
  <c r="CN727" s="1"/>
  <c r="CM727" s="1"/>
  <c r="CL727" s="1"/>
  <c r="CK727" s="1"/>
  <c r="CJ727" s="1"/>
  <c r="CI727" s="1"/>
  <c r="CX727"/>
  <c r="CT742"/>
  <c r="CS742" s="1"/>
  <c r="CR742" s="1"/>
  <c r="CQ742" s="1"/>
  <c r="CP742" s="1"/>
  <c r="CO742" s="1"/>
  <c r="CN742" s="1"/>
  <c r="CM742" s="1"/>
  <c r="CL742" s="1"/>
  <c r="CK742" s="1"/>
  <c r="CJ742" s="1"/>
  <c r="CI742" s="1"/>
  <c r="CX742"/>
  <c r="CT904"/>
  <c r="CS904" s="1"/>
  <c r="CR904" s="1"/>
  <c r="CQ904" s="1"/>
  <c r="CP904" s="1"/>
  <c r="CO904" s="1"/>
  <c r="CN904" s="1"/>
  <c r="CM904" s="1"/>
  <c r="CL904" s="1"/>
  <c r="CK904" s="1"/>
  <c r="CJ904" s="1"/>
  <c r="CI904" s="1"/>
  <c r="CX904"/>
  <c r="CT912"/>
  <c r="CS912" s="1"/>
  <c r="CR912" s="1"/>
  <c r="CQ912" s="1"/>
  <c r="CP912" s="1"/>
  <c r="CO912" s="1"/>
  <c r="CN912" s="1"/>
  <c r="CM912" s="1"/>
  <c r="CL912" s="1"/>
  <c r="CK912" s="1"/>
  <c r="CJ912" s="1"/>
  <c r="CI912" s="1"/>
  <c r="CX912"/>
  <c r="CT933"/>
  <c r="CS933" s="1"/>
  <c r="CR933" s="1"/>
  <c r="CQ933" s="1"/>
  <c r="CP933" s="1"/>
  <c r="CO933" s="1"/>
  <c r="CN933" s="1"/>
  <c r="CM933" s="1"/>
  <c r="CL933" s="1"/>
  <c r="CK933" s="1"/>
  <c r="CJ933" s="1"/>
  <c r="CI933" s="1"/>
  <c r="CX933"/>
  <c r="CT955"/>
  <c r="CS955" s="1"/>
  <c r="CR955" s="1"/>
  <c r="CQ955" s="1"/>
  <c r="CP955" s="1"/>
  <c r="CO955" s="1"/>
  <c r="CN955" s="1"/>
  <c r="CM955" s="1"/>
  <c r="CL955" s="1"/>
  <c r="CK955" s="1"/>
  <c r="CJ955" s="1"/>
  <c r="CI955" s="1"/>
  <c r="CX955"/>
  <c r="CT963"/>
  <c r="CS963" s="1"/>
  <c r="CR963" s="1"/>
  <c r="CQ963" s="1"/>
  <c r="CP963" s="1"/>
  <c r="CO963" s="1"/>
  <c r="CN963" s="1"/>
  <c r="CM963" s="1"/>
  <c r="CL963" s="1"/>
  <c r="CK963" s="1"/>
  <c r="CJ963" s="1"/>
  <c r="CI963" s="1"/>
  <c r="CX963"/>
  <c r="CT967"/>
  <c r="CS967" s="1"/>
  <c r="CR967" s="1"/>
  <c r="CQ967" s="1"/>
  <c r="CP967" s="1"/>
  <c r="CO967" s="1"/>
  <c r="CN967" s="1"/>
  <c r="CM967" s="1"/>
  <c r="CL967" s="1"/>
  <c r="CK967" s="1"/>
  <c r="CJ967" s="1"/>
  <c r="CI967" s="1"/>
  <c r="CX967"/>
  <c r="CT971"/>
  <c r="CS971" s="1"/>
  <c r="CR971" s="1"/>
  <c r="CQ971" s="1"/>
  <c r="CP971" s="1"/>
  <c r="CO971" s="1"/>
  <c r="CN971" s="1"/>
  <c r="CM971" s="1"/>
  <c r="CL971" s="1"/>
  <c r="CK971" s="1"/>
  <c r="CJ971" s="1"/>
  <c r="CI971" s="1"/>
  <c r="CX971"/>
  <c r="CT976"/>
  <c r="CS976" s="1"/>
  <c r="CR976" s="1"/>
  <c r="CQ976" s="1"/>
  <c r="CP976" s="1"/>
  <c r="CO976" s="1"/>
  <c r="CN976" s="1"/>
  <c r="CM976" s="1"/>
  <c r="CL976" s="1"/>
  <c r="CK976" s="1"/>
  <c r="CJ976" s="1"/>
  <c r="CI976" s="1"/>
  <c r="CX976"/>
  <c r="CT997"/>
  <c r="CS997" s="1"/>
  <c r="CR997" s="1"/>
  <c r="CQ997" s="1"/>
  <c r="CP997" s="1"/>
  <c r="CO997" s="1"/>
  <c r="CN997" s="1"/>
  <c r="CM997" s="1"/>
  <c r="CL997" s="1"/>
  <c r="CK997" s="1"/>
  <c r="CJ997" s="1"/>
  <c r="CI997" s="1"/>
  <c r="CX997"/>
  <c r="CT1001"/>
  <c r="CS1001" s="1"/>
  <c r="CR1001" s="1"/>
  <c r="CQ1001" s="1"/>
  <c r="CP1001" s="1"/>
  <c r="CO1001" s="1"/>
  <c r="CN1001" s="1"/>
  <c r="CM1001" s="1"/>
  <c r="CL1001" s="1"/>
  <c r="CK1001" s="1"/>
  <c r="CJ1001" s="1"/>
  <c r="CI1001" s="1"/>
  <c r="CX1001"/>
  <c r="CT10"/>
  <c r="CS10" s="1"/>
  <c r="CR10" s="1"/>
  <c r="CQ10" s="1"/>
  <c r="CP10" s="1"/>
  <c r="CO10" s="1"/>
  <c r="CN10" s="1"/>
  <c r="CM10" s="1"/>
  <c r="CL10" s="1"/>
  <c r="CK10" s="1"/>
  <c r="CJ10" s="1"/>
  <c r="CI10" s="1"/>
  <c r="CX10"/>
  <c r="CT18"/>
  <c r="CS18" s="1"/>
  <c r="CR18" s="1"/>
  <c r="CQ18" s="1"/>
  <c r="CP18" s="1"/>
  <c r="CO18" s="1"/>
  <c r="CN18" s="1"/>
  <c r="CM18" s="1"/>
  <c r="CL18" s="1"/>
  <c r="CK18" s="1"/>
  <c r="CJ18" s="1"/>
  <c r="CI18" s="1"/>
  <c r="CX18"/>
  <c r="CT26"/>
  <c r="CS26" s="1"/>
  <c r="CR26" s="1"/>
  <c r="CQ26" s="1"/>
  <c r="CP26" s="1"/>
  <c r="CO26" s="1"/>
  <c r="CN26" s="1"/>
  <c r="CM26" s="1"/>
  <c r="CL26" s="1"/>
  <c r="CK26" s="1"/>
  <c r="CJ26" s="1"/>
  <c r="CI26" s="1"/>
  <c r="CX26"/>
  <c r="CT34"/>
  <c r="CS34" s="1"/>
  <c r="CR34" s="1"/>
  <c r="CQ34" s="1"/>
  <c r="CP34" s="1"/>
  <c r="CO34" s="1"/>
  <c r="CN34" s="1"/>
  <c r="CM34" s="1"/>
  <c r="CL34" s="1"/>
  <c r="CK34" s="1"/>
  <c r="CJ34" s="1"/>
  <c r="CI34" s="1"/>
  <c r="CX34"/>
  <c r="CT38"/>
  <c r="CS38" s="1"/>
  <c r="CR38" s="1"/>
  <c r="CQ38" s="1"/>
  <c r="CP38" s="1"/>
  <c r="CO38" s="1"/>
  <c r="CN38" s="1"/>
  <c r="CM38" s="1"/>
  <c r="CL38" s="1"/>
  <c r="CK38" s="1"/>
  <c r="CJ38" s="1"/>
  <c r="CI38" s="1"/>
  <c r="CX38"/>
  <c r="CT46"/>
  <c r="CS46" s="1"/>
  <c r="CR46" s="1"/>
  <c r="CQ46" s="1"/>
  <c r="CP46" s="1"/>
  <c r="CO46" s="1"/>
  <c r="CN46" s="1"/>
  <c r="CM46" s="1"/>
  <c r="CL46" s="1"/>
  <c r="CK46" s="1"/>
  <c r="CJ46" s="1"/>
  <c r="CI46" s="1"/>
  <c r="CX46"/>
  <c r="CT54"/>
  <c r="CS54" s="1"/>
  <c r="CR54" s="1"/>
  <c r="CQ54" s="1"/>
  <c r="CP54" s="1"/>
  <c r="CO54" s="1"/>
  <c r="CN54" s="1"/>
  <c r="CM54" s="1"/>
  <c r="CL54" s="1"/>
  <c r="CK54" s="1"/>
  <c r="CJ54" s="1"/>
  <c r="CI54" s="1"/>
  <c r="CX54"/>
  <c r="CT62"/>
  <c r="CS62" s="1"/>
  <c r="CR62" s="1"/>
  <c r="CQ62" s="1"/>
  <c r="CP62" s="1"/>
  <c r="CO62" s="1"/>
  <c r="CN62" s="1"/>
  <c r="CM62" s="1"/>
  <c r="CL62" s="1"/>
  <c r="CK62" s="1"/>
  <c r="CJ62" s="1"/>
  <c r="CI62" s="1"/>
  <c r="CX62"/>
  <c r="CT70"/>
  <c r="CS70" s="1"/>
  <c r="CR70" s="1"/>
  <c r="CQ70" s="1"/>
  <c r="CP70" s="1"/>
  <c r="CO70" s="1"/>
  <c r="CN70" s="1"/>
  <c r="CM70" s="1"/>
  <c r="CL70" s="1"/>
  <c r="CK70" s="1"/>
  <c r="CJ70" s="1"/>
  <c r="CI70" s="1"/>
  <c r="CX70"/>
  <c r="CT78"/>
  <c r="CS78" s="1"/>
  <c r="CR78" s="1"/>
  <c r="CQ78" s="1"/>
  <c r="CP78" s="1"/>
  <c r="CO78" s="1"/>
  <c r="CN78" s="1"/>
  <c r="CM78" s="1"/>
  <c r="CL78" s="1"/>
  <c r="CK78" s="1"/>
  <c r="CJ78" s="1"/>
  <c r="CI78" s="1"/>
  <c r="CX78"/>
  <c r="CT86"/>
  <c r="CS86" s="1"/>
  <c r="CR86" s="1"/>
  <c r="CQ86" s="1"/>
  <c r="CP86" s="1"/>
  <c r="CO86" s="1"/>
  <c r="CN86" s="1"/>
  <c r="CM86" s="1"/>
  <c r="CL86" s="1"/>
  <c r="CK86" s="1"/>
  <c r="CJ86" s="1"/>
  <c r="CI86" s="1"/>
  <c r="CX86"/>
  <c r="CT90"/>
  <c r="CS90" s="1"/>
  <c r="CR90" s="1"/>
  <c r="CQ90" s="1"/>
  <c r="CP90" s="1"/>
  <c r="CO90" s="1"/>
  <c r="CN90" s="1"/>
  <c r="CM90" s="1"/>
  <c r="CL90" s="1"/>
  <c r="CK90" s="1"/>
  <c r="CJ90" s="1"/>
  <c r="CI90" s="1"/>
  <c r="CX90"/>
  <c r="CT98"/>
  <c r="CS98" s="1"/>
  <c r="CR98" s="1"/>
  <c r="CQ98" s="1"/>
  <c r="CP98" s="1"/>
  <c r="CO98" s="1"/>
  <c r="CN98" s="1"/>
  <c r="CM98" s="1"/>
  <c r="CL98" s="1"/>
  <c r="CK98" s="1"/>
  <c r="CJ98" s="1"/>
  <c r="CI98" s="1"/>
  <c r="CX98"/>
  <c r="CT106"/>
  <c r="CS106" s="1"/>
  <c r="CR106" s="1"/>
  <c r="CQ106" s="1"/>
  <c r="CP106" s="1"/>
  <c r="CO106" s="1"/>
  <c r="CN106" s="1"/>
  <c r="CM106" s="1"/>
  <c r="CL106" s="1"/>
  <c r="CK106" s="1"/>
  <c r="CJ106" s="1"/>
  <c r="CI106" s="1"/>
  <c r="CX106"/>
  <c r="CT114"/>
  <c r="CS114" s="1"/>
  <c r="CR114" s="1"/>
  <c r="CQ114" s="1"/>
  <c r="CP114" s="1"/>
  <c r="CO114" s="1"/>
  <c r="CN114" s="1"/>
  <c r="CM114" s="1"/>
  <c r="CL114" s="1"/>
  <c r="CK114" s="1"/>
  <c r="CJ114" s="1"/>
  <c r="CI114" s="1"/>
  <c r="CX114"/>
  <c r="CT123"/>
  <c r="CS123" s="1"/>
  <c r="CR123" s="1"/>
  <c r="CQ123" s="1"/>
  <c r="CP123" s="1"/>
  <c r="CO123" s="1"/>
  <c r="CN123" s="1"/>
  <c r="CM123" s="1"/>
  <c r="CL123" s="1"/>
  <c r="CK123" s="1"/>
  <c r="CJ123" s="1"/>
  <c r="CI123" s="1"/>
  <c r="CX123"/>
  <c r="CT283"/>
  <c r="CS283" s="1"/>
  <c r="CR283" s="1"/>
  <c r="CQ283" s="1"/>
  <c r="CP283" s="1"/>
  <c r="CO283" s="1"/>
  <c r="CN283" s="1"/>
  <c r="CM283" s="1"/>
  <c r="CL283" s="1"/>
  <c r="CK283" s="1"/>
  <c r="CJ283" s="1"/>
  <c r="CI283" s="1"/>
  <c r="CX283"/>
  <c r="CT291"/>
  <c r="CS291" s="1"/>
  <c r="CR291" s="1"/>
  <c r="CQ291" s="1"/>
  <c r="CP291" s="1"/>
  <c r="CO291" s="1"/>
  <c r="CN291" s="1"/>
  <c r="CM291" s="1"/>
  <c r="CL291" s="1"/>
  <c r="CK291" s="1"/>
  <c r="CJ291" s="1"/>
  <c r="CI291" s="1"/>
  <c r="CX291"/>
  <c r="CT299"/>
  <c r="CS299" s="1"/>
  <c r="CR299" s="1"/>
  <c r="CQ299" s="1"/>
  <c r="CP299" s="1"/>
  <c r="CO299" s="1"/>
  <c r="CN299" s="1"/>
  <c r="CM299" s="1"/>
  <c r="CL299" s="1"/>
  <c r="CK299" s="1"/>
  <c r="CJ299" s="1"/>
  <c r="CI299" s="1"/>
  <c r="CX299"/>
  <c r="CT303"/>
  <c r="CS303" s="1"/>
  <c r="CR303" s="1"/>
  <c r="CQ303" s="1"/>
  <c r="CP303" s="1"/>
  <c r="CO303" s="1"/>
  <c r="CN303" s="1"/>
  <c r="CM303" s="1"/>
  <c r="CL303" s="1"/>
  <c r="CK303" s="1"/>
  <c r="CJ303" s="1"/>
  <c r="CI303" s="1"/>
  <c r="CX303"/>
  <c r="CT311"/>
  <c r="CS311" s="1"/>
  <c r="CR311" s="1"/>
  <c r="CQ311" s="1"/>
  <c r="CP311" s="1"/>
  <c r="CO311" s="1"/>
  <c r="CN311" s="1"/>
  <c r="CM311" s="1"/>
  <c r="CL311" s="1"/>
  <c r="CK311" s="1"/>
  <c r="CJ311" s="1"/>
  <c r="CI311" s="1"/>
  <c r="CX311"/>
  <c r="CT315"/>
  <c r="CS315" s="1"/>
  <c r="CR315" s="1"/>
  <c r="CQ315" s="1"/>
  <c r="CP315" s="1"/>
  <c r="CO315" s="1"/>
  <c r="CN315" s="1"/>
  <c r="CM315" s="1"/>
  <c r="CL315" s="1"/>
  <c r="CK315" s="1"/>
  <c r="CJ315" s="1"/>
  <c r="CI315" s="1"/>
  <c r="CX315"/>
  <c r="CT334"/>
  <c r="CS334" s="1"/>
  <c r="CR334" s="1"/>
  <c r="CQ334" s="1"/>
  <c r="CP334" s="1"/>
  <c r="CO334" s="1"/>
  <c r="CN334" s="1"/>
  <c r="CM334" s="1"/>
  <c r="CL334" s="1"/>
  <c r="CK334" s="1"/>
  <c r="CJ334" s="1"/>
  <c r="CI334" s="1"/>
  <c r="CX334"/>
  <c r="CT432"/>
  <c r="CS432" s="1"/>
  <c r="CR432" s="1"/>
  <c r="CQ432" s="1"/>
  <c r="CP432" s="1"/>
  <c r="CO432" s="1"/>
  <c r="CN432" s="1"/>
  <c r="CM432" s="1"/>
  <c r="CL432" s="1"/>
  <c r="CK432" s="1"/>
  <c r="CJ432" s="1"/>
  <c r="CI432" s="1"/>
  <c r="CX432"/>
  <c r="CT440"/>
  <c r="CS440" s="1"/>
  <c r="CR440" s="1"/>
  <c r="CQ440" s="1"/>
  <c r="CP440" s="1"/>
  <c r="CO440" s="1"/>
  <c r="CN440" s="1"/>
  <c r="CM440" s="1"/>
  <c r="CL440" s="1"/>
  <c r="CK440" s="1"/>
  <c r="CJ440" s="1"/>
  <c r="CI440" s="1"/>
  <c r="CX440"/>
  <c r="CT444"/>
  <c r="CS444" s="1"/>
  <c r="CR444" s="1"/>
  <c r="CQ444" s="1"/>
  <c r="CP444" s="1"/>
  <c r="CO444" s="1"/>
  <c r="CN444" s="1"/>
  <c r="CM444" s="1"/>
  <c r="CL444" s="1"/>
  <c r="CK444" s="1"/>
  <c r="CJ444" s="1"/>
  <c r="CI444" s="1"/>
  <c r="CX444"/>
  <c r="CT452"/>
  <c r="CS452" s="1"/>
  <c r="CR452" s="1"/>
  <c r="CQ452" s="1"/>
  <c r="CP452" s="1"/>
  <c r="CO452" s="1"/>
  <c r="CN452" s="1"/>
  <c r="CM452" s="1"/>
  <c r="CL452" s="1"/>
  <c r="CK452" s="1"/>
  <c r="CJ452" s="1"/>
  <c r="CI452" s="1"/>
  <c r="CX452"/>
  <c r="CT460"/>
  <c r="CS460" s="1"/>
  <c r="CR460" s="1"/>
  <c r="CQ460" s="1"/>
  <c r="CP460" s="1"/>
  <c r="CO460" s="1"/>
  <c r="CN460" s="1"/>
  <c r="CM460" s="1"/>
  <c r="CL460" s="1"/>
  <c r="CK460" s="1"/>
  <c r="CJ460" s="1"/>
  <c r="CI460" s="1"/>
  <c r="CX460"/>
  <c r="CT468"/>
  <c r="CS468" s="1"/>
  <c r="CR468" s="1"/>
  <c r="CQ468" s="1"/>
  <c r="CP468" s="1"/>
  <c r="CO468" s="1"/>
  <c r="CN468" s="1"/>
  <c r="CM468" s="1"/>
  <c r="CL468" s="1"/>
  <c r="CK468" s="1"/>
  <c r="CJ468" s="1"/>
  <c r="CI468" s="1"/>
  <c r="CX468"/>
  <c r="CT476"/>
  <c r="CS476" s="1"/>
  <c r="CR476" s="1"/>
  <c r="CQ476" s="1"/>
  <c r="CP476" s="1"/>
  <c r="CO476" s="1"/>
  <c r="CN476" s="1"/>
  <c r="CM476" s="1"/>
  <c r="CL476" s="1"/>
  <c r="CK476" s="1"/>
  <c r="CJ476" s="1"/>
  <c r="CI476" s="1"/>
  <c r="CX476"/>
  <c r="CT484"/>
  <c r="CS484" s="1"/>
  <c r="CR484" s="1"/>
  <c r="CQ484" s="1"/>
  <c r="CP484" s="1"/>
  <c r="CO484" s="1"/>
  <c r="CN484" s="1"/>
  <c r="CM484" s="1"/>
  <c r="CL484" s="1"/>
  <c r="CK484" s="1"/>
  <c r="CJ484" s="1"/>
  <c r="CI484" s="1"/>
  <c r="CX484"/>
  <c r="CT488"/>
  <c r="CS488" s="1"/>
  <c r="CR488" s="1"/>
  <c r="CQ488" s="1"/>
  <c r="CP488" s="1"/>
  <c r="CO488" s="1"/>
  <c r="CN488" s="1"/>
  <c r="CM488" s="1"/>
  <c r="CL488" s="1"/>
  <c r="CK488" s="1"/>
  <c r="CJ488" s="1"/>
  <c r="CI488" s="1"/>
  <c r="CX488"/>
  <c r="CT496"/>
  <c r="CS496" s="1"/>
  <c r="CR496" s="1"/>
  <c r="CQ496" s="1"/>
  <c r="CP496" s="1"/>
  <c r="CO496" s="1"/>
  <c r="CN496" s="1"/>
  <c r="CM496" s="1"/>
  <c r="CL496" s="1"/>
  <c r="CK496" s="1"/>
  <c r="CJ496" s="1"/>
  <c r="CI496" s="1"/>
  <c r="CX496"/>
  <c r="CT504"/>
  <c r="CS504" s="1"/>
  <c r="CR504" s="1"/>
  <c r="CQ504" s="1"/>
  <c r="CP504" s="1"/>
  <c r="CO504" s="1"/>
  <c r="CN504" s="1"/>
  <c r="CM504" s="1"/>
  <c r="CL504" s="1"/>
  <c r="CK504" s="1"/>
  <c r="CJ504" s="1"/>
  <c r="CI504" s="1"/>
  <c r="CX504"/>
  <c r="CT512"/>
  <c r="CS512" s="1"/>
  <c r="CR512" s="1"/>
  <c r="CQ512" s="1"/>
  <c r="CP512" s="1"/>
  <c r="CO512" s="1"/>
  <c r="CN512" s="1"/>
  <c r="CM512" s="1"/>
  <c r="CL512" s="1"/>
  <c r="CK512" s="1"/>
  <c r="CJ512" s="1"/>
  <c r="CI512" s="1"/>
  <c r="CX512"/>
  <c r="CT520"/>
  <c r="CS520" s="1"/>
  <c r="CR520" s="1"/>
  <c r="CQ520" s="1"/>
  <c r="CP520" s="1"/>
  <c r="CO520" s="1"/>
  <c r="CN520" s="1"/>
  <c r="CM520" s="1"/>
  <c r="CL520" s="1"/>
  <c r="CK520" s="1"/>
  <c r="CJ520" s="1"/>
  <c r="CI520" s="1"/>
  <c r="CX520"/>
  <c r="CT528"/>
  <c r="CS528" s="1"/>
  <c r="CR528" s="1"/>
  <c r="CQ528" s="1"/>
  <c r="CP528" s="1"/>
  <c r="CO528" s="1"/>
  <c r="CN528" s="1"/>
  <c r="CM528" s="1"/>
  <c r="CL528" s="1"/>
  <c r="CK528" s="1"/>
  <c r="CJ528" s="1"/>
  <c r="CI528" s="1"/>
  <c r="CX528"/>
  <c r="CT536"/>
  <c r="CS536" s="1"/>
  <c r="CR536" s="1"/>
  <c r="CQ536" s="1"/>
  <c r="CP536" s="1"/>
  <c r="CO536" s="1"/>
  <c r="CN536" s="1"/>
  <c r="CM536" s="1"/>
  <c r="CL536" s="1"/>
  <c r="CK536" s="1"/>
  <c r="CJ536" s="1"/>
  <c r="CI536" s="1"/>
  <c r="CX536"/>
  <c r="CT540"/>
  <c r="CS540" s="1"/>
  <c r="CR540" s="1"/>
  <c r="CQ540" s="1"/>
  <c r="CP540" s="1"/>
  <c r="CO540" s="1"/>
  <c r="CN540" s="1"/>
  <c r="CM540" s="1"/>
  <c r="CL540" s="1"/>
  <c r="CK540" s="1"/>
  <c r="CJ540" s="1"/>
  <c r="CI540" s="1"/>
  <c r="CX540"/>
  <c r="CT569"/>
  <c r="CS569" s="1"/>
  <c r="CR569" s="1"/>
  <c r="CQ569" s="1"/>
  <c r="CP569" s="1"/>
  <c r="CO569" s="1"/>
  <c r="CN569" s="1"/>
  <c r="CM569" s="1"/>
  <c r="CL569" s="1"/>
  <c r="CK569" s="1"/>
  <c r="CJ569" s="1"/>
  <c r="CI569" s="1"/>
  <c r="CX569"/>
  <c r="CT573"/>
  <c r="CS573" s="1"/>
  <c r="CR573" s="1"/>
  <c r="CQ573" s="1"/>
  <c r="CP573" s="1"/>
  <c r="CO573" s="1"/>
  <c r="CN573" s="1"/>
  <c r="CM573" s="1"/>
  <c r="CL573" s="1"/>
  <c r="CK573" s="1"/>
  <c r="CJ573" s="1"/>
  <c r="CI573" s="1"/>
  <c r="CX573"/>
  <c r="CT577"/>
  <c r="CS577" s="1"/>
  <c r="CR577" s="1"/>
  <c r="CQ577" s="1"/>
  <c r="CP577" s="1"/>
  <c r="CO577" s="1"/>
  <c r="CN577" s="1"/>
  <c r="CM577" s="1"/>
  <c r="CL577" s="1"/>
  <c r="CK577" s="1"/>
  <c r="CJ577" s="1"/>
  <c r="CI577" s="1"/>
  <c r="CX577"/>
  <c r="CT581"/>
  <c r="CS581" s="1"/>
  <c r="CR581" s="1"/>
  <c r="CQ581" s="1"/>
  <c r="CP581" s="1"/>
  <c r="CO581" s="1"/>
  <c r="CN581" s="1"/>
  <c r="CM581" s="1"/>
  <c r="CL581" s="1"/>
  <c r="CK581" s="1"/>
  <c r="CJ581" s="1"/>
  <c r="CI581" s="1"/>
  <c r="CX581"/>
  <c r="CT583"/>
  <c r="CS583" s="1"/>
  <c r="CR583" s="1"/>
  <c r="CQ583" s="1"/>
  <c r="CP583" s="1"/>
  <c r="CO583" s="1"/>
  <c r="CN583" s="1"/>
  <c r="CM583" s="1"/>
  <c r="CL583" s="1"/>
  <c r="CK583" s="1"/>
  <c r="CJ583" s="1"/>
  <c r="CI583" s="1"/>
  <c r="CX583"/>
  <c r="CT589"/>
  <c r="CS589" s="1"/>
  <c r="CR589" s="1"/>
  <c r="CQ589" s="1"/>
  <c r="CP589" s="1"/>
  <c r="CO589" s="1"/>
  <c r="CN589" s="1"/>
  <c r="CM589" s="1"/>
  <c r="CL589" s="1"/>
  <c r="CK589" s="1"/>
  <c r="CJ589" s="1"/>
  <c r="CI589" s="1"/>
  <c r="CX589"/>
  <c r="CT588"/>
  <c r="CS588" s="1"/>
  <c r="CR588" s="1"/>
  <c r="CQ588" s="1"/>
  <c r="CP588" s="1"/>
  <c r="CO588" s="1"/>
  <c r="CN588" s="1"/>
  <c r="CM588" s="1"/>
  <c r="CL588" s="1"/>
  <c r="CK588" s="1"/>
  <c r="CJ588" s="1"/>
  <c r="CI588" s="1"/>
  <c r="CX588"/>
  <c r="CT592"/>
  <c r="CS592" s="1"/>
  <c r="CR592" s="1"/>
  <c r="CQ592" s="1"/>
  <c r="CP592" s="1"/>
  <c r="CO592" s="1"/>
  <c r="CN592" s="1"/>
  <c r="CM592" s="1"/>
  <c r="CL592" s="1"/>
  <c r="CK592" s="1"/>
  <c r="CJ592" s="1"/>
  <c r="CI592" s="1"/>
  <c r="CX592"/>
  <c r="CT596"/>
  <c r="CS596" s="1"/>
  <c r="CR596" s="1"/>
  <c r="CQ596" s="1"/>
  <c r="CP596" s="1"/>
  <c r="CO596" s="1"/>
  <c r="CN596" s="1"/>
  <c r="CM596" s="1"/>
  <c r="CL596" s="1"/>
  <c r="CK596" s="1"/>
  <c r="CJ596" s="1"/>
  <c r="CI596" s="1"/>
  <c r="CX596"/>
  <c r="CT604"/>
  <c r="CS604" s="1"/>
  <c r="CR604" s="1"/>
  <c r="CQ604" s="1"/>
  <c r="CP604" s="1"/>
  <c r="CO604" s="1"/>
  <c r="CN604" s="1"/>
  <c r="CM604" s="1"/>
  <c r="CL604" s="1"/>
  <c r="CK604" s="1"/>
  <c r="CJ604" s="1"/>
  <c r="CI604" s="1"/>
  <c r="CX604"/>
  <c r="CT612"/>
  <c r="CS612" s="1"/>
  <c r="CR612" s="1"/>
  <c r="CQ612" s="1"/>
  <c r="CP612" s="1"/>
  <c r="CO612" s="1"/>
  <c r="CN612" s="1"/>
  <c r="CM612" s="1"/>
  <c r="CL612" s="1"/>
  <c r="CK612" s="1"/>
  <c r="CJ612" s="1"/>
  <c r="CI612" s="1"/>
  <c r="CX612"/>
  <c r="CT620"/>
  <c r="CS620" s="1"/>
  <c r="CR620" s="1"/>
  <c r="CQ620" s="1"/>
  <c r="CP620" s="1"/>
  <c r="CO620" s="1"/>
  <c r="CN620" s="1"/>
  <c r="CM620" s="1"/>
  <c r="CL620" s="1"/>
  <c r="CK620" s="1"/>
  <c r="CJ620" s="1"/>
  <c r="CI620" s="1"/>
  <c r="CX620"/>
  <c r="CT628"/>
  <c r="CS628" s="1"/>
  <c r="CR628" s="1"/>
  <c r="CQ628" s="1"/>
  <c r="CP628" s="1"/>
  <c r="CO628" s="1"/>
  <c r="CN628" s="1"/>
  <c r="CM628" s="1"/>
  <c r="CL628" s="1"/>
  <c r="CK628" s="1"/>
  <c r="CJ628" s="1"/>
  <c r="CI628" s="1"/>
  <c r="CX628"/>
  <c r="CT636"/>
  <c r="CS636" s="1"/>
  <c r="CR636" s="1"/>
  <c r="CQ636" s="1"/>
  <c r="CP636" s="1"/>
  <c r="CO636" s="1"/>
  <c r="CN636" s="1"/>
  <c r="CM636" s="1"/>
  <c r="CL636" s="1"/>
  <c r="CK636" s="1"/>
  <c r="CJ636" s="1"/>
  <c r="CI636" s="1"/>
  <c r="CX636"/>
  <c r="CT672"/>
  <c r="CS672" s="1"/>
  <c r="CR672" s="1"/>
  <c r="CQ672" s="1"/>
  <c r="CP672" s="1"/>
  <c r="CO672" s="1"/>
  <c r="CN672" s="1"/>
  <c r="CM672" s="1"/>
  <c r="CL672" s="1"/>
  <c r="CK672" s="1"/>
  <c r="CJ672" s="1"/>
  <c r="CI672" s="1"/>
  <c r="CX672"/>
  <c r="CT4"/>
  <c r="CS4" s="1"/>
  <c r="CR4" s="1"/>
  <c r="CQ4" s="1"/>
  <c r="CP4" s="1"/>
  <c r="CO4" s="1"/>
  <c r="CN4" s="1"/>
  <c r="CM4" s="1"/>
  <c r="CL4" s="1"/>
  <c r="CK4" s="1"/>
  <c r="CJ4" s="1"/>
  <c r="CI4" s="1"/>
  <c r="CX4"/>
  <c r="CT9"/>
  <c r="CS9" s="1"/>
  <c r="CR9" s="1"/>
  <c r="CQ9" s="1"/>
  <c r="CP9" s="1"/>
  <c r="CO9" s="1"/>
  <c r="CN9" s="1"/>
  <c r="CM9" s="1"/>
  <c r="CL9" s="1"/>
  <c r="CK9" s="1"/>
  <c r="CJ9" s="1"/>
  <c r="CI9" s="1"/>
  <c r="CX9"/>
  <c r="CT17"/>
  <c r="CS17" s="1"/>
  <c r="CR17" s="1"/>
  <c r="CQ17" s="1"/>
  <c r="CP17" s="1"/>
  <c r="CO17" s="1"/>
  <c r="CN17" s="1"/>
  <c r="CM17" s="1"/>
  <c r="CL17" s="1"/>
  <c r="CK17" s="1"/>
  <c r="CJ17" s="1"/>
  <c r="CI17" s="1"/>
  <c r="CX17"/>
  <c r="CT21"/>
  <c r="CS21" s="1"/>
  <c r="CR21" s="1"/>
  <c r="CQ21" s="1"/>
  <c r="CP21" s="1"/>
  <c r="CO21" s="1"/>
  <c r="CN21" s="1"/>
  <c r="CM21" s="1"/>
  <c r="CL21" s="1"/>
  <c r="CK21" s="1"/>
  <c r="CJ21" s="1"/>
  <c r="CI21" s="1"/>
  <c r="CX21"/>
  <c r="CT25"/>
  <c r="CS25" s="1"/>
  <c r="CR25" s="1"/>
  <c r="CQ25" s="1"/>
  <c r="CP25" s="1"/>
  <c r="CO25" s="1"/>
  <c r="CN25" s="1"/>
  <c r="CM25" s="1"/>
  <c r="CL25" s="1"/>
  <c r="CK25" s="1"/>
  <c r="CJ25" s="1"/>
  <c r="CI25" s="1"/>
  <c r="CX25"/>
  <c r="CT29"/>
  <c r="CS29" s="1"/>
  <c r="CR29" s="1"/>
  <c r="CQ29" s="1"/>
  <c r="CP29" s="1"/>
  <c r="CO29" s="1"/>
  <c r="CN29" s="1"/>
  <c r="CM29" s="1"/>
  <c r="CL29" s="1"/>
  <c r="CK29" s="1"/>
  <c r="CJ29" s="1"/>
  <c r="CI29" s="1"/>
  <c r="CX29"/>
  <c r="CT33"/>
  <c r="CS33" s="1"/>
  <c r="CR33" s="1"/>
  <c r="CQ33" s="1"/>
  <c r="CP33" s="1"/>
  <c r="CO33" s="1"/>
  <c r="CN33" s="1"/>
  <c r="CM33" s="1"/>
  <c r="CL33" s="1"/>
  <c r="CK33" s="1"/>
  <c r="CJ33" s="1"/>
  <c r="CI33" s="1"/>
  <c r="CX33"/>
  <c r="CT37"/>
  <c r="CS37" s="1"/>
  <c r="CR37" s="1"/>
  <c r="CQ37" s="1"/>
  <c r="CP37" s="1"/>
  <c r="CO37" s="1"/>
  <c r="CN37" s="1"/>
  <c r="CM37" s="1"/>
  <c r="CL37" s="1"/>
  <c r="CK37" s="1"/>
  <c r="CJ37" s="1"/>
  <c r="CI37" s="1"/>
  <c r="CX37"/>
  <c r="CT41"/>
  <c r="CS41" s="1"/>
  <c r="CR41" s="1"/>
  <c r="CQ41" s="1"/>
  <c r="CP41" s="1"/>
  <c r="CO41" s="1"/>
  <c r="CN41" s="1"/>
  <c r="CM41" s="1"/>
  <c r="CL41" s="1"/>
  <c r="CK41" s="1"/>
  <c r="CJ41" s="1"/>
  <c r="CI41" s="1"/>
  <c r="CX41"/>
  <c r="CT45"/>
  <c r="CS45" s="1"/>
  <c r="CR45" s="1"/>
  <c r="CQ45" s="1"/>
  <c r="CP45" s="1"/>
  <c r="CO45" s="1"/>
  <c r="CN45" s="1"/>
  <c r="CM45" s="1"/>
  <c r="CL45" s="1"/>
  <c r="CK45" s="1"/>
  <c r="CJ45" s="1"/>
  <c r="CI45" s="1"/>
  <c r="CX45"/>
  <c r="CT49"/>
  <c r="CS49" s="1"/>
  <c r="CR49" s="1"/>
  <c r="CQ49" s="1"/>
  <c r="CP49" s="1"/>
  <c r="CO49" s="1"/>
  <c r="CN49" s="1"/>
  <c r="CM49" s="1"/>
  <c r="CL49" s="1"/>
  <c r="CK49" s="1"/>
  <c r="CJ49" s="1"/>
  <c r="CI49" s="1"/>
  <c r="CX49"/>
  <c r="CT53"/>
  <c r="CS53" s="1"/>
  <c r="CR53" s="1"/>
  <c r="CQ53" s="1"/>
  <c r="CP53" s="1"/>
  <c r="CO53" s="1"/>
  <c r="CN53" s="1"/>
  <c r="CM53" s="1"/>
  <c r="CL53" s="1"/>
  <c r="CK53" s="1"/>
  <c r="CJ53" s="1"/>
  <c r="CI53" s="1"/>
  <c r="CX53"/>
  <c r="CT57"/>
  <c r="CS57" s="1"/>
  <c r="CR57" s="1"/>
  <c r="CQ57" s="1"/>
  <c r="CP57" s="1"/>
  <c r="CO57" s="1"/>
  <c r="CN57" s="1"/>
  <c r="CM57" s="1"/>
  <c r="CL57" s="1"/>
  <c r="CK57" s="1"/>
  <c r="CJ57" s="1"/>
  <c r="CI57" s="1"/>
  <c r="CX57"/>
  <c r="CT61"/>
  <c r="CS61" s="1"/>
  <c r="CR61" s="1"/>
  <c r="CQ61" s="1"/>
  <c r="CP61" s="1"/>
  <c r="CO61" s="1"/>
  <c r="CN61" s="1"/>
  <c r="CM61" s="1"/>
  <c r="CL61" s="1"/>
  <c r="CK61" s="1"/>
  <c r="CJ61" s="1"/>
  <c r="CI61" s="1"/>
  <c r="CX61"/>
  <c r="CT65"/>
  <c r="CS65" s="1"/>
  <c r="CR65" s="1"/>
  <c r="CQ65" s="1"/>
  <c r="CP65" s="1"/>
  <c r="CO65" s="1"/>
  <c r="CN65" s="1"/>
  <c r="CM65" s="1"/>
  <c r="CL65" s="1"/>
  <c r="CK65" s="1"/>
  <c r="CJ65" s="1"/>
  <c r="CI65" s="1"/>
  <c r="CX65"/>
  <c r="CT15"/>
  <c r="CS15" s="1"/>
  <c r="CR15" s="1"/>
  <c r="CQ15" s="1"/>
  <c r="CP15" s="1"/>
  <c r="CO15" s="1"/>
  <c r="CN15" s="1"/>
  <c r="CM15" s="1"/>
  <c r="CL15" s="1"/>
  <c r="CK15" s="1"/>
  <c r="CJ15" s="1"/>
  <c r="CI15" s="1"/>
  <c r="CX15"/>
  <c r="CT23"/>
  <c r="CS23" s="1"/>
  <c r="CR23" s="1"/>
  <c r="CQ23" s="1"/>
  <c r="CP23" s="1"/>
  <c r="CO23" s="1"/>
  <c r="CN23" s="1"/>
  <c r="CM23" s="1"/>
  <c r="CL23" s="1"/>
  <c r="CK23" s="1"/>
  <c r="CJ23" s="1"/>
  <c r="CI23" s="1"/>
  <c r="CX23"/>
  <c r="CT31"/>
  <c r="CS31" s="1"/>
  <c r="CR31" s="1"/>
  <c r="CQ31" s="1"/>
  <c r="CP31" s="1"/>
  <c r="CO31" s="1"/>
  <c r="CN31" s="1"/>
  <c r="CM31" s="1"/>
  <c r="CL31" s="1"/>
  <c r="CK31" s="1"/>
  <c r="CJ31" s="1"/>
  <c r="CI31" s="1"/>
  <c r="CX31"/>
  <c r="CT43"/>
  <c r="CS43" s="1"/>
  <c r="CR43" s="1"/>
  <c r="CQ43" s="1"/>
  <c r="CP43" s="1"/>
  <c r="CO43" s="1"/>
  <c r="CN43" s="1"/>
  <c r="CM43" s="1"/>
  <c r="CL43" s="1"/>
  <c r="CK43" s="1"/>
  <c r="CJ43" s="1"/>
  <c r="CI43" s="1"/>
  <c r="CX43"/>
  <c r="CT51"/>
  <c r="CS51" s="1"/>
  <c r="CR51" s="1"/>
  <c r="CQ51" s="1"/>
  <c r="CP51" s="1"/>
  <c r="CO51" s="1"/>
  <c r="CN51" s="1"/>
  <c r="CM51" s="1"/>
  <c r="CL51" s="1"/>
  <c r="CK51" s="1"/>
  <c r="CJ51" s="1"/>
  <c r="CI51" s="1"/>
  <c r="CX51"/>
  <c r="CT59"/>
  <c r="CS59" s="1"/>
  <c r="CR59" s="1"/>
  <c r="CQ59" s="1"/>
  <c r="CP59" s="1"/>
  <c r="CO59" s="1"/>
  <c r="CN59" s="1"/>
  <c r="CM59" s="1"/>
  <c r="CL59" s="1"/>
  <c r="CK59" s="1"/>
  <c r="CJ59" s="1"/>
  <c r="CI59" s="1"/>
  <c r="CX59"/>
  <c r="CT67"/>
  <c r="CS67" s="1"/>
  <c r="CR67" s="1"/>
  <c r="CQ67" s="1"/>
  <c r="CP67" s="1"/>
  <c r="CO67" s="1"/>
  <c r="CN67" s="1"/>
  <c r="CM67" s="1"/>
  <c r="CL67" s="1"/>
  <c r="CK67" s="1"/>
  <c r="CJ67" s="1"/>
  <c r="CI67" s="1"/>
  <c r="CX67"/>
  <c r="CT75"/>
  <c r="CS75" s="1"/>
  <c r="CR75" s="1"/>
  <c r="CQ75" s="1"/>
  <c r="CP75" s="1"/>
  <c r="CO75" s="1"/>
  <c r="CN75" s="1"/>
  <c r="CM75" s="1"/>
  <c r="CL75" s="1"/>
  <c r="CK75" s="1"/>
  <c r="CJ75" s="1"/>
  <c r="CI75" s="1"/>
  <c r="CX75"/>
  <c r="CT83"/>
  <c r="CS83" s="1"/>
  <c r="CR83" s="1"/>
  <c r="CQ83" s="1"/>
  <c r="CP83" s="1"/>
  <c r="CO83" s="1"/>
  <c r="CN83" s="1"/>
  <c r="CM83" s="1"/>
  <c r="CL83" s="1"/>
  <c r="CK83" s="1"/>
  <c r="CJ83" s="1"/>
  <c r="CI83" s="1"/>
  <c r="CX83"/>
  <c r="CT91"/>
  <c r="CS91" s="1"/>
  <c r="CR91" s="1"/>
  <c r="CQ91" s="1"/>
  <c r="CP91" s="1"/>
  <c r="CO91" s="1"/>
  <c r="CN91" s="1"/>
  <c r="CM91" s="1"/>
  <c r="CL91" s="1"/>
  <c r="CK91" s="1"/>
  <c r="CJ91" s="1"/>
  <c r="CI91" s="1"/>
  <c r="CX91"/>
  <c r="CT103"/>
  <c r="CS103" s="1"/>
  <c r="CR103" s="1"/>
  <c r="CQ103" s="1"/>
  <c r="CP103" s="1"/>
  <c r="CO103" s="1"/>
  <c r="CN103" s="1"/>
  <c r="CM103" s="1"/>
  <c r="CL103" s="1"/>
  <c r="CK103" s="1"/>
  <c r="CJ103" s="1"/>
  <c r="CI103" s="1"/>
  <c r="CX103"/>
  <c r="CT111"/>
  <c r="CS111" s="1"/>
  <c r="CR111" s="1"/>
  <c r="CQ111" s="1"/>
  <c r="CP111" s="1"/>
  <c r="CO111" s="1"/>
  <c r="CN111" s="1"/>
  <c r="CM111" s="1"/>
  <c r="CL111" s="1"/>
  <c r="CK111" s="1"/>
  <c r="CJ111" s="1"/>
  <c r="CI111" s="1"/>
  <c r="CX111"/>
  <c r="CT115"/>
  <c r="CS115" s="1"/>
  <c r="CR115" s="1"/>
  <c r="CQ115" s="1"/>
  <c r="CP115" s="1"/>
  <c r="CO115" s="1"/>
  <c r="CN115" s="1"/>
  <c r="CM115" s="1"/>
  <c r="CL115" s="1"/>
  <c r="CK115" s="1"/>
  <c r="CJ115" s="1"/>
  <c r="CI115" s="1"/>
  <c r="CX115"/>
  <c r="CT280"/>
  <c r="CS280" s="1"/>
  <c r="CR280" s="1"/>
  <c r="CQ280" s="1"/>
  <c r="CP280" s="1"/>
  <c r="CO280" s="1"/>
  <c r="CN280" s="1"/>
  <c r="CM280" s="1"/>
  <c r="CL280" s="1"/>
  <c r="CK280" s="1"/>
  <c r="CJ280" s="1"/>
  <c r="CI280" s="1"/>
  <c r="CX280"/>
  <c r="CT288"/>
  <c r="CS288" s="1"/>
  <c r="CR288" s="1"/>
  <c r="CQ288" s="1"/>
  <c r="CP288" s="1"/>
  <c r="CO288" s="1"/>
  <c r="CN288" s="1"/>
  <c r="CM288" s="1"/>
  <c r="CL288" s="1"/>
  <c r="CK288" s="1"/>
  <c r="CJ288" s="1"/>
  <c r="CI288" s="1"/>
  <c r="CX288"/>
  <c r="CT296"/>
  <c r="CS296" s="1"/>
  <c r="CR296" s="1"/>
  <c r="CQ296" s="1"/>
  <c r="CP296" s="1"/>
  <c r="CO296" s="1"/>
  <c r="CN296" s="1"/>
  <c r="CM296" s="1"/>
  <c r="CL296" s="1"/>
  <c r="CK296" s="1"/>
  <c r="CJ296" s="1"/>
  <c r="CI296" s="1"/>
  <c r="CX296"/>
  <c r="CT304"/>
  <c r="CS304" s="1"/>
  <c r="CR304" s="1"/>
  <c r="CQ304" s="1"/>
  <c r="CP304" s="1"/>
  <c r="CO304" s="1"/>
  <c r="CN304" s="1"/>
  <c r="CM304" s="1"/>
  <c r="CL304" s="1"/>
  <c r="CK304" s="1"/>
  <c r="CJ304" s="1"/>
  <c r="CI304" s="1"/>
  <c r="CX304"/>
  <c r="CT312"/>
  <c r="CS312" s="1"/>
  <c r="CR312" s="1"/>
  <c r="CQ312" s="1"/>
  <c r="CP312" s="1"/>
  <c r="CO312" s="1"/>
  <c r="CN312" s="1"/>
  <c r="CM312" s="1"/>
  <c r="CL312" s="1"/>
  <c r="CK312" s="1"/>
  <c r="CJ312" s="1"/>
  <c r="CI312" s="1"/>
  <c r="CX312"/>
  <c r="CT332"/>
  <c r="CS332" s="1"/>
  <c r="CR332" s="1"/>
  <c r="CQ332" s="1"/>
  <c r="CP332" s="1"/>
  <c r="CO332" s="1"/>
  <c r="CN332" s="1"/>
  <c r="CM332" s="1"/>
  <c r="CL332" s="1"/>
  <c r="CK332" s="1"/>
  <c r="CJ332" s="1"/>
  <c r="CI332" s="1"/>
  <c r="CX332"/>
  <c r="CT338"/>
  <c r="CS338" s="1"/>
  <c r="CR338" s="1"/>
  <c r="CQ338" s="1"/>
  <c r="CP338" s="1"/>
  <c r="CO338" s="1"/>
  <c r="CN338" s="1"/>
  <c r="CM338" s="1"/>
  <c r="CL338" s="1"/>
  <c r="CK338" s="1"/>
  <c r="CJ338" s="1"/>
  <c r="CI338" s="1"/>
  <c r="CX338"/>
  <c r="CT342"/>
  <c r="CS342" s="1"/>
  <c r="CR342" s="1"/>
  <c r="CQ342" s="1"/>
  <c r="CP342" s="1"/>
  <c r="CO342" s="1"/>
  <c r="CN342" s="1"/>
  <c r="CM342" s="1"/>
  <c r="CL342" s="1"/>
  <c r="CK342" s="1"/>
  <c r="CJ342" s="1"/>
  <c r="CI342" s="1"/>
  <c r="CX342"/>
  <c r="CT348"/>
  <c r="CS348" s="1"/>
  <c r="CR348" s="1"/>
  <c r="CQ348" s="1"/>
  <c r="CP348" s="1"/>
  <c r="CO348" s="1"/>
  <c r="CN348" s="1"/>
  <c r="CM348" s="1"/>
  <c r="CL348" s="1"/>
  <c r="CK348" s="1"/>
  <c r="CJ348" s="1"/>
  <c r="CI348" s="1"/>
  <c r="CX348"/>
  <c r="CT352"/>
  <c r="CS352" s="1"/>
  <c r="CR352" s="1"/>
  <c r="CQ352" s="1"/>
  <c r="CP352" s="1"/>
  <c r="CO352" s="1"/>
  <c r="CN352" s="1"/>
  <c r="CM352" s="1"/>
  <c r="CL352" s="1"/>
  <c r="CK352" s="1"/>
  <c r="CJ352" s="1"/>
  <c r="CI352" s="1"/>
  <c r="CX352"/>
  <c r="CT356"/>
  <c r="CS356" s="1"/>
  <c r="CR356" s="1"/>
  <c r="CQ356" s="1"/>
  <c r="CP356" s="1"/>
  <c r="CO356" s="1"/>
  <c r="CN356" s="1"/>
  <c r="CM356" s="1"/>
  <c r="CL356" s="1"/>
  <c r="CK356" s="1"/>
  <c r="CJ356" s="1"/>
  <c r="CI356" s="1"/>
  <c r="CX356"/>
  <c r="CT360"/>
  <c r="CS360" s="1"/>
  <c r="CR360" s="1"/>
  <c r="CQ360" s="1"/>
  <c r="CP360" s="1"/>
  <c r="CO360" s="1"/>
  <c r="CN360" s="1"/>
  <c r="CM360" s="1"/>
  <c r="CL360" s="1"/>
  <c r="CK360" s="1"/>
  <c r="CJ360" s="1"/>
  <c r="CI360" s="1"/>
  <c r="CX360"/>
  <c r="CT366"/>
  <c r="CS366" s="1"/>
  <c r="CR366" s="1"/>
  <c r="CQ366" s="1"/>
  <c r="CP366" s="1"/>
  <c r="CO366" s="1"/>
  <c r="CN366" s="1"/>
  <c r="CM366" s="1"/>
  <c r="CL366" s="1"/>
  <c r="CK366" s="1"/>
  <c r="CJ366" s="1"/>
  <c r="CI366" s="1"/>
  <c r="CX366"/>
  <c r="CT370"/>
  <c r="CS370" s="1"/>
  <c r="CR370" s="1"/>
  <c r="CQ370" s="1"/>
  <c r="CP370" s="1"/>
  <c r="CO370" s="1"/>
  <c r="CN370" s="1"/>
  <c r="CM370" s="1"/>
  <c r="CL370" s="1"/>
  <c r="CK370" s="1"/>
  <c r="CJ370" s="1"/>
  <c r="CI370" s="1"/>
  <c r="CX370"/>
  <c r="CT374"/>
  <c r="CS374" s="1"/>
  <c r="CR374" s="1"/>
  <c r="CQ374" s="1"/>
  <c r="CP374" s="1"/>
  <c r="CO374" s="1"/>
  <c r="CN374" s="1"/>
  <c r="CM374" s="1"/>
  <c r="CL374" s="1"/>
  <c r="CK374" s="1"/>
  <c r="CJ374" s="1"/>
  <c r="CI374" s="1"/>
  <c r="CX374"/>
  <c r="CT439"/>
  <c r="CS439" s="1"/>
  <c r="CR439" s="1"/>
  <c r="CQ439" s="1"/>
  <c r="CP439" s="1"/>
  <c r="CO439" s="1"/>
  <c r="CN439" s="1"/>
  <c r="CM439" s="1"/>
  <c r="CL439" s="1"/>
  <c r="CK439" s="1"/>
  <c r="CJ439" s="1"/>
  <c r="CI439" s="1"/>
  <c r="CX439"/>
  <c r="CT447"/>
  <c r="CS447" s="1"/>
  <c r="CR447" s="1"/>
  <c r="CQ447" s="1"/>
  <c r="CP447" s="1"/>
  <c r="CO447" s="1"/>
  <c r="CN447" s="1"/>
  <c r="CM447" s="1"/>
  <c r="CL447" s="1"/>
  <c r="CK447" s="1"/>
  <c r="CJ447" s="1"/>
  <c r="CI447" s="1"/>
  <c r="CX447"/>
  <c r="CT455"/>
  <c r="CS455" s="1"/>
  <c r="CR455" s="1"/>
  <c r="CQ455" s="1"/>
  <c r="CP455" s="1"/>
  <c r="CO455" s="1"/>
  <c r="CN455" s="1"/>
  <c r="CM455" s="1"/>
  <c r="CL455" s="1"/>
  <c r="CK455" s="1"/>
  <c r="CJ455" s="1"/>
  <c r="CI455" s="1"/>
  <c r="CX455"/>
  <c r="CT467"/>
  <c r="CS467" s="1"/>
  <c r="CR467" s="1"/>
  <c r="CQ467" s="1"/>
  <c r="CP467" s="1"/>
  <c r="CO467" s="1"/>
  <c r="CN467" s="1"/>
  <c r="CM467" s="1"/>
  <c r="CL467" s="1"/>
  <c r="CK467" s="1"/>
  <c r="CJ467" s="1"/>
  <c r="CI467" s="1"/>
  <c r="CX467"/>
  <c r="CT475"/>
  <c r="CS475" s="1"/>
  <c r="CR475" s="1"/>
  <c r="CQ475" s="1"/>
  <c r="CP475" s="1"/>
  <c r="CO475" s="1"/>
  <c r="CN475" s="1"/>
  <c r="CM475" s="1"/>
  <c r="CL475" s="1"/>
  <c r="CK475" s="1"/>
  <c r="CJ475" s="1"/>
  <c r="CI475" s="1"/>
  <c r="CX475"/>
  <c r="CT483"/>
  <c r="CS483" s="1"/>
  <c r="CR483" s="1"/>
  <c r="CQ483" s="1"/>
  <c r="CP483" s="1"/>
  <c r="CO483" s="1"/>
  <c r="CN483" s="1"/>
  <c r="CM483" s="1"/>
  <c r="CL483" s="1"/>
  <c r="CK483" s="1"/>
  <c r="CJ483" s="1"/>
  <c r="CI483" s="1"/>
  <c r="CX483"/>
  <c r="CT491"/>
  <c r="CS491" s="1"/>
  <c r="CR491" s="1"/>
  <c r="CQ491" s="1"/>
  <c r="CP491" s="1"/>
  <c r="CO491" s="1"/>
  <c r="CN491" s="1"/>
  <c r="CM491" s="1"/>
  <c r="CL491" s="1"/>
  <c r="CK491" s="1"/>
  <c r="CJ491" s="1"/>
  <c r="CI491" s="1"/>
  <c r="CX491"/>
  <c r="CT499"/>
  <c r="CS499" s="1"/>
  <c r="CR499" s="1"/>
  <c r="CQ499" s="1"/>
  <c r="CP499" s="1"/>
  <c r="CO499" s="1"/>
  <c r="CN499" s="1"/>
  <c r="CM499" s="1"/>
  <c r="CL499" s="1"/>
  <c r="CK499" s="1"/>
  <c r="CJ499" s="1"/>
  <c r="CI499" s="1"/>
  <c r="CX499"/>
  <c r="CT507"/>
  <c r="CS507" s="1"/>
  <c r="CR507" s="1"/>
  <c r="CQ507" s="1"/>
  <c r="CP507" s="1"/>
  <c r="CO507" s="1"/>
  <c r="CN507" s="1"/>
  <c r="CM507" s="1"/>
  <c r="CL507" s="1"/>
  <c r="CK507" s="1"/>
  <c r="CJ507" s="1"/>
  <c r="CI507" s="1"/>
  <c r="CX507"/>
  <c r="CT519"/>
  <c r="CS519" s="1"/>
  <c r="CR519" s="1"/>
  <c r="CQ519" s="1"/>
  <c r="CP519" s="1"/>
  <c r="CO519" s="1"/>
  <c r="CN519" s="1"/>
  <c r="CM519" s="1"/>
  <c r="CL519" s="1"/>
  <c r="CK519" s="1"/>
  <c r="CJ519" s="1"/>
  <c r="CI519" s="1"/>
  <c r="CX519"/>
  <c r="CT527"/>
  <c r="CS527" s="1"/>
  <c r="CR527" s="1"/>
  <c r="CQ527" s="1"/>
  <c r="CP527" s="1"/>
  <c r="CO527" s="1"/>
  <c r="CN527" s="1"/>
  <c r="CM527" s="1"/>
  <c r="CL527" s="1"/>
  <c r="CK527" s="1"/>
  <c r="CJ527" s="1"/>
  <c r="CI527" s="1"/>
  <c r="CX527"/>
  <c r="CT535"/>
  <c r="CS535" s="1"/>
  <c r="CR535" s="1"/>
  <c r="CQ535" s="1"/>
  <c r="CP535" s="1"/>
  <c r="CO535" s="1"/>
  <c r="CN535" s="1"/>
  <c r="CM535" s="1"/>
  <c r="CL535" s="1"/>
  <c r="CK535" s="1"/>
  <c r="CJ535" s="1"/>
  <c r="CI535" s="1"/>
  <c r="CX535"/>
  <c r="CT567"/>
  <c r="CS567" s="1"/>
  <c r="CR567" s="1"/>
  <c r="CQ567" s="1"/>
  <c r="CP567" s="1"/>
  <c r="CO567" s="1"/>
  <c r="CN567" s="1"/>
  <c r="CM567" s="1"/>
  <c r="CL567" s="1"/>
  <c r="CK567" s="1"/>
  <c r="CJ567" s="1"/>
  <c r="CI567" s="1"/>
  <c r="CX567"/>
  <c r="CT603"/>
  <c r="CS603" s="1"/>
  <c r="CR603" s="1"/>
  <c r="CQ603" s="1"/>
  <c r="CP603" s="1"/>
  <c r="CO603" s="1"/>
  <c r="CN603" s="1"/>
  <c r="CM603" s="1"/>
  <c r="CL603" s="1"/>
  <c r="CK603" s="1"/>
  <c r="CJ603" s="1"/>
  <c r="CI603" s="1"/>
  <c r="CX603"/>
  <c r="CT611"/>
  <c r="CS611" s="1"/>
  <c r="CR611" s="1"/>
  <c r="CQ611" s="1"/>
  <c r="CP611" s="1"/>
  <c r="CO611" s="1"/>
  <c r="CN611" s="1"/>
  <c r="CM611" s="1"/>
  <c r="CL611" s="1"/>
  <c r="CK611" s="1"/>
  <c r="CJ611" s="1"/>
  <c r="CI611" s="1"/>
  <c r="CX611"/>
  <c r="CT619"/>
  <c r="CS619" s="1"/>
  <c r="CR619" s="1"/>
  <c r="CQ619" s="1"/>
  <c r="CP619" s="1"/>
  <c r="CO619" s="1"/>
  <c r="CN619" s="1"/>
  <c r="CM619" s="1"/>
  <c r="CL619" s="1"/>
  <c r="CK619" s="1"/>
  <c r="CJ619" s="1"/>
  <c r="CI619" s="1"/>
  <c r="CX619"/>
  <c r="CT627"/>
  <c r="CS627" s="1"/>
  <c r="CR627" s="1"/>
  <c r="CQ627" s="1"/>
  <c r="CP627" s="1"/>
  <c r="CO627" s="1"/>
  <c r="CN627" s="1"/>
  <c r="CM627" s="1"/>
  <c r="CL627" s="1"/>
  <c r="CK627" s="1"/>
  <c r="CJ627" s="1"/>
  <c r="CI627" s="1"/>
  <c r="CX627"/>
  <c r="CT635"/>
  <c r="CS635" s="1"/>
  <c r="CR635" s="1"/>
  <c r="CQ635" s="1"/>
  <c r="CP635" s="1"/>
  <c r="CO635" s="1"/>
  <c r="CN635" s="1"/>
  <c r="CM635" s="1"/>
  <c r="CL635" s="1"/>
  <c r="CK635" s="1"/>
  <c r="CJ635" s="1"/>
  <c r="CI635" s="1"/>
  <c r="CX635"/>
  <c r="CT647"/>
  <c r="CS647" s="1"/>
  <c r="CR647" s="1"/>
  <c r="CQ647" s="1"/>
  <c r="CP647" s="1"/>
  <c r="CO647" s="1"/>
  <c r="CN647" s="1"/>
  <c r="CM647" s="1"/>
  <c r="CL647" s="1"/>
  <c r="CK647" s="1"/>
  <c r="CJ647" s="1"/>
  <c r="CI647" s="1"/>
  <c r="CX647"/>
  <c r="CT655"/>
  <c r="CS655" s="1"/>
  <c r="CR655" s="1"/>
  <c r="CQ655" s="1"/>
  <c r="CP655" s="1"/>
  <c r="CO655" s="1"/>
  <c r="CN655" s="1"/>
  <c r="CM655" s="1"/>
  <c r="CL655" s="1"/>
  <c r="CK655" s="1"/>
  <c r="CJ655" s="1"/>
  <c r="CI655" s="1"/>
  <c r="CX655"/>
  <c r="CT663"/>
  <c r="CS663" s="1"/>
  <c r="CR663" s="1"/>
  <c r="CQ663" s="1"/>
  <c r="CP663" s="1"/>
  <c r="CO663" s="1"/>
  <c r="CN663" s="1"/>
  <c r="CM663" s="1"/>
  <c r="CL663" s="1"/>
  <c r="CK663" s="1"/>
  <c r="CJ663" s="1"/>
  <c r="CI663" s="1"/>
  <c r="CX663"/>
  <c r="CT671"/>
  <c r="CS671" s="1"/>
  <c r="CR671" s="1"/>
  <c r="CQ671" s="1"/>
  <c r="CP671" s="1"/>
  <c r="CO671" s="1"/>
  <c r="CN671" s="1"/>
  <c r="CM671" s="1"/>
  <c r="CL671" s="1"/>
  <c r="CK671" s="1"/>
  <c r="CJ671" s="1"/>
  <c r="CI671" s="1"/>
  <c r="CX671"/>
  <c r="CT679"/>
  <c r="CS679" s="1"/>
  <c r="CR679" s="1"/>
  <c r="CQ679" s="1"/>
  <c r="CP679" s="1"/>
  <c r="CO679" s="1"/>
  <c r="CN679" s="1"/>
  <c r="CM679" s="1"/>
  <c r="CL679" s="1"/>
  <c r="CK679" s="1"/>
  <c r="CJ679" s="1"/>
  <c r="CI679" s="1"/>
  <c r="CX679"/>
  <c r="CT687"/>
  <c r="CS687" s="1"/>
  <c r="CR687" s="1"/>
  <c r="CQ687" s="1"/>
  <c r="CP687" s="1"/>
  <c r="CO687" s="1"/>
  <c r="CN687" s="1"/>
  <c r="CM687" s="1"/>
  <c r="CL687" s="1"/>
  <c r="CK687" s="1"/>
  <c r="CJ687" s="1"/>
  <c r="CI687" s="1"/>
  <c r="CX687"/>
  <c r="CT699"/>
  <c r="CS699" s="1"/>
  <c r="CR699" s="1"/>
  <c r="CQ699" s="1"/>
  <c r="CP699" s="1"/>
  <c r="CO699" s="1"/>
  <c r="CN699" s="1"/>
  <c r="CM699" s="1"/>
  <c r="CL699" s="1"/>
  <c r="CK699" s="1"/>
  <c r="CJ699" s="1"/>
  <c r="CI699" s="1"/>
  <c r="CX699"/>
  <c r="CT708"/>
  <c r="CS708" s="1"/>
  <c r="CR708" s="1"/>
  <c r="CQ708" s="1"/>
  <c r="CP708" s="1"/>
  <c r="CO708" s="1"/>
  <c r="CN708" s="1"/>
  <c r="CM708" s="1"/>
  <c r="CL708" s="1"/>
  <c r="CK708" s="1"/>
  <c r="CJ708" s="1"/>
  <c r="CI708" s="1"/>
  <c r="CX708"/>
  <c r="CT900"/>
  <c r="CS900" s="1"/>
  <c r="CR900" s="1"/>
  <c r="CQ900" s="1"/>
  <c r="CP900" s="1"/>
  <c r="CO900" s="1"/>
  <c r="CN900" s="1"/>
  <c r="CM900" s="1"/>
  <c r="CL900" s="1"/>
  <c r="CK900" s="1"/>
  <c r="CJ900" s="1"/>
  <c r="CI900" s="1"/>
  <c r="CX900"/>
  <c r="CT908"/>
  <c r="CS908" s="1"/>
  <c r="CR908" s="1"/>
  <c r="CQ908" s="1"/>
  <c r="CP908" s="1"/>
  <c r="CO908" s="1"/>
  <c r="CN908" s="1"/>
  <c r="CM908" s="1"/>
  <c r="CL908" s="1"/>
  <c r="CK908" s="1"/>
  <c r="CJ908" s="1"/>
  <c r="CI908" s="1"/>
  <c r="CX908"/>
  <c r="CT917"/>
  <c r="CS917" s="1"/>
  <c r="CR917" s="1"/>
  <c r="CQ917" s="1"/>
  <c r="CP917" s="1"/>
  <c r="CO917" s="1"/>
  <c r="CN917" s="1"/>
  <c r="CM917" s="1"/>
  <c r="CL917" s="1"/>
  <c r="CK917" s="1"/>
  <c r="CJ917" s="1"/>
  <c r="CI917" s="1"/>
  <c r="CX917"/>
  <c r="CT959"/>
  <c r="CS959" s="1"/>
  <c r="CR959" s="1"/>
  <c r="CQ959" s="1"/>
  <c r="CP959" s="1"/>
  <c r="CO959" s="1"/>
  <c r="CN959" s="1"/>
  <c r="CM959" s="1"/>
  <c r="CL959" s="1"/>
  <c r="CK959" s="1"/>
  <c r="CJ959" s="1"/>
  <c r="CI959" s="1"/>
  <c r="CX959"/>
  <c r="CT993"/>
  <c r="CS993" s="1"/>
  <c r="CR993" s="1"/>
  <c r="CQ993" s="1"/>
  <c r="CP993" s="1"/>
  <c r="CO993" s="1"/>
  <c r="CN993" s="1"/>
  <c r="CM993" s="1"/>
  <c r="CL993" s="1"/>
  <c r="CK993" s="1"/>
  <c r="CJ993" s="1"/>
  <c r="CI993" s="1"/>
  <c r="CX993"/>
  <c r="CT1003"/>
  <c r="CS1003" s="1"/>
  <c r="CR1003" s="1"/>
  <c r="CQ1003" s="1"/>
  <c r="CP1003" s="1"/>
  <c r="CO1003" s="1"/>
  <c r="CN1003" s="1"/>
  <c r="CM1003" s="1"/>
  <c r="CL1003" s="1"/>
  <c r="CK1003" s="1"/>
  <c r="CJ1003" s="1"/>
  <c r="CI1003" s="1"/>
  <c r="CX1003"/>
  <c r="CT14"/>
  <c r="CS14" s="1"/>
  <c r="CR14" s="1"/>
  <c r="CQ14" s="1"/>
  <c r="CP14" s="1"/>
  <c r="CO14" s="1"/>
  <c r="CN14" s="1"/>
  <c r="CM14" s="1"/>
  <c r="CL14" s="1"/>
  <c r="CK14" s="1"/>
  <c r="CJ14" s="1"/>
  <c r="CI14" s="1"/>
  <c r="CX14"/>
  <c r="CT22"/>
  <c r="CS22" s="1"/>
  <c r="CR22" s="1"/>
  <c r="CQ22" s="1"/>
  <c r="CP22" s="1"/>
  <c r="CO22" s="1"/>
  <c r="CN22" s="1"/>
  <c r="CM22" s="1"/>
  <c r="CL22" s="1"/>
  <c r="CK22" s="1"/>
  <c r="CJ22" s="1"/>
  <c r="CI22" s="1"/>
  <c r="CX22"/>
  <c r="CT30"/>
  <c r="CS30" s="1"/>
  <c r="CR30" s="1"/>
  <c r="CQ30" s="1"/>
  <c r="CP30" s="1"/>
  <c r="CO30" s="1"/>
  <c r="CN30" s="1"/>
  <c r="CM30" s="1"/>
  <c r="CL30" s="1"/>
  <c r="CK30" s="1"/>
  <c r="CJ30" s="1"/>
  <c r="CI30" s="1"/>
  <c r="CX30"/>
  <c r="CT42"/>
  <c r="CS42" s="1"/>
  <c r="CR42" s="1"/>
  <c r="CQ42" s="1"/>
  <c r="CP42" s="1"/>
  <c r="CO42" s="1"/>
  <c r="CN42" s="1"/>
  <c r="CM42" s="1"/>
  <c r="CL42" s="1"/>
  <c r="CK42" s="1"/>
  <c r="CJ42" s="1"/>
  <c r="CI42" s="1"/>
  <c r="CX42"/>
  <c r="CT50"/>
  <c r="CS50" s="1"/>
  <c r="CR50" s="1"/>
  <c r="CQ50" s="1"/>
  <c r="CP50" s="1"/>
  <c r="CO50" s="1"/>
  <c r="CN50" s="1"/>
  <c r="CM50" s="1"/>
  <c r="CL50" s="1"/>
  <c r="CK50" s="1"/>
  <c r="CJ50" s="1"/>
  <c r="CI50" s="1"/>
  <c r="CX50"/>
  <c r="CT58"/>
  <c r="CS58" s="1"/>
  <c r="CR58" s="1"/>
  <c r="CQ58" s="1"/>
  <c r="CP58" s="1"/>
  <c r="CO58" s="1"/>
  <c r="CN58" s="1"/>
  <c r="CM58" s="1"/>
  <c r="CL58" s="1"/>
  <c r="CK58" s="1"/>
  <c r="CJ58" s="1"/>
  <c r="CI58" s="1"/>
  <c r="CX58"/>
  <c r="CT66"/>
  <c r="CS66" s="1"/>
  <c r="CR66" s="1"/>
  <c r="CQ66" s="1"/>
  <c r="CP66" s="1"/>
  <c r="CO66" s="1"/>
  <c r="CN66" s="1"/>
  <c r="CM66" s="1"/>
  <c r="CL66" s="1"/>
  <c r="CK66" s="1"/>
  <c r="CJ66" s="1"/>
  <c r="CI66" s="1"/>
  <c r="CX66"/>
  <c r="CT74"/>
  <c r="CS74" s="1"/>
  <c r="CR74" s="1"/>
  <c r="CQ74" s="1"/>
  <c r="CP74" s="1"/>
  <c r="CO74" s="1"/>
  <c r="CN74" s="1"/>
  <c r="CM74" s="1"/>
  <c r="CL74" s="1"/>
  <c r="CK74" s="1"/>
  <c r="CJ74" s="1"/>
  <c r="CI74" s="1"/>
  <c r="CX74"/>
  <c r="CT82"/>
  <c r="CS82" s="1"/>
  <c r="CR82" s="1"/>
  <c r="CQ82" s="1"/>
  <c r="CP82" s="1"/>
  <c r="CO82" s="1"/>
  <c r="CN82" s="1"/>
  <c r="CM82" s="1"/>
  <c r="CL82" s="1"/>
  <c r="CK82" s="1"/>
  <c r="CJ82" s="1"/>
  <c r="CI82" s="1"/>
  <c r="CX82"/>
  <c r="CT94"/>
  <c r="CS94" s="1"/>
  <c r="CR94" s="1"/>
  <c r="CQ94" s="1"/>
  <c r="CP94" s="1"/>
  <c r="CO94" s="1"/>
  <c r="CN94" s="1"/>
  <c r="CM94" s="1"/>
  <c r="CL94" s="1"/>
  <c r="CK94" s="1"/>
  <c r="CJ94" s="1"/>
  <c r="CI94" s="1"/>
  <c r="CX94"/>
  <c r="CT102"/>
  <c r="CS102" s="1"/>
  <c r="CR102" s="1"/>
  <c r="CQ102" s="1"/>
  <c r="CP102" s="1"/>
  <c r="CO102" s="1"/>
  <c r="CN102" s="1"/>
  <c r="CM102" s="1"/>
  <c r="CL102" s="1"/>
  <c r="CK102" s="1"/>
  <c r="CJ102" s="1"/>
  <c r="CI102" s="1"/>
  <c r="CX102"/>
  <c r="CT110"/>
  <c r="CS110" s="1"/>
  <c r="CR110" s="1"/>
  <c r="CQ110" s="1"/>
  <c r="CP110" s="1"/>
  <c r="CO110" s="1"/>
  <c r="CN110" s="1"/>
  <c r="CM110" s="1"/>
  <c r="CL110" s="1"/>
  <c r="CK110" s="1"/>
  <c r="CJ110" s="1"/>
  <c r="CI110" s="1"/>
  <c r="CX110"/>
  <c r="CT118"/>
  <c r="CS118" s="1"/>
  <c r="CR118" s="1"/>
  <c r="CQ118" s="1"/>
  <c r="CP118" s="1"/>
  <c r="CO118" s="1"/>
  <c r="CN118" s="1"/>
  <c r="CM118" s="1"/>
  <c r="CL118" s="1"/>
  <c r="CK118" s="1"/>
  <c r="CJ118" s="1"/>
  <c r="CI118" s="1"/>
  <c r="CX118"/>
  <c r="CT122"/>
  <c r="CS122" s="1"/>
  <c r="CR122" s="1"/>
  <c r="CQ122" s="1"/>
  <c r="CP122" s="1"/>
  <c r="CO122" s="1"/>
  <c r="CN122" s="1"/>
  <c r="CM122" s="1"/>
  <c r="CL122" s="1"/>
  <c r="CK122" s="1"/>
  <c r="CJ122" s="1"/>
  <c r="CI122" s="1"/>
  <c r="CX122"/>
  <c r="CT279"/>
  <c r="CS279" s="1"/>
  <c r="CR279" s="1"/>
  <c r="CQ279" s="1"/>
  <c r="CP279" s="1"/>
  <c r="CO279" s="1"/>
  <c r="CN279" s="1"/>
  <c r="CM279" s="1"/>
  <c r="CL279" s="1"/>
  <c r="CK279" s="1"/>
  <c r="CJ279" s="1"/>
  <c r="CI279" s="1"/>
  <c r="CX279"/>
  <c r="CT287"/>
  <c r="CS287" s="1"/>
  <c r="CR287" s="1"/>
  <c r="CQ287" s="1"/>
  <c r="CP287" s="1"/>
  <c r="CO287" s="1"/>
  <c r="CN287" s="1"/>
  <c r="CM287" s="1"/>
  <c r="CL287" s="1"/>
  <c r="CK287" s="1"/>
  <c r="CJ287" s="1"/>
  <c r="CI287" s="1"/>
  <c r="CX287"/>
  <c r="CT295"/>
  <c r="CS295" s="1"/>
  <c r="CR295" s="1"/>
  <c r="CQ295" s="1"/>
  <c r="CP295" s="1"/>
  <c r="CO295" s="1"/>
  <c r="CN295" s="1"/>
  <c r="CM295" s="1"/>
  <c r="CL295" s="1"/>
  <c r="CK295" s="1"/>
  <c r="CJ295" s="1"/>
  <c r="CI295" s="1"/>
  <c r="CX295"/>
  <c r="CT307"/>
  <c r="CS307" s="1"/>
  <c r="CR307" s="1"/>
  <c r="CQ307" s="1"/>
  <c r="CP307" s="1"/>
  <c r="CO307" s="1"/>
  <c r="CN307" s="1"/>
  <c r="CM307" s="1"/>
  <c r="CL307" s="1"/>
  <c r="CK307" s="1"/>
  <c r="CJ307" s="1"/>
  <c r="CI307" s="1"/>
  <c r="CX307"/>
  <c r="CT436"/>
  <c r="CS436" s="1"/>
  <c r="CR436" s="1"/>
  <c r="CQ436" s="1"/>
  <c r="CP436" s="1"/>
  <c r="CO436" s="1"/>
  <c r="CN436" s="1"/>
  <c r="CM436" s="1"/>
  <c r="CL436" s="1"/>
  <c r="CK436" s="1"/>
  <c r="CJ436" s="1"/>
  <c r="CI436" s="1"/>
  <c r="CX436"/>
  <c r="CT448"/>
  <c r="CS448" s="1"/>
  <c r="CR448" s="1"/>
  <c r="CQ448" s="1"/>
  <c r="CP448" s="1"/>
  <c r="CO448" s="1"/>
  <c r="CN448" s="1"/>
  <c r="CM448" s="1"/>
  <c r="CL448" s="1"/>
  <c r="CK448" s="1"/>
  <c r="CJ448" s="1"/>
  <c r="CI448" s="1"/>
  <c r="CX448"/>
  <c r="CT456"/>
  <c r="CS456" s="1"/>
  <c r="CR456" s="1"/>
  <c r="CQ456" s="1"/>
  <c r="CP456" s="1"/>
  <c r="CO456" s="1"/>
  <c r="CN456" s="1"/>
  <c r="CM456" s="1"/>
  <c r="CL456" s="1"/>
  <c r="CK456" s="1"/>
  <c r="CJ456" s="1"/>
  <c r="CI456" s="1"/>
  <c r="CX456"/>
  <c r="CT464"/>
  <c r="CS464" s="1"/>
  <c r="CR464" s="1"/>
  <c r="CQ464" s="1"/>
  <c r="CP464" s="1"/>
  <c r="CO464" s="1"/>
  <c r="CN464" s="1"/>
  <c r="CM464" s="1"/>
  <c r="CL464" s="1"/>
  <c r="CK464" s="1"/>
  <c r="CJ464" s="1"/>
  <c r="CI464" s="1"/>
  <c r="CX464"/>
  <c r="CT472"/>
  <c r="CS472" s="1"/>
  <c r="CR472" s="1"/>
  <c r="CQ472" s="1"/>
  <c r="CP472" s="1"/>
  <c r="CO472" s="1"/>
  <c r="CN472" s="1"/>
  <c r="CM472" s="1"/>
  <c r="CL472" s="1"/>
  <c r="CK472" s="1"/>
  <c r="CJ472" s="1"/>
  <c r="CI472" s="1"/>
  <c r="CX472"/>
  <c r="CT480"/>
  <c r="CS480" s="1"/>
  <c r="CR480" s="1"/>
  <c r="CQ480" s="1"/>
  <c r="CP480" s="1"/>
  <c r="CO480" s="1"/>
  <c r="CN480" s="1"/>
  <c r="CM480" s="1"/>
  <c r="CL480" s="1"/>
  <c r="CK480" s="1"/>
  <c r="CJ480" s="1"/>
  <c r="CI480" s="1"/>
  <c r="CX480"/>
  <c r="CT492"/>
  <c r="CS492" s="1"/>
  <c r="CR492" s="1"/>
  <c r="CQ492" s="1"/>
  <c r="CP492" s="1"/>
  <c r="CO492" s="1"/>
  <c r="CN492" s="1"/>
  <c r="CM492" s="1"/>
  <c r="CL492" s="1"/>
  <c r="CK492" s="1"/>
  <c r="CJ492" s="1"/>
  <c r="CI492" s="1"/>
  <c r="CX492"/>
  <c r="CT500"/>
  <c r="CS500" s="1"/>
  <c r="CR500" s="1"/>
  <c r="CQ500" s="1"/>
  <c r="CP500" s="1"/>
  <c r="CO500" s="1"/>
  <c r="CN500" s="1"/>
  <c r="CM500" s="1"/>
  <c r="CL500" s="1"/>
  <c r="CK500" s="1"/>
  <c r="CJ500" s="1"/>
  <c r="CI500" s="1"/>
  <c r="CX500"/>
  <c r="CT508"/>
  <c r="CS508" s="1"/>
  <c r="CR508" s="1"/>
  <c r="CQ508" s="1"/>
  <c r="CP508" s="1"/>
  <c r="CO508" s="1"/>
  <c r="CN508" s="1"/>
  <c r="CM508" s="1"/>
  <c r="CL508" s="1"/>
  <c r="CK508" s="1"/>
  <c r="CJ508" s="1"/>
  <c r="CI508" s="1"/>
  <c r="CX508"/>
  <c r="CT516"/>
  <c r="CS516" s="1"/>
  <c r="CR516" s="1"/>
  <c r="CQ516" s="1"/>
  <c r="CP516" s="1"/>
  <c r="CO516" s="1"/>
  <c r="CN516" s="1"/>
  <c r="CM516" s="1"/>
  <c r="CL516" s="1"/>
  <c r="CK516" s="1"/>
  <c r="CJ516" s="1"/>
  <c r="CI516" s="1"/>
  <c r="CX516"/>
  <c r="CT524"/>
  <c r="CS524" s="1"/>
  <c r="CR524" s="1"/>
  <c r="CQ524" s="1"/>
  <c r="CP524" s="1"/>
  <c r="CO524" s="1"/>
  <c r="CN524" s="1"/>
  <c r="CM524" s="1"/>
  <c r="CL524" s="1"/>
  <c r="CK524" s="1"/>
  <c r="CJ524" s="1"/>
  <c r="CI524" s="1"/>
  <c r="CX524"/>
  <c r="CT532"/>
  <c r="CS532" s="1"/>
  <c r="CR532" s="1"/>
  <c r="CQ532" s="1"/>
  <c r="CP532" s="1"/>
  <c r="CO532" s="1"/>
  <c r="CN532" s="1"/>
  <c r="CM532" s="1"/>
  <c r="CL532" s="1"/>
  <c r="CK532" s="1"/>
  <c r="CJ532" s="1"/>
  <c r="CI532" s="1"/>
  <c r="CX532"/>
  <c r="CT565"/>
  <c r="CS565" s="1"/>
  <c r="CR565" s="1"/>
  <c r="CQ565" s="1"/>
  <c r="CP565" s="1"/>
  <c r="CO565" s="1"/>
  <c r="CN565" s="1"/>
  <c r="CM565" s="1"/>
  <c r="CL565" s="1"/>
  <c r="CK565" s="1"/>
  <c r="CJ565" s="1"/>
  <c r="CI565" s="1"/>
  <c r="CX565"/>
  <c r="CT571"/>
  <c r="CS571" s="1"/>
  <c r="CR571" s="1"/>
  <c r="CQ571" s="1"/>
  <c r="CP571" s="1"/>
  <c r="CO571" s="1"/>
  <c r="CN571" s="1"/>
  <c r="CM571" s="1"/>
  <c r="CL571" s="1"/>
  <c r="CK571" s="1"/>
  <c r="CJ571" s="1"/>
  <c r="CI571" s="1"/>
  <c r="CX571"/>
  <c r="CT575"/>
  <c r="CS575" s="1"/>
  <c r="CR575" s="1"/>
  <c r="CQ575" s="1"/>
  <c r="CP575" s="1"/>
  <c r="CO575" s="1"/>
  <c r="CN575" s="1"/>
  <c r="CM575" s="1"/>
  <c r="CL575" s="1"/>
  <c r="CK575" s="1"/>
  <c r="CJ575" s="1"/>
  <c r="CI575" s="1"/>
  <c r="CX575"/>
  <c r="CT579"/>
  <c r="CS579" s="1"/>
  <c r="CR579" s="1"/>
  <c r="CQ579" s="1"/>
  <c r="CP579" s="1"/>
  <c r="CO579" s="1"/>
  <c r="CN579" s="1"/>
  <c r="CM579" s="1"/>
  <c r="CL579" s="1"/>
  <c r="CK579" s="1"/>
  <c r="CJ579" s="1"/>
  <c r="CI579" s="1"/>
  <c r="CX579"/>
  <c r="CT585"/>
  <c r="CS585" s="1"/>
  <c r="CR585" s="1"/>
  <c r="CQ585" s="1"/>
  <c r="CP585" s="1"/>
  <c r="CO585" s="1"/>
  <c r="CN585" s="1"/>
  <c r="CM585" s="1"/>
  <c r="CL585" s="1"/>
  <c r="CK585" s="1"/>
  <c r="CJ585" s="1"/>
  <c r="CI585" s="1"/>
  <c r="CX585"/>
  <c r="CT600"/>
  <c r="CS600" s="1"/>
  <c r="CR600" s="1"/>
  <c r="CQ600" s="1"/>
  <c r="CP600" s="1"/>
  <c r="CO600" s="1"/>
  <c r="CN600" s="1"/>
  <c r="CM600" s="1"/>
  <c r="CL600" s="1"/>
  <c r="CK600" s="1"/>
  <c r="CJ600" s="1"/>
  <c r="CI600" s="1"/>
  <c r="CX600"/>
  <c r="CT608"/>
  <c r="CS608" s="1"/>
  <c r="CR608" s="1"/>
  <c r="CQ608" s="1"/>
  <c r="CP608" s="1"/>
  <c r="CO608" s="1"/>
  <c r="CN608" s="1"/>
  <c r="CM608" s="1"/>
  <c r="CL608" s="1"/>
  <c r="CK608" s="1"/>
  <c r="CJ608" s="1"/>
  <c r="CI608" s="1"/>
  <c r="CX608"/>
  <c r="CT616"/>
  <c r="CS616" s="1"/>
  <c r="CR616" s="1"/>
  <c r="CQ616" s="1"/>
  <c r="CP616" s="1"/>
  <c r="CO616" s="1"/>
  <c r="CN616" s="1"/>
  <c r="CM616" s="1"/>
  <c r="CL616" s="1"/>
  <c r="CK616" s="1"/>
  <c r="CJ616" s="1"/>
  <c r="CI616" s="1"/>
  <c r="CX616"/>
  <c r="CT624"/>
  <c r="CS624" s="1"/>
  <c r="CR624" s="1"/>
  <c r="CQ624" s="1"/>
  <c r="CP624" s="1"/>
  <c r="CO624" s="1"/>
  <c r="CN624" s="1"/>
  <c r="CM624" s="1"/>
  <c r="CL624" s="1"/>
  <c r="CK624" s="1"/>
  <c r="CJ624" s="1"/>
  <c r="CI624" s="1"/>
  <c r="CX624"/>
  <c r="CT632"/>
  <c r="CS632" s="1"/>
  <c r="CR632" s="1"/>
  <c r="CQ632" s="1"/>
  <c r="CP632" s="1"/>
  <c r="CO632" s="1"/>
  <c r="CN632" s="1"/>
  <c r="CM632" s="1"/>
  <c r="CL632" s="1"/>
  <c r="CK632" s="1"/>
  <c r="CJ632" s="1"/>
  <c r="CI632" s="1"/>
  <c r="CX632"/>
  <c r="CT640"/>
  <c r="CS640" s="1"/>
  <c r="CR640" s="1"/>
  <c r="CQ640" s="1"/>
  <c r="CP640" s="1"/>
  <c r="CO640" s="1"/>
  <c r="CN640" s="1"/>
  <c r="CM640" s="1"/>
  <c r="CL640" s="1"/>
  <c r="CK640" s="1"/>
  <c r="CJ640" s="1"/>
  <c r="CI640" s="1"/>
  <c r="CX640"/>
  <c r="CT644"/>
  <c r="CS644" s="1"/>
  <c r="CR644" s="1"/>
  <c r="CQ644" s="1"/>
  <c r="CP644" s="1"/>
  <c r="CO644" s="1"/>
  <c r="CN644" s="1"/>
  <c r="CM644" s="1"/>
  <c r="CL644" s="1"/>
  <c r="CK644" s="1"/>
  <c r="CJ644" s="1"/>
  <c r="CI644" s="1"/>
  <c r="CX644"/>
  <c r="CT648"/>
  <c r="CS648" s="1"/>
  <c r="CR648" s="1"/>
  <c r="CQ648" s="1"/>
  <c r="CP648" s="1"/>
  <c r="CO648" s="1"/>
  <c r="CN648" s="1"/>
  <c r="CM648" s="1"/>
  <c r="CL648" s="1"/>
  <c r="CK648" s="1"/>
  <c r="CJ648" s="1"/>
  <c r="CI648" s="1"/>
  <c r="CX648"/>
  <c r="CT652"/>
  <c r="CS652" s="1"/>
  <c r="CR652" s="1"/>
  <c r="CQ652" s="1"/>
  <c r="CP652" s="1"/>
  <c r="CO652" s="1"/>
  <c r="CN652" s="1"/>
  <c r="CM652" s="1"/>
  <c r="CL652" s="1"/>
  <c r="CK652" s="1"/>
  <c r="CJ652" s="1"/>
  <c r="CI652" s="1"/>
  <c r="CX652"/>
  <c r="CT656"/>
  <c r="CS656" s="1"/>
  <c r="CR656" s="1"/>
  <c r="CQ656" s="1"/>
  <c r="CP656" s="1"/>
  <c r="CO656" s="1"/>
  <c r="CN656" s="1"/>
  <c r="CM656" s="1"/>
  <c r="CL656" s="1"/>
  <c r="CK656" s="1"/>
  <c r="CJ656" s="1"/>
  <c r="CI656" s="1"/>
  <c r="CX656"/>
  <c r="CT660"/>
  <c r="CS660" s="1"/>
  <c r="CR660" s="1"/>
  <c r="CQ660" s="1"/>
  <c r="CP660" s="1"/>
  <c r="CO660" s="1"/>
  <c r="CN660" s="1"/>
  <c r="CM660" s="1"/>
  <c r="CL660" s="1"/>
  <c r="CK660" s="1"/>
  <c r="CJ660" s="1"/>
  <c r="CI660" s="1"/>
  <c r="CX660"/>
  <c r="CT664"/>
  <c r="CS664" s="1"/>
  <c r="CR664" s="1"/>
  <c r="CQ664" s="1"/>
  <c r="CP664" s="1"/>
  <c r="CO664" s="1"/>
  <c r="CN664" s="1"/>
  <c r="CM664" s="1"/>
  <c r="CL664" s="1"/>
  <c r="CK664" s="1"/>
  <c r="CJ664" s="1"/>
  <c r="CI664" s="1"/>
  <c r="CX664"/>
  <c r="CT668"/>
  <c r="CS668" s="1"/>
  <c r="CR668" s="1"/>
  <c r="CQ668" s="1"/>
  <c r="CP668" s="1"/>
  <c r="CO668" s="1"/>
  <c r="CN668" s="1"/>
  <c r="CM668" s="1"/>
  <c r="CL668" s="1"/>
  <c r="CK668" s="1"/>
  <c r="CJ668" s="1"/>
  <c r="CI668" s="1"/>
  <c r="CX668"/>
  <c r="CT676"/>
  <c r="CS676" s="1"/>
  <c r="CR676" s="1"/>
  <c r="CQ676" s="1"/>
  <c r="CP676" s="1"/>
  <c r="CO676" s="1"/>
  <c r="CN676" s="1"/>
  <c r="CM676" s="1"/>
  <c r="CL676" s="1"/>
  <c r="CK676" s="1"/>
  <c r="CJ676" s="1"/>
  <c r="CI676" s="1"/>
  <c r="CX676"/>
  <c r="CT680"/>
  <c r="CS680" s="1"/>
  <c r="CR680" s="1"/>
  <c r="CQ680" s="1"/>
  <c r="CP680" s="1"/>
  <c r="CO680" s="1"/>
  <c r="CN680" s="1"/>
  <c r="CM680" s="1"/>
  <c r="CL680" s="1"/>
  <c r="CK680" s="1"/>
  <c r="CJ680" s="1"/>
  <c r="CI680" s="1"/>
  <c r="CX680"/>
  <c r="CT684"/>
  <c r="CS684" s="1"/>
  <c r="CR684" s="1"/>
  <c r="CQ684" s="1"/>
  <c r="CP684" s="1"/>
  <c r="CO684" s="1"/>
  <c r="CN684" s="1"/>
  <c r="CM684" s="1"/>
  <c r="CL684" s="1"/>
  <c r="CK684" s="1"/>
  <c r="CJ684" s="1"/>
  <c r="CI684" s="1"/>
  <c r="CX684"/>
  <c r="CT688"/>
  <c r="CS688" s="1"/>
  <c r="CR688" s="1"/>
  <c r="CQ688" s="1"/>
  <c r="CP688" s="1"/>
  <c r="CO688" s="1"/>
  <c r="CN688" s="1"/>
  <c r="CM688" s="1"/>
  <c r="CL688" s="1"/>
  <c r="CK688" s="1"/>
  <c r="CJ688" s="1"/>
  <c r="CI688" s="1"/>
  <c r="CX688"/>
  <c r="CT692"/>
  <c r="CS692" s="1"/>
  <c r="CR692" s="1"/>
  <c r="CQ692" s="1"/>
  <c r="CP692" s="1"/>
  <c r="CO692" s="1"/>
  <c r="CN692" s="1"/>
  <c r="CM692" s="1"/>
  <c r="CL692" s="1"/>
  <c r="CK692" s="1"/>
  <c r="CJ692" s="1"/>
  <c r="CI692" s="1"/>
  <c r="CX692"/>
  <c r="CT696"/>
  <c r="CS696" s="1"/>
  <c r="CR696" s="1"/>
  <c r="CQ696" s="1"/>
  <c r="CP696" s="1"/>
  <c r="CO696" s="1"/>
  <c r="CN696" s="1"/>
  <c r="CM696" s="1"/>
  <c r="CL696" s="1"/>
  <c r="CK696" s="1"/>
  <c r="CJ696" s="1"/>
  <c r="CI696" s="1"/>
  <c r="CX696"/>
  <c r="CT700"/>
  <c r="CS700" s="1"/>
  <c r="CR700" s="1"/>
  <c r="CQ700" s="1"/>
  <c r="CP700" s="1"/>
  <c r="CO700" s="1"/>
  <c r="CN700" s="1"/>
  <c r="CM700" s="1"/>
  <c r="CL700" s="1"/>
  <c r="CK700" s="1"/>
  <c r="CJ700" s="1"/>
  <c r="CI700" s="1"/>
  <c r="CX700"/>
  <c r="CT704"/>
  <c r="CS704" s="1"/>
  <c r="CR704" s="1"/>
  <c r="CQ704" s="1"/>
  <c r="CP704" s="1"/>
  <c r="CO704" s="1"/>
  <c r="CN704" s="1"/>
  <c r="CM704" s="1"/>
  <c r="CL704" s="1"/>
  <c r="CK704" s="1"/>
  <c r="CJ704" s="1"/>
  <c r="CI704" s="1"/>
  <c r="CX704"/>
  <c r="CT707"/>
  <c r="CS707" s="1"/>
  <c r="CR707" s="1"/>
  <c r="CQ707" s="1"/>
  <c r="CP707" s="1"/>
  <c r="CO707" s="1"/>
  <c r="CN707" s="1"/>
  <c r="CM707" s="1"/>
  <c r="CL707" s="1"/>
  <c r="CK707" s="1"/>
  <c r="CJ707" s="1"/>
  <c r="CI707" s="1"/>
  <c r="CX707"/>
  <c r="CT728"/>
  <c r="CS728" s="1"/>
  <c r="CR728" s="1"/>
  <c r="CQ728" s="1"/>
  <c r="CP728" s="1"/>
  <c r="CO728" s="1"/>
  <c r="CN728" s="1"/>
  <c r="CM728" s="1"/>
  <c r="CL728" s="1"/>
  <c r="CK728" s="1"/>
  <c r="CJ728" s="1"/>
  <c r="CI728" s="1"/>
  <c r="CX728"/>
  <c r="CT69"/>
  <c r="CS69" s="1"/>
  <c r="CR69" s="1"/>
  <c r="CQ69" s="1"/>
  <c r="CP69" s="1"/>
  <c r="CO69" s="1"/>
  <c r="CN69" s="1"/>
  <c r="CM69" s="1"/>
  <c r="CL69" s="1"/>
  <c r="CK69" s="1"/>
  <c r="CJ69" s="1"/>
  <c r="CI69" s="1"/>
  <c r="CX69"/>
  <c r="CT73"/>
  <c r="CS73" s="1"/>
  <c r="CR73" s="1"/>
  <c r="CQ73" s="1"/>
  <c r="CP73" s="1"/>
  <c r="CO73" s="1"/>
  <c r="CN73" s="1"/>
  <c r="CM73" s="1"/>
  <c r="CL73" s="1"/>
  <c r="CK73" s="1"/>
  <c r="CJ73" s="1"/>
  <c r="CI73" s="1"/>
  <c r="CX73"/>
  <c r="CT77"/>
  <c r="CS77" s="1"/>
  <c r="CR77" s="1"/>
  <c r="CQ77" s="1"/>
  <c r="CP77" s="1"/>
  <c r="CO77" s="1"/>
  <c r="CN77" s="1"/>
  <c r="CM77" s="1"/>
  <c r="CL77" s="1"/>
  <c r="CK77" s="1"/>
  <c r="CJ77" s="1"/>
  <c r="CI77" s="1"/>
  <c r="CX77"/>
  <c r="CT81"/>
  <c r="CS81" s="1"/>
  <c r="CR81" s="1"/>
  <c r="CQ81" s="1"/>
  <c r="CP81" s="1"/>
  <c r="CO81" s="1"/>
  <c r="CN81" s="1"/>
  <c r="CM81" s="1"/>
  <c r="CL81" s="1"/>
  <c r="CK81" s="1"/>
  <c r="CJ81" s="1"/>
  <c r="CI81" s="1"/>
  <c r="CX81"/>
  <c r="CT85"/>
  <c r="CS85" s="1"/>
  <c r="CR85" s="1"/>
  <c r="CQ85" s="1"/>
  <c r="CP85" s="1"/>
  <c r="CO85" s="1"/>
  <c r="CN85" s="1"/>
  <c r="CM85" s="1"/>
  <c r="CL85" s="1"/>
  <c r="CK85" s="1"/>
  <c r="CJ85" s="1"/>
  <c r="CI85" s="1"/>
  <c r="CX85"/>
  <c r="CT89"/>
  <c r="CS89" s="1"/>
  <c r="CR89" s="1"/>
  <c r="CQ89" s="1"/>
  <c r="CP89" s="1"/>
  <c r="CO89" s="1"/>
  <c r="CN89" s="1"/>
  <c r="CM89" s="1"/>
  <c r="CL89" s="1"/>
  <c r="CK89" s="1"/>
  <c r="CJ89" s="1"/>
  <c r="CI89" s="1"/>
  <c r="CX89"/>
  <c r="CT93"/>
  <c r="CS93" s="1"/>
  <c r="CR93" s="1"/>
  <c r="CQ93" s="1"/>
  <c r="CP93" s="1"/>
  <c r="CO93" s="1"/>
  <c r="CN93" s="1"/>
  <c r="CM93" s="1"/>
  <c r="CL93" s="1"/>
  <c r="CK93" s="1"/>
  <c r="CJ93" s="1"/>
  <c r="CI93" s="1"/>
  <c r="CX93"/>
  <c r="CT97"/>
  <c r="CS97" s="1"/>
  <c r="CR97" s="1"/>
  <c r="CQ97" s="1"/>
  <c r="CP97" s="1"/>
  <c r="CO97" s="1"/>
  <c r="CN97" s="1"/>
  <c r="CM97" s="1"/>
  <c r="CL97" s="1"/>
  <c r="CK97" s="1"/>
  <c r="CJ97" s="1"/>
  <c r="CI97" s="1"/>
  <c r="CX97"/>
  <c r="CT101"/>
  <c r="CS101" s="1"/>
  <c r="CR101" s="1"/>
  <c r="CQ101" s="1"/>
  <c r="CP101" s="1"/>
  <c r="CO101" s="1"/>
  <c r="CN101" s="1"/>
  <c r="CM101" s="1"/>
  <c r="CL101" s="1"/>
  <c r="CK101" s="1"/>
  <c r="CJ101" s="1"/>
  <c r="CI101" s="1"/>
  <c r="CX101"/>
  <c r="CT105"/>
  <c r="CS105" s="1"/>
  <c r="CR105" s="1"/>
  <c r="CQ105" s="1"/>
  <c r="CP105" s="1"/>
  <c r="CO105" s="1"/>
  <c r="CN105" s="1"/>
  <c r="CM105" s="1"/>
  <c r="CL105" s="1"/>
  <c r="CK105" s="1"/>
  <c r="CJ105" s="1"/>
  <c r="CI105" s="1"/>
  <c r="CX105"/>
  <c r="CT109"/>
  <c r="CS109" s="1"/>
  <c r="CR109" s="1"/>
  <c r="CQ109" s="1"/>
  <c r="CP109" s="1"/>
  <c r="CO109" s="1"/>
  <c r="CN109" s="1"/>
  <c r="CM109" s="1"/>
  <c r="CL109" s="1"/>
  <c r="CK109" s="1"/>
  <c r="CJ109" s="1"/>
  <c r="CI109" s="1"/>
  <c r="CX109"/>
  <c r="CT113"/>
  <c r="CS113" s="1"/>
  <c r="CR113" s="1"/>
  <c r="CQ113" s="1"/>
  <c r="CP113" s="1"/>
  <c r="CO113" s="1"/>
  <c r="CN113" s="1"/>
  <c r="CM113" s="1"/>
  <c r="CL113" s="1"/>
  <c r="CK113" s="1"/>
  <c r="CJ113" s="1"/>
  <c r="CI113" s="1"/>
  <c r="CX113"/>
  <c r="CT117"/>
  <c r="CS117" s="1"/>
  <c r="CR117" s="1"/>
  <c r="CQ117" s="1"/>
  <c r="CP117" s="1"/>
  <c r="CO117" s="1"/>
  <c r="CN117" s="1"/>
  <c r="CM117" s="1"/>
  <c r="CL117" s="1"/>
  <c r="CK117" s="1"/>
  <c r="CJ117" s="1"/>
  <c r="CI117" s="1"/>
  <c r="CX117"/>
  <c r="CT121"/>
  <c r="CS121" s="1"/>
  <c r="CR121" s="1"/>
  <c r="CQ121" s="1"/>
  <c r="CP121" s="1"/>
  <c r="CO121" s="1"/>
  <c r="CN121" s="1"/>
  <c r="CM121" s="1"/>
  <c r="CL121" s="1"/>
  <c r="CK121" s="1"/>
  <c r="CJ121" s="1"/>
  <c r="CI121" s="1"/>
  <c r="CX121"/>
  <c r="CT278"/>
  <c r="CS278" s="1"/>
  <c r="CR278" s="1"/>
  <c r="CQ278" s="1"/>
  <c r="CP278" s="1"/>
  <c r="CO278" s="1"/>
  <c r="CN278" s="1"/>
  <c r="CM278" s="1"/>
  <c r="CL278" s="1"/>
  <c r="CK278" s="1"/>
  <c r="CJ278" s="1"/>
  <c r="CI278" s="1"/>
  <c r="CX278"/>
  <c r="CT282"/>
  <c r="CS282" s="1"/>
  <c r="CR282" s="1"/>
  <c r="CQ282" s="1"/>
  <c r="CP282" s="1"/>
  <c r="CO282" s="1"/>
  <c r="CN282" s="1"/>
  <c r="CM282" s="1"/>
  <c r="CL282" s="1"/>
  <c r="CK282" s="1"/>
  <c r="CJ282" s="1"/>
  <c r="CI282" s="1"/>
  <c r="CX282"/>
  <c r="CT286"/>
  <c r="CS286" s="1"/>
  <c r="CR286" s="1"/>
  <c r="CQ286" s="1"/>
  <c r="CP286" s="1"/>
  <c r="CO286" s="1"/>
  <c r="CN286" s="1"/>
  <c r="CM286" s="1"/>
  <c r="CL286" s="1"/>
  <c r="CK286" s="1"/>
  <c r="CJ286" s="1"/>
  <c r="CI286" s="1"/>
  <c r="CX286"/>
  <c r="CT290"/>
  <c r="CS290" s="1"/>
  <c r="CR290" s="1"/>
  <c r="CQ290" s="1"/>
  <c r="CP290" s="1"/>
  <c r="CO290" s="1"/>
  <c r="CN290" s="1"/>
  <c r="CM290" s="1"/>
  <c r="CL290" s="1"/>
  <c r="CK290" s="1"/>
  <c r="CJ290" s="1"/>
  <c r="CI290" s="1"/>
  <c r="CX290"/>
  <c r="CT294"/>
  <c r="CS294" s="1"/>
  <c r="CR294" s="1"/>
  <c r="CQ294" s="1"/>
  <c r="CP294" s="1"/>
  <c r="CO294" s="1"/>
  <c r="CN294" s="1"/>
  <c r="CM294" s="1"/>
  <c r="CL294" s="1"/>
  <c r="CK294" s="1"/>
  <c r="CJ294" s="1"/>
  <c r="CI294" s="1"/>
  <c r="CX294"/>
  <c r="CT298"/>
  <c r="CS298" s="1"/>
  <c r="CR298" s="1"/>
  <c r="CQ298" s="1"/>
  <c r="CP298" s="1"/>
  <c r="CO298" s="1"/>
  <c r="CN298" s="1"/>
  <c r="CM298" s="1"/>
  <c r="CL298" s="1"/>
  <c r="CK298" s="1"/>
  <c r="CJ298" s="1"/>
  <c r="CI298" s="1"/>
  <c r="CX298"/>
  <c r="CT302"/>
  <c r="CS302" s="1"/>
  <c r="CR302" s="1"/>
  <c r="CQ302" s="1"/>
  <c r="CP302" s="1"/>
  <c r="CO302" s="1"/>
  <c r="CN302" s="1"/>
  <c r="CM302" s="1"/>
  <c r="CL302" s="1"/>
  <c r="CK302" s="1"/>
  <c r="CJ302" s="1"/>
  <c r="CI302" s="1"/>
  <c r="CX302"/>
  <c r="CT306"/>
  <c r="CS306" s="1"/>
  <c r="CR306" s="1"/>
  <c r="CQ306" s="1"/>
  <c r="CP306" s="1"/>
  <c r="CO306" s="1"/>
  <c r="CN306" s="1"/>
  <c r="CM306" s="1"/>
  <c r="CL306" s="1"/>
  <c r="CK306" s="1"/>
  <c r="CJ306" s="1"/>
  <c r="CI306" s="1"/>
  <c r="CX306"/>
  <c r="CT310"/>
  <c r="CS310" s="1"/>
  <c r="CR310" s="1"/>
  <c r="CQ310" s="1"/>
  <c r="CP310" s="1"/>
  <c r="CO310" s="1"/>
  <c r="CN310" s="1"/>
  <c r="CM310" s="1"/>
  <c r="CL310" s="1"/>
  <c r="CK310" s="1"/>
  <c r="CJ310" s="1"/>
  <c r="CI310" s="1"/>
  <c r="CX310"/>
  <c r="CT314"/>
  <c r="CS314" s="1"/>
  <c r="CR314" s="1"/>
  <c r="CQ314" s="1"/>
  <c r="CP314" s="1"/>
  <c r="CO314" s="1"/>
  <c r="CN314" s="1"/>
  <c r="CM314" s="1"/>
  <c r="CL314" s="1"/>
  <c r="CK314" s="1"/>
  <c r="CJ314" s="1"/>
  <c r="CI314" s="1"/>
  <c r="CX314"/>
  <c r="CT331"/>
  <c r="CS331" s="1"/>
  <c r="CR331" s="1"/>
  <c r="CQ331" s="1"/>
  <c r="CP331" s="1"/>
  <c r="CO331" s="1"/>
  <c r="CN331" s="1"/>
  <c r="CM331" s="1"/>
  <c r="CL331" s="1"/>
  <c r="CK331" s="1"/>
  <c r="CJ331" s="1"/>
  <c r="CI331" s="1"/>
  <c r="CX331"/>
  <c r="CT335"/>
  <c r="CS335" s="1"/>
  <c r="CR335" s="1"/>
  <c r="CQ335" s="1"/>
  <c r="CP335" s="1"/>
  <c r="CO335" s="1"/>
  <c r="CN335" s="1"/>
  <c r="CM335" s="1"/>
  <c r="CL335" s="1"/>
  <c r="CK335" s="1"/>
  <c r="CJ335" s="1"/>
  <c r="CI335" s="1"/>
  <c r="CX335"/>
  <c r="CT337"/>
  <c r="CS337" s="1"/>
  <c r="CR337" s="1"/>
  <c r="CQ337" s="1"/>
  <c r="CP337" s="1"/>
  <c r="CO337" s="1"/>
  <c r="CN337" s="1"/>
  <c r="CM337" s="1"/>
  <c r="CL337" s="1"/>
  <c r="CK337" s="1"/>
  <c r="CJ337" s="1"/>
  <c r="CI337" s="1"/>
  <c r="CX337"/>
  <c r="CT339"/>
  <c r="CS339" s="1"/>
  <c r="CR339" s="1"/>
  <c r="CQ339" s="1"/>
  <c r="CP339" s="1"/>
  <c r="CO339" s="1"/>
  <c r="CN339" s="1"/>
  <c r="CM339" s="1"/>
  <c r="CL339" s="1"/>
  <c r="CK339" s="1"/>
  <c r="CJ339" s="1"/>
  <c r="CI339" s="1"/>
  <c r="CX339"/>
  <c r="CT341"/>
  <c r="CS341" s="1"/>
  <c r="CR341" s="1"/>
  <c r="CQ341" s="1"/>
  <c r="CP341" s="1"/>
  <c r="CO341" s="1"/>
  <c r="CN341" s="1"/>
  <c r="CM341" s="1"/>
  <c r="CL341" s="1"/>
  <c r="CK341" s="1"/>
  <c r="CJ341" s="1"/>
  <c r="CI341" s="1"/>
  <c r="CX341"/>
  <c r="CT343"/>
  <c r="CS343" s="1"/>
  <c r="CR343" s="1"/>
  <c r="CQ343" s="1"/>
  <c r="CP343" s="1"/>
  <c r="CO343" s="1"/>
  <c r="CN343" s="1"/>
  <c r="CM343" s="1"/>
  <c r="CL343" s="1"/>
  <c r="CK343" s="1"/>
  <c r="CJ343" s="1"/>
  <c r="CI343" s="1"/>
  <c r="CX343"/>
  <c r="CT345"/>
  <c r="CS345" s="1"/>
  <c r="CR345" s="1"/>
  <c r="CQ345" s="1"/>
  <c r="CP345" s="1"/>
  <c r="CO345" s="1"/>
  <c r="CN345" s="1"/>
  <c r="CM345" s="1"/>
  <c r="CL345" s="1"/>
  <c r="CK345" s="1"/>
  <c r="CJ345" s="1"/>
  <c r="CI345" s="1"/>
  <c r="CX345"/>
  <c r="CT347"/>
  <c r="CS347" s="1"/>
  <c r="CR347" s="1"/>
  <c r="CQ347" s="1"/>
  <c r="CP347" s="1"/>
  <c r="CO347" s="1"/>
  <c r="CN347" s="1"/>
  <c r="CM347" s="1"/>
  <c r="CL347" s="1"/>
  <c r="CK347" s="1"/>
  <c r="CJ347" s="1"/>
  <c r="CI347" s="1"/>
  <c r="CX347"/>
  <c r="CT349"/>
  <c r="CS349" s="1"/>
  <c r="CR349" s="1"/>
  <c r="CQ349" s="1"/>
  <c r="CP349" s="1"/>
  <c r="CO349" s="1"/>
  <c r="CN349" s="1"/>
  <c r="CM349" s="1"/>
  <c r="CL349" s="1"/>
  <c r="CK349" s="1"/>
  <c r="CJ349" s="1"/>
  <c r="CI349" s="1"/>
  <c r="CX349"/>
  <c r="CT351"/>
  <c r="CS351" s="1"/>
  <c r="CR351" s="1"/>
  <c r="CQ351" s="1"/>
  <c r="CP351" s="1"/>
  <c r="CO351" s="1"/>
  <c r="CN351" s="1"/>
  <c r="CM351" s="1"/>
  <c r="CL351" s="1"/>
  <c r="CK351" s="1"/>
  <c r="CJ351" s="1"/>
  <c r="CI351" s="1"/>
  <c r="CX351"/>
  <c r="CT353"/>
  <c r="CS353" s="1"/>
  <c r="CR353" s="1"/>
  <c r="CQ353" s="1"/>
  <c r="CP353" s="1"/>
  <c r="CO353" s="1"/>
  <c r="CN353" s="1"/>
  <c r="CM353" s="1"/>
  <c r="CL353" s="1"/>
  <c r="CK353" s="1"/>
  <c r="CJ353" s="1"/>
  <c r="CI353" s="1"/>
  <c r="CX353"/>
  <c r="CT355"/>
  <c r="CS355" s="1"/>
  <c r="CR355" s="1"/>
  <c r="CQ355" s="1"/>
  <c r="CP355" s="1"/>
  <c r="CO355" s="1"/>
  <c r="CN355" s="1"/>
  <c r="CM355" s="1"/>
  <c r="CL355" s="1"/>
  <c r="CK355" s="1"/>
  <c r="CJ355" s="1"/>
  <c r="CI355" s="1"/>
  <c r="CX355"/>
  <c r="CT357"/>
  <c r="CS357" s="1"/>
  <c r="CR357" s="1"/>
  <c r="CQ357" s="1"/>
  <c r="CP357" s="1"/>
  <c r="CO357" s="1"/>
  <c r="CN357" s="1"/>
  <c r="CM357" s="1"/>
  <c r="CL357" s="1"/>
  <c r="CK357" s="1"/>
  <c r="CJ357" s="1"/>
  <c r="CI357" s="1"/>
  <c r="CX357"/>
  <c r="CT359"/>
  <c r="CS359" s="1"/>
  <c r="CR359" s="1"/>
  <c r="CQ359" s="1"/>
  <c r="CP359" s="1"/>
  <c r="CO359" s="1"/>
  <c r="CN359" s="1"/>
  <c r="CM359" s="1"/>
  <c r="CL359" s="1"/>
  <c r="CK359" s="1"/>
  <c r="CJ359" s="1"/>
  <c r="CI359" s="1"/>
  <c r="CX359"/>
  <c r="CT361"/>
  <c r="CS361" s="1"/>
  <c r="CR361" s="1"/>
  <c r="CQ361" s="1"/>
  <c r="CP361" s="1"/>
  <c r="CO361" s="1"/>
  <c r="CN361" s="1"/>
  <c r="CM361" s="1"/>
  <c r="CL361" s="1"/>
  <c r="CK361" s="1"/>
  <c r="CJ361" s="1"/>
  <c r="CI361" s="1"/>
  <c r="CX361"/>
  <c r="CT363"/>
  <c r="CS363" s="1"/>
  <c r="CR363" s="1"/>
  <c r="CQ363" s="1"/>
  <c r="CP363" s="1"/>
  <c r="CO363" s="1"/>
  <c r="CN363" s="1"/>
  <c r="CM363" s="1"/>
  <c r="CL363" s="1"/>
  <c r="CK363" s="1"/>
  <c r="CJ363" s="1"/>
  <c r="CI363" s="1"/>
  <c r="CX363"/>
  <c r="CT365"/>
  <c r="CS365" s="1"/>
  <c r="CR365" s="1"/>
  <c r="CQ365" s="1"/>
  <c r="CP365" s="1"/>
  <c r="CO365" s="1"/>
  <c r="CN365" s="1"/>
  <c r="CM365" s="1"/>
  <c r="CL365" s="1"/>
  <c r="CK365" s="1"/>
  <c r="CJ365" s="1"/>
  <c r="CI365" s="1"/>
  <c r="CX365"/>
  <c r="CT367"/>
  <c r="CS367" s="1"/>
  <c r="CR367" s="1"/>
  <c r="CQ367" s="1"/>
  <c r="CP367" s="1"/>
  <c r="CO367" s="1"/>
  <c r="CN367" s="1"/>
  <c r="CM367" s="1"/>
  <c r="CL367" s="1"/>
  <c r="CK367" s="1"/>
  <c r="CJ367" s="1"/>
  <c r="CI367" s="1"/>
  <c r="CX367"/>
  <c r="CT369"/>
  <c r="CS369" s="1"/>
  <c r="CR369" s="1"/>
  <c r="CQ369" s="1"/>
  <c r="CP369" s="1"/>
  <c r="CO369" s="1"/>
  <c r="CN369" s="1"/>
  <c r="CM369" s="1"/>
  <c r="CL369" s="1"/>
  <c r="CK369" s="1"/>
  <c r="CJ369" s="1"/>
  <c r="CI369" s="1"/>
  <c r="CX369"/>
  <c r="CT371"/>
  <c r="CS371" s="1"/>
  <c r="CR371" s="1"/>
  <c r="CQ371" s="1"/>
  <c r="CP371" s="1"/>
  <c r="CO371" s="1"/>
  <c r="CN371" s="1"/>
  <c r="CM371" s="1"/>
  <c r="CL371" s="1"/>
  <c r="CK371" s="1"/>
  <c r="CJ371" s="1"/>
  <c r="CI371" s="1"/>
  <c r="CX371"/>
  <c r="CT373"/>
  <c r="CS373" s="1"/>
  <c r="CR373" s="1"/>
  <c r="CQ373" s="1"/>
  <c r="CP373" s="1"/>
  <c r="CO373" s="1"/>
  <c r="CN373" s="1"/>
  <c r="CM373" s="1"/>
  <c r="CL373" s="1"/>
  <c r="CK373" s="1"/>
  <c r="CJ373" s="1"/>
  <c r="CI373" s="1"/>
  <c r="CX373"/>
  <c r="CT375"/>
  <c r="CS375" s="1"/>
  <c r="CR375" s="1"/>
  <c r="CQ375" s="1"/>
  <c r="CP375" s="1"/>
  <c r="CO375" s="1"/>
  <c r="CN375" s="1"/>
  <c r="CM375" s="1"/>
  <c r="CL375" s="1"/>
  <c r="CK375" s="1"/>
  <c r="CJ375" s="1"/>
  <c r="CI375" s="1"/>
  <c r="CX375"/>
  <c r="CT377"/>
  <c r="CS377" s="1"/>
  <c r="CR377" s="1"/>
  <c r="CQ377" s="1"/>
  <c r="CP377" s="1"/>
  <c r="CO377" s="1"/>
  <c r="CN377" s="1"/>
  <c r="CM377" s="1"/>
  <c r="CL377" s="1"/>
  <c r="CK377" s="1"/>
  <c r="CJ377" s="1"/>
  <c r="CI377" s="1"/>
  <c r="CX377"/>
  <c r="CT379"/>
  <c r="CS379" s="1"/>
  <c r="CR379" s="1"/>
  <c r="CQ379" s="1"/>
  <c r="CP379" s="1"/>
  <c r="CO379" s="1"/>
  <c r="CN379" s="1"/>
  <c r="CM379" s="1"/>
  <c r="CL379" s="1"/>
  <c r="CK379" s="1"/>
  <c r="CJ379" s="1"/>
  <c r="CI379" s="1"/>
  <c r="CX379"/>
  <c r="CT433"/>
  <c r="CS433" s="1"/>
  <c r="CR433" s="1"/>
  <c r="CQ433" s="1"/>
  <c r="CP433" s="1"/>
  <c r="CO433" s="1"/>
  <c r="CN433" s="1"/>
  <c r="CM433" s="1"/>
  <c r="CL433" s="1"/>
  <c r="CK433" s="1"/>
  <c r="CJ433" s="1"/>
  <c r="CI433" s="1"/>
  <c r="CX433"/>
  <c r="CT437"/>
  <c r="CS437" s="1"/>
  <c r="CR437" s="1"/>
  <c r="CQ437" s="1"/>
  <c r="CP437" s="1"/>
  <c r="CO437" s="1"/>
  <c r="CN437" s="1"/>
  <c r="CM437" s="1"/>
  <c r="CL437" s="1"/>
  <c r="CK437" s="1"/>
  <c r="CJ437" s="1"/>
  <c r="CI437" s="1"/>
  <c r="CX437"/>
  <c r="CT441"/>
  <c r="CS441" s="1"/>
  <c r="CR441" s="1"/>
  <c r="CQ441" s="1"/>
  <c r="CP441" s="1"/>
  <c r="CO441" s="1"/>
  <c r="CN441" s="1"/>
  <c r="CM441" s="1"/>
  <c r="CL441" s="1"/>
  <c r="CK441" s="1"/>
  <c r="CJ441" s="1"/>
  <c r="CI441" s="1"/>
  <c r="CX441"/>
  <c r="CT445"/>
  <c r="CS445" s="1"/>
  <c r="CR445" s="1"/>
  <c r="CQ445" s="1"/>
  <c r="CP445" s="1"/>
  <c r="CO445" s="1"/>
  <c r="CN445" s="1"/>
  <c r="CM445" s="1"/>
  <c r="CL445" s="1"/>
  <c r="CK445" s="1"/>
  <c r="CJ445" s="1"/>
  <c r="CI445" s="1"/>
  <c r="CX445"/>
  <c r="CT449"/>
  <c r="CS449" s="1"/>
  <c r="CR449" s="1"/>
  <c r="CQ449" s="1"/>
  <c r="CP449" s="1"/>
  <c r="CO449" s="1"/>
  <c r="CN449" s="1"/>
  <c r="CM449" s="1"/>
  <c r="CL449" s="1"/>
  <c r="CK449" s="1"/>
  <c r="CJ449" s="1"/>
  <c r="CI449" s="1"/>
  <c r="CX449"/>
  <c r="CT453"/>
  <c r="CS453" s="1"/>
  <c r="CR453" s="1"/>
  <c r="CQ453" s="1"/>
  <c r="CP453" s="1"/>
  <c r="CO453" s="1"/>
  <c r="CN453" s="1"/>
  <c r="CM453" s="1"/>
  <c r="CL453" s="1"/>
  <c r="CK453" s="1"/>
  <c r="CJ453" s="1"/>
  <c r="CI453" s="1"/>
  <c r="CX453"/>
  <c r="CT457"/>
  <c r="CS457" s="1"/>
  <c r="CR457" s="1"/>
  <c r="CQ457" s="1"/>
  <c r="CP457" s="1"/>
  <c r="CO457" s="1"/>
  <c r="CN457" s="1"/>
  <c r="CM457" s="1"/>
  <c r="CL457" s="1"/>
  <c r="CK457" s="1"/>
  <c r="CJ457" s="1"/>
  <c r="CI457" s="1"/>
  <c r="CX457"/>
  <c r="CT461"/>
  <c r="CS461" s="1"/>
  <c r="CR461" s="1"/>
  <c r="CQ461" s="1"/>
  <c r="CP461" s="1"/>
  <c r="CO461" s="1"/>
  <c r="CN461" s="1"/>
  <c r="CM461" s="1"/>
  <c r="CL461" s="1"/>
  <c r="CK461" s="1"/>
  <c r="CJ461" s="1"/>
  <c r="CI461" s="1"/>
  <c r="CX461"/>
  <c r="CT465"/>
  <c r="CS465" s="1"/>
  <c r="CR465" s="1"/>
  <c r="CQ465" s="1"/>
  <c r="CP465" s="1"/>
  <c r="CO465" s="1"/>
  <c r="CN465" s="1"/>
  <c r="CM465" s="1"/>
  <c r="CL465" s="1"/>
  <c r="CK465" s="1"/>
  <c r="CJ465" s="1"/>
  <c r="CI465" s="1"/>
  <c r="CX465"/>
  <c r="CT469"/>
  <c r="CS469" s="1"/>
  <c r="CR469" s="1"/>
  <c r="CQ469" s="1"/>
  <c r="CP469" s="1"/>
  <c r="CO469" s="1"/>
  <c r="CN469" s="1"/>
  <c r="CM469" s="1"/>
  <c r="CL469" s="1"/>
  <c r="CK469" s="1"/>
  <c r="CJ469" s="1"/>
  <c r="CI469" s="1"/>
  <c r="CX469"/>
  <c r="CT473"/>
  <c r="CS473" s="1"/>
  <c r="CR473" s="1"/>
  <c r="CQ473" s="1"/>
  <c r="CP473" s="1"/>
  <c r="CO473" s="1"/>
  <c r="CN473" s="1"/>
  <c r="CM473" s="1"/>
  <c r="CL473" s="1"/>
  <c r="CK473" s="1"/>
  <c r="CJ473" s="1"/>
  <c r="CI473" s="1"/>
  <c r="CX473"/>
  <c r="CT477"/>
  <c r="CS477" s="1"/>
  <c r="CR477" s="1"/>
  <c r="CQ477" s="1"/>
  <c r="CP477" s="1"/>
  <c r="CO477" s="1"/>
  <c r="CN477" s="1"/>
  <c r="CM477" s="1"/>
  <c r="CL477" s="1"/>
  <c r="CK477" s="1"/>
  <c r="CJ477" s="1"/>
  <c r="CI477" s="1"/>
  <c r="CX477"/>
  <c r="CT481"/>
  <c r="CS481" s="1"/>
  <c r="CR481" s="1"/>
  <c r="CQ481" s="1"/>
  <c r="CP481" s="1"/>
  <c r="CO481" s="1"/>
  <c r="CN481" s="1"/>
  <c r="CM481" s="1"/>
  <c r="CL481" s="1"/>
  <c r="CK481" s="1"/>
  <c r="CJ481" s="1"/>
  <c r="CI481" s="1"/>
  <c r="CX481"/>
  <c r="CT485"/>
  <c r="CS485" s="1"/>
  <c r="CR485" s="1"/>
  <c r="CQ485" s="1"/>
  <c r="CP485" s="1"/>
  <c r="CO485" s="1"/>
  <c r="CN485" s="1"/>
  <c r="CM485" s="1"/>
  <c r="CL485" s="1"/>
  <c r="CK485" s="1"/>
  <c r="CJ485" s="1"/>
  <c r="CI485" s="1"/>
  <c r="CX485"/>
  <c r="CT489"/>
  <c r="CS489" s="1"/>
  <c r="CR489" s="1"/>
  <c r="CQ489" s="1"/>
  <c r="CP489" s="1"/>
  <c r="CO489" s="1"/>
  <c r="CN489" s="1"/>
  <c r="CM489" s="1"/>
  <c r="CL489" s="1"/>
  <c r="CK489" s="1"/>
  <c r="CJ489" s="1"/>
  <c r="CI489" s="1"/>
  <c r="CX489"/>
  <c r="CT493"/>
  <c r="CS493" s="1"/>
  <c r="CR493" s="1"/>
  <c r="CQ493" s="1"/>
  <c r="CP493" s="1"/>
  <c r="CO493" s="1"/>
  <c r="CN493" s="1"/>
  <c r="CM493" s="1"/>
  <c r="CL493" s="1"/>
  <c r="CK493" s="1"/>
  <c r="CJ493" s="1"/>
  <c r="CI493" s="1"/>
  <c r="CX493"/>
  <c r="CT497"/>
  <c r="CS497" s="1"/>
  <c r="CR497" s="1"/>
  <c r="CQ497" s="1"/>
  <c r="CP497" s="1"/>
  <c r="CO497" s="1"/>
  <c r="CN497" s="1"/>
  <c r="CM497" s="1"/>
  <c r="CL497" s="1"/>
  <c r="CK497" s="1"/>
  <c r="CJ497" s="1"/>
  <c r="CI497" s="1"/>
  <c r="CX497"/>
  <c r="CT501"/>
  <c r="CS501" s="1"/>
  <c r="CR501" s="1"/>
  <c r="CQ501" s="1"/>
  <c r="CP501" s="1"/>
  <c r="CO501" s="1"/>
  <c r="CN501" s="1"/>
  <c r="CM501" s="1"/>
  <c r="CL501" s="1"/>
  <c r="CK501" s="1"/>
  <c r="CJ501" s="1"/>
  <c r="CI501" s="1"/>
  <c r="CX501"/>
  <c r="CT505"/>
  <c r="CS505" s="1"/>
  <c r="CR505" s="1"/>
  <c r="CQ505" s="1"/>
  <c r="CP505" s="1"/>
  <c r="CO505" s="1"/>
  <c r="CN505" s="1"/>
  <c r="CM505" s="1"/>
  <c r="CL505" s="1"/>
  <c r="CK505" s="1"/>
  <c r="CJ505" s="1"/>
  <c r="CI505" s="1"/>
  <c r="CX505"/>
  <c r="CT509"/>
  <c r="CS509" s="1"/>
  <c r="CR509" s="1"/>
  <c r="CQ509" s="1"/>
  <c r="CP509" s="1"/>
  <c r="CO509" s="1"/>
  <c r="CN509" s="1"/>
  <c r="CM509" s="1"/>
  <c r="CL509" s="1"/>
  <c r="CK509" s="1"/>
  <c r="CJ509" s="1"/>
  <c r="CI509" s="1"/>
  <c r="CX509"/>
  <c r="CT513"/>
  <c r="CS513" s="1"/>
  <c r="CR513" s="1"/>
  <c r="CQ513" s="1"/>
  <c r="CP513" s="1"/>
  <c r="CO513" s="1"/>
  <c r="CN513" s="1"/>
  <c r="CM513" s="1"/>
  <c r="CL513" s="1"/>
  <c r="CK513" s="1"/>
  <c r="CJ513" s="1"/>
  <c r="CI513" s="1"/>
  <c r="CX513"/>
  <c r="CT517"/>
  <c r="CS517" s="1"/>
  <c r="CR517" s="1"/>
  <c r="CQ517" s="1"/>
  <c r="CP517" s="1"/>
  <c r="CO517" s="1"/>
  <c r="CN517" s="1"/>
  <c r="CM517" s="1"/>
  <c r="CL517" s="1"/>
  <c r="CK517" s="1"/>
  <c r="CJ517" s="1"/>
  <c r="CI517" s="1"/>
  <c r="CX517"/>
  <c r="CT521"/>
  <c r="CS521" s="1"/>
  <c r="CR521" s="1"/>
  <c r="CQ521" s="1"/>
  <c r="CP521" s="1"/>
  <c r="CO521" s="1"/>
  <c r="CN521" s="1"/>
  <c r="CM521" s="1"/>
  <c r="CL521" s="1"/>
  <c r="CK521" s="1"/>
  <c r="CJ521" s="1"/>
  <c r="CI521" s="1"/>
  <c r="CX521"/>
  <c r="CT525"/>
  <c r="CS525" s="1"/>
  <c r="CR525" s="1"/>
  <c r="CQ525" s="1"/>
  <c r="CP525" s="1"/>
  <c r="CO525" s="1"/>
  <c r="CN525" s="1"/>
  <c r="CM525" s="1"/>
  <c r="CL525" s="1"/>
  <c r="CK525" s="1"/>
  <c r="CJ525" s="1"/>
  <c r="CI525" s="1"/>
  <c r="CX525"/>
  <c r="CT529"/>
  <c r="CS529" s="1"/>
  <c r="CR529" s="1"/>
  <c r="CQ529" s="1"/>
  <c r="CP529" s="1"/>
  <c r="CO529" s="1"/>
  <c r="CN529" s="1"/>
  <c r="CM529" s="1"/>
  <c r="CL529" s="1"/>
  <c r="CK529" s="1"/>
  <c r="CJ529" s="1"/>
  <c r="CI529" s="1"/>
  <c r="CX529"/>
  <c r="CT533"/>
  <c r="CS533" s="1"/>
  <c r="CR533" s="1"/>
  <c r="CQ533" s="1"/>
  <c r="CP533" s="1"/>
  <c r="CO533" s="1"/>
  <c r="CN533" s="1"/>
  <c r="CM533" s="1"/>
  <c r="CL533" s="1"/>
  <c r="CK533" s="1"/>
  <c r="CJ533" s="1"/>
  <c r="CI533" s="1"/>
  <c r="CX533"/>
  <c r="CT537"/>
  <c r="CS537" s="1"/>
  <c r="CR537" s="1"/>
  <c r="CQ537" s="1"/>
  <c r="CP537" s="1"/>
  <c r="CO537" s="1"/>
  <c r="CN537" s="1"/>
  <c r="CM537" s="1"/>
  <c r="CL537" s="1"/>
  <c r="CK537" s="1"/>
  <c r="CJ537" s="1"/>
  <c r="CI537" s="1"/>
  <c r="CX537"/>
  <c r="CT541"/>
  <c r="CS541" s="1"/>
  <c r="CR541" s="1"/>
  <c r="CQ541" s="1"/>
  <c r="CP541" s="1"/>
  <c r="CO541" s="1"/>
  <c r="CN541" s="1"/>
  <c r="CM541" s="1"/>
  <c r="CL541" s="1"/>
  <c r="CK541" s="1"/>
  <c r="CJ541" s="1"/>
  <c r="CI541" s="1"/>
  <c r="CX541"/>
  <c r="CT544"/>
  <c r="CS544" s="1"/>
  <c r="CR544" s="1"/>
  <c r="CQ544" s="1"/>
  <c r="CP544" s="1"/>
  <c r="CO544" s="1"/>
  <c r="CN544" s="1"/>
  <c r="CM544" s="1"/>
  <c r="CL544" s="1"/>
  <c r="CK544" s="1"/>
  <c r="CJ544" s="1"/>
  <c r="CI544" s="1"/>
  <c r="CX544"/>
  <c r="CT566"/>
  <c r="CS566" s="1"/>
  <c r="CR566" s="1"/>
  <c r="CQ566" s="1"/>
  <c r="CP566" s="1"/>
  <c r="CO566" s="1"/>
  <c r="CN566" s="1"/>
  <c r="CM566" s="1"/>
  <c r="CL566" s="1"/>
  <c r="CK566" s="1"/>
  <c r="CJ566" s="1"/>
  <c r="CI566" s="1"/>
  <c r="CX566"/>
  <c r="CT591"/>
  <c r="CS591" s="1"/>
  <c r="CR591" s="1"/>
  <c r="CQ591" s="1"/>
  <c r="CP591" s="1"/>
  <c r="CO591" s="1"/>
  <c r="CN591" s="1"/>
  <c r="CM591" s="1"/>
  <c r="CL591" s="1"/>
  <c r="CK591" s="1"/>
  <c r="CJ591" s="1"/>
  <c r="CI591" s="1"/>
  <c r="CX591"/>
  <c r="CT587"/>
  <c r="CS587" s="1"/>
  <c r="CR587" s="1"/>
  <c r="CQ587" s="1"/>
  <c r="CP587" s="1"/>
  <c r="CO587" s="1"/>
  <c r="CN587" s="1"/>
  <c r="CM587" s="1"/>
  <c r="CL587" s="1"/>
  <c r="CK587" s="1"/>
  <c r="CJ587" s="1"/>
  <c r="CI587" s="1"/>
  <c r="CX587"/>
  <c r="CT744"/>
  <c r="CS744" s="1"/>
  <c r="CR744" s="1"/>
  <c r="CQ744" s="1"/>
  <c r="CP744" s="1"/>
  <c r="CO744" s="1"/>
  <c r="CN744" s="1"/>
  <c r="CM744" s="1"/>
  <c r="CL744" s="1"/>
  <c r="CK744" s="1"/>
  <c r="CJ744" s="1"/>
  <c r="CI744" s="1"/>
  <c r="CX744"/>
  <c r="CT597"/>
  <c r="CS597" s="1"/>
  <c r="CR597" s="1"/>
  <c r="CQ597" s="1"/>
  <c r="CP597" s="1"/>
  <c r="CO597" s="1"/>
  <c r="CN597" s="1"/>
  <c r="CM597" s="1"/>
  <c r="CL597" s="1"/>
  <c r="CK597" s="1"/>
  <c r="CJ597" s="1"/>
  <c r="CI597" s="1"/>
  <c r="CX597"/>
  <c r="CT601"/>
  <c r="CS601" s="1"/>
  <c r="CR601" s="1"/>
  <c r="CQ601" s="1"/>
  <c r="CP601" s="1"/>
  <c r="CO601" s="1"/>
  <c r="CN601" s="1"/>
  <c r="CM601" s="1"/>
  <c r="CL601" s="1"/>
  <c r="CK601" s="1"/>
  <c r="CJ601" s="1"/>
  <c r="CI601" s="1"/>
  <c r="CX601"/>
  <c r="CT605"/>
  <c r="CS605" s="1"/>
  <c r="CR605" s="1"/>
  <c r="CQ605" s="1"/>
  <c r="CP605" s="1"/>
  <c r="CO605" s="1"/>
  <c r="CN605" s="1"/>
  <c r="CM605" s="1"/>
  <c r="CL605" s="1"/>
  <c r="CK605" s="1"/>
  <c r="CJ605" s="1"/>
  <c r="CI605" s="1"/>
  <c r="CX605"/>
  <c r="CT609"/>
  <c r="CS609" s="1"/>
  <c r="CR609" s="1"/>
  <c r="CQ609" s="1"/>
  <c r="CP609" s="1"/>
  <c r="CO609" s="1"/>
  <c r="CN609" s="1"/>
  <c r="CM609" s="1"/>
  <c r="CL609" s="1"/>
  <c r="CK609" s="1"/>
  <c r="CJ609" s="1"/>
  <c r="CI609" s="1"/>
  <c r="CX609"/>
  <c r="CT613"/>
  <c r="CS613" s="1"/>
  <c r="CR613" s="1"/>
  <c r="CQ613" s="1"/>
  <c r="CP613" s="1"/>
  <c r="CO613" s="1"/>
  <c r="CN613" s="1"/>
  <c r="CM613" s="1"/>
  <c r="CL613" s="1"/>
  <c r="CK613" s="1"/>
  <c r="CJ613" s="1"/>
  <c r="CI613" s="1"/>
  <c r="CX613"/>
  <c r="CT617"/>
  <c r="CS617" s="1"/>
  <c r="CR617" s="1"/>
  <c r="CQ617" s="1"/>
  <c r="CP617" s="1"/>
  <c r="CO617" s="1"/>
  <c r="CN617" s="1"/>
  <c r="CM617" s="1"/>
  <c r="CL617" s="1"/>
  <c r="CK617" s="1"/>
  <c r="CJ617" s="1"/>
  <c r="CI617" s="1"/>
  <c r="CX617"/>
  <c r="CT621"/>
  <c r="CS621" s="1"/>
  <c r="CR621" s="1"/>
  <c r="CQ621" s="1"/>
  <c r="CP621" s="1"/>
  <c r="CO621" s="1"/>
  <c r="CN621" s="1"/>
  <c r="CM621" s="1"/>
  <c r="CL621" s="1"/>
  <c r="CK621" s="1"/>
  <c r="CJ621" s="1"/>
  <c r="CI621" s="1"/>
  <c r="CX621"/>
  <c r="CT625"/>
  <c r="CS625" s="1"/>
  <c r="CR625" s="1"/>
  <c r="CQ625" s="1"/>
  <c r="CP625" s="1"/>
  <c r="CO625" s="1"/>
  <c r="CN625" s="1"/>
  <c r="CM625" s="1"/>
  <c r="CL625" s="1"/>
  <c r="CK625" s="1"/>
  <c r="CJ625" s="1"/>
  <c r="CI625" s="1"/>
  <c r="CX625"/>
  <c r="CT629"/>
  <c r="CS629" s="1"/>
  <c r="CR629" s="1"/>
  <c r="CQ629" s="1"/>
  <c r="CP629" s="1"/>
  <c r="CO629" s="1"/>
  <c r="CN629" s="1"/>
  <c r="CM629" s="1"/>
  <c r="CL629" s="1"/>
  <c r="CK629" s="1"/>
  <c r="CJ629" s="1"/>
  <c r="CI629" s="1"/>
  <c r="CX629"/>
  <c r="CT633"/>
  <c r="CS633" s="1"/>
  <c r="CR633" s="1"/>
  <c r="CQ633" s="1"/>
  <c r="CP633" s="1"/>
  <c r="CO633" s="1"/>
  <c r="CN633" s="1"/>
  <c r="CM633" s="1"/>
  <c r="CL633" s="1"/>
  <c r="CK633" s="1"/>
  <c r="CJ633" s="1"/>
  <c r="CI633" s="1"/>
  <c r="CX633"/>
  <c r="CT637"/>
  <c r="CS637" s="1"/>
  <c r="CR637" s="1"/>
  <c r="CQ637" s="1"/>
  <c r="CP637" s="1"/>
  <c r="CO637" s="1"/>
  <c r="CN637" s="1"/>
  <c r="CM637" s="1"/>
  <c r="CL637" s="1"/>
  <c r="CK637" s="1"/>
  <c r="CJ637" s="1"/>
  <c r="CI637" s="1"/>
  <c r="CX637"/>
  <c r="CT641"/>
  <c r="CS641" s="1"/>
  <c r="CR641" s="1"/>
  <c r="CQ641" s="1"/>
  <c r="CP641" s="1"/>
  <c r="CO641" s="1"/>
  <c r="CN641" s="1"/>
  <c r="CM641" s="1"/>
  <c r="CL641" s="1"/>
  <c r="CK641" s="1"/>
  <c r="CJ641" s="1"/>
  <c r="CI641" s="1"/>
  <c r="CX641"/>
  <c r="CT645"/>
  <c r="CS645" s="1"/>
  <c r="CR645" s="1"/>
  <c r="CQ645" s="1"/>
  <c r="CP645" s="1"/>
  <c r="CO645" s="1"/>
  <c r="CN645" s="1"/>
  <c r="CM645" s="1"/>
  <c r="CL645" s="1"/>
  <c r="CK645" s="1"/>
  <c r="CJ645" s="1"/>
  <c r="CI645" s="1"/>
  <c r="CX645"/>
  <c r="CT649"/>
  <c r="CS649" s="1"/>
  <c r="CR649" s="1"/>
  <c r="CQ649" s="1"/>
  <c r="CP649" s="1"/>
  <c r="CO649" s="1"/>
  <c r="CN649" s="1"/>
  <c r="CM649" s="1"/>
  <c r="CL649" s="1"/>
  <c r="CK649" s="1"/>
  <c r="CJ649" s="1"/>
  <c r="CI649" s="1"/>
  <c r="CX649"/>
  <c r="CT653"/>
  <c r="CS653" s="1"/>
  <c r="CR653" s="1"/>
  <c r="CQ653" s="1"/>
  <c r="CP653" s="1"/>
  <c r="CO653" s="1"/>
  <c r="CN653" s="1"/>
  <c r="CM653" s="1"/>
  <c r="CL653" s="1"/>
  <c r="CK653" s="1"/>
  <c r="CJ653" s="1"/>
  <c r="CI653" s="1"/>
  <c r="CX653"/>
  <c r="CT657"/>
  <c r="CS657" s="1"/>
  <c r="CR657" s="1"/>
  <c r="CQ657" s="1"/>
  <c r="CP657" s="1"/>
  <c r="CO657" s="1"/>
  <c r="CN657" s="1"/>
  <c r="CM657" s="1"/>
  <c r="CL657" s="1"/>
  <c r="CK657" s="1"/>
  <c r="CJ657" s="1"/>
  <c r="CI657" s="1"/>
  <c r="CX657"/>
  <c r="CT661"/>
  <c r="CS661" s="1"/>
  <c r="CR661" s="1"/>
  <c r="CQ661" s="1"/>
  <c r="CP661" s="1"/>
  <c r="CO661" s="1"/>
  <c r="CN661" s="1"/>
  <c r="CM661" s="1"/>
  <c r="CL661" s="1"/>
  <c r="CK661" s="1"/>
  <c r="CJ661" s="1"/>
  <c r="CI661" s="1"/>
  <c r="CX661"/>
  <c r="CT665"/>
  <c r="CS665" s="1"/>
  <c r="CR665" s="1"/>
  <c r="CQ665" s="1"/>
  <c r="CP665" s="1"/>
  <c r="CO665" s="1"/>
  <c r="CN665" s="1"/>
  <c r="CM665" s="1"/>
  <c r="CL665" s="1"/>
  <c r="CK665" s="1"/>
  <c r="CJ665" s="1"/>
  <c r="CI665" s="1"/>
  <c r="CX665"/>
  <c r="CT669"/>
  <c r="CS669" s="1"/>
  <c r="CR669" s="1"/>
  <c r="CQ669" s="1"/>
  <c r="CP669" s="1"/>
  <c r="CO669" s="1"/>
  <c r="CN669" s="1"/>
  <c r="CM669" s="1"/>
  <c r="CL669" s="1"/>
  <c r="CK669" s="1"/>
  <c r="CJ669" s="1"/>
  <c r="CI669" s="1"/>
  <c r="CX669"/>
  <c r="CT673"/>
  <c r="CS673" s="1"/>
  <c r="CR673" s="1"/>
  <c r="CQ673" s="1"/>
  <c r="CP673" s="1"/>
  <c r="CO673" s="1"/>
  <c r="CN673" s="1"/>
  <c r="CM673" s="1"/>
  <c r="CL673" s="1"/>
  <c r="CK673" s="1"/>
  <c r="CJ673" s="1"/>
  <c r="CI673" s="1"/>
  <c r="CX673"/>
  <c r="CT677"/>
  <c r="CS677" s="1"/>
  <c r="CR677" s="1"/>
  <c r="CQ677" s="1"/>
  <c r="CP677" s="1"/>
  <c r="CO677" s="1"/>
  <c r="CN677" s="1"/>
  <c r="CM677" s="1"/>
  <c r="CL677" s="1"/>
  <c r="CK677" s="1"/>
  <c r="CJ677" s="1"/>
  <c r="CI677" s="1"/>
  <c r="CX677"/>
  <c r="CT681"/>
  <c r="CS681" s="1"/>
  <c r="CR681" s="1"/>
  <c r="CQ681" s="1"/>
  <c r="CP681" s="1"/>
  <c r="CO681" s="1"/>
  <c r="CN681" s="1"/>
  <c r="CM681" s="1"/>
  <c r="CL681" s="1"/>
  <c r="CK681" s="1"/>
  <c r="CJ681" s="1"/>
  <c r="CI681" s="1"/>
  <c r="CX681"/>
  <c r="CT685"/>
  <c r="CS685" s="1"/>
  <c r="CR685" s="1"/>
  <c r="CQ685" s="1"/>
  <c r="CP685" s="1"/>
  <c r="CO685" s="1"/>
  <c r="CN685" s="1"/>
  <c r="CM685" s="1"/>
  <c r="CL685" s="1"/>
  <c r="CK685" s="1"/>
  <c r="CJ685" s="1"/>
  <c r="CI685" s="1"/>
  <c r="CX685"/>
  <c r="CT689"/>
  <c r="CS689" s="1"/>
  <c r="CR689" s="1"/>
  <c r="CQ689" s="1"/>
  <c r="CP689" s="1"/>
  <c r="CO689" s="1"/>
  <c r="CN689" s="1"/>
  <c r="CM689" s="1"/>
  <c r="CL689" s="1"/>
  <c r="CK689" s="1"/>
  <c r="CJ689" s="1"/>
  <c r="CI689" s="1"/>
  <c r="CX689"/>
  <c r="CT693"/>
  <c r="CS693" s="1"/>
  <c r="CR693" s="1"/>
  <c r="CQ693" s="1"/>
  <c r="CP693" s="1"/>
  <c r="CO693" s="1"/>
  <c r="CN693" s="1"/>
  <c r="CM693" s="1"/>
  <c r="CL693" s="1"/>
  <c r="CK693" s="1"/>
  <c r="CJ693" s="1"/>
  <c r="CI693" s="1"/>
  <c r="CX693"/>
  <c r="CT697"/>
  <c r="CS697" s="1"/>
  <c r="CR697" s="1"/>
  <c r="CQ697" s="1"/>
  <c r="CP697" s="1"/>
  <c r="CO697" s="1"/>
  <c r="CN697" s="1"/>
  <c r="CM697" s="1"/>
  <c r="CL697" s="1"/>
  <c r="CK697" s="1"/>
  <c r="CJ697" s="1"/>
  <c r="CI697" s="1"/>
  <c r="CX697"/>
  <c r="CT701"/>
  <c r="CS701" s="1"/>
  <c r="CR701" s="1"/>
  <c r="CQ701" s="1"/>
  <c r="CP701" s="1"/>
  <c r="CO701" s="1"/>
  <c r="CN701" s="1"/>
  <c r="CM701" s="1"/>
  <c r="CL701" s="1"/>
  <c r="CK701" s="1"/>
  <c r="CJ701" s="1"/>
  <c r="CI701" s="1"/>
  <c r="CX701"/>
  <c r="CT705"/>
  <c r="CS705" s="1"/>
  <c r="CR705" s="1"/>
  <c r="CQ705" s="1"/>
  <c r="CP705" s="1"/>
  <c r="CO705" s="1"/>
  <c r="CN705" s="1"/>
  <c r="CM705" s="1"/>
  <c r="CL705" s="1"/>
  <c r="CK705" s="1"/>
  <c r="CJ705" s="1"/>
  <c r="CI705" s="1"/>
  <c r="CX705"/>
  <c r="CT709"/>
  <c r="CS709" s="1"/>
  <c r="CR709" s="1"/>
  <c r="CQ709" s="1"/>
  <c r="CP709" s="1"/>
  <c r="CO709" s="1"/>
  <c r="CN709" s="1"/>
  <c r="CM709" s="1"/>
  <c r="CL709" s="1"/>
  <c r="CK709" s="1"/>
  <c r="CJ709" s="1"/>
  <c r="CI709" s="1"/>
  <c r="CX709"/>
  <c r="CT726"/>
  <c r="CS726" s="1"/>
  <c r="CR726" s="1"/>
  <c r="CQ726" s="1"/>
  <c r="CP726" s="1"/>
  <c r="CO726" s="1"/>
  <c r="CN726" s="1"/>
  <c r="CM726" s="1"/>
  <c r="CL726" s="1"/>
  <c r="CK726" s="1"/>
  <c r="CJ726" s="1"/>
  <c r="CI726" s="1"/>
  <c r="CX726"/>
  <c r="CT741"/>
  <c r="CS741" s="1"/>
  <c r="CR741" s="1"/>
  <c r="CQ741" s="1"/>
  <c r="CP741" s="1"/>
  <c r="CO741" s="1"/>
  <c r="CN741" s="1"/>
  <c r="CM741" s="1"/>
  <c r="CL741" s="1"/>
  <c r="CK741" s="1"/>
  <c r="CJ741" s="1"/>
  <c r="CI741" s="1"/>
  <c r="CX741"/>
  <c r="CT821"/>
  <c r="CS821" s="1"/>
  <c r="CR821" s="1"/>
  <c r="CQ821" s="1"/>
  <c r="CP821" s="1"/>
  <c r="CO821" s="1"/>
  <c r="CN821" s="1"/>
  <c r="CM821" s="1"/>
  <c r="CL821" s="1"/>
  <c r="CK821" s="1"/>
  <c r="CJ821" s="1"/>
  <c r="CI821" s="1"/>
  <c r="CX821"/>
  <c r="CT898"/>
  <c r="CS898" s="1"/>
  <c r="CR898" s="1"/>
  <c r="CQ898" s="1"/>
  <c r="CP898" s="1"/>
  <c r="CO898" s="1"/>
  <c r="CN898" s="1"/>
  <c r="CM898" s="1"/>
  <c r="CL898" s="1"/>
  <c r="CK898" s="1"/>
  <c r="CJ898" s="1"/>
  <c r="CI898" s="1"/>
  <c r="CX898"/>
  <c r="CT902"/>
  <c r="CS902" s="1"/>
  <c r="CR902" s="1"/>
  <c r="CQ902" s="1"/>
  <c r="CP902" s="1"/>
  <c r="CO902" s="1"/>
  <c r="CN902" s="1"/>
  <c r="CM902" s="1"/>
  <c r="CL902" s="1"/>
  <c r="CK902" s="1"/>
  <c r="CJ902" s="1"/>
  <c r="CI902" s="1"/>
  <c r="CX902"/>
  <c r="CT906"/>
  <c r="CS906" s="1"/>
  <c r="CR906" s="1"/>
  <c r="CQ906" s="1"/>
  <c r="CP906" s="1"/>
  <c r="CO906" s="1"/>
  <c r="CN906" s="1"/>
  <c r="CM906" s="1"/>
  <c r="CL906" s="1"/>
  <c r="CK906" s="1"/>
  <c r="CJ906" s="1"/>
  <c r="CI906" s="1"/>
  <c r="CX906"/>
  <c r="CT910"/>
  <c r="CS910" s="1"/>
  <c r="CR910" s="1"/>
  <c r="CQ910" s="1"/>
  <c r="CP910" s="1"/>
  <c r="CO910" s="1"/>
  <c r="CN910" s="1"/>
  <c r="CM910" s="1"/>
  <c r="CL910" s="1"/>
  <c r="CK910" s="1"/>
  <c r="CJ910" s="1"/>
  <c r="CI910" s="1"/>
  <c r="CX910"/>
  <c r="CT914"/>
  <c r="CS914" s="1"/>
  <c r="CR914" s="1"/>
  <c r="CQ914" s="1"/>
  <c r="CP914" s="1"/>
  <c r="CO914" s="1"/>
  <c r="CN914" s="1"/>
  <c r="CM914" s="1"/>
  <c r="CL914" s="1"/>
  <c r="CK914" s="1"/>
  <c r="CJ914" s="1"/>
  <c r="CI914" s="1"/>
  <c r="CX914"/>
  <c r="CT932"/>
  <c r="CS932" s="1"/>
  <c r="CR932" s="1"/>
  <c r="CQ932" s="1"/>
  <c r="CP932" s="1"/>
  <c r="CO932" s="1"/>
  <c r="CN932" s="1"/>
  <c r="CM932" s="1"/>
  <c r="CL932" s="1"/>
  <c r="CK932" s="1"/>
  <c r="CJ932" s="1"/>
  <c r="CI932" s="1"/>
  <c r="CX932"/>
  <c r="CT934"/>
  <c r="CS934" s="1"/>
  <c r="CR934" s="1"/>
  <c r="CQ934" s="1"/>
  <c r="CP934" s="1"/>
  <c r="CO934" s="1"/>
  <c r="CN934" s="1"/>
  <c r="CM934" s="1"/>
  <c r="CL934" s="1"/>
  <c r="CK934" s="1"/>
  <c r="CJ934" s="1"/>
  <c r="CI934" s="1"/>
  <c r="CX934"/>
  <c r="CT957"/>
  <c r="CS957" s="1"/>
  <c r="CR957" s="1"/>
  <c r="CQ957" s="1"/>
  <c r="CP957" s="1"/>
  <c r="CO957" s="1"/>
  <c r="CN957" s="1"/>
  <c r="CM957" s="1"/>
  <c r="CL957" s="1"/>
  <c r="CK957" s="1"/>
  <c r="CJ957" s="1"/>
  <c r="CI957" s="1"/>
  <c r="CX957"/>
  <c r="CT961"/>
  <c r="CS961" s="1"/>
  <c r="CR961" s="1"/>
  <c r="CQ961" s="1"/>
  <c r="CP961" s="1"/>
  <c r="CO961" s="1"/>
  <c r="CN961" s="1"/>
  <c r="CM961" s="1"/>
  <c r="CL961" s="1"/>
  <c r="CK961" s="1"/>
  <c r="CJ961" s="1"/>
  <c r="CI961" s="1"/>
  <c r="CX961"/>
  <c r="CT965"/>
  <c r="CS965" s="1"/>
  <c r="CR965" s="1"/>
  <c r="CQ965" s="1"/>
  <c r="CP965" s="1"/>
  <c r="CO965" s="1"/>
  <c r="CN965" s="1"/>
  <c r="CM965" s="1"/>
  <c r="CL965" s="1"/>
  <c r="CK965" s="1"/>
  <c r="CJ965" s="1"/>
  <c r="CI965" s="1"/>
  <c r="CX965"/>
  <c r="CT969"/>
  <c r="CS969" s="1"/>
  <c r="CR969" s="1"/>
  <c r="CQ969" s="1"/>
  <c r="CP969" s="1"/>
  <c r="CO969" s="1"/>
  <c r="CN969" s="1"/>
  <c r="CM969" s="1"/>
  <c r="CL969" s="1"/>
  <c r="CK969" s="1"/>
  <c r="CJ969" s="1"/>
  <c r="CI969" s="1"/>
  <c r="CX969"/>
  <c r="CT973"/>
  <c r="CS973" s="1"/>
  <c r="CR973" s="1"/>
  <c r="CQ973" s="1"/>
  <c r="CP973" s="1"/>
  <c r="CO973" s="1"/>
  <c r="CN973" s="1"/>
  <c r="CM973" s="1"/>
  <c r="CL973" s="1"/>
  <c r="CK973" s="1"/>
  <c r="CJ973" s="1"/>
  <c r="CI973" s="1"/>
  <c r="CX973"/>
  <c r="CT977"/>
  <c r="CS977" s="1"/>
  <c r="CR977" s="1"/>
  <c r="CQ977" s="1"/>
  <c r="CP977" s="1"/>
  <c r="CO977" s="1"/>
  <c r="CN977" s="1"/>
  <c r="CM977" s="1"/>
  <c r="CL977" s="1"/>
  <c r="CK977" s="1"/>
  <c r="CJ977" s="1"/>
  <c r="CI977" s="1"/>
  <c r="CX977"/>
  <c r="CT995"/>
  <c r="CS995" s="1"/>
  <c r="CR995" s="1"/>
  <c r="CQ995" s="1"/>
  <c r="CP995" s="1"/>
  <c r="CO995" s="1"/>
  <c r="CN995" s="1"/>
  <c r="CM995" s="1"/>
  <c r="CL995" s="1"/>
  <c r="CK995" s="1"/>
  <c r="CJ995" s="1"/>
  <c r="CI995" s="1"/>
  <c r="CX995"/>
  <c r="CT999"/>
  <c r="CS999" s="1"/>
  <c r="CR999" s="1"/>
  <c r="CQ999" s="1"/>
  <c r="CP999" s="1"/>
  <c r="CO999" s="1"/>
  <c r="CN999" s="1"/>
  <c r="CM999" s="1"/>
  <c r="CL999" s="1"/>
  <c r="CK999" s="1"/>
  <c r="CJ999" s="1"/>
  <c r="CI999" s="1"/>
  <c r="CX999"/>
  <c r="CT1002"/>
  <c r="CS1002" s="1"/>
  <c r="CR1002" s="1"/>
  <c r="CQ1002" s="1"/>
  <c r="CP1002" s="1"/>
  <c r="CO1002" s="1"/>
  <c r="CN1002" s="1"/>
  <c r="CM1002" s="1"/>
  <c r="CL1002" s="1"/>
  <c r="CK1002" s="1"/>
  <c r="CJ1002" s="1"/>
  <c r="CI1002" s="1"/>
  <c r="CX1002"/>
  <c r="CT8"/>
  <c r="CS8" s="1"/>
  <c r="CR8" s="1"/>
  <c r="CQ8" s="1"/>
  <c r="CP8" s="1"/>
  <c r="CO8" s="1"/>
  <c r="CN8" s="1"/>
  <c r="CM8" s="1"/>
  <c r="CL8" s="1"/>
  <c r="CK8" s="1"/>
  <c r="CJ8" s="1"/>
  <c r="CI8" s="1"/>
  <c r="CX8"/>
  <c r="CT12"/>
  <c r="CS12" s="1"/>
  <c r="CR12" s="1"/>
  <c r="CQ12" s="1"/>
  <c r="CP12" s="1"/>
  <c r="CO12" s="1"/>
  <c r="CN12" s="1"/>
  <c r="CM12" s="1"/>
  <c r="CL12" s="1"/>
  <c r="CK12" s="1"/>
  <c r="CJ12" s="1"/>
  <c r="CI12" s="1"/>
  <c r="CX12"/>
  <c r="CT16"/>
  <c r="CS16" s="1"/>
  <c r="CR16" s="1"/>
  <c r="CQ16" s="1"/>
  <c r="CP16" s="1"/>
  <c r="CO16" s="1"/>
  <c r="CN16" s="1"/>
  <c r="CM16" s="1"/>
  <c r="CL16" s="1"/>
  <c r="CK16" s="1"/>
  <c r="CJ16" s="1"/>
  <c r="CI16" s="1"/>
  <c r="CX16"/>
  <c r="CT20"/>
  <c r="CS20" s="1"/>
  <c r="CR20" s="1"/>
  <c r="CQ20" s="1"/>
  <c r="CP20" s="1"/>
  <c r="CO20" s="1"/>
  <c r="CN20" s="1"/>
  <c r="CM20" s="1"/>
  <c r="CL20" s="1"/>
  <c r="CK20" s="1"/>
  <c r="CJ20" s="1"/>
  <c r="CI20" s="1"/>
  <c r="CX20"/>
  <c r="CT24"/>
  <c r="CS24" s="1"/>
  <c r="CR24" s="1"/>
  <c r="CQ24" s="1"/>
  <c r="CP24" s="1"/>
  <c r="CO24" s="1"/>
  <c r="CN24" s="1"/>
  <c r="CM24" s="1"/>
  <c r="CL24" s="1"/>
  <c r="CK24" s="1"/>
  <c r="CJ24" s="1"/>
  <c r="CI24" s="1"/>
  <c r="CX24"/>
  <c r="CT28"/>
  <c r="CS28" s="1"/>
  <c r="CR28" s="1"/>
  <c r="CQ28" s="1"/>
  <c r="CP28" s="1"/>
  <c r="CO28" s="1"/>
  <c r="CN28" s="1"/>
  <c r="CM28" s="1"/>
  <c r="CL28" s="1"/>
  <c r="CK28" s="1"/>
  <c r="CJ28" s="1"/>
  <c r="CI28" s="1"/>
  <c r="CX28"/>
  <c r="CT32"/>
  <c r="CS32" s="1"/>
  <c r="CR32" s="1"/>
  <c r="CQ32" s="1"/>
  <c r="CP32" s="1"/>
  <c r="CO32" s="1"/>
  <c r="CN32" s="1"/>
  <c r="CM32" s="1"/>
  <c r="CL32" s="1"/>
  <c r="CK32" s="1"/>
  <c r="CJ32" s="1"/>
  <c r="CI32" s="1"/>
  <c r="CX32"/>
  <c r="CT36"/>
  <c r="CS36" s="1"/>
  <c r="CR36" s="1"/>
  <c r="CQ36" s="1"/>
  <c r="CP36" s="1"/>
  <c r="CO36" s="1"/>
  <c r="CN36" s="1"/>
  <c r="CM36" s="1"/>
  <c r="CL36" s="1"/>
  <c r="CK36" s="1"/>
  <c r="CJ36" s="1"/>
  <c r="CI36" s="1"/>
  <c r="CX36"/>
  <c r="CT40"/>
  <c r="CS40" s="1"/>
  <c r="CR40" s="1"/>
  <c r="CQ40" s="1"/>
  <c r="CP40" s="1"/>
  <c r="CO40" s="1"/>
  <c r="CN40" s="1"/>
  <c r="CM40" s="1"/>
  <c r="CL40" s="1"/>
  <c r="CK40" s="1"/>
  <c r="CJ40" s="1"/>
  <c r="CI40" s="1"/>
  <c r="CX40"/>
  <c r="CT44"/>
  <c r="CS44" s="1"/>
  <c r="CR44" s="1"/>
  <c r="CQ44" s="1"/>
  <c r="CP44" s="1"/>
  <c r="CO44" s="1"/>
  <c r="CN44" s="1"/>
  <c r="CM44" s="1"/>
  <c r="CL44" s="1"/>
  <c r="CK44" s="1"/>
  <c r="CJ44" s="1"/>
  <c r="CI44" s="1"/>
  <c r="CX44"/>
  <c r="CT48"/>
  <c r="CS48" s="1"/>
  <c r="CR48" s="1"/>
  <c r="CQ48" s="1"/>
  <c r="CP48" s="1"/>
  <c r="CO48" s="1"/>
  <c r="CN48" s="1"/>
  <c r="CM48" s="1"/>
  <c r="CL48" s="1"/>
  <c r="CK48" s="1"/>
  <c r="CJ48" s="1"/>
  <c r="CI48" s="1"/>
  <c r="CX48"/>
  <c r="CT52"/>
  <c r="CS52" s="1"/>
  <c r="CR52" s="1"/>
  <c r="CQ52" s="1"/>
  <c r="CP52" s="1"/>
  <c r="CO52" s="1"/>
  <c r="CN52" s="1"/>
  <c r="CM52" s="1"/>
  <c r="CL52" s="1"/>
  <c r="CK52" s="1"/>
  <c r="CJ52" s="1"/>
  <c r="CI52" s="1"/>
  <c r="CX52"/>
  <c r="CT56"/>
  <c r="CS56" s="1"/>
  <c r="CR56" s="1"/>
  <c r="CQ56" s="1"/>
  <c r="CP56" s="1"/>
  <c r="CO56" s="1"/>
  <c r="CN56" s="1"/>
  <c r="CM56" s="1"/>
  <c r="CL56" s="1"/>
  <c r="CK56" s="1"/>
  <c r="CJ56" s="1"/>
  <c r="CI56" s="1"/>
  <c r="CX56"/>
  <c r="CT60"/>
  <c r="CS60" s="1"/>
  <c r="CR60" s="1"/>
  <c r="CQ60" s="1"/>
  <c r="CP60" s="1"/>
  <c r="CO60" s="1"/>
  <c r="CN60" s="1"/>
  <c r="CM60" s="1"/>
  <c r="CL60" s="1"/>
  <c r="CK60" s="1"/>
  <c r="CJ60" s="1"/>
  <c r="CI60" s="1"/>
  <c r="CX60"/>
  <c r="CT64"/>
  <c r="CS64" s="1"/>
  <c r="CR64" s="1"/>
  <c r="CQ64" s="1"/>
  <c r="CP64" s="1"/>
  <c r="CO64" s="1"/>
  <c r="CN64" s="1"/>
  <c r="CM64" s="1"/>
  <c r="CL64" s="1"/>
  <c r="CK64" s="1"/>
  <c r="CJ64" s="1"/>
  <c r="CI64" s="1"/>
  <c r="CX64"/>
  <c r="CT68"/>
  <c r="CS68" s="1"/>
  <c r="CR68" s="1"/>
  <c r="CQ68" s="1"/>
  <c r="CP68" s="1"/>
  <c r="CO68" s="1"/>
  <c r="CN68" s="1"/>
  <c r="CM68" s="1"/>
  <c r="CL68" s="1"/>
  <c r="CK68" s="1"/>
  <c r="CJ68" s="1"/>
  <c r="CI68" s="1"/>
  <c r="CX68"/>
  <c r="CT72"/>
  <c r="CS72" s="1"/>
  <c r="CR72" s="1"/>
  <c r="CQ72" s="1"/>
  <c r="CP72" s="1"/>
  <c r="CO72" s="1"/>
  <c r="CN72" s="1"/>
  <c r="CM72" s="1"/>
  <c r="CL72" s="1"/>
  <c r="CK72" s="1"/>
  <c r="CJ72" s="1"/>
  <c r="CI72" s="1"/>
  <c r="CX72"/>
  <c r="CT76"/>
  <c r="CS76" s="1"/>
  <c r="CR76" s="1"/>
  <c r="CQ76" s="1"/>
  <c r="CP76" s="1"/>
  <c r="CO76" s="1"/>
  <c r="CN76" s="1"/>
  <c r="CM76" s="1"/>
  <c r="CL76" s="1"/>
  <c r="CK76" s="1"/>
  <c r="CJ76" s="1"/>
  <c r="CI76" s="1"/>
  <c r="CX76"/>
  <c r="CT80"/>
  <c r="CS80" s="1"/>
  <c r="CR80" s="1"/>
  <c r="CQ80" s="1"/>
  <c r="CP80" s="1"/>
  <c r="CO80" s="1"/>
  <c r="CN80" s="1"/>
  <c r="CM80" s="1"/>
  <c r="CL80" s="1"/>
  <c r="CK80" s="1"/>
  <c r="CJ80" s="1"/>
  <c r="CI80" s="1"/>
  <c r="CX80"/>
  <c r="CT84"/>
  <c r="CS84" s="1"/>
  <c r="CR84" s="1"/>
  <c r="CQ84" s="1"/>
  <c r="CP84" s="1"/>
  <c r="CO84" s="1"/>
  <c r="CN84" s="1"/>
  <c r="CM84" s="1"/>
  <c r="CL84" s="1"/>
  <c r="CK84" s="1"/>
  <c r="CJ84" s="1"/>
  <c r="CI84" s="1"/>
  <c r="CX84"/>
  <c r="CT88"/>
  <c r="CS88" s="1"/>
  <c r="CR88" s="1"/>
  <c r="CQ88" s="1"/>
  <c r="CP88" s="1"/>
  <c r="CO88" s="1"/>
  <c r="CN88" s="1"/>
  <c r="CM88" s="1"/>
  <c r="CL88" s="1"/>
  <c r="CK88" s="1"/>
  <c r="CJ88" s="1"/>
  <c r="CI88" s="1"/>
  <c r="CX88"/>
  <c r="CT92"/>
  <c r="CS92" s="1"/>
  <c r="CR92" s="1"/>
  <c r="CQ92" s="1"/>
  <c r="CP92" s="1"/>
  <c r="CO92" s="1"/>
  <c r="CN92" s="1"/>
  <c r="CM92" s="1"/>
  <c r="CL92" s="1"/>
  <c r="CK92" s="1"/>
  <c r="CJ92" s="1"/>
  <c r="CI92" s="1"/>
  <c r="CX92"/>
  <c r="CT96"/>
  <c r="CS96" s="1"/>
  <c r="CR96" s="1"/>
  <c r="CQ96" s="1"/>
  <c r="CP96" s="1"/>
  <c r="CO96" s="1"/>
  <c r="CN96" s="1"/>
  <c r="CM96" s="1"/>
  <c r="CL96" s="1"/>
  <c r="CK96" s="1"/>
  <c r="CJ96" s="1"/>
  <c r="CI96" s="1"/>
  <c r="CX96"/>
  <c r="CT100"/>
  <c r="CS100" s="1"/>
  <c r="CR100" s="1"/>
  <c r="CQ100" s="1"/>
  <c r="CP100" s="1"/>
  <c r="CO100" s="1"/>
  <c r="CN100" s="1"/>
  <c r="CM100" s="1"/>
  <c r="CL100" s="1"/>
  <c r="CK100" s="1"/>
  <c r="CJ100" s="1"/>
  <c r="CI100" s="1"/>
  <c r="CX100"/>
  <c r="CT104"/>
  <c r="CS104" s="1"/>
  <c r="CR104" s="1"/>
  <c r="CQ104" s="1"/>
  <c r="CP104" s="1"/>
  <c r="CO104" s="1"/>
  <c r="CN104" s="1"/>
  <c r="CM104" s="1"/>
  <c r="CL104" s="1"/>
  <c r="CK104" s="1"/>
  <c r="CJ104" s="1"/>
  <c r="CI104" s="1"/>
  <c r="CX104"/>
  <c r="CT108"/>
  <c r="CS108" s="1"/>
  <c r="CR108" s="1"/>
  <c r="CQ108" s="1"/>
  <c r="CP108" s="1"/>
  <c r="CO108" s="1"/>
  <c r="CN108" s="1"/>
  <c r="CM108" s="1"/>
  <c r="CL108" s="1"/>
  <c r="CK108" s="1"/>
  <c r="CJ108" s="1"/>
  <c r="CI108" s="1"/>
  <c r="CX108"/>
  <c r="CT112"/>
  <c r="CS112" s="1"/>
  <c r="CR112" s="1"/>
  <c r="CQ112" s="1"/>
  <c r="CP112" s="1"/>
  <c r="CO112" s="1"/>
  <c r="CN112" s="1"/>
  <c r="CM112" s="1"/>
  <c r="CL112" s="1"/>
  <c r="CK112" s="1"/>
  <c r="CJ112" s="1"/>
  <c r="CI112" s="1"/>
  <c r="CX112"/>
  <c r="CT116"/>
  <c r="CS116" s="1"/>
  <c r="CR116" s="1"/>
  <c r="CQ116" s="1"/>
  <c r="CP116" s="1"/>
  <c r="CO116" s="1"/>
  <c r="CN116" s="1"/>
  <c r="CM116" s="1"/>
  <c r="CL116" s="1"/>
  <c r="CK116" s="1"/>
  <c r="CJ116" s="1"/>
  <c r="CI116" s="1"/>
  <c r="CX116"/>
  <c r="CT120"/>
  <c r="CS120" s="1"/>
  <c r="CR120" s="1"/>
  <c r="CQ120" s="1"/>
  <c r="CP120" s="1"/>
  <c r="CO120" s="1"/>
  <c r="CN120" s="1"/>
  <c r="CM120" s="1"/>
  <c r="CL120" s="1"/>
  <c r="CK120" s="1"/>
  <c r="CJ120" s="1"/>
  <c r="CI120" s="1"/>
  <c r="CX120"/>
  <c r="CT277"/>
  <c r="CS277" s="1"/>
  <c r="CR277" s="1"/>
  <c r="CQ277" s="1"/>
  <c r="CP277" s="1"/>
  <c r="CO277" s="1"/>
  <c r="CN277" s="1"/>
  <c r="CM277" s="1"/>
  <c r="CL277" s="1"/>
  <c r="CK277" s="1"/>
  <c r="CJ277" s="1"/>
  <c r="CI277" s="1"/>
  <c r="CX277"/>
  <c r="CT281"/>
  <c r="CS281" s="1"/>
  <c r="CR281" s="1"/>
  <c r="CQ281" s="1"/>
  <c r="CP281" s="1"/>
  <c r="CO281" s="1"/>
  <c r="CN281" s="1"/>
  <c r="CM281" s="1"/>
  <c r="CL281" s="1"/>
  <c r="CK281" s="1"/>
  <c r="CJ281" s="1"/>
  <c r="CI281" s="1"/>
  <c r="CX281"/>
  <c r="CT285"/>
  <c r="CS285" s="1"/>
  <c r="CR285" s="1"/>
  <c r="CQ285" s="1"/>
  <c r="CP285" s="1"/>
  <c r="CO285" s="1"/>
  <c r="CN285" s="1"/>
  <c r="CM285" s="1"/>
  <c r="CL285" s="1"/>
  <c r="CK285" s="1"/>
  <c r="CJ285" s="1"/>
  <c r="CI285" s="1"/>
  <c r="CX285"/>
  <c r="CT289"/>
  <c r="CS289" s="1"/>
  <c r="CR289" s="1"/>
  <c r="CQ289" s="1"/>
  <c r="CP289" s="1"/>
  <c r="CO289" s="1"/>
  <c r="CN289" s="1"/>
  <c r="CM289" s="1"/>
  <c r="CL289" s="1"/>
  <c r="CK289" s="1"/>
  <c r="CJ289" s="1"/>
  <c r="CI289" s="1"/>
  <c r="CX289"/>
  <c r="CT293"/>
  <c r="CS293" s="1"/>
  <c r="CR293" s="1"/>
  <c r="CQ293" s="1"/>
  <c r="CP293" s="1"/>
  <c r="CO293" s="1"/>
  <c r="CN293" s="1"/>
  <c r="CM293" s="1"/>
  <c r="CL293" s="1"/>
  <c r="CK293" s="1"/>
  <c r="CJ293" s="1"/>
  <c r="CI293" s="1"/>
  <c r="CX293"/>
  <c r="CT297"/>
  <c r="CS297" s="1"/>
  <c r="CR297" s="1"/>
  <c r="CQ297" s="1"/>
  <c r="CP297" s="1"/>
  <c r="CO297" s="1"/>
  <c r="CN297" s="1"/>
  <c r="CM297" s="1"/>
  <c r="CL297" s="1"/>
  <c r="CK297" s="1"/>
  <c r="CJ297" s="1"/>
  <c r="CI297" s="1"/>
  <c r="CX297"/>
  <c r="CT301"/>
  <c r="CS301" s="1"/>
  <c r="CR301" s="1"/>
  <c r="CQ301" s="1"/>
  <c r="CP301" s="1"/>
  <c r="CO301" s="1"/>
  <c r="CN301" s="1"/>
  <c r="CM301" s="1"/>
  <c r="CL301" s="1"/>
  <c r="CK301" s="1"/>
  <c r="CJ301" s="1"/>
  <c r="CI301" s="1"/>
  <c r="CX301"/>
  <c r="CT305"/>
  <c r="CS305" s="1"/>
  <c r="CR305" s="1"/>
  <c r="CQ305" s="1"/>
  <c r="CP305" s="1"/>
  <c r="CO305" s="1"/>
  <c r="CN305" s="1"/>
  <c r="CM305" s="1"/>
  <c r="CL305" s="1"/>
  <c r="CK305" s="1"/>
  <c r="CJ305" s="1"/>
  <c r="CI305" s="1"/>
  <c r="CX305"/>
  <c r="CT309"/>
  <c r="CS309" s="1"/>
  <c r="CR309" s="1"/>
  <c r="CQ309" s="1"/>
  <c r="CP309" s="1"/>
  <c r="CO309" s="1"/>
  <c r="CN309" s="1"/>
  <c r="CM309" s="1"/>
  <c r="CL309" s="1"/>
  <c r="CK309" s="1"/>
  <c r="CJ309" s="1"/>
  <c r="CI309" s="1"/>
  <c r="CX309"/>
  <c r="CT313"/>
  <c r="CS313" s="1"/>
  <c r="CR313" s="1"/>
  <c r="CQ313" s="1"/>
  <c r="CP313" s="1"/>
  <c r="CO313" s="1"/>
  <c r="CN313" s="1"/>
  <c r="CM313" s="1"/>
  <c r="CL313" s="1"/>
  <c r="CK313" s="1"/>
  <c r="CJ313" s="1"/>
  <c r="CI313" s="1"/>
  <c r="CX313"/>
  <c r="CT333"/>
  <c r="CS333" s="1"/>
  <c r="CR333" s="1"/>
  <c r="CQ333" s="1"/>
  <c r="CP333" s="1"/>
  <c r="CO333" s="1"/>
  <c r="CN333" s="1"/>
  <c r="CM333" s="1"/>
  <c r="CL333" s="1"/>
  <c r="CK333" s="1"/>
  <c r="CJ333" s="1"/>
  <c r="CI333" s="1"/>
  <c r="CX333"/>
  <c r="CT431"/>
  <c r="CS431" s="1"/>
  <c r="CR431" s="1"/>
  <c r="CQ431" s="1"/>
  <c r="CP431" s="1"/>
  <c r="CO431" s="1"/>
  <c r="CN431" s="1"/>
  <c r="CM431" s="1"/>
  <c r="CL431" s="1"/>
  <c r="CK431" s="1"/>
  <c r="CJ431" s="1"/>
  <c r="CI431" s="1"/>
  <c r="CX431"/>
  <c r="CT438"/>
  <c r="CS438" s="1"/>
  <c r="CR438" s="1"/>
  <c r="CQ438" s="1"/>
  <c r="CP438" s="1"/>
  <c r="CO438" s="1"/>
  <c r="CN438" s="1"/>
  <c r="CM438" s="1"/>
  <c r="CL438" s="1"/>
  <c r="CK438" s="1"/>
  <c r="CJ438" s="1"/>
  <c r="CI438" s="1"/>
  <c r="CX438"/>
  <c r="CT442"/>
  <c r="CS442" s="1"/>
  <c r="CR442" s="1"/>
  <c r="CQ442" s="1"/>
  <c r="CP442" s="1"/>
  <c r="CO442" s="1"/>
  <c r="CN442" s="1"/>
  <c r="CM442" s="1"/>
  <c r="CL442" s="1"/>
  <c r="CK442" s="1"/>
  <c r="CJ442" s="1"/>
  <c r="CI442" s="1"/>
  <c r="CX442"/>
  <c r="CT446"/>
  <c r="CS446" s="1"/>
  <c r="CR446" s="1"/>
  <c r="CQ446" s="1"/>
  <c r="CP446" s="1"/>
  <c r="CO446" s="1"/>
  <c r="CN446" s="1"/>
  <c r="CM446" s="1"/>
  <c r="CL446" s="1"/>
  <c r="CK446" s="1"/>
  <c r="CJ446" s="1"/>
  <c r="CI446" s="1"/>
  <c r="CX446"/>
  <c r="CT450"/>
  <c r="CS450" s="1"/>
  <c r="CR450" s="1"/>
  <c r="CQ450" s="1"/>
  <c r="CP450" s="1"/>
  <c r="CO450" s="1"/>
  <c r="CN450" s="1"/>
  <c r="CM450" s="1"/>
  <c r="CL450" s="1"/>
  <c r="CK450" s="1"/>
  <c r="CJ450" s="1"/>
  <c r="CI450" s="1"/>
  <c r="CX450"/>
  <c r="CT454"/>
  <c r="CS454" s="1"/>
  <c r="CR454" s="1"/>
  <c r="CQ454" s="1"/>
  <c r="CP454" s="1"/>
  <c r="CO454" s="1"/>
  <c r="CN454" s="1"/>
  <c r="CM454" s="1"/>
  <c r="CL454" s="1"/>
  <c r="CK454" s="1"/>
  <c r="CJ454" s="1"/>
  <c r="CI454" s="1"/>
  <c r="CX454"/>
  <c r="CT458"/>
  <c r="CS458" s="1"/>
  <c r="CR458" s="1"/>
  <c r="CQ458" s="1"/>
  <c r="CP458" s="1"/>
  <c r="CO458" s="1"/>
  <c r="CN458" s="1"/>
  <c r="CM458" s="1"/>
  <c r="CL458" s="1"/>
  <c r="CK458" s="1"/>
  <c r="CJ458" s="1"/>
  <c r="CI458" s="1"/>
  <c r="CX458"/>
  <c r="CT462"/>
  <c r="CS462" s="1"/>
  <c r="CR462" s="1"/>
  <c r="CQ462" s="1"/>
  <c r="CP462" s="1"/>
  <c r="CO462" s="1"/>
  <c r="CN462" s="1"/>
  <c r="CM462" s="1"/>
  <c r="CL462" s="1"/>
  <c r="CK462" s="1"/>
  <c r="CJ462" s="1"/>
  <c r="CI462" s="1"/>
  <c r="CX462"/>
  <c r="CT466"/>
  <c r="CS466" s="1"/>
  <c r="CR466" s="1"/>
  <c r="CQ466" s="1"/>
  <c r="CP466" s="1"/>
  <c r="CO466" s="1"/>
  <c r="CN466" s="1"/>
  <c r="CM466" s="1"/>
  <c r="CL466" s="1"/>
  <c r="CK466" s="1"/>
  <c r="CJ466" s="1"/>
  <c r="CI466" s="1"/>
  <c r="CX466"/>
  <c r="CT470"/>
  <c r="CS470" s="1"/>
  <c r="CR470" s="1"/>
  <c r="CQ470" s="1"/>
  <c r="CP470" s="1"/>
  <c r="CO470" s="1"/>
  <c r="CN470" s="1"/>
  <c r="CM470" s="1"/>
  <c r="CL470" s="1"/>
  <c r="CK470" s="1"/>
  <c r="CJ470" s="1"/>
  <c r="CI470" s="1"/>
  <c r="CX470"/>
  <c r="CT474"/>
  <c r="CS474" s="1"/>
  <c r="CR474" s="1"/>
  <c r="CQ474" s="1"/>
  <c r="CP474" s="1"/>
  <c r="CO474" s="1"/>
  <c r="CN474" s="1"/>
  <c r="CM474" s="1"/>
  <c r="CL474" s="1"/>
  <c r="CK474" s="1"/>
  <c r="CJ474" s="1"/>
  <c r="CI474" s="1"/>
  <c r="CX474"/>
  <c r="CT478"/>
  <c r="CS478" s="1"/>
  <c r="CR478" s="1"/>
  <c r="CQ478" s="1"/>
  <c r="CP478" s="1"/>
  <c r="CO478" s="1"/>
  <c r="CN478" s="1"/>
  <c r="CM478" s="1"/>
  <c r="CL478" s="1"/>
  <c r="CK478" s="1"/>
  <c r="CJ478" s="1"/>
  <c r="CI478" s="1"/>
  <c r="CX478"/>
  <c r="CT482"/>
  <c r="CS482" s="1"/>
  <c r="CR482" s="1"/>
  <c r="CQ482" s="1"/>
  <c r="CP482" s="1"/>
  <c r="CO482" s="1"/>
  <c r="CN482" s="1"/>
  <c r="CM482" s="1"/>
  <c r="CL482" s="1"/>
  <c r="CK482" s="1"/>
  <c r="CJ482" s="1"/>
  <c r="CI482" s="1"/>
  <c r="CX482"/>
  <c r="CT486"/>
  <c r="CS486" s="1"/>
  <c r="CR486" s="1"/>
  <c r="CQ486" s="1"/>
  <c r="CP486" s="1"/>
  <c r="CO486" s="1"/>
  <c r="CN486" s="1"/>
  <c r="CM486" s="1"/>
  <c r="CL486" s="1"/>
  <c r="CK486" s="1"/>
  <c r="CJ486" s="1"/>
  <c r="CI486" s="1"/>
  <c r="CX486"/>
  <c r="CT490"/>
  <c r="CS490" s="1"/>
  <c r="CR490" s="1"/>
  <c r="CQ490" s="1"/>
  <c r="CP490" s="1"/>
  <c r="CO490" s="1"/>
  <c r="CN490" s="1"/>
  <c r="CM490" s="1"/>
  <c r="CL490" s="1"/>
  <c r="CK490" s="1"/>
  <c r="CJ490" s="1"/>
  <c r="CI490" s="1"/>
  <c r="CX490"/>
  <c r="CT494"/>
  <c r="CS494" s="1"/>
  <c r="CR494" s="1"/>
  <c r="CQ494" s="1"/>
  <c r="CP494" s="1"/>
  <c r="CO494" s="1"/>
  <c r="CN494" s="1"/>
  <c r="CM494" s="1"/>
  <c r="CL494" s="1"/>
  <c r="CK494" s="1"/>
  <c r="CJ494" s="1"/>
  <c r="CI494" s="1"/>
  <c r="CX494"/>
  <c r="CT498"/>
  <c r="CS498" s="1"/>
  <c r="CR498" s="1"/>
  <c r="CQ498" s="1"/>
  <c r="CP498" s="1"/>
  <c r="CO498" s="1"/>
  <c r="CN498" s="1"/>
  <c r="CM498" s="1"/>
  <c r="CL498" s="1"/>
  <c r="CK498" s="1"/>
  <c r="CJ498" s="1"/>
  <c r="CI498" s="1"/>
  <c r="CX498"/>
  <c r="CT502"/>
  <c r="CS502" s="1"/>
  <c r="CR502" s="1"/>
  <c r="CQ502" s="1"/>
  <c r="CP502" s="1"/>
  <c r="CO502" s="1"/>
  <c r="CN502" s="1"/>
  <c r="CM502" s="1"/>
  <c r="CL502" s="1"/>
  <c r="CK502" s="1"/>
  <c r="CJ502" s="1"/>
  <c r="CI502" s="1"/>
  <c r="CX502"/>
  <c r="CT506"/>
  <c r="CS506" s="1"/>
  <c r="CR506" s="1"/>
  <c r="CQ506" s="1"/>
  <c r="CP506" s="1"/>
  <c r="CO506" s="1"/>
  <c r="CN506" s="1"/>
  <c r="CM506" s="1"/>
  <c r="CL506" s="1"/>
  <c r="CK506" s="1"/>
  <c r="CJ506" s="1"/>
  <c r="CI506" s="1"/>
  <c r="CX506"/>
  <c r="CT510"/>
  <c r="CS510" s="1"/>
  <c r="CR510" s="1"/>
  <c r="CQ510" s="1"/>
  <c r="CP510" s="1"/>
  <c r="CO510" s="1"/>
  <c r="CN510" s="1"/>
  <c r="CM510" s="1"/>
  <c r="CL510" s="1"/>
  <c r="CK510" s="1"/>
  <c r="CJ510" s="1"/>
  <c r="CI510" s="1"/>
  <c r="CX510"/>
  <c r="CT514"/>
  <c r="CS514" s="1"/>
  <c r="CR514" s="1"/>
  <c r="CQ514" s="1"/>
  <c r="CP514" s="1"/>
  <c r="CO514" s="1"/>
  <c r="CN514" s="1"/>
  <c r="CM514" s="1"/>
  <c r="CL514" s="1"/>
  <c r="CK514" s="1"/>
  <c r="CJ514" s="1"/>
  <c r="CI514" s="1"/>
  <c r="CX514"/>
  <c r="CT518"/>
  <c r="CS518" s="1"/>
  <c r="CR518" s="1"/>
  <c r="CQ518" s="1"/>
  <c r="CP518" s="1"/>
  <c r="CO518" s="1"/>
  <c r="CN518" s="1"/>
  <c r="CM518" s="1"/>
  <c r="CL518" s="1"/>
  <c r="CK518" s="1"/>
  <c r="CJ518" s="1"/>
  <c r="CI518" s="1"/>
  <c r="CX518"/>
  <c r="CT522"/>
  <c r="CS522" s="1"/>
  <c r="CR522" s="1"/>
  <c r="CQ522" s="1"/>
  <c r="CP522" s="1"/>
  <c r="CO522" s="1"/>
  <c r="CN522" s="1"/>
  <c r="CM522" s="1"/>
  <c r="CL522" s="1"/>
  <c r="CK522" s="1"/>
  <c r="CJ522" s="1"/>
  <c r="CI522" s="1"/>
  <c r="CX522"/>
  <c r="CT526"/>
  <c r="CS526" s="1"/>
  <c r="CR526" s="1"/>
  <c r="CQ526" s="1"/>
  <c r="CP526" s="1"/>
  <c r="CO526" s="1"/>
  <c r="CN526" s="1"/>
  <c r="CM526" s="1"/>
  <c r="CL526" s="1"/>
  <c r="CK526" s="1"/>
  <c r="CJ526" s="1"/>
  <c r="CI526" s="1"/>
  <c r="CX526"/>
  <c r="CT530"/>
  <c r="CS530" s="1"/>
  <c r="CR530" s="1"/>
  <c r="CQ530" s="1"/>
  <c r="CP530" s="1"/>
  <c r="CO530" s="1"/>
  <c r="CN530" s="1"/>
  <c r="CM530" s="1"/>
  <c r="CL530" s="1"/>
  <c r="CK530" s="1"/>
  <c r="CJ530" s="1"/>
  <c r="CI530" s="1"/>
  <c r="CX530"/>
  <c r="CT534"/>
  <c r="CS534" s="1"/>
  <c r="CR534" s="1"/>
  <c r="CQ534" s="1"/>
  <c r="CP534" s="1"/>
  <c r="CO534" s="1"/>
  <c r="CN534" s="1"/>
  <c r="CM534" s="1"/>
  <c r="CL534" s="1"/>
  <c r="CK534" s="1"/>
  <c r="CJ534" s="1"/>
  <c r="CI534" s="1"/>
  <c r="CX534"/>
  <c r="CT538"/>
  <c r="CS538" s="1"/>
  <c r="CR538" s="1"/>
  <c r="CQ538" s="1"/>
  <c r="CP538" s="1"/>
  <c r="CO538" s="1"/>
  <c r="CN538" s="1"/>
  <c r="CM538" s="1"/>
  <c r="CL538" s="1"/>
  <c r="CK538" s="1"/>
  <c r="CJ538" s="1"/>
  <c r="CI538" s="1"/>
  <c r="CX538"/>
  <c r="CT542"/>
  <c r="CS542" s="1"/>
  <c r="CR542" s="1"/>
  <c r="CQ542" s="1"/>
  <c r="CP542" s="1"/>
  <c r="CO542" s="1"/>
  <c r="CN542" s="1"/>
  <c r="CM542" s="1"/>
  <c r="CL542" s="1"/>
  <c r="CK542" s="1"/>
  <c r="CJ542" s="1"/>
  <c r="CI542" s="1"/>
  <c r="CX542"/>
  <c r="CT568"/>
  <c r="CS568" s="1"/>
  <c r="CR568" s="1"/>
  <c r="CQ568" s="1"/>
  <c r="CP568" s="1"/>
  <c r="CO568" s="1"/>
  <c r="CN568" s="1"/>
  <c r="CM568" s="1"/>
  <c r="CL568" s="1"/>
  <c r="CK568" s="1"/>
  <c r="CJ568" s="1"/>
  <c r="CI568" s="1"/>
  <c r="CX568"/>
  <c r="CT570"/>
  <c r="CS570" s="1"/>
  <c r="CR570" s="1"/>
  <c r="CQ570" s="1"/>
  <c r="CP570" s="1"/>
  <c r="CO570" s="1"/>
  <c r="CN570" s="1"/>
  <c r="CM570" s="1"/>
  <c r="CL570" s="1"/>
  <c r="CK570" s="1"/>
  <c r="CJ570" s="1"/>
  <c r="CI570" s="1"/>
  <c r="CX570"/>
  <c r="CT572"/>
  <c r="CS572" s="1"/>
  <c r="CR572" s="1"/>
  <c r="CQ572" s="1"/>
  <c r="CP572" s="1"/>
  <c r="CO572" s="1"/>
  <c r="CN572" s="1"/>
  <c r="CM572" s="1"/>
  <c r="CL572" s="1"/>
  <c r="CK572" s="1"/>
  <c r="CJ572" s="1"/>
  <c r="CI572" s="1"/>
  <c r="CX572"/>
  <c r="CT574"/>
  <c r="CS574" s="1"/>
  <c r="CR574" s="1"/>
  <c r="CQ574" s="1"/>
  <c r="CP574" s="1"/>
  <c r="CO574" s="1"/>
  <c r="CN574" s="1"/>
  <c r="CM574" s="1"/>
  <c r="CL574" s="1"/>
  <c r="CK574" s="1"/>
  <c r="CJ574" s="1"/>
  <c r="CI574" s="1"/>
  <c r="CX574"/>
  <c r="CT576"/>
  <c r="CS576" s="1"/>
  <c r="CR576" s="1"/>
  <c r="CQ576" s="1"/>
  <c r="CP576" s="1"/>
  <c r="CO576" s="1"/>
  <c r="CN576" s="1"/>
  <c r="CM576" s="1"/>
  <c r="CL576" s="1"/>
  <c r="CK576" s="1"/>
  <c r="CJ576" s="1"/>
  <c r="CI576" s="1"/>
  <c r="CX576"/>
  <c r="CT578"/>
  <c r="CS578" s="1"/>
  <c r="CR578" s="1"/>
  <c r="CQ578" s="1"/>
  <c r="CP578" s="1"/>
  <c r="CO578" s="1"/>
  <c r="CN578" s="1"/>
  <c r="CM578" s="1"/>
  <c r="CL578" s="1"/>
  <c r="CK578" s="1"/>
  <c r="CJ578" s="1"/>
  <c r="CI578" s="1"/>
  <c r="CX578"/>
  <c r="CT580"/>
  <c r="CS580" s="1"/>
  <c r="CR580" s="1"/>
  <c r="CQ580" s="1"/>
  <c r="CP580" s="1"/>
  <c r="CO580" s="1"/>
  <c r="CN580" s="1"/>
  <c r="CM580" s="1"/>
  <c r="CL580" s="1"/>
  <c r="CK580" s="1"/>
  <c r="CJ580" s="1"/>
  <c r="CI580" s="1"/>
  <c r="CX580"/>
  <c r="CT582"/>
  <c r="CS582" s="1"/>
  <c r="CR582" s="1"/>
  <c r="CQ582" s="1"/>
  <c r="CP582" s="1"/>
  <c r="CO582" s="1"/>
  <c r="CN582" s="1"/>
  <c r="CM582" s="1"/>
  <c r="CL582" s="1"/>
  <c r="CK582" s="1"/>
  <c r="CJ582" s="1"/>
  <c r="CI582" s="1"/>
  <c r="CX582"/>
  <c r="CT584"/>
  <c r="CS584" s="1"/>
  <c r="CR584" s="1"/>
  <c r="CQ584" s="1"/>
  <c r="CP584" s="1"/>
  <c r="CO584" s="1"/>
  <c r="CN584" s="1"/>
  <c r="CM584" s="1"/>
  <c r="CL584" s="1"/>
  <c r="CK584" s="1"/>
  <c r="CJ584" s="1"/>
  <c r="CI584" s="1"/>
  <c r="CX584"/>
  <c r="CT586"/>
  <c r="CS586" s="1"/>
  <c r="CR586" s="1"/>
  <c r="CQ586" s="1"/>
  <c r="CP586" s="1"/>
  <c r="CO586" s="1"/>
  <c r="CN586" s="1"/>
  <c r="CM586" s="1"/>
  <c r="CL586" s="1"/>
  <c r="CK586" s="1"/>
  <c r="CJ586" s="1"/>
  <c r="CI586" s="1"/>
  <c r="CX586"/>
  <c r="CT593"/>
  <c r="CS593" s="1"/>
  <c r="CR593" s="1"/>
  <c r="CQ593" s="1"/>
  <c r="CP593" s="1"/>
  <c r="CO593" s="1"/>
  <c r="CN593" s="1"/>
  <c r="CM593" s="1"/>
  <c r="CL593" s="1"/>
  <c r="CK593" s="1"/>
  <c r="CJ593" s="1"/>
  <c r="CI593" s="1"/>
  <c r="CX593"/>
  <c r="CT590"/>
  <c r="CS590" s="1"/>
  <c r="CR590" s="1"/>
  <c r="CQ590" s="1"/>
  <c r="CP590" s="1"/>
  <c r="CO590" s="1"/>
  <c r="CN590" s="1"/>
  <c r="CM590" s="1"/>
  <c r="CL590" s="1"/>
  <c r="CK590" s="1"/>
  <c r="CJ590" s="1"/>
  <c r="CI590" s="1"/>
  <c r="CX590"/>
  <c r="CT594"/>
  <c r="CS594" s="1"/>
  <c r="CR594" s="1"/>
  <c r="CQ594" s="1"/>
  <c r="CP594" s="1"/>
  <c r="CO594" s="1"/>
  <c r="CN594" s="1"/>
  <c r="CM594" s="1"/>
  <c r="CL594" s="1"/>
  <c r="CK594" s="1"/>
  <c r="CJ594" s="1"/>
  <c r="CI594" s="1"/>
  <c r="CX594"/>
  <c r="CT598"/>
  <c r="CS598" s="1"/>
  <c r="CR598" s="1"/>
  <c r="CQ598" s="1"/>
  <c r="CP598" s="1"/>
  <c r="CO598" s="1"/>
  <c r="CN598" s="1"/>
  <c r="CM598" s="1"/>
  <c r="CL598" s="1"/>
  <c r="CK598" s="1"/>
  <c r="CJ598" s="1"/>
  <c r="CI598" s="1"/>
  <c r="CX598"/>
  <c r="CT602"/>
  <c r="CS602" s="1"/>
  <c r="CR602" s="1"/>
  <c r="CQ602" s="1"/>
  <c r="CP602" s="1"/>
  <c r="CO602" s="1"/>
  <c r="CN602" s="1"/>
  <c r="CM602" s="1"/>
  <c r="CL602" s="1"/>
  <c r="CK602" s="1"/>
  <c r="CJ602" s="1"/>
  <c r="CI602" s="1"/>
  <c r="CX602"/>
  <c r="CT606"/>
  <c r="CS606" s="1"/>
  <c r="CR606" s="1"/>
  <c r="CQ606" s="1"/>
  <c r="CP606" s="1"/>
  <c r="CO606" s="1"/>
  <c r="CN606" s="1"/>
  <c r="CM606" s="1"/>
  <c r="CL606" s="1"/>
  <c r="CK606" s="1"/>
  <c r="CJ606" s="1"/>
  <c r="CI606" s="1"/>
  <c r="CX606"/>
  <c r="CT610"/>
  <c r="CS610" s="1"/>
  <c r="CR610" s="1"/>
  <c r="CQ610" s="1"/>
  <c r="CP610" s="1"/>
  <c r="CO610" s="1"/>
  <c r="CN610" s="1"/>
  <c r="CM610" s="1"/>
  <c r="CL610" s="1"/>
  <c r="CK610" s="1"/>
  <c r="CJ610" s="1"/>
  <c r="CI610" s="1"/>
  <c r="CX610"/>
  <c r="CT614"/>
  <c r="CS614" s="1"/>
  <c r="CR614" s="1"/>
  <c r="CQ614" s="1"/>
  <c r="CP614" s="1"/>
  <c r="CO614" s="1"/>
  <c r="CN614" s="1"/>
  <c r="CM614" s="1"/>
  <c r="CL614" s="1"/>
  <c r="CK614" s="1"/>
  <c r="CJ614" s="1"/>
  <c r="CI614" s="1"/>
  <c r="CX614"/>
  <c r="CT618"/>
  <c r="CS618" s="1"/>
  <c r="CR618" s="1"/>
  <c r="CQ618" s="1"/>
  <c r="CP618" s="1"/>
  <c r="CO618" s="1"/>
  <c r="CN618" s="1"/>
  <c r="CM618" s="1"/>
  <c r="CL618" s="1"/>
  <c r="CK618" s="1"/>
  <c r="CJ618" s="1"/>
  <c r="CI618" s="1"/>
  <c r="CX618"/>
  <c r="CT622"/>
  <c r="CS622" s="1"/>
  <c r="CR622" s="1"/>
  <c r="CQ622" s="1"/>
  <c r="CP622" s="1"/>
  <c r="CO622" s="1"/>
  <c r="CN622" s="1"/>
  <c r="CM622" s="1"/>
  <c r="CL622" s="1"/>
  <c r="CK622" s="1"/>
  <c r="CJ622" s="1"/>
  <c r="CI622" s="1"/>
  <c r="CX622"/>
  <c r="CT626"/>
  <c r="CS626" s="1"/>
  <c r="CR626" s="1"/>
  <c r="CQ626" s="1"/>
  <c r="CP626" s="1"/>
  <c r="CO626" s="1"/>
  <c r="CN626" s="1"/>
  <c r="CM626" s="1"/>
  <c r="CL626" s="1"/>
  <c r="CK626" s="1"/>
  <c r="CJ626" s="1"/>
  <c r="CI626" s="1"/>
  <c r="CX626"/>
  <c r="CT630"/>
  <c r="CS630" s="1"/>
  <c r="CR630" s="1"/>
  <c r="CQ630" s="1"/>
  <c r="CP630" s="1"/>
  <c r="CO630" s="1"/>
  <c r="CN630" s="1"/>
  <c r="CM630" s="1"/>
  <c r="CL630" s="1"/>
  <c r="CK630" s="1"/>
  <c r="CJ630" s="1"/>
  <c r="CI630" s="1"/>
  <c r="CX630"/>
  <c r="CT634"/>
  <c r="CS634" s="1"/>
  <c r="CR634" s="1"/>
  <c r="CQ634" s="1"/>
  <c r="CP634" s="1"/>
  <c r="CO634" s="1"/>
  <c r="CN634" s="1"/>
  <c r="CM634" s="1"/>
  <c r="CL634" s="1"/>
  <c r="CK634" s="1"/>
  <c r="CJ634" s="1"/>
  <c r="CI634" s="1"/>
  <c r="CX634"/>
  <c r="CT638"/>
  <c r="CS638" s="1"/>
  <c r="CR638" s="1"/>
  <c r="CQ638" s="1"/>
  <c r="CP638" s="1"/>
  <c r="CO638" s="1"/>
  <c r="CN638" s="1"/>
  <c r="CM638" s="1"/>
  <c r="CL638" s="1"/>
  <c r="CK638" s="1"/>
  <c r="CJ638" s="1"/>
  <c r="CI638" s="1"/>
  <c r="CX638"/>
  <c r="CT642"/>
  <c r="CS642" s="1"/>
  <c r="CR642" s="1"/>
  <c r="CQ642" s="1"/>
  <c r="CP642" s="1"/>
  <c r="CO642" s="1"/>
  <c r="CN642" s="1"/>
  <c r="CM642" s="1"/>
  <c r="CL642" s="1"/>
  <c r="CK642" s="1"/>
  <c r="CJ642" s="1"/>
  <c r="CI642" s="1"/>
  <c r="CX642"/>
  <c r="CT646"/>
  <c r="CS646" s="1"/>
  <c r="CR646" s="1"/>
  <c r="CQ646" s="1"/>
  <c r="CP646" s="1"/>
  <c r="CO646" s="1"/>
  <c r="CN646" s="1"/>
  <c r="CM646" s="1"/>
  <c r="CL646" s="1"/>
  <c r="CK646" s="1"/>
  <c r="CJ646" s="1"/>
  <c r="CI646" s="1"/>
  <c r="CX646"/>
  <c r="CT650"/>
  <c r="CS650" s="1"/>
  <c r="CR650" s="1"/>
  <c r="CQ650" s="1"/>
  <c r="CP650" s="1"/>
  <c r="CO650" s="1"/>
  <c r="CN650" s="1"/>
  <c r="CM650" s="1"/>
  <c r="CL650" s="1"/>
  <c r="CK650" s="1"/>
  <c r="CJ650" s="1"/>
  <c r="CI650" s="1"/>
  <c r="CX650"/>
  <c r="CT654"/>
  <c r="CS654" s="1"/>
  <c r="CR654" s="1"/>
  <c r="CQ654" s="1"/>
  <c r="CP654" s="1"/>
  <c r="CO654" s="1"/>
  <c r="CN654" s="1"/>
  <c r="CM654" s="1"/>
  <c r="CL654" s="1"/>
  <c r="CK654" s="1"/>
  <c r="CJ654" s="1"/>
  <c r="CI654" s="1"/>
  <c r="CX654"/>
  <c r="CT658"/>
  <c r="CS658" s="1"/>
  <c r="CR658" s="1"/>
  <c r="CQ658" s="1"/>
  <c r="CP658" s="1"/>
  <c r="CO658" s="1"/>
  <c r="CN658" s="1"/>
  <c r="CM658" s="1"/>
  <c r="CL658" s="1"/>
  <c r="CK658" s="1"/>
  <c r="CJ658" s="1"/>
  <c r="CI658" s="1"/>
  <c r="CX658"/>
  <c r="CT662"/>
  <c r="CS662" s="1"/>
  <c r="CR662" s="1"/>
  <c r="CQ662" s="1"/>
  <c r="CP662" s="1"/>
  <c r="CO662" s="1"/>
  <c r="CN662" s="1"/>
  <c r="CM662" s="1"/>
  <c r="CL662" s="1"/>
  <c r="CK662" s="1"/>
  <c r="CJ662" s="1"/>
  <c r="CI662" s="1"/>
  <c r="CX662"/>
  <c r="CT666"/>
  <c r="CS666" s="1"/>
  <c r="CR666" s="1"/>
  <c r="CQ666" s="1"/>
  <c r="CP666" s="1"/>
  <c r="CO666" s="1"/>
  <c r="CN666" s="1"/>
  <c r="CM666" s="1"/>
  <c r="CL666" s="1"/>
  <c r="CK666" s="1"/>
  <c r="CJ666" s="1"/>
  <c r="CI666" s="1"/>
  <c r="CX666"/>
  <c r="CT670"/>
  <c r="CS670" s="1"/>
  <c r="CR670" s="1"/>
  <c r="CQ670" s="1"/>
  <c r="CP670" s="1"/>
  <c r="CO670" s="1"/>
  <c r="CN670" s="1"/>
  <c r="CM670" s="1"/>
  <c r="CL670" s="1"/>
  <c r="CK670" s="1"/>
  <c r="CJ670" s="1"/>
  <c r="CI670" s="1"/>
  <c r="CX670"/>
  <c r="CT674"/>
  <c r="CS674" s="1"/>
  <c r="CR674" s="1"/>
  <c r="CQ674" s="1"/>
  <c r="CP674" s="1"/>
  <c r="CO674" s="1"/>
  <c r="CN674" s="1"/>
  <c r="CM674" s="1"/>
  <c r="CL674" s="1"/>
  <c r="CK674" s="1"/>
  <c r="CJ674" s="1"/>
  <c r="CI674" s="1"/>
  <c r="CX674"/>
  <c r="CT678"/>
  <c r="CS678" s="1"/>
  <c r="CR678" s="1"/>
  <c r="CQ678" s="1"/>
  <c r="CP678" s="1"/>
  <c r="CO678" s="1"/>
  <c r="CN678" s="1"/>
  <c r="CM678" s="1"/>
  <c r="CL678" s="1"/>
  <c r="CK678" s="1"/>
  <c r="CJ678" s="1"/>
  <c r="CI678" s="1"/>
  <c r="CX678"/>
  <c r="CT682"/>
  <c r="CS682" s="1"/>
  <c r="CR682" s="1"/>
  <c r="CQ682" s="1"/>
  <c r="CP682" s="1"/>
  <c r="CO682" s="1"/>
  <c r="CN682" s="1"/>
  <c r="CM682" s="1"/>
  <c r="CL682" s="1"/>
  <c r="CK682" s="1"/>
  <c r="CJ682" s="1"/>
  <c r="CI682" s="1"/>
  <c r="CX682"/>
  <c r="CT686"/>
  <c r="CS686" s="1"/>
  <c r="CR686" s="1"/>
  <c r="CQ686" s="1"/>
  <c r="CP686" s="1"/>
  <c r="CO686" s="1"/>
  <c r="CN686" s="1"/>
  <c r="CM686" s="1"/>
  <c r="CL686" s="1"/>
  <c r="CK686" s="1"/>
  <c r="CJ686" s="1"/>
  <c r="CI686" s="1"/>
  <c r="CX686"/>
  <c r="CT690"/>
  <c r="CS690" s="1"/>
  <c r="CR690" s="1"/>
  <c r="CQ690" s="1"/>
  <c r="CP690" s="1"/>
  <c r="CO690" s="1"/>
  <c r="CN690" s="1"/>
  <c r="CM690" s="1"/>
  <c r="CL690" s="1"/>
  <c r="CK690" s="1"/>
  <c r="CJ690" s="1"/>
  <c r="CI690" s="1"/>
  <c r="CX690"/>
  <c r="CT694"/>
  <c r="CS694" s="1"/>
  <c r="CR694" s="1"/>
  <c r="CQ694" s="1"/>
  <c r="CP694" s="1"/>
  <c r="CO694" s="1"/>
  <c r="CN694" s="1"/>
  <c r="CM694" s="1"/>
  <c r="CL694" s="1"/>
  <c r="CK694" s="1"/>
  <c r="CJ694" s="1"/>
  <c r="CI694" s="1"/>
  <c r="CX694"/>
  <c r="CT698"/>
  <c r="CS698" s="1"/>
  <c r="CR698" s="1"/>
  <c r="CQ698" s="1"/>
  <c r="CP698" s="1"/>
  <c r="CO698" s="1"/>
  <c r="CN698" s="1"/>
  <c r="CM698" s="1"/>
  <c r="CL698" s="1"/>
  <c r="CK698" s="1"/>
  <c r="CJ698" s="1"/>
  <c r="CI698" s="1"/>
  <c r="CX698"/>
  <c r="CT702"/>
  <c r="CS702" s="1"/>
  <c r="CR702" s="1"/>
  <c r="CQ702" s="1"/>
  <c r="CP702" s="1"/>
  <c r="CO702" s="1"/>
  <c r="CN702" s="1"/>
  <c r="CM702" s="1"/>
  <c r="CL702" s="1"/>
  <c r="CK702" s="1"/>
  <c r="CJ702" s="1"/>
  <c r="CI702" s="1"/>
  <c r="CX702"/>
  <c r="CT706"/>
  <c r="CS706" s="1"/>
  <c r="CR706" s="1"/>
  <c r="CQ706" s="1"/>
  <c r="CP706" s="1"/>
  <c r="CO706" s="1"/>
  <c r="CN706" s="1"/>
  <c r="CM706" s="1"/>
  <c r="CL706" s="1"/>
  <c r="CK706" s="1"/>
  <c r="CJ706" s="1"/>
  <c r="CI706" s="1"/>
  <c r="CX706"/>
  <c r="CT725"/>
  <c r="CS725" s="1"/>
  <c r="CR725" s="1"/>
  <c r="CQ725" s="1"/>
  <c r="CP725" s="1"/>
  <c r="CO725" s="1"/>
  <c r="CN725" s="1"/>
  <c r="CM725" s="1"/>
  <c r="CL725" s="1"/>
  <c r="CK725" s="1"/>
  <c r="CJ725" s="1"/>
  <c r="CI725" s="1"/>
  <c r="CX725"/>
  <c r="CT820"/>
  <c r="CS820" s="1"/>
  <c r="CR820" s="1"/>
  <c r="CQ820" s="1"/>
  <c r="CP820" s="1"/>
  <c r="CO820" s="1"/>
  <c r="CN820" s="1"/>
  <c r="CM820" s="1"/>
  <c r="CL820" s="1"/>
  <c r="CK820" s="1"/>
  <c r="CJ820" s="1"/>
  <c r="CI820" s="1"/>
  <c r="CX820"/>
  <c r="CT896"/>
  <c r="CS896" s="1"/>
  <c r="CR896" s="1"/>
  <c r="CQ896" s="1"/>
  <c r="CP896" s="1"/>
  <c r="CO896" s="1"/>
  <c r="CN896" s="1"/>
  <c r="CM896" s="1"/>
  <c r="CL896" s="1"/>
  <c r="CK896" s="1"/>
  <c r="CJ896" s="1"/>
  <c r="CI896" s="1"/>
  <c r="CX896"/>
  <c r="CT901"/>
  <c r="CS901" s="1"/>
  <c r="CR901" s="1"/>
  <c r="CQ901" s="1"/>
  <c r="CP901" s="1"/>
  <c r="CO901" s="1"/>
  <c r="CN901" s="1"/>
  <c r="CM901" s="1"/>
  <c r="CL901" s="1"/>
  <c r="CK901" s="1"/>
  <c r="CJ901" s="1"/>
  <c r="CI901" s="1"/>
  <c r="CX901"/>
  <c r="CT905"/>
  <c r="CS905" s="1"/>
  <c r="CR905" s="1"/>
  <c r="CQ905" s="1"/>
  <c r="CP905" s="1"/>
  <c r="CO905" s="1"/>
  <c r="CN905" s="1"/>
  <c r="CM905" s="1"/>
  <c r="CL905" s="1"/>
  <c r="CK905" s="1"/>
  <c r="CJ905" s="1"/>
  <c r="CI905" s="1"/>
  <c r="CX905"/>
  <c r="CT909"/>
  <c r="CS909" s="1"/>
  <c r="CR909" s="1"/>
  <c r="CQ909" s="1"/>
  <c r="CP909" s="1"/>
  <c r="CO909" s="1"/>
  <c r="CN909" s="1"/>
  <c r="CM909" s="1"/>
  <c r="CL909" s="1"/>
  <c r="CK909" s="1"/>
  <c r="CJ909" s="1"/>
  <c r="CI909" s="1"/>
  <c r="CX909"/>
  <c r="CT913"/>
  <c r="CS913" s="1"/>
  <c r="CR913" s="1"/>
  <c r="CQ913" s="1"/>
  <c r="CP913" s="1"/>
  <c r="CO913" s="1"/>
  <c r="CN913" s="1"/>
  <c r="CM913" s="1"/>
  <c r="CL913" s="1"/>
  <c r="CK913" s="1"/>
  <c r="CJ913" s="1"/>
  <c r="CI913" s="1"/>
  <c r="CX913"/>
  <c r="CT916"/>
  <c r="CS916" s="1"/>
  <c r="CR916" s="1"/>
  <c r="CQ916" s="1"/>
  <c r="CP916" s="1"/>
  <c r="CO916" s="1"/>
  <c r="CN916" s="1"/>
  <c r="CM916" s="1"/>
  <c r="CL916" s="1"/>
  <c r="CK916" s="1"/>
  <c r="CJ916" s="1"/>
  <c r="CI916" s="1"/>
  <c r="CX916"/>
  <c r="CT936"/>
  <c r="CS936" s="1"/>
  <c r="CR936" s="1"/>
  <c r="CQ936" s="1"/>
  <c r="CP936" s="1"/>
  <c r="CO936" s="1"/>
  <c r="CN936" s="1"/>
  <c r="CM936" s="1"/>
  <c r="CL936" s="1"/>
  <c r="CK936" s="1"/>
  <c r="CJ936" s="1"/>
  <c r="CI936" s="1"/>
  <c r="CX936"/>
  <c r="CT958"/>
  <c r="CS958" s="1"/>
  <c r="CR958" s="1"/>
  <c r="CQ958" s="1"/>
  <c r="CP958" s="1"/>
  <c r="CO958" s="1"/>
  <c r="CN958" s="1"/>
  <c r="CM958" s="1"/>
  <c r="CL958" s="1"/>
  <c r="CK958" s="1"/>
  <c r="CJ958" s="1"/>
  <c r="CI958" s="1"/>
  <c r="CX958"/>
  <c r="CT962"/>
  <c r="CS962" s="1"/>
  <c r="CR962" s="1"/>
  <c r="CQ962" s="1"/>
  <c r="CP962" s="1"/>
  <c r="CO962" s="1"/>
  <c r="CN962" s="1"/>
  <c r="CM962" s="1"/>
  <c r="CL962" s="1"/>
  <c r="CK962" s="1"/>
  <c r="CJ962" s="1"/>
  <c r="CI962" s="1"/>
  <c r="CX962"/>
  <c r="CT966"/>
  <c r="CS966" s="1"/>
  <c r="CR966" s="1"/>
  <c r="CQ966" s="1"/>
  <c r="CP966" s="1"/>
  <c r="CO966" s="1"/>
  <c r="CN966" s="1"/>
  <c r="CM966" s="1"/>
  <c r="CL966" s="1"/>
  <c r="CK966" s="1"/>
  <c r="CJ966" s="1"/>
  <c r="CI966" s="1"/>
  <c r="CX966"/>
  <c r="CT970"/>
  <c r="CS970" s="1"/>
  <c r="CR970" s="1"/>
  <c r="CQ970" s="1"/>
  <c r="CP970" s="1"/>
  <c r="CO970" s="1"/>
  <c r="CN970" s="1"/>
  <c r="CM970" s="1"/>
  <c r="CL970" s="1"/>
  <c r="CK970" s="1"/>
  <c r="CJ970" s="1"/>
  <c r="CI970" s="1"/>
  <c r="CX970"/>
  <c r="CT974"/>
  <c r="CS974" s="1"/>
  <c r="CR974" s="1"/>
  <c r="CQ974" s="1"/>
  <c r="CP974" s="1"/>
  <c r="CO974" s="1"/>
  <c r="CN974" s="1"/>
  <c r="CM974" s="1"/>
  <c r="CL974" s="1"/>
  <c r="CK974" s="1"/>
  <c r="CJ974" s="1"/>
  <c r="CI974" s="1"/>
  <c r="CX974"/>
  <c r="CT975"/>
  <c r="CS975" s="1"/>
  <c r="CR975" s="1"/>
  <c r="CQ975" s="1"/>
  <c r="CP975" s="1"/>
  <c r="CO975" s="1"/>
  <c r="CN975" s="1"/>
  <c r="CM975" s="1"/>
  <c r="CL975" s="1"/>
  <c r="CK975" s="1"/>
  <c r="CJ975" s="1"/>
  <c r="CI975" s="1"/>
  <c r="CX975"/>
  <c r="CT996"/>
  <c r="CS996" s="1"/>
  <c r="CR996" s="1"/>
  <c r="CQ996" s="1"/>
  <c r="CP996" s="1"/>
  <c r="CO996" s="1"/>
  <c r="CN996" s="1"/>
  <c r="CM996" s="1"/>
  <c r="CL996" s="1"/>
  <c r="CK996" s="1"/>
  <c r="CJ996" s="1"/>
  <c r="CI996" s="1"/>
  <c r="CX996"/>
  <c r="CT1000"/>
  <c r="CS1000" s="1"/>
  <c r="CR1000" s="1"/>
  <c r="CQ1000" s="1"/>
  <c r="CP1000" s="1"/>
  <c r="CO1000" s="1"/>
  <c r="CN1000" s="1"/>
  <c r="CM1000" s="1"/>
  <c r="CL1000" s="1"/>
  <c r="CK1000" s="1"/>
  <c r="CJ1000" s="1"/>
  <c r="CI1000" s="1"/>
  <c r="CX1000"/>
  <c r="CQ251"/>
  <c r="CP251" s="1"/>
  <c r="CR2"/>
  <c r="CT743"/>
  <c r="CS743" s="1"/>
  <c r="CR743" s="1"/>
  <c r="CQ743" s="1"/>
  <c r="CP743" s="1"/>
  <c r="CO743" s="1"/>
  <c r="CN743" s="1"/>
  <c r="CM743" s="1"/>
  <c r="CL743" s="1"/>
  <c r="CK743" s="1"/>
  <c r="CJ743" s="1"/>
  <c r="CI743" s="1"/>
  <c r="CX743"/>
  <c r="CT819"/>
  <c r="CS819" s="1"/>
  <c r="CR819" s="1"/>
  <c r="CQ819" s="1"/>
  <c r="CP819" s="1"/>
  <c r="CO819" s="1"/>
  <c r="CN819" s="1"/>
  <c r="CM819" s="1"/>
  <c r="CL819" s="1"/>
  <c r="CK819" s="1"/>
  <c r="CJ819" s="1"/>
  <c r="CI819" s="1"/>
  <c r="CX819"/>
  <c r="CT899"/>
  <c r="CS899" s="1"/>
  <c r="CR899" s="1"/>
  <c r="CQ899" s="1"/>
  <c r="CP899" s="1"/>
  <c r="CO899" s="1"/>
  <c r="CN899" s="1"/>
  <c r="CM899" s="1"/>
  <c r="CL899" s="1"/>
  <c r="CK899" s="1"/>
  <c r="CJ899" s="1"/>
  <c r="CI899" s="1"/>
  <c r="CX899"/>
  <c r="CT903"/>
  <c r="CS903" s="1"/>
  <c r="CR903" s="1"/>
  <c r="CQ903" s="1"/>
  <c r="CP903" s="1"/>
  <c r="CO903" s="1"/>
  <c r="CN903" s="1"/>
  <c r="CM903" s="1"/>
  <c r="CL903" s="1"/>
  <c r="CK903" s="1"/>
  <c r="CJ903" s="1"/>
  <c r="CI903" s="1"/>
  <c r="CX903"/>
  <c r="CT907"/>
  <c r="CS907" s="1"/>
  <c r="CR907" s="1"/>
  <c r="CQ907" s="1"/>
  <c r="CP907" s="1"/>
  <c r="CO907" s="1"/>
  <c r="CN907" s="1"/>
  <c r="CM907" s="1"/>
  <c r="CL907" s="1"/>
  <c r="CK907" s="1"/>
  <c r="CJ907" s="1"/>
  <c r="CI907" s="1"/>
  <c r="CX907"/>
  <c r="CT911"/>
  <c r="CS911" s="1"/>
  <c r="CR911" s="1"/>
  <c r="CQ911" s="1"/>
  <c r="CP911" s="1"/>
  <c r="CO911" s="1"/>
  <c r="CN911" s="1"/>
  <c r="CM911" s="1"/>
  <c r="CL911" s="1"/>
  <c r="CK911" s="1"/>
  <c r="CJ911" s="1"/>
  <c r="CI911" s="1"/>
  <c r="CX911"/>
  <c r="CT915"/>
  <c r="CS915" s="1"/>
  <c r="CR915" s="1"/>
  <c r="CQ915" s="1"/>
  <c r="CP915" s="1"/>
  <c r="CO915" s="1"/>
  <c r="CN915" s="1"/>
  <c r="CM915" s="1"/>
  <c r="CL915" s="1"/>
  <c r="CK915" s="1"/>
  <c r="CJ915" s="1"/>
  <c r="CI915" s="1"/>
  <c r="CX915"/>
  <c r="CT935"/>
  <c r="CS935" s="1"/>
  <c r="CR935" s="1"/>
  <c r="CQ935" s="1"/>
  <c r="CP935" s="1"/>
  <c r="CO935" s="1"/>
  <c r="CN935" s="1"/>
  <c r="CM935" s="1"/>
  <c r="CL935" s="1"/>
  <c r="CK935" s="1"/>
  <c r="CJ935" s="1"/>
  <c r="CI935" s="1"/>
  <c r="CX935"/>
  <c r="CT956"/>
  <c r="CS956" s="1"/>
  <c r="CR956" s="1"/>
  <c r="CQ956" s="1"/>
  <c r="CP956" s="1"/>
  <c r="CO956" s="1"/>
  <c r="CN956" s="1"/>
  <c r="CM956" s="1"/>
  <c r="CL956" s="1"/>
  <c r="CK956" s="1"/>
  <c r="CJ956" s="1"/>
  <c r="CI956" s="1"/>
  <c r="CX956"/>
  <c r="CT960"/>
  <c r="CS960" s="1"/>
  <c r="CR960" s="1"/>
  <c r="CQ960" s="1"/>
  <c r="CP960" s="1"/>
  <c r="CO960" s="1"/>
  <c r="CN960" s="1"/>
  <c r="CM960" s="1"/>
  <c r="CL960" s="1"/>
  <c r="CK960" s="1"/>
  <c r="CJ960" s="1"/>
  <c r="CI960" s="1"/>
  <c r="CX960"/>
  <c r="CT964"/>
  <c r="CS964" s="1"/>
  <c r="CR964" s="1"/>
  <c r="CQ964" s="1"/>
  <c r="CP964" s="1"/>
  <c r="CO964" s="1"/>
  <c r="CN964" s="1"/>
  <c r="CM964" s="1"/>
  <c r="CL964" s="1"/>
  <c r="CK964" s="1"/>
  <c r="CJ964" s="1"/>
  <c r="CI964" s="1"/>
  <c r="CX964"/>
  <c r="CT968"/>
  <c r="CS968" s="1"/>
  <c r="CR968" s="1"/>
  <c r="CQ968" s="1"/>
  <c r="CP968" s="1"/>
  <c r="CO968" s="1"/>
  <c r="CN968" s="1"/>
  <c r="CM968" s="1"/>
  <c r="CL968" s="1"/>
  <c r="CK968" s="1"/>
  <c r="CJ968" s="1"/>
  <c r="CI968" s="1"/>
  <c r="CX968"/>
  <c r="CT972"/>
  <c r="CS972" s="1"/>
  <c r="CR972" s="1"/>
  <c r="CQ972" s="1"/>
  <c r="CP972" s="1"/>
  <c r="CO972" s="1"/>
  <c r="CN972" s="1"/>
  <c r="CM972" s="1"/>
  <c r="CL972" s="1"/>
  <c r="CK972" s="1"/>
  <c r="CJ972" s="1"/>
  <c r="CI972" s="1"/>
  <c r="CX972"/>
  <c r="CT978"/>
  <c r="CS978" s="1"/>
  <c r="CR978" s="1"/>
  <c r="CQ978" s="1"/>
  <c r="CP978" s="1"/>
  <c r="CO978" s="1"/>
  <c r="CN978" s="1"/>
  <c r="CM978" s="1"/>
  <c r="CL978" s="1"/>
  <c r="CK978" s="1"/>
  <c r="CJ978" s="1"/>
  <c r="CI978" s="1"/>
  <c r="CX978"/>
  <c r="CT998"/>
  <c r="CS998" s="1"/>
  <c r="CR998" s="1"/>
  <c r="CQ998" s="1"/>
  <c r="CP998" s="1"/>
  <c r="CO998" s="1"/>
  <c r="CN998" s="1"/>
  <c r="CM998" s="1"/>
  <c r="CL998" s="1"/>
  <c r="CK998" s="1"/>
  <c r="CJ998" s="1"/>
  <c r="CI998" s="1"/>
  <c r="CX998"/>
  <c r="BU39" i="12"/>
  <c r="U39"/>
  <c r="R39"/>
  <c r="Q39"/>
  <c r="P39"/>
  <c r="CI38"/>
  <c r="BU38"/>
  <c r="U38"/>
  <c r="R38"/>
  <c r="Q38"/>
  <c r="P38"/>
  <c r="CI37"/>
  <c r="BU37"/>
  <c r="U37"/>
  <c r="R37"/>
  <c r="Q37"/>
  <c r="P37"/>
  <c r="CI36"/>
  <c r="BU36"/>
  <c r="U36"/>
  <c r="R36"/>
  <c r="Q36"/>
  <c r="P36"/>
  <c r="CI35"/>
  <c r="BU35"/>
  <c r="U35"/>
  <c r="R35"/>
  <c r="Q35"/>
  <c r="P35"/>
  <c r="CI34"/>
  <c r="BU34"/>
  <c r="U34"/>
  <c r="R34"/>
  <c r="Q34"/>
  <c r="P34"/>
  <c r="CI33"/>
  <c r="BU33"/>
  <c r="U33"/>
  <c r="R33"/>
  <c r="Q33"/>
  <c r="P33"/>
  <c r="CI32"/>
  <c r="BU32"/>
  <c r="U32"/>
  <c r="R32"/>
  <c r="Q32"/>
  <c r="P32"/>
  <c r="CI31"/>
  <c r="BU31"/>
  <c r="AH31"/>
  <c r="N94" s="1"/>
  <c r="AG31"/>
  <c r="AF31"/>
  <c r="AE31"/>
  <c r="M94" s="1"/>
  <c r="AD31"/>
  <c r="AC31"/>
  <c r="AB31"/>
  <c r="O94" s="1"/>
  <c r="AA31"/>
  <c r="Z31"/>
  <c r="Y31"/>
  <c r="L94" s="1"/>
  <c r="X31"/>
  <c r="W31"/>
  <c r="U31"/>
  <c r="CI30"/>
  <c r="BU30"/>
  <c r="AH30"/>
  <c r="N93" s="1"/>
  <c r="AG30"/>
  <c r="AF30"/>
  <c r="AE30"/>
  <c r="M93" s="1"/>
  <c r="AD30"/>
  <c r="AC30"/>
  <c r="AB30"/>
  <c r="O93" s="1"/>
  <c r="AA30"/>
  <c r="Z30"/>
  <c r="Y30"/>
  <c r="L93" s="1"/>
  <c r="X30"/>
  <c r="W30"/>
  <c r="U30"/>
  <c r="CI29"/>
  <c r="Y133" l="1"/>
  <c r="Z133" s="1"/>
  <c r="Y132"/>
  <c r="Z132" s="1"/>
  <c r="CO251" i="22"/>
  <c r="CN251" s="1"/>
  <c r="CP2"/>
  <c r="CO2" s="1"/>
  <c r="CQ2"/>
  <c r="AI30" i="12"/>
  <c r="AI31"/>
  <c r="BU29"/>
  <c r="AH29"/>
  <c r="N92" s="1"/>
  <c r="AG29"/>
  <c r="AF29"/>
  <c r="CE30" s="1"/>
  <c r="AE29"/>
  <c r="M92" s="1"/>
  <c r="AD29"/>
  <c r="AC29"/>
  <c r="AB29"/>
  <c r="O92" s="1"/>
  <c r="AA29"/>
  <c r="Z29"/>
  <c r="Y29"/>
  <c r="L92" s="1"/>
  <c r="X29"/>
  <c r="BW30" s="1"/>
  <c r="W29"/>
  <c r="BV30" s="1"/>
  <c r="U29"/>
  <c r="CI28"/>
  <c r="BU28"/>
  <c r="AH28"/>
  <c r="N91" s="1"/>
  <c r="AG28"/>
  <c r="AF28"/>
  <c r="AE28"/>
  <c r="M91" s="1"/>
  <c r="AD28"/>
  <c r="AC28"/>
  <c r="AB28"/>
  <c r="O91" s="1"/>
  <c r="AA28"/>
  <c r="Z28"/>
  <c r="Y28"/>
  <c r="L91" s="1"/>
  <c r="X28"/>
  <c r="W28"/>
  <c r="U28"/>
  <c r="R28"/>
  <c r="CI27"/>
  <c r="BU27"/>
  <c r="AH27"/>
  <c r="N90" s="1"/>
  <c r="AG27"/>
  <c r="AF27"/>
  <c r="AE27"/>
  <c r="M90" s="1"/>
  <c r="AD27"/>
  <c r="AC27"/>
  <c r="AB27"/>
  <c r="O90" s="1"/>
  <c r="AA27"/>
  <c r="Z27"/>
  <c r="Y27"/>
  <c r="L90" s="1"/>
  <c r="X27"/>
  <c r="W27"/>
  <c r="U27"/>
  <c r="R27"/>
  <c r="CI26"/>
  <c r="BU26"/>
  <c r="AH26"/>
  <c r="N89" s="1"/>
  <c r="AG26"/>
  <c r="AF26"/>
  <c r="AE26"/>
  <c r="M89" s="1"/>
  <c r="AD26"/>
  <c r="AC26"/>
  <c r="AB26"/>
  <c r="O89" s="1"/>
  <c r="AA26"/>
  <c r="Z26"/>
  <c r="Y26"/>
  <c r="L89" s="1"/>
  <c r="X26"/>
  <c r="W26"/>
  <c r="U26"/>
  <c r="R26"/>
  <c r="CI25"/>
  <c r="BU25"/>
  <c r="AH25"/>
  <c r="N88" s="1"/>
  <c r="AG25"/>
  <c r="AF25"/>
  <c r="AE25"/>
  <c r="M88" s="1"/>
  <c r="AD25"/>
  <c r="AC25"/>
  <c r="AB25"/>
  <c r="O88" s="1"/>
  <c r="AA25"/>
  <c r="Z25"/>
  <c r="Y25"/>
  <c r="L88" s="1"/>
  <c r="X25"/>
  <c r="W25"/>
  <c r="U25"/>
  <c r="R25"/>
  <c r="CI24"/>
  <c r="BU24"/>
  <c r="AH24"/>
  <c r="N87" s="1"/>
  <c r="AG24"/>
  <c r="AF24"/>
  <c r="AE24"/>
  <c r="M87" s="1"/>
  <c r="AD24"/>
  <c r="AC24"/>
  <c r="AB24"/>
  <c r="O87" s="1"/>
  <c r="AA24"/>
  <c r="Z24"/>
  <c r="Y24"/>
  <c r="L87" s="1"/>
  <c r="X24"/>
  <c r="W24"/>
  <c r="U24"/>
  <c r="R24"/>
  <c r="CI23"/>
  <c r="BU23"/>
  <c r="AH23"/>
  <c r="N86" s="1"/>
  <c r="AG23"/>
  <c r="AF23"/>
  <c r="AE23"/>
  <c r="M86" s="1"/>
  <c r="AD23"/>
  <c r="AC23"/>
  <c r="AB23"/>
  <c r="O86" s="1"/>
  <c r="AA23"/>
  <c r="Z23"/>
  <c r="Y23"/>
  <c r="L86" s="1"/>
  <c r="X23"/>
  <c r="W23"/>
  <c r="U23"/>
  <c r="R23"/>
  <c r="CI22"/>
  <c r="BU22"/>
  <c r="AH22"/>
  <c r="N85" s="1"/>
  <c r="AG22"/>
  <c r="AF22"/>
  <c r="AE22"/>
  <c r="M85" s="1"/>
  <c r="AD22"/>
  <c r="AC22"/>
  <c r="AB22"/>
  <c r="O85" s="1"/>
  <c r="AA22"/>
  <c r="Z22"/>
  <c r="Y22"/>
  <c r="L85" s="1"/>
  <c r="X22"/>
  <c r="W22"/>
  <c r="U22"/>
  <c r="R22"/>
  <c r="CI21"/>
  <c r="BU21"/>
  <c r="AH21"/>
  <c r="N84" s="1"/>
  <c r="AG21"/>
  <c r="AF21"/>
  <c r="AE21"/>
  <c r="M84" s="1"/>
  <c r="AD21"/>
  <c r="AC21"/>
  <c r="AB21"/>
  <c r="O84" s="1"/>
  <c r="AA21"/>
  <c r="Z21"/>
  <c r="Y21"/>
  <c r="L84" s="1"/>
  <c r="X21"/>
  <c r="W21"/>
  <c r="U21"/>
  <c r="R21"/>
  <c r="CU20"/>
  <c r="CT20"/>
  <c r="CS20"/>
  <c r="CR20"/>
  <c r="CQ20"/>
  <c r="CP20"/>
  <c r="CO20"/>
  <c r="CN20"/>
  <c r="CM20"/>
  <c r="CL20"/>
  <c r="Y123" l="1"/>
  <c r="Z123" s="1"/>
  <c r="Y124"/>
  <c r="Z124" s="1"/>
  <c r="Y125"/>
  <c r="Z125" s="1"/>
  <c r="Y126"/>
  <c r="Z126" s="1"/>
  <c r="Y127"/>
  <c r="Z127" s="1"/>
  <c r="Y128"/>
  <c r="Z128" s="1"/>
  <c r="Y129"/>
  <c r="Z129" s="1"/>
  <c r="Y130"/>
  <c r="Z130" s="1"/>
  <c r="CG30"/>
  <c r="P70"/>
  <c r="P69"/>
  <c r="P67"/>
  <c r="P68"/>
  <c r="P66"/>
  <c r="P64"/>
  <c r="P62"/>
  <c r="P60"/>
  <c r="P65"/>
  <c r="P63"/>
  <c r="P61"/>
  <c r="Y131"/>
  <c r="Z131" s="1"/>
  <c r="CM251" i="22"/>
  <c r="CL251" s="1"/>
  <c r="CN2"/>
  <c r="CM2" s="1"/>
  <c r="BW29" i="12"/>
  <c r="AI22"/>
  <c r="AI23"/>
  <c r="BZ22"/>
  <c r="CD22"/>
  <c r="CF22"/>
  <c r="BX23"/>
  <c r="BZ23"/>
  <c r="CB23"/>
  <c r="CD23"/>
  <c r="CF23"/>
  <c r="AI24"/>
  <c r="BX24"/>
  <c r="BZ24"/>
  <c r="CB24"/>
  <c r="CD24"/>
  <c r="CF24"/>
  <c r="AI25"/>
  <c r="BX25"/>
  <c r="BZ25"/>
  <c r="CB25"/>
  <c r="CD25"/>
  <c r="CF25"/>
  <c r="AI26"/>
  <c r="BX26"/>
  <c r="BZ26"/>
  <c r="CB26"/>
  <c r="CD26"/>
  <c r="CF26"/>
  <c r="AI27"/>
  <c r="BX27"/>
  <c r="BZ27"/>
  <c r="CB27"/>
  <c r="CD27"/>
  <c r="CF27"/>
  <c r="AI28"/>
  <c r="BX28"/>
  <c r="BZ28"/>
  <c r="CB28"/>
  <c r="CD28"/>
  <c r="CF28"/>
  <c r="BX22"/>
  <c r="CB22"/>
  <c r="BW22"/>
  <c r="BY22"/>
  <c r="CA22"/>
  <c r="CC22"/>
  <c r="CE22"/>
  <c r="CG22"/>
  <c r="BV22"/>
  <c r="BW23"/>
  <c r="BY23"/>
  <c r="CA23"/>
  <c r="CC23"/>
  <c r="CE23"/>
  <c r="CG23"/>
  <c r="BV23"/>
  <c r="BW24"/>
  <c r="BY24"/>
  <c r="CA24"/>
  <c r="CC24"/>
  <c r="CE24"/>
  <c r="CG24"/>
  <c r="BV24"/>
  <c r="BW25"/>
  <c r="BY25"/>
  <c r="CA25"/>
  <c r="CC25"/>
  <c r="CE25"/>
  <c r="CG25"/>
  <c r="BV25"/>
  <c r="BW26"/>
  <c r="BY26"/>
  <c r="CA26"/>
  <c r="CC26"/>
  <c r="CE26"/>
  <c r="CG26"/>
  <c r="BV26"/>
  <c r="BW27"/>
  <c r="BY27"/>
  <c r="CA27"/>
  <c r="CC27"/>
  <c r="CE27"/>
  <c r="CG27"/>
  <c r="BV27"/>
  <c r="BY28"/>
  <c r="CA28"/>
  <c r="CC28"/>
  <c r="CE28"/>
  <c r="CG28"/>
  <c r="BV28"/>
  <c r="CG68"/>
  <c r="CF68" s="1"/>
  <c r="CE68" s="1"/>
  <c r="CD68" s="1"/>
  <c r="CC68" s="1"/>
  <c r="CB68" s="1"/>
  <c r="CA68" s="1"/>
  <c r="BZ68" s="1"/>
  <c r="BY68" s="1"/>
  <c r="BX68" s="1"/>
  <c r="BW68" s="1"/>
  <c r="BV68" s="1"/>
  <c r="AI21"/>
  <c r="BW28"/>
  <c r="BY29"/>
  <c r="CA29"/>
  <c r="CC29"/>
  <c r="CE29"/>
  <c r="CG29"/>
  <c r="BV29"/>
  <c r="CA30"/>
  <c r="CC30"/>
  <c r="BY30"/>
  <c r="BX29"/>
  <c r="BX30"/>
  <c r="BZ29"/>
  <c r="BZ30"/>
  <c r="CB30"/>
  <c r="CB29"/>
  <c r="CD29"/>
  <c r="CD30"/>
  <c r="CF30"/>
  <c r="CF29"/>
  <c r="AI29"/>
  <c r="CK20"/>
  <c r="CJ20"/>
  <c r="CI20"/>
  <c r="CG20"/>
  <c r="CF20"/>
  <c r="CE20"/>
  <c r="CD20"/>
  <c r="CC20"/>
  <c r="CB20"/>
  <c r="CA20"/>
  <c r="BZ20"/>
  <c r="BY20"/>
  <c r="BX20"/>
  <c r="BW20"/>
  <c r="BV20"/>
  <c r="BU20"/>
  <c r="U20"/>
  <c r="R20"/>
  <c r="U19"/>
  <c r="R19"/>
  <c r="AH18"/>
  <c r="AG18"/>
  <c r="AF18"/>
  <c r="AE18"/>
  <c r="AD18"/>
  <c r="AC18"/>
  <c r="AB18"/>
  <c r="AA18"/>
  <c r="Z18"/>
  <c r="Y18"/>
  <c r="X18"/>
  <c r="W18"/>
  <c r="U18"/>
  <c r="R18"/>
  <c r="AH17"/>
  <c r="AG17"/>
  <c r="AF17"/>
  <c r="AE17"/>
  <c r="AD17"/>
  <c r="AC17"/>
  <c r="AB17"/>
  <c r="AA17"/>
  <c r="Z17"/>
  <c r="Y17"/>
  <c r="X17"/>
  <c r="W17"/>
  <c r="U17"/>
  <c r="R17"/>
  <c r="K17"/>
  <c r="J17"/>
  <c r="X16"/>
  <c r="U16"/>
  <c r="R16"/>
  <c r="M16"/>
  <c r="L16"/>
  <c r="X15"/>
  <c r="U15"/>
  <c r="R15"/>
  <c r="M15"/>
  <c r="L15"/>
  <c r="AL14"/>
  <c r="X14"/>
  <c r="U14"/>
  <c r="R14"/>
  <c r="M14"/>
  <c r="L14"/>
  <c r="X13"/>
  <c r="U13"/>
  <c r="R13"/>
  <c r="M13"/>
  <c r="L13"/>
  <c r="X12"/>
  <c r="U12"/>
  <c r="R12"/>
  <c r="M12"/>
  <c r="L12"/>
  <c r="X11"/>
  <c r="U11"/>
  <c r="R11"/>
  <c r="M11"/>
  <c r="L11"/>
  <c r="X10"/>
  <c r="U10"/>
  <c r="S10"/>
  <c r="R10"/>
  <c r="M10"/>
  <c r="L10"/>
  <c r="X9"/>
  <c r="U9"/>
  <c r="R9"/>
  <c r="M9"/>
  <c r="L9"/>
  <c r="X8"/>
  <c r="U8"/>
  <c r="R8"/>
  <c r="M8"/>
  <c r="L8"/>
  <c r="X7"/>
  <c r="U7"/>
  <c r="R7"/>
  <c r="O7" s="1"/>
  <c r="M7"/>
  <c r="L7"/>
  <c r="X6"/>
  <c r="U6"/>
  <c r="S6"/>
  <c r="R6"/>
  <c r="O6"/>
  <c r="M6"/>
  <c r="L6"/>
  <c r="X5"/>
  <c r="U5"/>
  <c r="R5"/>
  <c r="M5"/>
  <c r="L5"/>
  <c r="L17" s="1"/>
  <c r="AK427" i="21"/>
  <c r="AJ427"/>
  <c r="AK424"/>
  <c r="AJ424"/>
  <c r="AL418"/>
  <c r="AK418"/>
  <c r="AJ418"/>
  <c r="AL417"/>
  <c r="AK417"/>
  <c r="AJ417"/>
  <c r="AL415"/>
  <c r="AK415"/>
  <c r="AJ415"/>
  <c r="AJ411"/>
  <c r="AD411"/>
  <c r="AJ408"/>
  <c r="AK407"/>
  <c r="AJ407"/>
  <c r="AH407"/>
  <c r="AK406" s="1"/>
  <c r="AJ406" s="1"/>
  <c r="AL405"/>
  <c r="AK405"/>
  <c r="AJ405"/>
  <c r="AL404"/>
  <c r="AK404"/>
  <c r="AJ404"/>
  <c r="AI400"/>
  <c r="AI417" s="1"/>
  <c r="AH400"/>
  <c r="AH417" s="1"/>
  <c r="AI399"/>
  <c r="AI405" s="1"/>
  <c r="AH399"/>
  <c r="AH405" s="1"/>
  <c r="AI398"/>
  <c r="AI404" s="1"/>
  <c r="AH398"/>
  <c r="AH404" s="1"/>
  <c r="AK393"/>
  <c r="AJ393" s="1"/>
  <c r="AK392"/>
  <c r="AJ392"/>
  <c r="AK391"/>
  <c r="AJ391"/>
  <c r="AI391" s="1"/>
  <c r="AE390"/>
  <c r="AD390"/>
  <c r="AE386"/>
  <c r="AB384"/>
  <c r="AK408" s="1"/>
  <c r="AA384"/>
  <c r="Z384"/>
  <c r="AB373"/>
  <c r="AA373"/>
  <c r="Z373"/>
  <c r="AB368"/>
  <c r="AA368"/>
  <c r="Z368"/>
  <c r="AJ346"/>
  <c r="AI346"/>
  <c r="AH346" s="1"/>
  <c r="AG346"/>
  <c r="AJ345"/>
  <c r="AH345"/>
  <c r="AJ343"/>
  <c r="AI343"/>
  <c r="AH343"/>
  <c r="AG343"/>
  <c r="AJ337"/>
  <c r="AI337"/>
  <c r="AH337"/>
  <c r="AG337"/>
  <c r="AJ336"/>
  <c r="AI336"/>
  <c r="AH336"/>
  <c r="AG336"/>
  <c r="AE336"/>
  <c r="AD336"/>
  <c r="AJ335"/>
  <c r="AI335"/>
  <c r="AH335"/>
  <c r="AG335"/>
  <c r="AE335"/>
  <c r="AD335"/>
  <c r="AJ334"/>
  <c r="AI334"/>
  <c r="AH334"/>
  <c r="AG334"/>
  <c r="AE334"/>
  <c r="AD334"/>
  <c r="AJ333"/>
  <c r="AI333"/>
  <c r="AH333"/>
  <c r="AG333"/>
  <c r="AE333"/>
  <c r="AD333"/>
  <c r="AJ332"/>
  <c r="AI332"/>
  <c r="AH332"/>
  <c r="AG332"/>
  <c r="AJ331" s="1"/>
  <c r="AI331"/>
  <c r="AH331" s="1"/>
  <c r="AG331"/>
  <c r="AJ330"/>
  <c r="AI330"/>
  <c r="AH330"/>
  <c r="AG330"/>
  <c r="AE330"/>
  <c r="AD330"/>
  <c r="AJ329"/>
  <c r="AI329"/>
  <c r="AH329"/>
  <c r="AG329"/>
  <c r="AJ328"/>
  <c r="AI328"/>
  <c r="AH328"/>
  <c r="AG328"/>
  <c r="AJ327"/>
  <c r="AI327"/>
  <c r="AH327"/>
  <c r="AG327"/>
  <c r="AJ326"/>
  <c r="AI326"/>
  <c r="AH326"/>
  <c r="AG326"/>
  <c r="AJ325"/>
  <c r="AI325"/>
  <c r="AH325"/>
  <c r="AG325"/>
  <c r="AJ322"/>
  <c r="AI322"/>
  <c r="AH322"/>
  <c r="AG322"/>
  <c r="AE322"/>
  <c r="AD322"/>
  <c r="AI392" l="1"/>
  <c r="AI416"/>
  <c r="M17" i="12"/>
  <c r="O8"/>
  <c r="O9" s="1"/>
  <c r="O10" s="1"/>
  <c r="O11" s="1"/>
  <c r="O12" s="1"/>
  <c r="O13" s="1"/>
  <c r="O14" s="1"/>
  <c r="O15" s="1"/>
  <c r="O16" s="1"/>
  <c r="O17" s="1"/>
  <c r="O18" s="1"/>
  <c r="O19" s="1"/>
  <c r="AH391" i="21"/>
  <c r="AH392"/>
  <c r="CK251" i="22"/>
  <c r="CJ251" s="1"/>
  <c r="CL2"/>
  <c r="CK2" s="1"/>
  <c r="AI406" i="21"/>
  <c r="AI415"/>
  <c r="AH415" s="1"/>
  <c r="X36" i="12"/>
  <c r="X35"/>
  <c r="X34"/>
  <c r="X33"/>
  <c r="X32"/>
  <c r="AB36"/>
  <c r="O99" s="1"/>
  <c r="AB35"/>
  <c r="O98" s="1"/>
  <c r="AB34"/>
  <c r="O97" s="1"/>
  <c r="AB33"/>
  <c r="O96" s="1"/>
  <c r="AB32"/>
  <c r="O95" s="1"/>
  <c r="AF36"/>
  <c r="AF35"/>
  <c r="AF34"/>
  <c r="AF33"/>
  <c r="AF32"/>
  <c r="W36"/>
  <c r="W35"/>
  <c r="W34"/>
  <c r="W33"/>
  <c r="W32"/>
  <c r="Y45"/>
  <c r="L108" s="1"/>
  <c r="Y35"/>
  <c r="L98" s="1"/>
  <c r="Y34"/>
  <c r="L97" s="1"/>
  <c r="Y33"/>
  <c r="L96" s="1"/>
  <c r="Y32"/>
  <c r="L95" s="1"/>
  <c r="AA36"/>
  <c r="AA35"/>
  <c r="AA34"/>
  <c r="AA33"/>
  <c r="AA32"/>
  <c r="AC45"/>
  <c r="AC59" s="1"/>
  <c r="AC35"/>
  <c r="AC34"/>
  <c r="AC33"/>
  <c r="AC32"/>
  <c r="AE36"/>
  <c r="M99" s="1"/>
  <c r="AE35"/>
  <c r="M98" s="1"/>
  <c r="AE34"/>
  <c r="M97" s="1"/>
  <c r="AE33"/>
  <c r="M96" s="1"/>
  <c r="AE32"/>
  <c r="M95" s="1"/>
  <c r="AG45"/>
  <c r="AG59" s="1"/>
  <c r="AG35"/>
  <c r="AG34"/>
  <c r="AG33"/>
  <c r="AG32"/>
  <c r="Z45"/>
  <c r="Z63" s="1"/>
  <c r="Z35"/>
  <c r="Z34"/>
  <c r="Z33"/>
  <c r="Z32"/>
  <c r="AD45"/>
  <c r="AD62" s="1"/>
  <c r="AD35"/>
  <c r="AD34"/>
  <c r="AD33"/>
  <c r="AD32"/>
  <c r="AH45"/>
  <c r="N108" s="1"/>
  <c r="AH35"/>
  <c r="N98" s="1"/>
  <c r="AH34"/>
  <c r="N97" s="1"/>
  <c r="AH33"/>
  <c r="N96" s="1"/>
  <c r="AH32"/>
  <c r="N95" s="1"/>
  <c r="AD313" i="21"/>
  <c r="AI298"/>
  <c r="AG298"/>
  <c r="AI297"/>
  <c r="AG297"/>
  <c r="AD63" i="12" l="1"/>
  <c r="P73"/>
  <c r="P71"/>
  <c r="P74"/>
  <c r="P72"/>
  <c r="AH63"/>
  <c r="N126" s="1"/>
  <c r="Y135"/>
  <c r="Z135" s="1"/>
  <c r="Y137"/>
  <c r="Z137" s="1"/>
  <c r="Y134"/>
  <c r="Z134" s="1"/>
  <c r="Y136"/>
  <c r="Z136" s="1"/>
  <c r="Z165"/>
  <c r="AC144"/>
  <c r="AC146"/>
  <c r="AC148"/>
  <c r="AC150"/>
  <c r="AC152"/>
  <c r="AC154"/>
  <c r="AC156"/>
  <c r="AC158"/>
  <c r="AC160"/>
  <c r="AC162"/>
  <c r="AC164"/>
  <c r="AC166"/>
  <c r="AC168"/>
  <c r="AC170"/>
  <c r="AC136"/>
  <c r="AC138"/>
  <c r="AC140"/>
  <c r="AC142"/>
  <c r="AB134"/>
  <c r="AB136"/>
  <c r="AB138"/>
  <c r="AB140"/>
  <c r="AB142"/>
  <c r="AB144"/>
  <c r="AB146"/>
  <c r="AB148"/>
  <c r="AB150"/>
  <c r="AB152"/>
  <c r="AB154"/>
  <c r="AB156"/>
  <c r="AB158"/>
  <c r="AB160"/>
  <c r="AB162"/>
  <c r="AB164"/>
  <c r="AB166"/>
  <c r="AB168"/>
  <c r="AB170"/>
  <c r="AC143"/>
  <c r="AC145"/>
  <c r="AC147"/>
  <c r="AC149"/>
  <c r="AC151"/>
  <c r="AC153"/>
  <c r="AC155"/>
  <c r="AC157"/>
  <c r="AC159"/>
  <c r="AC161"/>
  <c r="AC163"/>
  <c r="AC165"/>
  <c r="AC167"/>
  <c r="AC169"/>
  <c r="AC135"/>
  <c r="AC137"/>
  <c r="AC139"/>
  <c r="AC141"/>
  <c r="AC134"/>
  <c r="AB135"/>
  <c r="AB137"/>
  <c r="AB139"/>
  <c r="AB141"/>
  <c r="AB143"/>
  <c r="AB145"/>
  <c r="AB147"/>
  <c r="AB149"/>
  <c r="AB151"/>
  <c r="AB153"/>
  <c r="AB155"/>
  <c r="AB157"/>
  <c r="AB159"/>
  <c r="AB161"/>
  <c r="AB163"/>
  <c r="AB165"/>
  <c r="AB167"/>
  <c r="AB169"/>
  <c r="BU18"/>
  <c r="O20"/>
  <c r="O21" s="1"/>
  <c r="O22" s="1"/>
  <c r="O23" s="1"/>
  <c r="O24" s="1"/>
  <c r="O25" s="1"/>
  <c r="O26" s="1"/>
  <c r="O27" s="1"/>
  <c r="O28" s="1"/>
  <c r="Z161"/>
  <c r="Z164"/>
  <c r="Y64"/>
  <c r="L127" s="1"/>
  <c r="Z160"/>
  <c r="Z143"/>
  <c r="Z145"/>
  <c r="Z146"/>
  <c r="Z148"/>
  <c r="Z150"/>
  <c r="Z152"/>
  <c r="Z154"/>
  <c r="Z156"/>
  <c r="Z158"/>
  <c r="Z144"/>
  <c r="Z147"/>
  <c r="Z149"/>
  <c r="Z151"/>
  <c r="Z153"/>
  <c r="Z155"/>
  <c r="Z157"/>
  <c r="Z159"/>
  <c r="Y147"/>
  <c r="Z166"/>
  <c r="Z162"/>
  <c r="Z163"/>
  <c r="AC63"/>
  <c r="AG61"/>
  <c r="Y61"/>
  <c r="L124" s="1"/>
  <c r="AG64"/>
  <c r="CF65" s="1"/>
  <c r="AG63"/>
  <c r="AC61"/>
  <c r="AC64"/>
  <c r="CB65" s="1"/>
  <c r="Y63"/>
  <c r="L126" s="1"/>
  <c r="AG60"/>
  <c r="AG62"/>
  <c r="AC60"/>
  <c r="AC62"/>
  <c r="Y60"/>
  <c r="L123" s="1"/>
  <c r="Y62"/>
  <c r="L125" s="1"/>
  <c r="Y59"/>
  <c r="L122" s="1"/>
  <c r="CI251" i="22"/>
  <c r="CJ2"/>
  <c r="CI2" s="1"/>
  <c r="AD64" i="12"/>
  <c r="CC65" s="1"/>
  <c r="AD61"/>
  <c r="AD59"/>
  <c r="AD60"/>
  <c r="CG34"/>
  <c r="BY34"/>
  <c r="AH62"/>
  <c r="N125" s="1"/>
  <c r="AH59"/>
  <c r="N122" s="1"/>
  <c r="Z60"/>
  <c r="AH406" i="21"/>
  <c r="AI393"/>
  <c r="AI408"/>
  <c r="AI407"/>
  <c r="AH60" i="12"/>
  <c r="N123" s="1"/>
  <c r="Z59"/>
  <c r="Z62"/>
  <c r="CF34"/>
  <c r="CE34" s="1"/>
  <c r="CB34"/>
  <c r="BX34"/>
  <c r="BW34" s="1"/>
  <c r="CG33"/>
  <c r="CC32"/>
  <c r="CC31"/>
  <c r="AD54"/>
  <c r="AD53"/>
  <c r="AD52"/>
  <c r="AD51"/>
  <c r="AD58"/>
  <c r="AD57"/>
  <c r="AD56"/>
  <c r="AD55"/>
  <c r="AD50"/>
  <c r="AD49"/>
  <c r="AD48"/>
  <c r="AD47"/>
  <c r="AD46"/>
  <c r="AD44"/>
  <c r="AD43"/>
  <c r="AD42"/>
  <c r="AD41"/>
  <c r="AD40"/>
  <c r="AD39"/>
  <c r="AD38"/>
  <c r="AD37"/>
  <c r="BY33"/>
  <c r="BX65"/>
  <c r="CF33"/>
  <c r="CD32"/>
  <c r="CD31"/>
  <c r="AD36"/>
  <c r="CB33"/>
  <c r="BZ32"/>
  <c r="BZ31"/>
  <c r="Z36"/>
  <c r="BY35" s="1"/>
  <c r="BX33"/>
  <c r="BV32"/>
  <c r="AI32"/>
  <c r="BV31"/>
  <c r="AI34"/>
  <c r="BV34"/>
  <c r="CE33"/>
  <c r="CE35"/>
  <c r="CA32"/>
  <c r="CA31"/>
  <c r="BW33"/>
  <c r="BW35"/>
  <c r="AH64"/>
  <c r="N127" s="1"/>
  <c r="AH61"/>
  <c r="N124" s="1"/>
  <c r="Z64"/>
  <c r="Z61"/>
  <c r="CC34"/>
  <c r="CD34"/>
  <c r="BZ34"/>
  <c r="CA34"/>
  <c r="CG32"/>
  <c r="CG31"/>
  <c r="AH54"/>
  <c r="N117" s="1"/>
  <c r="AH53"/>
  <c r="N116" s="1"/>
  <c r="AH52"/>
  <c r="N115" s="1"/>
  <c r="AH51"/>
  <c r="N114" s="1"/>
  <c r="AH58"/>
  <c r="N121" s="1"/>
  <c r="AH57"/>
  <c r="N120" s="1"/>
  <c r="AH56"/>
  <c r="N119" s="1"/>
  <c r="AH55"/>
  <c r="N118" s="1"/>
  <c r="AH50"/>
  <c r="N113" s="1"/>
  <c r="AH49"/>
  <c r="N112" s="1"/>
  <c r="AH48"/>
  <c r="N111" s="1"/>
  <c r="AH47"/>
  <c r="N110" s="1"/>
  <c r="AH46"/>
  <c r="N109" s="1"/>
  <c r="AH44"/>
  <c r="N107" s="1"/>
  <c r="AH43"/>
  <c r="N106" s="1"/>
  <c r="AH42"/>
  <c r="N105" s="1"/>
  <c r="AH41"/>
  <c r="N104" s="1"/>
  <c r="AH40"/>
  <c r="N103" s="1"/>
  <c r="AH39"/>
  <c r="N102" s="1"/>
  <c r="AH38"/>
  <c r="N101" s="1"/>
  <c r="AH37"/>
  <c r="N100" s="1"/>
  <c r="CC33"/>
  <c r="BY32"/>
  <c r="BY31"/>
  <c r="Z54"/>
  <c r="Z53"/>
  <c r="Z52"/>
  <c r="Z51"/>
  <c r="Z58"/>
  <c r="Z57"/>
  <c r="Z56"/>
  <c r="Z55"/>
  <c r="Z50"/>
  <c r="Z49"/>
  <c r="Z48"/>
  <c r="Z47"/>
  <c r="Z46"/>
  <c r="Z44"/>
  <c r="Z43"/>
  <c r="Z42"/>
  <c r="Z40"/>
  <c r="Z41"/>
  <c r="Z39"/>
  <c r="Z38"/>
  <c r="Z37"/>
  <c r="CF32"/>
  <c r="CF31"/>
  <c r="AF45"/>
  <c r="AG58"/>
  <c r="AG57"/>
  <c r="AG56"/>
  <c r="AG55"/>
  <c r="AG50"/>
  <c r="AG54"/>
  <c r="AG53"/>
  <c r="AG52"/>
  <c r="AG51"/>
  <c r="AG49"/>
  <c r="AG48"/>
  <c r="AG47"/>
  <c r="AG46"/>
  <c r="AG44"/>
  <c r="AG43"/>
  <c r="AG42"/>
  <c r="AG41"/>
  <c r="AG40"/>
  <c r="AG39"/>
  <c r="AG38"/>
  <c r="AG37"/>
  <c r="CD33"/>
  <c r="CD35"/>
  <c r="CB32"/>
  <c r="CB31"/>
  <c r="AB45"/>
  <c r="O108" s="1"/>
  <c r="AC58"/>
  <c r="AC57"/>
  <c r="AC56"/>
  <c r="AC55"/>
  <c r="AC50"/>
  <c r="AC54"/>
  <c r="AC53"/>
  <c r="AC52"/>
  <c r="AC51"/>
  <c r="AC49"/>
  <c r="AC48"/>
  <c r="AC47"/>
  <c r="AC46"/>
  <c r="AC44"/>
  <c r="AC43"/>
  <c r="AC42"/>
  <c r="AC41"/>
  <c r="AC40"/>
  <c r="AC39"/>
  <c r="AC38"/>
  <c r="AC37"/>
  <c r="BZ33"/>
  <c r="BZ35"/>
  <c r="BX32"/>
  <c r="BX31"/>
  <c r="X45"/>
  <c r="Y58"/>
  <c r="L121" s="1"/>
  <c r="Y57"/>
  <c r="L120" s="1"/>
  <c r="Y56"/>
  <c r="L119" s="1"/>
  <c r="Y55"/>
  <c r="L118" s="1"/>
  <c r="Y54"/>
  <c r="L117" s="1"/>
  <c r="Y53"/>
  <c r="L116" s="1"/>
  <c r="Y52"/>
  <c r="L115" s="1"/>
  <c r="Y51"/>
  <c r="L114" s="1"/>
  <c r="Y49"/>
  <c r="L112" s="1"/>
  <c r="Y48"/>
  <c r="L111" s="1"/>
  <c r="Y50"/>
  <c r="L113" s="1"/>
  <c r="Y47"/>
  <c r="L110" s="1"/>
  <c r="Y46"/>
  <c r="L109" s="1"/>
  <c r="Y44"/>
  <c r="L107" s="1"/>
  <c r="Y43"/>
  <c r="L106" s="1"/>
  <c r="Y42"/>
  <c r="L105" s="1"/>
  <c r="Y41"/>
  <c r="L104" s="1"/>
  <c r="Y40"/>
  <c r="L103" s="1"/>
  <c r="Y39"/>
  <c r="L102" s="1"/>
  <c r="Y38"/>
  <c r="L101" s="1"/>
  <c r="Y37"/>
  <c r="L100" s="1"/>
  <c r="AI33"/>
  <c r="BV33"/>
  <c r="AI35"/>
  <c r="BV35"/>
  <c r="CE32"/>
  <c r="CE31"/>
  <c r="CA33"/>
  <c r="CA35"/>
  <c r="BW32"/>
  <c r="BW31"/>
  <c r="CC62" l="1"/>
  <c r="CC64"/>
  <c r="Y139"/>
  <c r="Z139" s="1"/>
  <c r="Y140"/>
  <c r="Z140" s="1"/>
  <c r="Y142"/>
  <c r="Z142" s="1"/>
  <c r="Y144"/>
  <c r="Y146"/>
  <c r="Y149"/>
  <c r="Y150"/>
  <c r="Y153"/>
  <c r="Y155"/>
  <c r="Y157"/>
  <c r="Y159"/>
  <c r="Y161"/>
  <c r="Y162"/>
  <c r="Y163"/>
  <c r="Y141"/>
  <c r="Z141" s="1"/>
  <c r="Y143"/>
  <c r="Y145"/>
  <c r="Y148"/>
  <c r="Y152"/>
  <c r="Y151"/>
  <c r="Y154"/>
  <c r="Y156"/>
  <c r="Y158"/>
  <c r="Y160"/>
  <c r="CG63"/>
  <c r="Y164"/>
  <c r="Y165"/>
  <c r="Y166"/>
  <c r="CB62"/>
  <c r="BX62"/>
  <c r="CB64"/>
  <c r="CG62"/>
  <c r="CC63"/>
  <c r="CF60"/>
  <c r="CB61"/>
  <c r="BX61"/>
  <c r="CF62"/>
  <c r="CF64"/>
  <c r="CF61"/>
  <c r="CF63"/>
  <c r="BX63"/>
  <c r="AT27"/>
  <c r="BX64"/>
  <c r="CB63"/>
  <c r="CB60"/>
  <c r="CC35"/>
  <c r="AT28"/>
  <c r="BB70" s="1"/>
  <c r="BX60"/>
  <c r="BY62"/>
  <c r="CG60"/>
  <c r="CC60"/>
  <c r="BY60"/>
  <c r="CG45"/>
  <c r="AT41"/>
  <c r="BB83" s="1"/>
  <c r="BY48"/>
  <c r="BY50"/>
  <c r="BY56"/>
  <c r="BY58"/>
  <c r="BY52"/>
  <c r="BY54"/>
  <c r="CG38"/>
  <c r="CG40"/>
  <c r="CG42"/>
  <c r="CG46"/>
  <c r="CG48"/>
  <c r="CG50"/>
  <c r="CG56"/>
  <c r="CG58"/>
  <c r="CG52"/>
  <c r="CG54"/>
  <c r="AT33"/>
  <c r="BB75" s="1"/>
  <c r="BX38"/>
  <c r="BX40"/>
  <c r="BX42"/>
  <c r="BX44"/>
  <c r="CB38"/>
  <c r="CB40"/>
  <c r="CB42"/>
  <c r="CB45"/>
  <c r="CF52"/>
  <c r="CF54"/>
  <c r="CC38"/>
  <c r="CC40"/>
  <c r="CC42"/>
  <c r="CC44"/>
  <c r="AP33"/>
  <c r="AH408" i="21"/>
  <c r="AH393"/>
  <c r="BX52" i="12"/>
  <c r="BX54"/>
  <c r="BX56"/>
  <c r="BX58"/>
  <c r="CB56"/>
  <c r="CB58"/>
  <c r="CF46"/>
  <c r="AP26"/>
  <c r="AX68" s="1"/>
  <c r="BY44"/>
  <c r="CC48"/>
  <c r="CC50"/>
  <c r="CC56"/>
  <c r="CC58"/>
  <c r="CC52"/>
  <c r="CC54"/>
  <c r="BX49"/>
  <c r="BX39"/>
  <c r="BX41"/>
  <c r="BX43"/>
  <c r="BX51"/>
  <c r="BX53"/>
  <c r="BX55"/>
  <c r="BX57"/>
  <c r="W45"/>
  <c r="X54"/>
  <c r="X53"/>
  <c r="X52"/>
  <c r="X51"/>
  <c r="X58"/>
  <c r="X57"/>
  <c r="X56"/>
  <c r="X55"/>
  <c r="X50"/>
  <c r="X49"/>
  <c r="X48"/>
  <c r="X47"/>
  <c r="X46"/>
  <c r="X44"/>
  <c r="X43"/>
  <c r="X42"/>
  <c r="X41"/>
  <c r="X40"/>
  <c r="X39"/>
  <c r="X38"/>
  <c r="X37"/>
  <c r="X62"/>
  <c r="X60"/>
  <c r="X63"/>
  <c r="X61"/>
  <c r="X64"/>
  <c r="X59"/>
  <c r="CB39"/>
  <c r="CB41"/>
  <c r="CB43"/>
  <c r="CB49"/>
  <c r="CB55"/>
  <c r="CB57"/>
  <c r="AA45"/>
  <c r="AB54"/>
  <c r="O117" s="1"/>
  <c r="AB53"/>
  <c r="O116" s="1"/>
  <c r="AB52"/>
  <c r="O115" s="1"/>
  <c r="AB51"/>
  <c r="O114" s="1"/>
  <c r="AB58"/>
  <c r="O121" s="1"/>
  <c r="AB57"/>
  <c r="O120" s="1"/>
  <c r="AB56"/>
  <c r="O119" s="1"/>
  <c r="AB55"/>
  <c r="O118" s="1"/>
  <c r="AB50"/>
  <c r="O113" s="1"/>
  <c r="AB49"/>
  <c r="O112" s="1"/>
  <c r="AB48"/>
  <c r="O111" s="1"/>
  <c r="AB47"/>
  <c r="O110" s="1"/>
  <c r="AB46"/>
  <c r="O109" s="1"/>
  <c r="AB44"/>
  <c r="O107" s="1"/>
  <c r="AB43"/>
  <c r="O106" s="1"/>
  <c r="AB42"/>
  <c r="O105" s="1"/>
  <c r="AB41"/>
  <c r="O104" s="1"/>
  <c r="AB40"/>
  <c r="O103" s="1"/>
  <c r="AB39"/>
  <c r="O102" s="1"/>
  <c r="AB38"/>
  <c r="O101" s="1"/>
  <c r="AB37"/>
  <c r="O100" s="1"/>
  <c r="AB63"/>
  <c r="O126" s="1"/>
  <c r="AB61"/>
  <c r="O124" s="1"/>
  <c r="AB64"/>
  <c r="O127" s="1"/>
  <c r="AB62"/>
  <c r="O125" s="1"/>
  <c r="AB60"/>
  <c r="O123" s="1"/>
  <c r="AB59"/>
  <c r="O122" s="1"/>
  <c r="CF47"/>
  <c r="CF51"/>
  <c r="CF53"/>
  <c r="BY37"/>
  <c r="AP29"/>
  <c r="BY39"/>
  <c r="AP30"/>
  <c r="BY43"/>
  <c r="AP32"/>
  <c r="BY47"/>
  <c r="AP34"/>
  <c r="BY49"/>
  <c r="AP35"/>
  <c r="BY55"/>
  <c r="AP38"/>
  <c r="BY57"/>
  <c r="AP39"/>
  <c r="BY51"/>
  <c r="AP36"/>
  <c r="BY53"/>
  <c r="AP37"/>
  <c r="CG39"/>
  <c r="CG41"/>
  <c r="CG43"/>
  <c r="CG47"/>
  <c r="CG49"/>
  <c r="CG55"/>
  <c r="CG57"/>
  <c r="CG51"/>
  <c r="CG53"/>
  <c r="BY64"/>
  <c r="BY65"/>
  <c r="CG61"/>
  <c r="AC36"/>
  <c r="CB37" s="1"/>
  <c r="CC36"/>
  <c r="CC37"/>
  <c r="AT29"/>
  <c r="CC39"/>
  <c r="AT30"/>
  <c r="CC41"/>
  <c r="AT31"/>
  <c r="CC43"/>
  <c r="AT32"/>
  <c r="CC47"/>
  <c r="AT34"/>
  <c r="CC49"/>
  <c r="AT35"/>
  <c r="CC55"/>
  <c r="AT38"/>
  <c r="CC57"/>
  <c r="AT39"/>
  <c r="CC51"/>
  <c r="AT36"/>
  <c r="CC53"/>
  <c r="AT37"/>
  <c r="BX46"/>
  <c r="BX50"/>
  <c r="BX48"/>
  <c r="CB46"/>
  <c r="CB52"/>
  <c r="CB54"/>
  <c r="CF40"/>
  <c r="CF42"/>
  <c r="CF44"/>
  <c r="CF48"/>
  <c r="CF50"/>
  <c r="CF56"/>
  <c r="CF58"/>
  <c r="BX59"/>
  <c r="CB59"/>
  <c r="CF59"/>
  <c r="BY40"/>
  <c r="BY45"/>
  <c r="AP25"/>
  <c r="AP43"/>
  <c r="AP24"/>
  <c r="AP23"/>
  <c r="CG44"/>
  <c r="AP40"/>
  <c r="CC45"/>
  <c r="AT25"/>
  <c r="AT21"/>
  <c r="BB63" s="1"/>
  <c r="AT44"/>
  <c r="AT43"/>
  <c r="AT26"/>
  <c r="CC59"/>
  <c r="BY63"/>
  <c r="BX47"/>
  <c r="CB47"/>
  <c r="AS34"/>
  <c r="CB51"/>
  <c r="CB53"/>
  <c r="CF39"/>
  <c r="CF41"/>
  <c r="CF43"/>
  <c r="CF49"/>
  <c r="CF55"/>
  <c r="CF57"/>
  <c r="AE45"/>
  <c r="M108" s="1"/>
  <c r="AF54"/>
  <c r="AF53"/>
  <c r="AF52"/>
  <c r="AF51"/>
  <c r="AF58"/>
  <c r="AF57"/>
  <c r="AF56"/>
  <c r="AF55"/>
  <c r="AF50"/>
  <c r="AF49"/>
  <c r="AF48"/>
  <c r="AF47"/>
  <c r="AF46"/>
  <c r="AF44"/>
  <c r="AF43"/>
  <c r="AF42"/>
  <c r="AF41"/>
  <c r="AF40"/>
  <c r="AF39"/>
  <c r="AF38"/>
  <c r="AF37"/>
  <c r="AF62"/>
  <c r="AF60"/>
  <c r="AF59"/>
  <c r="AF63"/>
  <c r="AF61"/>
  <c r="AF64"/>
  <c r="AX75"/>
  <c r="BY41"/>
  <c r="AP31"/>
  <c r="BB69"/>
  <c r="BY61"/>
  <c r="AP41"/>
  <c r="CG64"/>
  <c r="CG65"/>
  <c r="Y36"/>
  <c r="L99" s="1"/>
  <c r="BY36"/>
  <c r="BX45"/>
  <c r="CB48"/>
  <c r="CB50"/>
  <c r="CF45"/>
  <c r="AP22"/>
  <c r="Z69"/>
  <c r="Z171" s="1"/>
  <c r="AP21"/>
  <c r="AX63" s="1"/>
  <c r="AP44"/>
  <c r="CF38"/>
  <c r="BY59"/>
  <c r="CG59"/>
  <c r="AP28"/>
  <c r="AP27"/>
  <c r="CB44"/>
  <c r="AT24"/>
  <c r="AT23"/>
  <c r="AT22"/>
  <c r="AD69"/>
  <c r="AT42"/>
  <c r="AT40"/>
  <c r="AP42"/>
  <c r="AJ260" i="21"/>
  <c r="AI260"/>
  <c r="AH260"/>
  <c r="AG260"/>
  <c r="AJ259"/>
  <c r="AI259"/>
  <c r="AH259"/>
  <c r="AG259"/>
  <c r="AF259"/>
  <c r="AJ258"/>
  <c r="AI258"/>
  <c r="AH258"/>
  <c r="AG258"/>
  <c r="AI257"/>
  <c r="AH257" s="1"/>
  <c r="AG257"/>
  <c r="AJ256"/>
  <c r="AI256"/>
  <c r="AH256"/>
  <c r="AG256"/>
  <c r="AJ255"/>
  <c r="AI255"/>
  <c r="AH255"/>
  <c r="AG255"/>
  <c r="AJ254"/>
  <c r="AI254"/>
  <c r="AH254"/>
  <c r="AG254"/>
  <c r="AF333"/>
  <c r="AF251"/>
  <c r="AF250"/>
  <c r="AF248"/>
  <c r="AF247"/>
  <c r="AF336" s="1"/>
  <c r="AF246"/>
  <c r="AF245"/>
  <c r="AF334" s="1"/>
  <c r="AF244"/>
  <c r="AF335" s="1"/>
  <c r="AF241"/>
  <c r="AF330" s="1"/>
  <c r="AF240"/>
  <c r="AF239"/>
  <c r="AF238"/>
  <c r="AF258" s="1"/>
  <c r="AJ257" s="1"/>
  <c r="AF235"/>
  <c r="AJ230"/>
  <c r="AI230"/>
  <c r="AH230"/>
  <c r="AG230"/>
  <c r="AJ229"/>
  <c r="AI229"/>
  <c r="AH229"/>
  <c r="AG229"/>
  <c r="AF229" s="1"/>
  <c r="AS37" i="12" l="1"/>
  <c r="BA79" s="1"/>
  <c r="AS36"/>
  <c r="BA78" s="1"/>
  <c r="AF230" i="21"/>
  <c r="Y138" i="12"/>
  <c r="Z138" s="1"/>
  <c r="CQ33"/>
  <c r="CQ27"/>
  <c r="CQ28"/>
  <c r="AF260" i="21"/>
  <c r="CA46" i="12"/>
  <c r="CE46"/>
  <c r="CA45"/>
  <c r="CM33"/>
  <c r="CA59"/>
  <c r="BW46"/>
  <c r="CE38"/>
  <c r="CE40"/>
  <c r="CE42"/>
  <c r="CE44"/>
  <c r="CA38"/>
  <c r="CA40"/>
  <c r="CA42"/>
  <c r="CA48"/>
  <c r="CA50"/>
  <c r="CA56"/>
  <c r="CA52"/>
  <c r="CA54"/>
  <c r="BW45"/>
  <c r="AF322" i="21"/>
  <c r="AF254"/>
  <c r="AF255"/>
  <c r="CE60" i="12"/>
  <c r="CE48"/>
  <c r="CE50"/>
  <c r="CE56"/>
  <c r="CE58"/>
  <c r="CE52"/>
  <c r="CE54"/>
  <c r="AR40"/>
  <c r="AZ82" s="1"/>
  <c r="CA62"/>
  <c r="BW38"/>
  <c r="BW40"/>
  <c r="BW42"/>
  <c r="BW48"/>
  <c r="BW50"/>
  <c r="BW56"/>
  <c r="BW52"/>
  <c r="BW54"/>
  <c r="AF256" i="21"/>
  <c r="AF257" s="1"/>
  <c r="BB82" i="12"/>
  <c r="CQ40"/>
  <c r="BB65"/>
  <c r="CQ23"/>
  <c r="AX70"/>
  <c r="CM28"/>
  <c r="AX73"/>
  <c r="CM31"/>
  <c r="CE63"/>
  <c r="AV42"/>
  <c r="AX84"/>
  <c r="CM42"/>
  <c r="BB84"/>
  <c r="CQ42"/>
  <c r="BB64"/>
  <c r="CQ22"/>
  <c r="BB66"/>
  <c r="CQ24"/>
  <c r="AX69"/>
  <c r="CM27"/>
  <c r="AX86"/>
  <c r="CM44"/>
  <c r="BX36"/>
  <c r="BW36" s="1"/>
  <c r="AO41"/>
  <c r="AO42"/>
  <c r="BX35"/>
  <c r="AO40"/>
  <c r="AO21"/>
  <c r="AW63" s="1"/>
  <c r="AO25"/>
  <c r="AO27"/>
  <c r="AO28"/>
  <c r="AO26"/>
  <c r="AO43"/>
  <c r="AO44"/>
  <c r="AO22"/>
  <c r="AO24"/>
  <c r="Y69"/>
  <c r="Y74"/>
  <c r="AO23"/>
  <c r="AO33"/>
  <c r="CE61"/>
  <c r="AV41"/>
  <c r="CE37"/>
  <c r="AV29"/>
  <c r="AV22"/>
  <c r="AV27"/>
  <c r="AV28"/>
  <c r="AV44"/>
  <c r="AV24"/>
  <c r="AF69"/>
  <c r="AV23"/>
  <c r="AV26"/>
  <c r="AV21"/>
  <c r="BD63" s="1"/>
  <c r="AV25"/>
  <c r="AV43"/>
  <c r="CE36"/>
  <c r="CE41"/>
  <c r="AV31"/>
  <c r="CE43"/>
  <c r="AV32"/>
  <c r="CE47"/>
  <c r="AV34"/>
  <c r="CE49"/>
  <c r="AV35"/>
  <c r="CE55"/>
  <c r="AV38"/>
  <c r="CE57"/>
  <c r="AV39"/>
  <c r="CE51"/>
  <c r="AV36"/>
  <c r="CE53"/>
  <c r="AV37"/>
  <c r="AE58"/>
  <c r="M121" s="1"/>
  <c r="AE57"/>
  <c r="M120" s="1"/>
  <c r="AE56"/>
  <c r="M119" s="1"/>
  <c r="AE55"/>
  <c r="M118" s="1"/>
  <c r="AE50"/>
  <c r="M113" s="1"/>
  <c r="AE54"/>
  <c r="M117" s="1"/>
  <c r="AE53"/>
  <c r="M116" s="1"/>
  <c r="AE52"/>
  <c r="M115" s="1"/>
  <c r="AE51"/>
  <c r="M114" s="1"/>
  <c r="AE49"/>
  <c r="M112" s="1"/>
  <c r="AE48"/>
  <c r="M111" s="1"/>
  <c r="AE47"/>
  <c r="M110" s="1"/>
  <c r="AE46"/>
  <c r="M109" s="1"/>
  <c r="AE44"/>
  <c r="M107" s="1"/>
  <c r="AE43"/>
  <c r="M106" s="1"/>
  <c r="AE42"/>
  <c r="M105" s="1"/>
  <c r="AE41"/>
  <c r="M104" s="1"/>
  <c r="AE40"/>
  <c r="M103" s="1"/>
  <c r="AE39"/>
  <c r="M102" s="1"/>
  <c r="AE38"/>
  <c r="M101" s="1"/>
  <c r="AE37"/>
  <c r="M100" s="1"/>
  <c r="AE59"/>
  <c r="M122" s="1"/>
  <c r="AE62"/>
  <c r="M125" s="1"/>
  <c r="AE60"/>
  <c r="M123" s="1"/>
  <c r="AE64"/>
  <c r="M127" s="1"/>
  <c r="AE63"/>
  <c r="M126" s="1"/>
  <c r="AE61"/>
  <c r="M124" s="1"/>
  <c r="BB85"/>
  <c r="CQ43"/>
  <c r="AX66"/>
  <c r="CM24"/>
  <c r="AX67"/>
  <c r="CM25"/>
  <c r="BB79"/>
  <c r="CQ37"/>
  <c r="BB78"/>
  <c r="CQ36"/>
  <c r="BB81"/>
  <c r="CQ39"/>
  <c r="BB80"/>
  <c r="CQ38"/>
  <c r="BB77"/>
  <c r="CQ35"/>
  <c r="BB76"/>
  <c r="CQ34"/>
  <c r="BB74"/>
  <c r="CQ32"/>
  <c r="BB73"/>
  <c r="CQ31"/>
  <c r="BB72"/>
  <c r="CQ30"/>
  <c r="BB71"/>
  <c r="CQ29"/>
  <c r="CA64"/>
  <c r="CA65"/>
  <c r="CA63"/>
  <c r="AR42"/>
  <c r="CA37"/>
  <c r="AR29"/>
  <c r="AR26"/>
  <c r="AR43"/>
  <c r="AR25"/>
  <c r="AR21"/>
  <c r="AZ63" s="1"/>
  <c r="AR44"/>
  <c r="AB69"/>
  <c r="AR23"/>
  <c r="AR24"/>
  <c r="AB74"/>
  <c r="AR22"/>
  <c r="CA36"/>
  <c r="AR27"/>
  <c r="AR28"/>
  <c r="CA39"/>
  <c r="AR30"/>
  <c r="CA41"/>
  <c r="AR31"/>
  <c r="CA43"/>
  <c r="AR32"/>
  <c r="CA47"/>
  <c r="AR34"/>
  <c r="CA49"/>
  <c r="AR35"/>
  <c r="CA55"/>
  <c r="AR38"/>
  <c r="CA57"/>
  <c r="AR39"/>
  <c r="CA51"/>
  <c r="AR36"/>
  <c r="CA53"/>
  <c r="AR37"/>
  <c r="AA58"/>
  <c r="AA57"/>
  <c r="AA56"/>
  <c r="AA55"/>
  <c r="AA50"/>
  <c r="AA54"/>
  <c r="AA53"/>
  <c r="AA52"/>
  <c r="AA51"/>
  <c r="AA49"/>
  <c r="AA48"/>
  <c r="AA47"/>
  <c r="AA46"/>
  <c r="AA44"/>
  <c r="AA43"/>
  <c r="AA42"/>
  <c r="AA41"/>
  <c r="AA40"/>
  <c r="AA39"/>
  <c r="AA38"/>
  <c r="AA37"/>
  <c r="AA59"/>
  <c r="AA62"/>
  <c r="AA60"/>
  <c r="AA64"/>
  <c r="AA63"/>
  <c r="AA61"/>
  <c r="BW64"/>
  <c r="BW65"/>
  <c r="BW63"/>
  <c r="AN42"/>
  <c r="BW37"/>
  <c r="AN29"/>
  <c r="AN21"/>
  <c r="AV63" s="1"/>
  <c r="AN25"/>
  <c r="AN27"/>
  <c r="AN28"/>
  <c r="AN24"/>
  <c r="AN22"/>
  <c r="AN43"/>
  <c r="AN44"/>
  <c r="AN26"/>
  <c r="X69"/>
  <c r="AN23"/>
  <c r="BW39"/>
  <c r="AN30"/>
  <c r="BW41"/>
  <c r="AN31"/>
  <c r="BW43"/>
  <c r="AN32"/>
  <c r="BW47"/>
  <c r="AN34"/>
  <c r="BW49"/>
  <c r="AN35"/>
  <c r="BW55"/>
  <c r="AN38"/>
  <c r="BW57"/>
  <c r="AN39"/>
  <c r="BW51"/>
  <c r="AN36"/>
  <c r="BW53"/>
  <c r="AN37"/>
  <c r="W58"/>
  <c r="W57"/>
  <c r="W56"/>
  <c r="W55"/>
  <c r="W54"/>
  <c r="W53"/>
  <c r="W52"/>
  <c r="W51"/>
  <c r="W50"/>
  <c r="AI50" s="1"/>
  <c r="AI45"/>
  <c r="W49"/>
  <c r="W48"/>
  <c r="W47"/>
  <c r="W46"/>
  <c r="W44"/>
  <c r="W43"/>
  <c r="W42"/>
  <c r="W41"/>
  <c r="W40"/>
  <c r="W39"/>
  <c r="W38"/>
  <c r="W37"/>
  <c r="W59"/>
  <c r="W62"/>
  <c r="W60"/>
  <c r="W64"/>
  <c r="W63"/>
  <c r="W61"/>
  <c r="CQ41"/>
  <c r="AV40"/>
  <c r="CE62"/>
  <c r="AV30"/>
  <c r="CE45"/>
  <c r="CE39"/>
  <c r="CB36"/>
  <c r="CA60"/>
  <c r="CA44"/>
  <c r="BW62"/>
  <c r="BW44"/>
  <c r="BX37"/>
  <c r="AX64"/>
  <c r="CM22"/>
  <c r="AX83"/>
  <c r="CM41"/>
  <c r="CE64"/>
  <c r="CE65"/>
  <c r="BA76"/>
  <c r="BB68"/>
  <c r="CQ26"/>
  <c r="BB86"/>
  <c r="CQ44"/>
  <c r="BB67"/>
  <c r="CQ25"/>
  <c r="AX82"/>
  <c r="CM40"/>
  <c r="AX65"/>
  <c r="CM23"/>
  <c r="AX85"/>
  <c r="CM43"/>
  <c r="AS41"/>
  <c r="AS42"/>
  <c r="AS27"/>
  <c r="AS28"/>
  <c r="AS40"/>
  <c r="AS26"/>
  <c r="AS43"/>
  <c r="AS21"/>
  <c r="BA63" s="1"/>
  <c r="AS23"/>
  <c r="AS25"/>
  <c r="CB35"/>
  <c r="AC69"/>
  <c r="AS44"/>
  <c r="AS22"/>
  <c r="AS24"/>
  <c r="AS33"/>
  <c r="AX79"/>
  <c r="CM37"/>
  <c r="AX78"/>
  <c r="CM36"/>
  <c r="AX81"/>
  <c r="CM39"/>
  <c r="AX80"/>
  <c r="CM38"/>
  <c r="AX77"/>
  <c r="CM35"/>
  <c r="AX76"/>
  <c r="CM34"/>
  <c r="AX74"/>
  <c r="CM32"/>
  <c r="AX72"/>
  <c r="CM30"/>
  <c r="AX71"/>
  <c r="CM29"/>
  <c r="CA61"/>
  <c r="AR41"/>
  <c r="BW59"/>
  <c r="AN40"/>
  <c r="BW61"/>
  <c r="AN41"/>
  <c r="AV33"/>
  <c r="AO34"/>
  <c r="CE59"/>
  <c r="AR33"/>
  <c r="CA58"/>
  <c r="AS39"/>
  <c r="AS38"/>
  <c r="AS35"/>
  <c r="AS32"/>
  <c r="AS31"/>
  <c r="AS30"/>
  <c r="AS29"/>
  <c r="BW60"/>
  <c r="AN33"/>
  <c r="BW58"/>
  <c r="AO39"/>
  <c r="AO38"/>
  <c r="AO37"/>
  <c r="AO36"/>
  <c r="AO32"/>
  <c r="AO31"/>
  <c r="AO30"/>
  <c r="AO29"/>
  <c r="AO35"/>
  <c r="CM26"/>
  <c r="Y171" l="1"/>
  <c r="BV44"/>
  <c r="BZ42"/>
  <c r="BY42" s="1"/>
  <c r="BV59"/>
  <c r="CD46"/>
  <c r="CC46" s="1"/>
  <c r="CO40"/>
  <c r="CD39"/>
  <c r="AI44"/>
  <c r="AI54"/>
  <c r="BZ46"/>
  <c r="BY46" s="1"/>
  <c r="BV54"/>
  <c r="BV50"/>
  <c r="BZ38"/>
  <c r="BY38" s="1"/>
  <c r="BZ40"/>
  <c r="BZ44"/>
  <c r="CD38"/>
  <c r="CD40"/>
  <c r="CD42"/>
  <c r="CD44"/>
  <c r="BZ56"/>
  <c r="CD56"/>
  <c r="AM33"/>
  <c r="AU75" s="1"/>
  <c r="AW77"/>
  <c r="CL35"/>
  <c r="AW74"/>
  <c r="CL32"/>
  <c r="AW81"/>
  <c r="CL39"/>
  <c r="AV75"/>
  <c r="CK33"/>
  <c r="BA73"/>
  <c r="CP31"/>
  <c r="BD75"/>
  <c r="CS33"/>
  <c r="AV82"/>
  <c r="CK40"/>
  <c r="AW71"/>
  <c r="CL29"/>
  <c r="AW73"/>
  <c r="CL31"/>
  <c r="AW78"/>
  <c r="CL36"/>
  <c r="AW80"/>
  <c r="CL38"/>
  <c r="BA72"/>
  <c r="CP30"/>
  <c r="BA74"/>
  <c r="CP32"/>
  <c r="BA80"/>
  <c r="CP38"/>
  <c r="AZ75"/>
  <c r="CO33"/>
  <c r="AW76"/>
  <c r="CL34"/>
  <c r="BA66"/>
  <c r="CP24"/>
  <c r="BA86"/>
  <c r="CP44"/>
  <c r="BA65"/>
  <c r="CP23"/>
  <c r="BA85"/>
  <c r="CP43"/>
  <c r="BA82"/>
  <c r="CP40"/>
  <c r="BA69"/>
  <c r="CP27"/>
  <c r="BA83"/>
  <c r="CP41"/>
  <c r="BD72"/>
  <c r="CS30"/>
  <c r="BD82"/>
  <c r="CS40"/>
  <c r="BV61"/>
  <c r="AI61"/>
  <c r="AM41"/>
  <c r="BV65"/>
  <c r="AI64"/>
  <c r="BV64"/>
  <c r="BV62"/>
  <c r="AI62"/>
  <c r="AI38"/>
  <c r="BV38"/>
  <c r="BV40"/>
  <c r="AI40"/>
  <c r="BV42"/>
  <c r="AI42"/>
  <c r="BV47"/>
  <c r="AI47"/>
  <c r="AM34"/>
  <c r="BV49"/>
  <c r="AI49"/>
  <c r="AM35"/>
  <c r="BV51"/>
  <c r="AI51"/>
  <c r="AM36"/>
  <c r="BV53"/>
  <c r="AI53"/>
  <c r="AM37"/>
  <c r="BV55"/>
  <c r="AI55"/>
  <c r="AM38"/>
  <c r="BV57"/>
  <c r="AI57"/>
  <c r="AM39"/>
  <c r="AV79"/>
  <c r="CK37"/>
  <c r="AV78"/>
  <c r="CK36"/>
  <c r="AV81"/>
  <c r="CK39"/>
  <c r="AV80"/>
  <c r="CK38"/>
  <c r="AV77"/>
  <c r="CK35"/>
  <c r="AV76"/>
  <c r="CK34"/>
  <c r="AV74"/>
  <c r="CK32"/>
  <c r="AV73"/>
  <c r="CK31"/>
  <c r="AV72"/>
  <c r="CK30"/>
  <c r="AV65"/>
  <c r="CK23"/>
  <c r="AV68"/>
  <c r="CK26"/>
  <c r="AV85"/>
  <c r="CK43"/>
  <c r="AV66"/>
  <c r="CK24"/>
  <c r="AV69"/>
  <c r="CK27"/>
  <c r="BZ63"/>
  <c r="AQ42"/>
  <c r="BZ59"/>
  <c r="AQ40"/>
  <c r="BZ37"/>
  <c r="AQ29"/>
  <c r="AQ44"/>
  <c r="AQ22"/>
  <c r="AQ24"/>
  <c r="AA69"/>
  <c r="AQ26"/>
  <c r="AQ21"/>
  <c r="AY63" s="1"/>
  <c r="AQ23"/>
  <c r="AQ25"/>
  <c r="AQ43"/>
  <c r="BZ36"/>
  <c r="AQ27"/>
  <c r="AQ28"/>
  <c r="BZ39"/>
  <c r="AQ30"/>
  <c r="BZ41"/>
  <c r="AQ31"/>
  <c r="BZ43"/>
  <c r="AQ32"/>
  <c r="BZ55"/>
  <c r="AQ38"/>
  <c r="AZ79"/>
  <c r="CO37"/>
  <c r="AZ78"/>
  <c r="CO36"/>
  <c r="AZ81"/>
  <c r="CO39"/>
  <c r="AZ80"/>
  <c r="CO38"/>
  <c r="AZ77"/>
  <c r="CO35"/>
  <c r="AZ76"/>
  <c r="CO34"/>
  <c r="AZ74"/>
  <c r="CO32"/>
  <c r="AZ73"/>
  <c r="CO31"/>
  <c r="AZ72"/>
  <c r="CO30"/>
  <c r="AZ70"/>
  <c r="CO28"/>
  <c r="AZ65"/>
  <c r="CO23"/>
  <c r="AZ86"/>
  <c r="CO44"/>
  <c r="AZ67"/>
  <c r="CO25"/>
  <c r="AZ68"/>
  <c r="CO26"/>
  <c r="CD63"/>
  <c r="AU42"/>
  <c r="CD59"/>
  <c r="AU40"/>
  <c r="CD37"/>
  <c r="AU29"/>
  <c r="AE69"/>
  <c r="AU21"/>
  <c r="BC63" s="1"/>
  <c r="AU23"/>
  <c r="AU25"/>
  <c r="AU44"/>
  <c r="CD36"/>
  <c r="AU26"/>
  <c r="AU43"/>
  <c r="AU22"/>
  <c r="AU24"/>
  <c r="AE74"/>
  <c r="AU27"/>
  <c r="AU28"/>
  <c r="CD41"/>
  <c r="AU31"/>
  <c r="CD43"/>
  <c r="AU32"/>
  <c r="CD55"/>
  <c r="AU38"/>
  <c r="BD79"/>
  <c r="CS37"/>
  <c r="BD78"/>
  <c r="CS36"/>
  <c r="BD81"/>
  <c r="CS39"/>
  <c r="BD80"/>
  <c r="CS38"/>
  <c r="BD77"/>
  <c r="CS35"/>
  <c r="BD76"/>
  <c r="CS34"/>
  <c r="BD74"/>
  <c r="CS32"/>
  <c r="BD73"/>
  <c r="CS31"/>
  <c r="BD67"/>
  <c r="CS25"/>
  <c r="BD68"/>
  <c r="CS26"/>
  <c r="BD86"/>
  <c r="CS44"/>
  <c r="BD69"/>
  <c r="CS27"/>
  <c r="BD71"/>
  <c r="CS29"/>
  <c r="BD83"/>
  <c r="CS41"/>
  <c r="AW75"/>
  <c r="CL33"/>
  <c r="AW66"/>
  <c r="CL24"/>
  <c r="AW86"/>
  <c r="CL44"/>
  <c r="AW68"/>
  <c r="CL26"/>
  <c r="AW69"/>
  <c r="CL27"/>
  <c r="AW84"/>
  <c r="CL42"/>
  <c r="BV45"/>
  <c r="BV37"/>
  <c r="BZ60"/>
  <c r="BZ48"/>
  <c r="BZ45"/>
  <c r="BZ52"/>
  <c r="BZ54"/>
  <c r="AQ39"/>
  <c r="CD60"/>
  <c r="AU30"/>
  <c r="CD48"/>
  <c r="CD45"/>
  <c r="CD52"/>
  <c r="CD54"/>
  <c r="AU39"/>
  <c r="AW72"/>
  <c r="CL30"/>
  <c r="AW79"/>
  <c r="CL37"/>
  <c r="BA71"/>
  <c r="CP29"/>
  <c r="BA77"/>
  <c r="CP35"/>
  <c r="BA81"/>
  <c r="CP39"/>
  <c r="AV83"/>
  <c r="CK41"/>
  <c r="AZ83"/>
  <c r="CO41"/>
  <c r="BA75"/>
  <c r="CP33"/>
  <c r="BA64"/>
  <c r="CP22"/>
  <c r="BA67"/>
  <c r="CP25"/>
  <c r="BA68"/>
  <c r="CP26"/>
  <c r="BA70"/>
  <c r="CP28"/>
  <c r="BA84"/>
  <c r="CP42"/>
  <c r="BV63"/>
  <c r="AI63"/>
  <c r="AM42"/>
  <c r="BV60"/>
  <c r="AI60"/>
  <c r="AI59"/>
  <c r="AM40"/>
  <c r="AI37"/>
  <c r="AM29"/>
  <c r="W69"/>
  <c r="AM21"/>
  <c r="AU63" s="1"/>
  <c r="AM23"/>
  <c r="AM25"/>
  <c r="AM26"/>
  <c r="AM43"/>
  <c r="AM22"/>
  <c r="AM24"/>
  <c r="AM44"/>
  <c r="BV36"/>
  <c r="AM27"/>
  <c r="AM28"/>
  <c r="AI39"/>
  <c r="BV39"/>
  <c r="AM30"/>
  <c r="AI41"/>
  <c r="BV41"/>
  <c r="AM31"/>
  <c r="BV43"/>
  <c r="AI43"/>
  <c r="AM32"/>
  <c r="BV46"/>
  <c r="AI46"/>
  <c r="BV48"/>
  <c r="AI48"/>
  <c r="BV52"/>
  <c r="AI52"/>
  <c r="BV56"/>
  <c r="AI56"/>
  <c r="BV58"/>
  <c r="AI58"/>
  <c r="AV86"/>
  <c r="CK44"/>
  <c r="AV64"/>
  <c r="CK22"/>
  <c r="AV70"/>
  <c r="CK28"/>
  <c r="AV67"/>
  <c r="CK25"/>
  <c r="AV71"/>
  <c r="CK29"/>
  <c r="AV84"/>
  <c r="CK42"/>
  <c r="BZ61"/>
  <c r="AQ41"/>
  <c r="BZ65"/>
  <c r="BZ64"/>
  <c r="BZ47"/>
  <c r="AQ34"/>
  <c r="BZ51"/>
  <c r="AQ36"/>
  <c r="AZ69"/>
  <c r="CO27"/>
  <c r="AZ64"/>
  <c r="CO22"/>
  <c r="AZ66"/>
  <c r="CO24"/>
  <c r="AZ85"/>
  <c r="CO43"/>
  <c r="AZ71"/>
  <c r="CO29"/>
  <c r="AZ84"/>
  <c r="CO42"/>
  <c r="CD61"/>
  <c r="CC61" s="1"/>
  <c r="AU41"/>
  <c r="CD65"/>
  <c r="CD64"/>
  <c r="CD47"/>
  <c r="AU34"/>
  <c r="CD51"/>
  <c r="AU36"/>
  <c r="BD85"/>
  <c r="CS43"/>
  <c r="BD65"/>
  <c r="CS23"/>
  <c r="BD66"/>
  <c r="CS24"/>
  <c r="BD70"/>
  <c r="CS28"/>
  <c r="BD64"/>
  <c r="CS22"/>
  <c r="AW65"/>
  <c r="CL23"/>
  <c r="AW64"/>
  <c r="CL22"/>
  <c r="AW85"/>
  <c r="CL43"/>
  <c r="AW70"/>
  <c r="CL28"/>
  <c r="AW67"/>
  <c r="CL25"/>
  <c r="AW82"/>
  <c r="CL40"/>
  <c r="AW83"/>
  <c r="CL41"/>
  <c r="BD84"/>
  <c r="CS42"/>
  <c r="CP34"/>
  <c r="CP36"/>
  <c r="CP37"/>
  <c r="BZ62"/>
  <c r="AQ33"/>
  <c r="AQ35"/>
  <c r="AQ37"/>
  <c r="BZ50"/>
  <c r="BZ58"/>
  <c r="BZ53"/>
  <c r="BZ57"/>
  <c r="BZ49"/>
  <c r="CD62"/>
  <c r="AU33"/>
  <c r="AU35"/>
  <c r="AU37"/>
  <c r="CD50"/>
  <c r="CD58"/>
  <c r="CD53"/>
  <c r="CD57"/>
  <c r="CD49"/>
  <c r="AG216" i="21"/>
  <c r="AG217" s="1"/>
  <c r="AG212"/>
  <c r="AB211"/>
  <c r="AA211"/>
  <c r="AR208"/>
  <c r="AQ208"/>
  <c r="AB208"/>
  <c r="Z208"/>
  <c r="AR207"/>
  <c r="AQ207"/>
  <c r="AB207"/>
  <c r="Z207"/>
  <c r="AR206"/>
  <c r="AQ206"/>
  <c r="AB206"/>
  <c r="Z206"/>
  <c r="AR205"/>
  <c r="AQ205"/>
  <c r="AB205"/>
  <c r="Z205"/>
  <c r="AR204"/>
  <c r="AQ204"/>
  <c r="AB204"/>
  <c r="Z204"/>
  <c r="AR203"/>
  <c r="AQ203"/>
  <c r="AB203"/>
  <c r="Z203"/>
  <c r="AR202"/>
  <c r="AQ202"/>
  <c r="AB202"/>
  <c r="Z202"/>
  <c r="AR201"/>
  <c r="AQ201"/>
  <c r="AB201"/>
  <c r="Z201"/>
  <c r="AR200"/>
  <c r="AQ200"/>
  <c r="AB200"/>
  <c r="Z200"/>
  <c r="AR199"/>
  <c r="AQ199"/>
  <c r="AB199"/>
  <c r="Z199"/>
  <c r="AR198"/>
  <c r="AQ198"/>
  <c r="AB198"/>
  <c r="Z198"/>
  <c r="AR197"/>
  <c r="AQ197"/>
  <c r="AB197"/>
  <c r="Z197"/>
  <c r="AR196"/>
  <c r="AQ196"/>
  <c r="AR195"/>
  <c r="AQ195"/>
  <c r="AR194"/>
  <c r="AQ194"/>
  <c r="AR193"/>
  <c r="AQ193"/>
  <c r="AR192"/>
  <c r="AQ192"/>
  <c r="AR191"/>
  <c r="AQ191"/>
  <c r="AR190"/>
  <c r="AQ190"/>
  <c r="AR189"/>
  <c r="AQ189"/>
  <c r="AR188"/>
  <c r="AQ188"/>
  <c r="AR187"/>
  <c r="AQ187"/>
  <c r="AR186"/>
  <c r="AQ186"/>
  <c r="AR185"/>
  <c r="AQ185"/>
  <c r="AR184"/>
  <c r="AQ184"/>
  <c r="AR183"/>
  <c r="AQ183"/>
  <c r="AB183"/>
  <c r="AA183"/>
  <c r="Z183"/>
  <c r="AR182"/>
  <c r="AQ182"/>
  <c r="AR181"/>
  <c r="AQ181"/>
  <c r="AR180"/>
  <c r="AQ180"/>
  <c r="AR179"/>
  <c r="AQ179"/>
  <c r="AR178"/>
  <c r="AQ178"/>
  <c r="AI159"/>
  <c r="AH159"/>
  <c r="AI158"/>
  <c r="AH158"/>
  <c r="AI156"/>
  <c r="AH156"/>
  <c r="AI150"/>
  <c r="AH150"/>
  <c r="AD150"/>
  <c r="AI149"/>
  <c r="AH149"/>
  <c r="AE149"/>
  <c r="AD149"/>
  <c r="AI148"/>
  <c r="AH148"/>
  <c r="AE148"/>
  <c r="AD148"/>
  <c r="AI147"/>
  <c r="AH147"/>
  <c r="AE147"/>
  <c r="AD147"/>
  <c r="AI146"/>
  <c r="AH146"/>
  <c r="AE146"/>
  <c r="AD146"/>
  <c r="AI145"/>
  <c r="AH145"/>
  <c r="AD145"/>
  <c r="AI144"/>
  <c r="AH144"/>
  <c r="AD144"/>
  <c r="AA144"/>
  <c r="AI143"/>
  <c r="AH143"/>
  <c r="AD143"/>
  <c r="AI142"/>
  <c r="AH142"/>
  <c r="AD142"/>
  <c r="AB213" l="1"/>
  <c r="AJ316" s="1"/>
  <c r="AI324"/>
  <c r="AG324"/>
  <c r="AD324" s="1"/>
  <c r="AJ324"/>
  <c r="AH324"/>
  <c r="AB216"/>
  <c r="AG213"/>
  <c r="AC213" s="1"/>
  <c r="BC79" i="12"/>
  <c r="CR37"/>
  <c r="AY75"/>
  <c r="CN33"/>
  <c r="BC77"/>
  <c r="CR35"/>
  <c r="AY77"/>
  <c r="CN35"/>
  <c r="AU73"/>
  <c r="CJ31"/>
  <c r="AU70"/>
  <c r="CJ28"/>
  <c r="AU66"/>
  <c r="CJ24"/>
  <c r="AU85"/>
  <c r="CJ43"/>
  <c r="AU67"/>
  <c r="CJ25"/>
  <c r="AU71"/>
  <c r="CJ29"/>
  <c r="AU82"/>
  <c r="CJ40"/>
  <c r="AU84"/>
  <c r="CJ42"/>
  <c r="BC81"/>
  <c r="CR39"/>
  <c r="BC80"/>
  <c r="CR38"/>
  <c r="BC74"/>
  <c r="CR32"/>
  <c r="BC73"/>
  <c r="CR31"/>
  <c r="BC70"/>
  <c r="CR28"/>
  <c r="BC64"/>
  <c r="CR22"/>
  <c r="BC68"/>
  <c r="CR26"/>
  <c r="BC86"/>
  <c r="CR44"/>
  <c r="BC65"/>
  <c r="CR23"/>
  <c r="AY69"/>
  <c r="CN27"/>
  <c r="AY85"/>
  <c r="CN43"/>
  <c r="AY65"/>
  <c r="CN23"/>
  <c r="AY68"/>
  <c r="CN26"/>
  <c r="AY66"/>
  <c r="CN24"/>
  <c r="AY86"/>
  <c r="CN44"/>
  <c r="AU80"/>
  <c r="CJ38"/>
  <c r="AU78"/>
  <c r="CJ36"/>
  <c r="AU76"/>
  <c r="CJ34"/>
  <c r="AU83"/>
  <c r="CJ41"/>
  <c r="CH69"/>
  <c r="BC75"/>
  <c r="CR33"/>
  <c r="AY79"/>
  <c r="CN37"/>
  <c r="BC78"/>
  <c r="CR36"/>
  <c r="BC76"/>
  <c r="CR34"/>
  <c r="BC83"/>
  <c r="CR41"/>
  <c r="AY78"/>
  <c r="CN36"/>
  <c r="AY76"/>
  <c r="CN34"/>
  <c r="AY83"/>
  <c r="CN41"/>
  <c r="AU74"/>
  <c r="CJ32"/>
  <c r="AU72"/>
  <c r="CJ30"/>
  <c r="AU69"/>
  <c r="CJ27"/>
  <c r="AU86"/>
  <c r="CJ44"/>
  <c r="AU64"/>
  <c r="CJ22"/>
  <c r="AU68"/>
  <c r="CJ26"/>
  <c r="AU65"/>
  <c r="CJ23"/>
  <c r="BC72"/>
  <c r="CR30"/>
  <c r="AY81"/>
  <c r="CN39"/>
  <c r="BC69"/>
  <c r="CR27"/>
  <c r="BC66"/>
  <c r="CR24"/>
  <c r="BC85"/>
  <c r="CR43"/>
  <c r="BC67"/>
  <c r="CR25"/>
  <c r="BC71"/>
  <c r="CR29"/>
  <c r="BC82"/>
  <c r="CR40"/>
  <c r="BC84"/>
  <c r="CR42"/>
  <c r="AY80"/>
  <c r="CN38"/>
  <c r="AY74"/>
  <c r="CN32"/>
  <c r="AY73"/>
  <c r="CN31"/>
  <c r="AY72"/>
  <c r="CN30"/>
  <c r="AY70"/>
  <c r="CN28"/>
  <c r="AY67"/>
  <c r="CN25"/>
  <c r="AY64"/>
  <c r="CN22"/>
  <c r="AY71"/>
  <c r="CN29"/>
  <c r="AY82"/>
  <c r="CN40"/>
  <c r="AY84"/>
  <c r="CN42"/>
  <c r="AU81"/>
  <c r="CJ39"/>
  <c r="AU79"/>
  <c r="CJ37"/>
  <c r="AU77"/>
  <c r="CJ35"/>
  <c r="CJ33"/>
  <c r="AI127" i="21"/>
  <c r="AH127"/>
  <c r="AI121"/>
  <c r="AH121" s="1"/>
  <c r="AG117"/>
  <c r="AF117"/>
  <c r="AF144" s="1"/>
  <c r="AI116"/>
  <c r="AH116"/>
  <c r="AG114"/>
  <c r="AG116" s="1"/>
  <c r="AF114"/>
  <c r="AF116" s="1"/>
  <c r="AG113"/>
  <c r="AF113"/>
  <c r="AF146" s="1"/>
  <c r="AG112"/>
  <c r="AF112"/>
  <c r="AF149" s="1"/>
  <c r="AG111"/>
  <c r="AF111"/>
  <c r="AG110"/>
  <c r="AF110"/>
  <c r="AF147" s="1"/>
  <c r="AG109"/>
  <c r="AF109"/>
  <c r="AF148" s="1"/>
  <c r="AG105"/>
  <c r="AF105"/>
  <c r="AF142" s="1"/>
  <c r="AG104"/>
  <c r="AF104"/>
  <c r="AF143" s="1"/>
  <c r="AG103"/>
  <c r="AF103"/>
  <c r="AF150" s="1"/>
  <c r="AA94"/>
  <c r="Z94"/>
  <c r="AB91"/>
  <c r="AB87"/>
  <c r="Z87"/>
  <c r="AB86"/>
  <c r="Z86"/>
  <c r="AB85"/>
  <c r="Z85"/>
  <c r="AB84"/>
  <c r="Z84"/>
  <c r="AB83"/>
  <c r="Z83"/>
  <c r="AB82"/>
  <c r="Z82"/>
  <c r="AB81"/>
  <c r="Z81"/>
  <c r="AB80"/>
  <c r="Z80"/>
  <c r="AB79"/>
  <c r="Z79"/>
  <c r="AB78"/>
  <c r="Z78"/>
  <c r="AB77"/>
  <c r="Z77"/>
  <c r="AB76"/>
  <c r="Z76"/>
  <c r="I64"/>
  <c r="F64"/>
  <c r="AB62"/>
  <c r="AD140" s="1"/>
  <c r="AA62"/>
  <c r="Z62"/>
  <c r="J62"/>
  <c r="I62"/>
  <c r="AH263" l="1"/>
  <c r="AI263"/>
  <c r="AF263"/>
  <c r="AF264" s="1"/>
  <c r="AF300" s="1"/>
  <c r="AG263"/>
  <c r="AG264" s="1"/>
  <c r="AJ263"/>
  <c r="AI316"/>
  <c r="AH316"/>
  <c r="AG316"/>
  <c r="AF316"/>
  <c r="AH119"/>
  <c r="AH123" s="1"/>
  <c r="AG121"/>
  <c r="H64"/>
  <c r="M64" s="1"/>
  <c r="J64" s="1"/>
  <c r="AF119"/>
  <c r="AI119"/>
  <c r="AD125"/>
  <c r="AC214"/>
  <c r="AG300"/>
  <c r="E59"/>
  <c r="F58"/>
  <c r="E58"/>
  <c r="E57"/>
  <c r="E63" s="1"/>
  <c r="J56"/>
  <c r="I56"/>
  <c r="E56"/>
  <c r="E55"/>
  <c r="E61" s="1"/>
  <c r="J54"/>
  <c r="I54"/>
  <c r="E54"/>
  <c r="E60" s="1"/>
  <c r="J53"/>
  <c r="I53"/>
  <c r="AK44"/>
  <c r="AJ44"/>
  <c r="P44" s="1"/>
  <c r="O44" s="1"/>
  <c r="H44"/>
  <c r="AK43"/>
  <c r="AJ43"/>
  <c r="P43" s="1"/>
  <c r="O43" s="1"/>
  <c r="H43"/>
  <c r="P38"/>
  <c r="O38"/>
  <c r="P37"/>
  <c r="O37"/>
  <c r="C36"/>
  <c r="C35"/>
  <c r="AI26"/>
  <c r="AI27" s="1"/>
  <c r="AH25"/>
  <c r="P25"/>
  <c r="O25"/>
  <c r="N25"/>
  <c r="M25"/>
  <c r="P24"/>
  <c r="O24"/>
  <c r="N24"/>
  <c r="M24"/>
  <c r="P23"/>
  <c r="O23"/>
  <c r="N23"/>
  <c r="M23"/>
  <c r="P22"/>
  <c r="O22"/>
  <c r="N22"/>
  <c r="M22"/>
  <c r="P21"/>
  <c r="O21"/>
  <c r="N21"/>
  <c r="M21"/>
  <c r="P20"/>
  <c r="O20"/>
  <c r="N20"/>
  <c r="M20"/>
  <c r="E20"/>
  <c r="AK19"/>
  <c r="AK18"/>
  <c r="P18"/>
  <c r="O18"/>
  <c r="E18"/>
  <c r="N18" s="1"/>
  <c r="AE17"/>
  <c r="AD17"/>
  <c r="P17"/>
  <c r="O17"/>
  <c r="N17"/>
  <c r="M17"/>
  <c r="P16"/>
  <c r="O16"/>
  <c r="P15"/>
  <c r="O15"/>
  <c r="P13"/>
  <c r="O13"/>
  <c r="E13"/>
  <c r="N13" s="1"/>
  <c r="M13" s="1"/>
  <c r="AB12"/>
  <c r="AJ26" s="1"/>
  <c r="AA12"/>
  <c r="Z12"/>
  <c r="H12"/>
  <c r="P12" s="1"/>
  <c r="E12"/>
  <c r="N12" s="1"/>
  <c r="H11"/>
  <c r="P11" s="1"/>
  <c r="E11"/>
  <c r="N11" s="1"/>
  <c r="P10"/>
  <c r="O10"/>
  <c r="E10"/>
  <c r="N10" s="1"/>
  <c r="P9"/>
  <c r="O9"/>
  <c r="E9"/>
  <c r="H7"/>
  <c r="E7"/>
  <c r="P6"/>
  <c r="O6"/>
  <c r="E6"/>
  <c r="P5"/>
  <c r="O5"/>
  <c r="E5"/>
  <c r="P4"/>
  <c r="O4"/>
  <c r="N4" s="1"/>
  <c r="M4"/>
  <c r="E4"/>
  <c r="T102" i="20"/>
  <c r="T101"/>
  <c r="S101"/>
  <c r="R101"/>
  <c r="P101"/>
  <c r="O101"/>
  <c r="T96"/>
  <c r="S96"/>
  <c r="R96"/>
  <c r="Q96"/>
  <c r="P96"/>
  <c r="O96"/>
  <c r="T91"/>
  <c r="S91"/>
  <c r="R91"/>
  <c r="Q91"/>
  <c r="P91"/>
  <c r="O91"/>
  <c r="T83"/>
  <c r="S83"/>
  <c r="R83"/>
  <c r="Q83"/>
  <c r="P83"/>
  <c r="O83"/>
  <c r="T82"/>
  <c r="S82"/>
  <c r="R82"/>
  <c r="Q82"/>
  <c r="P82"/>
  <c r="O82"/>
  <c r="T81"/>
  <c r="Q81"/>
  <c r="N80"/>
  <c r="T79"/>
  <c r="S79"/>
  <c r="R79"/>
  <c r="Q79"/>
  <c r="P79"/>
  <c r="O79"/>
  <c r="K79"/>
  <c r="J79"/>
  <c r="J51"/>
  <c r="K44"/>
  <c r="J44"/>
  <c r="T39"/>
  <c r="T49" s="1"/>
  <c r="Q39"/>
  <c r="Q50" s="1"/>
  <c r="N39"/>
  <c r="N40" s="1"/>
  <c r="N42" s="1"/>
  <c r="T34"/>
  <c r="S34"/>
  <c r="R34"/>
  <c r="Q34"/>
  <c r="P34"/>
  <c r="T33"/>
  <c r="T32"/>
  <c r="S32"/>
  <c r="R32"/>
  <c r="Q32"/>
  <c r="P32"/>
  <c r="O32"/>
  <c r="K31"/>
  <c r="J31"/>
  <c r="H25" s="1"/>
  <c r="S50" s="1"/>
  <c r="H24"/>
  <c r="H17"/>
  <c r="G17"/>
  <c r="F17"/>
  <c r="H14"/>
  <c r="G14"/>
  <c r="F14"/>
  <c r="H13"/>
  <c r="G13"/>
  <c r="F13"/>
  <c r="E48" i="18"/>
  <c r="E47"/>
  <c r="E46"/>
  <c r="E45"/>
  <c r="E38"/>
  <c r="E37"/>
  <c r="E36"/>
  <c r="N9" i="21" l="1"/>
  <c r="E297" i="4"/>
  <c r="O50" i="20"/>
  <c r="R50"/>
  <c r="K83"/>
  <c r="J83" s="1"/>
  <c r="T92"/>
  <c r="S92" s="1"/>
  <c r="R92" s="1"/>
  <c r="Q92" s="1"/>
  <c r="P92" s="1"/>
  <c r="O92" s="1"/>
  <c r="T97"/>
  <c r="S97" s="1"/>
  <c r="R97" s="1"/>
  <c r="Q97" s="1"/>
  <c r="P97" s="1"/>
  <c r="O97" s="1"/>
  <c r="N50"/>
  <c r="F118" i="4" s="1"/>
  <c r="P50" i="20"/>
  <c r="S102"/>
  <c r="R102" s="1"/>
  <c r="P102" s="1"/>
  <c r="O102" s="1"/>
  <c r="BR7" i="16"/>
  <c r="BR41" s="1"/>
  <c r="BQ8"/>
  <c r="BQ42" s="1"/>
  <c r="BR8"/>
  <c r="BR42" s="1"/>
  <c r="BQ7"/>
  <c r="BQ41" s="1"/>
  <c r="N48" i="20"/>
  <c r="N49"/>
  <c r="T6" i="17"/>
  <c r="T8"/>
  <c r="T10"/>
  <c r="T12"/>
  <c r="T14"/>
  <c r="T16"/>
  <c r="T7"/>
  <c r="T9"/>
  <c r="T11"/>
  <c r="T13"/>
  <c r="T15"/>
  <c r="T17"/>
  <c r="K46" i="20"/>
  <c r="Q33"/>
  <c r="O11" i="21"/>
  <c r="AH27"/>
  <c r="T48" i="20"/>
  <c r="T50"/>
  <c r="N7" i="21"/>
  <c r="M10"/>
  <c r="R12"/>
  <c r="O12"/>
  <c r="M18"/>
  <c r="F55"/>
  <c r="E62"/>
  <c r="F57"/>
  <c r="E64"/>
  <c r="F63" s="1"/>
  <c r="AI123"/>
  <c r="AI124" s="1"/>
  <c r="AH124" s="1"/>
  <c r="AF297"/>
  <c r="K39" i="20"/>
  <c r="O39"/>
  <c r="S39"/>
  <c r="J46"/>
  <c r="N6" i="21"/>
  <c r="P7"/>
  <c r="M11"/>
  <c r="M12"/>
  <c r="AE25"/>
  <c r="AJ25"/>
  <c r="AD26"/>
  <c r="AK26"/>
  <c r="AF121"/>
  <c r="J39" i="20"/>
  <c r="P39"/>
  <c r="R39"/>
  <c r="Q48"/>
  <c r="N5" i="21"/>
  <c r="M5" s="1"/>
  <c r="M6"/>
  <c r="M7"/>
  <c r="O7"/>
  <c r="R13"/>
  <c r="Q13" s="1"/>
  <c r="AD25"/>
  <c r="AK25"/>
  <c r="AE26"/>
  <c r="AE27" s="1"/>
  <c r="E31" i="18"/>
  <c r="E30"/>
  <c r="AD27" i="21" l="1"/>
  <c r="E32" i="18"/>
  <c r="E33" s="1"/>
  <c r="M9" i="21"/>
  <c r="E299" i="4" s="1"/>
  <c r="E300"/>
  <c r="N51" i="20"/>
  <c r="Q12" i="21"/>
  <c r="R33" i="20"/>
  <c r="R48"/>
  <c r="J48"/>
  <c r="J43"/>
  <c r="AH132" i="21"/>
  <c r="AH130"/>
  <c r="AH133"/>
  <c r="AH135"/>
  <c r="AH137"/>
  <c r="AH139"/>
  <c r="AH128"/>
  <c r="AH129"/>
  <c r="AH131"/>
  <c r="AH134"/>
  <c r="AH136"/>
  <c r="AH138"/>
  <c r="O48" i="20"/>
  <c r="O33"/>
  <c r="P33"/>
  <c r="P48"/>
  <c r="S48"/>
  <c r="S49" s="1"/>
  <c r="S33"/>
  <c r="K43"/>
  <c r="K50" s="1"/>
  <c r="K48"/>
  <c r="AF298" i="21"/>
  <c r="F61"/>
  <c r="F62"/>
  <c r="H62" s="1"/>
  <c r="AK27"/>
  <c r="AJ27" s="1"/>
  <c r="AI129"/>
  <c r="AI131"/>
  <c r="AI133"/>
  <c r="AI135"/>
  <c r="AI137"/>
  <c r="AI139"/>
  <c r="AI128"/>
  <c r="AI130"/>
  <c r="AI132"/>
  <c r="AI134"/>
  <c r="AI136"/>
  <c r="AI138"/>
  <c r="E24" i="18"/>
  <c r="E22"/>
  <c r="E21"/>
  <c r="R49" i="20" l="1"/>
  <c r="Q49" s="1"/>
  <c r="P49" s="1"/>
  <c r="O49" s="1"/>
  <c r="P62" i="21"/>
  <c r="O62"/>
  <c r="J50" i="20"/>
  <c r="K51"/>
  <c r="E23" i="18"/>
  <c r="AH140" i="21"/>
  <c r="AI140"/>
  <c r="S47" i="20"/>
  <c r="E18" i="18"/>
  <c r="E15"/>
  <c r="R47" i="20" l="1"/>
  <c r="P47" s="1"/>
  <c r="S81"/>
  <c r="E10" i="18"/>
  <c r="E11" s="1"/>
  <c r="E9"/>
  <c r="E8"/>
  <c r="E7"/>
  <c r="E6"/>
  <c r="E4"/>
  <c r="AC25" i="19"/>
  <c r="AF25" s="1"/>
  <c r="AB25"/>
  <c r="AC18"/>
  <c r="AF18" s="1"/>
  <c r="AB18"/>
  <c r="AF17"/>
  <c r="AF16"/>
  <c r="AC15"/>
  <c r="AF15" s="1"/>
  <c r="AB15"/>
  <c r="AF14"/>
  <c r="AF13"/>
  <c r="AF12"/>
  <c r="AT10"/>
  <c r="AQ10"/>
  <c r="AM10"/>
  <c r="AF10"/>
  <c r="AT9"/>
  <c r="AQ9"/>
  <c r="AM9"/>
  <c r="AF9"/>
  <c r="AF8"/>
  <c r="AT7"/>
  <c r="AQ7"/>
  <c r="AM7"/>
  <c r="AT6"/>
  <c r="AQ6"/>
  <c r="AM6"/>
  <c r="AC6"/>
  <c r="AB6"/>
  <c r="AC5"/>
  <c r="AB5"/>
  <c r="G181" i="4" l="1"/>
  <c r="R81" i="20"/>
  <c r="E28" i="18"/>
  <c r="E12"/>
  <c r="O47" i="20"/>
  <c r="P81"/>
  <c r="AF5" i="19"/>
  <c r="E98" i="4" s="1"/>
  <c r="AC7" i="19"/>
  <c r="AB7" s="1"/>
  <c r="AF6" l="1"/>
  <c r="E99" i="4" s="1"/>
  <c r="E20" i="18"/>
  <c r="E16"/>
  <c r="E14"/>
  <c r="E19"/>
  <c r="E13"/>
  <c r="O81" i="20"/>
  <c r="CC39" i="17"/>
  <c r="BZ39" l="1"/>
  <c r="BY39"/>
  <c r="BW39"/>
  <c r="BU39"/>
  <c r="BT39"/>
  <c r="BS39"/>
  <c r="BQ39"/>
  <c r="BN39"/>
  <c r="BM39"/>
  <c r="BK39"/>
  <c r="BI39"/>
  <c r="BH39"/>
  <c r="BG39"/>
  <c r="BE39"/>
  <c r="BB39"/>
  <c r="BA39"/>
  <c r="AY39"/>
  <c r="AW39"/>
  <c r="AV39"/>
  <c r="AU39"/>
  <c r="AR39"/>
  <c r="AQ39"/>
  <c r="AP39"/>
  <c r="AO39"/>
  <c r="AN39"/>
  <c r="AM39"/>
  <c r="AL39"/>
  <c r="AK39"/>
  <c r="AJ39"/>
  <c r="AI39"/>
  <c r="CC38"/>
  <c r="BZ38"/>
  <c r="BY38"/>
  <c r="BW38"/>
  <c r="BU38"/>
  <c r="BT38"/>
  <c r="BS38"/>
  <c r="BQ38"/>
  <c r="BN38"/>
  <c r="BM38"/>
  <c r="BK38"/>
  <c r="BI38"/>
  <c r="BH38"/>
  <c r="BG38"/>
  <c r="BE38"/>
  <c r="BB38"/>
  <c r="BA38"/>
  <c r="AY38"/>
  <c r="AW38"/>
  <c r="AV38"/>
  <c r="AU38"/>
  <c r="AR38"/>
  <c r="AQ38"/>
  <c r="AP38"/>
  <c r="AO38"/>
  <c r="AN38"/>
  <c r="AM38"/>
  <c r="AL38"/>
  <c r="AK38"/>
  <c r="AJ38"/>
  <c r="AI38"/>
  <c r="CC37"/>
  <c r="BZ37"/>
  <c r="BY37"/>
  <c r="BW37"/>
  <c r="BU37"/>
  <c r="BT37"/>
  <c r="BS37"/>
  <c r="BQ37"/>
  <c r="BN37"/>
  <c r="BM37"/>
  <c r="BK37"/>
  <c r="BI37"/>
  <c r="BH37"/>
  <c r="BG37"/>
  <c r="BE37"/>
  <c r="BB37"/>
  <c r="BA37"/>
  <c r="AY37"/>
  <c r="AW37"/>
  <c r="AV37"/>
  <c r="AU37"/>
  <c r="AR37"/>
  <c r="AQ37"/>
  <c r="AP37"/>
  <c r="AO37"/>
  <c r="AN37"/>
  <c r="AM37"/>
  <c r="AL37"/>
  <c r="AK37"/>
  <c r="AJ37"/>
  <c r="AI37"/>
  <c r="CC36" l="1"/>
  <c r="BZ36"/>
  <c r="BY36"/>
  <c r="BW36"/>
  <c r="BU36"/>
  <c r="BT36"/>
  <c r="BS36"/>
  <c r="BQ36"/>
  <c r="BN36"/>
  <c r="BM36"/>
  <c r="BK36"/>
  <c r="BI36"/>
  <c r="BH36"/>
  <c r="BG36"/>
  <c r="BE36"/>
  <c r="BB36"/>
  <c r="BA36"/>
  <c r="AY36"/>
  <c r="AW36"/>
  <c r="AV36"/>
  <c r="AU36"/>
  <c r="AR36"/>
  <c r="AQ36"/>
  <c r="AP36"/>
  <c r="AO36"/>
  <c r="AN36"/>
  <c r="AM36"/>
  <c r="AL36"/>
  <c r="AK36"/>
  <c r="AJ36"/>
  <c r="AI36"/>
  <c r="CC35"/>
  <c r="BZ35"/>
  <c r="BY35"/>
  <c r="BW35"/>
  <c r="BU35"/>
  <c r="BT35"/>
  <c r="BS35"/>
  <c r="BQ35"/>
  <c r="BN35"/>
  <c r="BM35"/>
  <c r="BK35"/>
  <c r="BI35"/>
  <c r="BH35"/>
  <c r="BG35"/>
  <c r="BE35"/>
  <c r="BB35"/>
  <c r="BA35"/>
  <c r="AY35"/>
  <c r="AW35"/>
  <c r="AV35"/>
  <c r="AU35"/>
  <c r="AR35"/>
  <c r="AQ35"/>
  <c r="AP35"/>
  <c r="AO35"/>
  <c r="AN35"/>
  <c r="AM35"/>
  <c r="AL35"/>
  <c r="AK35"/>
  <c r="AJ35"/>
  <c r="AI35"/>
  <c r="CC34"/>
  <c r="BZ34"/>
  <c r="BY34"/>
  <c r="BW34"/>
  <c r="BU34"/>
  <c r="BT34"/>
  <c r="BS34"/>
  <c r="BQ34"/>
  <c r="BN34"/>
  <c r="BM34"/>
  <c r="BK34"/>
  <c r="BI34"/>
  <c r="BH34"/>
  <c r="BG34"/>
  <c r="BE34"/>
  <c r="BB34"/>
  <c r="BA34"/>
  <c r="AY34"/>
  <c r="AW34"/>
  <c r="AV34"/>
  <c r="AU34"/>
  <c r="AR34"/>
  <c r="AQ34"/>
  <c r="AP34"/>
  <c r="AO34"/>
  <c r="AN34"/>
  <c r="AM34"/>
  <c r="AL34"/>
  <c r="AK34"/>
  <c r="AJ34"/>
  <c r="AI34"/>
  <c r="CC33"/>
  <c r="BZ33"/>
  <c r="BY33"/>
  <c r="BW33"/>
  <c r="BU33"/>
  <c r="BT33"/>
  <c r="BS33"/>
  <c r="BQ33"/>
  <c r="BN33"/>
  <c r="BM33"/>
  <c r="BK33"/>
  <c r="BI33"/>
  <c r="BH33"/>
  <c r="BG33"/>
  <c r="BE33"/>
  <c r="BB33"/>
  <c r="BA33"/>
  <c r="AY33"/>
  <c r="AW33"/>
  <c r="AV33"/>
  <c r="AU33"/>
  <c r="AR33"/>
  <c r="AQ33"/>
  <c r="AP33"/>
  <c r="AO33"/>
  <c r="AN33"/>
  <c r="AM33"/>
  <c r="AL33"/>
  <c r="AK33"/>
  <c r="AJ33"/>
  <c r="AI33"/>
  <c r="CC32"/>
  <c r="BZ32"/>
  <c r="BY32"/>
  <c r="BW32"/>
  <c r="BU32"/>
  <c r="BT32"/>
  <c r="BS32"/>
  <c r="BQ32"/>
  <c r="BN32"/>
  <c r="BM32"/>
  <c r="BK32"/>
  <c r="BI32"/>
  <c r="BH32"/>
  <c r="BG32"/>
  <c r="BE32"/>
  <c r="BB32"/>
  <c r="BA32"/>
  <c r="AY32"/>
  <c r="AW32"/>
  <c r="AV32"/>
  <c r="AU32"/>
  <c r="AR32"/>
  <c r="AQ32"/>
  <c r="AP32"/>
  <c r="AO32"/>
  <c r="AN32"/>
  <c r="AM32"/>
  <c r="AL32"/>
  <c r="AK32"/>
  <c r="AJ32"/>
  <c r="AI32"/>
  <c r="CC31"/>
  <c r="BZ31"/>
  <c r="BY31"/>
  <c r="BW31"/>
  <c r="BU31"/>
  <c r="BT31"/>
  <c r="BS31"/>
  <c r="BQ31"/>
  <c r="BN31"/>
  <c r="BM31"/>
  <c r="BK31"/>
  <c r="BI31"/>
  <c r="BH31"/>
  <c r="BG31"/>
  <c r="BE31"/>
  <c r="BB31"/>
  <c r="BA31"/>
  <c r="AY31"/>
  <c r="AW31"/>
  <c r="AV31"/>
  <c r="AU31"/>
  <c r="AR31"/>
  <c r="AQ31"/>
  <c r="AP31"/>
  <c r="AO31"/>
  <c r="AN31"/>
  <c r="AM31"/>
  <c r="AL31"/>
  <c r="AK31"/>
  <c r="AJ31"/>
  <c r="AI31"/>
  <c r="CC30"/>
  <c r="BZ30"/>
  <c r="BY30"/>
  <c r="BW30"/>
  <c r="BU30"/>
  <c r="BT30"/>
  <c r="BS30"/>
  <c r="BQ30"/>
  <c r="BN30"/>
  <c r="BM30"/>
  <c r="BK30"/>
  <c r="BI30"/>
  <c r="BH30"/>
  <c r="BG30"/>
  <c r="BE30"/>
  <c r="BB30"/>
  <c r="BA30"/>
  <c r="AY30"/>
  <c r="AW30"/>
  <c r="AV30"/>
  <c r="AU30"/>
  <c r="AR30"/>
  <c r="AQ30"/>
  <c r="AP30"/>
  <c r="AO30"/>
  <c r="AN30"/>
  <c r="AM30"/>
  <c r="AL30"/>
  <c r="AK30"/>
  <c r="AJ30"/>
  <c r="AI30"/>
  <c r="CC29" l="1"/>
  <c r="BZ29"/>
  <c r="BY29"/>
  <c r="BW29"/>
  <c r="BU29"/>
  <c r="BT29"/>
  <c r="BS29"/>
  <c r="BQ29"/>
  <c r="BN29"/>
  <c r="BM29"/>
  <c r="BK29"/>
  <c r="BI29"/>
  <c r="BH29"/>
  <c r="BG29"/>
  <c r="BE29"/>
  <c r="BB29"/>
  <c r="BA29"/>
  <c r="AY29"/>
  <c r="AW29"/>
  <c r="AV29"/>
  <c r="AU29"/>
  <c r="AR29"/>
  <c r="AQ29"/>
  <c r="AP29"/>
  <c r="AO29"/>
  <c r="AN29"/>
  <c r="AM29"/>
  <c r="AL29"/>
  <c r="AK29"/>
  <c r="AJ29"/>
  <c r="AI29"/>
  <c r="CC28"/>
  <c r="BZ28"/>
  <c r="BY28"/>
  <c r="BW28"/>
  <c r="BU28"/>
  <c r="BT28"/>
  <c r="BS28"/>
  <c r="BQ28"/>
  <c r="BQ40" s="1"/>
  <c r="BN28"/>
  <c r="BM28"/>
  <c r="BK28"/>
  <c r="BI28"/>
  <c r="BH28"/>
  <c r="BG28"/>
  <c r="BE28"/>
  <c r="BB28"/>
  <c r="BA28"/>
  <c r="AY28"/>
  <c r="AW28"/>
  <c r="AV28"/>
  <c r="AU28"/>
  <c r="AR28"/>
  <c r="AQ28"/>
  <c r="AP28"/>
  <c r="AO28"/>
  <c r="AN28"/>
  <c r="AM28"/>
  <c r="AL28"/>
  <c r="AK28"/>
  <c r="AJ28"/>
  <c r="AI28"/>
  <c r="CC25"/>
  <c r="BQ25"/>
  <c r="BE25"/>
  <c r="AS25"/>
  <c r="CC40" l="1"/>
  <c r="BE40"/>
  <c r="AC39"/>
  <c r="AC35"/>
  <c r="AC38"/>
  <c r="AC37"/>
  <c r="AC32"/>
  <c r="AC30"/>
  <c r="AC31"/>
  <c r="AC33"/>
  <c r="AC36"/>
  <c r="AC34"/>
  <c r="AC28"/>
  <c r="AI40"/>
  <c r="AK40"/>
  <c r="AM40"/>
  <c r="AO40"/>
  <c r="AQ40"/>
  <c r="AW40"/>
  <c r="BA40"/>
  <c r="AJ40"/>
  <c r="AL40"/>
  <c r="AN40"/>
  <c r="AP40"/>
  <c r="AR40"/>
  <c r="AV40"/>
  <c r="AY40"/>
  <c r="BB40"/>
  <c r="BG40"/>
  <c r="BI40"/>
  <c r="BM40"/>
  <c r="BT40"/>
  <c r="BW40"/>
  <c r="BZ40"/>
  <c r="BH40"/>
  <c r="BK40"/>
  <c r="BN40"/>
  <c r="BS40"/>
  <c r="BU40"/>
  <c r="BY40"/>
  <c r="AC29"/>
  <c r="AU40"/>
  <c r="AD28"/>
  <c r="V18"/>
  <c r="U18"/>
  <c r="T18"/>
  <c r="AF17"/>
  <c r="AE17"/>
  <c r="AD17"/>
  <c r="AC17"/>
  <c r="U17"/>
  <c r="D17"/>
  <c r="C17"/>
  <c r="AF16"/>
  <c r="AE16"/>
  <c r="AD16"/>
  <c r="AC16"/>
  <c r="U16"/>
  <c r="D16"/>
  <c r="C16"/>
  <c r="AF15"/>
  <c r="AE15"/>
  <c r="AD15"/>
  <c r="AC15"/>
  <c r="U15"/>
  <c r="D15"/>
  <c r="C15"/>
  <c r="AF14"/>
  <c r="AE14"/>
  <c r="AD14"/>
  <c r="AC14"/>
  <c r="U14"/>
  <c r="D14"/>
  <c r="C14"/>
  <c r="AF13"/>
  <c r="AE13"/>
  <c r="AD13"/>
  <c r="AC13"/>
  <c r="U13"/>
  <c r="D13"/>
  <c r="C13"/>
  <c r="AF12"/>
  <c r="AE12"/>
  <c r="AD12"/>
  <c r="AC12"/>
  <c r="U12"/>
  <c r="D12"/>
  <c r="C12"/>
  <c r="AF11"/>
  <c r="AE11"/>
  <c r="AD11"/>
  <c r="AC11"/>
  <c r="U11"/>
  <c r="D11"/>
  <c r="C11"/>
  <c r="AF10"/>
  <c r="AE10"/>
  <c r="AD10"/>
  <c r="AC10"/>
  <c r="U10"/>
  <c r="D10"/>
  <c r="C10"/>
  <c r="AF9"/>
  <c r="AE9"/>
  <c r="AD9"/>
  <c r="AC9"/>
  <c r="U9"/>
  <c r="D9"/>
  <c r="C9"/>
  <c r="AF8"/>
  <c r="AE8"/>
  <c r="AD8"/>
  <c r="AC8"/>
  <c r="U8"/>
  <c r="D8"/>
  <c r="C8"/>
  <c r="AF7"/>
  <c r="AE7"/>
  <c r="AD7"/>
  <c r="AC7"/>
  <c r="U7"/>
  <c r="D7"/>
  <c r="C7"/>
  <c r="AF6"/>
  <c r="AE6"/>
  <c r="AD6"/>
  <c r="AC6"/>
  <c r="U6"/>
  <c r="D6"/>
  <c r="C6"/>
  <c r="AC40" l="1"/>
  <c r="H41" i="16" s="1"/>
  <c r="AE18" i="17"/>
  <c r="AD18"/>
  <c r="AF18"/>
  <c r="G6"/>
  <c r="AS30"/>
  <c r="G9"/>
  <c r="AS31"/>
  <c r="G10"/>
  <c r="AS32"/>
  <c r="G11"/>
  <c r="AS33"/>
  <c r="G12"/>
  <c r="AS34"/>
  <c r="G13"/>
  <c r="AS35"/>
  <c r="G14"/>
  <c r="AS36"/>
  <c r="G15"/>
  <c r="AS37"/>
  <c r="G16"/>
  <c r="G7"/>
  <c r="G8"/>
  <c r="AS38"/>
  <c r="G17"/>
  <c r="AS39"/>
  <c r="AC18"/>
  <c r="AS29"/>
  <c r="AS28"/>
  <c r="AB195" i="21" l="1"/>
  <c r="AB74"/>
  <c r="G38" i="17"/>
  <c r="Z16"/>
  <c r="AB16" s="1"/>
  <c r="X16"/>
  <c r="Y16"/>
  <c r="W16"/>
  <c r="AB196" i="21"/>
  <c r="AB75"/>
  <c r="G39" i="17"/>
  <c r="Z17"/>
  <c r="AB17" s="1"/>
  <c r="X17"/>
  <c r="Y17"/>
  <c r="W17"/>
  <c r="AB187" i="21"/>
  <c r="AB66"/>
  <c r="G30" i="17"/>
  <c r="Y8"/>
  <c r="W8"/>
  <c r="X8"/>
  <c r="Z8"/>
  <c r="AB8" s="1"/>
  <c r="AB186" i="21"/>
  <c r="AB65"/>
  <c r="G29" i="17"/>
  <c r="Y7"/>
  <c r="W7"/>
  <c r="Z7"/>
  <c r="AB7" s="1"/>
  <c r="X7"/>
  <c r="AS40"/>
  <c r="AB194" i="21"/>
  <c r="AB73"/>
  <c r="G37" i="17"/>
  <c r="Y15"/>
  <c r="W15"/>
  <c r="Z15"/>
  <c r="AB15" s="1"/>
  <c r="X15"/>
  <c r="AB193" i="21"/>
  <c r="AB72"/>
  <c r="G36" i="17"/>
  <c r="Y14"/>
  <c r="W14"/>
  <c r="Z14"/>
  <c r="AB14" s="1"/>
  <c r="X14"/>
  <c r="AB192" i="21"/>
  <c r="AB71"/>
  <c r="G35" i="17"/>
  <c r="Y13"/>
  <c r="W13"/>
  <c r="Z13"/>
  <c r="AB13" s="1"/>
  <c r="X13"/>
  <c r="AB191" i="21"/>
  <c r="AB70"/>
  <c r="G34" i="17"/>
  <c r="Y12"/>
  <c r="W12"/>
  <c r="Z12"/>
  <c r="AB12" s="1"/>
  <c r="X12"/>
  <c r="AB190" i="21"/>
  <c r="AB69"/>
  <c r="G33" i="17"/>
  <c r="Y11"/>
  <c r="W11"/>
  <c r="Z11"/>
  <c r="AB11" s="1"/>
  <c r="X11"/>
  <c r="AB189" i="21"/>
  <c r="AB68"/>
  <c r="G32" i="17"/>
  <c r="Y10"/>
  <c r="W10"/>
  <c r="Z10"/>
  <c r="AB10" s="1"/>
  <c r="X10"/>
  <c r="AB188" i="21"/>
  <c r="AB67"/>
  <c r="G31" i="17"/>
  <c r="Y9"/>
  <c r="W9"/>
  <c r="Z9"/>
  <c r="AB9" s="1"/>
  <c r="X9"/>
  <c r="AB185" i="21"/>
  <c r="AB64"/>
  <c r="N64" s="1"/>
  <c r="G28" i="17"/>
  <c r="Y6"/>
  <c r="W6"/>
  <c r="G18"/>
  <c r="Z6"/>
  <c r="AB6" s="1"/>
  <c r="X6"/>
  <c r="X18" l="1"/>
  <c r="BD39" s="1"/>
  <c r="Y18"/>
  <c r="BX39" s="1"/>
  <c r="AA17"/>
  <c r="G40"/>
  <c r="Z18"/>
  <c r="AB18" s="1"/>
  <c r="Y31"/>
  <c r="W31"/>
  <c r="Z31"/>
  <c r="X31"/>
  <c r="Z33"/>
  <c r="X33"/>
  <c r="Y33"/>
  <c r="W33"/>
  <c r="Y35"/>
  <c r="W35"/>
  <c r="Z35"/>
  <c r="X35"/>
  <c r="Z37"/>
  <c r="X37"/>
  <c r="Y37"/>
  <c r="W37"/>
  <c r="Z30"/>
  <c r="X30"/>
  <c r="Y30"/>
  <c r="W30"/>
  <c r="Z38"/>
  <c r="X38"/>
  <c r="Y38"/>
  <c r="W38"/>
  <c r="AA9"/>
  <c r="AA11"/>
  <c r="AA13"/>
  <c r="AA15"/>
  <c r="AA8"/>
  <c r="AA16"/>
  <c r="W18"/>
  <c r="AA6"/>
  <c r="Y28"/>
  <c r="W28"/>
  <c r="Z28"/>
  <c r="X28"/>
  <c r="Z32"/>
  <c r="X32"/>
  <c r="Y32"/>
  <c r="W32"/>
  <c r="Z34"/>
  <c r="X34"/>
  <c r="Y34"/>
  <c r="W34"/>
  <c r="Y36"/>
  <c r="W36"/>
  <c r="Z36"/>
  <c r="X36"/>
  <c r="Y29"/>
  <c r="W29"/>
  <c r="Z29"/>
  <c r="X29"/>
  <c r="Z39"/>
  <c r="X39"/>
  <c r="Y39"/>
  <c r="W39"/>
  <c r="AA10"/>
  <c r="AA12"/>
  <c r="AA14"/>
  <c r="AA7"/>
  <c r="BC28" l="1"/>
  <c r="AZ33"/>
  <c r="AX35"/>
  <c r="CB39"/>
  <c r="BC30"/>
  <c r="AZ30"/>
  <c r="AZ38"/>
  <c r="CB29"/>
  <c r="CA29"/>
  <c r="AX28"/>
  <c r="AX32"/>
  <c r="AX36"/>
  <c r="BC33"/>
  <c r="AX37"/>
  <c r="BC38"/>
  <c r="BV33"/>
  <c r="BV29"/>
  <c r="BX28"/>
  <c r="CB31"/>
  <c r="BX36"/>
  <c r="BV31"/>
  <c r="BX32"/>
  <c r="CB33"/>
  <c r="CB30"/>
  <c r="AZ29"/>
  <c r="BD28"/>
  <c r="AZ31"/>
  <c r="BD32"/>
  <c r="BC34"/>
  <c r="BD36"/>
  <c r="BC31"/>
  <c r="AZ34"/>
  <c r="BD35"/>
  <c r="BD37"/>
  <c r="BC39"/>
  <c r="AZ39"/>
  <c r="BV34"/>
  <c r="BX35"/>
  <c r="CA35"/>
  <c r="BV30"/>
  <c r="CA32"/>
  <c r="CB34"/>
  <c r="BX37"/>
  <c r="CA36"/>
  <c r="BV38"/>
  <c r="CA37"/>
  <c r="CB38"/>
  <c r="BV39"/>
  <c r="CA28"/>
  <c r="BX29"/>
  <c r="BV28"/>
  <c r="CB28"/>
  <c r="CA30"/>
  <c r="BX31"/>
  <c r="BV32"/>
  <c r="CB32"/>
  <c r="BX33"/>
  <c r="CA34"/>
  <c r="BV36"/>
  <c r="CB36"/>
  <c r="BX30"/>
  <c r="CA31"/>
  <c r="CA33"/>
  <c r="BX34"/>
  <c r="BV35"/>
  <c r="CB35"/>
  <c r="BV37"/>
  <c r="CB37"/>
  <c r="BX38"/>
  <c r="CA39"/>
  <c r="CA38"/>
  <c r="AX29"/>
  <c r="BD29"/>
  <c r="AZ28"/>
  <c r="BC29"/>
  <c r="AX31"/>
  <c r="BD31"/>
  <c r="AZ32"/>
  <c r="AX33"/>
  <c r="BD33"/>
  <c r="BC35"/>
  <c r="AZ36"/>
  <c r="AX30"/>
  <c r="BD30"/>
  <c r="BC32"/>
  <c r="AX34"/>
  <c r="BD34"/>
  <c r="AZ35"/>
  <c r="BC36"/>
  <c r="AZ37"/>
  <c r="AX38"/>
  <c r="BD38"/>
  <c r="BC37"/>
  <c r="AX39"/>
  <c r="K77" i="20"/>
  <c r="J77"/>
  <c r="K67"/>
  <c r="J67"/>
  <c r="J72"/>
  <c r="K72"/>
  <c r="J66"/>
  <c r="K66"/>
  <c r="W40" i="17"/>
  <c r="BO39"/>
  <c r="BP38"/>
  <c r="BL38"/>
  <c r="BJ38"/>
  <c r="BP37"/>
  <c r="BL37"/>
  <c r="BJ37"/>
  <c r="BP39"/>
  <c r="BL39"/>
  <c r="BJ39"/>
  <c r="BO38"/>
  <c r="BO37"/>
  <c r="BP36"/>
  <c r="BL36"/>
  <c r="BJ36"/>
  <c r="BO35"/>
  <c r="BO34"/>
  <c r="BP33"/>
  <c r="BL33"/>
  <c r="BJ33"/>
  <c r="BP32"/>
  <c r="BL32"/>
  <c r="BJ32"/>
  <c r="BP31"/>
  <c r="BL31"/>
  <c r="BJ31"/>
  <c r="BO30"/>
  <c r="BO36"/>
  <c r="BP35"/>
  <c r="BL35"/>
  <c r="BJ35"/>
  <c r="BP34"/>
  <c r="BL34"/>
  <c r="BJ34"/>
  <c r="BO33"/>
  <c r="BO32"/>
  <c r="BO31"/>
  <c r="BP30"/>
  <c r="BL30"/>
  <c r="BJ30"/>
  <c r="BP29"/>
  <c r="BL29"/>
  <c r="BJ29"/>
  <c r="BO28"/>
  <c r="BO29"/>
  <c r="BP28"/>
  <c r="BL28"/>
  <c r="BJ28"/>
  <c r="AA18"/>
  <c r="J68" i="20"/>
  <c r="K68"/>
  <c r="K73"/>
  <c r="J73"/>
  <c r="K69"/>
  <c r="J69"/>
  <c r="X40" i="17"/>
  <c r="J74" i="20"/>
  <c r="K74"/>
  <c r="J70"/>
  <c r="K70"/>
  <c r="J76"/>
  <c r="K76"/>
  <c r="K75"/>
  <c r="J75"/>
  <c r="K71"/>
  <c r="J71"/>
  <c r="Y40" i="17"/>
  <c r="BX40" l="1"/>
  <c r="AZ40"/>
  <c r="BC40"/>
  <c r="BD40"/>
  <c r="BV40"/>
  <c r="CA40"/>
  <c r="AX40"/>
  <c r="CB40"/>
  <c r="BL40"/>
  <c r="BJ40"/>
  <c r="BP40"/>
  <c r="BO40"/>
  <c r="CD66" i="16" l="1"/>
  <c r="CF66" s="1"/>
  <c r="CE66" s="1"/>
  <c r="CA66"/>
  <c r="BX66"/>
  <c r="BZ66" s="1"/>
  <c r="BY66" s="1"/>
  <c r="BT66"/>
  <c r="O66"/>
  <c r="N66"/>
  <c r="M66"/>
  <c r="L66"/>
  <c r="K66"/>
  <c r="J66"/>
  <c r="I66"/>
  <c r="G66"/>
  <c r="F66"/>
  <c r="D66"/>
  <c r="AH66" s="1"/>
  <c r="CD65"/>
  <c r="CF65" s="1"/>
  <c r="CE65" s="1"/>
  <c r="CA65"/>
  <c r="BX65"/>
  <c r="BZ65" s="1"/>
  <c r="BY65" s="1"/>
  <c r="BT65"/>
  <c r="O65"/>
  <c r="N65"/>
  <c r="M65"/>
  <c r="L65"/>
  <c r="K65"/>
  <c r="J65"/>
  <c r="I65"/>
  <c r="G65"/>
  <c r="F65"/>
  <c r="D65"/>
  <c r="AH65" s="1"/>
  <c r="CD64" l="1"/>
  <c r="CF64" s="1"/>
  <c r="CE64" s="1"/>
  <c r="CA64"/>
  <c r="BX64"/>
  <c r="BY64" s="1"/>
  <c r="BT64"/>
  <c r="O64"/>
  <c r="N64"/>
  <c r="M64"/>
  <c r="L64"/>
  <c r="K64"/>
  <c r="J64"/>
  <c r="I64"/>
  <c r="G64"/>
  <c r="F64"/>
  <c r="D64"/>
  <c r="AH64" s="1"/>
  <c r="CD63"/>
  <c r="CF63" s="1"/>
  <c r="CE63" s="1"/>
  <c r="CA63"/>
  <c r="BX63"/>
  <c r="BZ63" s="1"/>
  <c r="BY63" s="1"/>
  <c r="BT63"/>
  <c r="O63"/>
  <c r="N63"/>
  <c r="M63"/>
  <c r="L63"/>
  <c r="K63"/>
  <c r="J63"/>
  <c r="I63"/>
  <c r="G63"/>
  <c r="F63"/>
  <c r="D63"/>
  <c r="AH63" s="1"/>
  <c r="CD62"/>
  <c r="CF62" s="1"/>
  <c r="CE62" s="1"/>
  <c r="CA62"/>
  <c r="BX62"/>
  <c r="BZ62" s="1"/>
  <c r="BY62" s="1"/>
  <c r="BT62"/>
  <c r="O62"/>
  <c r="N62"/>
  <c r="M62"/>
  <c r="L62"/>
  <c r="K62"/>
  <c r="J62"/>
  <c r="I62"/>
  <c r="BZ64" l="1"/>
  <c r="G62"/>
  <c r="F62"/>
  <c r="D62"/>
  <c r="AH62" s="1"/>
  <c r="CD61"/>
  <c r="CF61" s="1"/>
  <c r="CE61" s="1"/>
  <c r="CA61"/>
  <c r="BX61"/>
  <c r="BZ61" s="1"/>
  <c r="BY61" s="1"/>
  <c r="BT61"/>
  <c r="O61"/>
  <c r="N61"/>
  <c r="M61"/>
  <c r="L61"/>
  <c r="K61"/>
  <c r="J61"/>
  <c r="I61"/>
  <c r="G61"/>
  <c r="F61"/>
  <c r="D61"/>
  <c r="AH61" s="1"/>
  <c r="CD60"/>
  <c r="CF60" s="1"/>
  <c r="CE60" s="1"/>
  <c r="CA60"/>
  <c r="BX60"/>
  <c r="BY60" s="1"/>
  <c r="BT60"/>
  <c r="O60"/>
  <c r="N60"/>
  <c r="M60"/>
  <c r="L60"/>
  <c r="K60"/>
  <c r="J60"/>
  <c r="I60"/>
  <c r="G60"/>
  <c r="F60"/>
  <c r="D60"/>
  <c r="AH60" s="1"/>
  <c r="CD59"/>
  <c r="CF59" s="1"/>
  <c r="CE59" s="1"/>
  <c r="CA59"/>
  <c r="BX59"/>
  <c r="BZ59" s="1"/>
  <c r="BY59" s="1"/>
  <c r="BT59"/>
  <c r="O59"/>
  <c r="N59"/>
  <c r="M59"/>
  <c r="L59"/>
  <c r="K59"/>
  <c r="J59"/>
  <c r="I59"/>
  <c r="G59"/>
  <c r="F59"/>
  <c r="D59"/>
  <c r="AH59" s="1"/>
  <c r="CD58"/>
  <c r="CF58" s="1"/>
  <c r="CE58" s="1"/>
  <c r="CA58"/>
  <c r="BX58"/>
  <c r="BZ58" s="1"/>
  <c r="BY58" s="1"/>
  <c r="BT58"/>
  <c r="O58"/>
  <c r="N58"/>
  <c r="M58"/>
  <c r="L58"/>
  <c r="K58"/>
  <c r="J58"/>
  <c r="I58"/>
  <c r="G58"/>
  <c r="F58"/>
  <c r="D58"/>
  <c r="AH58" s="1"/>
  <c r="CD57"/>
  <c r="CF57" s="1"/>
  <c r="CE57" s="1"/>
  <c r="CA57"/>
  <c r="BX57"/>
  <c r="BZ57" s="1"/>
  <c r="BY57" s="1"/>
  <c r="BT57"/>
  <c r="O57"/>
  <c r="N57"/>
  <c r="M57"/>
  <c r="L57"/>
  <c r="K57"/>
  <c r="J57"/>
  <c r="I57"/>
  <c r="G57"/>
  <c r="F57"/>
  <c r="D57"/>
  <c r="AH57" s="1"/>
  <c r="CD56"/>
  <c r="CF56" s="1"/>
  <c r="CE56" s="1"/>
  <c r="CA56"/>
  <c r="BX56"/>
  <c r="BZ56" s="1"/>
  <c r="BY56" s="1"/>
  <c r="BT56"/>
  <c r="O56"/>
  <c r="N56"/>
  <c r="M56"/>
  <c r="L56"/>
  <c r="K56"/>
  <c r="J56"/>
  <c r="I56"/>
  <c r="G56"/>
  <c r="F56"/>
  <c r="D56"/>
  <c r="AH56" s="1"/>
  <c r="CD55"/>
  <c r="CF55" s="1"/>
  <c r="CE55" s="1"/>
  <c r="CA55"/>
  <c r="BX55"/>
  <c r="BZ55" s="1"/>
  <c r="BY55" s="1"/>
  <c r="BT55"/>
  <c r="O55"/>
  <c r="N55"/>
  <c r="M55"/>
  <c r="L55"/>
  <c r="K55"/>
  <c r="J55"/>
  <c r="I55"/>
  <c r="G55"/>
  <c r="F55"/>
  <c r="D55"/>
  <c r="AH55" s="1"/>
  <c r="CD54"/>
  <c r="CF54" s="1"/>
  <c r="CE54" s="1"/>
  <c r="CA54"/>
  <c r="BX54"/>
  <c r="BZ54" s="1"/>
  <c r="BY54" s="1"/>
  <c r="BT54"/>
  <c r="O54"/>
  <c r="N54"/>
  <c r="M54"/>
  <c r="L54"/>
  <c r="K54"/>
  <c r="J54"/>
  <c r="I54"/>
  <c r="G54"/>
  <c r="F54"/>
  <c r="D54"/>
  <c r="AH54" s="1"/>
  <c r="CD53"/>
  <c r="CF53" s="1"/>
  <c r="CE53" s="1"/>
  <c r="CA53"/>
  <c r="BX53"/>
  <c r="BZ53" s="1"/>
  <c r="BY53" s="1"/>
  <c r="BT53"/>
  <c r="O53"/>
  <c r="N53"/>
  <c r="M53"/>
  <c r="L53"/>
  <c r="K53"/>
  <c r="J53"/>
  <c r="I53"/>
  <c r="G53"/>
  <c r="F53"/>
  <c r="D53"/>
  <c r="AH53" s="1"/>
  <c r="CD52"/>
  <c r="CF52" s="1"/>
  <c r="CE52" s="1"/>
  <c r="CA52"/>
  <c r="BX52"/>
  <c r="BZ52" s="1"/>
  <c r="BY52" s="1"/>
  <c r="BT52"/>
  <c r="O52"/>
  <c r="N52"/>
  <c r="M52"/>
  <c r="L52"/>
  <c r="K52"/>
  <c r="J52"/>
  <c r="I52"/>
  <c r="G52"/>
  <c r="F52"/>
  <c r="D52"/>
  <c r="AH52" s="1"/>
  <c r="CD51"/>
  <c r="CF51" s="1"/>
  <c r="CE51" s="1"/>
  <c r="CA51"/>
  <c r="BX51"/>
  <c r="BZ51" s="1"/>
  <c r="BY51" s="1"/>
  <c r="BT51"/>
  <c r="O51"/>
  <c r="N51"/>
  <c r="M51"/>
  <c r="L51"/>
  <c r="K51"/>
  <c r="J51"/>
  <c r="I51"/>
  <c r="G51"/>
  <c r="F51"/>
  <c r="D51"/>
  <c r="AH51" s="1"/>
  <c r="CD50"/>
  <c r="CF50" s="1"/>
  <c r="CA50"/>
  <c r="BX50"/>
  <c r="BZ50" s="1"/>
  <c r="BY50" s="1"/>
  <c r="BT50"/>
  <c r="O50"/>
  <c r="N50"/>
  <c r="M50"/>
  <c r="L50"/>
  <c r="K50"/>
  <c r="J50"/>
  <c r="I50"/>
  <c r="G50"/>
  <c r="F50"/>
  <c r="D50"/>
  <c r="AH50" s="1"/>
  <c r="CD49"/>
  <c r="CF49" s="1"/>
  <c r="CE49" s="1"/>
  <c r="CA49"/>
  <c r="BX49"/>
  <c r="BZ49" s="1"/>
  <c r="BY49" s="1"/>
  <c r="BT49"/>
  <c r="O49"/>
  <c r="N49"/>
  <c r="M49"/>
  <c r="L49"/>
  <c r="K49"/>
  <c r="J49"/>
  <c r="I49"/>
  <c r="G49"/>
  <c r="F49"/>
  <c r="D49"/>
  <c r="AH49" s="1"/>
  <c r="CD48"/>
  <c r="CF48" s="1"/>
  <c r="CE48" s="1"/>
  <c r="CA48"/>
  <c r="BX48"/>
  <c r="BZ48" s="1"/>
  <c r="BY48" s="1"/>
  <c r="BT48"/>
  <c r="O48"/>
  <c r="N48"/>
  <c r="M48"/>
  <c r="L48"/>
  <c r="K48"/>
  <c r="J48"/>
  <c r="I48"/>
  <c r="G48"/>
  <c r="F48"/>
  <c r="D48"/>
  <c r="AH48" s="1"/>
  <c r="CD47"/>
  <c r="CF47" s="1"/>
  <c r="CE47" s="1"/>
  <c r="CA47"/>
  <c r="BX47"/>
  <c r="BZ47" s="1"/>
  <c r="BY47" s="1"/>
  <c r="BT47"/>
  <c r="O47"/>
  <c r="N47"/>
  <c r="M47"/>
  <c r="L47"/>
  <c r="K47"/>
  <c r="J47"/>
  <c r="I47"/>
  <c r="G47"/>
  <c r="F47"/>
  <c r="D47"/>
  <c r="AH47" s="1"/>
  <c r="CD46"/>
  <c r="CF46" s="1"/>
  <c r="CE46" s="1"/>
  <c r="CA46"/>
  <c r="BX46"/>
  <c r="BZ46" s="1"/>
  <c r="BY46" s="1"/>
  <c r="BT46"/>
  <c r="O46"/>
  <c r="N46"/>
  <c r="M46"/>
  <c r="L46"/>
  <c r="K46"/>
  <c r="J46"/>
  <c r="I46"/>
  <c r="G46"/>
  <c r="F46"/>
  <c r="D46"/>
  <c r="AH46" s="1"/>
  <c r="CD45"/>
  <c r="CF45" s="1"/>
  <c r="CE45" s="1"/>
  <c r="CA45"/>
  <c r="BX45"/>
  <c r="BZ45" s="1"/>
  <c r="BY45" s="1"/>
  <c r="BT45"/>
  <c r="O45"/>
  <c r="N45"/>
  <c r="M45"/>
  <c r="L45"/>
  <c r="K45"/>
  <c r="J45"/>
  <c r="I45"/>
  <c r="G45"/>
  <c r="F45"/>
  <c r="D45"/>
  <c r="AH45" s="1"/>
  <c r="CD44"/>
  <c r="CF44" s="1"/>
  <c r="CE44" s="1"/>
  <c r="CA44"/>
  <c r="BX44"/>
  <c r="BZ44" s="1"/>
  <c r="BY44" s="1"/>
  <c r="BT44"/>
  <c r="O44"/>
  <c r="N44"/>
  <c r="M44"/>
  <c r="L44"/>
  <c r="K44"/>
  <c r="J44"/>
  <c r="I44"/>
  <c r="G44"/>
  <c r="F44"/>
  <c r="D44"/>
  <c r="AH44" s="1"/>
  <c r="CD43"/>
  <c r="CA43"/>
  <c r="CA67" s="1"/>
  <c r="BX43"/>
  <c r="BT43"/>
  <c r="O43"/>
  <c r="N43"/>
  <c r="M43"/>
  <c r="M67" s="1"/>
  <c r="L43"/>
  <c r="K43"/>
  <c r="J43"/>
  <c r="I43"/>
  <c r="I67" s="1"/>
  <c r="G43"/>
  <c r="F43"/>
  <c r="D43"/>
  <c r="AH43" s="1"/>
  <c r="BU33"/>
  <c r="BR33"/>
  <c r="BP33"/>
  <c r="BO33"/>
  <c r="BM33"/>
  <c r="BL33"/>
  <c r="BK33"/>
  <c r="BJ33"/>
  <c r="BI33"/>
  <c r="BH33"/>
  <c r="BG33"/>
  <c r="F67" l="1"/>
  <c r="K67"/>
  <c r="O67"/>
  <c r="BT67"/>
  <c r="AH67"/>
  <c r="D67"/>
  <c r="G67"/>
  <c r="J67"/>
  <c r="BX67"/>
  <c r="CD67"/>
  <c r="CF43"/>
  <c r="CF67" s="1"/>
  <c r="BZ43"/>
  <c r="CE50"/>
  <c r="BZ60"/>
  <c r="L67"/>
  <c r="N67"/>
  <c r="BY43"/>
  <c r="BY67" s="1"/>
  <c r="CE43"/>
  <c r="BZ67" l="1"/>
  <c r="CE67"/>
  <c r="AE33"/>
  <c r="O33"/>
  <c r="N33"/>
  <c r="M33"/>
  <c r="L33"/>
  <c r="K33"/>
  <c r="J33"/>
  <c r="I33"/>
  <c r="H33"/>
  <c r="G33"/>
  <c r="F33"/>
  <c r="E33"/>
  <c r="D33"/>
  <c r="CD32"/>
  <c r="CA32"/>
  <c r="CF32" l="1"/>
  <c r="CE32"/>
  <c r="BX32"/>
  <c r="BT32"/>
  <c r="BZ32" l="1"/>
  <c r="BY32"/>
  <c r="AH32"/>
  <c r="CD31"/>
  <c r="CA31"/>
  <c r="BX31"/>
  <c r="BT31"/>
  <c r="AH31"/>
  <c r="CD30"/>
  <c r="CA30"/>
  <c r="BX30"/>
  <c r="BT30"/>
  <c r="AH30"/>
  <c r="CD29"/>
  <c r="CA29"/>
  <c r="BX29"/>
  <c r="BT29"/>
  <c r="AH29"/>
  <c r="CD28"/>
  <c r="CA28"/>
  <c r="BX28"/>
  <c r="BT28"/>
  <c r="AH28"/>
  <c r="CF30" l="1"/>
  <c r="CE30"/>
  <c r="CF31"/>
  <c r="CE31"/>
  <c r="BZ28"/>
  <c r="BY28"/>
  <c r="CF28"/>
  <c r="CE28"/>
  <c r="BZ29"/>
  <c r="BY29"/>
  <c r="CF29"/>
  <c r="CE29"/>
  <c r="BZ30"/>
  <c r="BY30"/>
  <c r="BZ31"/>
  <c r="BY31"/>
  <c r="CD27"/>
  <c r="CA27"/>
  <c r="BX27"/>
  <c r="BT27"/>
  <c r="AH27"/>
  <c r="CD26"/>
  <c r="CA26"/>
  <c r="BX26"/>
  <c r="BT26"/>
  <c r="AH26"/>
  <c r="CD25"/>
  <c r="CA25"/>
  <c r="BX25"/>
  <c r="BT25"/>
  <c r="AH25"/>
  <c r="CD24"/>
  <c r="CA24"/>
  <c r="BX24"/>
  <c r="BT24"/>
  <c r="AH24"/>
  <c r="CD23"/>
  <c r="CA23"/>
  <c r="BX23"/>
  <c r="BT23"/>
  <c r="AH23"/>
  <c r="CD22"/>
  <c r="CA22"/>
  <c r="BX22"/>
  <c r="BT22"/>
  <c r="AH22"/>
  <c r="CD21"/>
  <c r="CA21"/>
  <c r="BX21"/>
  <c r="BT21"/>
  <c r="AH21"/>
  <c r="CD20"/>
  <c r="CA20"/>
  <c r="BX20"/>
  <c r="BT20"/>
  <c r="AH20"/>
  <c r="CD19"/>
  <c r="CA19"/>
  <c r="BX19"/>
  <c r="BT19"/>
  <c r="AH19"/>
  <c r="CD18"/>
  <c r="CA18"/>
  <c r="BX18"/>
  <c r="BT18"/>
  <c r="AH18"/>
  <c r="CD17"/>
  <c r="CA17"/>
  <c r="BX17"/>
  <c r="BT17"/>
  <c r="AH17"/>
  <c r="CD16"/>
  <c r="CA16"/>
  <c r="BX16"/>
  <c r="BT16"/>
  <c r="AH16"/>
  <c r="CD15"/>
  <c r="CA15"/>
  <c r="BX15"/>
  <c r="BT15"/>
  <c r="AH15"/>
  <c r="CD14"/>
  <c r="CA14"/>
  <c r="BX14"/>
  <c r="BT14"/>
  <c r="AH14"/>
  <c r="CD13"/>
  <c r="CA13"/>
  <c r="BX13"/>
  <c r="BT13"/>
  <c r="AH13"/>
  <c r="CD12"/>
  <c r="CA12"/>
  <c r="BX12"/>
  <c r="BT12"/>
  <c r="AH12"/>
  <c r="CD11"/>
  <c r="CA11"/>
  <c r="BX11"/>
  <c r="BT11"/>
  <c r="AH11"/>
  <c r="CD10"/>
  <c r="CA10"/>
  <c r="BX10"/>
  <c r="BT10"/>
  <c r="AH10"/>
  <c r="CD9"/>
  <c r="CA9"/>
  <c r="BX9"/>
  <c r="BX33" l="1"/>
  <c r="BZ10"/>
  <c r="BY10"/>
  <c r="CF10"/>
  <c r="CE10"/>
  <c r="BZ11"/>
  <c r="BY11"/>
  <c r="CF11"/>
  <c r="CE11"/>
  <c r="BZ12"/>
  <c r="BY12"/>
  <c r="CF12"/>
  <c r="CE12"/>
  <c r="BZ13"/>
  <c r="BY13"/>
  <c r="CF13"/>
  <c r="CE13"/>
  <c r="BZ14"/>
  <c r="BY14"/>
  <c r="CF14"/>
  <c r="CE14"/>
  <c r="BZ15"/>
  <c r="BY15"/>
  <c r="CF15"/>
  <c r="CE15"/>
  <c r="BZ18"/>
  <c r="BY18"/>
  <c r="CF18"/>
  <c r="CE18"/>
  <c r="BZ22"/>
  <c r="BY22"/>
  <c r="CF22"/>
  <c r="CE22"/>
  <c r="BZ23"/>
  <c r="BY23"/>
  <c r="CF23"/>
  <c r="CE23"/>
  <c r="BZ25"/>
  <c r="BY25"/>
  <c r="CF25"/>
  <c r="CE25"/>
  <c r="BZ27"/>
  <c r="BY27"/>
  <c r="CF27"/>
  <c r="CE27"/>
  <c r="BY9"/>
  <c r="BZ9"/>
  <c r="CE9"/>
  <c r="CF9"/>
  <c r="BZ16"/>
  <c r="BY16"/>
  <c r="CF16"/>
  <c r="CE16"/>
  <c r="BZ17"/>
  <c r="BY17"/>
  <c r="CF17"/>
  <c r="CE17"/>
  <c r="BZ19"/>
  <c r="BY19"/>
  <c r="CF19"/>
  <c r="CE19"/>
  <c r="BZ20"/>
  <c r="BY20"/>
  <c r="CF20"/>
  <c r="CE20"/>
  <c r="BZ21"/>
  <c r="BY21"/>
  <c r="CF21"/>
  <c r="CE21"/>
  <c r="BZ24"/>
  <c r="BY24"/>
  <c r="CF24"/>
  <c r="CE24"/>
  <c r="BZ26"/>
  <c r="BY26"/>
  <c r="CF26"/>
  <c r="CE26"/>
  <c r="CD33"/>
  <c r="CA33"/>
  <c r="BT9"/>
  <c r="BT33" s="1"/>
  <c r="AH9"/>
  <c r="AH33" s="1"/>
  <c r="BY33" l="1"/>
  <c r="CE33"/>
  <c r="BZ33"/>
  <c r="AZ178" i="15" l="1"/>
  <c r="AY178"/>
  <c r="AX178" s="1"/>
  <c r="AW178" s="1"/>
  <c r="AU178" s="1"/>
  <c r="AZ177"/>
  <c r="AY177"/>
  <c r="AX177" s="1"/>
  <c r="AW177" s="1"/>
  <c r="AU177"/>
  <c r="BD176"/>
  <c r="BC176"/>
  <c r="BB176"/>
  <c r="AZ176"/>
  <c r="AY176"/>
  <c r="AX176"/>
  <c r="AW176"/>
  <c r="AU176"/>
  <c r="BD175"/>
  <c r="BC175"/>
  <c r="BB175"/>
  <c r="AT174" s="1"/>
  <c r="AS174"/>
  <c r="AZ173"/>
  <c r="AY173"/>
  <c r="AX173" s="1"/>
  <c r="AW173" s="1"/>
  <c r="AU173"/>
  <c r="AT173"/>
  <c r="AS173"/>
  <c r="AX172"/>
  <c r="AW172"/>
  <c r="AU172"/>
  <c r="AT172" s="1"/>
  <c r="AS172" s="1"/>
  <c r="AA172"/>
  <c r="BD171"/>
  <c r="BC171"/>
  <c r="BB171"/>
  <c r="AZ171"/>
  <c r="AY171"/>
  <c r="AA171" s="1"/>
  <c r="AZ170"/>
  <c r="AY170"/>
  <c r="AU170"/>
  <c r="AT170" s="1"/>
  <c r="AS170"/>
  <c r="AA170"/>
  <c r="U170"/>
  <c r="R170" s="1"/>
  <c r="Q170"/>
  <c r="P170"/>
  <c r="O170"/>
  <c r="N170"/>
  <c r="M170"/>
  <c r="L170"/>
  <c r="K170"/>
  <c r="J170"/>
  <c r="I170" s="1"/>
  <c r="H170" s="1"/>
  <c r="F170"/>
  <c r="E170"/>
  <c r="BD169"/>
  <c r="BC169"/>
  <c r="BB169"/>
  <c r="AZ169"/>
  <c r="AY169"/>
  <c r="AU169"/>
  <c r="AT169" s="1"/>
  <c r="AS169"/>
  <c r="AR169"/>
  <c r="AQ169"/>
  <c r="AP169"/>
  <c r="AL169"/>
  <c r="AA169"/>
  <c r="W169"/>
  <c r="U169"/>
  <c r="R169"/>
  <c r="Q169"/>
  <c r="P169"/>
  <c r="O169"/>
  <c r="N169"/>
  <c r="M169"/>
  <c r="L169"/>
  <c r="K169"/>
  <c r="J169"/>
  <c r="I169" s="1"/>
  <c r="H169" s="1"/>
  <c r="G169" s="1"/>
  <c r="F169"/>
  <c r="E169"/>
  <c r="D169"/>
  <c r="BD168"/>
  <c r="BC168"/>
  <c r="BB168"/>
  <c r="AZ168"/>
  <c r="AY168"/>
  <c r="AU168" s="1"/>
  <c r="AT168"/>
  <c r="AS168" s="1"/>
  <c r="AR168"/>
  <c r="AQ168" s="1"/>
  <c r="AP168"/>
  <c r="AL168"/>
  <c r="AA168"/>
  <c r="W168"/>
  <c r="U168"/>
  <c r="R168"/>
  <c r="Q168"/>
  <c r="P168"/>
  <c r="O168"/>
  <c r="N168"/>
  <c r="M168"/>
  <c r="L168"/>
  <c r="K168"/>
  <c r="J168"/>
  <c r="I168" s="1"/>
  <c r="H168"/>
  <c r="G168"/>
  <c r="F168"/>
  <c r="E168"/>
  <c r="D168"/>
  <c r="BD167"/>
  <c r="BC167"/>
  <c r="BB167"/>
  <c r="AZ167"/>
  <c r="AY167"/>
  <c r="AU167"/>
  <c r="AT167"/>
  <c r="AS167"/>
  <c r="AR167"/>
  <c r="AQ167"/>
  <c r="AP167"/>
  <c r="AL167"/>
  <c r="AA167"/>
  <c r="W167"/>
  <c r="U167"/>
  <c r="R167"/>
  <c r="Q167"/>
  <c r="P167"/>
  <c r="O167"/>
  <c r="N167" s="1"/>
  <c r="M167"/>
  <c r="L167"/>
  <c r="K167"/>
  <c r="J167"/>
  <c r="I167" s="1"/>
  <c r="H167" s="1"/>
  <c r="G167" s="1"/>
  <c r="F167"/>
  <c r="E167"/>
  <c r="D167"/>
  <c r="BD166"/>
  <c r="BC166"/>
  <c r="BB166"/>
  <c r="AZ166"/>
  <c r="AY166"/>
  <c r="AU166" s="1"/>
  <c r="AT166"/>
  <c r="AS166"/>
  <c r="AR166"/>
  <c r="AQ166" s="1"/>
  <c r="AP166"/>
  <c r="AL166"/>
  <c r="AA166" s="1"/>
  <c r="W166"/>
  <c r="U166"/>
  <c r="R166"/>
  <c r="Q166"/>
  <c r="P166"/>
  <c r="O166"/>
  <c r="N166"/>
  <c r="M166"/>
  <c r="L166" s="1"/>
  <c r="K166"/>
  <c r="J166"/>
  <c r="I166" s="1"/>
  <c r="H166"/>
  <c r="G166"/>
  <c r="F166"/>
  <c r="E166"/>
  <c r="D166"/>
  <c r="BD165"/>
  <c r="BC165"/>
  <c r="BB165"/>
  <c r="AZ165"/>
  <c r="AY165"/>
  <c r="AU165"/>
  <c r="AT165" s="1"/>
  <c r="AS165"/>
  <c r="AR165"/>
  <c r="AQ165"/>
  <c r="AP165"/>
  <c r="AL165"/>
  <c r="AA165"/>
  <c r="W165"/>
  <c r="U165"/>
  <c r="R165"/>
  <c r="Q165"/>
  <c r="P165"/>
  <c r="O165"/>
  <c r="N165"/>
  <c r="M165"/>
  <c r="L165"/>
  <c r="K165"/>
  <c r="J165"/>
  <c r="I165"/>
  <c r="H165"/>
  <c r="G165" s="1"/>
  <c r="F165"/>
  <c r="E165"/>
  <c r="D165"/>
  <c r="BD164"/>
  <c r="BC164"/>
  <c r="BB164"/>
  <c r="AZ164"/>
  <c r="AY164"/>
  <c r="AU164" s="1"/>
  <c r="AT164"/>
  <c r="AS164" s="1"/>
  <c r="AR164"/>
  <c r="AQ164"/>
  <c r="AP164"/>
  <c r="AN164"/>
  <c r="AL164" s="1"/>
  <c r="AA164"/>
  <c r="W164"/>
  <c r="U164"/>
  <c r="R164"/>
  <c r="Q164"/>
  <c r="P164"/>
  <c r="O164"/>
  <c r="N164"/>
  <c r="M164"/>
  <c r="L164"/>
  <c r="K164"/>
  <c r="J164"/>
  <c r="I164" s="1"/>
  <c r="H164"/>
  <c r="G164"/>
  <c r="F164"/>
  <c r="E164"/>
  <c r="D164"/>
  <c r="BD163"/>
  <c r="BC163"/>
  <c r="BB163"/>
  <c r="AZ163"/>
  <c r="AY163"/>
  <c r="AU163" s="1"/>
  <c r="AT163"/>
  <c r="AS163" s="1"/>
  <c r="AR163"/>
  <c r="AQ163" s="1"/>
  <c r="AP163"/>
  <c r="AL163"/>
  <c r="AA163"/>
  <c r="U163"/>
  <c r="R163"/>
  <c r="Q163"/>
  <c r="P163"/>
  <c r="O163"/>
  <c r="N163"/>
  <c r="M163"/>
  <c r="L163"/>
  <c r="K163"/>
  <c r="J163"/>
  <c r="I163"/>
  <c r="H163" s="1"/>
  <c r="G163"/>
  <c r="F163"/>
  <c r="E163"/>
  <c r="D163"/>
  <c r="BD162"/>
  <c r="BC162"/>
  <c r="BB162"/>
  <c r="AZ162"/>
  <c r="AY162"/>
  <c r="AU162" s="1"/>
  <c r="AT162" s="1"/>
  <c r="AS162"/>
  <c r="AR162"/>
  <c r="AQ162"/>
  <c r="AP162"/>
  <c r="AA162"/>
  <c r="W162"/>
  <c r="U162"/>
  <c r="R162"/>
  <c r="Q162"/>
  <c r="P162"/>
  <c r="O162" s="1"/>
  <c r="N162"/>
  <c r="M162"/>
  <c r="L162"/>
  <c r="K162"/>
  <c r="J162"/>
  <c r="I162" s="1"/>
  <c r="H162"/>
  <c r="G162"/>
  <c r="F162"/>
  <c r="E162"/>
  <c r="D162"/>
  <c r="BD161"/>
  <c r="BC161"/>
  <c r="BB161"/>
  <c r="AZ161"/>
  <c r="AY161"/>
  <c r="AU161" s="1"/>
  <c r="AT161" s="1"/>
  <c r="AS161"/>
  <c r="AR161"/>
  <c r="AQ161"/>
  <c r="AP161"/>
  <c r="AA161"/>
  <c r="W161"/>
  <c r="U161"/>
  <c r="R161"/>
  <c r="Q161"/>
  <c r="P161"/>
  <c r="O161"/>
  <c r="N161"/>
  <c r="M161"/>
  <c r="L161"/>
  <c r="K161"/>
  <c r="J161"/>
  <c r="I161" s="1"/>
  <c r="H161" s="1"/>
  <c r="G161"/>
  <c r="F161"/>
  <c r="E161"/>
  <c r="D161"/>
  <c r="BD160"/>
  <c r="BC160"/>
  <c r="BB160"/>
  <c r="AZ160"/>
  <c r="AY160"/>
  <c r="AU160" s="1"/>
  <c r="AT160"/>
  <c r="AS160" s="1"/>
  <c r="AR160"/>
  <c r="AQ160" s="1"/>
  <c r="AP160"/>
  <c r="AL160"/>
  <c r="AA160"/>
  <c r="W160"/>
  <c r="U160"/>
  <c r="T160"/>
  <c r="S160"/>
  <c r="R160"/>
  <c r="Q160"/>
  <c r="P160"/>
  <c r="O160"/>
  <c r="N160"/>
  <c r="M160"/>
  <c r="L160"/>
  <c r="K160"/>
  <c r="J160"/>
  <c r="I160" s="1"/>
  <c r="H160" s="1"/>
  <c r="G160"/>
  <c r="F160"/>
  <c r="E160"/>
  <c r="D160"/>
  <c r="BD159"/>
  <c r="BC159"/>
  <c r="BB159"/>
  <c r="AR159"/>
  <c r="BG158"/>
  <c r="BF158"/>
  <c r="BD158"/>
  <c r="BC158"/>
  <c r="BB158"/>
  <c r="AZ158"/>
  <c r="AY158"/>
  <c r="AU158" s="1"/>
  <c r="AT158" s="1"/>
  <c r="AS158"/>
  <c r="AR158"/>
  <c r="AQ158"/>
  <c r="AP158"/>
  <c r="AA158"/>
  <c r="U158"/>
  <c r="T158"/>
  <c r="S158"/>
  <c r="R158"/>
  <c r="Q158" s="1"/>
  <c r="P158" s="1"/>
  <c r="O158"/>
  <c r="N158"/>
  <c r="M158"/>
  <c r="L158"/>
  <c r="K158"/>
  <c r="J158"/>
  <c r="I158"/>
  <c r="H158"/>
  <c r="BD157"/>
  <c r="BC157"/>
  <c r="BB157"/>
  <c r="AZ157"/>
  <c r="AY157"/>
  <c r="AU157"/>
  <c r="AT157" s="1"/>
  <c r="AS157"/>
  <c r="AR157"/>
  <c r="AQ157"/>
  <c r="AP157"/>
  <c r="AA157"/>
  <c r="U157"/>
  <c r="T157"/>
  <c r="S157"/>
  <c r="R157"/>
  <c r="Q157" s="1"/>
  <c r="P157"/>
  <c r="O157" s="1"/>
  <c r="N157"/>
  <c r="M157"/>
  <c r="L157"/>
  <c r="K157"/>
  <c r="J157"/>
  <c r="I157"/>
  <c r="H157"/>
  <c r="BC156"/>
  <c r="BB156"/>
  <c r="AZ156"/>
  <c r="AY156"/>
  <c r="AU156" s="1"/>
  <c r="AT156" s="1"/>
  <c r="AS156"/>
  <c r="AR156"/>
  <c r="AQ156"/>
  <c r="AP156"/>
  <c r="AA156"/>
  <c r="U156"/>
  <c r="T156"/>
  <c r="S156"/>
  <c r="R156"/>
  <c r="Q156"/>
  <c r="P156" s="1"/>
  <c r="O156"/>
  <c r="N156"/>
  <c r="M156"/>
  <c r="L156"/>
  <c r="K156"/>
  <c r="J156"/>
  <c r="I156"/>
  <c r="H156"/>
  <c r="BD155"/>
  <c r="BB155"/>
  <c r="AZ155"/>
  <c r="AY155"/>
  <c r="AU155"/>
  <c r="AT155" s="1"/>
  <c r="AS155"/>
  <c r="AR155" s="1"/>
  <c r="AQ155"/>
  <c r="AP155"/>
  <c r="AA155"/>
  <c r="U155"/>
  <c r="T155"/>
  <c r="S155"/>
  <c r="R155"/>
  <c r="Q155" s="1"/>
  <c r="P155"/>
  <c r="O155" s="1"/>
  <c r="N155"/>
  <c r="M155"/>
  <c r="L155"/>
  <c r="K155"/>
  <c r="J155"/>
  <c r="I155"/>
  <c r="H155"/>
  <c r="BD154"/>
  <c r="BB154"/>
  <c r="AZ154"/>
  <c r="AY154"/>
  <c r="AU154" s="1"/>
  <c r="AT154" s="1"/>
  <c r="AS154"/>
  <c r="AR154"/>
  <c r="AQ154"/>
  <c r="AP154"/>
  <c r="AA154"/>
  <c r="U154"/>
  <c r="T154"/>
  <c r="S154"/>
  <c r="R154"/>
  <c r="Q154"/>
  <c r="P154" s="1"/>
  <c r="O154"/>
  <c r="N154"/>
  <c r="M154"/>
  <c r="L154"/>
  <c r="K154"/>
  <c r="J154"/>
  <c r="I154"/>
  <c r="H154"/>
  <c r="BD153"/>
  <c r="BC153"/>
  <c r="BB153"/>
  <c r="AZ153"/>
  <c r="AY153"/>
  <c r="AU153" s="1"/>
  <c r="AT153" s="1"/>
  <c r="AS153"/>
  <c r="AR153"/>
  <c r="AQ153"/>
  <c r="AP153"/>
  <c r="AA153"/>
  <c r="U153"/>
  <c r="T153"/>
  <c r="S153"/>
  <c r="R153"/>
  <c r="Q153" s="1"/>
  <c r="P153" s="1"/>
  <c r="O153"/>
  <c r="N153"/>
  <c r="M153"/>
  <c r="L153"/>
  <c r="K153"/>
  <c r="J153"/>
  <c r="I153"/>
  <c r="H153"/>
  <c r="BD152"/>
  <c r="BC152"/>
  <c r="BB152"/>
  <c r="AZ152"/>
  <c r="AY152"/>
  <c r="AU152" s="1"/>
  <c r="AT152"/>
  <c r="AS152" s="1"/>
  <c r="AR152"/>
  <c r="AQ152" s="1"/>
  <c r="AP152"/>
  <c r="AL152"/>
  <c r="AA152"/>
  <c r="U152"/>
  <c r="T152"/>
  <c r="S152"/>
  <c r="R152"/>
  <c r="Q152"/>
  <c r="P152" s="1"/>
  <c r="O152"/>
  <c r="N152"/>
  <c r="M152"/>
  <c r="L152"/>
  <c r="K152"/>
  <c r="J152"/>
  <c r="I152"/>
  <c r="H152"/>
  <c r="BD151"/>
  <c r="BC151"/>
  <c r="BB151"/>
  <c r="AZ151"/>
  <c r="AY151"/>
  <c r="AU151"/>
  <c r="AT151" s="1"/>
  <c r="AS151" s="1"/>
  <c r="AR151"/>
  <c r="AQ151"/>
  <c r="AP151"/>
  <c r="AA151"/>
  <c r="U151"/>
  <c r="T151"/>
  <c r="S151"/>
  <c r="R151"/>
  <c r="Q151" s="1"/>
  <c r="P151"/>
  <c r="O151" s="1"/>
  <c r="N151"/>
  <c r="M151"/>
  <c r="L151"/>
  <c r="K151"/>
  <c r="J151"/>
  <c r="I151"/>
  <c r="H151"/>
  <c r="BD150"/>
  <c r="BB150"/>
  <c r="AZ150"/>
  <c r="AY150"/>
  <c r="AU150" s="1"/>
  <c r="AT150" s="1"/>
  <c r="AS150"/>
  <c r="AR150"/>
  <c r="AQ150"/>
  <c r="AP150"/>
  <c r="AA150"/>
  <c r="U150"/>
  <c r="T150"/>
  <c r="S150"/>
  <c r="R150"/>
  <c r="Q150"/>
  <c r="P150" s="1"/>
  <c r="O150"/>
  <c r="N150"/>
  <c r="M150"/>
  <c r="L150"/>
  <c r="K150"/>
  <c r="J150"/>
  <c r="I150"/>
  <c r="H150"/>
  <c r="BD149"/>
  <c r="BC149"/>
  <c r="BB149"/>
  <c r="AZ149"/>
  <c r="AY149"/>
  <c r="AU149" s="1"/>
  <c r="AT149" s="1"/>
  <c r="AS149"/>
  <c r="AR149" s="1"/>
  <c r="AQ149"/>
  <c r="AP149"/>
  <c r="AA149"/>
  <c r="U149"/>
  <c r="T149"/>
  <c r="S149"/>
  <c r="R149"/>
  <c r="Q149"/>
  <c r="P149" s="1"/>
  <c r="O149"/>
  <c r="N149"/>
  <c r="M149"/>
  <c r="L149"/>
  <c r="K149"/>
  <c r="J149"/>
  <c r="I149"/>
  <c r="H149"/>
  <c r="BD148"/>
  <c r="BC148"/>
  <c r="BB148"/>
  <c r="AZ148"/>
  <c r="AY148"/>
  <c r="AU148"/>
  <c r="AT148" s="1"/>
  <c r="AS148" s="1"/>
  <c r="AR148"/>
  <c r="AQ148"/>
  <c r="AP148"/>
  <c r="AA148"/>
  <c r="U148"/>
  <c r="T148"/>
  <c r="S148"/>
  <c r="R148"/>
  <c r="Q148" s="1"/>
  <c r="P148"/>
  <c r="O148" s="1"/>
  <c r="N148"/>
  <c r="M148"/>
  <c r="L148"/>
  <c r="K148"/>
  <c r="J148"/>
  <c r="I148"/>
  <c r="H148"/>
  <c r="BD147"/>
  <c r="BC147"/>
  <c r="BB147"/>
  <c r="AZ147"/>
  <c r="AY147"/>
  <c r="AU147"/>
  <c r="AT147"/>
  <c r="AS147"/>
  <c r="AR147"/>
  <c r="AQ147"/>
  <c r="AP147"/>
  <c r="AA147"/>
  <c r="U147"/>
  <c r="T147"/>
  <c r="S147"/>
  <c r="R147"/>
  <c r="Q147"/>
  <c r="P147" s="1"/>
  <c r="O147"/>
  <c r="N147"/>
  <c r="M147" s="1"/>
  <c r="L147"/>
  <c r="K147"/>
  <c r="J147"/>
  <c r="I147"/>
  <c r="H147"/>
  <c r="BD146"/>
  <c r="BC146"/>
  <c r="BB146"/>
  <c r="AZ146"/>
  <c r="AY146"/>
  <c r="AU146" s="1"/>
  <c r="AT146" s="1"/>
  <c r="AS146"/>
  <c r="AR146"/>
  <c r="AQ146"/>
  <c r="AP146"/>
  <c r="AA146"/>
  <c r="U146"/>
  <c r="T146"/>
  <c r="S146"/>
  <c r="R146"/>
  <c r="Q146"/>
  <c r="P146" s="1"/>
  <c r="O146"/>
  <c r="N146"/>
  <c r="M146"/>
  <c r="L146"/>
  <c r="K146"/>
  <c r="J146"/>
  <c r="I146"/>
  <c r="H146"/>
  <c r="BD145"/>
  <c r="BC145"/>
  <c r="BB145"/>
  <c r="AZ145"/>
  <c r="AY145"/>
  <c r="AU145" s="1"/>
  <c r="AT145"/>
  <c r="AS145"/>
  <c r="AR145"/>
  <c r="AQ145"/>
  <c r="AP145"/>
  <c r="AA145"/>
  <c r="U145"/>
  <c r="T145"/>
  <c r="S145"/>
  <c r="R145"/>
  <c r="Q145"/>
  <c r="P145" s="1"/>
  <c r="O145"/>
  <c r="N145"/>
  <c r="M145"/>
  <c r="L145"/>
  <c r="K145"/>
  <c r="J145"/>
  <c r="I145"/>
  <c r="H145"/>
  <c r="BD144"/>
  <c r="BC144"/>
  <c r="BB144"/>
  <c r="AZ144"/>
  <c r="AY144"/>
  <c r="AU144"/>
  <c r="AT144" s="1"/>
  <c r="AS144" s="1"/>
  <c r="AR144"/>
  <c r="AQ144"/>
  <c r="AP144"/>
  <c r="AA144"/>
  <c r="U144"/>
  <c r="T144"/>
  <c r="S144"/>
  <c r="R144"/>
  <c r="Q144" s="1"/>
  <c r="P144"/>
  <c r="O144" s="1"/>
  <c r="N144"/>
  <c r="M144"/>
  <c r="L144"/>
  <c r="K144"/>
  <c r="J144"/>
  <c r="I144"/>
  <c r="H144"/>
  <c r="BD143"/>
  <c r="BC143"/>
  <c r="BB143"/>
  <c r="AZ143"/>
  <c r="AY143"/>
  <c r="AU143"/>
  <c r="AT143"/>
  <c r="AS143"/>
  <c r="AR143"/>
  <c r="AQ143"/>
  <c r="AP143"/>
  <c r="AA143"/>
  <c r="U143"/>
  <c r="T143"/>
  <c r="S143"/>
  <c r="R143"/>
  <c r="Q143"/>
  <c r="P143" s="1"/>
  <c r="O143"/>
  <c r="N143"/>
  <c r="M143"/>
  <c r="L143"/>
  <c r="K143"/>
  <c r="J143"/>
  <c r="I143"/>
  <c r="H143"/>
  <c r="BD142"/>
  <c r="BC142"/>
  <c r="BB142"/>
  <c r="AZ142"/>
  <c r="AY142"/>
  <c r="AU142" s="1"/>
  <c r="AT142" s="1"/>
  <c r="AS142"/>
  <c r="AR142"/>
  <c r="AQ142"/>
  <c r="AP142"/>
  <c r="AA142"/>
  <c r="U142"/>
  <c r="T142"/>
  <c r="S142"/>
  <c r="R142"/>
  <c r="Q142"/>
  <c r="P142" s="1"/>
  <c r="O142"/>
  <c r="N142"/>
  <c r="M142"/>
  <c r="L142"/>
  <c r="K142"/>
  <c r="J142"/>
  <c r="I142"/>
  <c r="H142"/>
  <c r="BD141"/>
  <c r="BB141"/>
  <c r="AZ141"/>
  <c r="AY141"/>
  <c r="AU141"/>
  <c r="AT141" s="1"/>
  <c r="AS141" s="1"/>
  <c r="AR141"/>
  <c r="AQ141"/>
  <c r="AP141"/>
  <c r="AA141"/>
  <c r="W141"/>
  <c r="U141"/>
  <c r="T141"/>
  <c r="S141"/>
  <c r="R141"/>
  <c r="Q141" s="1"/>
  <c r="P141"/>
  <c r="O141" s="1"/>
  <c r="N141"/>
  <c r="M141"/>
  <c r="L141"/>
  <c r="K141"/>
  <c r="J141"/>
  <c r="I141"/>
  <c r="H141"/>
  <c r="BD140"/>
  <c r="BC140"/>
  <c r="BB140"/>
  <c r="AZ140"/>
  <c r="AY140"/>
  <c r="AU140"/>
  <c r="AT140"/>
  <c r="AS140"/>
  <c r="AR140"/>
  <c r="AQ140" s="1"/>
  <c r="AP140"/>
  <c r="AL140"/>
  <c r="AA140"/>
  <c r="U140"/>
  <c r="T140"/>
  <c r="S140"/>
  <c r="R140"/>
  <c r="Q140" s="1"/>
  <c r="P140"/>
  <c r="O140" s="1"/>
  <c r="N140"/>
  <c r="M140"/>
  <c r="L140"/>
  <c r="K140"/>
  <c r="J140"/>
  <c r="I140"/>
  <c r="H140"/>
  <c r="BD139"/>
  <c r="BC139"/>
  <c r="BB139"/>
  <c r="AZ139"/>
  <c r="AY139"/>
  <c r="AU139" s="1"/>
  <c r="AT139"/>
  <c r="AS139"/>
  <c r="AR139"/>
  <c r="AQ139"/>
  <c r="AP139"/>
  <c r="AA139"/>
  <c r="U139"/>
  <c r="T139"/>
  <c r="S139"/>
  <c r="R139"/>
  <c r="Q139"/>
  <c r="P139" s="1"/>
  <c r="O139"/>
  <c r="N139" s="1"/>
  <c r="M139"/>
  <c r="L139"/>
  <c r="K139"/>
  <c r="J139"/>
  <c r="I139"/>
  <c r="H139"/>
  <c r="BD138"/>
  <c r="BC138"/>
  <c r="BB138"/>
  <c r="AZ138"/>
  <c r="AY138"/>
  <c r="AU138" s="1"/>
  <c r="AT138" s="1"/>
  <c r="AS138"/>
  <c r="AR138"/>
  <c r="AQ138"/>
  <c r="AP138"/>
  <c r="AA138"/>
  <c r="U138"/>
  <c r="T138"/>
  <c r="S138"/>
  <c r="R138"/>
  <c r="Q138"/>
  <c r="P138" s="1"/>
  <c r="O138"/>
  <c r="N138"/>
  <c r="M138"/>
  <c r="L138"/>
  <c r="K138"/>
  <c r="J138"/>
  <c r="I138"/>
  <c r="H138"/>
  <c r="BD137"/>
  <c r="BB137"/>
  <c r="AZ137"/>
  <c r="AY137"/>
  <c r="AU137" s="1"/>
  <c r="AT137"/>
  <c r="AS137" s="1"/>
  <c r="AR137"/>
  <c r="AQ137" s="1"/>
  <c r="AP137"/>
  <c r="AL137"/>
  <c r="AA137"/>
  <c r="U137"/>
  <c r="T137"/>
  <c r="S137"/>
  <c r="R137"/>
  <c r="Q137"/>
  <c r="P137" s="1"/>
  <c r="O137"/>
  <c r="N137"/>
  <c r="M137"/>
  <c r="L137"/>
  <c r="K137"/>
  <c r="J137"/>
  <c r="I137"/>
  <c r="H137"/>
  <c r="BD136"/>
  <c r="AZ136"/>
  <c r="AY136"/>
  <c r="AU136" s="1"/>
  <c r="AT136" s="1"/>
  <c r="AS136"/>
  <c r="AR136"/>
  <c r="AQ136"/>
  <c r="AP136"/>
  <c r="AA136"/>
  <c r="U136"/>
  <c r="T136"/>
  <c r="S136"/>
  <c r="R136"/>
  <c r="Q136"/>
  <c r="P136" s="1"/>
  <c r="O136"/>
  <c r="N136"/>
  <c r="M136"/>
  <c r="L136"/>
  <c r="K136"/>
  <c r="J136"/>
  <c r="I136"/>
  <c r="H136"/>
  <c r="BB135"/>
  <c r="AZ135"/>
  <c r="AY135"/>
  <c r="AU135"/>
  <c r="AT135"/>
  <c r="AS135" s="1"/>
  <c r="AR135"/>
  <c r="AQ135" s="1"/>
  <c r="AP135"/>
  <c r="AL135"/>
  <c r="AA135" s="1"/>
  <c r="W135"/>
  <c r="U135"/>
  <c r="T135"/>
  <c r="S135"/>
  <c r="R135"/>
  <c r="Q135"/>
  <c r="P135" s="1"/>
  <c r="O135"/>
  <c r="N135"/>
  <c r="M135"/>
  <c r="L135"/>
  <c r="K135"/>
  <c r="J135"/>
  <c r="I135"/>
  <c r="H135"/>
  <c r="BB134"/>
  <c r="AZ134"/>
  <c r="AY134"/>
  <c r="AU134"/>
  <c r="AT134"/>
  <c r="AS134" s="1"/>
  <c r="AR134"/>
  <c r="AQ134" s="1"/>
  <c r="AP134"/>
  <c r="AL134"/>
  <c r="AA134" s="1"/>
  <c r="W134"/>
  <c r="U134"/>
  <c r="T134"/>
  <c r="S134"/>
  <c r="R134"/>
  <c r="Q134"/>
  <c r="P134" s="1"/>
  <c r="O134"/>
  <c r="N134"/>
  <c r="M134"/>
  <c r="L134"/>
  <c r="K134"/>
  <c r="J134"/>
  <c r="I134"/>
  <c r="H134"/>
  <c r="BB133"/>
  <c r="AZ133"/>
  <c r="AY133"/>
  <c r="AU133"/>
  <c r="AT133"/>
  <c r="AS133" s="1"/>
  <c r="AR133"/>
  <c r="AQ133" s="1"/>
  <c r="AP133"/>
  <c r="AL133"/>
  <c r="AA133"/>
  <c r="W133"/>
  <c r="U133"/>
  <c r="T133"/>
  <c r="S133"/>
  <c r="R133"/>
  <c r="Q133"/>
  <c r="P133" s="1"/>
  <c r="O133"/>
  <c r="N133"/>
  <c r="M133"/>
  <c r="L133"/>
  <c r="K133"/>
  <c r="J133"/>
  <c r="I133"/>
  <c r="H133"/>
  <c r="BB132"/>
  <c r="AZ132"/>
  <c r="AY132"/>
  <c r="AU132"/>
  <c r="AT132"/>
  <c r="AS132" s="1"/>
  <c r="AR132"/>
  <c r="AQ132" s="1"/>
  <c r="AP132"/>
  <c r="AL132" s="1"/>
  <c r="AA132"/>
  <c r="Y132"/>
  <c r="W132"/>
  <c r="U132"/>
  <c r="T132"/>
  <c r="S132"/>
  <c r="R132"/>
  <c r="Q132"/>
  <c r="P132" s="1"/>
  <c r="O132"/>
  <c r="N132"/>
  <c r="M132"/>
  <c r="L132"/>
  <c r="K132"/>
  <c r="J132"/>
  <c r="I132"/>
  <c r="H132"/>
  <c r="BB131"/>
  <c r="AZ131"/>
  <c r="AY131"/>
  <c r="AU131"/>
  <c r="AT131"/>
  <c r="AS131" s="1"/>
  <c r="AR131"/>
  <c r="AQ131" s="1"/>
  <c r="AP131"/>
  <c r="AL131"/>
  <c r="AA131" s="1"/>
  <c r="W131"/>
  <c r="U131"/>
  <c r="T131"/>
  <c r="S131"/>
  <c r="R131"/>
  <c r="Q131"/>
  <c r="P131"/>
  <c r="O131" s="1"/>
  <c r="N131"/>
  <c r="M131"/>
  <c r="L131"/>
  <c r="K131"/>
  <c r="J131"/>
  <c r="I131"/>
  <c r="H131"/>
  <c r="BC130"/>
  <c r="BB130"/>
  <c r="AZ130"/>
  <c r="AY130"/>
  <c r="AU130"/>
  <c r="AT130"/>
  <c r="AS130" s="1"/>
  <c r="AR130"/>
  <c r="AQ130" s="1"/>
  <c r="AP130"/>
  <c r="AL130" s="1"/>
  <c r="AA130"/>
  <c r="Y130"/>
  <c r="W130"/>
  <c r="U130"/>
  <c r="T130"/>
  <c r="S130"/>
  <c r="R130"/>
  <c r="Q130"/>
  <c r="P130" s="1"/>
  <c r="O130"/>
  <c r="N130"/>
  <c r="M130"/>
  <c r="L130"/>
  <c r="K130"/>
  <c r="J130"/>
  <c r="I130"/>
  <c r="H130"/>
  <c r="BD129"/>
  <c r="BC129"/>
  <c r="BB129"/>
  <c r="AZ129"/>
  <c r="AY129"/>
  <c r="AU129" s="1"/>
  <c r="AT129" s="1"/>
  <c r="AS129"/>
  <c r="AR129"/>
  <c r="AQ129"/>
  <c r="AP129" s="1"/>
  <c r="AE129"/>
  <c r="AA129"/>
  <c r="W129"/>
  <c r="U129"/>
  <c r="T129"/>
  <c r="S129"/>
  <c r="R129"/>
  <c r="Q129"/>
  <c r="P129"/>
  <c r="O129"/>
  <c r="N129"/>
  <c r="M129"/>
  <c r="L129"/>
  <c r="K129"/>
  <c r="J129"/>
  <c r="I129"/>
  <c r="H129"/>
  <c r="BD128"/>
  <c r="BB128"/>
  <c r="AZ128"/>
  <c r="AY128"/>
  <c r="AU128" s="1"/>
  <c r="AT128"/>
  <c r="AS128" s="1"/>
  <c r="AR128"/>
  <c r="AQ128" s="1"/>
  <c r="AP128"/>
  <c r="AL128"/>
  <c r="AA128"/>
  <c r="W128"/>
  <c r="U128"/>
  <c r="T128"/>
  <c r="S128"/>
  <c r="R128"/>
  <c r="Q128"/>
  <c r="P128" s="1"/>
  <c r="O128"/>
  <c r="N128"/>
  <c r="M128"/>
  <c r="L128"/>
  <c r="K128"/>
  <c r="J128"/>
  <c r="I128"/>
  <c r="H128"/>
  <c r="AR127"/>
  <c r="BG126"/>
  <c r="BF126"/>
  <c r="BD126"/>
  <c r="BC126"/>
  <c r="BB126"/>
  <c r="AZ126"/>
  <c r="AY126"/>
  <c r="AU126" s="1"/>
  <c r="AT126"/>
  <c r="AS126"/>
  <c r="AR126"/>
  <c r="AQ126"/>
  <c r="AP126"/>
  <c r="AA126"/>
  <c r="U126"/>
  <c r="T126"/>
  <c r="S126"/>
  <c r="R126"/>
  <c r="Q126"/>
  <c r="P126" s="1"/>
  <c r="O126"/>
  <c r="N126" s="1"/>
  <c r="M126"/>
  <c r="L126"/>
  <c r="K126"/>
  <c r="J126"/>
  <c r="I126"/>
  <c r="H126"/>
  <c r="BD125"/>
  <c r="BC125"/>
  <c r="BB125"/>
  <c r="AZ125"/>
  <c r="AY125"/>
  <c r="AU125"/>
  <c r="AT125" s="1"/>
  <c r="AS125"/>
  <c r="AR125"/>
  <c r="AQ125"/>
  <c r="AP125"/>
  <c r="AA125"/>
  <c r="U125"/>
  <c r="T125"/>
  <c r="S125"/>
  <c r="R125"/>
  <c r="Q125" s="1"/>
  <c r="P125"/>
  <c r="O125" s="1"/>
  <c r="N125"/>
  <c r="M125"/>
  <c r="L125"/>
  <c r="K125"/>
  <c r="J125"/>
  <c r="I125"/>
  <c r="H125"/>
  <c r="BD124"/>
  <c r="BC124"/>
  <c r="BB124"/>
  <c r="AZ124"/>
  <c r="AY124"/>
  <c r="AU124" s="1"/>
  <c r="AT124"/>
  <c r="AS124"/>
  <c r="AR124" s="1"/>
  <c r="AQ124"/>
  <c r="AP124"/>
  <c r="AA124"/>
  <c r="U124"/>
  <c r="T124"/>
  <c r="S124"/>
  <c r="R124"/>
  <c r="Q124"/>
  <c r="P124"/>
  <c r="O124" s="1"/>
  <c r="N124"/>
  <c r="M124"/>
  <c r="L124"/>
  <c r="K124"/>
  <c r="J124"/>
  <c r="I124"/>
  <c r="H124"/>
  <c r="BD123"/>
  <c r="BB123"/>
  <c r="AZ123"/>
  <c r="AY123"/>
  <c r="AU123" s="1"/>
  <c r="AT123"/>
  <c r="AS123"/>
  <c r="AR123"/>
  <c r="AQ123" s="1"/>
  <c r="AP123"/>
  <c r="AL123"/>
  <c r="AA123"/>
  <c r="U123"/>
  <c r="T123"/>
  <c r="S123"/>
  <c r="R123"/>
  <c r="Q123"/>
  <c r="P123" s="1"/>
  <c r="O123"/>
  <c r="N123"/>
  <c r="M123" s="1"/>
  <c r="L123"/>
  <c r="K123"/>
  <c r="J123"/>
  <c r="I123"/>
  <c r="H123"/>
  <c r="BD122"/>
  <c r="BC122"/>
  <c r="BB122"/>
  <c r="AZ122"/>
  <c r="AY122"/>
  <c r="AU122"/>
  <c r="AT122" s="1"/>
  <c r="AS122" s="1"/>
  <c r="AR122"/>
  <c r="AQ122" s="1"/>
  <c r="AP122"/>
  <c r="AL122"/>
  <c r="AA122"/>
  <c r="U122"/>
  <c r="T122"/>
  <c r="S122"/>
  <c r="R122"/>
  <c r="Q122"/>
  <c r="P122"/>
  <c r="O122" s="1"/>
  <c r="N122"/>
  <c r="M122"/>
  <c r="L122"/>
  <c r="K122"/>
  <c r="J122"/>
  <c r="I122"/>
  <c r="H122"/>
  <c r="BD121"/>
  <c r="BB121"/>
  <c r="AZ121"/>
  <c r="AY121"/>
  <c r="AU121" s="1"/>
  <c r="AT121"/>
  <c r="AS121" s="1"/>
  <c r="AR121"/>
  <c r="AQ121" s="1"/>
  <c r="AP121"/>
  <c r="AL121"/>
  <c r="AA121"/>
  <c r="U121"/>
  <c r="T121"/>
  <c r="S121"/>
  <c r="R121"/>
  <c r="Q121"/>
  <c r="P121" s="1"/>
  <c r="O121"/>
  <c r="N121"/>
  <c r="M121"/>
  <c r="L121"/>
  <c r="K121"/>
  <c r="J121"/>
  <c r="I121"/>
  <c r="H121"/>
  <c r="BD120"/>
  <c r="BB120"/>
  <c r="AZ120"/>
  <c r="AY120"/>
  <c r="AU120" s="1"/>
  <c r="AT120"/>
  <c r="AS120"/>
  <c r="AR120"/>
  <c r="AQ120"/>
  <c r="AP120"/>
  <c r="AA120"/>
  <c r="U120"/>
  <c r="T120"/>
  <c r="S120"/>
  <c r="R120"/>
  <c r="Q120"/>
  <c r="P120" s="1"/>
  <c r="O120"/>
  <c r="N120" s="1"/>
  <c r="M120"/>
  <c r="L120"/>
  <c r="K120"/>
  <c r="J120"/>
  <c r="I120"/>
  <c r="H120"/>
  <c r="BD119"/>
  <c r="BB119"/>
  <c r="AZ119"/>
  <c r="AY119"/>
  <c r="AU119" s="1"/>
  <c r="AT119"/>
  <c r="AS119" s="1"/>
  <c r="AR119"/>
  <c r="AQ119" s="1"/>
  <c r="AP119"/>
  <c r="AL119"/>
  <c r="AA119"/>
  <c r="W119"/>
  <c r="U119"/>
  <c r="T119"/>
  <c r="S119"/>
  <c r="R119"/>
  <c r="Q119"/>
  <c r="P119" s="1"/>
  <c r="O119"/>
  <c r="N119"/>
  <c r="M119"/>
  <c r="L119"/>
  <c r="K119"/>
  <c r="J119"/>
  <c r="I119"/>
  <c r="H119"/>
  <c r="AR118"/>
  <c r="BG117"/>
  <c r="BF117"/>
  <c r="BD117"/>
  <c r="BC117"/>
  <c r="BB117"/>
  <c r="AZ117"/>
  <c r="AY117"/>
  <c r="AU117" s="1"/>
  <c r="AT117" s="1"/>
  <c r="AS117"/>
  <c r="AR117"/>
  <c r="AQ117"/>
  <c r="AP117"/>
  <c r="AA117"/>
  <c r="U117"/>
  <c r="T117"/>
  <c r="S117"/>
  <c r="R117"/>
  <c r="Q117"/>
  <c r="P117" s="1"/>
  <c r="O117"/>
  <c r="N117"/>
  <c r="M117"/>
  <c r="L117"/>
  <c r="K117"/>
  <c r="J117"/>
  <c r="I117"/>
  <c r="H117"/>
  <c r="BC116"/>
  <c r="BB116"/>
  <c r="AZ116"/>
  <c r="AY116"/>
  <c r="AU116"/>
  <c r="AT116"/>
  <c r="AS116" s="1"/>
  <c r="AR116"/>
  <c r="AQ116"/>
  <c r="AP116"/>
  <c r="AA116"/>
  <c r="U116"/>
  <c r="T116"/>
  <c r="S116"/>
  <c r="R116"/>
  <c r="Q116" s="1"/>
  <c r="P116" s="1"/>
  <c r="O116"/>
  <c r="N116" s="1"/>
  <c r="M116"/>
  <c r="L116"/>
  <c r="K116"/>
  <c r="J116"/>
  <c r="I116"/>
  <c r="H116"/>
  <c r="BC115"/>
  <c r="BB115"/>
  <c r="AZ115"/>
  <c r="AY115"/>
  <c r="AU115" s="1"/>
  <c r="AT115" s="1"/>
  <c r="AS115"/>
  <c r="AR115"/>
  <c r="AQ115"/>
  <c r="AP115"/>
  <c r="AA115"/>
  <c r="U115"/>
  <c r="T115"/>
  <c r="S115"/>
  <c r="R115"/>
  <c r="Q115"/>
  <c r="P115" s="1"/>
  <c r="O115"/>
  <c r="N115"/>
  <c r="M115"/>
  <c r="L115"/>
  <c r="K115"/>
  <c r="J115"/>
  <c r="I115"/>
  <c r="H115"/>
  <c r="BC114"/>
  <c r="BB114"/>
  <c r="AZ114"/>
  <c r="AY114"/>
  <c r="AU114"/>
  <c r="AT114"/>
  <c r="AS114" s="1"/>
  <c r="AR114"/>
  <c r="AQ114"/>
  <c r="AP114"/>
  <c r="AA114"/>
  <c r="U114"/>
  <c r="T114"/>
  <c r="S114"/>
  <c r="R114"/>
  <c r="Q114" s="1"/>
  <c r="P114" s="1"/>
  <c r="O114"/>
  <c r="N114" s="1"/>
  <c r="M114"/>
  <c r="L114"/>
  <c r="K114"/>
  <c r="J114"/>
  <c r="I114"/>
  <c r="H114"/>
  <c r="BC113"/>
  <c r="BB113"/>
  <c r="AZ113"/>
  <c r="AY113"/>
  <c r="AU113" s="1"/>
  <c r="AT113"/>
  <c r="AS113"/>
  <c r="AR113"/>
  <c r="AQ113" s="1"/>
  <c r="AP113"/>
  <c r="AL113"/>
  <c r="AA113"/>
  <c r="U113"/>
  <c r="T113"/>
  <c r="S113"/>
  <c r="R113"/>
  <c r="Q113"/>
  <c r="P113" s="1"/>
  <c r="O113"/>
  <c r="N113"/>
  <c r="M113" s="1"/>
  <c r="L113"/>
  <c r="K113"/>
  <c r="J113"/>
  <c r="I113"/>
  <c r="H113"/>
  <c r="BC112"/>
  <c r="BB112"/>
  <c r="AZ112"/>
  <c r="AY112"/>
  <c r="AU112"/>
  <c r="AT112" s="1"/>
  <c r="AS112" s="1"/>
  <c r="AR112"/>
  <c r="AQ112"/>
  <c r="AP112"/>
  <c r="AA112"/>
  <c r="U112"/>
  <c r="T112"/>
  <c r="S112"/>
  <c r="R112"/>
  <c r="Q112"/>
  <c r="P112"/>
  <c r="O112" s="1"/>
  <c r="N112"/>
  <c r="M112"/>
  <c r="L112"/>
  <c r="K112"/>
  <c r="J112"/>
  <c r="I112"/>
  <c r="H112"/>
  <c r="AR111"/>
  <c r="BG110"/>
  <c r="BF110"/>
  <c r="BD110"/>
  <c r="BC110"/>
  <c r="BB110"/>
  <c r="AZ110"/>
  <c r="AY110"/>
  <c r="AU110"/>
  <c r="AT110" s="1"/>
  <c r="AS110"/>
  <c r="AR110"/>
  <c r="AQ110"/>
  <c r="AP110"/>
  <c r="AA110"/>
  <c r="U110"/>
  <c r="T110"/>
  <c r="S110"/>
  <c r="R110"/>
  <c r="Q110"/>
  <c r="P110"/>
  <c r="O110" s="1"/>
  <c r="N110"/>
  <c r="M110"/>
  <c r="L110"/>
  <c r="K110"/>
  <c r="J110"/>
  <c r="I110"/>
  <c r="H110"/>
  <c r="BD109"/>
  <c r="BC109"/>
  <c r="BB109"/>
  <c r="AZ109"/>
  <c r="AY109"/>
  <c r="AU109" s="1"/>
  <c r="AT109" s="1"/>
  <c r="AS109"/>
  <c r="AR109"/>
  <c r="AQ109"/>
  <c r="AP109"/>
  <c r="J109"/>
  <c r="BD108"/>
  <c r="BC108"/>
  <c r="BB108"/>
  <c r="AZ108"/>
  <c r="AY108"/>
  <c r="AU108"/>
  <c r="AT108" s="1"/>
  <c r="AS108"/>
  <c r="AR108"/>
  <c r="AQ108"/>
  <c r="AP108"/>
  <c r="AA108"/>
  <c r="W108"/>
  <c r="U108"/>
  <c r="T108"/>
  <c r="S108"/>
  <c r="R108"/>
  <c r="Q108"/>
  <c r="P108"/>
  <c r="O108" s="1"/>
  <c r="N108"/>
  <c r="M108"/>
  <c r="L108"/>
  <c r="K108"/>
  <c r="J108"/>
  <c r="I108"/>
  <c r="H108"/>
  <c r="BD107"/>
  <c r="BC107"/>
  <c r="BB107"/>
  <c r="AZ107"/>
  <c r="AY107"/>
  <c r="AU107" s="1"/>
  <c r="AT107" s="1"/>
  <c r="AS107"/>
  <c r="AR107"/>
  <c r="AQ107"/>
  <c r="AP107" s="1"/>
  <c r="AE107"/>
  <c r="AA107"/>
  <c r="W107"/>
  <c r="U107"/>
  <c r="T107"/>
  <c r="S107"/>
  <c r="R107"/>
  <c r="Q107"/>
  <c r="P107"/>
  <c r="O107" s="1"/>
  <c r="N107"/>
  <c r="M107"/>
  <c r="L107"/>
  <c r="K107"/>
  <c r="J107"/>
  <c r="I107"/>
  <c r="H107"/>
  <c r="BD106"/>
  <c r="BC106"/>
  <c r="BB106"/>
  <c r="AZ106"/>
  <c r="AY106"/>
  <c r="AU106" s="1"/>
  <c r="AT106" s="1"/>
  <c r="AS106"/>
  <c r="AR106"/>
  <c r="AQ106"/>
  <c r="AP106"/>
  <c r="AA106"/>
  <c r="U106"/>
  <c r="T106"/>
  <c r="S106"/>
  <c r="R106"/>
  <c r="Q106"/>
  <c r="P106" s="1"/>
  <c r="O106"/>
  <c r="N106"/>
  <c r="M106"/>
  <c r="L106"/>
  <c r="K106"/>
  <c r="J106"/>
  <c r="I106"/>
  <c r="H106"/>
  <c r="BD105"/>
  <c r="BC105"/>
  <c r="BB105"/>
  <c r="AZ105"/>
  <c r="AY105"/>
  <c r="AU105" s="1"/>
  <c r="AT105"/>
  <c r="AS105"/>
  <c r="AR105" s="1"/>
  <c r="AQ105"/>
  <c r="AP105"/>
  <c r="AA105"/>
  <c r="W105"/>
  <c r="U105"/>
  <c r="T105"/>
  <c r="S105"/>
  <c r="R105"/>
  <c r="Q105"/>
  <c r="P105" s="1"/>
  <c r="O105"/>
  <c r="N105"/>
  <c r="M105"/>
  <c r="L105"/>
  <c r="K105"/>
  <c r="J105"/>
  <c r="I105"/>
  <c r="H105"/>
  <c r="BD104"/>
  <c r="BC104"/>
  <c r="BB104"/>
  <c r="AZ104"/>
  <c r="AY104"/>
  <c r="AU104"/>
  <c r="AT104"/>
  <c r="AS104"/>
  <c r="AR104"/>
  <c r="AQ104" s="1"/>
  <c r="AP104"/>
  <c r="AL104"/>
  <c r="AA104"/>
  <c r="U104"/>
  <c r="T104"/>
  <c r="S104"/>
  <c r="R104"/>
  <c r="Q104"/>
  <c r="P104" s="1"/>
  <c r="O104"/>
  <c r="N104"/>
  <c r="M104" s="1"/>
  <c r="L104"/>
  <c r="K104"/>
  <c r="J104"/>
  <c r="I104"/>
  <c r="H104"/>
  <c r="BD103"/>
  <c r="BC103"/>
  <c r="BB103"/>
  <c r="AZ103"/>
  <c r="AY103"/>
  <c r="AU103"/>
  <c r="AT103" s="1"/>
  <c r="AS103" s="1"/>
  <c r="AR103"/>
  <c r="AQ103"/>
  <c r="AP103"/>
  <c r="AA103"/>
  <c r="U103"/>
  <c r="T103"/>
  <c r="S103"/>
  <c r="R103"/>
  <c r="Q103" s="1"/>
  <c r="P103" s="1"/>
  <c r="O103"/>
  <c r="N103"/>
  <c r="M103"/>
  <c r="L103"/>
  <c r="K103"/>
  <c r="J103"/>
  <c r="I103"/>
  <c r="H103"/>
  <c r="BD102"/>
  <c r="BC102"/>
  <c r="BB102"/>
  <c r="AZ102"/>
  <c r="AY102"/>
  <c r="AU102" s="1"/>
  <c r="AT102" s="1"/>
  <c r="AS102"/>
  <c r="AR102"/>
  <c r="AQ102"/>
  <c r="AP102" s="1"/>
  <c r="AE102"/>
  <c r="AA102"/>
  <c r="U102"/>
  <c r="T102"/>
  <c r="S102"/>
  <c r="R102"/>
  <c r="Q102"/>
  <c r="P102"/>
  <c r="O102"/>
  <c r="N102"/>
  <c r="M102"/>
  <c r="L102"/>
  <c r="K102"/>
  <c r="J102"/>
  <c r="I102"/>
  <c r="H102"/>
  <c r="BD101"/>
  <c r="BC101"/>
  <c r="BB101"/>
  <c r="AZ101"/>
  <c r="AY101"/>
  <c r="AU101" s="1"/>
  <c r="AT101" s="1"/>
  <c r="AS101"/>
  <c r="AR101" s="1"/>
  <c r="AQ101"/>
  <c r="AP101"/>
  <c r="AA101"/>
  <c r="W101"/>
  <c r="U101"/>
  <c r="T101"/>
  <c r="S101"/>
  <c r="R101"/>
  <c r="Q101"/>
  <c r="P101"/>
  <c r="O101" s="1"/>
  <c r="N101"/>
  <c r="M101"/>
  <c r="L101"/>
  <c r="K101"/>
  <c r="J101"/>
  <c r="I101"/>
  <c r="H101"/>
  <c r="BD100"/>
  <c r="BC100"/>
  <c r="BB100"/>
  <c r="AZ100"/>
  <c r="AY100"/>
  <c r="AU100" s="1"/>
  <c r="AT100"/>
  <c r="AS100"/>
  <c r="AR100" s="1"/>
  <c r="AQ100"/>
  <c r="AP100"/>
  <c r="AA100"/>
  <c r="W100"/>
  <c r="U100"/>
  <c r="T100"/>
  <c r="S100"/>
  <c r="R100"/>
  <c r="Q100"/>
  <c r="P100" s="1"/>
  <c r="O100"/>
  <c r="N100"/>
  <c r="M100"/>
  <c r="L100"/>
  <c r="K100"/>
  <c r="J100"/>
  <c r="I100"/>
  <c r="H100"/>
  <c r="BD99"/>
  <c r="BC99"/>
  <c r="BB99"/>
  <c r="AZ99"/>
  <c r="AY99"/>
  <c r="AU99" s="1"/>
  <c r="AT99"/>
  <c r="AS99"/>
  <c r="AR99"/>
  <c r="AQ99"/>
  <c r="AP99"/>
  <c r="AA99"/>
  <c r="W99"/>
  <c r="U99"/>
  <c r="T99"/>
  <c r="S99"/>
  <c r="R99"/>
  <c r="Q99"/>
  <c r="P99" s="1"/>
  <c r="O99"/>
  <c r="N99"/>
  <c r="M99"/>
  <c r="L99"/>
  <c r="K99"/>
  <c r="J99"/>
  <c r="I99" s="1"/>
  <c r="H99"/>
  <c r="AR98"/>
  <c r="BG97"/>
  <c r="BF97"/>
  <c r="BD97"/>
  <c r="BC97"/>
  <c r="BB97"/>
  <c r="AZ97"/>
  <c r="AY97"/>
  <c r="AU97" s="1"/>
  <c r="AT97"/>
  <c r="AS97"/>
  <c r="AR97"/>
  <c r="AQ97"/>
  <c r="AP97"/>
  <c r="AA97"/>
  <c r="U97"/>
  <c r="T97"/>
  <c r="S97"/>
  <c r="R97"/>
  <c r="Q97"/>
  <c r="P97" s="1"/>
  <c r="O97"/>
  <c r="N97"/>
  <c r="M97"/>
  <c r="L97"/>
  <c r="K97"/>
  <c r="J97"/>
  <c r="I97"/>
  <c r="H97"/>
  <c r="BD96"/>
  <c r="BC96"/>
  <c r="BB96"/>
  <c r="AZ96"/>
  <c r="AY96"/>
  <c r="AU96" s="1"/>
  <c r="AT96"/>
  <c r="AS96"/>
  <c r="AR96"/>
  <c r="AQ96" s="1"/>
  <c r="AP96"/>
  <c r="AL96"/>
  <c r="AA96"/>
  <c r="U96"/>
  <c r="T96"/>
  <c r="S96"/>
  <c r="R96"/>
  <c r="Q96"/>
  <c r="P96" s="1"/>
  <c r="O96"/>
  <c r="N96"/>
  <c r="M96" s="1"/>
  <c r="L96"/>
  <c r="K96"/>
  <c r="J96"/>
  <c r="I96"/>
  <c r="H96"/>
  <c r="BD95"/>
  <c r="BC95"/>
  <c r="BB95"/>
  <c r="AZ95"/>
  <c r="AY95"/>
  <c r="AU95" s="1"/>
  <c r="AT95"/>
  <c r="AS95"/>
  <c r="AR95"/>
  <c r="AQ95" s="1"/>
  <c r="AP95"/>
  <c r="AL95"/>
  <c r="AA95"/>
  <c r="U95"/>
  <c r="T95"/>
  <c r="S95"/>
  <c r="R95"/>
  <c r="Q95"/>
  <c r="P95" s="1"/>
  <c r="O95"/>
  <c r="N95"/>
  <c r="M95" s="1"/>
  <c r="L95"/>
  <c r="K95"/>
  <c r="J95"/>
  <c r="I95"/>
  <c r="H95"/>
  <c r="BD94"/>
  <c r="BC94"/>
  <c r="BB94"/>
  <c r="AZ94"/>
  <c r="AY94"/>
  <c r="AU94" s="1"/>
  <c r="AT94" s="1"/>
  <c r="AS94"/>
  <c r="AR94"/>
  <c r="AQ94"/>
  <c r="AP94" s="1"/>
  <c r="AC94"/>
  <c r="AA94"/>
  <c r="U94"/>
  <c r="T94"/>
  <c r="S94"/>
  <c r="R94"/>
  <c r="Q94"/>
  <c r="P94" s="1"/>
  <c r="O94"/>
  <c r="N94"/>
  <c r="M94" s="1"/>
  <c r="L94"/>
  <c r="K94"/>
  <c r="J94"/>
  <c r="I94"/>
  <c r="H94"/>
  <c r="BD93"/>
  <c r="BC93"/>
  <c r="BB93"/>
  <c r="AZ93"/>
  <c r="AY93"/>
  <c r="AU93" s="1"/>
  <c r="AT93"/>
  <c r="AS93"/>
  <c r="AR93"/>
  <c r="AQ93" s="1"/>
  <c r="AP93"/>
  <c r="AL93"/>
  <c r="AA93"/>
  <c r="U93"/>
  <c r="T93"/>
  <c r="S93"/>
  <c r="R93"/>
  <c r="Q93"/>
  <c r="P93" s="1"/>
  <c r="O93"/>
  <c r="N93"/>
  <c r="M93" s="1"/>
  <c r="L93"/>
  <c r="K93"/>
  <c r="J93"/>
  <c r="I93"/>
  <c r="H93"/>
  <c r="BD92"/>
  <c r="BC92"/>
  <c r="BB92"/>
  <c r="AZ92"/>
  <c r="AY92"/>
  <c r="AU92" s="1"/>
  <c r="AT92"/>
  <c r="AS92"/>
  <c r="AR92"/>
  <c r="AQ92" s="1"/>
  <c r="AP92"/>
  <c r="AL92"/>
  <c r="AA92"/>
  <c r="U92"/>
  <c r="T92"/>
  <c r="S92"/>
  <c r="R92"/>
  <c r="Q92"/>
  <c r="P92" s="1"/>
  <c r="O92"/>
  <c r="N92"/>
  <c r="M92" s="1"/>
  <c r="L92"/>
  <c r="K92"/>
  <c r="J92"/>
  <c r="I92"/>
  <c r="H92"/>
  <c r="BD91"/>
  <c r="BC91"/>
  <c r="BB91"/>
  <c r="AZ91"/>
  <c r="AY91"/>
  <c r="AU91" s="1"/>
  <c r="AT91"/>
  <c r="AS91"/>
  <c r="AR91"/>
  <c r="AQ91" s="1"/>
  <c r="AP91"/>
  <c r="AL91"/>
  <c r="AA91"/>
  <c r="U91"/>
  <c r="T91"/>
  <c r="S91"/>
  <c r="R91"/>
  <c r="Q91"/>
  <c r="P91" s="1"/>
  <c r="O91"/>
  <c r="N91"/>
  <c r="M91" s="1"/>
  <c r="L91"/>
  <c r="K91"/>
  <c r="J91"/>
  <c r="I91"/>
  <c r="H91"/>
  <c r="BD90"/>
  <c r="BC90"/>
  <c r="BB90"/>
  <c r="AZ90"/>
  <c r="AY90"/>
  <c r="AU90" s="1"/>
  <c r="AT90"/>
  <c r="AS90"/>
  <c r="AR90"/>
  <c r="AQ90" s="1"/>
  <c r="AP90"/>
  <c r="AL90"/>
  <c r="AA90"/>
  <c r="U90"/>
  <c r="T90"/>
  <c r="S90"/>
  <c r="R90"/>
  <c r="Q90"/>
  <c r="P90" s="1"/>
  <c r="O90"/>
  <c r="N90"/>
  <c r="M90" s="1"/>
  <c r="L90"/>
  <c r="K90"/>
  <c r="J90"/>
  <c r="I90"/>
  <c r="H90"/>
  <c r="BD89"/>
  <c r="BC89"/>
  <c r="BB89"/>
  <c r="AZ89"/>
  <c r="AY89"/>
  <c r="AU89" s="1"/>
  <c r="AT89"/>
  <c r="AS89"/>
  <c r="AR89"/>
  <c r="AQ89" s="1"/>
  <c r="AP89"/>
  <c r="AL89"/>
  <c r="AA89"/>
  <c r="U89"/>
  <c r="T89"/>
  <c r="S89"/>
  <c r="R89"/>
  <c r="Q89"/>
  <c r="P89" s="1"/>
  <c r="O89"/>
  <c r="N89"/>
  <c r="M89" s="1"/>
  <c r="L89"/>
  <c r="K89"/>
  <c r="J89"/>
  <c r="I89"/>
  <c r="H89"/>
  <c r="BD88"/>
  <c r="BC88"/>
  <c r="BB88"/>
  <c r="AZ88"/>
  <c r="AY88"/>
  <c r="AU88" s="1"/>
  <c r="AT88"/>
  <c r="AS88"/>
  <c r="AR88"/>
  <c r="AQ88" s="1"/>
  <c r="AP88"/>
  <c r="AL88"/>
  <c r="AA88"/>
  <c r="U88"/>
  <c r="T88"/>
  <c r="S88"/>
  <c r="R88"/>
  <c r="Q88"/>
  <c r="P88" s="1"/>
  <c r="O88"/>
  <c r="N88"/>
  <c r="M88" s="1"/>
  <c r="L88"/>
  <c r="K88"/>
  <c r="J88"/>
  <c r="I88"/>
  <c r="H88"/>
  <c r="BD87"/>
  <c r="BC87"/>
  <c r="BB87"/>
  <c r="AZ87"/>
  <c r="AY87"/>
  <c r="AU87" s="1"/>
  <c r="AT87"/>
  <c r="AS87"/>
  <c r="AR87"/>
  <c r="AQ87" s="1"/>
  <c r="AP87"/>
  <c r="AL87"/>
  <c r="AA87"/>
  <c r="U87"/>
  <c r="T87"/>
  <c r="S87"/>
  <c r="R87"/>
  <c r="Q87"/>
  <c r="P87" s="1"/>
  <c r="O87"/>
  <c r="N87"/>
  <c r="M87" s="1"/>
  <c r="L87"/>
  <c r="K87"/>
  <c r="J87"/>
  <c r="I87"/>
  <c r="H87"/>
  <c r="BD86"/>
  <c r="BC86"/>
  <c r="BB86"/>
  <c r="AZ86"/>
  <c r="AY86"/>
  <c r="AU86" s="1"/>
  <c r="AT86"/>
  <c r="AS86"/>
  <c r="AR86"/>
  <c r="AQ86" s="1"/>
  <c r="AP86"/>
  <c r="AL86"/>
  <c r="AA86"/>
  <c r="U86"/>
  <c r="T86"/>
  <c r="S86"/>
  <c r="R86"/>
  <c r="Q86"/>
  <c r="P86" s="1"/>
  <c r="O86"/>
  <c r="N86"/>
  <c r="M86" s="1"/>
  <c r="L86"/>
  <c r="K86"/>
  <c r="J86"/>
  <c r="I86"/>
  <c r="H86"/>
  <c r="BD85"/>
  <c r="BC85"/>
  <c r="BB85"/>
  <c r="AZ85"/>
  <c r="AY85"/>
  <c r="AU85" s="1"/>
  <c r="AT85"/>
  <c r="AS85"/>
  <c r="AR85"/>
  <c r="AQ85" s="1"/>
  <c r="AP85"/>
  <c r="AL85"/>
  <c r="AA85"/>
  <c r="U85"/>
  <c r="T85"/>
  <c r="S85"/>
  <c r="R85"/>
  <c r="Q85"/>
  <c r="P85" s="1"/>
  <c r="O85"/>
  <c r="N85"/>
  <c r="M85" s="1"/>
  <c r="L85"/>
  <c r="K85"/>
  <c r="J85"/>
  <c r="I85"/>
  <c r="H85"/>
  <c r="BD84"/>
  <c r="BC84"/>
  <c r="BB84"/>
  <c r="AZ84"/>
  <c r="AY84"/>
  <c r="AU84" s="1"/>
  <c r="AT84"/>
  <c r="AS84"/>
  <c r="AR84"/>
  <c r="AQ84" s="1"/>
  <c r="AP84"/>
  <c r="AL84"/>
  <c r="AA84"/>
  <c r="U84"/>
  <c r="T84"/>
  <c r="S84"/>
  <c r="R84"/>
  <c r="Q84"/>
  <c r="P84"/>
  <c r="O84" s="1"/>
  <c r="N84" s="1"/>
  <c r="M84"/>
  <c r="L84"/>
  <c r="K84"/>
  <c r="J84"/>
  <c r="I84"/>
  <c r="H84"/>
  <c r="BD83"/>
  <c r="BC83"/>
  <c r="BB83"/>
  <c r="AZ83"/>
  <c r="AY83"/>
  <c r="AU83" s="1"/>
  <c r="AT83"/>
  <c r="AS83"/>
  <c r="AR83"/>
  <c r="AQ83" s="1"/>
  <c r="AP83"/>
  <c r="AL83"/>
  <c r="AA83"/>
  <c r="U83"/>
  <c r="T83"/>
  <c r="S83"/>
  <c r="R83"/>
  <c r="Q83"/>
  <c r="P83"/>
  <c r="O83" s="1"/>
  <c r="N83" s="1"/>
  <c r="M83"/>
  <c r="L83"/>
  <c r="K83"/>
  <c r="J83"/>
  <c r="I83"/>
  <c r="H83"/>
  <c r="BC82"/>
  <c r="BB82"/>
  <c r="AZ82"/>
  <c r="AY82"/>
  <c r="AU82" s="1"/>
  <c r="AT82"/>
  <c r="AS82" s="1"/>
  <c r="AR82"/>
  <c r="AQ82" s="1"/>
  <c r="AP82"/>
  <c r="AL82"/>
  <c r="AA82"/>
  <c r="U82"/>
  <c r="T82"/>
  <c r="S82"/>
  <c r="R82"/>
  <c r="Q82"/>
  <c r="P82" s="1"/>
  <c r="O82"/>
  <c r="N82"/>
  <c r="M82"/>
  <c r="L82"/>
  <c r="K82"/>
  <c r="J82"/>
  <c r="I82"/>
  <c r="H82"/>
  <c r="BD81"/>
  <c r="BC81"/>
  <c r="BB81"/>
  <c r="AZ81"/>
  <c r="AY81"/>
  <c r="AU81"/>
  <c r="AT81"/>
  <c r="AS81" s="1"/>
  <c r="AR81"/>
  <c r="AQ81" s="1"/>
  <c r="AP81"/>
  <c r="AL81"/>
  <c r="AA81"/>
  <c r="U81"/>
  <c r="T81"/>
  <c r="S81"/>
  <c r="R81"/>
  <c r="Q81"/>
  <c r="P81" s="1"/>
  <c r="O81"/>
  <c r="N81"/>
  <c r="M81"/>
  <c r="L81"/>
  <c r="K81"/>
  <c r="J81"/>
  <c r="I81"/>
  <c r="H81"/>
  <c r="BD80"/>
  <c r="BC80"/>
  <c r="BB80"/>
  <c r="AZ80"/>
  <c r="AY80"/>
  <c r="AU80" s="1"/>
  <c r="AT80"/>
  <c r="AS80" s="1"/>
  <c r="AR80"/>
  <c r="AQ80" s="1"/>
  <c r="AP80"/>
  <c r="AL80"/>
  <c r="AA80"/>
  <c r="U80"/>
  <c r="T80"/>
  <c r="S80"/>
  <c r="R80" s="1"/>
  <c r="Q80"/>
  <c r="P80" s="1"/>
  <c r="O80"/>
  <c r="N80"/>
  <c r="M80"/>
  <c r="L80"/>
  <c r="K80"/>
  <c r="J80"/>
  <c r="I80"/>
  <c r="H80"/>
  <c r="BC79"/>
  <c r="BB79"/>
  <c r="AZ79"/>
  <c r="AY79"/>
  <c r="AU79"/>
  <c r="AT79"/>
  <c r="AS79" s="1"/>
  <c r="AR79"/>
  <c r="AQ79"/>
  <c r="AP79"/>
  <c r="AA79"/>
  <c r="U79"/>
  <c r="T79"/>
  <c r="S79"/>
  <c r="R79"/>
  <c r="Q79"/>
  <c r="P79" s="1"/>
  <c r="O79"/>
  <c r="N79"/>
  <c r="M79"/>
  <c r="L79"/>
  <c r="K79"/>
  <c r="J79"/>
  <c r="I79"/>
  <c r="H79"/>
  <c r="BD78"/>
  <c r="BC78"/>
  <c r="BB78"/>
  <c r="AZ78"/>
  <c r="AY78"/>
  <c r="AU78" s="1"/>
  <c r="AT78"/>
  <c r="AS78"/>
  <c r="AR78"/>
  <c r="AQ78"/>
  <c r="AP78"/>
  <c r="AA78"/>
  <c r="W78"/>
  <c r="U78"/>
  <c r="T78"/>
  <c r="S78"/>
  <c r="R78"/>
  <c r="Q78"/>
  <c r="P78"/>
  <c r="O78" s="1"/>
  <c r="N78"/>
  <c r="M78"/>
  <c r="L78"/>
  <c r="K78"/>
  <c r="J78"/>
  <c r="I78"/>
  <c r="H78"/>
  <c r="BC77"/>
  <c r="BB77" s="1"/>
  <c r="AZ77"/>
  <c r="AY77"/>
  <c r="AU77"/>
  <c r="AT77" s="1"/>
  <c r="AS77" s="1"/>
  <c r="AR77"/>
  <c r="AQ77"/>
  <c r="AP77"/>
  <c r="AA77"/>
  <c r="U77"/>
  <c r="T77"/>
  <c r="S77"/>
  <c r="R77" s="1"/>
  <c r="Q77"/>
  <c r="P77" s="1"/>
  <c r="O77"/>
  <c r="N77"/>
  <c r="M77"/>
  <c r="L77"/>
  <c r="K77"/>
  <c r="J77"/>
  <c r="I77"/>
  <c r="H77"/>
  <c r="BD76"/>
  <c r="BC76"/>
  <c r="BB76"/>
  <c r="AZ76"/>
  <c r="AY76"/>
  <c r="AU76" s="1"/>
  <c r="AT76"/>
  <c r="AS76"/>
  <c r="AR76"/>
  <c r="AQ76" s="1"/>
  <c r="AP76"/>
  <c r="AL76"/>
  <c r="AA76"/>
  <c r="W76"/>
  <c r="U76"/>
  <c r="T76"/>
  <c r="S76"/>
  <c r="R76"/>
  <c r="Q76"/>
  <c r="P76" s="1"/>
  <c r="O76"/>
  <c r="N76"/>
  <c r="M76"/>
  <c r="L76"/>
  <c r="K76"/>
  <c r="J76"/>
  <c r="I76"/>
  <c r="H76"/>
  <c r="BD75"/>
  <c r="BC75"/>
  <c r="BB75"/>
  <c r="AZ75"/>
  <c r="AY75"/>
  <c r="AU75" s="1"/>
  <c r="AT75"/>
  <c r="AS75" s="1"/>
  <c r="AR75"/>
  <c r="AQ75" s="1"/>
  <c r="AP75"/>
  <c r="AL75"/>
  <c r="AA75"/>
  <c r="W75"/>
  <c r="U75"/>
  <c r="T75"/>
  <c r="S75"/>
  <c r="R75"/>
  <c r="Q75"/>
  <c r="P75" s="1"/>
  <c r="O75"/>
  <c r="N75"/>
  <c r="M75"/>
  <c r="L75"/>
  <c r="K75"/>
  <c r="J75"/>
  <c r="I75"/>
  <c r="H75"/>
  <c r="BC74"/>
  <c r="BB74"/>
  <c r="AZ74"/>
  <c r="AY74"/>
  <c r="AU74" s="1"/>
  <c r="AT74" s="1"/>
  <c r="AS74"/>
  <c r="AR74"/>
  <c r="AQ74"/>
  <c r="AP74" s="1"/>
  <c r="AE74"/>
  <c r="AA74"/>
  <c r="W74"/>
  <c r="U74"/>
  <c r="T74"/>
  <c r="S74"/>
  <c r="R74"/>
  <c r="Q74"/>
  <c r="P74"/>
  <c r="O74"/>
  <c r="N74"/>
  <c r="M74"/>
  <c r="L74"/>
  <c r="K74"/>
  <c r="J74"/>
  <c r="I74"/>
  <c r="H74"/>
  <c r="AR73"/>
  <c r="BG72"/>
  <c r="BF72"/>
  <c r="BD72"/>
  <c r="BC72"/>
  <c r="BB72"/>
  <c r="AZ72"/>
  <c r="AY72"/>
  <c r="AU72" s="1"/>
  <c r="AT72" s="1"/>
  <c r="AS72"/>
  <c r="AR72"/>
  <c r="AQ72"/>
  <c r="AP72"/>
  <c r="AA72"/>
  <c r="U72"/>
  <c r="T72"/>
  <c r="S72"/>
  <c r="R72"/>
  <c r="Q72"/>
  <c r="P72" s="1"/>
  <c r="O72"/>
  <c r="N72"/>
  <c r="M72"/>
  <c r="L72"/>
  <c r="K72"/>
  <c r="J72"/>
  <c r="I72"/>
  <c r="H72"/>
  <c r="BC71"/>
  <c r="BB71"/>
  <c r="AZ71"/>
  <c r="AY71"/>
  <c r="AU71"/>
  <c r="AT71" s="1"/>
  <c r="AS71" s="1"/>
  <c r="AR71"/>
  <c r="AQ71"/>
  <c r="AP71"/>
  <c r="J71"/>
  <c r="BC70"/>
  <c r="BB70"/>
  <c r="AZ70"/>
  <c r="AY70"/>
  <c r="AU70" s="1"/>
  <c r="AT70" s="1"/>
  <c r="AS70"/>
  <c r="AR70"/>
  <c r="AQ70"/>
  <c r="AP70" s="1"/>
  <c r="AE70"/>
  <c r="U70"/>
  <c r="T70"/>
  <c r="S70"/>
  <c r="R70"/>
  <c r="Q70"/>
  <c r="P70"/>
  <c r="O70" s="1"/>
  <c r="N70"/>
  <c r="M70"/>
  <c r="L70"/>
  <c r="K70"/>
  <c r="J70"/>
  <c r="I70"/>
  <c r="H70"/>
  <c r="BC69"/>
  <c r="BB69"/>
  <c r="AZ69"/>
  <c r="AY69"/>
  <c r="AU69" s="1"/>
  <c r="AT69"/>
  <c r="AS69"/>
  <c r="AR69"/>
  <c r="AQ69"/>
  <c r="AP69" s="1"/>
  <c r="AE69"/>
  <c r="AA69"/>
  <c r="W69"/>
  <c r="U69"/>
  <c r="T69"/>
  <c r="S69"/>
  <c r="R69"/>
  <c r="Q69"/>
  <c r="P69"/>
  <c r="O69" s="1"/>
  <c r="N69" s="1"/>
  <c r="M69"/>
  <c r="L69"/>
  <c r="K69"/>
  <c r="J69"/>
  <c r="I69"/>
  <c r="H69"/>
  <c r="BC68"/>
  <c r="BB68"/>
  <c r="AZ68"/>
  <c r="AY68"/>
  <c r="AU68"/>
  <c r="AT68"/>
  <c r="AS68"/>
  <c r="AR68"/>
  <c r="AQ68" s="1"/>
  <c r="AP68"/>
  <c r="AN68"/>
  <c r="AA68"/>
  <c r="W68"/>
  <c r="U68"/>
  <c r="T68"/>
  <c r="S68"/>
  <c r="N68"/>
  <c r="M68" s="1"/>
  <c r="L68"/>
  <c r="K68"/>
  <c r="J68"/>
  <c r="I68"/>
  <c r="R68" s="1"/>
  <c r="H68"/>
  <c r="P68" s="1"/>
  <c r="BD67"/>
  <c r="BC67"/>
  <c r="BB67"/>
  <c r="AZ67"/>
  <c r="AY67"/>
  <c r="AU67" s="1"/>
  <c r="AT67"/>
  <c r="AS67"/>
  <c r="AR67"/>
  <c r="AQ67" s="1"/>
  <c r="AP67"/>
  <c r="AN67"/>
  <c r="AI67"/>
  <c r="AE67"/>
  <c r="AA67" s="1"/>
  <c r="W67"/>
  <c r="U67"/>
  <c r="T67"/>
  <c r="S67"/>
  <c r="N67"/>
  <c r="M67"/>
  <c r="L67"/>
  <c r="K67"/>
  <c r="J67"/>
  <c r="I67"/>
  <c r="R67" s="1"/>
  <c r="H67"/>
  <c r="P67" s="1"/>
  <c r="BD66"/>
  <c r="BC66"/>
  <c r="BB66"/>
  <c r="AZ66"/>
  <c r="AY66"/>
  <c r="AU66" s="1"/>
  <c r="AT66"/>
  <c r="AS66"/>
  <c r="AR66"/>
  <c r="AQ66" s="1"/>
  <c r="AP66" s="1"/>
  <c r="AN66"/>
  <c r="AE66"/>
  <c r="AA66" s="1"/>
  <c r="W66"/>
  <c r="S66"/>
  <c r="N66"/>
  <c r="M66"/>
  <c r="L66"/>
  <c r="K66"/>
  <c r="I66"/>
  <c r="H66"/>
  <c r="P66" s="1"/>
  <c r="O66" s="1"/>
  <c r="BD65"/>
  <c r="BC65"/>
  <c r="BB65"/>
  <c r="AZ65"/>
  <c r="AY65"/>
  <c r="AU65" s="1"/>
  <c r="AT65"/>
  <c r="AS65"/>
  <c r="AR65"/>
  <c r="AQ65" s="1"/>
  <c r="AP65" s="1"/>
  <c r="AN65"/>
  <c r="AI65"/>
  <c r="AE65"/>
  <c r="AA65" s="1"/>
  <c r="W65"/>
  <c r="T65"/>
  <c r="S65" s="1"/>
  <c r="N65"/>
  <c r="M65"/>
  <c r="L65"/>
  <c r="K65"/>
  <c r="I65"/>
  <c r="H65"/>
  <c r="P65" s="1"/>
  <c r="BD64"/>
  <c r="BC64"/>
  <c r="BB64"/>
  <c r="AZ64"/>
  <c r="AY64"/>
  <c r="AU64" s="1"/>
  <c r="AT64"/>
  <c r="AS64"/>
  <c r="AR64"/>
  <c r="AQ64" s="1"/>
  <c r="AP64"/>
  <c r="AN64"/>
  <c r="AI64"/>
  <c r="AE64"/>
  <c r="AA64" s="1"/>
  <c r="W64"/>
  <c r="T64"/>
  <c r="S64"/>
  <c r="N64"/>
  <c r="M64"/>
  <c r="L64"/>
  <c r="K64"/>
  <c r="I64"/>
  <c r="U64" s="1"/>
  <c r="H64"/>
  <c r="O64" s="1"/>
  <c r="BD63"/>
  <c r="BC63"/>
  <c r="BB63"/>
  <c r="AZ63"/>
  <c r="AY63"/>
  <c r="AU63"/>
  <c r="AT63" s="1"/>
  <c r="AS63" s="1"/>
  <c r="AR63"/>
  <c r="AQ63"/>
  <c r="AP63"/>
  <c r="AA63"/>
  <c r="T63"/>
  <c r="S63"/>
  <c r="N63"/>
  <c r="M63"/>
  <c r="L63"/>
  <c r="K63"/>
  <c r="I63"/>
  <c r="U63" s="1"/>
  <c r="H63"/>
  <c r="P63" s="1"/>
  <c r="O63" s="1"/>
  <c r="BD62"/>
  <c r="BC62"/>
  <c r="BB62"/>
  <c r="AZ62"/>
  <c r="AY62"/>
  <c r="AU62" s="1"/>
  <c r="AT62"/>
  <c r="AS62" s="1"/>
  <c r="AR62"/>
  <c r="AQ62"/>
  <c r="AP62"/>
  <c r="AA62"/>
  <c r="T62"/>
  <c r="S62"/>
  <c r="M62"/>
  <c r="L62"/>
  <c r="K62"/>
  <c r="I62"/>
  <c r="H62"/>
  <c r="P62" s="1"/>
  <c r="O62" s="1"/>
  <c r="N62" s="1"/>
  <c r="BD61"/>
  <c r="BC61"/>
  <c r="BB61"/>
  <c r="AZ61"/>
  <c r="AY61"/>
  <c r="AU61" s="1"/>
  <c r="AT61" s="1"/>
  <c r="AS61"/>
  <c r="AR61"/>
  <c r="AQ61"/>
  <c r="AP61" s="1"/>
  <c r="AG61"/>
  <c r="AA61"/>
  <c r="T61"/>
  <c r="S61"/>
  <c r="N61"/>
  <c r="M61"/>
  <c r="L61"/>
  <c r="K61"/>
  <c r="I61"/>
  <c r="H61"/>
  <c r="P61" s="1"/>
  <c r="O61" s="1"/>
  <c r="BD60"/>
  <c r="BC60"/>
  <c r="BB60"/>
  <c r="AZ60"/>
  <c r="AY60"/>
  <c r="AU60" s="1"/>
  <c r="AT60"/>
  <c r="AS60"/>
  <c r="AR60" s="1"/>
  <c r="AQ60"/>
  <c r="AP60"/>
  <c r="AA60"/>
  <c r="T60"/>
  <c r="S60"/>
  <c r="N60"/>
  <c r="M60"/>
  <c r="L60"/>
  <c r="K60"/>
  <c r="I60"/>
  <c r="R60" s="1"/>
  <c r="H60"/>
  <c r="O60" s="1"/>
  <c r="BD59"/>
  <c r="BC59" s="1"/>
  <c r="BB59"/>
  <c r="AZ59"/>
  <c r="AY59"/>
  <c r="AU59"/>
  <c r="AT59" s="1"/>
  <c r="AS59"/>
  <c r="AR59"/>
  <c r="AQ59"/>
  <c r="AP59"/>
  <c r="AA59"/>
  <c r="W59"/>
  <c r="T59"/>
  <c r="S59"/>
  <c r="N59"/>
  <c r="M59"/>
  <c r="L59"/>
  <c r="K59"/>
  <c r="I59"/>
  <c r="R59" s="1"/>
  <c r="Q59" s="1"/>
  <c r="P59" s="1"/>
  <c r="H59"/>
  <c r="O59" s="1"/>
  <c r="BD58"/>
  <c r="BC58"/>
  <c r="BB58"/>
  <c r="AZ58"/>
  <c r="AY58"/>
  <c r="AU58" s="1"/>
  <c r="AT58" s="1"/>
  <c r="AS58"/>
  <c r="AR58"/>
  <c r="AQ58"/>
  <c r="AP58"/>
  <c r="AA58"/>
  <c r="W58"/>
  <c r="T58"/>
  <c r="S58"/>
  <c r="N58"/>
  <c r="M58" s="1"/>
  <c r="L58"/>
  <c r="K58"/>
  <c r="I58"/>
  <c r="U58" s="1"/>
  <c r="H58"/>
  <c r="P58" s="1"/>
  <c r="O58" s="1"/>
  <c r="BD57"/>
  <c r="BC57"/>
  <c r="BB57"/>
  <c r="AZ57"/>
  <c r="AY57"/>
  <c r="AU57" s="1"/>
  <c r="AT57" s="1"/>
  <c r="AS57"/>
  <c r="AR57"/>
  <c r="AQ57"/>
  <c r="AP57"/>
  <c r="AA57"/>
  <c r="W57"/>
  <c r="T57"/>
  <c r="S57"/>
  <c r="N57"/>
  <c r="M57"/>
  <c r="L57"/>
  <c r="K57"/>
  <c r="I57"/>
  <c r="H57"/>
  <c r="O57" s="1"/>
  <c r="BD56"/>
  <c r="BC56"/>
  <c r="BB56"/>
  <c r="AZ56"/>
  <c r="AY56"/>
  <c r="AU56"/>
  <c r="AT56" s="1"/>
  <c r="AS56" s="1"/>
  <c r="AR56"/>
  <c r="AQ56"/>
  <c r="AP56"/>
  <c r="AA56"/>
  <c r="W56"/>
  <c r="T56"/>
  <c r="S56"/>
  <c r="N56"/>
  <c r="M56"/>
  <c r="L56"/>
  <c r="K56"/>
  <c r="I56"/>
  <c r="J56" s="1"/>
  <c r="H56"/>
  <c r="O56" s="1"/>
  <c r="BD55"/>
  <c r="BC55"/>
  <c r="BB55"/>
  <c r="AZ55"/>
  <c r="AY55"/>
  <c r="AU55" s="1"/>
  <c r="AT55" s="1"/>
  <c r="AS55"/>
  <c r="AR55"/>
  <c r="AQ55"/>
  <c r="AP55" s="1"/>
  <c r="AE55"/>
  <c r="T55"/>
  <c r="S55"/>
  <c r="N55"/>
  <c r="M55"/>
  <c r="L55"/>
  <c r="K55"/>
  <c r="I55"/>
  <c r="R55" s="1"/>
  <c r="H55"/>
  <c r="P55" s="1"/>
  <c r="O55" s="1"/>
  <c r="BD54"/>
  <c r="BC54"/>
  <c r="BB54"/>
  <c r="AZ54"/>
  <c r="AY54"/>
  <c r="AU54" s="1"/>
  <c r="AT54" s="1"/>
  <c r="AS54"/>
  <c r="AR54"/>
  <c r="AQ54"/>
  <c r="AP54" s="1"/>
  <c r="AE54"/>
  <c r="AA54"/>
  <c r="T54"/>
  <c r="S54"/>
  <c r="N54"/>
  <c r="M54"/>
  <c r="L54"/>
  <c r="K54"/>
  <c r="J54"/>
  <c r="I54"/>
  <c r="H54"/>
  <c r="P54" s="1"/>
  <c r="O54" s="1"/>
  <c r="BD53"/>
  <c r="BC53"/>
  <c r="BB53"/>
  <c r="AZ53"/>
  <c r="AY53"/>
  <c r="AU53" s="1"/>
  <c r="AT53"/>
  <c r="AS53" s="1"/>
  <c r="AR53"/>
  <c r="AQ53"/>
  <c r="AP53" s="1"/>
  <c r="AE53"/>
  <c r="AA53"/>
  <c r="T53"/>
  <c r="S53"/>
  <c r="M53"/>
  <c r="L53"/>
  <c r="K53"/>
  <c r="I53"/>
  <c r="U53" s="1"/>
  <c r="H53"/>
  <c r="P53" s="1"/>
  <c r="O53" s="1"/>
  <c r="N53" s="1"/>
  <c r="BD52"/>
  <c r="BC52"/>
  <c r="BB52"/>
  <c r="AZ52"/>
  <c r="AY52"/>
  <c r="AU52" s="1"/>
  <c r="AT52"/>
  <c r="AS52" s="1"/>
  <c r="AR52"/>
  <c r="AQ52"/>
  <c r="AP52" s="1"/>
  <c r="AE52"/>
  <c r="AA52"/>
  <c r="T52"/>
  <c r="S52"/>
  <c r="M52"/>
  <c r="L52"/>
  <c r="K52"/>
  <c r="I52"/>
  <c r="U52" s="1"/>
  <c r="H52"/>
  <c r="P52" s="1"/>
  <c r="O52" s="1"/>
  <c r="N52" s="1"/>
  <c r="BD51"/>
  <c r="BC51"/>
  <c r="BB51"/>
  <c r="AZ51"/>
  <c r="AY51"/>
  <c r="AU51" s="1"/>
  <c r="AT51"/>
  <c r="AS51" s="1"/>
  <c r="AR51"/>
  <c r="AQ51"/>
  <c r="AP51" s="1"/>
  <c r="AE51"/>
  <c r="AA51"/>
  <c r="T51"/>
  <c r="S51"/>
  <c r="M51"/>
  <c r="L51"/>
  <c r="K51"/>
  <c r="I51"/>
  <c r="H51"/>
  <c r="P51" s="1"/>
  <c r="O51" s="1"/>
  <c r="N51" s="1"/>
  <c r="BD50"/>
  <c r="BC50"/>
  <c r="BB50"/>
  <c r="AZ50"/>
  <c r="AY50"/>
  <c r="AU50" s="1"/>
  <c r="AT50"/>
  <c r="AS50" s="1"/>
  <c r="AR50"/>
  <c r="AQ50"/>
  <c r="AP50" s="1"/>
  <c r="AE50"/>
  <c r="AA50"/>
  <c r="T50"/>
  <c r="S50"/>
  <c r="M50"/>
  <c r="L50"/>
  <c r="K50"/>
  <c r="I50"/>
  <c r="H50"/>
  <c r="P50" s="1"/>
  <c r="O50" s="1"/>
  <c r="N50" s="1"/>
  <c r="AR49"/>
  <c r="BG48"/>
  <c r="BF48"/>
  <c r="BD48"/>
  <c r="BC48"/>
  <c r="BB48"/>
  <c r="AZ48"/>
  <c r="AY48"/>
  <c r="AU48"/>
  <c r="AT48" s="1"/>
  <c r="AS48" s="1"/>
  <c r="AR48"/>
  <c r="AQ48"/>
  <c r="AP48"/>
  <c r="AA48"/>
  <c r="U48"/>
  <c r="T48"/>
  <c r="S48"/>
  <c r="R48"/>
  <c r="Q48"/>
  <c r="P48"/>
  <c r="O48" s="1"/>
  <c r="N48"/>
  <c r="M48"/>
  <c r="L48"/>
  <c r="K48"/>
  <c r="J48"/>
  <c r="I48"/>
  <c r="H48"/>
  <c r="BB47"/>
  <c r="AZ47"/>
  <c r="AY47"/>
  <c r="AU47" s="1"/>
  <c r="AT47" s="1"/>
  <c r="AS47"/>
  <c r="AR47"/>
  <c r="AQ47"/>
  <c r="AP47" s="1"/>
  <c r="AC47"/>
  <c r="AA47"/>
  <c r="U47"/>
  <c r="T47"/>
  <c r="S47"/>
  <c r="R47"/>
  <c r="Q47"/>
  <c r="P47" s="1"/>
  <c r="O47"/>
  <c r="N47"/>
  <c r="M47"/>
  <c r="L47"/>
  <c r="K47"/>
  <c r="J47"/>
  <c r="I47"/>
  <c r="H47"/>
  <c r="BC46"/>
  <c r="BB46"/>
  <c r="AZ46"/>
  <c r="AY46"/>
  <c r="AU46"/>
  <c r="AT46"/>
  <c r="AS46" s="1"/>
  <c r="AR46"/>
  <c r="AQ46" s="1"/>
  <c r="AP46"/>
  <c r="AL46"/>
  <c r="AA46"/>
  <c r="U46"/>
  <c r="T46"/>
  <c r="S46"/>
  <c r="R46"/>
  <c r="Q46" s="1"/>
  <c r="P46" s="1"/>
  <c r="O46"/>
  <c r="N46"/>
  <c r="M46"/>
  <c r="L46"/>
  <c r="K46"/>
  <c r="J46"/>
  <c r="I46"/>
  <c r="H46"/>
  <c r="BD45"/>
  <c r="BB45"/>
  <c r="AZ45"/>
  <c r="AY45"/>
  <c r="AU45"/>
  <c r="AT45"/>
  <c r="AS45" s="1"/>
  <c r="AR45"/>
  <c r="AQ45"/>
  <c r="AP45"/>
  <c r="AA45"/>
  <c r="U45"/>
  <c r="T45"/>
  <c r="S45"/>
  <c r="R45"/>
  <c r="Q45"/>
  <c r="P45" s="1"/>
  <c r="O45"/>
  <c r="N45" s="1"/>
  <c r="M45"/>
  <c r="L45"/>
  <c r="K45"/>
  <c r="J45"/>
  <c r="I45"/>
  <c r="H45"/>
  <c r="BB44"/>
  <c r="AZ44"/>
  <c r="AY44"/>
  <c r="AU44"/>
  <c r="AT44" s="1"/>
  <c r="AS44" s="1"/>
  <c r="AR44"/>
  <c r="AQ44"/>
  <c r="AP44"/>
  <c r="AA44"/>
  <c r="U44"/>
  <c r="T44"/>
  <c r="S44"/>
  <c r="R44"/>
  <c r="Q44" s="1"/>
  <c r="P44"/>
  <c r="O44" s="1"/>
  <c r="N44"/>
  <c r="M44"/>
  <c r="L44"/>
  <c r="K44"/>
  <c r="J44"/>
  <c r="I44"/>
  <c r="H44"/>
  <c r="BB43"/>
  <c r="AZ43"/>
  <c r="AY43"/>
  <c r="AU43"/>
  <c r="AT43" s="1"/>
  <c r="AS43" s="1"/>
  <c r="AR43"/>
  <c r="AQ43"/>
  <c r="AP43"/>
  <c r="AA43"/>
  <c r="U43"/>
  <c r="T43"/>
  <c r="S43"/>
  <c r="R43"/>
  <c r="Q43" s="1"/>
  <c r="P43" s="1"/>
  <c r="O43"/>
  <c r="N43"/>
  <c r="M43"/>
  <c r="L43"/>
  <c r="K43"/>
  <c r="J43"/>
  <c r="I43"/>
  <c r="H43"/>
  <c r="BD42"/>
  <c r="BC42"/>
  <c r="BB42"/>
  <c r="AZ42"/>
  <c r="AY42"/>
  <c r="AU42" s="1"/>
  <c r="AT42"/>
  <c r="AS42" s="1"/>
  <c r="AR42"/>
  <c r="AQ42" s="1"/>
  <c r="AP42"/>
  <c r="AL42"/>
  <c r="AA42"/>
  <c r="U42"/>
  <c r="T42"/>
  <c r="S42"/>
  <c r="R42"/>
  <c r="Q42" s="1"/>
  <c r="P42" s="1"/>
  <c r="O42"/>
  <c r="N42"/>
  <c r="M42"/>
  <c r="L42"/>
  <c r="K42"/>
  <c r="J42"/>
  <c r="I42"/>
  <c r="H42"/>
  <c r="BD41"/>
  <c r="BB41"/>
  <c r="AZ41"/>
  <c r="AY41"/>
  <c r="AU41"/>
  <c r="AT41"/>
  <c r="AS41" s="1"/>
  <c r="AR41"/>
  <c r="AQ41" s="1"/>
  <c r="AP41"/>
  <c r="AL41"/>
  <c r="AA41"/>
  <c r="U41"/>
  <c r="T41"/>
  <c r="S41"/>
  <c r="R41"/>
  <c r="Q41" s="1"/>
  <c r="P41"/>
  <c r="O41" s="1"/>
  <c r="N41"/>
  <c r="M41"/>
  <c r="L41"/>
  <c r="K41"/>
  <c r="J41"/>
  <c r="I41"/>
  <c r="H41"/>
  <c r="BD40"/>
  <c r="BB40"/>
  <c r="AZ40"/>
  <c r="AY40"/>
  <c r="AU40" s="1"/>
  <c r="AT40" s="1"/>
  <c r="AS40"/>
  <c r="AR40"/>
  <c r="AQ40"/>
  <c r="AP40" s="1"/>
  <c r="AC40"/>
  <c r="AA40"/>
  <c r="U40"/>
  <c r="T40"/>
  <c r="S40"/>
  <c r="R40"/>
  <c r="Q40"/>
  <c r="P40"/>
  <c r="O40" s="1"/>
  <c r="N40"/>
  <c r="M40"/>
  <c r="L40"/>
  <c r="K40"/>
  <c r="J40"/>
  <c r="I40"/>
  <c r="H40"/>
  <c r="BD39"/>
  <c r="BB39"/>
  <c r="AZ39"/>
  <c r="AY39"/>
  <c r="AU39"/>
  <c r="AT39" s="1"/>
  <c r="AS39" s="1"/>
  <c r="AR39"/>
  <c r="AQ39"/>
  <c r="AP39"/>
  <c r="AA39"/>
  <c r="U39"/>
  <c r="T39"/>
  <c r="S39"/>
  <c r="R39"/>
  <c r="Q39" s="1"/>
  <c r="P39" s="1"/>
  <c r="O39"/>
  <c r="N39"/>
  <c r="M39"/>
  <c r="L39"/>
  <c r="K39"/>
  <c r="J39"/>
  <c r="I39"/>
  <c r="H39"/>
  <c r="BB38"/>
  <c r="AZ38"/>
  <c r="AY38"/>
  <c r="AU38" s="1"/>
  <c r="AT38" s="1"/>
  <c r="AS38"/>
  <c r="AR38"/>
  <c r="AQ38"/>
  <c r="AP38" s="1"/>
  <c r="AC38"/>
  <c r="AA38" s="1"/>
  <c r="Y38"/>
  <c r="U38"/>
  <c r="T38"/>
  <c r="S38"/>
  <c r="R38"/>
  <c r="Q38"/>
  <c r="P38"/>
  <c r="O38" s="1"/>
  <c r="N38"/>
  <c r="M38"/>
  <c r="L38"/>
  <c r="K38"/>
  <c r="J38"/>
  <c r="I38"/>
  <c r="H38"/>
  <c r="BD37"/>
  <c r="AZ37"/>
  <c r="AY37"/>
  <c r="AU37" s="1"/>
  <c r="AT37" s="1"/>
  <c r="AS37"/>
  <c r="AR37"/>
  <c r="AQ37"/>
  <c r="AP37" s="1"/>
  <c r="AC37"/>
  <c r="AA37" s="1"/>
  <c r="Y37"/>
  <c r="U37"/>
  <c r="T37"/>
  <c r="S37"/>
  <c r="R37"/>
  <c r="Q37"/>
  <c r="P37"/>
  <c r="O37" s="1"/>
  <c r="N37"/>
  <c r="M37"/>
  <c r="L37"/>
  <c r="K37"/>
  <c r="J37"/>
  <c r="I37"/>
  <c r="H37"/>
  <c r="BD36"/>
  <c r="BB36"/>
  <c r="AZ36"/>
  <c r="AY36"/>
  <c r="AU36"/>
  <c r="AT36" s="1"/>
  <c r="AS36"/>
  <c r="AR36"/>
  <c r="AQ36"/>
  <c r="AP36" s="1"/>
  <c r="AE36"/>
  <c r="AA36"/>
  <c r="T36"/>
  <c r="S36"/>
  <c r="N36"/>
  <c r="M36"/>
  <c r="L36"/>
  <c r="K36"/>
  <c r="I36"/>
  <c r="H36"/>
  <c r="P36" s="1"/>
  <c r="D31"/>
  <c r="C24"/>
  <c r="D23"/>
  <c r="D22"/>
  <c r="D19"/>
  <c r="D18"/>
  <c r="D10"/>
  <c r="D9"/>
  <c r="D5"/>
  <c r="U51" l="1"/>
  <c r="J52"/>
  <c r="U54"/>
  <c r="U56"/>
  <c r="U57"/>
  <c r="U61"/>
  <c r="U62"/>
  <c r="U65"/>
  <c r="U66"/>
  <c r="T66" s="1"/>
  <c r="J65"/>
  <c r="R52"/>
  <c r="R56"/>
  <c r="Q56" s="1"/>
  <c r="O67"/>
  <c r="Q67"/>
  <c r="O68"/>
  <c r="Q68"/>
  <c r="R54"/>
  <c r="Q54" s="1"/>
  <c r="J66"/>
  <c r="Q66"/>
  <c r="R66"/>
  <c r="O65"/>
  <c r="Q65"/>
  <c r="R65"/>
  <c r="J64"/>
  <c r="P64"/>
  <c r="R64"/>
  <c r="Q64"/>
  <c r="J63"/>
  <c r="R63"/>
  <c r="Q63" s="1"/>
  <c r="J62"/>
  <c r="R62"/>
  <c r="Q62"/>
  <c r="R61"/>
  <c r="J61"/>
  <c r="Q61"/>
  <c r="J60"/>
  <c r="Q60"/>
  <c r="P60" s="1"/>
  <c r="U60"/>
  <c r="U59"/>
  <c r="J59"/>
  <c r="R58"/>
  <c r="Q58" s="1"/>
  <c r="J58"/>
  <c r="R57"/>
  <c r="J57"/>
  <c r="Q57"/>
  <c r="P57" s="1"/>
  <c r="P56"/>
  <c r="J55"/>
  <c r="Q55"/>
  <c r="U55"/>
  <c r="J53"/>
  <c r="R53"/>
  <c r="Q53"/>
  <c r="Q52"/>
  <c r="J51"/>
  <c r="R51"/>
  <c r="Q51"/>
  <c r="U50"/>
  <c r="Q50"/>
  <c r="J50"/>
  <c r="R50"/>
  <c r="U36"/>
  <c r="O36"/>
  <c r="Q36"/>
  <c r="J36"/>
  <c r="R36"/>
  <c r="D7"/>
  <c r="D17" s="1"/>
  <c r="C5"/>
  <c r="D4"/>
  <c r="C4"/>
  <c r="E3"/>
  <c r="E4" s="1"/>
  <c r="J119" i="11"/>
  <c r="R119" s="1"/>
  <c r="J118"/>
  <c r="R117" s="1"/>
  <c r="J117"/>
  <c r="R116"/>
  <c r="J116"/>
  <c r="R115"/>
  <c r="J115"/>
  <c r="R114"/>
  <c r="J114"/>
  <c r="R113"/>
  <c r="J113"/>
  <c r="R112"/>
  <c r="J112"/>
  <c r="R111"/>
  <c r="J111"/>
  <c r="R110"/>
  <c r="J110"/>
  <c r="R109"/>
  <c r="J109"/>
  <c r="R108"/>
  <c r="J108"/>
  <c r="R107"/>
  <c r="J107"/>
  <c r="R106"/>
  <c r="J106"/>
  <c r="T101"/>
  <c r="S101"/>
  <c r="G101"/>
  <c r="T100"/>
  <c r="S100"/>
  <c r="G100"/>
  <c r="T99"/>
  <c r="S99"/>
  <c r="G99"/>
  <c r="T98"/>
  <c r="S98"/>
  <c r="G98"/>
  <c r="T97"/>
  <c r="S97"/>
  <c r="G97"/>
  <c r="T96"/>
  <c r="S96"/>
  <c r="G96"/>
  <c r="T95"/>
  <c r="S95"/>
  <c r="G95"/>
  <c r="T94"/>
  <c r="S94"/>
  <c r="G94"/>
  <c r="T93"/>
  <c r="S93"/>
  <c r="G93"/>
  <c r="AB80"/>
  <c r="T92"/>
  <c r="S92"/>
  <c r="G92"/>
  <c r="T91"/>
  <c r="S91"/>
  <c r="G91"/>
  <c r="AB78"/>
  <c r="T90"/>
  <c r="S90"/>
  <c r="G90"/>
  <c r="AB77"/>
  <c r="T89"/>
  <c r="S89"/>
  <c r="G89"/>
  <c r="AB76"/>
  <c r="AB75"/>
  <c r="AI74"/>
  <c r="AB74"/>
  <c r="B86"/>
  <c r="AB73"/>
  <c r="AB72"/>
  <c r="E84"/>
  <c r="BN71"/>
  <c r="BP71" s="1"/>
  <c r="AB71"/>
  <c r="X83"/>
  <c r="T83"/>
  <c r="S83"/>
  <c r="K83"/>
  <c r="AI70"/>
  <c r="AB70"/>
  <c r="X82"/>
  <c r="T82"/>
  <c r="S82"/>
  <c r="K82"/>
  <c r="BN69"/>
  <c r="BP69" s="1"/>
  <c r="AB69"/>
  <c r="X81"/>
  <c r="T81"/>
  <c r="S81"/>
  <c r="K81"/>
  <c r="BN68"/>
  <c r="BP68" s="1"/>
  <c r="AI68"/>
  <c r="AB68"/>
  <c r="X80"/>
  <c r="T80"/>
  <c r="S80"/>
  <c r="K80"/>
  <c r="BN67"/>
  <c r="BP67" s="1"/>
  <c r="AB67"/>
  <c r="X79"/>
  <c r="T79"/>
  <c r="S79"/>
  <c r="P79"/>
  <c r="K79"/>
  <c r="BN66"/>
  <c r="BP66" s="1"/>
  <c r="X78"/>
  <c r="T78"/>
  <c r="S78"/>
  <c r="J78"/>
  <c r="BN65"/>
  <c r="BP65" s="1"/>
  <c r="X77"/>
  <c r="T77"/>
  <c r="S77"/>
  <c r="P77"/>
  <c r="K77"/>
  <c r="BN64"/>
  <c r="BP64" s="1"/>
  <c r="D76" s="1"/>
  <c r="X76"/>
  <c r="T76"/>
  <c r="S76"/>
  <c r="K76"/>
  <c r="BN63"/>
  <c r="BP63" s="1"/>
  <c r="X75"/>
  <c r="T75"/>
  <c r="S75"/>
  <c r="P75"/>
  <c r="K75"/>
  <c r="BN62"/>
  <c r="BP62" s="1"/>
  <c r="X74"/>
  <c r="T74"/>
  <c r="S74"/>
  <c r="J74"/>
  <c r="BN61"/>
  <c r="BP61" s="1"/>
  <c r="X73"/>
  <c r="T73"/>
  <c r="S73"/>
  <c r="P73"/>
  <c r="K73"/>
  <c r="BN60"/>
  <c r="BP60" s="1"/>
  <c r="X72"/>
  <c r="T72"/>
  <c r="S72"/>
  <c r="K72"/>
  <c r="BN59"/>
  <c r="BP59" s="1"/>
  <c r="X71"/>
  <c r="T71"/>
  <c r="S71"/>
  <c r="P71"/>
  <c r="K71"/>
  <c r="BN58"/>
  <c r="BP58" s="1"/>
  <c r="X70"/>
  <c r="T70"/>
  <c r="S70"/>
  <c r="K70"/>
  <c r="R63"/>
  <c r="T63" s="1"/>
  <c r="Q63"/>
  <c r="W63" s="1"/>
  <c r="C63"/>
  <c r="R62"/>
  <c r="T62" s="1"/>
  <c r="Q62"/>
  <c r="S62" s="1"/>
  <c r="C62"/>
  <c r="R61"/>
  <c r="T61" s="1"/>
  <c r="Q61"/>
  <c r="W61" s="1"/>
  <c r="C61"/>
  <c r="R54"/>
  <c r="T54" s="1"/>
  <c r="Q54"/>
  <c r="W54" s="1"/>
  <c r="C54"/>
  <c r="R53"/>
  <c r="T53" s="1"/>
  <c r="Q53"/>
  <c r="W53" s="1"/>
  <c r="C53"/>
  <c r="R52"/>
  <c r="T52" s="1"/>
  <c r="Q52"/>
  <c r="W52" s="1"/>
  <c r="C52"/>
  <c r="R51"/>
  <c r="T51" s="1"/>
  <c r="Q51"/>
  <c r="W51" s="1"/>
  <c r="C51"/>
  <c r="T50"/>
  <c r="R50"/>
  <c r="Q50"/>
  <c r="W50" s="1"/>
  <c r="C50"/>
  <c r="R49"/>
  <c r="T49" s="1"/>
  <c r="Q49"/>
  <c r="S49" s="1"/>
  <c r="C49"/>
  <c r="R48"/>
  <c r="T48" s="1"/>
  <c r="Q48"/>
  <c r="W48" s="1"/>
  <c r="C48"/>
  <c r="R47"/>
  <c r="T47" s="1"/>
  <c r="Q47"/>
  <c r="W47" s="1"/>
  <c r="C47"/>
  <c r="D16" i="15" l="1"/>
  <c r="S61" i="11"/>
  <c r="G82"/>
  <c r="S50"/>
  <c r="U50" s="1"/>
  <c r="B87"/>
  <c r="S51"/>
  <c r="U51" s="1"/>
  <c r="S52"/>
  <c r="U52" s="1"/>
  <c r="X50"/>
  <c r="X51"/>
  <c r="X52"/>
  <c r="X54"/>
  <c r="V62"/>
  <c r="U62" s="1"/>
  <c r="R118"/>
  <c r="S47"/>
  <c r="U47" s="1"/>
  <c r="S48"/>
  <c r="V48" s="1"/>
  <c r="U48" s="1"/>
  <c r="S53"/>
  <c r="S54"/>
  <c r="U54" s="1"/>
  <c r="V61"/>
  <c r="U61" s="1"/>
  <c r="S63"/>
  <c r="V63" s="1"/>
  <c r="U63" s="1"/>
  <c r="D29" i="15"/>
  <c r="D8"/>
  <c r="E31"/>
  <c r="E18"/>
  <c r="E5"/>
  <c r="E19"/>
  <c r="E9"/>
  <c r="BF169"/>
  <c r="BG168"/>
  <c r="BE168"/>
  <c r="BF167"/>
  <c r="BG166"/>
  <c r="BE166"/>
  <c r="BG165"/>
  <c r="BE165"/>
  <c r="BF164"/>
  <c r="BF163"/>
  <c r="BF162"/>
  <c r="BF161"/>
  <c r="BF160"/>
  <c r="BF159"/>
  <c r="BE158"/>
  <c r="BF157"/>
  <c r="BF156"/>
  <c r="BG155"/>
  <c r="BE155"/>
  <c r="BG154"/>
  <c r="BE154"/>
  <c r="BF153"/>
  <c r="BG152"/>
  <c r="BE152"/>
  <c r="BG151"/>
  <c r="BE151"/>
  <c r="BF150"/>
  <c r="BG149"/>
  <c r="BE149"/>
  <c r="BF148"/>
  <c r="BG147"/>
  <c r="BE147"/>
  <c r="BF146"/>
  <c r="BF145"/>
  <c r="BG144"/>
  <c r="BE144"/>
  <c r="BF143"/>
  <c r="BF142"/>
  <c r="BF141"/>
  <c r="BG140"/>
  <c r="BE140"/>
  <c r="BF139"/>
  <c r="BF138"/>
  <c r="BF137"/>
  <c r="BG136"/>
  <c r="BE136"/>
  <c r="BG135"/>
  <c r="BE135"/>
  <c r="BF134"/>
  <c r="BG133"/>
  <c r="BE133"/>
  <c r="BG132"/>
  <c r="BE132"/>
  <c r="BG131"/>
  <c r="BE131"/>
  <c r="BF130"/>
  <c r="BG129"/>
  <c r="BE129"/>
  <c r="BG128"/>
  <c r="BE128"/>
  <c r="BF125"/>
  <c r="BF124"/>
  <c r="BF123"/>
  <c r="BG122"/>
  <c r="BE122"/>
  <c r="BG121"/>
  <c r="BE121"/>
  <c r="BF120"/>
  <c r="BG119"/>
  <c r="BE119"/>
  <c r="BF116"/>
  <c r="BF115"/>
  <c r="BG114"/>
  <c r="BE114"/>
  <c r="BG113"/>
  <c r="BE113"/>
  <c r="BF112"/>
  <c r="BG109"/>
  <c r="BE109"/>
  <c r="BF108"/>
  <c r="BF107"/>
  <c r="BG106"/>
  <c r="BE106"/>
  <c r="BG105"/>
  <c r="BE105"/>
  <c r="BF104"/>
  <c r="BG103"/>
  <c r="BE103"/>
  <c r="BF102"/>
  <c r="BG101"/>
  <c r="BE101"/>
  <c r="BG100"/>
  <c r="BE100"/>
  <c r="BF99"/>
  <c r="BG96"/>
  <c r="BE96"/>
  <c r="BG95"/>
  <c r="BE95"/>
  <c r="BG94"/>
  <c r="BE94"/>
  <c r="BF93"/>
  <c r="BF92"/>
  <c r="BF91"/>
  <c r="BF90"/>
  <c r="BF89"/>
  <c r="BF88"/>
  <c r="BF87"/>
  <c r="BF86"/>
  <c r="BF85"/>
  <c r="BF84"/>
  <c r="BF83"/>
  <c r="BF82"/>
  <c r="BG81"/>
  <c r="BE81"/>
  <c r="BF80"/>
  <c r="BG79"/>
  <c r="BE79"/>
  <c r="BG78"/>
  <c r="BE78"/>
  <c r="BG77"/>
  <c r="BE77"/>
  <c r="BF76"/>
  <c r="BF75"/>
  <c r="BG74"/>
  <c r="BE74"/>
  <c r="BE72"/>
  <c r="BG71"/>
  <c r="BE71"/>
  <c r="BG70"/>
  <c r="BE70"/>
  <c r="BG69"/>
  <c r="BE69"/>
  <c r="BG68"/>
  <c r="BG169"/>
  <c r="BE169"/>
  <c r="BF168"/>
  <c r="BG167"/>
  <c r="BE167"/>
  <c r="BF166"/>
  <c r="BF165"/>
  <c r="BG164"/>
  <c r="BE164"/>
  <c r="BG163"/>
  <c r="BE163"/>
  <c r="BG162"/>
  <c r="BE162"/>
  <c r="BG161"/>
  <c r="BE161"/>
  <c r="BG160"/>
  <c r="BE160"/>
  <c r="BG159"/>
  <c r="BE159"/>
  <c r="BG157"/>
  <c r="BE157"/>
  <c r="BG156"/>
  <c r="BE156"/>
  <c r="BF155"/>
  <c r="BF154"/>
  <c r="BG153"/>
  <c r="BE153"/>
  <c r="BF152"/>
  <c r="BF151"/>
  <c r="BG150"/>
  <c r="BE150"/>
  <c r="BF149"/>
  <c r="BG148"/>
  <c r="BE148"/>
  <c r="BF147"/>
  <c r="BG146"/>
  <c r="BE146"/>
  <c r="BG145"/>
  <c r="BE145"/>
  <c r="BF144"/>
  <c r="BG143"/>
  <c r="BE143"/>
  <c r="BG142"/>
  <c r="BE142"/>
  <c r="BG141"/>
  <c r="BE141"/>
  <c r="BF140"/>
  <c r="BG139"/>
  <c r="BE139"/>
  <c r="BG138"/>
  <c r="BE138"/>
  <c r="BG137"/>
  <c r="BE137"/>
  <c r="BF136"/>
  <c r="BF135"/>
  <c r="BG134"/>
  <c r="BE134"/>
  <c r="BF133"/>
  <c r="BF132"/>
  <c r="BF131"/>
  <c r="BG130"/>
  <c r="BE130"/>
  <c r="BF129"/>
  <c r="BF128"/>
  <c r="BE126"/>
  <c r="BG125"/>
  <c r="BE125"/>
  <c r="BG124"/>
  <c r="BE124"/>
  <c r="BG123"/>
  <c r="BE123"/>
  <c r="BF122"/>
  <c r="BF121"/>
  <c r="BG120"/>
  <c r="BE120"/>
  <c r="BF119"/>
  <c r="BE117"/>
  <c r="BG116"/>
  <c r="BE116"/>
  <c r="BG115"/>
  <c r="BE115"/>
  <c r="BF114"/>
  <c r="BF113"/>
  <c r="BG112"/>
  <c r="BE112"/>
  <c r="BE110"/>
  <c r="BF109"/>
  <c r="BG108"/>
  <c r="BE108"/>
  <c r="BG107"/>
  <c r="BE107"/>
  <c r="BF106"/>
  <c r="BF105"/>
  <c r="BG104"/>
  <c r="BE104"/>
  <c r="BF103"/>
  <c r="BG102"/>
  <c r="BE102"/>
  <c r="BF101"/>
  <c r="BF100"/>
  <c r="BG99"/>
  <c r="BE99"/>
  <c r="BE97"/>
  <c r="BF96"/>
  <c r="BF95"/>
  <c r="BF94"/>
  <c r="BG93"/>
  <c r="BE93"/>
  <c r="BG92"/>
  <c r="BE92"/>
  <c r="BG91"/>
  <c r="BE91"/>
  <c r="BG90"/>
  <c r="BE90"/>
  <c r="BG89"/>
  <c r="BE89"/>
  <c r="BG88"/>
  <c r="BE88"/>
  <c r="BG87"/>
  <c r="BE87"/>
  <c r="BG86"/>
  <c r="BE86"/>
  <c r="BG85"/>
  <c r="BE85"/>
  <c r="BG84"/>
  <c r="BE84"/>
  <c r="BG83"/>
  <c r="BE83"/>
  <c r="BG82"/>
  <c r="BE82"/>
  <c r="BF81"/>
  <c r="BG80"/>
  <c r="BE80"/>
  <c r="BF79"/>
  <c r="BF78"/>
  <c r="BF77"/>
  <c r="BG76"/>
  <c r="BE76"/>
  <c r="BG75"/>
  <c r="BE75"/>
  <c r="BF74"/>
  <c r="BF71"/>
  <c r="BF70"/>
  <c r="BF69"/>
  <c r="BF68"/>
  <c r="BF67"/>
  <c r="BF66"/>
  <c r="BF65"/>
  <c r="BF64"/>
  <c r="BF63"/>
  <c r="BG62"/>
  <c r="BE62"/>
  <c r="BF61"/>
  <c r="BF60"/>
  <c r="BF59"/>
  <c r="BF58"/>
  <c r="BG57"/>
  <c r="BE57"/>
  <c r="BF56"/>
  <c r="BF55"/>
  <c r="BG54"/>
  <c r="BE54"/>
  <c r="BF53"/>
  <c r="BG52"/>
  <c r="BE52"/>
  <c r="BF51"/>
  <c r="BG50"/>
  <c r="BE50"/>
  <c r="BE48"/>
  <c r="BG47"/>
  <c r="BE47"/>
  <c r="BG46"/>
  <c r="BE46"/>
  <c r="BF45"/>
  <c r="BG44"/>
  <c r="BE44"/>
  <c r="BF43"/>
  <c r="BG42"/>
  <c r="BE42"/>
  <c r="BF41"/>
  <c r="BG40"/>
  <c r="BE40"/>
  <c r="BF39"/>
  <c r="BF38"/>
  <c r="BF37"/>
  <c r="BF36"/>
  <c r="BE68"/>
  <c r="BG67"/>
  <c r="BE67"/>
  <c r="BG66"/>
  <c r="BE66"/>
  <c r="BG65"/>
  <c r="BE65"/>
  <c r="BG64"/>
  <c r="BE64"/>
  <c r="BG63"/>
  <c r="BE63"/>
  <c r="BF62"/>
  <c r="BG61"/>
  <c r="BE61"/>
  <c r="BG60"/>
  <c r="BE60"/>
  <c r="BG59"/>
  <c r="BE59"/>
  <c r="BG58"/>
  <c r="BE58"/>
  <c r="BF57"/>
  <c r="BG56"/>
  <c r="BE56"/>
  <c r="BG55"/>
  <c r="BE55"/>
  <c r="BF54"/>
  <c r="BG53"/>
  <c r="BE53"/>
  <c r="BF52"/>
  <c r="BG51"/>
  <c r="BE51"/>
  <c r="BF50"/>
  <c r="BF47"/>
  <c r="BF46"/>
  <c r="BG45"/>
  <c r="BE45"/>
  <c r="BF44"/>
  <c r="BG43"/>
  <c r="BE43"/>
  <c r="BF42"/>
  <c r="BG41"/>
  <c r="BE41"/>
  <c r="BF40"/>
  <c r="BG39"/>
  <c r="BE39"/>
  <c r="BG38"/>
  <c r="BE38"/>
  <c r="BG37"/>
  <c r="BE37"/>
  <c r="BG36"/>
  <c r="BE36"/>
  <c r="E23"/>
  <c r="K49" i="20"/>
  <c r="N47"/>
  <c r="F122" i="4" s="1"/>
  <c r="R46" i="11"/>
  <c r="T46" s="1"/>
  <c r="Q46"/>
  <c r="S46" s="1"/>
  <c r="C46"/>
  <c r="AW39"/>
  <c r="AR39"/>
  <c r="AG39"/>
  <c r="AB39"/>
  <c r="R45"/>
  <c r="T45" s="1"/>
  <c r="AH39" s="1"/>
  <c r="Q45"/>
  <c r="S45" s="1"/>
  <c r="C45"/>
  <c r="AW38"/>
  <c r="AR38"/>
  <c r="AK38"/>
  <c r="AJ38"/>
  <c r="AH38"/>
  <c r="AG38"/>
  <c r="AF38"/>
  <c r="AE38"/>
  <c r="AA38"/>
  <c r="AL38" s="1"/>
  <c r="T44"/>
  <c r="R44"/>
  <c r="Q44"/>
  <c r="W44" s="1"/>
  <c r="C44"/>
  <c r="AW37"/>
  <c r="U45" l="1"/>
  <c r="V50"/>
  <c r="V47"/>
  <c r="V52"/>
  <c r="U46"/>
  <c r="V53"/>
  <c r="U53"/>
  <c r="AD38"/>
  <c r="AI38" s="1"/>
  <c r="AP38"/>
  <c r="V54"/>
  <c r="V51"/>
  <c r="S44"/>
  <c r="U44" s="1"/>
  <c r="AQ38"/>
  <c r="BH45" i="15"/>
  <c r="BI45"/>
  <c r="BH58"/>
  <c r="BI58"/>
  <c r="BH61"/>
  <c r="BI61"/>
  <c r="J49" i="20"/>
  <c r="J47" s="1"/>
  <c r="K47"/>
  <c r="BE175" i="15"/>
  <c r="BE171"/>
  <c r="BH36"/>
  <c r="C25"/>
  <c r="C13" s="1"/>
  <c r="BI36"/>
  <c r="C22"/>
  <c r="BH37"/>
  <c r="BI37"/>
  <c r="BH38"/>
  <c r="BI38"/>
  <c r="BH39"/>
  <c r="BI39"/>
  <c r="BH43"/>
  <c r="BI43"/>
  <c r="BH51"/>
  <c r="BI51"/>
  <c r="BH55"/>
  <c r="BI55"/>
  <c r="BH56"/>
  <c r="BI56"/>
  <c r="BH63"/>
  <c r="BI63"/>
  <c r="BH64"/>
  <c r="BI64"/>
  <c r="BH65"/>
  <c r="BI65"/>
  <c r="BH66"/>
  <c r="BI66"/>
  <c r="BH67"/>
  <c r="BI67"/>
  <c r="BI68"/>
  <c r="BH68"/>
  <c r="BI42"/>
  <c r="BH42"/>
  <c r="BI46"/>
  <c r="BH46"/>
  <c r="BI47"/>
  <c r="BH47"/>
  <c r="BI48"/>
  <c r="BH48"/>
  <c r="BI52"/>
  <c r="BH52"/>
  <c r="BH80"/>
  <c r="BI80"/>
  <c r="BH97"/>
  <c r="BI97"/>
  <c r="BH104"/>
  <c r="BI104"/>
  <c r="BH107"/>
  <c r="BI107"/>
  <c r="BH108"/>
  <c r="BI108"/>
  <c r="BH112"/>
  <c r="BI112"/>
  <c r="BH115"/>
  <c r="BI115"/>
  <c r="BH116"/>
  <c r="BI116"/>
  <c r="BH117"/>
  <c r="BI117"/>
  <c r="BH120"/>
  <c r="BI120"/>
  <c r="BH123"/>
  <c r="BI123"/>
  <c r="BH124"/>
  <c r="BI124"/>
  <c r="BH125"/>
  <c r="BI125"/>
  <c r="BH126"/>
  <c r="BI126"/>
  <c r="BD134"/>
  <c r="BH134"/>
  <c r="BI134"/>
  <c r="BH137"/>
  <c r="BI137"/>
  <c r="BH138"/>
  <c r="BI138"/>
  <c r="BH139"/>
  <c r="BI139"/>
  <c r="BH145"/>
  <c r="BI145"/>
  <c r="BH146"/>
  <c r="BI146"/>
  <c r="BH150"/>
  <c r="BI150"/>
  <c r="BH153"/>
  <c r="BI153"/>
  <c r="BH156"/>
  <c r="BI156"/>
  <c r="BH157"/>
  <c r="BI157"/>
  <c r="BH159"/>
  <c r="BI159"/>
  <c r="BH160"/>
  <c r="BI160"/>
  <c r="BH161"/>
  <c r="BI161"/>
  <c r="BH162"/>
  <c r="BI162"/>
  <c r="BH163"/>
  <c r="BI163"/>
  <c r="BH164"/>
  <c r="BI164"/>
  <c r="BH167"/>
  <c r="BI167"/>
  <c r="BI69"/>
  <c r="BH69"/>
  <c r="BI70"/>
  <c r="BH70"/>
  <c r="BI71"/>
  <c r="BH71"/>
  <c r="BI72"/>
  <c r="BH72"/>
  <c r="BI81"/>
  <c r="BH81"/>
  <c r="BI94"/>
  <c r="BH94"/>
  <c r="BI95"/>
  <c r="BH95"/>
  <c r="BI96"/>
  <c r="BH96"/>
  <c r="BI103"/>
  <c r="BH103"/>
  <c r="BI113"/>
  <c r="BH113"/>
  <c r="BI114"/>
  <c r="BH114"/>
  <c r="BI119"/>
  <c r="BH119"/>
  <c r="BI128"/>
  <c r="BH128"/>
  <c r="BI129"/>
  <c r="BH129"/>
  <c r="BD135"/>
  <c r="BI135"/>
  <c r="BH135"/>
  <c r="BI136"/>
  <c r="BH136"/>
  <c r="BI144"/>
  <c r="BH144"/>
  <c r="BI147"/>
  <c r="BH147"/>
  <c r="BI151"/>
  <c r="BH151"/>
  <c r="BI152"/>
  <c r="BH152"/>
  <c r="BE176"/>
  <c r="BI165"/>
  <c r="BH165"/>
  <c r="C23"/>
  <c r="E22" s="1"/>
  <c r="BI166"/>
  <c r="BH166"/>
  <c r="BF176"/>
  <c r="BG175"/>
  <c r="BG171"/>
  <c r="BH41"/>
  <c r="BI41"/>
  <c r="BH53"/>
  <c r="BI53"/>
  <c r="BH59"/>
  <c r="BI59"/>
  <c r="BH60"/>
  <c r="BI60"/>
  <c r="BF175"/>
  <c r="BF171"/>
  <c r="BI40"/>
  <c r="BH40"/>
  <c r="BI44"/>
  <c r="BH44"/>
  <c r="BI50"/>
  <c r="BH50"/>
  <c r="BI54"/>
  <c r="BH54"/>
  <c r="BI57"/>
  <c r="BH57"/>
  <c r="BI62"/>
  <c r="BH62"/>
  <c r="BH75"/>
  <c r="BI75"/>
  <c r="BH76"/>
  <c r="BI76"/>
  <c r="BH82"/>
  <c r="BI82"/>
  <c r="BH83"/>
  <c r="BI83"/>
  <c r="BH84"/>
  <c r="BI84"/>
  <c r="BH85"/>
  <c r="BI85"/>
  <c r="BH86"/>
  <c r="BI86"/>
  <c r="BH87"/>
  <c r="BI87"/>
  <c r="BH88"/>
  <c r="BI88"/>
  <c r="BH89"/>
  <c r="BI89"/>
  <c r="BH90"/>
  <c r="BI90"/>
  <c r="BH91"/>
  <c r="BI91"/>
  <c r="BH92"/>
  <c r="BI92"/>
  <c r="BH93"/>
  <c r="BI93"/>
  <c r="BH99"/>
  <c r="BI99"/>
  <c r="BH102"/>
  <c r="BI102"/>
  <c r="BH110"/>
  <c r="BI110"/>
  <c r="BD130"/>
  <c r="BH130"/>
  <c r="BI130"/>
  <c r="BH141"/>
  <c r="BI141"/>
  <c r="BH142"/>
  <c r="BI142"/>
  <c r="BH143"/>
  <c r="BI143"/>
  <c r="BH148"/>
  <c r="BI148"/>
  <c r="BH169"/>
  <c r="BI169"/>
  <c r="BI74"/>
  <c r="BH74"/>
  <c r="BI77"/>
  <c r="BH77"/>
  <c r="BI78"/>
  <c r="BH78"/>
  <c r="BI79"/>
  <c r="BH79"/>
  <c r="BI100"/>
  <c r="BH100"/>
  <c r="BI101"/>
  <c r="BH101"/>
  <c r="BI105"/>
  <c r="BH105"/>
  <c r="BI106"/>
  <c r="BH106"/>
  <c r="BI109"/>
  <c r="BH109"/>
  <c r="BI121"/>
  <c r="BH121"/>
  <c r="BI122"/>
  <c r="BH122"/>
  <c r="BD131"/>
  <c r="BI131"/>
  <c r="BH131"/>
  <c r="BD132"/>
  <c r="BI132"/>
  <c r="BH132"/>
  <c r="BD133"/>
  <c r="BI133"/>
  <c r="BH133"/>
  <c r="BI140"/>
  <c r="BH140"/>
  <c r="BI149"/>
  <c r="BH149"/>
  <c r="BI154"/>
  <c r="BH154"/>
  <c r="BI155"/>
  <c r="BH155"/>
  <c r="BI158"/>
  <c r="BH158"/>
  <c r="BI168"/>
  <c r="BH168"/>
  <c r="BG176"/>
  <c r="AR37" i="11"/>
  <c r="AK37"/>
  <c r="AJ37"/>
  <c r="AH37"/>
  <c r="AG37"/>
  <c r="AF37"/>
  <c r="AE37"/>
  <c r="AA37"/>
  <c r="AP37" s="1"/>
  <c r="AL37" s="1"/>
  <c r="R43"/>
  <c r="T43" s="1"/>
  <c r="Q43"/>
  <c r="W43" s="1"/>
  <c r="C43"/>
  <c r="AW36"/>
  <c r="AR36"/>
  <c r="AK36"/>
  <c r="AJ36"/>
  <c r="AH36"/>
  <c r="AG36"/>
  <c r="AF36"/>
  <c r="AE36"/>
  <c r="AA36"/>
  <c r="R42"/>
  <c r="T42" s="1"/>
  <c r="S42" s="1"/>
  <c r="Q42"/>
  <c r="W42" s="1"/>
  <c r="P42"/>
  <c r="C42"/>
  <c r="P55" l="1"/>
  <c r="X55" s="1"/>
  <c r="P57"/>
  <c r="X57" s="1"/>
  <c r="P56"/>
  <c r="X56" s="1"/>
  <c r="P58"/>
  <c r="X58" s="1"/>
  <c r="P60"/>
  <c r="X60" s="1"/>
  <c r="P59"/>
  <c r="X59" s="1"/>
  <c r="V42"/>
  <c r="U42" s="1"/>
  <c r="S43"/>
  <c r="U43" s="1"/>
  <c r="AD37"/>
  <c r="V43"/>
  <c r="P62"/>
  <c r="P61"/>
  <c r="X61" s="1"/>
  <c r="P49"/>
  <c r="P48"/>
  <c r="P63"/>
  <c r="P50"/>
  <c r="P53"/>
  <c r="P46"/>
  <c r="P47"/>
  <c r="P52"/>
  <c r="P54"/>
  <c r="P51"/>
  <c r="AL36"/>
  <c r="P43"/>
  <c r="AQ37"/>
  <c r="AD36"/>
  <c r="AI36" s="1"/>
  <c r="AP36"/>
  <c r="AI37"/>
  <c r="V44"/>
  <c r="P44"/>
  <c r="AT38"/>
  <c r="AS38"/>
  <c r="AQ36"/>
  <c r="P45"/>
  <c r="BF172" i="15"/>
  <c r="AZ172" s="1"/>
  <c r="AY172" s="1"/>
  <c r="C26"/>
  <c r="C14"/>
  <c r="BG172"/>
  <c r="C15"/>
  <c r="C27"/>
  <c r="BI175"/>
  <c r="BI171"/>
  <c r="BI172" s="1"/>
  <c r="BH175"/>
  <c r="BH171"/>
  <c r="BH172" s="1"/>
  <c r="BH176"/>
  <c r="C12"/>
  <c r="C9"/>
  <c r="E8" s="1"/>
  <c r="C7"/>
  <c r="C8" s="1"/>
  <c r="BI176"/>
  <c r="AW35" i="11"/>
  <c r="AR35"/>
  <c r="AK35"/>
  <c r="AJ35"/>
  <c r="AH35"/>
  <c r="AG35"/>
  <c r="AF35"/>
  <c r="AE35"/>
  <c r="AA35"/>
  <c r="AD35" s="1"/>
  <c r="BM34"/>
  <c r="BL34"/>
  <c r="BK34"/>
  <c r="BJ34"/>
  <c r="BI34"/>
  <c r="BH34"/>
  <c r="BG34"/>
  <c r="BF34"/>
  <c r="BE34"/>
  <c r="BD34"/>
  <c r="AW34"/>
  <c r="AR34"/>
  <c r="AH34"/>
  <c r="AG34"/>
  <c r="AB34"/>
  <c r="R40"/>
  <c r="T40" s="1"/>
  <c r="Q40"/>
  <c r="S40" s="1"/>
  <c r="P40"/>
  <c r="BM33"/>
  <c r="BL33"/>
  <c r="BK33"/>
  <c r="BJ33"/>
  <c r="BI33"/>
  <c r="BH33"/>
  <c r="BG33"/>
  <c r="BF33"/>
  <c r="BE33"/>
  <c r="BD33"/>
  <c r="AW33"/>
  <c r="AR33"/>
  <c r="AH33"/>
  <c r="AG33"/>
  <c r="AB33"/>
  <c r="X44" s="1"/>
  <c r="AA33"/>
  <c r="AP33" s="1"/>
  <c r="R39"/>
  <c r="T39" s="1"/>
  <c r="Q39"/>
  <c r="W39" s="1"/>
  <c r="P39"/>
  <c r="BM32"/>
  <c r="BL32"/>
  <c r="BK32"/>
  <c r="BJ32"/>
  <c r="BI32"/>
  <c r="BH32"/>
  <c r="BG32"/>
  <c r="BF32"/>
  <c r="BE32"/>
  <c r="BD32"/>
  <c r="AW32"/>
  <c r="AR32"/>
  <c r="AH32"/>
  <c r="AG32"/>
  <c r="AB32"/>
  <c r="AA32" s="1"/>
  <c r="AD32" s="1"/>
  <c r="R38"/>
  <c r="T38" s="1"/>
  <c r="Q38"/>
  <c r="S38" s="1"/>
  <c r="P38"/>
  <c r="BM31"/>
  <c r="BL31"/>
  <c r="BK31"/>
  <c r="BJ31"/>
  <c r="BI31"/>
  <c r="BH31"/>
  <c r="BG31"/>
  <c r="BF31"/>
  <c r="BE31"/>
  <c r="BD31"/>
  <c r="AW31"/>
  <c r="AR31"/>
  <c r="AH31"/>
  <c r="AG31"/>
  <c r="AB31"/>
  <c r="X53" s="1"/>
  <c r="R31"/>
  <c r="Q31"/>
  <c r="W31" s="1"/>
  <c r="P31"/>
  <c r="BM30"/>
  <c r="BL30"/>
  <c r="BK30"/>
  <c r="BJ30"/>
  <c r="BI30"/>
  <c r="BH30"/>
  <c r="BG30"/>
  <c r="BF30"/>
  <c r="BE30"/>
  <c r="BD30"/>
  <c r="AW30"/>
  <c r="AR30"/>
  <c r="AH30"/>
  <c r="AG30"/>
  <c r="AB30"/>
  <c r="R30"/>
  <c r="T30" s="1"/>
  <c r="Q30"/>
  <c r="S30" s="1"/>
  <c r="P30"/>
  <c r="BM29"/>
  <c r="BL29"/>
  <c r="BK29"/>
  <c r="BJ29"/>
  <c r="BI29"/>
  <c r="BH29"/>
  <c r="BG29"/>
  <c r="BF29"/>
  <c r="BE29"/>
  <c r="BD29"/>
  <c r="AW29"/>
  <c r="AN61" i="16" l="1"/>
  <c r="AN27"/>
  <c r="AR61"/>
  <c r="AR27"/>
  <c r="AL62"/>
  <c r="AL28"/>
  <c r="AP62"/>
  <c r="AP28"/>
  <c r="AR62"/>
  <c r="AR28"/>
  <c r="AL63"/>
  <c r="AL29"/>
  <c r="AP63"/>
  <c r="AP29"/>
  <c r="AT63"/>
  <c r="AT29"/>
  <c r="AL64"/>
  <c r="AL30"/>
  <c r="AP64"/>
  <c r="AP30"/>
  <c r="AT64"/>
  <c r="AT30"/>
  <c r="AK65"/>
  <c r="AK31"/>
  <c r="AO65"/>
  <c r="AO31"/>
  <c r="AS65"/>
  <c r="AS31"/>
  <c r="AK66"/>
  <c r="AK32"/>
  <c r="AM66"/>
  <c r="AM32"/>
  <c r="AO66"/>
  <c r="AO32"/>
  <c r="AQ66"/>
  <c r="AQ32"/>
  <c r="AK61"/>
  <c r="AK27"/>
  <c r="AM61"/>
  <c r="AM27"/>
  <c r="AO61"/>
  <c r="AO27"/>
  <c r="AQ61"/>
  <c r="AQ27"/>
  <c r="AS61"/>
  <c r="AS27"/>
  <c r="AK62"/>
  <c r="AK28"/>
  <c r="AM62"/>
  <c r="AM28"/>
  <c r="AO62"/>
  <c r="AO28"/>
  <c r="AQ62"/>
  <c r="AQ28"/>
  <c r="AS62"/>
  <c r="AS28"/>
  <c r="AK63"/>
  <c r="AK29"/>
  <c r="AM63"/>
  <c r="AM29"/>
  <c r="AO63"/>
  <c r="AO29"/>
  <c r="AQ63"/>
  <c r="AQ29"/>
  <c r="AS63"/>
  <c r="AS29"/>
  <c r="AK64"/>
  <c r="AK30"/>
  <c r="AM64"/>
  <c r="AM30"/>
  <c r="AO64"/>
  <c r="AO30"/>
  <c r="AQ64"/>
  <c r="AQ30"/>
  <c r="AS64"/>
  <c r="AS30"/>
  <c r="AL65"/>
  <c r="AL31"/>
  <c r="AN65"/>
  <c r="AN31"/>
  <c r="AP65"/>
  <c r="AP31"/>
  <c r="AR65"/>
  <c r="AR31"/>
  <c r="AT65"/>
  <c r="AT31"/>
  <c r="AL66"/>
  <c r="AL32"/>
  <c r="AN66"/>
  <c r="AN32"/>
  <c r="AP66"/>
  <c r="AP32"/>
  <c r="AR66"/>
  <c r="AR32"/>
  <c r="AT66"/>
  <c r="AT32"/>
  <c r="AL61"/>
  <c r="AL27"/>
  <c r="AP61"/>
  <c r="AP27"/>
  <c r="AT61"/>
  <c r="AT27"/>
  <c r="AN62"/>
  <c r="AN28"/>
  <c r="AT62"/>
  <c r="AT28"/>
  <c r="AN63"/>
  <c r="AN29"/>
  <c r="AR63"/>
  <c r="AR29"/>
  <c r="AN64"/>
  <c r="AN30"/>
  <c r="AR64"/>
  <c r="AR30"/>
  <c r="AM65"/>
  <c r="AM31"/>
  <c r="AQ65"/>
  <c r="AQ31"/>
  <c r="AS66"/>
  <c r="AS32"/>
  <c r="V30" i="11"/>
  <c r="V38"/>
  <c r="AA34"/>
  <c r="U30"/>
  <c r="AA31"/>
  <c r="AP31" s="1"/>
  <c r="AQ31" s="1"/>
  <c r="U38"/>
  <c r="AA30"/>
  <c r="AD30" s="1"/>
  <c r="X43"/>
  <c r="AA39"/>
  <c r="X47"/>
  <c r="AI35"/>
  <c r="AV38"/>
  <c r="AU38" s="1"/>
  <c r="AT36"/>
  <c r="AS36"/>
  <c r="AS37"/>
  <c r="AT37"/>
  <c r="S39"/>
  <c r="X39"/>
  <c r="AD33"/>
  <c r="AQ33"/>
  <c r="AD34"/>
  <c r="C11" i="15"/>
  <c r="E10" s="1"/>
  <c r="E7"/>
  <c r="BE173"/>
  <c r="C10"/>
  <c r="C30"/>
  <c r="E29" s="1"/>
  <c r="C28"/>
  <c r="C18"/>
  <c r="E17" s="1"/>
  <c r="C16"/>
  <c r="C31"/>
  <c r="C29"/>
  <c r="C19"/>
  <c r="C17"/>
  <c r="E16" s="1"/>
  <c r="AR29" i="11"/>
  <c r="AK29"/>
  <c r="AJ29"/>
  <c r="AH29"/>
  <c r="AG29"/>
  <c r="AF29"/>
  <c r="AE29"/>
  <c r="AA29"/>
  <c r="AL29" s="1"/>
  <c r="R29"/>
  <c r="T29" s="1"/>
  <c r="Q29"/>
  <c r="S29" s="1"/>
  <c r="P29"/>
  <c r="BM28"/>
  <c r="BL28"/>
  <c r="BK28"/>
  <c r="BJ28"/>
  <c r="BI28"/>
  <c r="BH28"/>
  <c r="BG28"/>
  <c r="BF28"/>
  <c r="BE28"/>
  <c r="BD28"/>
  <c r="AW28"/>
  <c r="AK60" i="16" l="1"/>
  <c r="AK26"/>
  <c r="AO60"/>
  <c r="AO26"/>
  <c r="AQ60"/>
  <c r="AQ26"/>
  <c r="AS60"/>
  <c r="AS26"/>
  <c r="AL60"/>
  <c r="AL26"/>
  <c r="AN60"/>
  <c r="AN26"/>
  <c r="AP60"/>
  <c r="AP26"/>
  <c r="AR60"/>
  <c r="AR26"/>
  <c r="AT60"/>
  <c r="AT26"/>
  <c r="AM60"/>
  <c r="AM26"/>
  <c r="V29" i="11"/>
  <c r="AP34"/>
  <c r="AD31"/>
  <c r="AE31"/>
  <c r="AF31" s="1"/>
  <c r="AD29"/>
  <c r="AI29" s="1"/>
  <c r="AU29" s="1"/>
  <c r="AP29"/>
  <c r="AQ29" s="1"/>
  <c r="AV36"/>
  <c r="AU36" s="1"/>
  <c r="AQ34"/>
  <c r="U29"/>
  <c r="AT33"/>
  <c r="AS33"/>
  <c r="AV37"/>
  <c r="AU37" s="1"/>
  <c r="V39"/>
  <c r="U39"/>
  <c r="AD39"/>
  <c r="AT31"/>
  <c r="AS31"/>
  <c r="AR28"/>
  <c r="AH28"/>
  <c r="AG28"/>
  <c r="AS34" l="1"/>
  <c r="AT34"/>
  <c r="AS29"/>
  <c r="AT29"/>
  <c r="AV31"/>
  <c r="AV33"/>
  <c r="AB28"/>
  <c r="X42" s="1"/>
  <c r="AA28"/>
  <c r="AP28" s="1"/>
  <c r="R28"/>
  <c r="T28" s="1"/>
  <c r="Q28"/>
  <c r="W28" s="1"/>
  <c r="P28"/>
  <c r="BM27"/>
  <c r="BL27"/>
  <c r="BK27"/>
  <c r="BJ27"/>
  <c r="BI27"/>
  <c r="BH27"/>
  <c r="BG27"/>
  <c r="BF27"/>
  <c r="BE27"/>
  <c r="BD27"/>
  <c r="AW27"/>
  <c r="AR27"/>
  <c r="AH27"/>
  <c r="AG27"/>
  <c r="AB27"/>
  <c r="AA27" s="1"/>
  <c r="R27"/>
  <c r="T27" s="1"/>
  <c r="Q27"/>
  <c r="W27" s="1"/>
  <c r="P27"/>
  <c r="BM26"/>
  <c r="BL26"/>
  <c r="BK26"/>
  <c r="BJ26"/>
  <c r="BI26"/>
  <c r="BH26"/>
  <c r="BG26"/>
  <c r="BF26"/>
  <c r="BE26"/>
  <c r="BD26"/>
  <c r="R26"/>
  <c r="T26" s="1"/>
  <c r="AH19" s="1"/>
  <c r="Q26"/>
  <c r="S26" s="1"/>
  <c r="P26"/>
  <c r="BM25"/>
  <c r="BL25"/>
  <c r="BK25"/>
  <c r="BJ25"/>
  <c r="BI25"/>
  <c r="BH25"/>
  <c r="BG25"/>
  <c r="BF25"/>
  <c r="BE25"/>
  <c r="BD25"/>
  <c r="R25"/>
  <c r="T25" s="1"/>
  <c r="Q25"/>
  <c r="S25" s="1"/>
  <c r="P25"/>
  <c r="BM24"/>
  <c r="BL24"/>
  <c r="BK24"/>
  <c r="BJ24"/>
  <c r="BI24"/>
  <c r="BH24"/>
  <c r="BG24"/>
  <c r="BF24"/>
  <c r="BE24"/>
  <c r="BD24"/>
  <c r="AR24"/>
  <c r="R24"/>
  <c r="T24" s="1"/>
  <c r="Q24"/>
  <c r="W24" s="1"/>
  <c r="P24"/>
  <c r="BM23"/>
  <c r="BL23"/>
  <c r="BK23"/>
  <c r="BJ23"/>
  <c r="BI23"/>
  <c r="BH23"/>
  <c r="BG23"/>
  <c r="BF23"/>
  <c r="BE23"/>
  <c r="BD23"/>
  <c r="AP23"/>
  <c r="AH23"/>
  <c r="AA23"/>
  <c r="AE23" s="1"/>
  <c r="R23"/>
  <c r="T23" s="1"/>
  <c r="Q23"/>
  <c r="W23" s="1"/>
  <c r="P23"/>
  <c r="BM22"/>
  <c r="BL22"/>
  <c r="BK22"/>
  <c r="BJ22"/>
  <c r="BI22"/>
  <c r="BH22"/>
  <c r="BG22"/>
  <c r="BF22"/>
  <c r="BE22"/>
  <c r="BD22"/>
  <c r="AR22"/>
  <c r="AL22"/>
  <c r="AK22"/>
  <c r="AJ22"/>
  <c r="AF22"/>
  <c r="AE22"/>
  <c r="AB22"/>
  <c r="AA22"/>
  <c r="AD22" s="1"/>
  <c r="R22"/>
  <c r="T22" s="1"/>
  <c r="Q22"/>
  <c r="S22" s="1"/>
  <c r="P22"/>
  <c r="BM21"/>
  <c r="BL21"/>
  <c r="BK21"/>
  <c r="BJ21"/>
  <c r="BI21"/>
  <c r="BH21"/>
  <c r="BG21"/>
  <c r="BF21"/>
  <c r="BE21"/>
  <c r="BD21"/>
  <c r="AR21"/>
  <c r="AP21"/>
  <c r="AH21"/>
  <c r="AA21"/>
  <c r="AE21" s="1"/>
  <c r="R21"/>
  <c r="T21" s="1"/>
  <c r="Q21"/>
  <c r="S21" s="1"/>
  <c r="P21"/>
  <c r="BM20"/>
  <c r="BL20"/>
  <c r="BK20"/>
  <c r="BJ20"/>
  <c r="BI20"/>
  <c r="BH20"/>
  <c r="BG20"/>
  <c r="BF20"/>
  <c r="BE20"/>
  <c r="BD20"/>
  <c r="AR20"/>
  <c r="R20"/>
  <c r="T20" s="1"/>
  <c r="Q20"/>
  <c r="W20" s="1"/>
  <c r="P20"/>
  <c r="BM19"/>
  <c r="BL19"/>
  <c r="BK19"/>
  <c r="BJ19"/>
  <c r="BI19"/>
  <c r="BH19"/>
  <c r="BG19"/>
  <c r="BF19"/>
  <c r="BE19"/>
  <c r="BD19"/>
  <c r="AR19"/>
  <c r="R19"/>
  <c r="T19" s="1"/>
  <c r="Q19"/>
  <c r="W19" s="1"/>
  <c r="P19"/>
  <c r="BM18"/>
  <c r="BL18"/>
  <c r="BK18"/>
  <c r="BJ18"/>
  <c r="BI18"/>
  <c r="BH18"/>
  <c r="BG18"/>
  <c r="BF18"/>
  <c r="BE18"/>
  <c r="BD18"/>
  <c r="AR18"/>
  <c r="R18"/>
  <c r="T18" s="1"/>
  <c r="AH24" s="1"/>
  <c r="Q18"/>
  <c r="S18" s="1"/>
  <c r="P18"/>
  <c r="BM17"/>
  <c r="BL17"/>
  <c r="BK17"/>
  <c r="BJ17"/>
  <c r="BI17"/>
  <c r="BH17"/>
  <c r="BG17"/>
  <c r="BF17"/>
  <c r="BE17"/>
  <c r="BD17"/>
  <c r="AR17"/>
  <c r="R17"/>
  <c r="T17" s="1"/>
  <c r="Q17"/>
  <c r="S17" s="1"/>
  <c r="P17"/>
  <c r="BM16"/>
  <c r="BL16"/>
  <c r="BK16"/>
  <c r="BJ16"/>
  <c r="BI16"/>
  <c r="BH16"/>
  <c r="BG16"/>
  <c r="BF16"/>
  <c r="BE16"/>
  <c r="BD16"/>
  <c r="AR16"/>
  <c r="R16"/>
  <c r="T16" s="1"/>
  <c r="Q16"/>
  <c r="W16" s="1"/>
  <c r="P16"/>
  <c r="BM15"/>
  <c r="BL15"/>
  <c r="BK15"/>
  <c r="BJ15"/>
  <c r="BI15"/>
  <c r="BH15"/>
  <c r="BG15"/>
  <c r="BF15"/>
  <c r="BE15"/>
  <c r="BD15"/>
  <c r="AR15"/>
  <c r="AP15"/>
  <c r="AH15"/>
  <c r="AA15"/>
  <c r="AD15" s="1"/>
  <c r="R15"/>
  <c r="T15" s="1"/>
  <c r="Q15"/>
  <c r="W15" s="1"/>
  <c r="P15"/>
  <c r="BM14"/>
  <c r="BL14"/>
  <c r="BK14"/>
  <c r="BJ14"/>
  <c r="BI14"/>
  <c r="BH14"/>
  <c r="BG14"/>
  <c r="BF14"/>
  <c r="BE14"/>
  <c r="BD14"/>
  <c r="AR14"/>
  <c r="AP14"/>
  <c r="AH14"/>
  <c r="AA14"/>
  <c r="AE14" s="1"/>
  <c r="R14"/>
  <c r="T14" s="1"/>
  <c r="Q14"/>
  <c r="S14" s="1"/>
  <c r="P14"/>
  <c r="BM13"/>
  <c r="BL13"/>
  <c r="BK13"/>
  <c r="BJ13"/>
  <c r="BI13"/>
  <c r="BH13"/>
  <c r="BG13"/>
  <c r="BF13"/>
  <c r="BE13"/>
  <c r="BD13"/>
  <c r="AR13"/>
  <c r="AP13"/>
  <c r="AH13"/>
  <c r="AA13"/>
  <c r="AE13" s="1"/>
  <c r="R13"/>
  <c r="T13" s="1"/>
  <c r="AH20" s="1"/>
  <c r="Q13"/>
  <c r="S13" s="1"/>
  <c r="P13"/>
  <c r="BM12"/>
  <c r="BL12"/>
  <c r="BK12"/>
  <c r="BJ12"/>
  <c r="BI12"/>
  <c r="BH12"/>
  <c r="BG12"/>
  <c r="BF12"/>
  <c r="BE12"/>
  <c r="BD12"/>
  <c r="BC12"/>
  <c r="AR12"/>
  <c r="AA12"/>
  <c r="AD12" s="1"/>
  <c r="AB12" s="1"/>
  <c r="X27" s="1"/>
  <c r="R12"/>
  <c r="T12" s="1"/>
  <c r="Q12"/>
  <c r="W12" s="1"/>
  <c r="P12"/>
  <c r="BM11"/>
  <c r="BL11"/>
  <c r="BK11"/>
  <c r="BJ11"/>
  <c r="BI11"/>
  <c r="BH11"/>
  <c r="BG11"/>
  <c r="BF11"/>
  <c r="BE11"/>
  <c r="BD11"/>
  <c r="AR11"/>
  <c r="R11"/>
  <c r="T11" s="1"/>
  <c r="Q11"/>
  <c r="W11" s="1"/>
  <c r="P11"/>
  <c r="AA17" s="1"/>
  <c r="AM43" i="16" l="1"/>
  <c r="AM9"/>
  <c r="AO43"/>
  <c r="AO9"/>
  <c r="AS43"/>
  <c r="AS9"/>
  <c r="AK44"/>
  <c r="AK10"/>
  <c r="AO44"/>
  <c r="AO10"/>
  <c r="AS44"/>
  <c r="AS10"/>
  <c r="AL45"/>
  <c r="AL11"/>
  <c r="AP45"/>
  <c r="AP11"/>
  <c r="AT45"/>
  <c r="AT11"/>
  <c r="AM46"/>
  <c r="AM12"/>
  <c r="AS46"/>
  <c r="AS12"/>
  <c r="AL43"/>
  <c r="AL9"/>
  <c r="AN43"/>
  <c r="AN9"/>
  <c r="AP43"/>
  <c r="AP9"/>
  <c r="AR43"/>
  <c r="AR9"/>
  <c r="AT43"/>
  <c r="AT9"/>
  <c r="AL44"/>
  <c r="AL10"/>
  <c r="AN44"/>
  <c r="AN10"/>
  <c r="AP44"/>
  <c r="AP10"/>
  <c r="AR44"/>
  <c r="AR10"/>
  <c r="AT44"/>
  <c r="AT10"/>
  <c r="AK45"/>
  <c r="AK11"/>
  <c r="AM45"/>
  <c r="AM11"/>
  <c r="AO45"/>
  <c r="AO11"/>
  <c r="AQ45"/>
  <c r="AQ11"/>
  <c r="AS45"/>
  <c r="AS11"/>
  <c r="AL46"/>
  <c r="AL12"/>
  <c r="AN46"/>
  <c r="AN12"/>
  <c r="AP46"/>
  <c r="AP12"/>
  <c r="AR46"/>
  <c r="AR12"/>
  <c r="AT46"/>
  <c r="AT12"/>
  <c r="AK47"/>
  <c r="AK13"/>
  <c r="AM47"/>
  <c r="AM13"/>
  <c r="AO47"/>
  <c r="AO13"/>
  <c r="AQ47"/>
  <c r="AQ13"/>
  <c r="AS47"/>
  <c r="AS13"/>
  <c r="AK48"/>
  <c r="AK14"/>
  <c r="AM48"/>
  <c r="AM14"/>
  <c r="AO48"/>
  <c r="AO14"/>
  <c r="AQ48"/>
  <c r="AQ14"/>
  <c r="AS48"/>
  <c r="AS14"/>
  <c r="AK49"/>
  <c r="AK15"/>
  <c r="AM49"/>
  <c r="AM15"/>
  <c r="AO49"/>
  <c r="AO15"/>
  <c r="AQ49"/>
  <c r="AQ15"/>
  <c r="AS49"/>
  <c r="AS15"/>
  <c r="AK50"/>
  <c r="AK16"/>
  <c r="AM50"/>
  <c r="AM16"/>
  <c r="AO50"/>
  <c r="AO16"/>
  <c r="AQ50"/>
  <c r="AQ16"/>
  <c r="AS50"/>
  <c r="AS16"/>
  <c r="AK51"/>
  <c r="AK17"/>
  <c r="AM51"/>
  <c r="AM17"/>
  <c r="AO51"/>
  <c r="AO17"/>
  <c r="AQ51"/>
  <c r="AQ17"/>
  <c r="AS51"/>
  <c r="AS17"/>
  <c r="AK52"/>
  <c r="AK18"/>
  <c r="AM52"/>
  <c r="AM18"/>
  <c r="AO52"/>
  <c r="AO18"/>
  <c r="AQ52"/>
  <c r="AQ18"/>
  <c r="AS52"/>
  <c r="AS18"/>
  <c r="AL53"/>
  <c r="AL19"/>
  <c r="AN53"/>
  <c r="AN19"/>
  <c r="AP53"/>
  <c r="AP19"/>
  <c r="AR53"/>
  <c r="AR19"/>
  <c r="AT53"/>
  <c r="AT19"/>
  <c r="AK54"/>
  <c r="AK20"/>
  <c r="AM54"/>
  <c r="AM20"/>
  <c r="AO54"/>
  <c r="AO20"/>
  <c r="AQ54"/>
  <c r="AQ20"/>
  <c r="AS54"/>
  <c r="AS20"/>
  <c r="AK55"/>
  <c r="AK21"/>
  <c r="AM55"/>
  <c r="AM21"/>
  <c r="AO55"/>
  <c r="AO21"/>
  <c r="AQ55"/>
  <c r="AQ21"/>
  <c r="AS55"/>
  <c r="AS21"/>
  <c r="AK56"/>
  <c r="AK22"/>
  <c r="AM56"/>
  <c r="AM22"/>
  <c r="AO56"/>
  <c r="AO22"/>
  <c r="AQ56"/>
  <c r="AQ22"/>
  <c r="AS56"/>
  <c r="AS22"/>
  <c r="AL57"/>
  <c r="AL24"/>
  <c r="AN57"/>
  <c r="AN24"/>
  <c r="AP57"/>
  <c r="AP24"/>
  <c r="AR24"/>
  <c r="AR57"/>
  <c r="AT24"/>
  <c r="AT57"/>
  <c r="AK58"/>
  <c r="AK23"/>
  <c r="AM58"/>
  <c r="AM23"/>
  <c r="AO58"/>
  <c r="AO23"/>
  <c r="AQ58"/>
  <c r="AQ23"/>
  <c r="AS58"/>
  <c r="AS23"/>
  <c r="AK59"/>
  <c r="AK25"/>
  <c r="AM59"/>
  <c r="AM25"/>
  <c r="AO59"/>
  <c r="AO25"/>
  <c r="AQ59"/>
  <c r="AQ25"/>
  <c r="AS59"/>
  <c r="AS25"/>
  <c r="AK43"/>
  <c r="AK9"/>
  <c r="AQ43"/>
  <c r="AQ9"/>
  <c r="AM44"/>
  <c r="AM10"/>
  <c r="AQ44"/>
  <c r="AQ10"/>
  <c r="AN45"/>
  <c r="AN11"/>
  <c r="AR45"/>
  <c r="AR11"/>
  <c r="AK46"/>
  <c r="AK12"/>
  <c r="AO46"/>
  <c r="AO12"/>
  <c r="AQ46"/>
  <c r="AQ12"/>
  <c r="AL47"/>
  <c r="AL13"/>
  <c r="AN47"/>
  <c r="AN13"/>
  <c r="AP47"/>
  <c r="AP13"/>
  <c r="AR47"/>
  <c r="AR13"/>
  <c r="AT47"/>
  <c r="AT13"/>
  <c r="AL48"/>
  <c r="AL14"/>
  <c r="AN48"/>
  <c r="AN14"/>
  <c r="AP48"/>
  <c r="AP14"/>
  <c r="AR48"/>
  <c r="AR14"/>
  <c r="AT48"/>
  <c r="AT14"/>
  <c r="AL49"/>
  <c r="AL15"/>
  <c r="AN49"/>
  <c r="AN15"/>
  <c r="AP49"/>
  <c r="AP15"/>
  <c r="AR49"/>
  <c r="AR15"/>
  <c r="AT49"/>
  <c r="AT15"/>
  <c r="AL50"/>
  <c r="AL16"/>
  <c r="AN50"/>
  <c r="AN16"/>
  <c r="AP50"/>
  <c r="AP16"/>
  <c r="AR50"/>
  <c r="AR16"/>
  <c r="AT50"/>
  <c r="AT16"/>
  <c r="AL51"/>
  <c r="AL17"/>
  <c r="AN51"/>
  <c r="AN17"/>
  <c r="AP51"/>
  <c r="AP17"/>
  <c r="AR51"/>
  <c r="AR17"/>
  <c r="AT51"/>
  <c r="AT17"/>
  <c r="AL52"/>
  <c r="AL18"/>
  <c r="AN52"/>
  <c r="AN18"/>
  <c r="AP52"/>
  <c r="AP18"/>
  <c r="AR52"/>
  <c r="AR18"/>
  <c r="AT52"/>
  <c r="AT18"/>
  <c r="AK53"/>
  <c r="AK19"/>
  <c r="AM53"/>
  <c r="AM19"/>
  <c r="AO53"/>
  <c r="AO19"/>
  <c r="AQ53"/>
  <c r="AQ19"/>
  <c r="AS53"/>
  <c r="AS19"/>
  <c r="AL54"/>
  <c r="AL20"/>
  <c r="AN54"/>
  <c r="AN20"/>
  <c r="AP54"/>
  <c r="AP20"/>
  <c r="AR54"/>
  <c r="AR20"/>
  <c r="AT54"/>
  <c r="AT20"/>
  <c r="AL55"/>
  <c r="AL21"/>
  <c r="AN55"/>
  <c r="AN21"/>
  <c r="AP55"/>
  <c r="AP21"/>
  <c r="AR55"/>
  <c r="AR21"/>
  <c r="AT55"/>
  <c r="AT21"/>
  <c r="AL56"/>
  <c r="AL22"/>
  <c r="AN56"/>
  <c r="AN22"/>
  <c r="AP56"/>
  <c r="AP22"/>
  <c r="AR56"/>
  <c r="AR22"/>
  <c r="AT56"/>
  <c r="AT22"/>
  <c r="AK57"/>
  <c r="AK24"/>
  <c r="AM57"/>
  <c r="AM24"/>
  <c r="AO57"/>
  <c r="AO24"/>
  <c r="AQ57"/>
  <c r="AQ24"/>
  <c r="AS57"/>
  <c r="AS24"/>
  <c r="AL58"/>
  <c r="AL23"/>
  <c r="AN58"/>
  <c r="AN23"/>
  <c r="AP58"/>
  <c r="AP23"/>
  <c r="AR58"/>
  <c r="AR23"/>
  <c r="AT58"/>
  <c r="AT23"/>
  <c r="AL59"/>
  <c r="AL25"/>
  <c r="AN59"/>
  <c r="AN25"/>
  <c r="AP59"/>
  <c r="AP25"/>
  <c r="AR59"/>
  <c r="AR25"/>
  <c r="AT59"/>
  <c r="AT25"/>
  <c r="AA18" i="11"/>
  <c r="AD18" s="1"/>
  <c r="S16"/>
  <c r="U22"/>
  <c r="S24"/>
  <c r="U14"/>
  <c r="AH18"/>
  <c r="AH12"/>
  <c r="AA11"/>
  <c r="AD11" s="1"/>
  <c r="S15"/>
  <c r="V15" s="1"/>
  <c r="U15" s="1"/>
  <c r="AD21"/>
  <c r="AB21" s="1"/>
  <c r="AD23"/>
  <c r="AB23" s="1"/>
  <c r="AF23" s="1"/>
  <c r="S12"/>
  <c r="U12" s="1"/>
  <c r="AD13"/>
  <c r="AB13" s="1"/>
  <c r="AH11"/>
  <c r="V16"/>
  <c r="U16" s="1"/>
  <c r="AD17"/>
  <c r="AB11"/>
  <c r="AB15"/>
  <c r="AB18"/>
  <c r="AD27"/>
  <c r="U13"/>
  <c r="S11"/>
  <c r="U11" s="1"/>
  <c r="AH17"/>
  <c r="AE15"/>
  <c r="AH16"/>
  <c r="AD14"/>
  <c r="AB14" s="1"/>
  <c r="X28"/>
  <c r="AP12" s="1"/>
  <c r="AV29"/>
  <c r="AV34"/>
  <c r="X48"/>
  <c r="AQ28"/>
  <c r="S19"/>
  <c r="V19" s="1"/>
  <c r="U19" s="1"/>
  <c r="S20"/>
  <c r="V20" s="1"/>
  <c r="U20" s="1"/>
  <c r="S23"/>
  <c r="V23" s="1"/>
  <c r="U23" s="1"/>
  <c r="V24"/>
  <c r="U24" s="1"/>
  <c r="S27"/>
  <c r="V27" s="1"/>
  <c r="U27" s="1"/>
  <c r="S28"/>
  <c r="U28" s="1"/>
  <c r="AD28"/>
  <c r="BC13"/>
  <c r="BC14" s="1"/>
  <c r="BC15" s="1"/>
  <c r="BC16" s="1"/>
  <c r="BC17" s="1"/>
  <c r="BC18" s="1"/>
  <c r="BC19" s="1"/>
  <c r="BC20" s="1"/>
  <c r="BC21" s="1"/>
  <c r="BC22" s="1"/>
  <c r="BC23" s="1"/>
  <c r="BE35"/>
  <c r="BG35"/>
  <c r="BI35"/>
  <c r="BK35"/>
  <c r="BM35"/>
  <c r="BD35"/>
  <c r="BF35"/>
  <c r="BH35"/>
  <c r="BJ35"/>
  <c r="BL35"/>
  <c r="F437" i="4"/>
  <c r="F436"/>
  <c r="F430"/>
  <c r="F433" s="1"/>
  <c r="F431"/>
  <c r="AR67" i="16" l="1"/>
  <c r="V12" i="11"/>
  <c r="BC24"/>
  <c r="BC25" s="1"/>
  <c r="BC26" s="1"/>
  <c r="BC27" s="1"/>
  <c r="BC28" s="1"/>
  <c r="BC29" s="1"/>
  <c r="BC30" s="1"/>
  <c r="BC31" s="1"/>
  <c r="BC32" s="1"/>
  <c r="BC33" s="1"/>
  <c r="BC34" s="1"/>
  <c r="X24"/>
  <c r="X20"/>
  <c r="X19"/>
  <c r="X15"/>
  <c r="AB17"/>
  <c r="V28"/>
  <c r="V11"/>
  <c r="AT28"/>
  <c r="AS28"/>
  <c r="AT67" i="16"/>
  <c r="AP67"/>
  <c r="AN67"/>
  <c r="AL67"/>
  <c r="AS67"/>
  <c r="AQ67"/>
  <c r="AO67"/>
  <c r="AM67"/>
  <c r="AK67"/>
  <c r="F432" i="4"/>
  <c r="E426"/>
  <c r="BB8" i="16" s="1"/>
  <c r="E425" i="4"/>
  <c r="BB7" i="16" s="1"/>
  <c r="E424" i="4"/>
  <c r="E420"/>
  <c r="BJ7" i="16" s="1"/>
  <c r="E419" i="4"/>
  <c r="E417"/>
  <c r="F417" s="1"/>
  <c r="E416"/>
  <c r="F416" s="1"/>
  <c r="X23" i="11" l="1"/>
  <c r="X11"/>
  <c r="X12"/>
  <c r="AV28"/>
  <c r="F425" i="4"/>
  <c r="BB41" i="16" s="1"/>
  <c r="E422" i="4"/>
  <c r="E428"/>
  <c r="F428" s="1"/>
  <c r="F424"/>
  <c r="E427"/>
  <c r="F426" s="1"/>
  <c r="BB42" i="16" s="1"/>
  <c r="E407" i="4"/>
  <c r="F401"/>
  <c r="F400"/>
  <c r="E399"/>
  <c r="F399" l="1"/>
  <c r="AI66" i="16"/>
  <c r="AI65"/>
  <c r="AJ66"/>
  <c r="AJ65"/>
  <c r="AI63"/>
  <c r="AI64"/>
  <c r="AJ63"/>
  <c r="AJ64"/>
  <c r="AJ50"/>
  <c r="AJ62"/>
  <c r="AJ43"/>
  <c r="AI45"/>
  <c r="AI47"/>
  <c r="AI49"/>
  <c r="AI51"/>
  <c r="AI53"/>
  <c r="AI55"/>
  <c r="AI57"/>
  <c r="AI59"/>
  <c r="AI61"/>
  <c r="AI44"/>
  <c r="AI46"/>
  <c r="AI48"/>
  <c r="AI50"/>
  <c r="AI52"/>
  <c r="AI54"/>
  <c r="AI56"/>
  <c r="AI58"/>
  <c r="AI60"/>
  <c r="AI62"/>
  <c r="AI43"/>
  <c r="AJ45"/>
  <c r="AJ47"/>
  <c r="AJ49"/>
  <c r="AJ51"/>
  <c r="AJ53"/>
  <c r="AJ55"/>
  <c r="AJ57"/>
  <c r="AJ59"/>
  <c r="AJ61"/>
  <c r="AJ44"/>
  <c r="AJ46"/>
  <c r="AJ48"/>
  <c r="AJ52"/>
  <c r="AJ54"/>
  <c r="AJ56"/>
  <c r="AJ58"/>
  <c r="AJ60"/>
  <c r="CC32"/>
  <c r="CB32"/>
  <c r="CB28"/>
  <c r="CB29"/>
  <c r="CB30"/>
  <c r="CB31"/>
  <c r="CC28"/>
  <c r="CC29"/>
  <c r="CC30"/>
  <c r="CC31"/>
  <c r="CB12"/>
  <c r="CB17"/>
  <c r="CB19"/>
  <c r="CB21"/>
  <c r="CB26"/>
  <c r="CB11"/>
  <c r="CB14"/>
  <c r="CB22"/>
  <c r="CB25"/>
  <c r="CB27"/>
  <c r="CC12"/>
  <c r="CB9"/>
  <c r="CC16"/>
  <c r="CC17"/>
  <c r="CC19"/>
  <c r="CC20"/>
  <c r="CC21"/>
  <c r="CC24"/>
  <c r="CC26"/>
  <c r="CC10"/>
  <c r="CC11"/>
  <c r="CC13"/>
  <c r="CC14"/>
  <c r="CC15"/>
  <c r="CC18"/>
  <c r="CC22"/>
  <c r="CC23"/>
  <c r="CC25"/>
  <c r="CC27"/>
  <c r="CC9"/>
  <c r="CB16"/>
  <c r="CB20"/>
  <c r="CB24"/>
  <c r="CB10"/>
  <c r="CB13"/>
  <c r="CB15"/>
  <c r="CB18"/>
  <c r="CB23"/>
  <c r="AI32"/>
  <c r="AI31"/>
  <c r="AI30"/>
  <c r="AJ29"/>
  <c r="AJ28"/>
  <c r="AJ32"/>
  <c r="AJ31"/>
  <c r="AJ30"/>
  <c r="AI29"/>
  <c r="AI28"/>
  <c r="AI27"/>
  <c r="AJ26"/>
  <c r="AI25"/>
  <c r="AJ24"/>
  <c r="AJ23"/>
  <c r="AI22"/>
  <c r="AI21"/>
  <c r="AI20"/>
  <c r="AJ19"/>
  <c r="AI18"/>
  <c r="AI17"/>
  <c r="AJ16"/>
  <c r="AJ15"/>
  <c r="AJ14"/>
  <c r="AJ13"/>
  <c r="AJ12"/>
  <c r="AJ11"/>
  <c r="AJ10"/>
  <c r="AJ27"/>
  <c r="AI26"/>
  <c r="AJ25"/>
  <c r="AI24"/>
  <c r="AI23"/>
  <c r="AJ22"/>
  <c r="AJ21"/>
  <c r="AJ20"/>
  <c r="AI19"/>
  <c r="AJ18"/>
  <c r="AJ17"/>
  <c r="AI16"/>
  <c r="AI15"/>
  <c r="AI14"/>
  <c r="AI13"/>
  <c r="AI12"/>
  <c r="AI11"/>
  <c r="AI10"/>
  <c r="AI9"/>
  <c r="AJ9"/>
  <c r="CB66"/>
  <c r="CC65"/>
  <c r="CC66"/>
  <c r="CB65"/>
  <c r="CC64"/>
  <c r="CB63"/>
  <c r="CC62"/>
  <c r="CB64"/>
  <c r="CC63"/>
  <c r="CB62"/>
  <c r="CB61"/>
  <c r="CC60"/>
  <c r="CB59"/>
  <c r="CC58"/>
  <c r="CB57"/>
  <c r="CC56"/>
  <c r="CB55"/>
  <c r="CC54"/>
  <c r="CB53"/>
  <c r="CC52"/>
  <c r="CB51"/>
  <c r="CB50"/>
  <c r="CC49"/>
  <c r="CB48"/>
  <c r="CC47"/>
  <c r="CB46"/>
  <c r="CC45"/>
  <c r="CB44"/>
  <c r="CC43"/>
  <c r="CC61"/>
  <c r="CB60"/>
  <c r="CC59"/>
  <c r="CB58"/>
  <c r="CC57"/>
  <c r="CB56"/>
  <c r="CC55"/>
  <c r="CB54"/>
  <c r="CC53"/>
  <c r="CB52"/>
  <c r="CC51"/>
  <c r="CC50"/>
  <c r="CB49"/>
  <c r="CC48"/>
  <c r="CB47"/>
  <c r="CC46"/>
  <c r="CB45"/>
  <c r="CC44"/>
  <c r="CB43"/>
  <c r="F427" i="4"/>
  <c r="E395"/>
  <c r="AI67" i="16" l="1"/>
  <c r="AJ67"/>
  <c r="AI33"/>
  <c r="E402" i="4" s="1"/>
  <c r="CC67" i="16"/>
  <c r="CC33"/>
  <c r="E410" i="4" s="1"/>
  <c r="CB67" i="16"/>
  <c r="AJ33"/>
  <c r="E403" i="4" s="1"/>
  <c r="CB33" i="16"/>
  <c r="E409" i="4" s="1"/>
  <c r="E411" l="1"/>
  <c r="BF7" i="16"/>
  <c r="E412" i="4"/>
  <c r="BF8" i="16"/>
  <c r="E404" i="4"/>
  <c r="F402"/>
  <c r="F410"/>
  <c r="BF42" i="16" s="1"/>
  <c r="E405" i="4"/>
  <c r="F403"/>
  <c r="F409"/>
  <c r="BF41" i="16" s="1"/>
  <c r="C377" i="4"/>
  <c r="F404" l="1"/>
  <c r="F405"/>
  <c r="F411"/>
  <c r="F412"/>
  <c r="E371" l="1"/>
  <c r="C368"/>
  <c r="C373" s="1"/>
  <c r="F359"/>
  <c r="E356"/>
  <c r="E355"/>
  <c r="E353"/>
  <c r="F353" s="1"/>
  <c r="F356" s="1"/>
  <c r="E359" l="1"/>
  <c r="E360" s="1"/>
  <c r="C376"/>
  <c r="C374"/>
  <c r="F354"/>
  <c r="F355"/>
  <c r="E354"/>
  <c r="F360"/>
  <c r="E349" l="1"/>
  <c r="E348"/>
  <c r="E347"/>
  <c r="E345"/>
  <c r="E381" s="1"/>
  <c r="A342"/>
  <c r="A341"/>
  <c r="E338"/>
  <c r="E337"/>
  <c r="E335"/>
  <c r="E336" s="1"/>
  <c r="E330"/>
  <c r="E329"/>
  <c r="E327"/>
  <c r="E328" s="1"/>
  <c r="F327" s="1"/>
  <c r="F330" s="1"/>
  <c r="A324"/>
  <c r="A323"/>
  <c r="E318"/>
  <c r="E317"/>
  <c r="F345" l="1"/>
  <c r="F347" s="1"/>
  <c r="E382"/>
  <c r="E350"/>
  <c r="F328"/>
  <c r="F329"/>
  <c r="E346"/>
  <c r="F349"/>
  <c r="E315"/>
  <c r="E380" s="1"/>
  <c r="E298"/>
  <c r="G286"/>
  <c r="C269"/>
  <c r="F244"/>
  <c r="E244"/>
  <c r="F346" l="1"/>
  <c r="F348"/>
  <c r="F350"/>
  <c r="F381"/>
  <c r="E387"/>
  <c r="F382"/>
  <c r="F380"/>
  <c r="E316"/>
  <c r="E388" l="1"/>
  <c r="F387" s="1"/>
  <c r="F237"/>
  <c r="F239" s="1"/>
  <c r="L41" i="16" s="1"/>
  <c r="E237" i="4"/>
  <c r="F230"/>
  <c r="E239" l="1"/>
  <c r="F240"/>
  <c r="E238"/>
  <c r="F238" l="1"/>
  <c r="E240"/>
  <c r="E203" l="1"/>
  <c r="E201"/>
  <c r="E200"/>
  <c r="E198"/>
  <c r="E197"/>
  <c r="E196"/>
  <c r="E195"/>
  <c r="F193"/>
  <c r="E193" l="1"/>
  <c r="E191"/>
  <c r="E189"/>
  <c r="E188"/>
  <c r="E187"/>
  <c r="E185"/>
  <c r="F182" s="1"/>
  <c r="F178"/>
  <c r="F177" l="1"/>
  <c r="F176"/>
  <c r="F175"/>
  <c r="F173"/>
  <c r="F165" l="1"/>
  <c r="F163" s="1"/>
  <c r="F155"/>
  <c r="E146"/>
  <c r="F146" s="1"/>
  <c r="E145"/>
  <c r="E142"/>
  <c r="F142" s="1"/>
  <c r="E141"/>
  <c r="E139"/>
  <c r="E138"/>
  <c r="F138" s="1"/>
  <c r="I41" i="16" s="1"/>
  <c r="E137" i="4"/>
  <c r="E134"/>
  <c r="F134" s="1"/>
  <c r="E133"/>
  <c r="F133" s="1"/>
  <c r="E132"/>
  <c r="F132" s="1"/>
  <c r="E131"/>
  <c r="F131" s="1"/>
  <c r="E129"/>
  <c r="F129" s="1"/>
  <c r="F123"/>
  <c r="F121"/>
  <c r="F120"/>
  <c r="E111"/>
  <c r="E116" s="1"/>
  <c r="E105"/>
  <c r="E104"/>
  <c r="E103"/>
  <c r="E102"/>
  <c r="E101"/>
  <c r="E100"/>
  <c r="E97"/>
  <c r="F91"/>
  <c r="F92" s="1"/>
  <c r="E91"/>
  <c r="G89"/>
  <c r="E89"/>
  <c r="E87"/>
  <c r="E86"/>
  <c r="C86" s="1"/>
  <c r="E85"/>
  <c r="F55"/>
  <c r="G50"/>
  <c r="E48"/>
  <c r="E47"/>
  <c r="E45"/>
  <c r="E177" s="1"/>
  <c r="E170" s="1"/>
  <c r="E44"/>
  <c r="E43"/>
  <c r="E175" s="1"/>
  <c r="F174" s="1"/>
  <c r="E42"/>
  <c r="E41"/>
  <c r="E173" s="1"/>
  <c r="E39"/>
  <c r="E38"/>
  <c r="E37"/>
  <c r="E35"/>
  <c r="E34"/>
  <c r="E33"/>
  <c r="E32"/>
  <c r="E31"/>
  <c r="E30"/>
  <c r="E29"/>
  <c r="E28"/>
  <c r="E27"/>
  <c r="E26"/>
  <c r="E25"/>
  <c r="E24"/>
  <c r="E23"/>
  <c r="E22"/>
  <c r="E21"/>
  <c r="E20"/>
  <c r="E19"/>
  <c r="E18"/>
  <c r="E17"/>
  <c r="E16"/>
  <c r="E15"/>
  <c r="E14"/>
  <c r="G13"/>
  <c r="E55"/>
  <c r="G12"/>
  <c r="E11"/>
  <c r="E10" s="1"/>
  <c r="E9" s="1"/>
  <c r="E8"/>
  <c r="E76" s="1"/>
  <c r="AG36" i="12"/>
  <c r="AW22" s="1"/>
  <c r="BN12" i="11" s="1"/>
  <c r="AH36" i="12"/>
  <c r="N99" s="1"/>
  <c r="O132" s="1"/>
  <c r="AU44" i="16" l="1"/>
  <c r="AU10"/>
  <c r="F137" i="4"/>
  <c r="J41" i="16" s="1"/>
  <c r="F139" i="4"/>
  <c r="K41" i="16" s="1"/>
  <c r="F141" i="4"/>
  <c r="J42" i="16" s="1"/>
  <c r="F145" i="4"/>
  <c r="K42" i="16" s="1"/>
  <c r="E51" i="4"/>
  <c r="E53"/>
  <c r="E52"/>
  <c r="E54"/>
  <c r="E61"/>
  <c r="AD410" i="21"/>
  <c r="AE410"/>
  <c r="AE411"/>
  <c r="CG36" i="12"/>
  <c r="AW21"/>
  <c r="BN11" i="11" s="1"/>
  <c r="AG69" i="12"/>
  <c r="F18" i="4"/>
  <c r="AB214" i="21"/>
  <c r="AB215" s="1"/>
  <c r="H39"/>
  <c r="E38"/>
  <c r="E44" s="1"/>
  <c r="E37"/>
  <c r="E43" s="1"/>
  <c r="E39"/>
  <c r="C34"/>
  <c r="F33" s="1"/>
  <c r="E15"/>
  <c r="E174" i="4"/>
  <c r="E16" i="21"/>
  <c r="E176" i="4"/>
  <c r="E169" s="1"/>
  <c r="E168" s="1"/>
  <c r="E378"/>
  <c r="E384"/>
  <c r="E178"/>
  <c r="E171" s="1"/>
  <c r="E136"/>
  <c r="F136" s="1"/>
  <c r="E140"/>
  <c r="E148"/>
  <c r="F148" s="1"/>
  <c r="E92"/>
  <c r="E130"/>
  <c r="F130" s="1"/>
  <c r="E147"/>
  <c r="AW37" i="12"/>
  <c r="BN27" i="11" s="1"/>
  <c r="CF37" i="12"/>
  <c r="AW29"/>
  <c r="BN19" i="11" s="1"/>
  <c r="AW41" i="12"/>
  <c r="BN31" i="11" s="1"/>
  <c r="AW33" i="12"/>
  <c r="BN23" i="11" s="1"/>
  <c r="AW25" i="12"/>
  <c r="CF36"/>
  <c r="AW43"/>
  <c r="BN33" i="11" s="1"/>
  <c r="AW39" i="12"/>
  <c r="BN29" i="11" s="1"/>
  <c r="AW35" i="12"/>
  <c r="BN25" i="11" s="1"/>
  <c r="AW31" i="12"/>
  <c r="BN21" i="11" s="1"/>
  <c r="AW27" i="12"/>
  <c r="BN17" i="11" s="1"/>
  <c r="AW23" i="12"/>
  <c r="BN13" i="11" s="1"/>
  <c r="CF35" i="12"/>
  <c r="AW44"/>
  <c r="BN34" i="11" s="1"/>
  <c r="AW42" i="12"/>
  <c r="BN32" i="11" s="1"/>
  <c r="AW40" i="12"/>
  <c r="BN30" i="11" s="1"/>
  <c r="AW38" i="12"/>
  <c r="BN28" i="11" s="1"/>
  <c r="AW36" i="12"/>
  <c r="BN26" i="11" s="1"/>
  <c r="AW34" i="12"/>
  <c r="BN24" i="11" s="1"/>
  <c r="AW32" i="12"/>
  <c r="BN22" i="11" s="1"/>
  <c r="AW30" i="12"/>
  <c r="BN20" i="11" s="1"/>
  <c r="AW28" i="12"/>
  <c r="BN18" i="11" s="1"/>
  <c r="AW26" i="12"/>
  <c r="BN16" i="11" s="1"/>
  <c r="AW24" i="12"/>
  <c r="BN14" i="11" s="1"/>
  <c r="AI36" i="12"/>
  <c r="AL36" s="1"/>
  <c r="BP26" i="11" s="1"/>
  <c r="AX21" i="12"/>
  <c r="BO11" i="11" s="1"/>
  <c r="AH69" i="12"/>
  <c r="AH74"/>
  <c r="AX37"/>
  <c r="BO27" i="11" s="1"/>
  <c r="BE64" i="12"/>
  <c r="CG35"/>
  <c r="CG37"/>
  <c r="AX29"/>
  <c r="BO19" i="11" s="1"/>
  <c r="AX41" i="12"/>
  <c r="BO31" i="11" s="1"/>
  <c r="AX33" i="12"/>
  <c r="AX25"/>
  <c r="BO15" i="11" s="1"/>
  <c r="AX43" i="12"/>
  <c r="BO33" i="11" s="1"/>
  <c r="AX39" i="12"/>
  <c r="AX35"/>
  <c r="AX31"/>
  <c r="AX27"/>
  <c r="AX23"/>
  <c r="AX44"/>
  <c r="AX42"/>
  <c r="AX40"/>
  <c r="AX38"/>
  <c r="AX36"/>
  <c r="AX34"/>
  <c r="AX32"/>
  <c r="AX30"/>
  <c r="AX28"/>
  <c r="AX26"/>
  <c r="AX24"/>
  <c r="AX22"/>
  <c r="F19" i="4"/>
  <c r="E60"/>
  <c r="E62" s="1"/>
  <c r="E70"/>
  <c r="E73"/>
  <c r="E75"/>
  <c r="E108"/>
  <c r="E107" s="1"/>
  <c r="E106" s="1"/>
  <c r="AT14" i="19"/>
  <c r="AJ14"/>
  <c r="AQ13"/>
  <c r="AU14"/>
  <c r="AQ14"/>
  <c r="AK14"/>
  <c r="AI14"/>
  <c r="AV13"/>
  <c r="AT13"/>
  <c r="AM13"/>
  <c r="AI13"/>
  <c r="AI12"/>
  <c r="AV14"/>
  <c r="AM14"/>
  <c r="AU13"/>
  <c r="AJ13"/>
  <c r="E58" i="4"/>
  <c r="E69"/>
  <c r="E71"/>
  <c r="E74"/>
  <c r="E118"/>
  <c r="BE83" i="12" l="1"/>
  <c r="BN8" i="16"/>
  <c r="F147" i="4"/>
  <c r="BN42" i="16" s="1"/>
  <c r="BN7"/>
  <c r="F140" i="4"/>
  <c r="BN41" i="16" s="1"/>
  <c r="BE70" i="12"/>
  <c r="AV65" i="16"/>
  <c r="AV31"/>
  <c r="AW58"/>
  <c r="AW23"/>
  <c r="AU48"/>
  <c r="AU14"/>
  <c r="AU52"/>
  <c r="AU18"/>
  <c r="AU56"/>
  <c r="AU22"/>
  <c r="AU60"/>
  <c r="AU26"/>
  <c r="AU64"/>
  <c r="AU30"/>
  <c r="AU49"/>
  <c r="AU15"/>
  <c r="AU57"/>
  <c r="AU24"/>
  <c r="AU65"/>
  <c r="AU31"/>
  <c r="AU63"/>
  <c r="AU29"/>
  <c r="AV47"/>
  <c r="AV13"/>
  <c r="AV63"/>
  <c r="AV29"/>
  <c r="AV51"/>
  <c r="AV17"/>
  <c r="AV59"/>
  <c r="AV25"/>
  <c r="AV43"/>
  <c r="AV9"/>
  <c r="AU46"/>
  <c r="AU12"/>
  <c r="AU50"/>
  <c r="AU16"/>
  <c r="AU54"/>
  <c r="AU20"/>
  <c r="AU58"/>
  <c r="AU23"/>
  <c r="AU62"/>
  <c r="AU28"/>
  <c r="AU66"/>
  <c r="AU32"/>
  <c r="AU45"/>
  <c r="AU11"/>
  <c r="AU53"/>
  <c r="AU19"/>
  <c r="AU61"/>
  <c r="AU27"/>
  <c r="AU55"/>
  <c r="AU21"/>
  <c r="AU51"/>
  <c r="AU17"/>
  <c r="AU59"/>
  <c r="AU25"/>
  <c r="AU43"/>
  <c r="AU9"/>
  <c r="E167" i="4"/>
  <c r="E166" s="1"/>
  <c r="AB370" i="21"/>
  <c r="AF261"/>
  <c r="AG261"/>
  <c r="AI261"/>
  <c r="AJ261"/>
  <c r="AJ297" s="1"/>
  <c r="AJ298" s="1"/>
  <c r="AH261"/>
  <c r="AH297" s="1"/>
  <c r="AH298" s="1"/>
  <c r="BE79" i="12"/>
  <c r="BF79"/>
  <c r="AI69"/>
  <c r="AK69" s="1"/>
  <c r="O133"/>
  <c r="P77"/>
  <c r="P80"/>
  <c r="P76"/>
  <c r="P79"/>
  <c r="P75"/>
  <c r="P78"/>
  <c r="BE63"/>
  <c r="M16" i="21"/>
  <c r="BL7" i="16" s="1"/>
  <c r="BL41" s="1"/>
  <c r="N16" i="21"/>
  <c r="BL8" i="16" s="1"/>
  <c r="BL42" s="1"/>
  <c r="M15" i="21"/>
  <c r="BH7" i="16" s="1"/>
  <c r="BH41" s="1"/>
  <c r="N15" i="21"/>
  <c r="BH8" i="16" s="1"/>
  <c r="BH42" s="1"/>
  <c r="M39" i="21"/>
  <c r="N39"/>
  <c r="M38"/>
  <c r="M44" s="1"/>
  <c r="N38"/>
  <c r="N44" s="1"/>
  <c r="E117" i="4"/>
  <c r="D117" s="1"/>
  <c r="N37" i="21"/>
  <c r="N43" s="1"/>
  <c r="M37"/>
  <c r="M43" s="1"/>
  <c r="O39"/>
  <c r="O45" s="1"/>
  <c r="N45" s="1"/>
  <c r="P39"/>
  <c r="P45" s="1"/>
  <c r="BE71" i="12"/>
  <c r="BE65"/>
  <c r="BE75"/>
  <c r="BN15" i="11"/>
  <c r="BE67" i="12"/>
  <c r="BE81"/>
  <c r="BE74"/>
  <c r="BE86"/>
  <c r="BF63"/>
  <c r="AL34"/>
  <c r="BP24" i="11" s="1"/>
  <c r="AL29" i="12"/>
  <c r="BP19" i="11" s="1"/>
  <c r="CT24" i="12"/>
  <c r="BE78"/>
  <c r="BE82"/>
  <c r="CT44"/>
  <c r="BE66"/>
  <c r="AL28"/>
  <c r="BP18" i="11" s="1"/>
  <c r="AL22" i="12"/>
  <c r="BP12" i="11" s="1"/>
  <c r="AB71" i="12"/>
  <c r="AZ16" i="11" s="1"/>
  <c r="BF83" i="12"/>
  <c r="AT64"/>
  <c r="CT31"/>
  <c r="BE84"/>
  <c r="CT36"/>
  <c r="CT28"/>
  <c r="CT35"/>
  <c r="BE69"/>
  <c r="AT68"/>
  <c r="AT84"/>
  <c r="BE85"/>
  <c r="AT79"/>
  <c r="AL39"/>
  <c r="BP29" i="11" s="1"/>
  <c r="BE77" i="12"/>
  <c r="AL31"/>
  <c r="BP21" i="11" s="1"/>
  <c r="AL26" i="12"/>
  <c r="BP16" i="11" s="1"/>
  <c r="AL24" i="12"/>
  <c r="BP14" i="11" s="1"/>
  <c r="CT22" i="12"/>
  <c r="CT25"/>
  <c r="CT29"/>
  <c r="CT33"/>
  <c r="CT37"/>
  <c r="CT26"/>
  <c r="BE72"/>
  <c r="BE76"/>
  <c r="BE80"/>
  <c r="AT78"/>
  <c r="AT86"/>
  <c r="AT71"/>
  <c r="AT72"/>
  <c r="AL21"/>
  <c r="BP11" i="11" s="1"/>
  <c r="AL32" i="12"/>
  <c r="BP22" i="11" s="1"/>
  <c r="CT23" i="12"/>
  <c r="CT32"/>
  <c r="CT40"/>
  <c r="BE73"/>
  <c r="AT66"/>
  <c r="AT77"/>
  <c r="AT83"/>
  <c r="AT67"/>
  <c r="AT73"/>
  <c r="AT70"/>
  <c r="AT82"/>
  <c r="AL38"/>
  <c r="BP28" i="11" s="1"/>
  <c r="AT65" i="12"/>
  <c r="AL40"/>
  <c r="BP30" i="11" s="1"/>
  <c r="BF85" i="12"/>
  <c r="AT75"/>
  <c r="AT63"/>
  <c r="AT76"/>
  <c r="AT85"/>
  <c r="AT81"/>
  <c r="AL42"/>
  <c r="BP32" i="11" s="1"/>
  <c r="AL43" i="12"/>
  <c r="BP33" i="11" s="1"/>
  <c r="AL25" i="12"/>
  <c r="BP15" i="11" s="1"/>
  <c r="AL30" i="12"/>
  <c r="BP20" i="11" s="1"/>
  <c r="AT74" i="12"/>
  <c r="AL44"/>
  <c r="BP34" i="11" s="1"/>
  <c r="AL33" i="12"/>
  <c r="BP23" i="11" s="1"/>
  <c r="AL37" i="12"/>
  <c r="BP27" i="11" s="1"/>
  <c r="CT42" i="12"/>
  <c r="CT30"/>
  <c r="CT34"/>
  <c r="CT38"/>
  <c r="CT43"/>
  <c r="CT41"/>
  <c r="CT39"/>
  <c r="AT69"/>
  <c r="AT80"/>
  <c r="AL41"/>
  <c r="BP31" i="11" s="1"/>
  <c r="AL23" i="12"/>
  <c r="BP13" i="11" s="1"/>
  <c r="AL27" i="12"/>
  <c r="BP17" i="11" s="1"/>
  <c r="AL35" i="12"/>
  <c r="BP25" i="11" s="1"/>
  <c r="CT27" i="12"/>
  <c r="BE68"/>
  <c r="BF67"/>
  <c r="BF71"/>
  <c r="CU41"/>
  <c r="BO23" i="11"/>
  <c r="BF75" i="12"/>
  <c r="BO13" i="11"/>
  <c r="BF65" i="12"/>
  <c r="BO21" i="11"/>
  <c r="BF73" i="12"/>
  <c r="BO29" i="11"/>
  <c r="BF81" i="12"/>
  <c r="E64" i="4"/>
  <c r="BO17" i="11"/>
  <c r="BF69" i="12"/>
  <c r="BO25" i="11"/>
  <c r="BF77" i="12"/>
  <c r="BO14" i="11"/>
  <c r="BF66" i="12"/>
  <c r="CU25"/>
  <c r="CU24"/>
  <c r="BO12" i="11"/>
  <c r="BF64" i="12"/>
  <c r="CU22"/>
  <c r="BO16" i="11"/>
  <c r="BF68" i="12"/>
  <c r="CU26"/>
  <c r="BO20" i="11"/>
  <c r="BF72" i="12"/>
  <c r="CU31"/>
  <c r="CU30"/>
  <c r="BO24" i="11"/>
  <c r="BF76" i="12"/>
  <c r="CU35"/>
  <c r="CU34"/>
  <c r="BO28" i="11"/>
  <c r="CU38" i="12"/>
  <c r="BF80"/>
  <c r="BO32" i="11"/>
  <c r="BF84" i="12"/>
  <c r="CU42"/>
  <c r="CU27"/>
  <c r="BO18" i="11"/>
  <c r="BF70" i="12"/>
  <c r="CU28"/>
  <c r="CU29"/>
  <c r="BO22" i="11"/>
  <c r="CU32" i="12"/>
  <c r="BF74"/>
  <c r="CU33"/>
  <c r="BO26" i="11"/>
  <c r="CU36" i="12"/>
  <c r="BF78"/>
  <c r="CU37"/>
  <c r="BO30" i="11"/>
  <c r="BF82" i="12"/>
  <c r="CU40"/>
  <c r="BO34" i="11"/>
  <c r="CU44" i="12"/>
  <c r="BF86"/>
  <c r="CU43"/>
  <c r="CU23"/>
  <c r="CU39"/>
  <c r="Z71" l="1"/>
  <c r="AZ14" i="11" s="1"/>
  <c r="AV58" i="16"/>
  <c r="AV23"/>
  <c r="AV54"/>
  <c r="AV20"/>
  <c r="AV66"/>
  <c r="AV32"/>
  <c r="AV60"/>
  <c r="AV26"/>
  <c r="AV56"/>
  <c r="AV22"/>
  <c r="AV52"/>
  <c r="AV18"/>
  <c r="AV44"/>
  <c r="AV10"/>
  <c r="AV46"/>
  <c r="AV12"/>
  <c r="AV24"/>
  <c r="AV57"/>
  <c r="AV49"/>
  <c r="AV15"/>
  <c r="AW49"/>
  <c r="AW15"/>
  <c r="AW63"/>
  <c r="AW29"/>
  <c r="AW59"/>
  <c r="AW25"/>
  <c r="AW66"/>
  <c r="AW32"/>
  <c r="AW52"/>
  <c r="AW18"/>
  <c r="AW65"/>
  <c r="AW31"/>
  <c r="AW62"/>
  <c r="AW28"/>
  <c r="AW60"/>
  <c r="AW26"/>
  <c r="AW54"/>
  <c r="AW20"/>
  <c r="AW48"/>
  <c r="AW14"/>
  <c r="AW44"/>
  <c r="AW10"/>
  <c r="AW56"/>
  <c r="AW22"/>
  <c r="AU47"/>
  <c r="AU67" s="1"/>
  <c r="AU13"/>
  <c r="AV62"/>
  <c r="AV28"/>
  <c r="AV50"/>
  <c r="AV16"/>
  <c r="AV64"/>
  <c r="AV30"/>
  <c r="AV48"/>
  <c r="AV14"/>
  <c r="AV61"/>
  <c r="AV27"/>
  <c r="AV53"/>
  <c r="AV19"/>
  <c r="AV45"/>
  <c r="AV11"/>
  <c r="AV55"/>
  <c r="AV21"/>
  <c r="AW57"/>
  <c r="AW24"/>
  <c r="AW45"/>
  <c r="AW11"/>
  <c r="AW55"/>
  <c r="AW21"/>
  <c r="AW47"/>
  <c r="AW13"/>
  <c r="AW64"/>
  <c r="AW30"/>
  <c r="AW43"/>
  <c r="AW9"/>
  <c r="AW46"/>
  <c r="AW12"/>
  <c r="AW53"/>
  <c r="AW19"/>
  <c r="AW61"/>
  <c r="AW27"/>
  <c r="AW50"/>
  <c r="AW16"/>
  <c r="AW51"/>
  <c r="AW17"/>
  <c r="BN35" i="11"/>
  <c r="M45" i="21"/>
  <c r="H45" s="1"/>
  <c r="E45" s="1"/>
  <c r="E277" i="4" s="1"/>
  <c r="E279" s="1"/>
  <c r="AC71" i="12"/>
  <c r="AZ17" i="11" s="1"/>
  <c r="W71" i="12"/>
  <c r="AZ11" i="11" s="1"/>
  <c r="AH71" i="12"/>
  <c r="AZ22" i="11" s="1"/>
  <c r="Y71" i="12"/>
  <c r="AZ13" i="11" s="1"/>
  <c r="AE71" i="12"/>
  <c r="AZ19" i="11" s="1"/>
  <c r="AA71" i="12"/>
  <c r="AZ15" i="11" s="1"/>
  <c r="AG71" i="12"/>
  <c r="AZ21" i="11" s="1"/>
  <c r="AF71" i="12"/>
  <c r="AZ20" i="11" s="1"/>
  <c r="AD71" i="12"/>
  <c r="AZ18" i="11" s="1"/>
  <c r="X71" i="12"/>
  <c r="AZ12" i="11" s="1"/>
  <c r="BP35"/>
  <c r="CV45" i="12"/>
  <c r="BO35" i="11"/>
  <c r="E25" i="18"/>
  <c r="E26"/>
  <c r="E113" i="4"/>
  <c r="E115" s="1"/>
  <c r="E181"/>
  <c r="E182" s="1"/>
  <c r="F361"/>
  <c r="AF317" i="21"/>
  <c r="AF315" s="1"/>
  <c r="AF318" s="1"/>
  <c r="E263" i="4"/>
  <c r="E331"/>
  <c r="D30" i="15"/>
  <c r="E30" s="1"/>
  <c r="E364" i="4" s="1"/>
  <c r="E352"/>
  <c r="F352" s="1"/>
  <c r="E282"/>
  <c r="E379"/>
  <c r="F379" s="1"/>
  <c r="E383"/>
  <c r="F383" s="1"/>
  <c r="H58" i="21"/>
  <c r="F335" i="4" s="1"/>
  <c r="E351"/>
  <c r="F351" s="1"/>
  <c r="E283"/>
  <c r="E284"/>
  <c r="F245"/>
  <c r="E334"/>
  <c r="N8" i="16" s="1"/>
  <c r="E333" i="4"/>
  <c r="N7" i="16" s="1"/>
  <c r="E361" i="4"/>
  <c r="E362" s="1"/>
  <c r="E369"/>
  <c r="E370"/>
  <c r="E372"/>
  <c r="F378"/>
  <c r="F384"/>
  <c r="F388"/>
  <c r="F422"/>
  <c r="C375"/>
  <c r="F420"/>
  <c r="BJ41" i="16" s="1"/>
  <c r="E366" i="4"/>
  <c r="E367" s="1"/>
  <c r="F366"/>
  <c r="F364"/>
  <c r="F363"/>
  <c r="F371"/>
  <c r="L7" i="16"/>
  <c r="E265" i="4"/>
  <c r="H7" i="16"/>
  <c r="I7"/>
  <c r="J7"/>
  <c r="K7"/>
  <c r="E266" i="4"/>
  <c r="J8" i="16"/>
  <c r="K8"/>
  <c r="AF265" i="21"/>
  <c r="AF266" s="1"/>
  <c r="AF267" s="1"/>
  <c r="E245" i="4"/>
  <c r="AF122" i="21"/>
  <c r="AF123" s="1"/>
  <c r="AF124" s="1"/>
  <c r="I54" i="20"/>
  <c r="E7" i="17"/>
  <c r="E29" s="1"/>
  <c r="D29"/>
  <c r="C29"/>
  <c r="I59" i="20"/>
  <c r="E12" i="17"/>
  <c r="E34" s="1"/>
  <c r="D34"/>
  <c r="C34"/>
  <c r="I53" i="20"/>
  <c r="E6" i="17"/>
  <c r="E28" s="1"/>
  <c r="D28"/>
  <c r="C28"/>
  <c r="I55" i="20"/>
  <c r="E8" i="17"/>
  <c r="E30" s="1"/>
  <c r="D30"/>
  <c r="C30"/>
  <c r="I60" i="20"/>
  <c r="E13" i="17"/>
  <c r="E35" s="1"/>
  <c r="D35"/>
  <c r="C35"/>
  <c r="I56" i="20"/>
  <c r="E9" i="17"/>
  <c r="E31" s="1"/>
  <c r="D31"/>
  <c r="C31"/>
  <c r="I64" i="20"/>
  <c r="E17" i="17"/>
  <c r="E39" s="1"/>
  <c r="D39"/>
  <c r="C39"/>
  <c r="I61" i="20"/>
  <c r="E14" i="17"/>
  <c r="E36" s="1"/>
  <c r="D36"/>
  <c r="C36"/>
  <c r="I57" i="20"/>
  <c r="E10" i="17"/>
  <c r="E32" s="1"/>
  <c r="D32"/>
  <c r="C32"/>
  <c r="I63" i="20"/>
  <c r="E16" i="17"/>
  <c r="E38" s="1"/>
  <c r="D38"/>
  <c r="C38"/>
  <c r="I62" i="20"/>
  <c r="E15" i="17"/>
  <c r="E37" s="1"/>
  <c r="D37"/>
  <c r="C37"/>
  <c r="AI264" i="21"/>
  <c r="AI265" s="1"/>
  <c r="AI266" s="1"/>
  <c r="AI267" s="1"/>
  <c r="AI279" s="1"/>
  <c r="AH264"/>
  <c r="AH265" s="1"/>
  <c r="AH266" s="1"/>
  <c r="AH267" s="1"/>
  <c r="I58" i="20"/>
  <c r="E11" i="17"/>
  <c r="E33" s="1"/>
  <c r="D33"/>
  <c r="C33"/>
  <c r="AJ264" i="21"/>
  <c r="AJ300" s="1"/>
  <c r="Z40" i="17"/>
  <c r="AG122" i="21"/>
  <c r="AG265"/>
  <c r="AG266" s="1"/>
  <c r="AG267" s="1"/>
  <c r="F54"/>
  <c r="H54" s="1"/>
  <c r="F56"/>
  <c r="H56" s="1"/>
  <c r="F60"/>
  <c r="H60" s="1"/>
  <c r="AJ317"/>
  <c r="AJ315" s="1"/>
  <c r="AJ318" s="1"/>
  <c r="AJ323" s="1"/>
  <c r="AI317"/>
  <c r="AI315" s="1"/>
  <c r="AI318" s="1"/>
  <c r="AI323" s="1"/>
  <c r="AH317"/>
  <c r="AH315" s="1"/>
  <c r="AH318" s="1"/>
  <c r="AH323" s="1"/>
  <c r="AG317"/>
  <c r="AG315" s="1"/>
  <c r="AG318" s="1"/>
  <c r="AG323" s="1"/>
  <c r="J58"/>
  <c r="I58"/>
  <c r="J60"/>
  <c r="I60"/>
  <c r="AI122"/>
  <c r="AH122"/>
  <c r="AI125"/>
  <c r="AH125"/>
  <c r="AK411"/>
  <c r="AI271" l="1"/>
  <c r="AI278"/>
  <c r="AI277"/>
  <c r="AI273"/>
  <c r="AI274"/>
  <c r="AI275"/>
  <c r="AI276"/>
  <c r="AV67" i="16"/>
  <c r="AV33"/>
  <c r="AR33"/>
  <c r="AW33"/>
  <c r="AU33"/>
  <c r="AW67"/>
  <c r="AN33"/>
  <c r="AS33"/>
  <c r="AT33"/>
  <c r="E281" i="4"/>
  <c r="M7" i="16" s="1"/>
  <c r="E389" i="4"/>
  <c r="F389" s="1"/>
  <c r="E278"/>
  <c r="E280" s="1"/>
  <c r="N62" i="20"/>
  <c r="F37" i="17" s="1"/>
  <c r="N63" i="20"/>
  <c r="F38" i="17" s="1"/>
  <c r="N57" i="20"/>
  <c r="F32" i="17" s="1"/>
  <c r="N61" i="20"/>
  <c r="F36" i="17" s="1"/>
  <c r="N64" i="20"/>
  <c r="F39" i="17" s="1"/>
  <c r="N56" i="20"/>
  <c r="F31" i="17" s="1"/>
  <c r="N60" i="20"/>
  <c r="F35" i="17" s="1"/>
  <c r="N55" i="20"/>
  <c r="F30" i="17" s="1"/>
  <c r="N53" i="20"/>
  <c r="F28" i="17" s="1"/>
  <c r="N59" i="20"/>
  <c r="F34" i="17" s="1"/>
  <c r="N54" i="20"/>
  <c r="F29" i="17" s="1"/>
  <c r="N58" i="20"/>
  <c r="F33" i="17" s="1"/>
  <c r="F367" i="4"/>
  <c r="O42" i="16"/>
  <c r="F365" i="4"/>
  <c r="O41" i="16"/>
  <c r="F7"/>
  <c r="BD7"/>
  <c r="BE8"/>
  <c r="F8"/>
  <c r="BD8"/>
  <c r="F331" i="4"/>
  <c r="F333" s="1"/>
  <c r="AG123" i="21"/>
  <c r="AG124" s="1"/>
  <c r="AG125" s="1"/>
  <c r="AG127"/>
  <c r="M8" i="16"/>
  <c r="E268" i="4"/>
  <c r="F370"/>
  <c r="G7" i="16"/>
  <c r="AF127" i="21"/>
  <c r="F362" i="4"/>
  <c r="AJ410" i="21"/>
  <c r="AJ265"/>
  <c r="AJ266" s="1"/>
  <c r="AJ267" s="1"/>
  <c r="J61" i="20"/>
  <c r="K64"/>
  <c r="F17" i="17" s="1"/>
  <c r="AI300" i="21"/>
  <c r="AI303" s="1"/>
  <c r="F372" i="4"/>
  <c r="E373"/>
  <c r="E375" s="1"/>
  <c r="AB372" i="21"/>
  <c r="AI411" s="1"/>
  <c r="F278" i="4" s="1"/>
  <c r="F283" s="1"/>
  <c r="AI311" i="21"/>
  <c r="AI270"/>
  <c r="AI272"/>
  <c r="O8" i="16"/>
  <c r="G8"/>
  <c r="F369" i="4"/>
  <c r="D28" i="15"/>
  <c r="E28" s="1"/>
  <c r="CF33" i="16"/>
  <c r="E421" i="4" s="1"/>
  <c r="E391"/>
  <c r="E397" s="1"/>
  <c r="E302"/>
  <c r="N58" i="21"/>
  <c r="F338" i="4" s="1"/>
  <c r="M58" i="21"/>
  <c r="E385" i="4"/>
  <c r="E386" s="1"/>
  <c r="F386" s="1"/>
  <c r="E27" i="18"/>
  <c r="E161" i="4" s="1"/>
  <c r="BB12" i="11"/>
  <c r="BB17"/>
  <c r="BB15"/>
  <c r="BB18"/>
  <c r="BB13"/>
  <c r="BB19"/>
  <c r="BB14"/>
  <c r="BB21"/>
  <c r="BB22"/>
  <c r="BB11"/>
  <c r="BB16"/>
  <c r="AI70" i="12"/>
  <c r="BB20" i="11"/>
  <c r="J60" i="20"/>
  <c r="K60"/>
  <c r="F13" i="17" s="1"/>
  <c r="J54" i="20"/>
  <c r="K56"/>
  <c r="F9" i="17" s="1"/>
  <c r="F332" i="4"/>
  <c r="F336"/>
  <c r="F337"/>
  <c r="E267"/>
  <c r="E332"/>
  <c r="E184"/>
  <c r="M60" i="21"/>
  <c r="N60"/>
  <c r="M54"/>
  <c r="N54"/>
  <c r="AJ302"/>
  <c r="AJ311"/>
  <c r="AJ309"/>
  <c r="AJ301"/>
  <c r="AJ310"/>
  <c r="AJ304"/>
  <c r="AJ312"/>
  <c r="AJ307"/>
  <c r="AJ306"/>
  <c r="AJ305"/>
  <c r="AJ303"/>
  <c r="AJ308"/>
  <c r="AI269"/>
  <c r="AI282"/>
  <c r="AI295" s="1"/>
  <c r="AI268"/>
  <c r="AJ268"/>
  <c r="AJ282"/>
  <c r="AJ269"/>
  <c r="O56"/>
  <c r="P56"/>
  <c r="AG282"/>
  <c r="AG270"/>
  <c r="AG278"/>
  <c r="AG294" s="1"/>
  <c r="AG311" s="1"/>
  <c r="AG275"/>
  <c r="AG273"/>
  <c r="AG289" s="1"/>
  <c r="AG306" s="1"/>
  <c r="AG271"/>
  <c r="AG276"/>
  <c r="AG292" s="1"/>
  <c r="AG309" s="1"/>
  <c r="AG279"/>
  <c r="AG277"/>
  <c r="AG293" s="1"/>
  <c r="AG310" s="1"/>
  <c r="AG274"/>
  <c r="AG272"/>
  <c r="AG288" s="1"/>
  <c r="AG305" s="1"/>
  <c r="AG269"/>
  <c r="AG268"/>
  <c r="AG284" s="1"/>
  <c r="AG301" s="1"/>
  <c r="AH282"/>
  <c r="AH270"/>
  <c r="AH275"/>
  <c r="AH276"/>
  <c r="AH272"/>
  <c r="AH288" s="1"/>
  <c r="AH278"/>
  <c r="AH277"/>
  <c r="AH273"/>
  <c r="AH271"/>
  <c r="AH287" s="1"/>
  <c r="AH268"/>
  <c r="AH269"/>
  <c r="AH279"/>
  <c r="AH274"/>
  <c r="AH290" s="1"/>
  <c r="AF125"/>
  <c r="V28" i="17"/>
  <c r="V30"/>
  <c r="V32"/>
  <c r="V34"/>
  <c r="V36"/>
  <c r="V38"/>
  <c r="AF270" i="21"/>
  <c r="AF278"/>
  <c r="AF275"/>
  <c r="AF273"/>
  <c r="AF271"/>
  <c r="AF276"/>
  <c r="AF279"/>
  <c r="AF277"/>
  <c r="AF274"/>
  <c r="AF272"/>
  <c r="AF269"/>
  <c r="AF268"/>
  <c r="V29" i="17"/>
  <c r="V31"/>
  <c r="V33"/>
  <c r="V35"/>
  <c r="V37"/>
  <c r="V39"/>
  <c r="AF282" i="21"/>
  <c r="E365" i="4"/>
  <c r="O7" i="16"/>
  <c r="F284" i="4"/>
  <c r="E264"/>
  <c r="E301"/>
  <c r="AK410" i="21"/>
  <c r="AH300"/>
  <c r="J53" i="20"/>
  <c r="J55"/>
  <c r="K62"/>
  <c r="F15" i="17" s="1"/>
  <c r="K58" i="20"/>
  <c r="F11" i="17" s="1"/>
  <c r="K54" i="20"/>
  <c r="F7" i="17" s="1"/>
  <c r="J57" i="20"/>
  <c r="J62"/>
  <c r="J59"/>
  <c r="J64"/>
  <c r="J56"/>
  <c r="K61"/>
  <c r="F14" i="17" s="1"/>
  <c r="K59" i="20"/>
  <c r="F12" i="17" s="1"/>
  <c r="K57" i="20"/>
  <c r="F10" i="17" s="1"/>
  <c r="K55" i="20"/>
  <c r="F8" i="17" s="1"/>
  <c r="K53" i="20"/>
  <c r="F6" i="17" s="1"/>
  <c r="J58" i="20"/>
  <c r="J63"/>
  <c r="K63"/>
  <c r="F16" i="17" s="1"/>
  <c r="AF286" i="21" l="1"/>
  <c r="AF303" s="1"/>
  <c r="AH293"/>
  <c r="AH310" s="1"/>
  <c r="AH291"/>
  <c r="BE7" i="16"/>
  <c r="AI307" i="21"/>
  <c r="AJ274"/>
  <c r="AJ276"/>
  <c r="AJ273"/>
  <c r="AJ289" s="1"/>
  <c r="AJ275"/>
  <c r="AJ291" s="1"/>
  <c r="AJ277"/>
  <c r="AJ293" s="1"/>
  <c r="AE28" i="17"/>
  <c r="AG6"/>
  <c r="AE38"/>
  <c r="AG16"/>
  <c r="AE36"/>
  <c r="AG14"/>
  <c r="AE35"/>
  <c r="AG13"/>
  <c r="AE34"/>
  <c r="AG12"/>
  <c r="AE37"/>
  <c r="AG15"/>
  <c r="AE33"/>
  <c r="AG11"/>
  <c r="AE39"/>
  <c r="AG17"/>
  <c r="AE31"/>
  <c r="AG9"/>
  <c r="AE30"/>
  <c r="AG8"/>
  <c r="AE32"/>
  <c r="AG10"/>
  <c r="AE29"/>
  <c r="AG7"/>
  <c r="AI293" i="21"/>
  <c r="AI312"/>
  <c r="AJ292"/>
  <c r="AI308"/>
  <c r="AI310"/>
  <c r="AQ33" i="16"/>
  <c r="AD38" i="17"/>
  <c r="AD36"/>
  <c r="AD35"/>
  <c r="AD34"/>
  <c r="AD37"/>
  <c r="AD33"/>
  <c r="AD39"/>
  <c r="AD31"/>
  <c r="AD30"/>
  <c r="AD32"/>
  <c r="AD29"/>
  <c r="AM33" i="16"/>
  <c r="E390" i="4"/>
  <c r="F390" s="1"/>
  <c r="AI292" i="21"/>
  <c r="AI301"/>
  <c r="AI305"/>
  <c r="AI304"/>
  <c r="AJ290"/>
  <c r="AI294"/>
  <c r="AI290"/>
  <c r="N41" i="16"/>
  <c r="BV7"/>
  <c r="BV11" s="1"/>
  <c r="F375" i="4"/>
  <c r="F396" s="1"/>
  <c r="E396"/>
  <c r="F421"/>
  <c r="BJ42" i="16" s="1"/>
  <c r="BJ8"/>
  <c r="BW8" s="1"/>
  <c r="BW13" s="1"/>
  <c r="E374" i="4"/>
  <c r="F374" s="1"/>
  <c r="F334"/>
  <c r="N42" i="16" s="1"/>
  <c r="E423" i="4"/>
  <c r="F423" s="1"/>
  <c r="AI410" i="21"/>
  <c r="F277" i="4" s="1"/>
  <c r="AH410" i="21"/>
  <c r="T40" i="17"/>
  <c r="T31"/>
  <c r="T33"/>
  <c r="AA33" s="1"/>
  <c r="T35"/>
  <c r="T37"/>
  <c r="T39"/>
  <c r="T28"/>
  <c r="AA28" s="1"/>
  <c r="T32"/>
  <c r="T34"/>
  <c r="AA34" s="1"/>
  <c r="T36"/>
  <c r="T38"/>
  <c r="T29"/>
  <c r="T30"/>
  <c r="AF137" i="21"/>
  <c r="AF130"/>
  <c r="AF132"/>
  <c r="AF134"/>
  <c r="AF136"/>
  <c r="AF138"/>
  <c r="AF128"/>
  <c r="AF129"/>
  <c r="AF131"/>
  <c r="AF133"/>
  <c r="AF135"/>
  <c r="AF139"/>
  <c r="AG130"/>
  <c r="AG132"/>
  <c r="AG134"/>
  <c r="AG136"/>
  <c r="AG138"/>
  <c r="AG128"/>
  <c r="AG129"/>
  <c r="AG131"/>
  <c r="AG133"/>
  <c r="AG135"/>
  <c r="AG137"/>
  <c r="AG139"/>
  <c r="AG8" i="16"/>
  <c r="AG25" s="1"/>
  <c r="U40" i="17"/>
  <c r="U38"/>
  <c r="AB38" s="1"/>
  <c r="U39"/>
  <c r="AB39" s="1"/>
  <c r="U37"/>
  <c r="AB37" s="1"/>
  <c r="U34"/>
  <c r="AB34" s="1"/>
  <c r="U33"/>
  <c r="AB33" s="1"/>
  <c r="U32"/>
  <c r="AB32" s="1"/>
  <c r="U36"/>
  <c r="AB36" s="1"/>
  <c r="U35"/>
  <c r="AB35" s="1"/>
  <c r="U31"/>
  <c r="AB31" s="1"/>
  <c r="U29"/>
  <c r="AB29" s="1"/>
  <c r="U28"/>
  <c r="AB28" s="1"/>
  <c r="U30"/>
  <c r="AB30" s="1"/>
  <c r="E376" i="4"/>
  <c r="F376" s="1"/>
  <c r="F385"/>
  <c r="AI288" i="21"/>
  <c r="AI287"/>
  <c r="AI289"/>
  <c r="AI291"/>
  <c r="AI286"/>
  <c r="F373" i="4"/>
  <c r="AI302" i="21"/>
  <c r="AI309"/>
  <c r="AI306"/>
  <c r="AJ270"/>
  <c r="AJ286" s="1"/>
  <c r="AJ278"/>
  <c r="AJ294" s="1"/>
  <c r="AJ271"/>
  <c r="AJ287" s="1"/>
  <c r="AJ279"/>
  <c r="AJ295" s="1"/>
  <c r="AJ272"/>
  <c r="AJ288" s="1"/>
  <c r="AH284"/>
  <c r="AH301" s="1"/>
  <c r="AJ285"/>
  <c r="F391" i="4"/>
  <c r="F397" s="1"/>
  <c r="E392"/>
  <c r="F392" s="1"/>
  <c r="AF280" i="21"/>
  <c r="AG280"/>
  <c r="AJ313"/>
  <c r="V40" i="17"/>
  <c r="AF284" i="21"/>
  <c r="AF301" s="1"/>
  <c r="AH295"/>
  <c r="AH312" s="1"/>
  <c r="AH289"/>
  <c r="AH306" s="1"/>
  <c r="AH294"/>
  <c r="AH311" s="1"/>
  <c r="AH292"/>
  <c r="AH309" s="1"/>
  <c r="AH286"/>
  <c r="AH303" s="1"/>
  <c r="AG285"/>
  <c r="AG302" s="1"/>
  <c r="AG290"/>
  <c r="AG307" s="1"/>
  <c r="AG295"/>
  <c r="AG312" s="1"/>
  <c r="AG287"/>
  <c r="AG304" s="1"/>
  <c r="AG291"/>
  <c r="AG308" s="1"/>
  <c r="AJ284"/>
  <c r="AF7" i="16"/>
  <c r="AF9" s="1"/>
  <c r="AI284" i="21"/>
  <c r="AI280"/>
  <c r="AF285"/>
  <c r="AF302" s="1"/>
  <c r="AF290"/>
  <c r="AF307" s="1"/>
  <c r="AF295"/>
  <c r="AF312" s="1"/>
  <c r="AF287"/>
  <c r="AF304" s="1"/>
  <c r="AF291"/>
  <c r="AF308" s="1"/>
  <c r="AH307"/>
  <c r="AH304"/>
  <c r="AH305"/>
  <c r="AH308"/>
  <c r="AH285"/>
  <c r="AH302" s="1"/>
  <c r="AG286"/>
  <c r="AG303" s="1"/>
  <c r="AI285"/>
  <c r="F280" i="4"/>
  <c r="N75" i="20"/>
  <c r="N74"/>
  <c r="N68"/>
  <c r="N67"/>
  <c r="N69"/>
  <c r="N77"/>
  <c r="N71"/>
  <c r="N76"/>
  <c r="N73"/>
  <c r="N72"/>
  <c r="N70"/>
  <c r="N66"/>
  <c r="AF288" i="21"/>
  <c r="AF305" s="1"/>
  <c r="AF293"/>
  <c r="AF310" s="1"/>
  <c r="AF292"/>
  <c r="AF309" s="1"/>
  <c r="AF289"/>
  <c r="AF306" s="1"/>
  <c r="AF294"/>
  <c r="AF311" s="1"/>
  <c r="AH280"/>
  <c r="AG13" i="16" l="1"/>
  <c r="AA38" i="17"/>
  <c r="AA37"/>
  <c r="AD40"/>
  <c r="AA30"/>
  <c r="AA31"/>
  <c r="AA36"/>
  <c r="AA35"/>
  <c r="AA29"/>
  <c r="AA32"/>
  <c r="AA39"/>
  <c r="AK33" i="16"/>
  <c r="AL33"/>
  <c r="AO33"/>
  <c r="AP33"/>
  <c r="AE40" i="17"/>
  <c r="AG18"/>
  <c r="BV16" i="16"/>
  <c r="BV32"/>
  <c r="BV25"/>
  <c r="BV24"/>
  <c r="BV9"/>
  <c r="BV17"/>
  <c r="BV28"/>
  <c r="BV20"/>
  <c r="BV12"/>
  <c r="BV29"/>
  <c r="BV21"/>
  <c r="BV13"/>
  <c r="BW18"/>
  <c r="BW27"/>
  <c r="BW11"/>
  <c r="BV30"/>
  <c r="BV26"/>
  <c r="BV22"/>
  <c r="BV18"/>
  <c r="BV14"/>
  <c r="BV10"/>
  <c r="BV31"/>
  <c r="BV27"/>
  <c r="BV23"/>
  <c r="BV19"/>
  <c r="BV15"/>
  <c r="BW26"/>
  <c r="BW10"/>
  <c r="BW19"/>
  <c r="AG11"/>
  <c r="BW30"/>
  <c r="BW22"/>
  <c r="BW14"/>
  <c r="BW31"/>
  <c r="BW23"/>
  <c r="BW15"/>
  <c r="BW32"/>
  <c r="BW28"/>
  <c r="BW24"/>
  <c r="BW20"/>
  <c r="BW16"/>
  <c r="BW12"/>
  <c r="BW9"/>
  <c r="BW29"/>
  <c r="BW25"/>
  <c r="BW21"/>
  <c r="BW17"/>
  <c r="F282" i="4"/>
  <c r="F281"/>
  <c r="M41" i="16" s="1"/>
  <c r="AG24"/>
  <c r="AG18"/>
  <c r="AG17"/>
  <c r="AG20"/>
  <c r="AG21"/>
  <c r="AG28"/>
  <c r="AG23"/>
  <c r="AG27"/>
  <c r="AG12"/>
  <c r="F279" i="4"/>
  <c r="AF11" i="16"/>
  <c r="AG15"/>
  <c r="AG30"/>
  <c r="AG32"/>
  <c r="AG19"/>
  <c r="AG29"/>
  <c r="AG10"/>
  <c r="AG14"/>
  <c r="AG22"/>
  <c r="AG31"/>
  <c r="AG16"/>
  <c r="AG9"/>
  <c r="AG26"/>
  <c r="AB40" i="17"/>
  <c r="AG140" i="21"/>
  <c r="F315" i="4" s="1"/>
  <c r="AF140" i="21"/>
  <c r="F297" i="4" s="1"/>
  <c r="AF32" i="16"/>
  <c r="AI313" i="21"/>
  <c r="AJ280"/>
  <c r="AF16" i="16"/>
  <c r="AF313" i="21"/>
  <c r="F263" i="4" s="1"/>
  <c r="AG313" i="21"/>
  <c r="AF22" i="16"/>
  <c r="AH313" i="21"/>
  <c r="AF26" i="16"/>
  <c r="AF12"/>
  <c r="AF17"/>
  <c r="AF30"/>
  <c r="AF23"/>
  <c r="AF14"/>
  <c r="AF27"/>
  <c r="AF20"/>
  <c r="E394" i="4"/>
  <c r="AF31" i="16"/>
  <c r="AF24"/>
  <c r="AF15"/>
  <c r="AF10"/>
  <c r="AF21"/>
  <c r="AF29"/>
  <c r="AF28"/>
  <c r="AF19"/>
  <c r="AF13"/>
  <c r="AF25"/>
  <c r="AF18"/>
  <c r="AA40" i="17" l="1"/>
  <c r="H52" i="16" s="1"/>
  <c r="BV33"/>
  <c r="BW33"/>
  <c r="BE42"/>
  <c r="BE41"/>
  <c r="AG33"/>
  <c r="F264" i="4"/>
  <c r="F266"/>
  <c r="F265"/>
  <c r="F298"/>
  <c r="F300"/>
  <c r="G42" i="16" s="1"/>
  <c r="F299" i="4"/>
  <c r="G41" i="16" s="1"/>
  <c r="F318" i="4"/>
  <c r="M42" i="16" s="1"/>
  <c r="F317" i="4"/>
  <c r="F319" s="1"/>
  <c r="E319" s="1"/>
  <c r="F316"/>
  <c r="AF33" i="16"/>
  <c r="CW954" i="22"/>
  <c r="CX954"/>
  <c r="CT954"/>
  <c r="CS954"/>
  <c r="CR954"/>
  <c r="CQ954"/>
  <c r="CP954"/>
  <c r="CO954"/>
  <c r="CN954"/>
  <c r="CM954"/>
  <c r="CL954"/>
  <c r="CK954"/>
  <c r="CJ954"/>
  <c r="CI954"/>
  <c r="CW381"/>
  <c r="CX381"/>
  <c r="CT381"/>
  <c r="CS381"/>
  <c r="CR381"/>
  <c r="CQ381"/>
  <c r="CP381"/>
  <c r="CO381"/>
  <c r="CN381"/>
  <c r="CM381"/>
  <c r="CL381"/>
  <c r="CK381"/>
  <c r="CJ381"/>
  <c r="CI381"/>
  <c r="H66" i="16" l="1"/>
  <c r="H61"/>
  <c r="H54"/>
  <c r="H62"/>
  <c r="H43"/>
  <c r="H49"/>
  <c r="H44"/>
  <c r="H47"/>
  <c r="H65"/>
  <c r="H56"/>
  <c r="H57"/>
  <c r="H58"/>
  <c r="H50"/>
  <c r="H53"/>
  <c r="H45"/>
  <c r="H46"/>
  <c r="H63"/>
  <c r="H55"/>
  <c r="H60"/>
  <c r="H51"/>
  <c r="H48"/>
  <c r="H64"/>
  <c r="H59"/>
  <c r="AE63"/>
  <c r="AE46"/>
  <c r="AE54"/>
  <c r="AE45"/>
  <c r="AE53"/>
  <c r="AE61"/>
  <c r="AE62"/>
  <c r="AE48"/>
  <c r="AE56"/>
  <c r="AE47"/>
  <c r="AE55"/>
  <c r="AE43"/>
  <c r="AE66"/>
  <c r="AE64"/>
  <c r="AE50"/>
  <c r="AE58"/>
  <c r="AE49"/>
  <c r="AE57"/>
  <c r="AE65"/>
  <c r="AE44"/>
  <c r="AE52"/>
  <c r="AE60"/>
  <c r="AE51"/>
  <c r="AE59"/>
  <c r="BD41"/>
  <c r="F41"/>
  <c r="AF41" s="1"/>
  <c r="BD42"/>
  <c r="BW42" s="1"/>
  <c r="BW66" s="1"/>
  <c r="F42"/>
  <c r="AG42" s="1"/>
  <c r="BV41"/>
  <c r="BV50" s="1"/>
  <c r="F267" i="4"/>
  <c r="F268"/>
  <c r="F301"/>
  <c r="F394"/>
  <c r="F302"/>
  <c r="F395"/>
  <c r="F320"/>
  <c r="E320" s="1"/>
  <c r="E34" i="18"/>
  <c r="E162" i="4" s="1"/>
  <c r="E163" s="1"/>
  <c r="E160" s="1"/>
  <c r="E35" i="18" l="1"/>
  <c r="H67" i="16"/>
  <c r="AF64"/>
  <c r="AF55"/>
  <c r="AF50"/>
  <c r="AF66"/>
  <c r="AF57"/>
  <c r="AF48"/>
  <c r="AF60"/>
  <c r="AF51"/>
  <c r="AF44"/>
  <c r="AF54"/>
  <c r="AF45"/>
  <c r="AF61"/>
  <c r="AG46"/>
  <c r="AG45"/>
  <c r="AG61"/>
  <c r="AG44"/>
  <c r="AG60"/>
  <c r="AG59"/>
  <c r="AG50"/>
  <c r="AG49"/>
  <c r="AG66"/>
  <c r="AG48"/>
  <c r="AG47"/>
  <c r="AG65"/>
  <c r="AF56"/>
  <c r="AF47"/>
  <c r="AF63"/>
  <c r="AF58"/>
  <c r="AF49"/>
  <c r="AF65"/>
  <c r="AF52"/>
  <c r="AF43"/>
  <c r="AF59"/>
  <c r="AF46"/>
  <c r="AF62"/>
  <c r="AF53"/>
  <c r="AG62"/>
  <c r="AG54"/>
  <c r="AG53"/>
  <c r="AG63"/>
  <c r="AG52"/>
  <c r="AG51"/>
  <c r="AG43"/>
  <c r="AG58"/>
  <c r="AG57"/>
  <c r="AG64"/>
  <c r="AG56"/>
  <c r="AG55"/>
  <c r="BV62"/>
  <c r="BV61"/>
  <c r="BV54"/>
  <c r="BV47"/>
  <c r="BV51"/>
  <c r="BV46"/>
  <c r="BV57"/>
  <c r="BV65"/>
  <c r="BV43"/>
  <c r="BV58"/>
  <c r="BV66"/>
  <c r="BV53"/>
  <c r="BW45"/>
  <c r="BW49"/>
  <c r="BW53"/>
  <c r="BW57"/>
  <c r="BW61"/>
  <c r="BW65"/>
  <c r="BW44"/>
  <c r="BW48"/>
  <c r="BW52"/>
  <c r="BW56"/>
  <c r="BW60"/>
  <c r="BW64"/>
  <c r="BV55"/>
  <c r="BV59"/>
  <c r="BV63"/>
  <c r="BV44"/>
  <c r="BV48"/>
  <c r="BV52"/>
  <c r="BV56"/>
  <c r="BV60"/>
  <c r="BV64"/>
  <c r="BV45"/>
  <c r="BV49"/>
  <c r="BW47"/>
  <c r="BW51"/>
  <c r="BW55"/>
  <c r="BW59"/>
  <c r="BW63"/>
  <c r="BW43"/>
  <c r="BW46"/>
  <c r="BW50"/>
  <c r="BW54"/>
  <c r="BW58"/>
  <c r="BW62"/>
  <c r="AE67"/>
  <c r="AF67" l="1"/>
  <c r="AG67"/>
  <c r="BW67"/>
  <c r="BV67"/>
  <c r="G74" i="11" l="1"/>
  <c r="AQ15"/>
  <c r="AS15" s="1"/>
  <c r="AF15"/>
  <c r="AJ15" s="1"/>
  <c r="AK15" s="1"/>
  <c r="K74"/>
  <c r="G73"/>
  <c r="AQ14" s="1"/>
  <c r="AF14"/>
  <c r="AJ14" s="1"/>
  <c r="AK14" s="1"/>
  <c r="AF21"/>
  <c r="AJ21" s="1"/>
  <c r="G80"/>
  <c r="G72"/>
  <c r="AQ13" s="1"/>
  <c r="AF13"/>
  <c r="AJ13" s="1"/>
  <c r="AK13" s="1"/>
  <c r="G81"/>
  <c r="AQ21" s="1"/>
  <c r="W45"/>
  <c r="X45" s="1"/>
  <c r="AP39" s="1"/>
  <c r="AQ39" s="1"/>
  <c r="W49"/>
  <c r="X49" s="1"/>
  <c r="AP27" s="1"/>
  <c r="AP30"/>
  <c r="AQ30" s="1"/>
  <c r="W46"/>
  <c r="X46" s="1"/>
  <c r="AP32" s="1"/>
  <c r="AQ32" s="1"/>
  <c r="AP35"/>
  <c r="AQ35" s="1"/>
  <c r="AB16"/>
  <c r="X16" s="1"/>
  <c r="W17"/>
  <c r="G75"/>
  <c r="U49"/>
  <c r="AE27"/>
  <c r="AF27" s="1"/>
  <c r="AJ27" s="1"/>
  <c r="AE28"/>
  <c r="AF28"/>
  <c r="AJ28" s="1"/>
  <c r="AK28" s="1"/>
  <c r="AL28" s="1"/>
  <c r="AE30"/>
  <c r="AF30" s="1"/>
  <c r="AJ30" s="1"/>
  <c r="AK30" s="1"/>
  <c r="AL30" s="1"/>
  <c r="AJ31"/>
  <c r="AK31" s="1"/>
  <c r="AL31" s="1"/>
  <c r="AE32"/>
  <c r="AF32" s="1"/>
  <c r="AJ32" s="1"/>
  <c r="AK32" s="1"/>
  <c r="AL32" s="1"/>
  <c r="AE33"/>
  <c r="AF33" s="1"/>
  <c r="AJ33" s="1"/>
  <c r="AK33" s="1"/>
  <c r="AL33" s="1"/>
  <c r="AE34"/>
  <c r="AF34" s="1"/>
  <c r="AJ34" s="1"/>
  <c r="AK34" s="1"/>
  <c r="AL34" s="1"/>
  <c r="AL35"/>
  <c r="AE39"/>
  <c r="AF39" s="1"/>
  <c r="AJ39" s="1"/>
  <c r="AK39" s="1"/>
  <c r="AL39" s="1"/>
  <c r="AA16"/>
  <c r="AD16" s="1"/>
  <c r="U17"/>
  <c r="AI27"/>
  <c r="AI28"/>
  <c r="AI30"/>
  <c r="AI31"/>
  <c r="AI32"/>
  <c r="AI33"/>
  <c r="AI34"/>
  <c r="AI39"/>
  <c r="AE11"/>
  <c r="AF11" s="1"/>
  <c r="AJ11" s="1"/>
  <c r="G70"/>
  <c r="AE12"/>
  <c r="AF12" s="1"/>
  <c r="AJ12" s="1"/>
  <c r="AK12" s="1"/>
  <c r="G71"/>
  <c r="U18"/>
  <c r="U21"/>
  <c r="AE17"/>
  <c r="AF17" s="1"/>
  <c r="AJ17" s="1"/>
  <c r="AK17" s="1"/>
  <c r="G76"/>
  <c r="U25"/>
  <c r="AE18" s="1"/>
  <c r="AF18" s="1"/>
  <c r="AJ18" s="1"/>
  <c r="AK18" s="1"/>
  <c r="G77"/>
  <c r="AB19"/>
  <c r="AA19"/>
  <c r="AD19" s="1"/>
  <c r="U26"/>
  <c r="G78"/>
  <c r="AB20"/>
  <c r="AA20"/>
  <c r="AE20" s="1"/>
  <c r="G79"/>
  <c r="AD20"/>
  <c r="AJ23"/>
  <c r="AK23" s="1"/>
  <c r="AB24"/>
  <c r="AA24"/>
  <c r="AE24" s="1"/>
  <c r="G83"/>
  <c r="T31"/>
  <c r="AH22" s="1"/>
  <c r="W14"/>
  <c r="X14" s="1"/>
  <c r="AP11" s="1"/>
  <c r="AQ12"/>
  <c r="AS12" s="1"/>
  <c r="W21"/>
  <c r="X21" s="1"/>
  <c r="AP17" s="1"/>
  <c r="AQ17" s="1"/>
  <c r="W22"/>
  <c r="X22" s="1"/>
  <c r="W25"/>
  <c r="X25" s="1"/>
  <c r="W26"/>
  <c r="X26" s="1"/>
  <c r="AP19" s="1"/>
  <c r="AQ19" s="1"/>
  <c r="K78"/>
  <c r="W13"/>
  <c r="X13" s="1"/>
  <c r="AP20" s="1"/>
  <c r="AQ20" s="1"/>
  <c r="AQ23"/>
  <c r="W18"/>
  <c r="X18" s="1"/>
  <c r="AP24" s="1"/>
  <c r="AQ24" s="1"/>
  <c r="BN70"/>
  <c r="BP70" s="1"/>
  <c r="AH40"/>
  <c r="V21"/>
  <c r="V22"/>
  <c r="V14"/>
  <c r="V25"/>
  <c r="V49"/>
  <c r="V13"/>
  <c r="V18"/>
  <c r="AM12"/>
  <c r="AM13"/>
  <c r="AM14"/>
  <c r="AM15"/>
  <c r="V17"/>
  <c r="AM17"/>
  <c r="AM18"/>
  <c r="AM20"/>
  <c r="AM21"/>
  <c r="AM23"/>
  <c r="AM11"/>
  <c r="V26"/>
  <c r="AU35"/>
  <c r="V46"/>
  <c r="V45"/>
  <c r="W62"/>
  <c r="X62" s="1"/>
  <c r="W40"/>
  <c r="X40" s="1"/>
  <c r="V40"/>
  <c r="U40"/>
  <c r="X31"/>
  <c r="S31"/>
  <c r="W38"/>
  <c r="X38" s="1"/>
  <c r="I83"/>
  <c r="M83" s="1"/>
  <c r="O83" s="1"/>
  <c r="L83"/>
  <c r="I79"/>
  <c r="M79" s="1"/>
  <c r="O79" s="1"/>
  <c r="I77"/>
  <c r="M77" s="1"/>
  <c r="O77" s="1"/>
  <c r="I75"/>
  <c r="M75" s="1"/>
  <c r="O75" s="1"/>
  <c r="I73"/>
  <c r="M73" s="1"/>
  <c r="O73" s="1"/>
  <c r="U76"/>
  <c r="AA73" s="1"/>
  <c r="I80"/>
  <c r="M80" s="1"/>
  <c r="O80" s="1"/>
  <c r="I70"/>
  <c r="M70" s="1"/>
  <c r="O70" s="1"/>
  <c r="I78"/>
  <c r="L78" s="1"/>
  <c r="N78" s="1"/>
  <c r="D75"/>
  <c r="U75" s="1"/>
  <c r="AA72" s="1"/>
  <c r="D79"/>
  <c r="U79" s="1"/>
  <c r="AA76" s="1"/>
  <c r="D73"/>
  <c r="U73" s="1"/>
  <c r="AA70" s="1"/>
  <c r="I81"/>
  <c r="M81" s="1"/>
  <c r="O81" s="1"/>
  <c r="I76"/>
  <c r="M76" s="1"/>
  <c r="O76" s="1"/>
  <c r="I74"/>
  <c r="M74" s="1"/>
  <c r="O74" s="1"/>
  <c r="I72"/>
  <c r="M72" s="1"/>
  <c r="O72" s="1"/>
  <c r="L72"/>
  <c r="N72" s="1"/>
  <c r="D78"/>
  <c r="U78" s="1"/>
  <c r="AA75" s="1"/>
  <c r="D71"/>
  <c r="U71" s="1"/>
  <c r="AA68" s="1"/>
  <c r="I71"/>
  <c r="M71" s="1"/>
  <c r="O71" s="1"/>
  <c r="D77"/>
  <c r="U77" s="1"/>
  <c r="AA74" s="1"/>
  <c r="L74"/>
  <c r="N74" s="1"/>
  <c r="L70"/>
  <c r="D70"/>
  <c r="U70" s="1"/>
  <c r="AA67" s="1"/>
  <c r="D80"/>
  <c r="U80" s="1"/>
  <c r="AA77" s="1"/>
  <c r="N83"/>
  <c r="N70"/>
  <c r="X63"/>
  <c r="D72"/>
  <c r="U72" s="1"/>
  <c r="AA69" s="1"/>
  <c r="D74"/>
  <c r="U74" s="1"/>
  <c r="AA71" s="1"/>
  <c r="D81"/>
  <c r="U81" s="1"/>
  <c r="AA78" s="1"/>
  <c r="AN22"/>
  <c r="D83"/>
  <c r="U83"/>
  <c r="AA80" s="1"/>
  <c r="U31" l="1"/>
  <c r="V31"/>
  <c r="AE19"/>
  <c r="AF19" s="1"/>
  <c r="AJ19" s="1"/>
  <c r="AK19" s="1"/>
  <c r="AN19" s="1"/>
  <c r="AO23"/>
  <c r="BQ70" s="1"/>
  <c r="BR70" s="1"/>
  <c r="AN23"/>
  <c r="M78"/>
  <c r="O78" s="1"/>
  <c r="L80"/>
  <c r="N80" s="1"/>
  <c r="AF20"/>
  <c r="AJ20" s="1"/>
  <c r="AK20" s="1"/>
  <c r="AN20" s="1"/>
  <c r="AK21"/>
  <c r="AO21" s="1"/>
  <c r="BQ68" s="1"/>
  <c r="BR68" s="1"/>
  <c r="AU31"/>
  <c r="AO22"/>
  <c r="BQ69" s="1"/>
  <c r="BR69" s="1"/>
  <c r="AP22"/>
  <c r="AQ22" s="1"/>
  <c r="AS22" s="1"/>
  <c r="AH25"/>
  <c r="AM22"/>
  <c r="L71"/>
  <c r="N71" s="1"/>
  <c r="L81"/>
  <c r="N81" s="1"/>
  <c r="AD24"/>
  <c r="AM24" s="1"/>
  <c r="AF24"/>
  <c r="AJ24" s="1"/>
  <c r="AK24" s="1"/>
  <c r="AN24" s="1"/>
  <c r="AI40"/>
  <c r="F228" i="4" s="1"/>
  <c r="F229" s="1"/>
  <c r="AU39" i="11"/>
  <c r="AU33"/>
  <c r="AU32"/>
  <c r="AU28"/>
  <c r="AP18"/>
  <c r="AQ18" s="1"/>
  <c r="AS18" s="1"/>
  <c r="AU34"/>
  <c r="AU30"/>
  <c r="AS17"/>
  <c r="AR23"/>
  <c r="AS23" s="1"/>
  <c r="D82"/>
  <c r="AS24"/>
  <c r="AS20"/>
  <c r="AS19"/>
  <c r="AO19"/>
  <c r="BQ66" s="1"/>
  <c r="BR66" s="1"/>
  <c r="AM19"/>
  <c r="AK27"/>
  <c r="AJ40"/>
  <c r="AT32"/>
  <c r="AS32"/>
  <c r="AQ27"/>
  <c r="AP40"/>
  <c r="AS21"/>
  <c r="AV21" s="1"/>
  <c r="AO14"/>
  <c r="BQ61" s="1"/>
  <c r="BR61" s="1"/>
  <c r="AN14"/>
  <c r="AS14"/>
  <c r="AO15"/>
  <c r="BQ62" s="1"/>
  <c r="BR62" s="1"/>
  <c r="AN15"/>
  <c r="O84"/>
  <c r="AQ11"/>
  <c r="AO18"/>
  <c r="BQ65" s="1"/>
  <c r="BR65" s="1"/>
  <c r="AN18"/>
  <c r="AO17"/>
  <c r="BQ64" s="1"/>
  <c r="BR64" s="1"/>
  <c r="AN17"/>
  <c r="AO12"/>
  <c r="BQ59" s="1"/>
  <c r="BR59" s="1"/>
  <c r="AN12"/>
  <c r="AK11"/>
  <c r="AM16"/>
  <c r="AT35"/>
  <c r="AS35"/>
  <c r="AT30"/>
  <c r="AS30"/>
  <c r="AT39"/>
  <c r="AS39"/>
  <c r="AO13"/>
  <c r="BQ60" s="1"/>
  <c r="BR60" s="1"/>
  <c r="AN13"/>
  <c r="AS13"/>
  <c r="L76"/>
  <c r="N76" s="1"/>
  <c r="L73"/>
  <c r="N73" s="1"/>
  <c r="L75"/>
  <c r="N75" s="1"/>
  <c r="L77"/>
  <c r="N77" s="1"/>
  <c r="L79"/>
  <c r="N79" s="1"/>
  <c r="AE16"/>
  <c r="AF16" s="1"/>
  <c r="AJ16" s="1"/>
  <c r="AK16" s="1"/>
  <c r="X17"/>
  <c r="AP16" s="1"/>
  <c r="AO20" l="1"/>
  <c r="BQ67" s="1"/>
  <c r="BR67" s="1"/>
  <c r="BS67" s="1"/>
  <c r="AN21"/>
  <c r="AO24"/>
  <c r="BQ71" s="1"/>
  <c r="BR71" s="1"/>
  <c r="BS71" s="1"/>
  <c r="AG12"/>
  <c r="AL12" s="1"/>
  <c r="BS59"/>
  <c r="BW59"/>
  <c r="AG18"/>
  <c r="AI18" s="1"/>
  <c r="BS65"/>
  <c r="BW65"/>
  <c r="AG15"/>
  <c r="AL15" s="1"/>
  <c r="BW62"/>
  <c r="BS62"/>
  <c r="AG14"/>
  <c r="AI14" s="1"/>
  <c r="BS61"/>
  <c r="BW61"/>
  <c r="AG19"/>
  <c r="AT19" s="1"/>
  <c r="AV19" s="1"/>
  <c r="BW66"/>
  <c r="BS66"/>
  <c r="AG23"/>
  <c r="AL23" s="1"/>
  <c r="BW70"/>
  <c r="BS70"/>
  <c r="AG13"/>
  <c r="AI13" s="1"/>
  <c r="BW60"/>
  <c r="BS60"/>
  <c r="AG17"/>
  <c r="AI17" s="1"/>
  <c r="BW64"/>
  <c r="BS64"/>
  <c r="AG22"/>
  <c r="AI22" s="1"/>
  <c r="BS69"/>
  <c r="BW69"/>
  <c r="AG21"/>
  <c r="AI21" s="1"/>
  <c r="AU21" s="1"/>
  <c r="BW68"/>
  <c r="BS68"/>
  <c r="AV32"/>
  <c r="N84"/>
  <c r="N85" s="1"/>
  <c r="AQ16"/>
  <c r="AQ25" s="1"/>
  <c r="AP25"/>
  <c r="M85"/>
  <c r="AO11"/>
  <c r="BQ58" s="1"/>
  <c r="BR58" s="1"/>
  <c r="AN11"/>
  <c r="AK25"/>
  <c r="AO16"/>
  <c r="BQ63" s="1"/>
  <c r="BR63" s="1"/>
  <c r="AN16"/>
  <c r="E230" i="4"/>
  <c r="AV35" i="11"/>
  <c r="AS11"/>
  <c r="AT27"/>
  <c r="AT40" s="1"/>
  <c r="E226" i="4" s="1"/>
  <c r="AS27" i="11"/>
  <c r="AQ40"/>
  <c r="AK40"/>
  <c r="AL27"/>
  <c r="AV39"/>
  <c r="AV30"/>
  <c r="AJ25"/>
  <c r="O85"/>
  <c r="AG20" l="1"/>
  <c r="AI20" s="1"/>
  <c r="BW67"/>
  <c r="AI15"/>
  <c r="AU15" s="1"/>
  <c r="AU22"/>
  <c r="AL17"/>
  <c r="AU17" s="1"/>
  <c r="AI12"/>
  <c r="AU12" s="1"/>
  <c r="AG24"/>
  <c r="AI24" s="1"/>
  <c r="AT18"/>
  <c r="AV18" s="1"/>
  <c r="AL13"/>
  <c r="AU13" s="1"/>
  <c r="BW71"/>
  <c r="AT15"/>
  <c r="AV15" s="1"/>
  <c r="AL19"/>
  <c r="AT12"/>
  <c r="AV12" s="1"/>
  <c r="AT13"/>
  <c r="AV13" s="1"/>
  <c r="AI19"/>
  <c r="AT22"/>
  <c r="AV22" s="1"/>
  <c r="AL14"/>
  <c r="AU14" s="1"/>
  <c r="AT21"/>
  <c r="AT17"/>
  <c r="AV17" s="1"/>
  <c r="AL18"/>
  <c r="AU18" s="1"/>
  <c r="AL21"/>
  <c r="AT14"/>
  <c r="AV14" s="1"/>
  <c r="AG11"/>
  <c r="AI11" s="1"/>
  <c r="BS58"/>
  <c r="BW58" s="1"/>
  <c r="AG16"/>
  <c r="AI16" s="1"/>
  <c r="F231" i="4" s="1"/>
  <c r="BS63" i="11"/>
  <c r="BW63"/>
  <c r="AT23"/>
  <c r="AV23" s="1"/>
  <c r="AI23"/>
  <c r="AU23" s="1"/>
  <c r="AS40"/>
  <c r="E228" i="4" s="1"/>
  <c r="E229" s="1"/>
  <c r="AV27" i="11"/>
  <c r="AV40" s="1"/>
  <c r="AL40"/>
  <c r="F226" i="4" s="1"/>
  <c r="AU27" i="11"/>
  <c r="AU40" s="1"/>
  <c r="E227" i="4"/>
  <c r="AS16" i="11"/>
  <c r="AS25" s="1"/>
  <c r="AL20" l="1"/>
  <c r="AU20" s="1"/>
  <c r="AT20"/>
  <c r="AV20" s="1"/>
  <c r="E220" i="4"/>
  <c r="AL24" i="11"/>
  <c r="AU24" s="1"/>
  <c r="AT24"/>
  <c r="AV24" s="1"/>
  <c r="AU19"/>
  <c r="AI25"/>
  <c r="AT16"/>
  <c r="AV16" s="1"/>
  <c r="H67" s="1"/>
  <c r="AL16"/>
  <c r="AU16" s="1"/>
  <c r="E222" i="4" s="1"/>
  <c r="F222" s="1"/>
  <c r="AL11" i="11"/>
  <c r="AU11" s="1"/>
  <c r="AT11"/>
  <c r="AV11" s="1"/>
  <c r="E233" i="4"/>
  <c r="E231"/>
  <c r="E232" s="1"/>
  <c r="F227"/>
  <c r="F233" s="1"/>
  <c r="F232"/>
  <c r="AU47" i="11"/>
  <c r="F220" i="4" l="1"/>
  <c r="AU25" i="11"/>
  <c r="AL25"/>
  <c r="AT25"/>
  <c r="AV25"/>
  <c r="H66"/>
  <c r="AU44" l="1"/>
  <c r="F223" i="4"/>
  <c r="E223" l="1"/>
  <c r="F218"/>
  <c r="F224" s="1"/>
  <c r="E218"/>
  <c r="E224" s="1"/>
  <c r="W29" i="11"/>
  <c r="X29"/>
  <c r="W30"/>
  <c r="X30"/>
</calcChain>
</file>

<file path=xl/comments1.xml><?xml version="1.0" encoding="utf-8"?>
<comments xmlns="http://schemas.openxmlformats.org/spreadsheetml/2006/main">
  <authors>
    <author>Eric Wilson</author>
  </authors>
  <commentList>
    <comment ref="F11" authorId="0">
      <text>
        <r>
          <rPr>
            <sz val="8"/>
            <color indexed="81"/>
            <rFont val="Tahoma"/>
            <family val="2"/>
          </rPr>
          <t>"A single-family home is contained within walls that go from the basement or the ground floor (if there is no basement) to the roof. 
A single-family attached home is defined as a single-family home with one or more stories that shares one or more walls with another unit. The single-family attached home definition includes, but is not limited to, duplexes, row houses, and townhomes.
A multi-family home (or multi-family building) has at least five housing units. Each multi-family housing unit must share at least a floor or a ceiling with another unit. Also, there may be no more than three stories for a given multifamily building; otherwise, it is considered a commercial building, which is outside the scope of this document." 
(Building America House Simulation Protocols, p.4)</t>
        </r>
      </text>
    </comment>
    <comment ref="F35" authorId="0">
      <text>
        <r>
          <rPr>
            <sz val="10"/>
            <color indexed="81"/>
            <rFont val="Tahoma"/>
            <family val="2"/>
          </rPr>
          <t>Enter '0' for detached single family.</t>
        </r>
      </text>
    </comment>
    <comment ref="E50" authorId="0">
      <text>
        <r>
          <rPr>
            <sz val="8"/>
            <color indexed="81"/>
            <rFont val="Tahoma"/>
            <family val="2"/>
          </rPr>
          <t>Either of two approaches may be used to achieve solar neutrality for the Benchmark: 
o Option 1: The calculated window area (see Equations 1 and 2) is distributed with the same proportion on each wall and on each floor as the NCTH. The energy use is calculated with the Benchmark house in each of four orientations rotated in 90- degree increments relative to the NCTH orientation (+0 degrees, +90 degrees, +180 degrees, +270 degrees), and the average of these four cases is used to represent the energy use of the Benchmark.
o Option 2: The window area is distributed equally on each of the four walls (including attached walls), and the orientation of the Benchmark is the same as the NCTH.</t>
        </r>
      </text>
    </comment>
    <comment ref="E100" authorId="0">
      <text>
        <r>
          <rPr>
            <sz val="8"/>
            <color indexed="81"/>
            <rFont val="Tahoma"/>
            <family val="2"/>
          </rPr>
          <t>Thermal envelope includes everything within the insulation boundary. If the space between a basement and the living area is insulated, or there is no insulation at either the walls or ceiling of the basement, the basement is considered outside of the thermal envelope and ducts within that space have R-6 insulation.</t>
        </r>
      </text>
    </comment>
    <comment ref="E153" authorId="0">
      <text>
        <r>
          <rPr>
            <sz val="8"/>
            <color indexed="81"/>
            <rFont val="Tahoma"/>
            <family val="2"/>
          </rPr>
          <t>The B10 Benchmark pipe layout is based on 2010 ft2 NCTH house layout developed by Davis Energy Group for CEC (DEG 2006).</t>
        </r>
      </text>
    </comment>
    <comment ref="F160" authorId="0">
      <text>
        <r>
          <rPr>
            <b/>
            <sz val="8"/>
            <color indexed="81"/>
            <rFont val="Tahoma"/>
            <family val="2"/>
          </rPr>
          <t>From blower door test</t>
        </r>
      </text>
    </comment>
    <comment ref="F185" authorId="0">
      <text>
        <r>
          <rPr>
            <sz val="8"/>
            <color indexed="81"/>
            <rFont val="Tahoma"/>
            <family val="2"/>
          </rPr>
          <t>If there is only a recirculating fan and no exhaust to the outside, enter '0' cfm here.
If kitchen ventilation is accomplished with the whole-house ventilation system, enter the increase in cfm provided by a booster switch in the kitchen, if any.</t>
        </r>
      </text>
    </comment>
    <comment ref="F188" authorId="0">
      <text>
        <r>
          <rPr>
            <sz val="8"/>
            <color indexed="81"/>
            <rFont val="Tahoma"/>
            <family val="2"/>
          </rPr>
          <t>If bathroom ventilation is accomplished with the whole-house ventilation system, enter the increase in cfm provided by a booster switch in the bathroom, if any.</t>
        </r>
      </text>
    </comment>
    <comment ref="F193" authorId="0">
      <text>
        <r>
          <rPr>
            <sz val="8"/>
            <color indexed="81"/>
            <rFont val="Tahoma"/>
            <family val="2"/>
          </rPr>
          <t>Complete Clothes Dryer section. If builder is not providing a clothes dryer or the specifications are not know, 100 cfm must be used for the dryer exhaust flow rate.</t>
        </r>
      </text>
    </comment>
    <comment ref="F203" authorId="0">
      <text>
        <r>
          <rPr>
            <sz val="8"/>
            <color indexed="81"/>
            <rFont val="Tahoma"/>
            <family val="2"/>
          </rPr>
          <t>"If the project is a multi-family housing complex, Option 2 must be used."</t>
        </r>
      </text>
    </comment>
    <comment ref="F256" authorId="0">
      <text>
        <r>
          <rPr>
            <sz val="8"/>
            <color indexed="81"/>
            <rFont val="Tahoma"/>
            <family val="2"/>
          </rPr>
          <t>Assumes 120°F inlet rather than 140°F inlet</t>
        </r>
      </text>
    </comment>
    <comment ref="F257" authorId="0">
      <text>
        <r>
          <rPr>
            <sz val="8"/>
            <color indexed="81"/>
            <rFont val="Tahoma"/>
            <family val="2"/>
          </rPr>
          <t>Electric heating element in washer used to achieve mixed temperature under the NCTH operating conditions.  Cannot be used in conjunction with thermostatic control valves.</t>
        </r>
      </text>
    </comment>
    <comment ref="F258" authorId="0">
      <text>
        <r>
          <rPr>
            <sz val="8"/>
            <color indexed="81"/>
            <rFont val="Tahoma"/>
            <family val="2"/>
          </rPr>
          <t>*** Cold water inlet only, for example, Asko machines.  Total water consumption under DOE test conditions must be known, input below.</t>
        </r>
      </text>
    </comment>
    <comment ref="E263" authorId="0">
      <text>
        <r>
          <rPr>
            <sz val="8"/>
            <color indexed="81"/>
            <rFont val="Tahoma"/>
            <family val="2"/>
          </rPr>
          <t>**For common area, assumes the usual benchmark equation, but uses 1.56 bedrooms (Nat'l avg. for multifamily - 1997 RECS (DOE 1999)).</t>
        </r>
      </text>
    </comment>
    <comment ref="F263" authorId="0">
      <text>
        <r>
          <rPr>
            <sz val="8"/>
            <color indexed="81"/>
            <rFont val="Tahoma"/>
            <family val="2"/>
          </rPr>
          <t>**For common area, assumes 2.16 cycles per week per unit (NRC 2002)</t>
        </r>
      </text>
    </comment>
    <comment ref="F274" authorId="0">
      <text>
        <r>
          <rPr>
            <sz val="8"/>
            <color indexed="81"/>
            <rFont val="Tahoma"/>
            <family val="2"/>
          </rPr>
          <t>**** Dryer operation is terminated with a moisture sensor or temperature sensor rather than a timer</t>
        </r>
      </text>
    </comment>
    <comment ref="E277" authorId="0">
      <text>
        <r>
          <rPr>
            <sz val="8"/>
            <color indexed="81"/>
            <rFont val="Tahoma"/>
            <family val="2"/>
          </rPr>
          <t>**For common area, assumes the usual benchmark equation, but uses 1.56 bedrooms (Nat'l avg. for multifamily - 1997 RECS (DOE 1999)).</t>
        </r>
      </text>
    </comment>
    <comment ref="F277" authorId="0">
      <text>
        <r>
          <rPr>
            <sz val="8"/>
            <color indexed="81"/>
            <rFont val="Tahoma"/>
            <family val="2"/>
          </rPr>
          <t>**For common area, assumes 2.16 cycles per week per unit (NRC 2002)</t>
        </r>
      </text>
    </comment>
    <comment ref="F293"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294" authorId="0">
      <text>
        <r>
          <rPr>
            <sz val="8"/>
            <color indexed="81"/>
            <rFont val="Tahoma"/>
            <family val="2"/>
          </rPr>
          <t>****** Cold water inlet only, for example, Asko machines.  Total water consumption under DOE test conditions must be known.</t>
        </r>
      </text>
    </comment>
    <comment ref="F311" authorId="0">
      <text>
        <r>
          <rPr>
            <sz val="8"/>
            <color indexed="81"/>
            <rFont val="Tahoma"/>
            <family val="2"/>
          </rPr>
          <t>***** Machine includes an internal electric heater to adjust water temperature from the supplied hot water temperature.  The test procedure assumes ∆T = 70ºF if dishwasher boosts from 120ºF to 140ºF; 90ºF if dishwasher does not boost.</t>
        </r>
      </text>
    </comment>
    <comment ref="F312" authorId="0">
      <text>
        <r>
          <rPr>
            <sz val="8"/>
            <color indexed="81"/>
            <rFont val="Tahoma"/>
            <family val="2"/>
          </rPr>
          <t>****** Cold water inlet only, for example, Asko machines.  Total water consumption under DOE test conditions must be known.</t>
        </r>
      </text>
    </comment>
    <comment ref="F413" authorId="0">
      <text>
        <r>
          <rPr>
            <sz val="8"/>
            <color indexed="81"/>
            <rFont val="Tahoma"/>
            <family val="2"/>
          </rPr>
          <t>(Partial person is due to a maximum of 2 people per hour at 10 minutes each)</t>
        </r>
      </text>
    </comment>
  </commentList>
</comments>
</file>

<file path=xl/comments2.xml><?xml version="1.0" encoding="utf-8"?>
<comments xmlns="http://schemas.openxmlformats.org/spreadsheetml/2006/main">
  <authors>
    <author>Eric Wilson</author>
  </authors>
  <commentList>
    <comment ref="F18" authorId="0">
      <text>
        <r>
          <rPr>
            <b/>
            <sz val="8"/>
            <color indexed="81"/>
            <rFont val="Tahoma"/>
            <family val="2"/>
          </rPr>
          <t>Eric Wilson:</t>
        </r>
        <r>
          <rPr>
            <sz val="8"/>
            <color indexed="81"/>
            <rFont val="Tahoma"/>
            <family val="2"/>
          </rPr>
          <t xml:space="preserve">
SEER to make EER=9.0</t>
        </r>
      </text>
    </comment>
  </commentList>
</comments>
</file>

<file path=xl/comments3.xml><?xml version="1.0" encoding="utf-8"?>
<comments xmlns="http://schemas.openxmlformats.org/spreadsheetml/2006/main">
  <authors>
    <author>bhendron</author>
    <author>Eric Wilson</author>
  </authors>
  <commentList>
    <comment ref="AH25" authorId="0">
      <text>
        <r>
          <rPr>
            <b/>
            <sz val="10"/>
            <color indexed="81"/>
            <rFont val="Tahoma"/>
            <family val="2"/>
          </rPr>
          <t>bhendron:</t>
        </r>
        <r>
          <rPr>
            <sz val="10"/>
            <color indexed="81"/>
            <rFont val="Tahoma"/>
            <family val="2"/>
          </rPr>
          <t xml:space="preserve">
Corrected the useful cooking energy</t>
        </r>
      </text>
    </comment>
    <comment ref="AI26" authorId="0">
      <text>
        <r>
          <rPr>
            <b/>
            <sz val="10"/>
            <color indexed="81"/>
            <rFont val="Tahoma"/>
            <family val="2"/>
          </rPr>
          <t>bhendron:</t>
        </r>
        <r>
          <rPr>
            <sz val="10"/>
            <color indexed="81"/>
            <rFont val="Tahoma"/>
            <family val="2"/>
          </rPr>
          <t xml:space="preserve">
Corrected the useful cooking energy</t>
        </r>
      </text>
    </comment>
    <comment ref="AG119" authorId="1">
      <text>
        <r>
          <rPr>
            <b/>
            <sz val="8"/>
            <color indexed="81"/>
            <rFont val="Tahoma"/>
            <family val="2"/>
          </rPr>
          <t>Assumption: 1 cycle per week</t>
        </r>
      </text>
    </comment>
  </commentList>
</comments>
</file>

<file path=xl/comments4.xml><?xml version="1.0" encoding="utf-8"?>
<comments xmlns="http://schemas.openxmlformats.org/spreadsheetml/2006/main">
  <authors>
    <author>Bob</author>
  </authors>
  <commentList>
    <comment ref="L26" authorId="0">
      <text>
        <r>
          <rPr>
            <b/>
            <sz val="8"/>
            <color indexed="81"/>
            <rFont val="Tahoma"/>
            <family val="2"/>
          </rPr>
          <t>Bob:</t>
        </r>
        <r>
          <rPr>
            <sz val="8"/>
            <color indexed="81"/>
            <rFont val="Tahoma"/>
            <family val="2"/>
          </rPr>
          <t xml:space="preserve">
Completely new tab</t>
        </r>
      </text>
    </comment>
  </commentList>
</comments>
</file>

<file path=xl/comments5.xml><?xml version="1.0" encoding="utf-8"?>
<comments xmlns="http://schemas.openxmlformats.org/spreadsheetml/2006/main">
  <authors>
    <author>Bob</author>
  </authors>
  <commentList>
    <comment ref="D2" authorId="0">
      <text>
        <r>
          <rPr>
            <b/>
            <sz val="8"/>
            <color indexed="81"/>
            <rFont val="Tahoma"/>
            <family val="2"/>
          </rPr>
          <t>Bob:</t>
        </r>
        <r>
          <rPr>
            <sz val="8"/>
            <color indexed="81"/>
            <rFont val="Tahoma"/>
            <family val="2"/>
          </rPr>
          <t xml:space="preserve">
Completely new tab</t>
        </r>
      </text>
    </comment>
  </commentList>
</comments>
</file>

<file path=xl/sharedStrings.xml><?xml version="1.0" encoding="utf-8"?>
<sst xmlns="http://schemas.openxmlformats.org/spreadsheetml/2006/main" count="16699" uniqueCount="6519">
  <si>
    <t>Total Usage</t>
  </si>
  <si>
    <t>Site Generation</t>
  </si>
  <si>
    <t>Net Energy Use</t>
  </si>
  <si>
    <t>Added Annual Mortgage Cost w/o Site Gen.</t>
  </si>
  <si>
    <t>Dishwasher Latent Load</t>
  </si>
  <si>
    <t>Electric Range/oven</t>
  </si>
  <si>
    <t>Electric Range/oven Sensible Load</t>
  </si>
  <si>
    <t>From CEC website</t>
  </si>
  <si>
    <t>EnergyStar Website</t>
  </si>
  <si>
    <t>Manufacturer's Website</t>
  </si>
  <si>
    <t>Mains Temperature, Nov</t>
  </si>
  <si>
    <t>Mains Temperature, Dec</t>
  </si>
  <si>
    <t>Electric Shaver</t>
  </si>
  <si>
    <t>Electric Toothbrush Charger</t>
  </si>
  <si>
    <t>U_stdby (TRNSYS input)</t>
  </si>
  <si>
    <t>Cord</t>
  </si>
  <si>
    <t>Trash Compactor</t>
  </si>
  <si>
    <t>Slow Cooker / Crock Pot</t>
  </si>
  <si>
    <t>Home Office</t>
  </si>
  <si>
    <t>Laptop PC (Plugged In)</t>
  </si>
  <si>
    <t>Equipment Totals (no lights or water heater)</t>
  </si>
  <si>
    <t>Occupancy</t>
  </si>
  <si>
    <t>Number of People</t>
  </si>
  <si>
    <t>Operating Conditions</t>
  </si>
  <si>
    <t>Cooling Setpoint</t>
  </si>
  <si>
    <t>Desktop PC w/ Speakers</t>
  </si>
  <si>
    <t>PC Monitor</t>
  </si>
  <si>
    <t>Printer (Laser)</t>
  </si>
  <si>
    <t>Printer (Inkjet)</t>
  </si>
  <si>
    <t>Cold Only options refer to operating the clothes washer with cold water.</t>
  </si>
  <si>
    <t>Video Gaming System</t>
  </si>
  <si>
    <t>Clock Radio</t>
  </si>
  <si>
    <t>Actual Hot Water Consumption / Day (BASED ON EXAMPLE DATA)</t>
  </si>
  <si>
    <t>DWcapacity</t>
  </si>
  <si>
    <t>Estimated Hot Water Temperature for Machines with Cold Inlets Only</t>
  </si>
  <si>
    <t>&gt; It has been assumed that the daily DHW consumption profile for all appliance options is identical to the corresponding BAB profile.  Appliance options affect only the total amount of water which is consumed.</t>
  </si>
  <si>
    <t>Water Use if Cold Water Inlet Only (manufacturer's literature)</t>
  </si>
  <si>
    <t>JanTmains</t>
  </si>
  <si>
    <t>FebTmains</t>
  </si>
  <si>
    <t>MarTmains</t>
  </si>
  <si>
    <t>AprTmains</t>
  </si>
  <si>
    <t>MayTmains</t>
  </si>
  <si>
    <t>JunTmains</t>
  </si>
  <si>
    <t>JulTmains</t>
  </si>
  <si>
    <t>AugTmains</t>
  </si>
  <si>
    <t>SepTmains</t>
  </si>
  <si>
    <t>OctTmains</t>
  </si>
  <si>
    <t>NovTmains</t>
  </si>
  <si>
    <t>IECC_06</t>
  </si>
  <si>
    <t>FollowsVar=CookingRangeFuelType=Cannot have electric and gas options selected.</t>
  </si>
  <si>
    <t>Actual Cold Water Used During Mixed Temp Cycles, Sep (BOED)</t>
  </si>
  <si>
    <t>Actual Cold Water Used During Mixed Temp Cycles, Nov (BOED)</t>
  </si>
  <si>
    <t>Standard Dry Assumptions</t>
  </si>
  <si>
    <t>Remaining Water Weight After Spin Cycle</t>
  </si>
  <si>
    <t>cycles</t>
  </si>
  <si>
    <t>Cold Water Connection Only?</t>
  </si>
  <si>
    <t>place settings</t>
  </si>
  <si>
    <t>GE</t>
  </si>
  <si>
    <t>Showers</t>
  </si>
  <si>
    <t>Total % Savings</t>
  </si>
  <si>
    <t>Range</t>
  </si>
  <si>
    <t>OK</t>
  </si>
  <si>
    <t>Whittier, AK</t>
  </si>
  <si>
    <t>Whittier</t>
  </si>
  <si>
    <t>Wrangell, AK</t>
  </si>
  <si>
    <t>Wrangell</t>
  </si>
  <si>
    <t>Heating Equipment Type</t>
  </si>
  <si>
    <t>Cooling Equipment Type</t>
  </si>
  <si>
    <t>Actual Cold Water Used During Mixed Temp Cycles, Jan (BOED)</t>
  </si>
  <si>
    <t>Mains Temperature, Aug</t>
  </si>
  <si>
    <t>Mains Temperature, Sep</t>
  </si>
  <si>
    <t>TIAX, Residential Miscellaneous Electric Loads: Energy Consumption Characterization and Savings Potential, 2007</t>
  </si>
  <si>
    <t>Toaster</t>
  </si>
  <si>
    <t>Electricity Consumption / Cycle (test conditions)</t>
  </si>
  <si>
    <t>kWh/yr/bedroom</t>
  </si>
  <si>
    <t>MayCooling</t>
  </si>
  <si>
    <t>JunCooling</t>
  </si>
  <si>
    <t>JulCooling</t>
  </si>
  <si>
    <t>AugCooling</t>
  </si>
  <si>
    <t>BEopt Column 2 (WCF)</t>
  </si>
  <si>
    <t>Modified Energy Factor</t>
  </si>
  <si>
    <t>Solar Absorptivity, opaque exterior wall</t>
  </si>
  <si>
    <t>Annual Avg</t>
  </si>
  <si>
    <t>EX280T2T</t>
  </si>
  <si>
    <t>Equipment Cost</t>
  </si>
  <si>
    <t>Installation Cost</t>
  </si>
  <si>
    <t>Dryer Energy Factor (nominal drying energy required)</t>
  </si>
  <si>
    <t>Garage &amp; Workshop</t>
  </si>
  <si>
    <t>Auto Block Heater</t>
  </si>
  <si>
    <t>Lawn Mower (Electric)</t>
  </si>
  <si>
    <t>Heat Tape</t>
  </si>
  <si>
    <t>Kiln</t>
  </si>
  <si>
    <t>Pipe and Gutter Heaters</t>
  </si>
  <si>
    <t>Shop Tools</t>
  </si>
  <si>
    <t>Humidifier</t>
  </si>
  <si>
    <t>Water Bed</t>
  </si>
  <si>
    <t>Sm Freshwater Aquarium (5-20 gal)</t>
  </si>
  <si>
    <t>Med Freshwater Aquarium (20-40 gal)</t>
  </si>
  <si>
    <t>Lg Freshwater Aquarium (40-60 gal)</t>
  </si>
  <si>
    <t>N/A</t>
  </si>
  <si>
    <t>$/unit</t>
  </si>
  <si>
    <t>Tank Height</t>
  </si>
  <si>
    <t>Tank Setpoint</t>
  </si>
  <si>
    <t>Actual Elec Use / Month, Sep (BASED ON EXAMPLE DATA)</t>
  </si>
  <si>
    <t>Actual Elec Use / Month, Nov (BASED ON EXAMPLE DATA)</t>
  </si>
  <si>
    <t>Minimum</t>
  </si>
  <si>
    <t>Maximum</t>
  </si>
  <si>
    <t>Huber, W. "Standby Power Consumption in U.S. Residences", Master's Project, LBNL, December 1997.</t>
  </si>
  <si>
    <t>Energy Information Administration, "1993 Residential Energy Consumption Survey"</t>
  </si>
  <si>
    <t>Cable Box</t>
  </si>
  <si>
    <t>CWCostofElectricity_Test</t>
  </si>
  <si>
    <t>Supply Register(s) in Basement or Crawlspace?</t>
  </si>
  <si>
    <t>Basement or Crawlspace Walls Insulated?</t>
  </si>
  <si>
    <t>Basement Depth</t>
  </si>
  <si>
    <t>Basement Width</t>
  </si>
  <si>
    <t>Foundation Height Above Grade</t>
  </si>
  <si>
    <t>Hanford, WA</t>
  </si>
  <si>
    <t>Hanford</t>
  </si>
  <si>
    <t>Stampede Pass, WA</t>
  </si>
  <si>
    <t>Stampede Pass</t>
  </si>
  <si>
    <t>Basement Wall Height</t>
  </si>
  <si>
    <t>Crawlspace Wall Height</t>
  </si>
  <si>
    <t>HI</t>
  </si>
  <si>
    <t>Gas Grill</t>
  </si>
  <si>
    <t>Gas Lighting</t>
  </si>
  <si>
    <t>Pool Heater (Gas)</t>
  </si>
  <si>
    <t>Hot Tub / Spa Heater (Gas)</t>
  </si>
  <si>
    <t>Total Defined MELs</t>
  </si>
  <si>
    <t>Actual Electricity Use / Month, Jun (BASED ON EXAMPLE DATA)</t>
  </si>
  <si>
    <t>Instant Hot Water Dispenser</t>
  </si>
  <si>
    <t>Hot Plate</t>
  </si>
  <si>
    <t>Food Slicer</t>
  </si>
  <si>
    <t>Electric Knife</t>
  </si>
  <si>
    <t>Broiler</t>
  </si>
  <si>
    <t>Deep Fryer</t>
  </si>
  <si>
    <t>Hot Tub / Spa (Electric Heating and Pump)</t>
  </si>
  <si>
    <t>Hot Tub / Spa Pump (Electric for Gas Spa)</t>
  </si>
  <si>
    <t>EnergyStar (H-Axis) - Cold Only</t>
  </si>
  <si>
    <t>Number Days, Sep</t>
  </si>
  <si>
    <t>Standard</t>
  </si>
  <si>
    <t>EnergyStar</t>
  </si>
  <si>
    <t>Actual Elec Use / Month, Jun (BASED ON EXAMPLE DATA)</t>
  </si>
  <si>
    <t>Dryer Energy Factor (Nominal Drying Energy Required)</t>
  </si>
  <si>
    <t>Basement Wall Area, Total</t>
  </si>
  <si>
    <t>Building Aspect Ratio (Width/Depth)</t>
  </si>
  <si>
    <t>Total Finished Floor Area</t>
  </si>
  <si>
    <t>BEopt Column 1 (Elec. Use)</t>
  </si>
  <si>
    <t>DEER 2005</t>
  </si>
  <si>
    <t>Annual Heating Degree Days</t>
  </si>
  <si>
    <t>Annual Cooling Degree Days</t>
  </si>
  <si>
    <t>Btu/yr</t>
  </si>
  <si>
    <t>Gas Consumption Per Year (BASED ON EXAMPLE DATA)</t>
  </si>
  <si>
    <t>If @WaterHeaterType = Tank
   Set @DV = @TankMaxHeatingRate
Else
   Set @DV = NA
EndIf</t>
  </si>
  <si>
    <t>Daily DHW consumption profiles for all appliance options are identical to their corresponding Building America Benchmark profile; appliance options affect  the total quantity of water that is consumed. The gas tankless energy factor as shown has been derated by 8.8% to account for cycling inefficiencies, as proposed for California's 2008 Title 24.  If water heater is electric, display value for tank heat rate is given in kW, and if gas then Btu/hr.</t>
  </si>
  <si>
    <t>BEopt Column 3 (Burner Capacity)</t>
  </si>
  <si>
    <t>BEopt Column 2 (Tank Volume)</t>
  </si>
  <si>
    <t>kW or Btu/hr</t>
  </si>
  <si>
    <t>Total Floor Area</t>
  </si>
  <si>
    <t>Large Marine Aquarium (40-60 gal)</t>
  </si>
  <si>
    <t xml:space="preserve">Number of return registers </t>
  </si>
  <si>
    <t>kJ / month</t>
  </si>
  <si>
    <t>NovWindowShadeMultiplier</t>
  </si>
  <si>
    <t>DecWindowShadeMultiplier</t>
  </si>
  <si>
    <t>Actual Elec Use / Year (BASED ON EXAMPLE DATA)</t>
  </si>
  <si>
    <t>m^3</t>
  </si>
  <si>
    <t>OctClgTempBasisOnly</t>
  </si>
  <si>
    <t>NovClgTempBasisOnly</t>
  </si>
  <si>
    <t>DecClgTempBasisOnly</t>
  </si>
  <si>
    <t>Actual Hot Water Consumption / Year (BASED ON EXAMPLE DATA)</t>
  </si>
  <si>
    <t>StateAndCity</t>
  </si>
  <si>
    <t>Actual Cold Water Used During Mixed Temp Cycles, Jul (BOED)</t>
  </si>
  <si>
    <t>NovHtgTempBasisOnly</t>
  </si>
  <si>
    <t>DecHtgTempBasisOnly</t>
  </si>
  <si>
    <t>Sexton Summit, OR</t>
  </si>
  <si>
    <t>Sexton Summit</t>
  </si>
  <si>
    <t>Trunk and branch, PEX, Basement or interior space, None</t>
  </si>
  <si>
    <t>Trunk and branch, PEX, Attic or garage, None</t>
  </si>
  <si>
    <t>Height (TRNSYS input)</t>
  </si>
  <si>
    <t>m</t>
  </si>
  <si>
    <r>
      <t>Volume (</t>
    </r>
    <r>
      <rPr>
        <sz val="8"/>
        <rFont val="Arial"/>
        <family val="2"/>
      </rPr>
      <t>TRNSYS input)</t>
    </r>
  </si>
  <si>
    <t>Input Capacity (TRNSYS input)</t>
  </si>
  <si>
    <t>Shower DHW Use Sensible Gain</t>
  </si>
  <si>
    <t>Bath DHW Use Sensible Gain</t>
  </si>
  <si>
    <t>Sink DHW Use Sensible Gain</t>
  </si>
  <si>
    <t>Sink DHW Use Latent Gain</t>
  </si>
  <si>
    <t>Cold Water Consumption per Cycle</t>
  </si>
  <si>
    <t>Number Days, Jan</t>
  </si>
  <si>
    <t>Number Days, Feb</t>
  </si>
  <si>
    <t>Number Days, Mar</t>
  </si>
  <si>
    <t>Number Days, Apr</t>
  </si>
  <si>
    <t>DOE2/TRNSYS/E+/PV/BEopt</t>
  </si>
  <si>
    <t>TRNSYS, E+</t>
  </si>
  <si>
    <r>
      <t>ft</t>
    </r>
    <r>
      <rPr>
        <vertAlign val="superscript"/>
        <sz val="8"/>
        <rFont val="Arial"/>
        <family val="2"/>
      </rPr>
      <t>3</t>
    </r>
  </si>
  <si>
    <t>Mains Temperature, Jul</t>
  </si>
  <si>
    <t>Actual Total Water Consumption / Hour (BASED ON EXAMPLE DATA)</t>
  </si>
  <si>
    <t>Battery Charger - Toy</t>
  </si>
  <si>
    <t>Battery Charger - Two way radio</t>
  </si>
  <si>
    <t>Battery Charger - MP3 player</t>
  </si>
  <si>
    <t>Battery Charger - Stand-alone</t>
  </si>
  <si>
    <t>Total MEL</t>
  </si>
  <si>
    <t>Gas Usage</t>
  </si>
  <si>
    <t>Washer uses internal electric heater to adjust the temperature of wash water in tub (use this option for washers that have hot and cold water connections but use an internal electric heater to adjust the wash water temperature - manufacturer's literature)**</t>
  </si>
  <si>
    <t>kWh / month</t>
  </si>
  <si>
    <t>Actual Electricity Use / Year (BASED ON EXAMPLE DATA)</t>
  </si>
  <si>
    <t>Water Remaining in Load after Spin Cycle (Test Conditions, Reference Dryer)</t>
  </si>
  <si>
    <t>Refrigerator Sensible Load</t>
  </si>
  <si>
    <t>$/yr if Electric DHW (EnergyGuide Label)</t>
  </si>
  <si>
    <t>$/yr if Gas DHW (EnergyGuide Label)</t>
  </si>
  <si>
    <t>$/kWh (EnergyGuide Label)</t>
  </si>
  <si>
    <t>Solar Absorptivity, opaque roof</t>
  </si>
  <si>
    <t>in</t>
  </si>
  <si>
    <r>
      <t xml:space="preserve">(5) </t>
    </r>
    <r>
      <rPr>
        <b/>
        <i/>
        <sz val="10"/>
        <rFont val="Arial"/>
        <family val="2"/>
      </rPr>
      <t>Do not change the data in gray cells.</t>
    </r>
    <r>
      <rPr>
        <sz val="10"/>
        <rFont val="Arial"/>
        <family val="2"/>
      </rPr>
      <t xml:space="preserve">  These are calculated values, operating conditions, and fixed MELs that should remain constant.</t>
    </r>
  </si>
  <si>
    <t>Detailed MEL Analysis?</t>
  </si>
  <si>
    <t>Dehumidification Setpoint</t>
  </si>
  <si>
    <t>%RH</t>
  </si>
  <si>
    <t>L/kWh</t>
  </si>
  <si>
    <t>Minimum Internal Temp for Natural Ventilation</t>
  </si>
  <si>
    <t>gal / month</t>
  </si>
  <si>
    <t>cycles / year</t>
  </si>
  <si>
    <t>gal / cycle</t>
  </si>
  <si>
    <t>kWh / year</t>
  </si>
  <si>
    <t>gal / year</t>
  </si>
  <si>
    <t>Weighted average of all low-power modes.  Does not include operating energy.</t>
  </si>
  <si>
    <t>Fixed MELs (kWh)</t>
  </si>
  <si>
    <t>**</t>
  </si>
  <si>
    <t>Energy Information Administration, "2001 Residential Energy Consumption Survey", Final Regression Results</t>
  </si>
  <si>
    <t>Building America Benchmark Definition</t>
  </si>
  <si>
    <t>Site</t>
  </si>
  <si>
    <t>TX</t>
  </si>
  <si>
    <t>OH</t>
  </si>
  <si>
    <t>MayTemp</t>
  </si>
  <si>
    <t>JunTemp</t>
  </si>
  <si>
    <t>JulTemp</t>
  </si>
  <si>
    <t>AugTemp</t>
  </si>
  <si>
    <t>SepTemp</t>
  </si>
  <si>
    <t>OctTemp</t>
  </si>
  <si>
    <t>NovTemp</t>
  </si>
  <si>
    <t>hrs</t>
  </si>
  <si>
    <t>WA</t>
  </si>
  <si>
    <t>Crawlspace</t>
  </si>
  <si>
    <t>Actual Cold Water Used During Mixed Temp Cycles, Feb (BOED)</t>
  </si>
  <si>
    <t>Basement Perimeter</t>
  </si>
  <si>
    <t>Garage</t>
  </si>
  <si>
    <t>ratio</t>
  </si>
  <si>
    <t>E</t>
  </si>
  <si>
    <t>Energy Factor (EF)</t>
  </si>
  <si>
    <t>Recovery Efficiency</t>
  </si>
  <si>
    <t>AL</t>
  </si>
  <si>
    <t>ND</t>
  </si>
  <si>
    <t>ID</t>
  </si>
  <si>
    <t>MA</t>
  </si>
  <si>
    <t>Cold Water Inlet Temperature (test conditions)</t>
  </si>
  <si>
    <t>Cold Water Detergent  (Cold Water Wash Only)?</t>
  </si>
  <si>
    <t>Mains Temperature, Jun</t>
  </si>
  <si>
    <t>Actual Cold Water Used During Mixed Temp Cycles, Jun (BOED)</t>
  </si>
  <si>
    <t>Dryer Energy Consumption</t>
  </si>
  <si>
    <t>KS</t>
  </si>
  <si>
    <t>Actual Hot Water Use / Month, Jun (BASED ON EXAMPLE DATA)</t>
  </si>
  <si>
    <t>Actual Hot Water Use / Month, Jul (BASED ON EXAMPLE DATA)</t>
  </si>
  <si>
    <t>Actual Hot Water Use / Month, Aug (BASED ON EXAMPLE DATA)</t>
  </si>
  <si>
    <t>Remaining Moisture Content After Spin Cycle</t>
  </si>
  <si>
    <t>lb water / lb dry cloth</t>
  </si>
  <si>
    <t>Dyer Electricity Consumption / year</t>
  </si>
  <si>
    <t>WWSE5240D</t>
  </si>
  <si>
    <t>Building</t>
  </si>
  <si>
    <t>PlugLoadMultiplier</t>
  </si>
  <si>
    <t>Petersburg, AK</t>
  </si>
  <si>
    <t>Petersburg</t>
  </si>
  <si>
    <t>Port Heiden, AK</t>
  </si>
  <si>
    <t>Port Heiden</t>
  </si>
  <si>
    <t>Sand Point, AK</t>
  </si>
  <si>
    <t>Sand Point</t>
  </si>
  <si>
    <t>Savoonga, AK</t>
  </si>
  <si>
    <t>Savoonga</t>
  </si>
  <si>
    <t>Selawik, AK</t>
  </si>
  <si>
    <t>Selawik</t>
  </si>
  <si>
    <t>Seward, AK</t>
  </si>
  <si>
    <t>Seward</t>
  </si>
  <si>
    <t>Hot Water Consumption</t>
  </si>
  <si>
    <t>Cold Water Consumption</t>
  </si>
  <si>
    <t>conditioning, lighting</t>
  </si>
  <si>
    <t>Clothes Washer</t>
  </si>
  <si>
    <t>Axis</t>
  </si>
  <si>
    <t>IN</t>
  </si>
  <si>
    <t>Shower</t>
  </si>
  <si>
    <t>Bath</t>
  </si>
  <si>
    <t>Bath DHW</t>
  </si>
  <si>
    <t>Shower DHW</t>
  </si>
  <si>
    <t>Shower DHW Use Latent Gain</t>
  </si>
  <si>
    <t>Actual Elec Use / Month, Apr (BASED ON EXAMPLE DATA)</t>
  </si>
  <si>
    <t>FollowsVar=WaterHeaterFuelType=Cannot have electric and gas options selected.</t>
  </si>
  <si>
    <t>2006 IECC</t>
  </si>
  <si>
    <t>Rosen, K., et al. "Energy Use of Home Audio Products in the U.S.", LBNL-43468, December 1999.</t>
  </si>
  <si>
    <t>Sanchez, M., Meier, A. (LBNL) "The Rage for Aquaria", Home Energy Magazine, Sep/Oct 1997.</t>
  </si>
  <si>
    <t>Kingsville, TX</t>
  </si>
  <si>
    <t>Kingsville</t>
  </si>
  <si>
    <t>BEopt Notes</t>
  </si>
  <si>
    <t>years</t>
  </si>
  <si>
    <t>ft</t>
  </si>
  <si>
    <t>sq ft</t>
  </si>
  <si>
    <t>Surge Protector / Power Strip</t>
  </si>
  <si>
    <t>Timer (Lighting)</t>
  </si>
  <si>
    <t>Timer (Irrigation)</t>
  </si>
  <si>
    <t>Iron</t>
  </si>
  <si>
    <t>Baby Monitor</t>
  </si>
  <si>
    <t>cu ft / (cycle * %)</t>
  </si>
  <si>
    <t>kWh / (cycle * %)</t>
  </si>
  <si>
    <t>MarHtgTempBasisOnly</t>
  </si>
  <si>
    <t>AprHtgTempBasisOnly</t>
  </si>
  <si>
    <t>MayHtgTempBasisOnly</t>
  </si>
  <si>
    <t>JunHtgTempBasisOnly</t>
  </si>
  <si>
    <t>JulHtgTempBasisOnly</t>
  </si>
  <si>
    <t>Benchmark Stdby/Idle Energy  (kWh/yr)</t>
  </si>
  <si>
    <t>CoolDesignWB</t>
  </si>
  <si>
    <t>HDD65F</t>
  </si>
  <si>
    <t>CDD65F</t>
  </si>
  <si>
    <t>JanTemp</t>
  </si>
  <si>
    <t>FebTemp</t>
  </si>
  <si>
    <t>MarTemp</t>
  </si>
  <si>
    <t>AprTemp</t>
  </si>
  <si>
    <t>General</t>
  </si>
  <si>
    <t xml:space="preserve"> </t>
  </si>
  <si>
    <t>Option Information</t>
  </si>
  <si>
    <t>Fraction of Floor Area - Carpet</t>
  </si>
  <si>
    <t>Energy</t>
  </si>
  <si>
    <t>Geometry</t>
  </si>
  <si>
    <t>Trunk and branch, Copper, Attic or garage, None</t>
  </si>
  <si>
    <t>Home run, PEX, Basement or interior space, None</t>
  </si>
  <si>
    <t>Home run, PEX, Attic or garage, None</t>
  </si>
  <si>
    <t>Trunk and branch, Copper, Basement or interior space, Timer control</t>
  </si>
  <si>
    <t>Trunk and branch, Copper, Basement or interior space, Demand control</t>
  </si>
  <si>
    <t>Trunk and branch, PEX, Basement or interior space, Timer control</t>
  </si>
  <si>
    <t>Trunk and branch, PEX, Basement or interior space, Demand control</t>
  </si>
  <si>
    <t>2x4 or 2x6</t>
  </si>
  <si>
    <t>Slab insulation depth</t>
  </si>
  <si>
    <t>Portion of annual electricity consumed by cooking range regardless of the number of bedrooms.</t>
  </si>
  <si>
    <t>Portion of annual electricity consumed by cooking range that scales with the number of bedrooms.</t>
  </si>
  <si>
    <t>Portion of annual gas consumed by cooking range regardless of the number of bedrooms.</t>
  </si>
  <si>
    <t>Portion of annual gas consumed by cooking range that scales with the number of bedrooms.</t>
  </si>
  <si>
    <t>Indicates the type of cooking range. This value is used to specify what type of range to model in the benchmark.</t>
  </si>
  <si>
    <t>Does the dishwasher use a cold water connection only.   Input obtained from manufacturer's literature.</t>
  </si>
  <si>
    <t>Does the system use an internal electric heater to adjust water temperature?   Input obtained from manufacturer's literature.</t>
  </si>
  <si>
    <t>Volume of water per cycle used if there is only a cold water inlet connection, for the dishwasher.   Input obtained from manufacturer's literature.</t>
  </si>
  <si>
    <t>This is the Energy Guide test date.</t>
  </si>
  <si>
    <t>Annual energy used by the dishwasher, as rated.  Obtained from EnergyGuide label.</t>
  </si>
  <si>
    <t>Obtained from the EnergyGuide label.</t>
  </si>
  <si>
    <t>The number of place settings for the unit.  Data obtained from manufacturer's literature.</t>
  </si>
  <si>
    <t>The annual energy consumed by the clothes washer, as rated.  Data obtained from the EnergyGuide label.</t>
  </si>
  <si>
    <t>The weight of the water remaining in clothes after the spin cycle.</t>
  </si>
  <si>
    <t>The water temperature from the domestic hot water system.</t>
  </si>
  <si>
    <t>Obtained from the EnergyStar website or the manufacturer's literature.</t>
  </si>
  <si>
    <t>Indicates that no hot water is used for clothes washing.</t>
  </si>
  <si>
    <t>Test Date</t>
  </si>
  <si>
    <t>$ / kWh</t>
  </si>
  <si>
    <t>$ / therm</t>
  </si>
  <si>
    <t>BEopt Default Option</t>
  </si>
  <si>
    <t>Radiant Barrier</t>
  </si>
  <si>
    <t>Zogg, R., et al.  "Electricity Consumption by Small End Uses in Residential Buildings", AD Little, 1998.</t>
  </si>
  <si>
    <t>Rainer, L., et al.  "What's on the TV: Trends in U.S. Set-Top Box Energy Use, Design, and Regulation", IEA, 2004.</t>
  </si>
  <si>
    <t>Hours were derived using the ratio of hours for each TV from the LBNL study, combined with the fractional units per household, so that the total hours = 8.6 for a typical household</t>
  </si>
  <si>
    <t>Total Fixed (kWh)</t>
  </si>
  <si>
    <t>***</t>
  </si>
  <si>
    <t>Default</t>
  </si>
  <si>
    <t>Adak NAS, AK</t>
  </si>
  <si>
    <t>Adak NAS</t>
  </si>
  <si>
    <t>Ambler, AK</t>
  </si>
  <si>
    <t>Ambler</t>
  </si>
  <si>
    <t>TankMaxHeatingRate</t>
  </si>
  <si>
    <t>Efficiency</t>
  </si>
  <si>
    <t>TankEfficiency</t>
  </si>
  <si>
    <t>DWInternalHeaterAdjustment</t>
  </si>
  <si>
    <t>DVL223Exxxx</t>
  </si>
  <si>
    <t>DVL223Gxxxx</t>
  </si>
  <si>
    <t>Standby kWh per Unit</t>
  </si>
  <si>
    <t>Operating kWh per Unit</t>
  </si>
  <si>
    <t>Standby kWh per Household</t>
  </si>
  <si>
    <t>Operating kWh per Household</t>
  </si>
  <si>
    <t>Total kWh per Household (Built-up)</t>
  </si>
  <si>
    <t>bchydro.com 2003 (2009 inflation adjusted)</t>
  </si>
  <si>
    <t>distributor 2003 (2009 inflation adjusted)</t>
  </si>
  <si>
    <t>ge.com 2007 (2009 inflation adjusted)</t>
  </si>
  <si>
    <t>ge.com (2009 inflation adjusted)</t>
  </si>
  <si>
    <t>****** Cold water inlet only, for example, Asko machines.  Total water consumption under DOE test conditions must be known</t>
  </si>
  <si>
    <t>Actual Cold Water Used During Mixed Temp Cycles, Dec (BOED)</t>
  </si>
  <si>
    <t>BEopt Category Type</t>
  </si>
  <si>
    <t>BEopt Mutually Exclusive With</t>
  </si>
  <si>
    <t>GSD2600GWW</t>
  </si>
  <si>
    <t>Continuous mechanical ventilation fan energy</t>
  </si>
  <si>
    <t>JunWindowShadeMultiplier</t>
  </si>
  <si>
    <t>DecTemp</t>
  </si>
  <si>
    <t>AnnualTemp</t>
  </si>
  <si>
    <t>JanHtgTempBasisOnly</t>
  </si>
  <si>
    <t>FebHtgTempBasisOnly</t>
  </si>
  <si>
    <t>Actual Elec Use / Month, Dec (BASED ON EXAMPLE DATA)</t>
  </si>
  <si>
    <t>DWIsColdWaterInletOnly</t>
  </si>
  <si>
    <t>JanClgTempBasisOnly</t>
  </si>
  <si>
    <t>SepCooling</t>
  </si>
  <si>
    <t>OctCooling</t>
  </si>
  <si>
    <t>NovCooling</t>
  </si>
  <si>
    <t>DecCooling</t>
  </si>
  <si>
    <t>JanWindowShadeMultiplier</t>
  </si>
  <si>
    <t>Number Days, Oct</t>
  </si>
  <si>
    <t>Number Days, Nov</t>
  </si>
  <si>
    <t>Electric Range/oven Latent Load</t>
  </si>
  <si>
    <t>Gas Range/oven</t>
  </si>
  <si>
    <t>Number Days, May</t>
  </si>
  <si>
    <t>Number Days, Jun</t>
  </si>
  <si>
    <t>Number Days, Jul</t>
  </si>
  <si>
    <t>Number Days, Aug</t>
  </si>
  <si>
    <t xml:space="preserve">   in TRNSYS. Note that there are currently no BEOpt options for showers, baths, and sinks.</t>
  </si>
  <si>
    <t>Actual Hot Water Use / Month, Jan (BASED ON EXAMPLE DATA)</t>
  </si>
  <si>
    <t>Storage Volume</t>
  </si>
  <si>
    <t>Energy Factor</t>
  </si>
  <si>
    <t>Whirlpool</t>
  </si>
  <si>
    <t>Envirotemp</t>
  </si>
  <si>
    <t>Cost of Natural Gas</t>
  </si>
  <si>
    <t>Annual Cost with Gas DHW</t>
  </si>
  <si>
    <t>Annual Energy Consumption (test conditions)</t>
  </si>
  <si>
    <t>Well Pump (Electric)</t>
  </si>
  <si>
    <t>Operating Power (W)</t>
  </si>
  <si>
    <t>Fractional Units per Household</t>
  </si>
  <si>
    <t xml:space="preserve">Ref </t>
  </si>
  <si>
    <t>Category Information</t>
  </si>
  <si>
    <t>DOE2</t>
  </si>
  <si>
    <t>Constants</t>
  </si>
  <si>
    <t>Energy Guide Label</t>
  </si>
  <si>
    <t>NC</t>
  </si>
  <si>
    <t>OR</t>
  </si>
  <si>
    <t>GA</t>
  </si>
  <si>
    <t>Cape Hatteras, NC</t>
  </si>
  <si>
    <t>Cape Hatteras</t>
  </si>
  <si>
    <t>Cherry Point MCAS, NC</t>
  </si>
  <si>
    <t>Cherry Point MCAS</t>
  </si>
  <si>
    <t>DryerCapacity</t>
  </si>
  <si>
    <t>@DryerTotalEnergyConsumptionPerCycle</t>
  </si>
  <si>
    <t>@DryerEnergyFactor</t>
  </si>
  <si>
    <t>DryerAssumedGasElectricTotalEnergySplit</t>
  </si>
  <si>
    <t>DryerHasAutomaticTerminationControl</t>
  </si>
  <si>
    <t>Automatic Termination Control</t>
  </si>
  <si>
    <t>@DryerGasHeatingValue (GEF)</t>
  </si>
  <si>
    <t>@DryerNominalReductionInMoistureContent</t>
  </si>
  <si>
    <t>@DryerFieldUseFactor</t>
  </si>
  <si>
    <t>@DryerEnergyPerMoistureReduction_Gas (Natural Gas Consumption / (Cycle * Reduction in % Moisture Content))</t>
  </si>
  <si>
    <t>@DryerEnergyPerMoistureReduction_Elec (Electricity Consumption / (Cycle * Reduction in % Moisture Content)</t>
  </si>
  <si>
    <t>@DryerTestLoadWeight</t>
  </si>
  <si>
    <t>DryerEnergyFactor</t>
  </si>
  <si>
    <t>Electric or Gas or NA</t>
  </si>
  <si>
    <t>HasDryer</t>
  </si>
  <si>
    <t>0/1/2</t>
  </si>
  <si>
    <t>Number Days, Dec</t>
  </si>
  <si>
    <t>NV</t>
  </si>
  <si>
    <t>MEL/MGL Savings vs Benchmark</t>
  </si>
  <si>
    <t>Tankless</t>
  </si>
  <si>
    <t>gal</t>
  </si>
  <si>
    <t>deg F</t>
  </si>
  <si>
    <t>$/therm (EnergyGuide Label)</t>
  </si>
  <si>
    <t>Clothes Washer Latent Load</t>
  </si>
  <si>
    <t>W/cfm</t>
  </si>
  <si>
    <t>BEopt Option Name</t>
  </si>
  <si>
    <t>BEopt Option Type</t>
  </si>
  <si>
    <t>MS</t>
  </si>
  <si>
    <t>Carpet R-value</t>
  </si>
  <si>
    <t>Derate for Cycling Inefficiencies</t>
  </si>
  <si>
    <t>&gt; The calculations performed here are identical to the calculations performed in the Building America appliance spreadsheet.</t>
  </si>
  <si>
    <t>Gas</t>
  </si>
  <si>
    <t>CWHasColdWaterInletOnly</t>
  </si>
  <si>
    <t>CWHotWaterTempForColdWaterInletOnlySystems</t>
  </si>
  <si>
    <t>CWColdWaterUsePerCycleForColdWaterInletOnlySystems</t>
  </si>
  <si>
    <t>CWUseColdCycleOnly</t>
  </si>
  <si>
    <t>CWDrumVolume</t>
  </si>
  <si>
    <t>Actual Cycles / Year (BASED ON EXAMPLE DATA) (@ActualCWCyclesPerYear)</t>
  </si>
  <si>
    <t>Drum Volume (@CWDrumVolume)</t>
  </si>
  <si>
    <t>Test Load (@CWTestLoad)</t>
  </si>
  <si>
    <t>CWTestDate</t>
  </si>
  <si>
    <t>Test Date (@CWTestDate)</t>
  </si>
  <si>
    <t>The options for gas and electric ranges are identical to the Building America Benchmarks.</t>
  </si>
  <si>
    <t>(Fixed MELs</t>
  </si>
  <si>
    <t>Pool Pump (Electric)</t>
  </si>
  <si>
    <t>and MGLs)</t>
  </si>
  <si>
    <t>Standard Unit Cost Datasets</t>
  </si>
  <si>
    <t>Standard Lifetime Datasets</t>
  </si>
  <si>
    <t>Aug</t>
  </si>
  <si>
    <t>Sep</t>
  </si>
  <si>
    <t>Oct</t>
  </si>
  <si>
    <t>Nov</t>
  </si>
  <si>
    <t>Dec</t>
  </si>
  <si>
    <t>Make</t>
  </si>
  <si>
    <t>Model Number</t>
  </si>
  <si>
    <t>Type</t>
  </si>
  <si>
    <t>Number of Burners</t>
  </si>
  <si>
    <t>therms/yr</t>
  </si>
  <si>
    <t>Simulation Variables</t>
  </si>
  <si>
    <t>Multiplier</t>
  </si>
  <si>
    <t>First Cost</t>
  </si>
  <si>
    <t>$</t>
  </si>
  <si>
    <t>Garage Depth</t>
  </si>
  <si>
    <t>Cooling Equipment SEER rating (for DX cooling systems)</t>
  </si>
  <si>
    <t>Adjusted Benchmark Stdby (kWh/yr)</t>
  </si>
  <si>
    <t>Adjusted Benchmark Operating (kWh/yr)</t>
  </si>
  <si>
    <t>Adjusted kWh Sensible Load</t>
  </si>
  <si>
    <t>Adjusted kWh Latent Load</t>
  </si>
  <si>
    <t>VA</t>
  </si>
  <si>
    <t>JulClgTempBasisOnly</t>
  </si>
  <si>
    <t>Thorne, J., Suozzo, M. "Leaking Electricity: Standby and Off-Mode Power Consumption in Consumer Electronics and Household Appliances", ACEEE, February 1998.</t>
  </si>
  <si>
    <t>occupancy)</t>
  </si>
  <si>
    <t>Equipment Latent</t>
  </si>
  <si>
    <t>Heating Active</t>
  </si>
  <si>
    <t>(1=yes)</t>
  </si>
  <si>
    <t>Cooling Active</t>
  </si>
  <si>
    <t>EnergyStar (H-Axis)</t>
  </si>
  <si>
    <t>vertical</t>
  </si>
  <si>
    <t>horizon</t>
  </si>
  <si>
    <t>SC</t>
  </si>
  <si>
    <t>WV</t>
  </si>
  <si>
    <t>Water Heating</t>
  </si>
  <si>
    <t>Annual Electric Energy (Site)</t>
  </si>
  <si>
    <t>Is the Builder providing the refrigerator or are the refrigerator specifications known?</t>
  </si>
  <si>
    <t>Benchmark</t>
  </si>
  <si>
    <t>All dishwashers have similar features.  Energy consumption for water heating depends on mains water temperature and is location-dependent.  In the case where all hot water is heated internally, DHW use is zero.</t>
  </si>
  <si>
    <t>Mains Temperature, Oct</t>
  </si>
  <si>
    <t>Place setting capacity (manufacturer's literature)</t>
  </si>
  <si>
    <t>Number of Bathrooms (0.5 increments, 1 - minimum, 3.5 - maximum)</t>
  </si>
  <si>
    <t>AprWindowShadeMultiplier</t>
  </si>
  <si>
    <t>MayWindowShadeMultiplier</t>
  </si>
  <si>
    <t>kJ/hr</t>
  </si>
  <si>
    <t>&gt; Currently, the BEOpt options are identical to the BA Benchmarks.</t>
  </si>
  <si>
    <t>Dishwasher</t>
  </si>
  <si>
    <t>Model</t>
  </si>
  <si>
    <t>Internal Heater Adjustment?</t>
  </si>
  <si>
    <t>DHW</t>
  </si>
  <si>
    <t>Fuel Type (gas or electric)</t>
  </si>
  <si>
    <t>degF</t>
  </si>
  <si>
    <t>Capacity</t>
  </si>
  <si>
    <t>Energy Star?</t>
  </si>
  <si>
    <t>Small Marine Aquarium (5-20 gal)</t>
  </si>
  <si>
    <t>Medium Marine Aquarium (20-40 gal)</t>
  </si>
  <si>
    <t>CO</t>
  </si>
  <si>
    <t>NY</t>
  </si>
  <si>
    <t>NM</t>
  </si>
  <si>
    <t>PA</t>
  </si>
  <si>
    <t>MI</t>
  </si>
  <si>
    <t>Supply Duct Surface Area</t>
  </si>
  <si>
    <t>From the Manufacturer's Website</t>
  </si>
  <si>
    <t>DOE Test Conditions</t>
  </si>
  <si>
    <t>AnnualRangeElecPerBedroom</t>
  </si>
  <si>
    <t>ConstantAnnualRangeElec</t>
  </si>
  <si>
    <t>ConstantAnnualRangeGas</t>
  </si>
  <si>
    <t>AnnualRangeGasPerBedroom</t>
  </si>
  <si>
    <t>Comments</t>
  </si>
  <si>
    <t>Constraints</t>
  </si>
  <si>
    <t>Units</t>
  </si>
  <si>
    <t>Van Nuys Airport, CA</t>
  </si>
  <si>
    <t>Van Nuys Airport</t>
  </si>
  <si>
    <t>Load (no lights,</t>
  </si>
  <si>
    <t>Is the Builder providing the range or are the range specifications known?</t>
  </si>
  <si>
    <t>Conversion Efficiency (from test conditions)</t>
  </si>
  <si>
    <t>Total Wall Area</t>
  </si>
  <si>
    <t>Total Door Area</t>
  </si>
  <si>
    <t>cu ft</t>
  </si>
  <si>
    <t>Floor-to-floor Height</t>
  </si>
  <si>
    <t>TN</t>
  </si>
  <si>
    <t>Hard Wired Interior Lighting Sensible Load</t>
  </si>
  <si>
    <t>None</t>
  </si>
  <si>
    <t>Option</t>
  </si>
  <si>
    <t>Actual Electricity Use / Month, Feb (BASED ON EXAMPLE DATA)</t>
  </si>
  <si>
    <t>Actual Electricity Use / Month, Mar (BASED ON EXAMPLE DATA)</t>
  </si>
  <si>
    <t>IA</t>
  </si>
  <si>
    <t>YES</t>
  </si>
  <si>
    <t>deg</t>
  </si>
  <si>
    <t>#</t>
  </si>
  <si>
    <t>sqft</t>
  </si>
  <si>
    <t>Window area on east side</t>
  </si>
  <si>
    <t>Window area on north side</t>
  </si>
  <si>
    <t>GSD1000GWW</t>
  </si>
  <si>
    <t>Cost of Electricity</t>
  </si>
  <si>
    <t>Dot Matrix Printer</t>
  </si>
  <si>
    <t>DSL/Cable Modem</t>
  </si>
  <si>
    <t>Scanner</t>
  </si>
  <si>
    <t>Dryer Usage Factor (Fraction of Washed Loads Requiring Drying)</t>
  </si>
  <si>
    <t>Instructions</t>
  </si>
  <si>
    <t>DWEnergyGuideDate</t>
  </si>
  <si>
    <t>mm, dd, yyyy</t>
  </si>
  <si>
    <t>DWColdWaterConnUsePerCycle</t>
  </si>
  <si>
    <t>DWEnergyGuideAnnualEnergy</t>
  </si>
  <si>
    <t>$/yr</t>
  </si>
  <si>
    <t>DWEnergyGuideGasCost</t>
  </si>
  <si>
    <t>$/therm</t>
  </si>
  <si>
    <t>DWEnergyGuideAnnualGasCost</t>
  </si>
  <si>
    <t>Heated Slab?</t>
  </si>
  <si>
    <t>NJ</t>
  </si>
  <si>
    <t>MD</t>
  </si>
  <si>
    <t>LA</t>
  </si>
  <si>
    <t>Number of Bedrooms (6 maximum)</t>
  </si>
  <si>
    <t>&gt; Cost information is from the General Electric and Maytag websites</t>
  </si>
  <si>
    <t>FL</t>
  </si>
  <si>
    <t>Elevation</t>
  </si>
  <si>
    <t>Change in Sink DHW (gal/day)</t>
  </si>
  <si>
    <t>Equivalent DHW</t>
  </si>
  <si>
    <t>for Recirc Energy</t>
  </si>
  <si>
    <t>Recirc Pump Energy</t>
  </si>
  <si>
    <t xml:space="preserve">MEL/MGL + Recirc Pump Sensible Load </t>
  </si>
  <si>
    <t>Bettles Field, AK</t>
  </si>
  <si>
    <t>Bettles Field</t>
  </si>
  <si>
    <t>Big River Lake, AK</t>
  </si>
  <si>
    <t>Big River Lake</t>
  </si>
  <si>
    <t>Birchwood, AK</t>
  </si>
  <si>
    <t>Birchwood</t>
  </si>
  <si>
    <t>Chulitna, AK</t>
  </si>
  <si>
    <t>Chulitna</t>
  </si>
  <si>
    <t>Cordova, AK</t>
  </si>
  <si>
    <t>Cordova</t>
  </si>
  <si>
    <t>Deadhorse, AK</t>
  </si>
  <si>
    <t>Deadhorse</t>
  </si>
  <si>
    <t>Emmonak, AK</t>
  </si>
  <si>
    <t>Emmonak</t>
  </si>
  <si>
    <t>Fort Yukon, AK</t>
  </si>
  <si>
    <t>Fort Yukon</t>
  </si>
  <si>
    <t>Gambell, AK</t>
  </si>
  <si>
    <t>Gambell</t>
  </si>
  <si>
    <t>Set @DV = RND(@ConstantAnnualRangeGas+@AnnualRangeGasPerBedroom*@NumberBedrooms,1)</t>
  </si>
  <si>
    <t>CT</t>
  </si>
  <si>
    <t>Total MEL Energy</t>
  </si>
  <si>
    <t>Clothes Dryer Latent Load(Gas)</t>
  </si>
  <si>
    <t>Dishwasher Sensible Load</t>
  </si>
  <si>
    <t>Adjusted from California to U.S. based on EIA data</t>
  </si>
  <si>
    <t>References</t>
  </si>
  <si>
    <t>Bob's judgment</t>
  </si>
  <si>
    <t>Wenzel, T., et al, "Energy Data Sourcebook for the U.S. Residential Sector", LBNL, 1997</t>
  </si>
  <si>
    <t>Patuxent River NAS, MD</t>
  </si>
  <si>
    <t>Patuxent River NAS</t>
  </si>
  <si>
    <t>&gt; EnergyGuide labels only specify the test year.  We have assumed that testing occurs on January 1st.</t>
  </si>
  <si>
    <t>Combined Equipment</t>
  </si>
  <si>
    <t>Btu/Watt*hr</t>
  </si>
  <si>
    <t>Wh/kWh</t>
  </si>
  <si>
    <t>Btu/therm</t>
  </si>
  <si>
    <t>Btu / cu ft</t>
  </si>
  <si>
    <t>Actual Elec Use / Month, Jul (BASED ON EXAMPLE DATA)</t>
  </si>
  <si>
    <t>Actual Elec Use / Month, Aug (BASED ON EXAMPLE DATA)</t>
  </si>
  <si>
    <t>City</t>
  </si>
  <si>
    <t>State</t>
  </si>
  <si>
    <t>Characteristics of both the washer (remaining moisture in clothes) and the dryer (moisture removal efficiency) are used to calculate the overall drying energy consumption.</t>
  </si>
  <si>
    <t>% MEL/MGL Sensible Load</t>
  </si>
  <si>
    <t>% MEL/MGL Latent Load</t>
  </si>
  <si>
    <t>% MEL/MGL Savings vs Benchmark</t>
  </si>
  <si>
    <t>Total Energy Use</t>
  </si>
  <si>
    <t>BEopt Column 1 (Capacity)</t>
  </si>
  <si>
    <t>deg-days</t>
  </si>
  <si>
    <t>Basement Wall Area, Above-Grade</t>
  </si>
  <si>
    <t>AH Fan Efficiency</t>
  </si>
  <si>
    <t>Copy Machine</t>
  </si>
  <si>
    <t>Fax Machine</t>
  </si>
  <si>
    <t>Bathroom</t>
  </si>
  <si>
    <t>Hair Dryer</t>
  </si>
  <si>
    <t>Curling Iron</t>
  </si>
  <si>
    <t>Number of Bedrooms</t>
  </si>
  <si>
    <t>Twentynine Palms, CA</t>
  </si>
  <si>
    <t>Twentynine Palms</t>
  </si>
  <si>
    <t>Bath DHW Use Latent Gain</t>
  </si>
  <si>
    <t>JulWindowShadeMultiplier</t>
  </si>
  <si>
    <t>AugWindowShadeMultiplier</t>
  </si>
  <si>
    <t>SepWindowShadeMultiplier</t>
  </si>
  <si>
    <t>OctWindowShadeMultiplier</t>
  </si>
  <si>
    <t>year</t>
  </si>
  <si>
    <t>Gas or Electric</t>
  </si>
  <si>
    <t>EF if electric</t>
  </si>
  <si>
    <t>lbs/kWh</t>
  </si>
  <si>
    <t>Electric Standard</t>
  </si>
  <si>
    <t>Electric Premium</t>
  </si>
  <si>
    <t>Electric Tankless</t>
  </si>
  <si>
    <t>Basement Wall Area, Below-Grade</t>
  </si>
  <si>
    <t>EnergyStar?</t>
  </si>
  <si>
    <t>NO</t>
  </si>
  <si>
    <t xml:space="preserve">Net Cash Flow to Consumer w/o Site Gen. </t>
  </si>
  <si>
    <t>Added Annual Mortgage Cost with Site Gen.</t>
  </si>
  <si>
    <t>Net Cash Flow to Consumer with Site Gen.</t>
  </si>
  <si>
    <t>Neutral Cost Criteria Met?</t>
  </si>
  <si>
    <t>Measure</t>
  </si>
  <si>
    <t>Code Minimum House*</t>
  </si>
  <si>
    <t>Total Incremental  Cost + 10% markup)</t>
  </si>
  <si>
    <t>Amortized Annual Cost (30 year mortgage, 7% interest)</t>
  </si>
  <si>
    <t>Footnotes</t>
  </si>
  <si>
    <t>Thermal Enclosure:</t>
  </si>
  <si>
    <t>Roof / Attic</t>
  </si>
  <si>
    <t>Cathedral Roof</t>
  </si>
  <si>
    <t>Flat Ceiling</t>
  </si>
  <si>
    <t>Other Roof Attic Measure</t>
  </si>
  <si>
    <t>Wall</t>
  </si>
  <si>
    <t>Cavity Insulation</t>
  </si>
  <si>
    <t>Insulating Sheathing</t>
  </si>
  <si>
    <t>Advanced Framing</t>
  </si>
  <si>
    <t>Other Wall Measure</t>
  </si>
  <si>
    <t>Foundation</t>
  </si>
  <si>
    <t>Air Infiltration Reduction</t>
  </si>
  <si>
    <t>Other Enclosure Measures</t>
  </si>
  <si>
    <t>Windows:</t>
  </si>
  <si>
    <r>
      <t>Glazing:</t>
    </r>
    <r>
      <rPr>
        <i/>
        <sz val="10"/>
        <color indexed="8"/>
        <rFont val="Arial"/>
        <family val="2"/>
      </rPr>
      <t xml:space="preserve"> U-Factor / SHGC</t>
    </r>
  </si>
  <si>
    <t>Slider (horz)</t>
  </si>
  <si>
    <t>Slider (vert)</t>
  </si>
  <si>
    <t>Fixed</t>
  </si>
  <si>
    <t>Patio</t>
  </si>
  <si>
    <t>French</t>
  </si>
  <si>
    <t>Other Window Measures</t>
  </si>
  <si>
    <t>HVAC System:</t>
  </si>
  <si>
    <t>Furnace: AFUE</t>
  </si>
  <si>
    <t>A/C: SEER</t>
  </si>
  <si>
    <t>Other HVAC Measures</t>
  </si>
  <si>
    <t>Water Heating:</t>
  </si>
  <si>
    <t>Water Heater Size</t>
  </si>
  <si>
    <t>Solar System</t>
  </si>
  <si>
    <t>Distribution Type</t>
  </si>
  <si>
    <t>Other Water Heating</t>
  </si>
  <si>
    <t>Lighting:</t>
  </si>
  <si>
    <t>Hard Wired Fluorescents</t>
  </si>
  <si>
    <t>Compact Fluorescents</t>
  </si>
  <si>
    <t>Other Lighting Measures</t>
  </si>
  <si>
    <t>Appliances:</t>
  </si>
  <si>
    <t>Energy Star</t>
  </si>
  <si>
    <t>Other Appliance Measures</t>
  </si>
  <si>
    <t>Misc Electric Loads:</t>
  </si>
  <si>
    <t>Home Automation</t>
  </si>
  <si>
    <t>Other MEL Measures</t>
  </si>
  <si>
    <t>Other Measures</t>
  </si>
  <si>
    <t>3rd Party Inspections and QA Testing</t>
  </si>
  <si>
    <t>Total Energy Efficiency Investment</t>
  </si>
  <si>
    <t>Total with Site Generation</t>
  </si>
  <si>
    <t>REBATES / INCENTIVES</t>
  </si>
  <si>
    <t>SMUD Rule 15 Hook Up Fee Discount</t>
  </si>
  <si>
    <t>Incentive for Lighting and Energy Star</t>
  </si>
  <si>
    <t>SMUD PV Buydown</t>
  </si>
  <si>
    <t>Total Incremental Cost to Buyer Including Incentives</t>
  </si>
  <si>
    <t>BEopt MEL Multiplier</t>
  </si>
  <si>
    <t>&gt; BEopt uses characteristics of both the washer (remaining moisture in clothes) and the dryer (moisture removal efficiency) to calculate the overall drying energy used.</t>
  </si>
  <si>
    <t>Actual Electricity Use / Month, Aug (BASED ON EXAMPLE DATA)</t>
  </si>
  <si>
    <t>Actual Electricity Use / Month, Sep (BASED ON EXAMPLE DATA)</t>
  </si>
  <si>
    <t xml:space="preserve">Fixed MELs and MGLs </t>
  </si>
  <si>
    <t>(Other MELs)</t>
  </si>
  <si>
    <t>Battery Charger - Camcorder</t>
  </si>
  <si>
    <t>Battery Charger - Digital Camera</t>
  </si>
  <si>
    <t>Battery Charger - PDA</t>
  </si>
  <si>
    <t>FollowsVar=ClothesDryerFuelType=Cannot have electric and gas options selected.</t>
  </si>
  <si>
    <t>Water Consumption per Cycle (Cold inlet machines only)</t>
  </si>
  <si>
    <t>Cooling</t>
  </si>
  <si>
    <t>Heating</t>
  </si>
  <si>
    <t>Actual Cold Water Used During Mixed Temp Cycles, Apr (BOED)</t>
  </si>
  <si>
    <t xml:space="preserve">&gt; Energy consumption for water heating depends on mains water temperature and is location-dependent.  </t>
  </si>
  <si>
    <t>Exterior Lighting</t>
  </si>
  <si>
    <t>Garage Lighting</t>
  </si>
  <si>
    <t>Roberson, J., et al.  "Energy Use and Power Levels in New Monitors and Personal Computers", LBNL-48581, July 2002.</t>
  </si>
  <si>
    <t>***** Machine includes an internal electric heater to adjust water temperature from the supplied hot water temperature.  The test procedure assumes ∆T = 70ºF if dishwasher boosts from 120ºF to 140ºF; 90ºF if dishwasher does not boost.</t>
  </si>
  <si>
    <t>Electric Usage Per Person</t>
  </si>
  <si>
    <t>Gas Usage Per Person</t>
  </si>
  <si>
    <t>Power Speakers</t>
  </si>
  <si>
    <t>Subwoofer</t>
  </si>
  <si>
    <t>Radio</t>
  </si>
  <si>
    <t>Equalizer</t>
  </si>
  <si>
    <t>Satellite Dish Box</t>
  </si>
  <si>
    <t>cuft</t>
  </si>
  <si>
    <t>Modified Energy Factor (MEF, Energy-Star website)</t>
  </si>
  <si>
    <t>WPXH214A</t>
  </si>
  <si>
    <t>Actual Hot Water Use / Month, Mar (BASED ON EXAMPLE DATA)</t>
  </si>
  <si>
    <t>Actual Hot Water Use / Month, Apr (BASED ON EXAMPLE DATA)</t>
  </si>
  <si>
    <t>Total MEL/MGL Energy (kWh/yr)</t>
  </si>
  <si>
    <t>Unspecified MEL/MGL Energy (kWh/yr)</t>
  </si>
  <si>
    <t>Total MEL/MGL Standby Energy (kWh/yr)</t>
  </si>
  <si>
    <t>Total MEL/MGL Operating Energy (kWh/yr)</t>
  </si>
  <si>
    <t>Occ</t>
  </si>
  <si>
    <t>Lights</t>
  </si>
  <si>
    <t>&gt; The internal gains associated with the clothes washer, clothes dryer, dishwasher, showers, bath, and sink options are modeled as a thermal load in DOE2.</t>
  </si>
  <si>
    <t>Total Conditioned Floor Area</t>
  </si>
  <si>
    <t>Basement Finished?</t>
  </si>
  <si>
    <t>Dishwasher uses an internal electric heater to adjust wash water temperature*****</t>
  </si>
  <si>
    <t>NE</t>
  </si>
  <si>
    <t>Infiltration</t>
  </si>
  <si>
    <t>NA</t>
  </si>
  <si>
    <t>DEER 2008</t>
  </si>
  <si>
    <t>&gt; DEER 2008 Costs were found by matching the cycles/year and EF values of options to units listed in the DEER cost worksheet.</t>
  </si>
  <si>
    <t>kWh / therm * Gas DHW Efficiency</t>
  </si>
  <si>
    <t>kWh / therm</t>
  </si>
  <si>
    <t>Annual Cost with Elec. DHW</t>
  </si>
  <si>
    <t>gal/cycle</t>
  </si>
  <si>
    <t>Surface Area</t>
  </si>
  <si>
    <t>Volume (corrected)</t>
  </si>
  <si>
    <t>Hours/day in Other Standby Power Mode</t>
  </si>
  <si>
    <t>Hours/day in Operating Mode</t>
  </si>
  <si>
    <t>Mixed Temperature Cycle Water Consumption</t>
  </si>
  <si>
    <t>Mixed Temp Cycle Water Use / Day (Accounts for act. drum vol. but not act. Tmains)</t>
  </si>
  <si>
    <t>Basement Floor Area</t>
  </si>
  <si>
    <t>Gas DHW Efficiency (test conditions)</t>
  </si>
  <si>
    <t>Electric DHW Efficiency (test conditions)</t>
  </si>
  <si>
    <t>RI</t>
  </si>
  <si>
    <t>Conditioned Floor Area(incl. conditioned basement)</t>
  </si>
  <si>
    <t>Total Floor Area (conditioned+unconditioned)</t>
  </si>
  <si>
    <t>CREEDAC, "Standby Power Consumption in the Canadian Residential Sector", CREEDAC-2001-03-01, March 2001.</t>
  </si>
  <si>
    <t>Portland Intl Jetport, ME</t>
  </si>
  <si>
    <t>Portland Intl Jetport</t>
  </si>
  <si>
    <t>Annual Utility Bill Reduction vs Benchmark</t>
  </si>
  <si>
    <t xml:space="preserve">Local Marginal Electricity Price </t>
  </si>
  <si>
    <t xml:space="preserve">Local Marginal Gas Price </t>
  </si>
  <si>
    <t>End Use</t>
  </si>
  <si>
    <t>(kWh/yr)</t>
  </si>
  <si>
    <t>(therms/yr)</t>
  </si>
  <si>
    <t>($/yr)</t>
  </si>
  <si>
    <t>($/kWh)</t>
  </si>
  <si>
    <t>($/therm)</t>
  </si>
  <si>
    <t>Space Heating</t>
  </si>
  <si>
    <t>Space Cooling</t>
  </si>
  <si>
    <t>Appliances and MELs</t>
  </si>
  <si>
    <t>Ventilation</t>
  </si>
  <si>
    <t>Water Consumption Factor</t>
  </si>
  <si>
    <t>Drum volume (Energy-Star Website - more accurate - or manufacturer's literature)</t>
  </si>
  <si>
    <t>Actual Cold Water Used During Mixed Temp Cycles, Aug (BOED)</t>
  </si>
  <si>
    <t>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 manufacturer's literature)* (yes/no)</t>
  </si>
  <si>
    <t>Actual Electricity Use / Month, Jul (BASED ON EXAMPLE DATA)</t>
  </si>
  <si>
    <t>New Technology / Other</t>
  </si>
  <si>
    <t>Home Entertainment</t>
  </si>
  <si>
    <t>Mount Washington, NH</t>
  </si>
  <si>
    <t>Mount Washington</t>
  </si>
  <si>
    <t xml:space="preserve">The washer uses an internal electric heater to adjust the temperature of wash water.  Use this option for washers that have hot and cold water connections but use an internal electric heater to adjust the wash water temperature.  Obtain the input from the manufacturer's literature. </t>
  </si>
  <si>
    <t>The washer uses a cold water connection only (all water is heated with internal electric heaters only and the washer is not connected to the hot water system.  Input obtained from the manufacturer's literature.</t>
  </si>
  <si>
    <t>% Sensible Load</t>
  </si>
  <si>
    <t>% Latent Load</t>
  </si>
  <si>
    <t>kWh Sensible Load</t>
  </si>
  <si>
    <t>kWh Latent Load</t>
  </si>
  <si>
    <t>Benchmark Constant</t>
  </si>
  <si>
    <t>The code-word for the location of the water heater.  Specify: Basement, Attic, Crawlspace, Garage, Living, or Auto.  Specifying "Auto" places the water heater in the basement, or garage, or living space in that order depending on which spaces are available. Note: This variable does not influence DOE2/TRNSYS simulations; Only EnergyPlus)</t>
  </si>
  <si>
    <t>Pool Heater (Electric)</t>
  </si>
  <si>
    <t>Dishwasher uses a cold water connection only******</t>
  </si>
  <si>
    <t>Specifies the heater as either tank or tankless.</t>
  </si>
  <si>
    <t>Indicates the type of energy used to heat water. This value is used to specify what type of water heater to model in the benchmark.</t>
  </si>
  <si>
    <t>Conductance through the tank walls.</t>
  </si>
  <si>
    <t>Rated maximum heat input.</t>
  </si>
  <si>
    <t>Heating efficiency.</t>
  </si>
  <si>
    <t>FebCooling</t>
  </si>
  <si>
    <t>MarCooling</t>
  </si>
  <si>
    <t>AprCooling</t>
  </si>
  <si>
    <t>DWEnergyGuideElecCost</t>
  </si>
  <si>
    <t>$/kWh</t>
  </si>
  <si>
    <t>Mains Temperature, Mar</t>
  </si>
  <si>
    <t>FebWindowShadeMultiplier</t>
  </si>
  <si>
    <t>MarWindowShadeMultiplier</t>
  </si>
  <si>
    <t>Plug-In Lighting</t>
  </si>
  <si>
    <t>Plug In Lighting Sensible Load</t>
  </si>
  <si>
    <t>kWh/day</t>
  </si>
  <si>
    <t>Hard-Wired Lighting</t>
  </si>
  <si>
    <t>DecTmains</t>
  </si>
  <si>
    <t>Burner Capacity</t>
  </si>
  <si>
    <t>Ttank</t>
  </si>
  <si>
    <t>Tin</t>
  </si>
  <si>
    <t>Cp</t>
  </si>
  <si>
    <t>Btu/lb-F</t>
  </si>
  <si>
    <t>Volume Drawn</t>
  </si>
  <si>
    <t>lb/gal</t>
  </si>
  <si>
    <t>Draw Mass (M)</t>
  </si>
  <si>
    <t>Qload</t>
  </si>
  <si>
    <t>Btu/day</t>
  </si>
  <si>
    <t>Tenv</t>
  </si>
  <si>
    <t>kWh/Btu</t>
  </si>
  <si>
    <t>Tank UA</t>
  </si>
  <si>
    <t>Annual Gas Energy (Site)</t>
  </si>
  <si>
    <t>Builder Standard Practice (Optional)</t>
  </si>
  <si>
    <t>Interior Heat Gain from DHW (Btu/day)</t>
  </si>
  <si>
    <t>Change in Shower DHW (gal/day)</t>
  </si>
  <si>
    <t xml:space="preserve">Wasted </t>
  </si>
  <si>
    <t>Change in Bath DHW (gal/day)</t>
  </si>
  <si>
    <t>Actual Hot Water Use / Month,Sept (BASED ON EXAMPLE DATA)</t>
  </si>
  <si>
    <t>Actual Hot Water Use / Month, Oct (BASED ON EXAMPLE DATA)</t>
  </si>
  <si>
    <t>Actual Hot Water Use / Month, Nov (BASED ON EXAMPLE DATA)</t>
  </si>
  <si>
    <t>Actual Hot Water Use / Month, Dec (BASED ON EXAMPLE DATA)</t>
  </si>
  <si>
    <t>Actual Hot Water Use / Day (BASED ON EXAMPLE DATA)</t>
  </si>
  <si>
    <t>Actual Electricity Use / Month, Oct (BASED ON EXAMPLE DATA)</t>
  </si>
  <si>
    <t>Actual Electricity Use / Month, Nov (BASED ON EXAMPLE DATA)</t>
  </si>
  <si>
    <r>
      <t>Door U-value (</t>
    </r>
    <r>
      <rPr>
        <sz val="8"/>
        <color indexed="8"/>
        <rFont val="Arial"/>
        <family val="2"/>
      </rPr>
      <t>air to air)</t>
    </r>
  </si>
  <si>
    <t>&gt; EF = (1/(Hot Water Energy + Machine Energy), as rated.</t>
  </si>
  <si>
    <t>Sidler, O., "Campagne de Mesures sur le Fonctionnement en Veille des Appareils Domestique", Report No. 99.07.092.  Sophia-Antipolis (France): ADEME. (As cited in Lebot, I., et al. 2000. "Global Implications of Standby Power Use", 2000 ACEEE Summer Study o</t>
  </si>
  <si>
    <t>Standard (V-Axis)</t>
  </si>
  <si>
    <t>Standard (V-Axis) - Cold Only</t>
  </si>
  <si>
    <t>Perimeter</t>
  </si>
  <si>
    <t>%</t>
  </si>
  <si>
    <t>Internal Furniture Mass</t>
  </si>
  <si>
    <t>lbs/sqft-floor area</t>
  </si>
  <si>
    <t>Corrected Recovery Efficiency by Month</t>
  </si>
  <si>
    <t>DHW Draw by Month</t>
  </si>
  <si>
    <t>gal/day</t>
  </si>
  <si>
    <t>Range hood fan energy</t>
  </si>
  <si>
    <t>Actual Elec Use / Month, May (BASED ON EXAMPLE DATA)</t>
  </si>
  <si>
    <t>Hard-Wired Interior Lighting</t>
  </si>
  <si>
    <t>Basement Floor Area - Bare</t>
  </si>
  <si>
    <t>AugClgTempBasisOnly</t>
  </si>
  <si>
    <t>Internal (Machine) Energy</t>
  </si>
  <si>
    <t>therms / cycle</t>
  </si>
  <si>
    <t>Gas Consumption</t>
  </si>
  <si>
    <t>therms/day</t>
  </si>
  <si>
    <t>Clothes Dryer Sensible Load (Electric)</t>
  </si>
  <si>
    <t>Annual Cycles</t>
  </si>
  <si>
    <t>Waffle Iron</t>
  </si>
  <si>
    <t>Blender</t>
  </si>
  <si>
    <t>Can Opener</t>
  </si>
  <si>
    <t>Electric Grill</t>
  </si>
  <si>
    <t>Hand Mixer</t>
  </si>
  <si>
    <t>Electric Griddle</t>
  </si>
  <si>
    <t>Popcorn Popper</t>
  </si>
  <si>
    <t>Espresso Machine</t>
  </si>
  <si>
    <t>BEopt Option Lifetime</t>
  </si>
  <si>
    <t>ME</t>
  </si>
  <si>
    <t>WY</t>
  </si>
  <si>
    <t>UT</t>
  </si>
  <si>
    <t>Standard Capacity</t>
  </si>
  <si>
    <t>Actual Elec Use / Month, Oct (BASED ON EXAMPLE DATA)</t>
  </si>
  <si>
    <t>*** Cold water inlet only, for example, Asko machines.  Total water consumption under DOE test conditions must be known, input below.</t>
  </si>
  <si>
    <t>water heater or</t>
  </si>
  <si>
    <t>Washer uses a cold water connection only (all water is heated with internal electric heaters only, washer is not connected to the hot water system - manufacturer's literature)***</t>
  </si>
  <si>
    <t>Actual Cold Water Used During Mixed Temp Cycles, May (BOED)</t>
  </si>
  <si>
    <t>Dryer Electricity Consumption / cycle</t>
  </si>
  <si>
    <t>Standard Washer Test Conditions and Assumptions</t>
  </si>
  <si>
    <t>Load Adjustment Factor</t>
  </si>
  <si>
    <t>Window area on west side</t>
  </si>
  <si>
    <t>Window area on south side</t>
  </si>
  <si>
    <t>Dishwasher DHW</t>
  </si>
  <si>
    <t>(gal/day)</t>
  </si>
  <si>
    <t>Clothes Washer DHW</t>
  </si>
  <si>
    <t>WaterHeaterType</t>
  </si>
  <si>
    <t>Garage Type (0 = none, 1 = 1car, 2 = 2 car)</t>
  </si>
  <si>
    <t>Fridge</t>
  </si>
  <si>
    <t>Function</t>
  </si>
  <si>
    <t>Benchmark Space Conditioning Device</t>
  </si>
  <si>
    <t>Actual Hot Water Use / Month, May (BASED ON EXAMPLE DATA)</t>
  </si>
  <si>
    <t>Basement or FinishedBasement or UnfinishedBasement or Crawlspace or VentedCrawlspace or UnventedCrawlspace or Attic or FinishedAttic or UnfinishedAttic or Garage or Living or Auto</t>
  </si>
  <si>
    <t>Shreveport Downtown, LA</t>
  </si>
  <si>
    <t>Shreveport Downtown</t>
  </si>
  <si>
    <t>Anaktuvuk Pass, AK</t>
  </si>
  <si>
    <t>Anaktuvuk Pass</t>
  </si>
  <si>
    <t>Gas Fireplace</t>
  </si>
  <si>
    <t>IL</t>
  </si>
  <si>
    <t>Gas Dryer Assumptions</t>
  </si>
  <si>
    <t>MN</t>
  </si>
  <si>
    <t>BEopt Option Unit Cost</t>
  </si>
  <si>
    <t>Actual Electricity Use / Month, Dec (BASED ON EXAMPLE DATA)</t>
  </si>
  <si>
    <t>unit</t>
  </si>
  <si>
    <t>Vented/Unvented</t>
  </si>
  <si>
    <t>Attic Vented or Unvented</t>
  </si>
  <si>
    <t>Vented</t>
  </si>
  <si>
    <t>Unvented</t>
  </si>
  <si>
    <t>Diameter</t>
  </si>
  <si>
    <t>Pipe insulation R-Value</t>
  </si>
  <si>
    <t>Trunk and branch</t>
  </si>
  <si>
    <t>Pipe material</t>
  </si>
  <si>
    <t>Copper</t>
  </si>
  <si>
    <t>Adjusted Benchmark MEL Energy (kWh/yr)</t>
  </si>
  <si>
    <r>
      <t>in</t>
    </r>
    <r>
      <rPr>
        <vertAlign val="superscript"/>
        <sz val="8"/>
        <rFont val="Arial"/>
        <family val="2"/>
      </rPr>
      <t>2</t>
    </r>
  </si>
  <si>
    <t>cfm</t>
  </si>
  <si>
    <t>G/E</t>
  </si>
  <si>
    <t>Test Date (new E-guide labels state that test was performed under the 2004 DOE procedure, otherwise use year&lt;2004)</t>
  </si>
  <si>
    <t>Ceiling Area</t>
  </si>
  <si>
    <t>AK</t>
  </si>
  <si>
    <t>CA</t>
  </si>
  <si>
    <t>Assumed gas-electric total energy split (electrical energy/gas energy)</t>
  </si>
  <si>
    <t># days</t>
  </si>
  <si>
    <t>U-Value</t>
  </si>
  <si>
    <t>and DHW)</t>
  </si>
  <si>
    <t>Standard Washer Cycles Per Year</t>
  </si>
  <si>
    <t>kg / gal</t>
  </si>
  <si>
    <t>Hard-Wired</t>
  </si>
  <si>
    <t>Fan (Ceiling)</t>
  </si>
  <si>
    <t>Assumed Water Temperature During Cold Cycle</t>
  </si>
  <si>
    <t>cuft / kWh * cycle</t>
  </si>
  <si>
    <t>gal / cuft * cycle</t>
  </si>
  <si>
    <t>(2) For MELs that are installed or provided by the builder, enter the quantity in the white boxes in the table below.</t>
  </si>
  <si>
    <t>(3) For all other MELs, enter zero for the number of units.</t>
  </si>
  <si>
    <t>Total MEL Energy (kWh/yr)</t>
  </si>
  <si>
    <t>Fixed MEL/MGL Energy (kWh/yr)</t>
  </si>
  <si>
    <t>Rosen, K., et al. "Energy Use of Televisions and Videocassette Recorders in the U.S.", LBNL-42393, March 1999.</t>
  </si>
  <si>
    <t>Total Water Consumption</t>
  </si>
  <si>
    <t>gal / hour</t>
  </si>
  <si>
    <t>Neutral Cost Analysis Worksheet</t>
  </si>
  <si>
    <t>Basement Conditioned Floor Area</t>
  </si>
  <si>
    <t>Utank</t>
  </si>
  <si>
    <t>Ducts</t>
  </si>
  <si>
    <t>kWh/yr (EnergyGuide Label)</t>
  </si>
  <si>
    <t>Mains Temperature, Apr</t>
  </si>
  <si>
    <t>Mains Temperature, May</t>
  </si>
  <si>
    <t>Clothes Dryer Sensible Load (Gas)</t>
  </si>
  <si>
    <t>Sandberg, CA</t>
  </si>
  <si>
    <t>Sandberg</t>
  </si>
  <si>
    <t>Alturas, CA</t>
  </si>
  <si>
    <t>Alturas</t>
  </si>
  <si>
    <t>Carlsbad</t>
  </si>
  <si>
    <t>Equivalent continuous ventilation rate for whole house ventilation</t>
  </si>
  <si>
    <t>Actual Elec Use / Month, Jan (BASED ON EXAMPLE DATA)</t>
  </si>
  <si>
    <t>Electricity Use / Cycle (test conditions)</t>
  </si>
  <si>
    <t>Actual Elec Use / Month, Feb (BASED ON EXAMPLE DATA)</t>
  </si>
  <si>
    <t>Actual Elec Use / Month, Mar (BASED ON EXAMPLE DATA)</t>
  </si>
  <si>
    <t>Btu/hr-F</t>
  </si>
  <si>
    <t>Freezer</t>
  </si>
  <si>
    <t>Extra Fridge</t>
  </si>
  <si>
    <t>Toaster Oven</t>
  </si>
  <si>
    <t>Fixed MGL (Therms)</t>
  </si>
  <si>
    <t>*</t>
  </si>
  <si>
    <t>None (Clothes Line)</t>
  </si>
  <si>
    <t>kWh / lb dry cloth</t>
  </si>
  <si>
    <t>YES/NO</t>
  </si>
  <si>
    <t>Standard Dryer Test Conditons and Assumptions</t>
  </si>
  <si>
    <t>Test Conditions</t>
  </si>
  <si>
    <t>Domestic Hot Water</t>
  </si>
  <si>
    <t>Mar</t>
  </si>
  <si>
    <t>Apr</t>
  </si>
  <si>
    <t>May</t>
  </si>
  <si>
    <t>Jun</t>
  </si>
  <si>
    <t>Jul</t>
  </si>
  <si>
    <t>Kitchen</t>
  </si>
  <si>
    <t>Microwave</t>
  </si>
  <si>
    <t>Water Heater</t>
  </si>
  <si>
    <t>Gas Standard</t>
  </si>
  <si>
    <t>Gas Premium</t>
  </si>
  <si>
    <t>Gas Tankless</t>
  </si>
  <si>
    <t>Annual Cost with Electric DHW</t>
  </si>
  <si>
    <t>MEL/MGL Sensible Load</t>
  </si>
  <si>
    <t>MEL/MGL Latent Load</t>
  </si>
  <si>
    <t>Clothes Dryer</t>
  </si>
  <si>
    <t>Electricity Consumption Per Year (BASED ON EXAMPLE DATA)</t>
  </si>
  <si>
    <t>Basement Floor Area - Carpeted</t>
  </si>
  <si>
    <t>Actual Hot Water Use / Month, Feb (BASED ON EXAMPLE DATA)</t>
  </si>
  <si>
    <t>Equipment Sensible</t>
  </si>
  <si>
    <t>OctHtgTempBasisOnly</t>
  </si>
  <si>
    <t>Actual Cycles / Year (BASED ON EXAMPLE DATA)</t>
  </si>
  <si>
    <t>Actual Electricity Consumption / Year (BASED ON EXAMPLE DATA)</t>
  </si>
  <si>
    <t>Trunk and branch, Copper, Basement or interior space, None</t>
  </si>
  <si>
    <t>Nbr Coefficient</t>
  </si>
  <si>
    <t>Slab</t>
  </si>
  <si>
    <t>Electricity Usage</t>
  </si>
  <si>
    <t>Occupant Sensible Load</t>
  </si>
  <si>
    <t>Occupant Latent Load</t>
  </si>
  <si>
    <t>NAHB</t>
  </si>
  <si>
    <t>Water Density</t>
  </si>
  <si>
    <t>VT</t>
  </si>
  <si>
    <t>Latitude</t>
  </si>
  <si>
    <t>HeatDesignDB</t>
  </si>
  <si>
    <t>CoolDesignDB</t>
  </si>
  <si>
    <t>None or Other</t>
  </si>
  <si>
    <t>Benchmark Fuel Type</t>
  </si>
  <si>
    <t>Heating Fuel Type</t>
  </si>
  <si>
    <t>Garage Door Opener</t>
  </si>
  <si>
    <t>Carbon Monoxide Detector</t>
  </si>
  <si>
    <t>6*</t>
  </si>
  <si>
    <t>Smoke Detectors</t>
  </si>
  <si>
    <t>Garbage Disposal</t>
  </si>
  <si>
    <t>Doorbell</t>
  </si>
  <si>
    <t>Lighting</t>
  </si>
  <si>
    <t>Wall Framing Factor</t>
  </si>
  <si>
    <t>Garage Protrusion</t>
  </si>
  <si>
    <t>Dish-Washer</t>
  </si>
  <si>
    <t>Combined DHW</t>
  </si>
  <si>
    <t>Sinks</t>
  </si>
  <si>
    <t>Actual Cold Water Used During Mixed Temp Cycles, Oct (BOED)</t>
  </si>
  <si>
    <t>Hallock, MN</t>
  </si>
  <si>
    <t>Hallock</t>
  </si>
  <si>
    <t>therms/yr/bedroom</t>
  </si>
  <si>
    <t>BAB</t>
  </si>
  <si>
    <t>Estimated kWh per Unit</t>
  </si>
  <si>
    <t>UEC</t>
  </si>
  <si>
    <t>First Color TV (Analog)</t>
  </si>
  <si>
    <t>Second Color TV (Analog)</t>
  </si>
  <si>
    <t>Third Color TV (Analog)</t>
  </si>
  <si>
    <t>Building Width</t>
  </si>
  <si>
    <t>Building Depth</t>
  </si>
  <si>
    <t>TRUE or FALSE</t>
  </si>
  <si>
    <t>YES or NO</t>
  </si>
  <si>
    <t>Electric or Gas</t>
  </si>
  <si>
    <t>vertical or horizon</t>
  </si>
  <si>
    <t>Tank or Tankless</t>
  </si>
  <si>
    <t>Btu/hr, kW</t>
  </si>
  <si>
    <t>Hard Wired Lighting Sensible Load</t>
  </si>
  <si>
    <t>Machine Energy</t>
  </si>
  <si>
    <t>Clothes Washer Sensible Load</t>
  </si>
  <si>
    <t>CEC, "Developing and Testing Low Power Mode Measurement Methods", 2004 (Draft report, prepared by LBNL)</t>
  </si>
  <si>
    <t>Newport News, VA</t>
  </si>
  <si>
    <t>Newport News</t>
  </si>
  <si>
    <t>Heating Setpoint</t>
  </si>
  <si>
    <t>RSMeans 2009</t>
  </si>
  <si>
    <t>Takagi</t>
  </si>
  <si>
    <t>Eemax</t>
  </si>
  <si>
    <t>G2F4034T3NV</t>
  </si>
  <si>
    <t>T-K1</t>
  </si>
  <si>
    <t>E1F50RD045V</t>
  </si>
  <si>
    <t>EE3Z50RD055V</t>
  </si>
  <si>
    <t>Tank</t>
  </si>
  <si>
    <t>BEopt Column 2 (Gas Use)</t>
  </si>
  <si>
    <t>Total Sensible Internal Load</t>
  </si>
  <si>
    <t>Total Latent Internal Load</t>
  </si>
  <si>
    <t>Cycles / Year (test conditions)</t>
  </si>
  <si>
    <t>Air Handler Standby Losses</t>
  </si>
  <si>
    <t>HVAC Controls</t>
  </si>
  <si>
    <t>Home Security System</t>
  </si>
  <si>
    <t>Ground Fault Circuit Interrupter (GFCI)</t>
  </si>
  <si>
    <t>Sump Pump</t>
  </si>
  <si>
    <t>Heat Lamp</t>
  </si>
  <si>
    <t>Density</t>
  </si>
  <si>
    <t>Boombox / Portable Stereo</t>
  </si>
  <si>
    <t>Compact Stereo</t>
  </si>
  <si>
    <t>Component / Rack Stereo</t>
  </si>
  <si>
    <t>BEopt Well Ordered Category</t>
  </si>
  <si>
    <t>BEopt Column 1 (Energy Factor)</t>
  </si>
  <si>
    <t>Benchmark Normalized Hourly Profiles</t>
  </si>
  <si>
    <t>Actual Total Water Consumption / Day (BASED ON EXAMPLE DATA)</t>
  </si>
  <si>
    <t>Total MGL Energy (therms/yr)</t>
  </si>
  <si>
    <t xml:space="preserve"> kWh / lb dry cloth</t>
  </si>
  <si>
    <t>Gas Range/oven Sensible Load</t>
  </si>
  <si>
    <t>Gas Range/oven Latent Load</t>
  </si>
  <si>
    <t>KY</t>
  </si>
  <si>
    <t>MT</t>
  </si>
  <si>
    <t>Lowest Standby Power (Off) (W)</t>
  </si>
  <si>
    <t>Hours/day in Lowest Standby Power Mode</t>
  </si>
  <si>
    <t>Idle or Other Stdby Power (W)</t>
  </si>
  <si>
    <t>BEopt Column 2 (Energy Factor)</t>
  </si>
  <si>
    <t>BEopt Column 3 (Energy/Cyc)</t>
  </si>
  <si>
    <t>BEopt Column 1 (MEF)</t>
  </si>
  <si>
    <t>Annual Energy Consumption (@CWAnnualEnergyConsumption)</t>
  </si>
  <si>
    <t>Gas DHW Heater Efficiency (@CWGasDHWHeaterEfficiency_Test)</t>
  </si>
  <si>
    <t>Cold Water Inlet Only? (@CWHasColdWaterInletOnly)</t>
  </si>
  <si>
    <t>CWCostofNaturalGas_Test</t>
  </si>
  <si>
    <t>Cost of Natural Gas (@CWCostofNaturalGas_Test)</t>
  </si>
  <si>
    <t>Annual Cost with Gas DHW (@CWAnnualCostwithGasDHW_Test)</t>
  </si>
  <si>
    <t>CWAnnualCostwithGasDHW_Test</t>
  </si>
  <si>
    <t>Cost of Electricity (@CWCostofElectricity_Test)</t>
  </si>
  <si>
    <t>Tank Setpoint (@DHWSupplyTemp)</t>
  </si>
  <si>
    <t>Hot Water Consumption / Cycle (test conditions) (@CW_DHWPerCycle_Test)</t>
  </si>
  <si>
    <t>Mixed Cycle Temperature (@CWMixedCycleTemperature_Test)</t>
  </si>
  <si>
    <t>Hot Water Inlet Temperature (@CWHotWaterInletTemperature_Test)</t>
  </si>
  <si>
    <t>Cold Water Inlet Temperature (@CWColdWaterInletTemp_Test)</t>
  </si>
  <si>
    <t>Hot Water Consumption / Year (test conditions) (@CW_HotWaterConsumptionPerYear_Test)</t>
  </si>
  <si>
    <t>CWHasWaterLevelFillSensor</t>
  </si>
  <si>
    <t>Water Fill Level Sensor? (@CWHasWaterLevelFillSensor)</t>
  </si>
  <si>
    <t>Electricity Consumption for DHW / Year (test conditions) (@CW_ElectricityConsumptionforDHWPerYear_Test)</t>
  </si>
  <si>
    <t>Electricity Consumption for DHW / Cycle (test conditions) (@CW_ElectricityConsumptionforDHWPerCycle_Test)</t>
  </si>
  <si>
    <t>Gas Consumption for DHW / Cycle (test conditions) (@CWGasConsumptionforDHWPerCycle_Test)</t>
  </si>
  <si>
    <t>DHW deltaT (@CW_DHWdeltaT_Test)</t>
  </si>
  <si>
    <t>Electricity Consumption / Cycle (test conditions) (@DHWPerCycle_TestCond)</t>
  </si>
  <si>
    <t>Assumed Hot Water Vol. Frac. During Cycles Using DHW (@HotWaterVolFrac)</t>
  </si>
  <si>
    <t>Thermostatic Control Valves? (@ThermostaticControl)</t>
  </si>
  <si>
    <t>ThermostaticControl</t>
  </si>
  <si>
    <t>Bottled Water</t>
  </si>
  <si>
    <t>Basement</t>
  </si>
  <si>
    <t>Insulating sheathing R-value</t>
  </si>
  <si>
    <t>Benchmark Monthly Profiles</t>
  </si>
  <si>
    <t>Month</t>
  </si>
  <si>
    <t>Mains Temp (ºF)</t>
  </si>
  <si>
    <t>Jan</t>
  </si>
  <si>
    <t>Feb</t>
  </si>
  <si>
    <t>SD</t>
  </si>
  <si>
    <t>Top loading vertical axis washer with sensor water level fill (manufacturer's literature)?</t>
  </si>
  <si>
    <t>Cooking Range</t>
  </si>
  <si>
    <t>TRNSYS</t>
  </si>
  <si>
    <t>Electric</t>
  </si>
  <si>
    <t>Oven Volume</t>
  </si>
  <si>
    <t>cuft/kWh-cyc</t>
  </si>
  <si>
    <t>gal/cuft-cyc</t>
  </si>
  <si>
    <t>State Multiplier*</t>
  </si>
  <si>
    <t>Is the Builder providing the dishwasher or are the dishwasher specifications known?</t>
  </si>
  <si>
    <t>Clothes Dryer Latent Load(Electric)</t>
  </si>
  <si>
    <t>Refrigerator</t>
  </si>
  <si>
    <t>Benchmark Characteristics</t>
  </si>
  <si>
    <t>Benchmark Energy (kWh/yr)</t>
  </si>
  <si>
    <t>Energy Information Administration, "A Look at Residential Energy Consumption in 1997"</t>
  </si>
  <si>
    <t>Fourth Color TV (Analog)</t>
  </si>
  <si>
    <t>Fifth or More Color TV (Analog)</t>
  </si>
  <si>
    <t>Digital TV</t>
  </si>
  <si>
    <t>VCR</t>
  </si>
  <si>
    <t>&gt; Water Heaters are sized, in volume, the same way as the benchmark - based on the number of bedrooms and number of bathrooms.</t>
  </si>
  <si>
    <t>Total Emittance, exterior walls/roof</t>
  </si>
  <si>
    <t>&gt; In the case where all hot water is heated internally, DHW use is zero.In the case where all hot water is heated internally, DHW use is zero.</t>
  </si>
  <si>
    <t>lb/kWh</t>
  </si>
  <si>
    <t>Fort Hood, TX</t>
  </si>
  <si>
    <t>Fort Hood</t>
  </si>
  <si>
    <t>Whidbey Island NAS, WA</t>
  </si>
  <si>
    <t>Whidbey Island NAS</t>
  </si>
  <si>
    <t>&gt; The DHW and electricity consumption of clothes washer, clothes dryer, and dishwasher options are modeled in TRNSYS. The DHW consumption associated with showers, baths, and sinks is also modeled</t>
  </si>
  <si>
    <t>kWh / cycle</t>
  </si>
  <si>
    <t>AR</t>
  </si>
  <si>
    <t>Test Conditions and Correction Factors</t>
  </si>
  <si>
    <t>lb</t>
  </si>
  <si>
    <t>Gulkana, AK</t>
  </si>
  <si>
    <t>Gulkana</t>
  </si>
  <si>
    <t>Gustavus, AK</t>
  </si>
  <si>
    <t>Gustavus</t>
  </si>
  <si>
    <t>Hayes River, AK</t>
  </si>
  <si>
    <t>Hayes River</t>
  </si>
  <si>
    <t>Hoonah, AK</t>
  </si>
  <si>
    <t>Hoonah</t>
  </si>
  <si>
    <t>Hooper Bay, AK</t>
  </si>
  <si>
    <t>Hooper Bay</t>
  </si>
  <si>
    <t>Huslia, AK</t>
  </si>
  <si>
    <t>Huslia</t>
  </si>
  <si>
    <t>Kake Seaplane Base, AK</t>
  </si>
  <si>
    <t>Kake Seaplane Base</t>
  </si>
  <si>
    <t>Mekoryuk, AK</t>
  </si>
  <si>
    <t>Mekoryuk</t>
  </si>
  <si>
    <t>Middleton Island, AK</t>
  </si>
  <si>
    <t>Middleton Island</t>
  </si>
  <si>
    <t>Minchumina, AK</t>
  </si>
  <si>
    <t>Minchumina</t>
  </si>
  <si>
    <t>Used for cell validation:</t>
  </si>
  <si>
    <t>Set @DV = RND(@ConstantAnnualRangeElec+@AnnualRangeElecPerBedroom*@NumberBedrooms,0)</t>
  </si>
  <si>
    <t>FebClgTempBasisOnly</t>
  </si>
  <si>
    <t>MarClgTempBasisOnly</t>
  </si>
  <si>
    <t>AprClgTempBasisOnly</t>
  </si>
  <si>
    <t>MayClgTempBasisOnly</t>
  </si>
  <si>
    <t>JunClgTempBasisOnly</t>
  </si>
  <si>
    <t>Benchmark Operating Energy  (kWh/yr)</t>
  </si>
  <si>
    <t>ACH</t>
  </si>
  <si>
    <t># of spot ventilation bath fans</t>
  </si>
  <si>
    <t>Actual Electricity Use / Month, Apr (BASED ON EXAMPLE DATA)</t>
  </si>
  <si>
    <t>Actual Electricity Use / Month, May (BASED ON EXAMPLE DATA)</t>
  </si>
  <si>
    <t>LBNL, "Documentation of Calculation Methodology and Input Data for the Home Energy Saver Web Site", 2003</t>
  </si>
  <si>
    <t>Krigger, J., " Residential Energy Cost Savings and Comfort for Existing Buildings", sponsored by DOE Weatherization Program, 1994</t>
  </si>
  <si>
    <t>PG&amp;E, "Residential Energy Survey Report", 1997</t>
  </si>
  <si>
    <t>Primary pipe location</t>
  </si>
  <si>
    <t>Basement or interior space</t>
  </si>
  <si>
    <t>Attic or garage</t>
  </si>
  <si>
    <t>Recirculation type</t>
  </si>
  <si>
    <t>Demand control</t>
  </si>
  <si>
    <t>Timer control</t>
  </si>
  <si>
    <t xml:space="preserve">Interior Heat Gain </t>
  </si>
  <si>
    <t>(Btu/day)</t>
  </si>
  <si>
    <t>kWh/yr</t>
  </si>
  <si>
    <t>The clothes washer uses hot and cold water inlet valves to control temperature (varies hot water volume to control wash temperature).  Use this option for machines that use hot and cold inlet valves to control wash water temperature or machines that use both inlet valves AND internal electric heaters to control temperature of the wash water.  Input obtained from the manufacturer's literature.</t>
  </si>
  <si>
    <t>Does the system have a vertical axis and water level fill sensor, yes or no?  Input obtained from the manufacturer's literature.</t>
  </si>
  <si>
    <t xml:space="preserve">The hot water temperature for systems that match the criteria CWHasColdWaterInletInly = YES.  </t>
  </si>
  <si>
    <t>The volume of water used per cycle for clothes washer types which match the criteria CWHasColdWaterInletOnly = YES.  This data should be available from the manufacturer's literature.</t>
  </si>
  <si>
    <t>Input obtained from E-guide labels.  The new E-guide labels state that the test was performed under the 2004 DOE procedure, otherwise use year &lt; 2004.</t>
  </si>
  <si>
    <t>The cost of natural gas used for rating the system.  Input is obtained from the EnergyGuide label.</t>
  </si>
  <si>
    <t>The cost of electricity used for rating the system.  Data available from the EnergyGuide label.</t>
  </si>
  <si>
    <t>The annual cost of using the system under test conditions.  Input is obtained from the EnergyGuide label.</t>
  </si>
  <si>
    <t>The temperature of cold water.</t>
  </si>
  <si>
    <t>Is there a clothes dryer?</t>
  </si>
  <si>
    <t>The type of fuel used by the clothes dryer.</t>
  </si>
  <si>
    <t>Is clothes dryer operation terminated with a moisture sensor or temperature sensor rather than a timer?</t>
  </si>
  <si>
    <t>For Gas Dryers, this is the Assumed Energy Use Ratio (Electric Energy / Gas Energy), otherwise this is 'NA'.</t>
  </si>
  <si>
    <t>The energy factor, for electric or gas systems.</t>
  </si>
  <si>
    <t>The Rated Volume Capacity of the Dryer.</t>
  </si>
  <si>
    <t>therms</t>
  </si>
  <si>
    <t>AugHtgTempBasisOnly</t>
  </si>
  <si>
    <t>SepHtgTempBasisOnly</t>
  </si>
  <si>
    <t>DHWSupplyTemp</t>
  </si>
  <si>
    <t>ColdCycleTemp</t>
  </si>
  <si>
    <t>Benchmark Sensible Load (kWh/yr)</t>
  </si>
  <si>
    <t>Benchmark Latent Load  (kWh/yr)</t>
  </si>
  <si>
    <t>**** Dryer operation is terminated with a moisture sensor or temperature sensor rather than a timer</t>
  </si>
  <si>
    <t>Total MGL Energy</t>
  </si>
  <si>
    <t>Gas Consumption / Cycle (test conditions)</t>
  </si>
  <si>
    <t>MO</t>
  </si>
  <si>
    <t>NH</t>
  </si>
  <si>
    <t>AZ</t>
  </si>
  <si>
    <t>NovHeating</t>
  </si>
  <si>
    <t>DecHeating</t>
  </si>
  <si>
    <t>JanCooling</t>
  </si>
  <si>
    <t>Sleetmute, AK</t>
  </si>
  <si>
    <t>Sleetmute</t>
  </si>
  <si>
    <t>Soldotna, AK</t>
  </si>
  <si>
    <t>Soldotna</t>
  </si>
  <si>
    <t>Unalakleet Field, AK</t>
  </si>
  <si>
    <t>Unalakleet Field</t>
  </si>
  <si>
    <t>Valdez, AK</t>
  </si>
  <si>
    <t>Valdez</t>
  </si>
  <si>
    <t>Crawlspace Vented or Unvented?</t>
  </si>
  <si>
    <t>WaterHeaterLocation</t>
  </si>
  <si>
    <t>Living</t>
  </si>
  <si>
    <t>Auto</t>
  </si>
  <si>
    <t>Actual Cold Water Used During Mixed Temp Cycles, Mar (BOED)</t>
  </si>
  <si>
    <t>kWh</t>
  </si>
  <si>
    <t>Dryer Usage Factor (fraction of washed loads requiring drying)</t>
  </si>
  <si>
    <t>Actual Electricity Use / Month, Jan (BASED ON EXAMPLE DATA)</t>
  </si>
  <si>
    <t>Sinks DHW</t>
  </si>
  <si>
    <t>(Fraction of</t>
  </si>
  <si>
    <t>Hours)</t>
  </si>
  <si>
    <t>Sensible Load</t>
  </si>
  <si>
    <t>(Occupants -</t>
  </si>
  <si>
    <t>Btu/hr)</t>
  </si>
  <si>
    <t>Latent Load</t>
  </si>
  <si>
    <t>Hour</t>
  </si>
  <si>
    <t>WI</t>
  </si>
  <si>
    <t>Vacuum Cleaner (Upright)</t>
  </si>
  <si>
    <t>Clock</t>
  </si>
  <si>
    <t>Cell Phone Charger</t>
  </si>
  <si>
    <t>Electric Blanket</t>
  </si>
  <si>
    <t>Answering Machine</t>
  </si>
  <si>
    <t>Fan (Portable)</t>
  </si>
  <si>
    <t>Air Cleaner</t>
  </si>
  <si>
    <t>Vacuum Cleaner (Cordless)</t>
  </si>
  <si>
    <t>Heating Pads</t>
  </si>
  <si>
    <t>DVD/VCR Combo</t>
  </si>
  <si>
    <t>Personal Video Recorders (DVR or TIVO)</t>
  </si>
  <si>
    <t>Home Theater (HTIB)</t>
  </si>
  <si>
    <t>Multi-Function Device</t>
  </si>
  <si>
    <t>Beard Trimmer</t>
  </si>
  <si>
    <t>Cordless Power Tool Chargers</t>
  </si>
  <si>
    <t>Cordless Phone Charger</t>
  </si>
  <si>
    <t>CWRemainingWater</t>
  </si>
  <si>
    <t>CWAnnualEnergyConsumption</t>
  </si>
  <si>
    <t>CWHasInternalHeaterAdjustment</t>
  </si>
  <si>
    <t>(Excludes space</t>
  </si>
  <si>
    <t>KEMA/Xenergy, "California Statewide Residential Appliance Saturation Study", prepared for CEC, 2004</t>
  </si>
  <si>
    <t>CookingRangeFuelType</t>
  </si>
  <si>
    <t>ClothesDryerFuelType</t>
  </si>
  <si>
    <t>WaterHeaterFuelType</t>
  </si>
  <si>
    <t>BEopt Affects Rendering</t>
  </si>
  <si>
    <t>Off / Standby  Power (W)</t>
  </si>
  <si>
    <t>Idle Power (W)</t>
  </si>
  <si>
    <t>Mains Temperature, Jan</t>
  </si>
  <si>
    <t>Mains Temperature, Feb</t>
  </si>
  <si>
    <t>Return Duct Surface Area</t>
  </si>
  <si>
    <t>JanHeating</t>
  </si>
  <si>
    <t>FebHeating</t>
  </si>
  <si>
    <t>MarHeating</t>
  </si>
  <si>
    <t>AprHeating</t>
  </si>
  <si>
    <t>MayHeating</t>
  </si>
  <si>
    <t>JunHeating</t>
  </si>
  <si>
    <t>JulHeating</t>
  </si>
  <si>
    <t>AugHeating</t>
  </si>
  <si>
    <t>SepHeating</t>
  </si>
  <si>
    <t>OctHeating</t>
  </si>
  <si>
    <t>EF if gas</t>
  </si>
  <si>
    <t>Automatic Termination Control****</t>
  </si>
  <si>
    <t>Dryer Capacity</t>
  </si>
  <si>
    <t>SepClgTempBasisOnly</t>
  </si>
  <si>
    <t>Btu / hr*sqft*F</t>
  </si>
  <si>
    <t>Tank Diameter</t>
  </si>
  <si>
    <t>Standard Test Load</t>
  </si>
  <si>
    <t>DOE2, E+</t>
  </si>
  <si>
    <t>Roswell Industrial Air Park, NM</t>
  </si>
  <si>
    <t>Roswell Industrial Air Park</t>
  </si>
  <si>
    <t>DE</t>
  </si>
  <si>
    <t>kWh / yr</t>
  </si>
  <si>
    <t>gal / yr</t>
  </si>
  <si>
    <t>gal / day</t>
  </si>
  <si>
    <t>cycles / yr</t>
  </si>
  <si>
    <t>Other</t>
  </si>
  <si>
    <t>Ref</t>
  </si>
  <si>
    <t>Annual kWh per Household (estimated)</t>
  </si>
  <si>
    <t>PEX</t>
  </si>
  <si>
    <t>Anvik, AK</t>
  </si>
  <si>
    <t>Anvik</t>
  </si>
  <si>
    <t>Denver Intl AP, CO</t>
  </si>
  <si>
    <t>Home Type (0=Single Family Detached, 1=Single Family Attached, 2=Multi-family)</t>
  </si>
  <si>
    <t>End Unit</t>
  </si>
  <si>
    <t>Middle Unit</t>
  </si>
  <si>
    <t>Top</t>
  </si>
  <si>
    <t>Bottom</t>
  </si>
  <si>
    <t xml:space="preserve">1 or 2 </t>
  </si>
  <si>
    <t>Benchmark Normalized Hourly Profiles (Common Areas)</t>
  </si>
  <si>
    <t>Common Laundry</t>
  </si>
  <si>
    <t>Equipment</t>
  </si>
  <si>
    <t>Office</t>
  </si>
  <si>
    <t>Indoor Corridor</t>
  </si>
  <si>
    <t>Workout Room</t>
  </si>
  <si>
    <t>Occ.</t>
  </si>
  <si>
    <t>Central Restroom</t>
  </si>
  <si>
    <t>How many sinks does mutli-family common area have? (Include kitch. &amp; bath)</t>
  </si>
  <si>
    <t>Number of units in multi-family complex</t>
  </si>
  <si>
    <t>How many clothes washers does common laundry room have?</t>
  </si>
  <si>
    <t>Does multi-family common area have a dishwasher?</t>
  </si>
  <si>
    <t>Does multi-family common area have a range?</t>
  </si>
  <si>
    <t>Does the multi-family common area have a refrigerator?</t>
  </si>
  <si>
    <t>Does the multi-family common area have a common laundry room?</t>
  </si>
  <si>
    <t>Calculated Values</t>
  </si>
  <si>
    <t xml:space="preserve">          Central Laundry</t>
  </si>
  <si>
    <t xml:space="preserve">          Office</t>
  </si>
  <si>
    <t xml:space="preserve">          Indoor Corridor</t>
  </si>
  <si>
    <t xml:space="preserve">          Central Restroom</t>
  </si>
  <si>
    <t xml:space="preserve">          Workout Room</t>
  </si>
  <si>
    <t xml:space="preserve">          Multi-purpose Room</t>
  </si>
  <si>
    <t>Mechanical Ventialation (Multi-family common areas)</t>
  </si>
  <si>
    <t>Multi-family Common Area Finished Floor Area</t>
  </si>
  <si>
    <t>Specific Leakage Area, Above grade</t>
  </si>
  <si>
    <t xml:space="preserve"> Specific Leakage Area (common areas)</t>
  </si>
  <si>
    <t>Effective Leakage Area (common areas)</t>
  </si>
  <si>
    <t>Seasonal Multiplier for Selected City</t>
  </si>
  <si>
    <t>Normalized Hourly Profiles for Each Month for Selected City</t>
  </si>
  <si>
    <t>Normalized Fraction</t>
  </si>
  <si>
    <t>Annual Average</t>
  </si>
  <si>
    <t>Room Type</t>
  </si>
  <si>
    <t>Fixture Type</t>
  </si>
  <si>
    <t>Fixture Lamp Type</t>
  </si>
  <si>
    <t># of Hardwired Lamps</t>
  </si>
  <si>
    <t>Average Efficacy of "Other" Lamps (lm/W)</t>
  </si>
  <si>
    <t>Total Installed Watts for Fixture/Room Combination</t>
  </si>
  <si>
    <t>Benchmark Peak Illumination (ft-candles)</t>
  </si>
  <si>
    <t>Benchmark Total Installed Lumens</t>
  </si>
  <si>
    <t>Benchmark Total Wattage</t>
  </si>
  <si>
    <t>Benchmark Hardwired kWh/yr</t>
  </si>
  <si>
    <t>Benchmark Lighting (kWh/yr)</t>
  </si>
  <si>
    <t>Bedroom</t>
  </si>
  <si>
    <t>Breakfast Nook</t>
  </si>
  <si>
    <t>Downlight Pendant</t>
  </si>
  <si>
    <t>CFL</t>
  </si>
  <si>
    <t>Closet</t>
  </si>
  <si>
    <t>Living Room</t>
  </si>
  <si>
    <t>Incandescent</t>
  </si>
  <si>
    <t>Dining</t>
  </si>
  <si>
    <t>Chandelier</t>
  </si>
  <si>
    <t>Family</t>
  </si>
  <si>
    <t>Bedroom 2</t>
  </si>
  <si>
    <t>Indirect Ceiling</t>
  </si>
  <si>
    <t>Metal Halide</t>
  </si>
  <si>
    <t>Bare Bulb</t>
  </si>
  <si>
    <t>Hall</t>
  </si>
  <si>
    <t>Foyer</t>
  </si>
  <si>
    <t>Closed Ceiling</t>
  </si>
  <si>
    <t>Master Bath</t>
  </si>
  <si>
    <t>Master Bedroom</t>
  </si>
  <si>
    <t>Master BR Closet</t>
  </si>
  <si>
    <t>Rangehood/Task</t>
  </si>
  <si>
    <t>Outdoor</t>
  </si>
  <si>
    <t>Outdoor (Front Entrance)</t>
  </si>
  <si>
    <t>Unfin Bsmt</t>
  </si>
  <si>
    <t>Rec Room</t>
  </si>
  <si>
    <t>Utility</t>
  </si>
  <si>
    <t>Bedroom 3</t>
  </si>
  <si>
    <t>Total</t>
  </si>
  <si>
    <t>Bedroom 4</t>
  </si>
  <si>
    <t>Study</t>
  </si>
  <si>
    <t>* Assumed portable lighting average COU=0.4, LLF=0.8</t>
  </si>
  <si>
    <t>** Assumed portable lighting average efficacy = Benchmark lighting efficacy for same room type</t>
  </si>
  <si>
    <t>Bedroom 2 Closet</t>
  </si>
  <si>
    <t>Hallway (1st floor)</t>
  </si>
  <si>
    <t>Powder Room</t>
  </si>
  <si>
    <t>Inputs</t>
  </si>
  <si>
    <t>Outputs</t>
  </si>
  <si>
    <t>Navigant/ TPU Summary</t>
  </si>
  <si>
    <t>Electricity Use (kWh/yr)</t>
  </si>
  <si>
    <t>Rank</t>
  </si>
  <si>
    <t>Average Efficacy (lm/W)</t>
  </si>
  <si>
    <t>Natl Avg Rooms/ house</t>
  </si>
  <si>
    <t>Million lumen-hr/year/room</t>
  </si>
  <si>
    <t>Fraction hard-wired</t>
  </si>
  <si>
    <t>Fraction portable</t>
  </si>
  <si>
    <t>Hard-wired (million lm-hr/yr/rm)</t>
  </si>
  <si>
    <t>Hard-wired (kWh/yr)</t>
  </si>
  <si>
    <t># Lamps</t>
  </si>
  <si>
    <t>Lighting Scheme</t>
  </si>
  <si>
    <t>Primary Fixture Type</t>
  </si>
  <si>
    <t>COU</t>
  </si>
  <si>
    <t>LLF</t>
  </si>
  <si>
    <t>Avg Lumens/ Lamp</t>
  </si>
  <si>
    <t>Benchmark Average Maintained Illumination (footcandles)</t>
  </si>
  <si>
    <t>TPU Rooms/ House</t>
  </si>
  <si>
    <t>Ambient + Task</t>
  </si>
  <si>
    <t>Vanity</t>
  </si>
  <si>
    <t>Globe</t>
  </si>
  <si>
    <t>Efficacies</t>
  </si>
  <si>
    <t>(lm/W)</t>
  </si>
  <si>
    <t>High Pressure Sodium</t>
  </si>
  <si>
    <t>Unf Bsmt</t>
  </si>
  <si>
    <t>LED</t>
  </si>
  <si>
    <t>Total kWh/yr</t>
  </si>
  <si>
    <t xml:space="preserve">TPU Avg Total </t>
  </si>
  <si>
    <t>From LBNL 1997 (Lighting Market Sourcebook)</t>
  </si>
  <si>
    <t>Fraction of household lighting energy that is portable (table+floor+desk lamps)</t>
  </si>
  <si>
    <t>Household lighting energy that is portable (table+floor+desk lamps) (kWh/yr)</t>
  </si>
  <si>
    <t>Fixtures</t>
  </si>
  <si>
    <t>Light Loss Factor</t>
  </si>
  <si>
    <t>Accent / Wall Washing</t>
  </si>
  <si>
    <t>Estimates Based on IESNA Guide</t>
  </si>
  <si>
    <t>High Illuminance Subzone</t>
  </si>
  <si>
    <t>Low Illuminance Subzone</t>
  </si>
  <si>
    <t>Horiz Illum Category</t>
  </si>
  <si>
    <t>Horiz Illumin. (foot-candles)</t>
  </si>
  <si>
    <t>Horiz Illum % Area</t>
  </si>
  <si>
    <t>Average Maintained Illumination (ft-candles)</t>
  </si>
  <si>
    <t>IESNA Estimated Peak Illumination (ft-candles)</t>
  </si>
  <si>
    <t>TPU Estimated Peak Illumination (footcandles)</t>
  </si>
  <si>
    <t>D</t>
  </si>
  <si>
    <t>B</t>
  </si>
  <si>
    <t>Inverted Pendant</t>
  </si>
  <si>
    <t>A</t>
  </si>
  <si>
    <t>Recessed Downlights</t>
  </si>
  <si>
    <t>Track</t>
  </si>
  <si>
    <t>Utility/Strip</t>
  </si>
  <si>
    <t>Bath 2</t>
  </si>
  <si>
    <t>Bath 3</t>
  </si>
  <si>
    <t>Bedroom 3 Closet</t>
  </si>
  <si>
    <t>Bedroom 4 Closet</t>
  </si>
  <si>
    <t>Den</t>
  </si>
  <si>
    <t>Guest Bath</t>
  </si>
  <si>
    <t>Hall Closet</t>
  </si>
  <si>
    <t>Hallway (2nd floor)</t>
  </si>
  <si>
    <t>Library</t>
  </si>
  <si>
    <t>Outdoor (Back Entrance)</t>
  </si>
  <si>
    <t>% of total annual energy</t>
  </si>
  <si>
    <t>RLW 2007</t>
  </si>
  <si>
    <t>June Solst</t>
  </si>
  <si>
    <t>RLW Analytics, "Extended Residential Logging Results, May 2, 2005.</t>
  </si>
  <si>
    <t>RLW 2005 (New England)</t>
  </si>
  <si>
    <t>NEES 1994 (New England)</t>
  </si>
  <si>
    <t>Stokes 2003 (UK)</t>
  </si>
  <si>
    <t>Bench 2010 (London)</t>
  </si>
  <si>
    <t>% On - Winter</t>
  </si>
  <si>
    <t>% On - Summer</t>
  </si>
  <si>
    <t>Avg</t>
  </si>
  <si>
    <t>Day #</t>
  </si>
  <si>
    <t>Month #</t>
  </si>
  <si>
    <t>(92 dataloggers in 44 homes in MA, VT, and RI)</t>
  </si>
  <si>
    <t>New England Electric Systems, "Residential Lighting Study", 1994</t>
  </si>
  <si>
    <t>Dec Solst</t>
  </si>
  <si>
    <t>(As cited in RLW study)</t>
  </si>
  <si>
    <t>RLW Analytics, "Concidence Factor Study: Residential and Commercial</t>
  </si>
  <si>
    <t>&amp; Industrial Lighting Measures", 2007</t>
  </si>
  <si>
    <t xml:space="preserve">Aug </t>
  </si>
  <si>
    <t>Sunrise:</t>
  </si>
  <si>
    <t>Sunset:</t>
  </si>
  <si>
    <t>U.S. Avg</t>
  </si>
  <si>
    <t>Average</t>
  </si>
  <si>
    <t>Hrly Profile</t>
  </si>
  <si>
    <t>Ann Avg</t>
  </si>
  <si>
    <t>Ann Hrly Avg</t>
  </si>
  <si>
    <t>(100 UK Homes)</t>
  </si>
  <si>
    <t>Stokes 2003</t>
  </si>
  <si>
    <t>kW - March</t>
  </si>
  <si>
    <t>kW - Sept</t>
  </si>
  <si>
    <t>kW - December</t>
  </si>
  <si>
    <t>kW - June</t>
  </si>
  <si>
    <t>Hrly Fract - Winter</t>
  </si>
  <si>
    <t>Hrly Fract - Summer</t>
  </si>
  <si>
    <t>Avg kW</t>
  </si>
  <si>
    <t>1st Gaussian Characteristics</t>
  </si>
  <si>
    <t>Ampl Const</t>
  </si>
  <si>
    <t>Ampl Mult</t>
  </si>
  <si>
    <t>Sunset lag</t>
  </si>
  <si>
    <t>Mean Sun Mult</t>
  </si>
  <si>
    <t>Std Dev Cons</t>
  </si>
  <si>
    <t>St Dev Mult</t>
  </si>
  <si>
    <t>Reference Energy (St. Louis)</t>
  </si>
  <si>
    <t>Geographic Multiplier for Selected City</t>
  </si>
  <si>
    <t>Total (kWh/day)</t>
  </si>
  <si>
    <t>Days</t>
  </si>
  <si>
    <t>Seasonal Mult</t>
  </si>
  <si>
    <t>U.S. Avg Seasonal Mult</t>
  </si>
  <si>
    <t>Simulated kWh/day:</t>
  </si>
  <si>
    <t>Stokes kWh/day:</t>
  </si>
  <si>
    <t>RLW 2005</t>
  </si>
  <si>
    <t>NEES 1994</t>
  </si>
  <si>
    <t>WBAN#</t>
  </si>
  <si>
    <t>Niagara Falls, NY</t>
  </si>
  <si>
    <t>Sunset</t>
  </si>
  <si>
    <t>Sunrise</t>
  </si>
  <si>
    <t>State/Province</t>
  </si>
  <si>
    <t>City/State</t>
  </si>
  <si>
    <t>Country</t>
  </si>
  <si>
    <t>Latitude (N+/S-)</t>
  </si>
  <si>
    <t>Longitude (E+/W-)</t>
  </si>
  <si>
    <t>TimeZone (GMT+/-)</t>
  </si>
  <si>
    <t>Elevation {m}</t>
  </si>
  <si>
    <t>Abbotsford</t>
  </si>
  <si>
    <t>BC</t>
  </si>
  <si>
    <t>CAN</t>
  </si>
  <si>
    <t>Longitude</t>
  </si>
  <si>
    <t>Abilene</t>
  </si>
  <si>
    <t>USA</t>
  </si>
  <si>
    <t>Anchorage/Elmendorf AFB, AK</t>
  </si>
  <si>
    <t>Time Zone</t>
  </si>
  <si>
    <t>Anchorage/Fort Richardson, AK</t>
  </si>
  <si>
    <t>Standard Longitude</t>
  </si>
  <si>
    <t>Akron/Canton</t>
  </si>
  <si>
    <t>Anchorage/Int'l Airport, AK</t>
  </si>
  <si>
    <t>Julian Day (day of year)</t>
  </si>
  <si>
    <t>Alameda/NAS</t>
  </si>
  <si>
    <t>Annette, AK</t>
  </si>
  <si>
    <t>Sunrise (Local Std Time)</t>
  </si>
  <si>
    <t>hours</t>
  </si>
  <si>
    <t>Alamogordo/Holloman AFB</t>
  </si>
  <si>
    <t>Barrow, AK</t>
  </si>
  <si>
    <t>Sunset (Local Std Time)</t>
  </si>
  <si>
    <t>Alamosa</t>
  </si>
  <si>
    <t>Bethel, AK</t>
  </si>
  <si>
    <t>Albany</t>
  </si>
  <si>
    <t>Bettles, AK</t>
  </si>
  <si>
    <t>Altitude</t>
  </si>
  <si>
    <t>km</t>
  </si>
  <si>
    <t>Big Delta/Ft Greely, AK</t>
  </si>
  <si>
    <t>Time</t>
  </si>
  <si>
    <t>Albuquerque</t>
  </si>
  <si>
    <t>Cold Bay, AK</t>
  </si>
  <si>
    <t>Year</t>
  </si>
  <si>
    <t>Alexandria</t>
  </si>
  <si>
    <t>Surface Angle</t>
  </si>
  <si>
    <t>deg from horizontal</t>
  </si>
  <si>
    <t>Alexandria/England AFB</t>
  </si>
  <si>
    <t>Surface Azimuth</t>
  </si>
  <si>
    <t>deg (-90=East, 0=South, 90=West)</t>
  </si>
  <si>
    <t>Allentown</t>
  </si>
  <si>
    <t>Dillingham, AK</t>
  </si>
  <si>
    <t>Ground Reflectance</t>
  </si>
  <si>
    <t>Alpena</t>
  </si>
  <si>
    <t>Fairbanks/Eielson AFB, AK</t>
  </si>
  <si>
    <t>London Reference Data for N Alaska</t>
  </si>
  <si>
    <t>Altoona</t>
  </si>
  <si>
    <t>Fairbanks/Int'l Airport, AK</t>
  </si>
  <si>
    <t>Incidence angle on horizontal</t>
  </si>
  <si>
    <t>Altus/AFB</t>
  </si>
  <si>
    <t>Galena, AK</t>
  </si>
  <si>
    <t>Incidence angle on surface</t>
  </si>
  <si>
    <t>Amarillo</t>
  </si>
  <si>
    <t>Solar Zenith Angle</t>
  </si>
  <si>
    <t>Anchorage/Elmendorf AFB</t>
  </si>
  <si>
    <t>Homer, AK</t>
  </si>
  <si>
    <t>Extraterrestrial Horizontal</t>
  </si>
  <si>
    <r>
      <t>W/m</t>
    </r>
    <r>
      <rPr>
        <vertAlign val="superscript"/>
        <sz val="10"/>
        <color indexed="12"/>
        <rFont val="Arial"/>
        <family val="2"/>
      </rPr>
      <t>2</t>
    </r>
  </si>
  <si>
    <t>Anchorage/Fort Richardson</t>
  </si>
  <si>
    <t>Juneau, AK</t>
  </si>
  <si>
    <t>Clear-Day Horizontal Beam</t>
  </si>
  <si>
    <t>Anchorage/Int'l Airport</t>
  </si>
  <si>
    <t>Kenai, AK</t>
  </si>
  <si>
    <t>Clear-Day Horizontal Diffuse</t>
  </si>
  <si>
    <t>Annette</t>
  </si>
  <si>
    <t>Ketchikan, AK</t>
  </si>
  <si>
    <t>Clear-Day Global Horizontal</t>
  </si>
  <si>
    <t>Anniston</t>
  </si>
  <si>
    <t>King Salmon, AK</t>
  </si>
  <si>
    <t>Global Radiation on Surface</t>
  </si>
  <si>
    <t>Apalachicola</t>
  </si>
  <si>
    <t>Arcata/Eureka</t>
  </si>
  <si>
    <t>Kodiak/State USCG Base, AK</t>
  </si>
  <si>
    <t>Armstrong</t>
  </si>
  <si>
    <t>ON</t>
  </si>
  <si>
    <t>Kotzebue, AK</t>
  </si>
  <si>
    <t>CAN08</t>
  </si>
  <si>
    <t>McGrath, AK</t>
  </si>
  <si>
    <t>Asheville</t>
  </si>
  <si>
    <t>Astoria</t>
  </si>
  <si>
    <t>Nenana, AK</t>
  </si>
  <si>
    <t>Athens</t>
  </si>
  <si>
    <t>Nome, AK</t>
  </si>
  <si>
    <t>Atikokan</t>
  </si>
  <si>
    <t>Northway, AK</t>
  </si>
  <si>
    <t>Atlanta</t>
  </si>
  <si>
    <t>Atlantic City</t>
  </si>
  <si>
    <t>Saint Paul Island, AK</t>
  </si>
  <si>
    <t>Augusta</t>
  </si>
  <si>
    <t>Sitka, AK</t>
  </si>
  <si>
    <t>Summit, AK</t>
  </si>
  <si>
    <t>Austin</t>
  </si>
  <si>
    <t>Talkeetna, AK</t>
  </si>
  <si>
    <t>Bagotville</t>
  </si>
  <si>
    <t>PQ</t>
  </si>
  <si>
    <t>Baie Comeau</t>
  </si>
  <si>
    <t>Yakutat, AK</t>
  </si>
  <si>
    <t>Baker Lake</t>
  </si>
  <si>
    <t>NU</t>
  </si>
  <si>
    <t>Anniston, AL</t>
  </si>
  <si>
    <t>Bakersfield</t>
  </si>
  <si>
    <t>Birmingham, AL</t>
  </si>
  <si>
    <t>Bangor</t>
  </si>
  <si>
    <t>Dothan, AL</t>
  </si>
  <si>
    <t>Bangor/Dow AFB</t>
  </si>
  <si>
    <t>Huntsville, AL</t>
  </si>
  <si>
    <t>Barrow</t>
  </si>
  <si>
    <t>Mobile, AL</t>
  </si>
  <si>
    <t>Barstow/Daggett</t>
  </si>
  <si>
    <t>Montgomery, AL</t>
  </si>
  <si>
    <t>Baton Rouge</t>
  </si>
  <si>
    <t>Muscle Shoals/Florence, AL</t>
  </si>
  <si>
    <t>Battle Harbour</t>
  </si>
  <si>
    <t>NF</t>
  </si>
  <si>
    <t>Ozark/Fort Rucker, AL</t>
  </si>
  <si>
    <t>CAN06</t>
  </si>
  <si>
    <t>Tuscaloosa, AL</t>
  </si>
  <si>
    <t>Beaufort/MCAS</t>
  </si>
  <si>
    <t>Blytheville/Eaker AFB, AR</t>
  </si>
  <si>
    <t>Beaumont/Port Arthur</t>
  </si>
  <si>
    <t>Fayetteville, AR</t>
  </si>
  <si>
    <t>Beeville/Chase Field NAS</t>
  </si>
  <si>
    <t>Fort Smith, AR</t>
  </si>
  <si>
    <t>Belleville/Scott AFB</t>
  </si>
  <si>
    <t>Little Rock/AFB, AR</t>
  </si>
  <si>
    <t>Bellevue/Offutt AFB</t>
  </si>
  <si>
    <t>Texarkana, AR</t>
  </si>
  <si>
    <t>Bellingham</t>
  </si>
  <si>
    <t>Flagstaff, AZ</t>
  </si>
  <si>
    <t>Bethel</t>
  </si>
  <si>
    <t>Kingman, AZ</t>
  </si>
  <si>
    <t>Bettles</t>
  </si>
  <si>
    <t>Page, AZ</t>
  </si>
  <si>
    <t>Big Delta/Ft Greely</t>
  </si>
  <si>
    <t>Phoenix/Int'l Airport, AZ</t>
  </si>
  <si>
    <t>Big Piney</t>
  </si>
  <si>
    <t>Phoenix/Luke AFB, AZ</t>
  </si>
  <si>
    <t>Big Trout Lake</t>
  </si>
  <si>
    <t>Prescott, AZ</t>
  </si>
  <si>
    <t>Billings</t>
  </si>
  <si>
    <t>Safford/Agri Center, AZ</t>
  </si>
  <si>
    <t>Biloxi/Keesler AFB</t>
  </si>
  <si>
    <t>Tucson, AZ</t>
  </si>
  <si>
    <t>Binghamton</t>
  </si>
  <si>
    <t>Winslow, AZ</t>
  </si>
  <si>
    <t>Birmingham</t>
  </si>
  <si>
    <t>Yuma, AZ</t>
  </si>
  <si>
    <t>Bismarck</t>
  </si>
  <si>
    <t>Abbotsford, BC</t>
  </si>
  <si>
    <t>Blue Canyon</t>
  </si>
  <si>
    <t>Cape St James, BC</t>
  </si>
  <si>
    <t>Bluefield</t>
  </si>
  <si>
    <t>Castlegar, BC</t>
  </si>
  <si>
    <t>Blytheville/Eaker AFB</t>
  </si>
  <si>
    <t>Comox, BC</t>
  </si>
  <si>
    <t>Boise</t>
  </si>
  <si>
    <t>Cranbrook, BC</t>
  </si>
  <si>
    <t>Bonavista</t>
  </si>
  <si>
    <t>Fort Nelson, BC</t>
  </si>
  <si>
    <t>Bossier City/Barksdale AFB</t>
  </si>
  <si>
    <t>Fort St John, BC</t>
  </si>
  <si>
    <t>Boston</t>
  </si>
  <si>
    <t>Kamloops, BC</t>
  </si>
  <si>
    <t>Penticton, BC</t>
  </si>
  <si>
    <t>Boulder</t>
  </si>
  <si>
    <t>Port Hardy, BC</t>
  </si>
  <si>
    <t>Bowling Green</t>
  </si>
  <si>
    <t>Prince George, BC</t>
  </si>
  <si>
    <t>Bozeman</t>
  </si>
  <si>
    <t>Prince Rupert, BC</t>
  </si>
  <si>
    <t>Bradford</t>
  </si>
  <si>
    <t>Quesnel, BC</t>
  </si>
  <si>
    <t>Brainerd/Pequot Lakes</t>
  </si>
  <si>
    <t>Sandspit, BC</t>
  </si>
  <si>
    <t>Brandon</t>
  </si>
  <si>
    <t>MB</t>
  </si>
  <si>
    <t>Smithers, BC</t>
  </si>
  <si>
    <t>Bridgeport</t>
  </si>
  <si>
    <t>Spring Island, BC</t>
  </si>
  <si>
    <t>Bristol</t>
  </si>
  <si>
    <t>Broadview</t>
  </si>
  <si>
    <t>SK</t>
  </si>
  <si>
    <t>Summerland, BC</t>
  </si>
  <si>
    <t>Brownsville</t>
  </si>
  <si>
    <t>Terrace, BC</t>
  </si>
  <si>
    <t>Brunswick</t>
  </si>
  <si>
    <t>Tofino, BC</t>
  </si>
  <si>
    <t>Brunswick/NAS</t>
  </si>
  <si>
    <t>Vancouver Int'l, BC</t>
  </si>
  <si>
    <t>Bryce Canyon</t>
  </si>
  <si>
    <t>Buffalo</t>
  </si>
  <si>
    <t>Victoria Int'l, BC</t>
  </si>
  <si>
    <t>Burbank/Glendale</t>
  </si>
  <si>
    <t>Williams Lake, BC</t>
  </si>
  <si>
    <t>Burley</t>
  </si>
  <si>
    <t>Alameda/NAS, CA</t>
  </si>
  <si>
    <t>Burlington</t>
  </si>
  <si>
    <t>Arcata/Eureka, CA</t>
  </si>
  <si>
    <t>Bakersfield, CA</t>
  </si>
  <si>
    <t>Burns</t>
  </si>
  <si>
    <t>Barstow/Daggett, CA</t>
  </si>
  <si>
    <t>Butte</t>
  </si>
  <si>
    <t>Blue Canyon, CA</t>
  </si>
  <si>
    <t>Cambridge Bay</t>
  </si>
  <si>
    <t>Burbank/Glendale, CA</t>
  </si>
  <si>
    <t>Camp Springs/Andrews AFB</t>
  </si>
  <si>
    <t>China Lake, CA</t>
  </si>
  <si>
    <t>Cape Canaveral NASA Shuttle FC</t>
  </si>
  <si>
    <t>El Centro, CA</t>
  </si>
  <si>
    <t>Cape Girardeau</t>
  </si>
  <si>
    <t>El Toro MCAS, CA</t>
  </si>
  <si>
    <t>Cape Parry</t>
  </si>
  <si>
    <t>NT</t>
  </si>
  <si>
    <t>Fairfield/Travis AFB, CA</t>
  </si>
  <si>
    <t>Cape St James</t>
  </si>
  <si>
    <t>Fresno, CA</t>
  </si>
  <si>
    <t>Caribou</t>
  </si>
  <si>
    <t>Lancaster/Palmdale, CA</t>
  </si>
  <si>
    <t>Lemoore/Reeves NAS, CA</t>
  </si>
  <si>
    <t>Cartwright</t>
  </si>
  <si>
    <t>Long Beach, CA</t>
  </si>
  <si>
    <t>Casper</t>
  </si>
  <si>
    <t>Los Angeles, CA</t>
  </si>
  <si>
    <t>Castlegar</t>
  </si>
  <si>
    <t>Marysville/Yuba City/Beale AFB, CA</t>
  </si>
  <si>
    <t>Cedar City</t>
  </si>
  <si>
    <t>Merced/Castle AFB, CA</t>
  </si>
  <si>
    <t>Cedar Rapids</t>
  </si>
  <si>
    <t>Mount Shasta, CA</t>
  </si>
  <si>
    <t>Central Islip</t>
  </si>
  <si>
    <t>Mountain View/Moffet NAS, CA</t>
  </si>
  <si>
    <t>Chamberlain</t>
  </si>
  <si>
    <t>Oakland, CA</t>
  </si>
  <si>
    <t>Charleston</t>
  </si>
  <si>
    <t>Ontario, CA</t>
  </si>
  <si>
    <t>Oxnard/Point Mugu NF, CA</t>
  </si>
  <si>
    <t>Charlo</t>
  </si>
  <si>
    <t>NB</t>
  </si>
  <si>
    <t>Pasadena, CA</t>
  </si>
  <si>
    <t>Charlotte</t>
  </si>
  <si>
    <t>Charlottetown CDA</t>
  </si>
  <si>
    <t>PE</t>
  </si>
  <si>
    <t>Paso Robles, CA</t>
  </si>
  <si>
    <t>Chatham</t>
  </si>
  <si>
    <t>Red Bluff, CA</t>
  </si>
  <si>
    <t>Chattanooga</t>
  </si>
  <si>
    <t>Riverside/March AFB, CA</t>
  </si>
  <si>
    <t>Chesterfield</t>
  </si>
  <si>
    <t>Cheyenne/Warren AFB</t>
  </si>
  <si>
    <t>Sacramento/Mather Field, CA</t>
  </si>
  <si>
    <t>Chicago/Midway</t>
  </si>
  <si>
    <t>Sacramento/Mcclellan AFB, CA</t>
  </si>
  <si>
    <t>Chicago/O'Hare Int'l Airport</t>
  </si>
  <si>
    <t>Sacramento/Metro, CA</t>
  </si>
  <si>
    <t>China Lake</t>
  </si>
  <si>
    <t>Salinas, CA</t>
  </si>
  <si>
    <t>Churchill</t>
  </si>
  <si>
    <t>San Bernardino/Norton AFB, CA</t>
  </si>
  <si>
    <t>Cincinnati/Lunken Field</t>
  </si>
  <si>
    <t>San Diego/Int'l Airport, CA</t>
  </si>
  <si>
    <t>Clayton</t>
  </si>
  <si>
    <t>San Diego/Miramar NAS, CA</t>
  </si>
  <si>
    <t>Cleveland</t>
  </si>
  <si>
    <t>San Francisco, CA</t>
  </si>
  <si>
    <t>Clovis/Cannon AFB</t>
  </si>
  <si>
    <t>San Jose Int'l Airport, CA</t>
  </si>
  <si>
    <t>Cody</t>
  </si>
  <si>
    <t>Santa Barbara, CA</t>
  </si>
  <si>
    <t>Cold Bay</t>
  </si>
  <si>
    <t>Santa Maria, CA</t>
  </si>
  <si>
    <t>College Station/Bryan</t>
  </si>
  <si>
    <t>Santa Rosa, CA</t>
  </si>
  <si>
    <t>Colorado Springs</t>
  </si>
  <si>
    <t>Columbia</t>
  </si>
  <si>
    <t>Stockton, CA</t>
  </si>
  <si>
    <t>Victorville/George AFB, CA</t>
  </si>
  <si>
    <t>Columbus/AFB</t>
  </si>
  <si>
    <t>Alamosa, CO</t>
  </si>
  <si>
    <t>Columbus/Fort Benning</t>
  </si>
  <si>
    <t>Boulder, CO</t>
  </si>
  <si>
    <t>Columbus/Int'l Airport</t>
  </si>
  <si>
    <t>Colorado Springs, CO</t>
  </si>
  <si>
    <t>Columbus/Metro Airport</t>
  </si>
  <si>
    <t>Craig, CO</t>
  </si>
  <si>
    <t>Columbus/Rickenbacker AFB</t>
  </si>
  <si>
    <t>Denver-Stapleton, CO</t>
  </si>
  <si>
    <t>Comox</t>
  </si>
  <si>
    <t>Eagle, CO</t>
  </si>
  <si>
    <t>Concord</t>
  </si>
  <si>
    <t>Grand Junction, CO</t>
  </si>
  <si>
    <t>Concordia</t>
  </si>
  <si>
    <t>Limon, CO</t>
  </si>
  <si>
    <t>Coral Harbour</t>
  </si>
  <si>
    <t>Pueblo, CO</t>
  </si>
  <si>
    <t>Trinidad, CO</t>
  </si>
  <si>
    <t>Corpus Christi</t>
  </si>
  <si>
    <t>Bridgeport, CT</t>
  </si>
  <si>
    <t>Covington/Cincinnati OH/Int'l</t>
  </si>
  <si>
    <t>Hartford/Brainard Field, CT</t>
  </si>
  <si>
    <t>Craig</t>
  </si>
  <si>
    <t>Windsor Locks/Bradley Field, CT</t>
  </si>
  <si>
    <t>Cranbrook</t>
  </si>
  <si>
    <t>Dover/AFB, DE</t>
  </si>
  <si>
    <t>Crossville</t>
  </si>
  <si>
    <t>Wilmington, DE</t>
  </si>
  <si>
    <t>Cut Bank</t>
  </si>
  <si>
    <t>EN</t>
  </si>
  <si>
    <t>London, EN</t>
  </si>
  <si>
    <t>Dallas/Fort Worth/Int'l Airport</t>
  </si>
  <si>
    <t>Apalachicola, FL</t>
  </si>
  <si>
    <t>Daniels Harbour</t>
  </si>
  <si>
    <t>Cape Canaveral NASA Shuttle FC, FL</t>
  </si>
  <si>
    <t>Dauphin</t>
  </si>
  <si>
    <t>Daytona Beach, FL</t>
  </si>
  <si>
    <t>Dayton/Int'l Airport</t>
  </si>
  <si>
    <t>Fort Lauderdale/Hollywood, FL</t>
  </si>
  <si>
    <t>Dayton/Wright-Paterson AFB</t>
  </si>
  <si>
    <t>Fort Myers, FL</t>
  </si>
  <si>
    <t>Daytona Beach</t>
  </si>
  <si>
    <t>Gainesville, FL</t>
  </si>
  <si>
    <t>Homestead/AFB, FL</t>
  </si>
  <si>
    <t>Decatur</t>
  </si>
  <si>
    <t>Jacksonville/Cecil Field NAS, FL</t>
  </si>
  <si>
    <t>Deer Lake</t>
  </si>
  <si>
    <t>Jacksonville/Int'l Airport, FL</t>
  </si>
  <si>
    <t>Del Rio/Laughlin AFB</t>
  </si>
  <si>
    <t>Jacksonville/Mayport NS, FL</t>
  </si>
  <si>
    <t>Key West, FL</t>
  </si>
  <si>
    <t>Denver-Stapleton</t>
  </si>
  <si>
    <t>Melbourne, FL</t>
  </si>
  <si>
    <t>Des Moines</t>
  </si>
  <si>
    <t>Miami/Int'l Airport, FL</t>
  </si>
  <si>
    <t>Detroit/City</t>
  </si>
  <si>
    <t>Miami/Kendall/New Tamiami Airport, FL</t>
  </si>
  <si>
    <t>Detroit/Metro</t>
  </si>
  <si>
    <t>Milton/Whiting Field NAS, FL</t>
  </si>
  <si>
    <t>Devils Lake</t>
  </si>
  <si>
    <t>Orlando, FL</t>
  </si>
  <si>
    <t>Dillingham</t>
  </si>
  <si>
    <t>Dillon</t>
  </si>
  <si>
    <t>Panama City/Tyndall AFB, FL</t>
  </si>
  <si>
    <t>Dodge City</t>
  </si>
  <si>
    <t>Pensacola/Forest Sherman AFB, FL</t>
  </si>
  <si>
    <t>Dothan</t>
  </si>
  <si>
    <t>Saint Petersburg, FL</t>
  </si>
  <si>
    <t>Dover/AFB</t>
  </si>
  <si>
    <t>Sarasota/Bradenton, FL</t>
  </si>
  <si>
    <t>Du Bois</t>
  </si>
  <si>
    <t>Tallahassee, FL</t>
  </si>
  <si>
    <t>Duluth</t>
  </si>
  <si>
    <t>Tampa/Int'l Airport, FL</t>
  </si>
  <si>
    <t>Eagle</t>
  </si>
  <si>
    <t>Valparaiso/Eglin AFB, FL</t>
  </si>
  <si>
    <t>Earlton</t>
  </si>
  <si>
    <t>Vero Beach, FL</t>
  </si>
  <si>
    <t>East Falmouth/Otis ANGB</t>
  </si>
  <si>
    <t>West Palm Beach, FL</t>
  </si>
  <si>
    <t>Eau Claire</t>
  </si>
  <si>
    <t>Albany, GA</t>
  </si>
  <si>
    <t>El Centro</t>
  </si>
  <si>
    <t>Athens, GA</t>
  </si>
  <si>
    <t>CTZ15</t>
  </si>
  <si>
    <t>Atlanta, GA</t>
  </si>
  <si>
    <t>El Paso</t>
  </si>
  <si>
    <t>Augusta, GA</t>
  </si>
  <si>
    <t>Brunswick, GA</t>
  </si>
  <si>
    <t>El Toro MCAS</t>
  </si>
  <si>
    <t>Columbus/Fort Benning, GA</t>
  </si>
  <si>
    <t>Elkins</t>
  </si>
  <si>
    <t>Columbus/Metro Airport, GA</t>
  </si>
  <si>
    <t>Elko</t>
  </si>
  <si>
    <t>Macon, GA</t>
  </si>
  <si>
    <t>Elmira/Corning</t>
  </si>
  <si>
    <t>Marietta/Dobbins AFB, GA</t>
  </si>
  <si>
    <t>Ely</t>
  </si>
  <si>
    <t>Rome, GA</t>
  </si>
  <si>
    <t>Enid/Vance AFB</t>
  </si>
  <si>
    <t>Savannah, GA</t>
  </si>
  <si>
    <t>Erie</t>
  </si>
  <si>
    <t>Valdosta/Moody AFB, GA</t>
  </si>
  <si>
    <t>Estevan</t>
  </si>
  <si>
    <t>Valdosta/Regional Airport, GA</t>
  </si>
  <si>
    <t>Eugene</t>
  </si>
  <si>
    <t>Waycross, GA</t>
  </si>
  <si>
    <t>Eureka</t>
  </si>
  <si>
    <t>Ewa/Barbers Point NAS, HI</t>
  </si>
  <si>
    <t>Evansville</t>
  </si>
  <si>
    <t>Hilo, HI</t>
  </si>
  <si>
    <t>Ewa/Barbers Point NAS</t>
  </si>
  <si>
    <t>Honolulu, HI</t>
  </si>
  <si>
    <t>Fairbanks/Eielson AFB</t>
  </si>
  <si>
    <t>Kahului, HI</t>
  </si>
  <si>
    <t>Fairbanks/Int'l Airport</t>
  </si>
  <si>
    <t>Kaneohe/MCAS, HI</t>
  </si>
  <si>
    <t>Fairfield/Travis AFB</t>
  </si>
  <si>
    <t>Lihue, HI</t>
  </si>
  <si>
    <t>Fargo</t>
  </si>
  <si>
    <t>Molokai, HI</t>
  </si>
  <si>
    <t>Farmington</t>
  </si>
  <si>
    <t>Burlington, IA</t>
  </si>
  <si>
    <t>Fayetteville</t>
  </si>
  <si>
    <t>Cedar Rapids, IA</t>
  </si>
  <si>
    <t>Fayetteville/Fort Bragg</t>
  </si>
  <si>
    <t>Des Moines, IA</t>
  </si>
  <si>
    <t>Findlay</t>
  </si>
  <si>
    <t>Fort Dodge, IA</t>
  </si>
  <si>
    <t>Flagstaff</t>
  </si>
  <si>
    <t>Lamoni, IA</t>
  </si>
  <si>
    <t>Flint</t>
  </si>
  <si>
    <t>Mason City, IA</t>
  </si>
  <si>
    <t>Florence</t>
  </si>
  <si>
    <t>Ottumwa, IA</t>
  </si>
  <si>
    <t>Fort Belvoir</t>
  </si>
  <si>
    <t>Sioux City, IA</t>
  </si>
  <si>
    <t>Fort Campbell/AAF</t>
  </si>
  <si>
    <t>Spencer, IA</t>
  </si>
  <si>
    <t>Fort Dodge</t>
  </si>
  <si>
    <t>Waterloo, IA</t>
  </si>
  <si>
    <t>Fort Knox/Godman AAF</t>
  </si>
  <si>
    <t>Boise, ID</t>
  </si>
  <si>
    <t>Fort Lauderdale/Hollywood</t>
  </si>
  <si>
    <t>Burley, ID</t>
  </si>
  <si>
    <t>Fort Myers</t>
  </si>
  <si>
    <t>Idaho Falls, ID</t>
  </si>
  <si>
    <t>Fort Nelson</t>
  </si>
  <si>
    <t>Lewiston, ID</t>
  </si>
  <si>
    <t>Fort Smith</t>
  </si>
  <si>
    <t>Mountain Home/AFB, ID</t>
  </si>
  <si>
    <t>Mullan, ID</t>
  </si>
  <si>
    <t>Fort St John</t>
  </si>
  <si>
    <t>Pocatello, ID</t>
  </si>
  <si>
    <t>Fort Wayne</t>
  </si>
  <si>
    <t>Belleville/Scott AFB, IL</t>
  </si>
  <si>
    <t>Fort Worth/Carswell AFB</t>
  </si>
  <si>
    <t>Chicago/Midway, IL</t>
  </si>
  <si>
    <t>Fort Worth/Meacham Field</t>
  </si>
  <si>
    <t>Chicago/O'Hare Int'l Airport, IL</t>
  </si>
  <si>
    <t>Fredericton</t>
  </si>
  <si>
    <t>Decatur, IL</t>
  </si>
  <si>
    <t>Fresno</t>
  </si>
  <si>
    <t>Glenview/NAS, IL</t>
  </si>
  <si>
    <t>Ft Riley/Marshall AAF</t>
  </si>
  <si>
    <t>Marseilles, IL</t>
  </si>
  <si>
    <t>Gainesville</t>
  </si>
  <si>
    <t>Moline/Davenport IA, IL</t>
  </si>
  <si>
    <t>Galena</t>
  </si>
  <si>
    <t>Peoria, IL</t>
  </si>
  <si>
    <t>Gallup</t>
  </si>
  <si>
    <t>Quincy, IL</t>
  </si>
  <si>
    <t>Gander Int'l</t>
  </si>
  <si>
    <t>Rockford, IL</t>
  </si>
  <si>
    <t>Garden City</t>
  </si>
  <si>
    <t>Springfield, IL</t>
  </si>
  <si>
    <t>Geraldton</t>
  </si>
  <si>
    <t>West Chicago, IL</t>
  </si>
  <si>
    <t>CAN10</t>
  </si>
  <si>
    <t>Evansville, IN</t>
  </si>
  <si>
    <t>Gillette</t>
  </si>
  <si>
    <t>Fort Wayne, IN</t>
  </si>
  <si>
    <t>Glasgow</t>
  </si>
  <si>
    <t>Indianapolis, IN</t>
  </si>
  <si>
    <t>Glen Burnie/Baltimore/BWI Airp</t>
  </si>
  <si>
    <t>Lafayette/Purdue Univ, IN</t>
  </si>
  <si>
    <t>Glens Falls</t>
  </si>
  <si>
    <t>Peru/Grissom AFB, IN</t>
  </si>
  <si>
    <t>Glenview/NAS</t>
  </si>
  <si>
    <t>South Bend, IN</t>
  </si>
  <si>
    <t>Goldsboro/Seymour Johnson AFB</t>
  </si>
  <si>
    <t>Terre Haute, IN</t>
  </si>
  <si>
    <t>Goodland</t>
  </si>
  <si>
    <t>Concordia, KS</t>
  </si>
  <si>
    <t>Goose</t>
  </si>
  <si>
    <t>Dodge City, KS</t>
  </si>
  <si>
    <t>Gore Bay</t>
  </si>
  <si>
    <t>Ft Riley/Marshall AAF, KS</t>
  </si>
  <si>
    <t>Grand Forks/AFB</t>
  </si>
  <si>
    <t>Garden City, KS</t>
  </si>
  <si>
    <t>Grand Island</t>
  </si>
  <si>
    <t>Goodland, KS</t>
  </si>
  <si>
    <t>Grand Junction</t>
  </si>
  <si>
    <t>Russell, KS</t>
  </si>
  <si>
    <t>Grand Rapids</t>
  </si>
  <si>
    <t>Salina, KS</t>
  </si>
  <si>
    <t>Great Falls/Int'l Airport</t>
  </si>
  <si>
    <t>Topeka, KS</t>
  </si>
  <si>
    <t>Great Falls/Malmstrom AFB</t>
  </si>
  <si>
    <t>Wichita/Airport, KS</t>
  </si>
  <si>
    <t>Green Bay</t>
  </si>
  <si>
    <t>Wichita/Mcconnell AFB, KS</t>
  </si>
  <si>
    <t>Greensboro</t>
  </si>
  <si>
    <t>Bowling Green, KY</t>
  </si>
  <si>
    <t>Greenwood</t>
  </si>
  <si>
    <t>Covington/Cincinnati OH/Int'l, KY</t>
  </si>
  <si>
    <t>NS</t>
  </si>
  <si>
    <t>Fort Campbell/AAF, KY</t>
  </si>
  <si>
    <t>Fort Knox/Godman AAF, KY</t>
  </si>
  <si>
    <t>Greer/Greenville</t>
  </si>
  <si>
    <t>Jackson, KY</t>
  </si>
  <si>
    <t>CAN13</t>
  </si>
  <si>
    <t>Grindstone Island</t>
  </si>
  <si>
    <t>Lexington, KY</t>
  </si>
  <si>
    <t>Guadalupe Pass</t>
  </si>
  <si>
    <t>Louisville, KY</t>
  </si>
  <si>
    <t>Paducah, KY</t>
  </si>
  <si>
    <t>Halifax Int'l</t>
  </si>
  <si>
    <t>Alexandria/England AFB, LA</t>
  </si>
  <si>
    <t>Hall Beach</t>
  </si>
  <si>
    <t>Baton Rouge, LA</t>
  </si>
  <si>
    <t>Bossier City/Barksdale AFB, LA</t>
  </si>
  <si>
    <t>Hamilton</t>
  </si>
  <si>
    <t>Lafayette, LA</t>
  </si>
  <si>
    <t>Hampton/Langley AFB</t>
  </si>
  <si>
    <t>Lake Charles, LA</t>
  </si>
  <si>
    <t>Hancock</t>
  </si>
  <si>
    <t>Leesville/Fort Polk, LA</t>
  </si>
  <si>
    <t>Monroe, LA</t>
  </si>
  <si>
    <t>Harbor Beach</t>
  </si>
  <si>
    <t>New Orleans/Int'l Airport, LA</t>
  </si>
  <si>
    <t>Harrisburg</t>
  </si>
  <si>
    <t>New Orleans/Lakefront Airport, LA</t>
  </si>
  <si>
    <t>Hartford/Brainard Field</t>
  </si>
  <si>
    <t>Shreveport, LA</t>
  </si>
  <si>
    <t>Havre</t>
  </si>
  <si>
    <t>Boston, MA</t>
  </si>
  <si>
    <t>Helena</t>
  </si>
  <si>
    <t>Hibbing</t>
  </si>
  <si>
    <t>East Falmouth/Otis ANGB, MA</t>
  </si>
  <si>
    <t>Hickory</t>
  </si>
  <si>
    <t>Weymouth/South Weymouth NAS, MA</t>
  </si>
  <si>
    <t>Hillsboro</t>
  </si>
  <si>
    <t>Worcester, MA</t>
  </si>
  <si>
    <t>Hilo</t>
  </si>
  <si>
    <t>Brandon, MB</t>
  </si>
  <si>
    <t>Homer</t>
  </si>
  <si>
    <t>Churchill, MB</t>
  </si>
  <si>
    <t>Homestead/AFB</t>
  </si>
  <si>
    <t>Dauphin, MB</t>
  </si>
  <si>
    <t>Honolulu</t>
  </si>
  <si>
    <t>Portage La Prairie, MB</t>
  </si>
  <si>
    <t>Hopedale</t>
  </si>
  <si>
    <t>The Pas, MB</t>
  </si>
  <si>
    <t>Houston/Hobby Airport</t>
  </si>
  <si>
    <t>Thompson, MB</t>
  </si>
  <si>
    <t>Houston/Intercontinental Airport</t>
  </si>
  <si>
    <t>Winnipeg Int'l, MB</t>
  </si>
  <si>
    <t>Camp Springs/Andrews AFB, MD</t>
  </si>
  <si>
    <t>Huntington</t>
  </si>
  <si>
    <t>Glen Burnie/Baltimore/BWI Airp, MD</t>
  </si>
  <si>
    <t>Huntsville</t>
  </si>
  <si>
    <t>Huron</t>
  </si>
  <si>
    <t>Salisbury, MD</t>
  </si>
  <si>
    <t>Idaho Falls</t>
  </si>
  <si>
    <t>Augusta, ME</t>
  </si>
  <si>
    <t>Indianapolis</t>
  </si>
  <si>
    <t>Bangor, ME</t>
  </si>
  <si>
    <t>International Falls</t>
  </si>
  <si>
    <t>Bangor/Dow AFB, ME</t>
  </si>
  <si>
    <t>Inuvik Ua</t>
  </si>
  <si>
    <t>Brunswick/NAS, ME</t>
  </si>
  <si>
    <t>Iqaluit (Frobisher)</t>
  </si>
  <si>
    <t>Caribou, ME</t>
  </si>
  <si>
    <t>Jackson</t>
  </si>
  <si>
    <t>Limestone/Loring AFB, ME</t>
  </si>
  <si>
    <t>Portland, ME</t>
  </si>
  <si>
    <t>Alpena, MI</t>
  </si>
  <si>
    <t>Detroit/City, MI</t>
  </si>
  <si>
    <t>Jacksonville/Cecil Field NAS</t>
  </si>
  <si>
    <t>Detroit/Metro, MI</t>
  </si>
  <si>
    <t>Jacksonville/Int'l Airport</t>
  </si>
  <si>
    <t>Flint, MI</t>
  </si>
  <si>
    <t>Jacksonville/Mayport NS</t>
  </si>
  <si>
    <t>Grand Rapids, MI</t>
  </si>
  <si>
    <t>Jacksonville/New River MCAF</t>
  </si>
  <si>
    <t>Hancock, MI</t>
  </si>
  <si>
    <t>Joplin</t>
  </si>
  <si>
    <t>Harbor Beach, MI</t>
  </si>
  <si>
    <t>Junction</t>
  </si>
  <si>
    <t>Jackson, MI</t>
  </si>
  <si>
    <t>Juneau</t>
  </si>
  <si>
    <t>Lansing, MI</t>
  </si>
  <si>
    <t>Kahului</t>
  </si>
  <si>
    <t>Marquette/Gwinn/K I Sawyer A, MI</t>
  </si>
  <si>
    <t>Kalispell</t>
  </si>
  <si>
    <t>Marquette/Ishpeming/Airport, MI</t>
  </si>
  <si>
    <t>Kamloops</t>
  </si>
  <si>
    <t>Mount Clemens/Selfridge ANGB, MI</t>
  </si>
  <si>
    <t>Kaneohe/MCAS</t>
  </si>
  <si>
    <t>Muskegon, MI</t>
  </si>
  <si>
    <t>Kansas City</t>
  </si>
  <si>
    <t>Oscoda/Wurtsmith AFB, MI</t>
  </si>
  <si>
    <t>Pellston, MI</t>
  </si>
  <si>
    <t>Kapuskasing</t>
  </si>
  <si>
    <t>Saginaw, MI</t>
  </si>
  <si>
    <t>Kenai</t>
  </si>
  <si>
    <t>Sault Ste Marie, MI</t>
  </si>
  <si>
    <t>Kenora</t>
  </si>
  <si>
    <t>Seul Choix Point, MI</t>
  </si>
  <si>
    <t>Ketchikan</t>
  </si>
  <si>
    <t>Traverse City, MI</t>
  </si>
  <si>
    <t>Key West</t>
  </si>
  <si>
    <t>Alexandria, MN</t>
  </si>
  <si>
    <t>Killeen/Fort Hood</t>
  </si>
  <si>
    <t>Brainerd/Pequot Lakes, MN</t>
  </si>
  <si>
    <t>King Salmon</t>
  </si>
  <si>
    <t>Duluth, MN</t>
  </si>
  <si>
    <t>Hibbing, MN</t>
  </si>
  <si>
    <t>Kingman</t>
  </si>
  <si>
    <t>International Falls, MN</t>
  </si>
  <si>
    <t>Kingsville/NAS</t>
  </si>
  <si>
    <t>Minneapolis-St Paul, MN</t>
  </si>
  <si>
    <t>Klamath Falls</t>
  </si>
  <si>
    <t>Redwood Falls, MN</t>
  </si>
  <si>
    <t>Knoxville</t>
  </si>
  <si>
    <t>Rochester, MN</t>
  </si>
  <si>
    <t>Kodiak/State USCG Base</t>
  </si>
  <si>
    <t>Saint Cloud, MN</t>
  </si>
  <si>
    <t>Kotzebue</t>
  </si>
  <si>
    <t>Tofte, MN</t>
  </si>
  <si>
    <t>Kuujjuarapik</t>
  </si>
  <si>
    <t>Cape Girardeau, MO</t>
  </si>
  <si>
    <t>Kuujuaq</t>
  </si>
  <si>
    <t>Columbia, MO</t>
  </si>
  <si>
    <t>La Crosse</t>
  </si>
  <si>
    <t>Joplin, MO</t>
  </si>
  <si>
    <t>La Grande Riviere</t>
  </si>
  <si>
    <t>Kansas City, MO</t>
  </si>
  <si>
    <t>Lafayette</t>
  </si>
  <si>
    <t>Lafayette/Purdue Univ</t>
  </si>
  <si>
    <t>Poplar Bluff, MO</t>
  </si>
  <si>
    <t>Lake Charles</t>
  </si>
  <si>
    <t>Spickard/Trenton, MO</t>
  </si>
  <si>
    <t>Lake Eon</t>
  </si>
  <si>
    <t>Springfield, MO</t>
  </si>
  <si>
    <t>CAN07</t>
  </si>
  <si>
    <t>St Louis/Int'l Airport, MO</t>
  </si>
  <si>
    <t>Lakehurst NAS</t>
  </si>
  <si>
    <t>Warrensburg/Sedalia/Whiteman A, MO</t>
  </si>
  <si>
    <t>Lamoni</t>
  </si>
  <si>
    <t>Biloxi/Keesler AFB, MS</t>
  </si>
  <si>
    <t>Lancaster/Palmdale</t>
  </si>
  <si>
    <t>Columbus/AFB, MS</t>
  </si>
  <si>
    <t>Lander</t>
  </si>
  <si>
    <t>Greenwood, MS</t>
  </si>
  <si>
    <t>Lansing</t>
  </si>
  <si>
    <t>Jackson, MS</t>
  </si>
  <si>
    <t>Laredo AFB</t>
  </si>
  <si>
    <t>Mccomb, MS</t>
  </si>
  <si>
    <t>Laredo</t>
  </si>
  <si>
    <t>Meridian, MS</t>
  </si>
  <si>
    <t>Las Vegas/Int'l Airport</t>
  </si>
  <si>
    <t>Tupelo, MS</t>
  </si>
  <si>
    <t>Lawton/Fort Sill/Post Field AF</t>
  </si>
  <si>
    <t>Billings, MT</t>
  </si>
  <si>
    <t>Lebanon</t>
  </si>
  <si>
    <t>Bozeman, MT</t>
  </si>
  <si>
    <t>Leesville/Fort Polk</t>
  </si>
  <si>
    <t>Butte, MT</t>
  </si>
  <si>
    <t>Lemoore/Reeves NAS</t>
  </si>
  <si>
    <t>Cut Bank, MT</t>
  </si>
  <si>
    <t>Lewiston</t>
  </si>
  <si>
    <t>Dillon, MT</t>
  </si>
  <si>
    <t>Lewistown</t>
  </si>
  <si>
    <t>Glasgow, MT</t>
  </si>
  <si>
    <t>Lexington</t>
  </si>
  <si>
    <t>Great Falls/Int'l Airport, MT</t>
  </si>
  <si>
    <t>Lihue</t>
  </si>
  <si>
    <t>Great Falls/Malmstrom AFB, MT</t>
  </si>
  <si>
    <t>Limestone/Loring AFB</t>
  </si>
  <si>
    <t>Havre, MT</t>
  </si>
  <si>
    <t>Limon</t>
  </si>
  <si>
    <t>Helena, MT</t>
  </si>
  <si>
    <t>Lincoln</t>
  </si>
  <si>
    <t>Kalispell, MT</t>
  </si>
  <si>
    <t>Little Rock/AFB</t>
  </si>
  <si>
    <t>Lewistown, MT</t>
  </si>
  <si>
    <t>London</t>
  </si>
  <si>
    <t>UK</t>
  </si>
  <si>
    <t>Miles City, MT</t>
  </si>
  <si>
    <t>Missoula, MT</t>
  </si>
  <si>
    <t>Long Beach</t>
  </si>
  <si>
    <t>Charlo, NB</t>
  </si>
  <si>
    <t>Los Angeles</t>
  </si>
  <si>
    <t>Chatham, NB</t>
  </si>
  <si>
    <t>Louisville</t>
  </si>
  <si>
    <t>Fredericton, NB</t>
  </si>
  <si>
    <t>Lovelock</t>
  </si>
  <si>
    <t>Moncton, NB</t>
  </si>
  <si>
    <t>Lubbock/Int'l Arpt</t>
  </si>
  <si>
    <t>Saint John, NB</t>
  </si>
  <si>
    <t>Lubbock/Reese AFB</t>
  </si>
  <si>
    <t>Asheville, NC</t>
  </si>
  <si>
    <t>Lufkin</t>
  </si>
  <si>
    <t>Lynchburg</t>
  </si>
  <si>
    <t>Charlotte, NC</t>
  </si>
  <si>
    <t>Macon</t>
  </si>
  <si>
    <t>Madison</t>
  </si>
  <si>
    <t>Fayetteville/Fort Bragg, NC</t>
  </si>
  <si>
    <t>Mansfield</t>
  </si>
  <si>
    <t>Goldsboro/Seymour Johnson AFB, NC</t>
  </si>
  <si>
    <t>Marfa</t>
  </si>
  <si>
    <t>Greensboro, NC</t>
  </si>
  <si>
    <t>Marietta/Dobbins AFB</t>
  </si>
  <si>
    <t>Hickory, NC</t>
  </si>
  <si>
    <t>Marquette/Gwinn/K I Sawyer A</t>
  </si>
  <si>
    <t>Jacksonville/New River MCAF, NC</t>
  </si>
  <si>
    <t>Marquette/Ishpeming/Airport</t>
  </si>
  <si>
    <t>New Bern, NC</t>
  </si>
  <si>
    <t>Marseilles</t>
  </si>
  <si>
    <t>Raleigh/Durham, NC</t>
  </si>
  <si>
    <t>Martinsburg</t>
  </si>
  <si>
    <t>Wilmington, NC</t>
  </si>
  <si>
    <t>Marysville/Yuba City/Beale AFB</t>
  </si>
  <si>
    <t>Winston-Salem, NC</t>
  </si>
  <si>
    <t>Mason City</t>
  </si>
  <si>
    <t>Bismarck, ND</t>
  </si>
  <si>
    <t>Massena</t>
  </si>
  <si>
    <t>Devils Lake, ND</t>
  </si>
  <si>
    <t>Mcalester</t>
  </si>
  <si>
    <t>Fargo, ND</t>
  </si>
  <si>
    <t>McAllen</t>
  </si>
  <si>
    <t>Grand Forks/AFB, ND</t>
  </si>
  <si>
    <t>Mccomb</t>
  </si>
  <si>
    <t>Minot/AFB, ND</t>
  </si>
  <si>
    <t>McGrath</t>
  </si>
  <si>
    <t>Minot/Int'l Airport, ND</t>
  </si>
  <si>
    <t>Meacham</t>
  </si>
  <si>
    <t>Williston, ND</t>
  </si>
  <si>
    <t>Medford</t>
  </si>
  <si>
    <t>Bellevue/Offutt AFB, NE</t>
  </si>
  <si>
    <t>Melbourne</t>
  </si>
  <si>
    <t>Grand Island, NE</t>
  </si>
  <si>
    <t>Memphis</t>
  </si>
  <si>
    <t>Lincoln, NE</t>
  </si>
  <si>
    <t>Merced/Castle AFB</t>
  </si>
  <si>
    <t>Norfolk, NE</t>
  </si>
  <si>
    <t>Mercury</t>
  </si>
  <si>
    <t>North Platte, NE</t>
  </si>
  <si>
    <t>Meridian</t>
  </si>
  <si>
    <t>Omaha/Eppley Airfield, NE</t>
  </si>
  <si>
    <t>Miami/Int'l Airport</t>
  </si>
  <si>
    <t>Omaha/WSO, NE</t>
  </si>
  <si>
    <t>Miami/Kendall/New Tamiami Airport</t>
  </si>
  <si>
    <t>Scottsbluff, NE</t>
  </si>
  <si>
    <t>Sidney, NE</t>
  </si>
  <si>
    <t>Midland/Odessa</t>
  </si>
  <si>
    <t>Valentine, NE</t>
  </si>
  <si>
    <t>Battle Harbour, NF</t>
  </si>
  <si>
    <t>Miles City</t>
  </si>
  <si>
    <t>Millville</t>
  </si>
  <si>
    <t>Bonavista, NF</t>
  </si>
  <si>
    <t>Milton/Whiting Field NAS</t>
  </si>
  <si>
    <t>Cartwright, NF</t>
  </si>
  <si>
    <t>Milwaukee</t>
  </si>
  <si>
    <t>Daniels Harbour, NF</t>
  </si>
  <si>
    <t>Minneapolis-St Paul</t>
  </si>
  <si>
    <t>Deer Lake, NF</t>
  </si>
  <si>
    <t>Minot/AFB</t>
  </si>
  <si>
    <t>Gander Int'l, NF</t>
  </si>
  <si>
    <t>Minot/Int'l Airport</t>
  </si>
  <si>
    <t>Goose, NF</t>
  </si>
  <si>
    <t>Missoula</t>
  </si>
  <si>
    <t>Hopedale, NF</t>
  </si>
  <si>
    <t>Mobile</t>
  </si>
  <si>
    <t>St John's, NF</t>
  </si>
  <si>
    <t>Moline/Davenport IA</t>
  </si>
  <si>
    <t>Molokai</t>
  </si>
  <si>
    <t>Stephenville, NF</t>
  </si>
  <si>
    <t>Moncton</t>
  </si>
  <si>
    <t>Wabush Lake, NF</t>
  </si>
  <si>
    <t>Monroe</t>
  </si>
  <si>
    <t>Concord, NH</t>
  </si>
  <si>
    <t>Mont Joli</t>
  </si>
  <si>
    <t>Lebanon, NH</t>
  </si>
  <si>
    <t>Montgomery</t>
  </si>
  <si>
    <t>Montpelier/Barre</t>
  </si>
  <si>
    <t>Portsmouth/Pease AFB, NH</t>
  </si>
  <si>
    <t>Montreal Int'l</t>
  </si>
  <si>
    <t>Atlantic City, NJ</t>
  </si>
  <si>
    <t>Montreal Mirabel</t>
  </si>
  <si>
    <t>Lakehurst NAS, NJ</t>
  </si>
  <si>
    <t>Millville, NJ</t>
  </si>
  <si>
    <t>Moose Jaw</t>
  </si>
  <si>
    <t>Newark, NJ</t>
  </si>
  <si>
    <t>Morgantown</t>
  </si>
  <si>
    <t>Teterboro, NJ</t>
  </si>
  <si>
    <t>Mould Bay</t>
  </si>
  <si>
    <t>Trenton/Wrightstown/McGuire AFB, NJ</t>
  </si>
  <si>
    <t>Mount Clemens/Selfridge ANGB</t>
  </si>
  <si>
    <t>Alamogordo/Holloman AFB, NM</t>
  </si>
  <si>
    <t>Mount Forest</t>
  </si>
  <si>
    <t>Albuquerque, NM</t>
  </si>
  <si>
    <t>Mount Shasta</t>
  </si>
  <si>
    <t>Carlsbad, NM</t>
  </si>
  <si>
    <t>Clayton, NM</t>
  </si>
  <si>
    <t>Mountain Home/AFB</t>
  </si>
  <si>
    <t>Clovis/Cannon AFB, NM</t>
  </si>
  <si>
    <t>Mountain View/Moffet NAS</t>
  </si>
  <si>
    <t>Farmington, NM</t>
  </si>
  <si>
    <t>Mullan</t>
  </si>
  <si>
    <t>Gallup, NM</t>
  </si>
  <si>
    <t>Muscle Shoals/Florence</t>
  </si>
  <si>
    <t>Roswell, NM</t>
  </si>
  <si>
    <t>Muskegon</t>
  </si>
  <si>
    <t>Muskoka</t>
  </si>
  <si>
    <t>Truth or Consequences, NM</t>
  </si>
  <si>
    <t>Myrtle Beach/AFB</t>
  </si>
  <si>
    <t>Tucumcari, NM</t>
  </si>
  <si>
    <t>Nashville</t>
  </si>
  <si>
    <t>Greenwood, NS</t>
  </si>
  <si>
    <t>Nenana</t>
  </si>
  <si>
    <t>New Bern</t>
  </si>
  <si>
    <t>Halifax Int'l, NS</t>
  </si>
  <si>
    <t>New Orleans/Int'l Airport</t>
  </si>
  <si>
    <t>Sable Island, NS</t>
  </si>
  <si>
    <t>New Orleans/Lakefront Airport</t>
  </si>
  <si>
    <t>Shearwater, NS</t>
  </si>
  <si>
    <t>New York City/Central Park</t>
  </si>
  <si>
    <t>Sydney, NS</t>
  </si>
  <si>
    <t>New York City/La Guardia</t>
  </si>
  <si>
    <t>Truro, NS</t>
  </si>
  <si>
    <t>New York/John F Kennedy Airport</t>
  </si>
  <si>
    <t>Yarmouth, NS</t>
  </si>
  <si>
    <t>Cape Parry, NT</t>
  </si>
  <si>
    <t>Newark</t>
  </si>
  <si>
    <t>Eureka, NT</t>
  </si>
  <si>
    <t>Newburgh</t>
  </si>
  <si>
    <t>Fort Smith, NT</t>
  </si>
  <si>
    <t>Inuvik Ua, NT</t>
  </si>
  <si>
    <t>Niagara Falls</t>
  </si>
  <si>
    <t>Mould Bay, NT</t>
  </si>
  <si>
    <t>Nitchequon</t>
  </si>
  <si>
    <t>Norman Wells, NT</t>
  </si>
  <si>
    <t>Nome</t>
  </si>
  <si>
    <t>Yellowknife, NT</t>
  </si>
  <si>
    <t>Norfolk</t>
  </si>
  <si>
    <t>Baker Lake, NU</t>
  </si>
  <si>
    <t>Cambridge Bay, NU</t>
  </si>
  <si>
    <t>Norman Wells</t>
  </si>
  <si>
    <t>Chesterfield, NU</t>
  </si>
  <si>
    <t>North Battleford</t>
  </si>
  <si>
    <t>Coral Harbour, NU</t>
  </si>
  <si>
    <t>North Bay</t>
  </si>
  <si>
    <t>Hall Beach, NU</t>
  </si>
  <si>
    <t>North Bend</t>
  </si>
  <si>
    <t>North Las Vegas/Nellis AFB</t>
  </si>
  <si>
    <t>Iqaluit (Frobisher), NU</t>
  </si>
  <si>
    <t>North Platte</t>
  </si>
  <si>
    <t>Resolute, NU</t>
  </si>
  <si>
    <t>Northway</t>
  </si>
  <si>
    <t>Elko, NV</t>
  </si>
  <si>
    <t>Oakland</t>
  </si>
  <si>
    <t>Ely, NV</t>
  </si>
  <si>
    <t>Oceana/NAS</t>
  </si>
  <si>
    <t>Las Vegas/Int'l Airport, NV</t>
  </si>
  <si>
    <t>Ogden/Hill AFB</t>
  </si>
  <si>
    <t>Lovelock, NV</t>
  </si>
  <si>
    <t>Oklahoma City/Tinker AFB</t>
  </si>
  <si>
    <t>Mercury, NV</t>
  </si>
  <si>
    <t>Oklahoma City/Will Rogers Airport</t>
  </si>
  <si>
    <t>North Las Vegas/Nellis AFB, NV</t>
  </si>
  <si>
    <t>Olympia</t>
  </si>
  <si>
    <t>Reno, NV</t>
  </si>
  <si>
    <t>Omaha/Eppley Airfield</t>
  </si>
  <si>
    <t>Tonopah, NV</t>
  </si>
  <si>
    <t>Omaha/WSO</t>
  </si>
  <si>
    <t>Winnemucca, NV</t>
  </si>
  <si>
    <t>Ontario</t>
  </si>
  <si>
    <t>Yucca Flats, NV</t>
  </si>
  <si>
    <t>Orlando</t>
  </si>
  <si>
    <t>Albany, NY</t>
  </si>
  <si>
    <t>Binghamton, NY</t>
  </si>
  <si>
    <t>Oscoda/Wurtsmith AFB</t>
  </si>
  <si>
    <t>Buffalo, NY</t>
  </si>
  <si>
    <t>Ottawa Int'l</t>
  </si>
  <si>
    <t>Central Islip, NY</t>
  </si>
  <si>
    <t>Elmira/Corning, NY</t>
  </si>
  <si>
    <t>CAN14</t>
  </si>
  <si>
    <t>Glens Falls, NY</t>
  </si>
  <si>
    <t>Ottumwa</t>
  </si>
  <si>
    <t>Massena, NY</t>
  </si>
  <si>
    <t>Oxnard/Point Mugu NF</t>
  </si>
  <si>
    <t>New York City/Central Park, NY</t>
  </si>
  <si>
    <t>Ozark/Fort Rucker</t>
  </si>
  <si>
    <t>New York City/La Guardia, NY</t>
  </si>
  <si>
    <t>Paducah</t>
  </si>
  <si>
    <t>New York/John F Kennedy Airport, NY</t>
  </si>
  <si>
    <t>Page</t>
  </si>
  <si>
    <t>Panama City/Tyndall AFB</t>
  </si>
  <si>
    <t>Newburgh, NY</t>
  </si>
  <si>
    <t>Parkersburg</t>
  </si>
  <si>
    <t>Pasadena</t>
  </si>
  <si>
    <t>Plattsburgh/AFB, NY</t>
  </si>
  <si>
    <t>CTZ09</t>
  </si>
  <si>
    <t>Poughkeepsie, NY</t>
  </si>
  <si>
    <t>Paso Robles</t>
  </si>
  <si>
    <t>Rochester, NY</t>
  </si>
  <si>
    <t>Rome/Griffiss AFB, NY</t>
  </si>
  <si>
    <t>Pellston</t>
  </si>
  <si>
    <t>Syracuse, NY</t>
  </si>
  <si>
    <t>Pendleton</t>
  </si>
  <si>
    <t>Watertown, NY</t>
  </si>
  <si>
    <t>Pensacola/Forest Sherman AFB</t>
  </si>
  <si>
    <t>White Plains, NY</t>
  </si>
  <si>
    <t>Penticton</t>
  </si>
  <si>
    <t>Akron/Canton, OH</t>
  </si>
  <si>
    <t>Peoria</t>
  </si>
  <si>
    <t>Cincinnati/Lunken Field, OH</t>
  </si>
  <si>
    <t>Peru/Grissom AFB</t>
  </si>
  <si>
    <t>Cleveland, OH</t>
  </si>
  <si>
    <t>Philadelphia/Int'l Airport</t>
  </si>
  <si>
    <t>Columbus/Int'l Airport, OH</t>
  </si>
  <si>
    <t>Philadelphia/Northeast Airport</t>
  </si>
  <si>
    <t>Columbus/Rickenbacker AFB, OH</t>
  </si>
  <si>
    <t>Philadelphia/Willow Grove NAS</t>
  </si>
  <si>
    <t>Dayton/Int'l Airport, OH</t>
  </si>
  <si>
    <t>Phoenix/Int'l Airport</t>
  </si>
  <si>
    <t>Dayton/Wright-Paterson AFB, OH</t>
  </si>
  <si>
    <t>Phoenix/Luke AFB</t>
  </si>
  <si>
    <t>Findlay, OH</t>
  </si>
  <si>
    <t>Pierre</t>
  </si>
  <si>
    <t>Mansfield, OH</t>
  </si>
  <si>
    <t>Pittsburgh/Allegheny Co Airport</t>
  </si>
  <si>
    <t>Toledo, OH</t>
  </si>
  <si>
    <t>Pittsburgh/Pittsburgh Int'l AP</t>
  </si>
  <si>
    <t>Youngstown, OH</t>
  </si>
  <si>
    <t>Plattsburgh/AFB</t>
  </si>
  <si>
    <t>Zanesville, OH</t>
  </si>
  <si>
    <t>Pocatello</t>
  </si>
  <si>
    <t>Altus/AFB, OK</t>
  </si>
  <si>
    <t>Poplar Bluff</t>
  </si>
  <si>
    <t>Enid/Vance AFB, OK</t>
  </si>
  <si>
    <t>Port Hardy</t>
  </si>
  <si>
    <t>Lawton/Fort Sill/Post Field AF, OK</t>
  </si>
  <si>
    <t>Mcalester, OK</t>
  </si>
  <si>
    <t>Portage La Prairie</t>
  </si>
  <si>
    <t>Oklahoma City/Tinker AFB, OK</t>
  </si>
  <si>
    <t>Portland</t>
  </si>
  <si>
    <t>Oklahoma City/Will Rogers Airport, OK</t>
  </si>
  <si>
    <t>Tulsa, OK</t>
  </si>
  <si>
    <t>Portsmouth/Pease AFB</t>
  </si>
  <si>
    <t>Armstrong, ON</t>
  </si>
  <si>
    <t>Poughkeepsie</t>
  </si>
  <si>
    <t>Prescott</t>
  </si>
  <si>
    <t>Atikokan, ON</t>
  </si>
  <si>
    <t>Prince Albert</t>
  </si>
  <si>
    <t>Big Trout Lake, ON</t>
  </si>
  <si>
    <t>Prince George</t>
  </si>
  <si>
    <t>Earlton, ON</t>
  </si>
  <si>
    <t>Prince Rupert</t>
  </si>
  <si>
    <t>Geraldton, ON</t>
  </si>
  <si>
    <t>Providence</t>
  </si>
  <si>
    <t>Pueblo</t>
  </si>
  <si>
    <t>Gore Bay, ON</t>
  </si>
  <si>
    <t>Quantico/MCAS</t>
  </si>
  <si>
    <t>Hamilton, ON</t>
  </si>
  <si>
    <t>Quebec</t>
  </si>
  <si>
    <t>Kapuskasing, ON</t>
  </si>
  <si>
    <t>Quesnel</t>
  </si>
  <si>
    <t>Kenora, ON</t>
  </si>
  <si>
    <t>Quillayute</t>
  </si>
  <si>
    <t>London, ON</t>
  </si>
  <si>
    <t>Quincy</t>
  </si>
  <si>
    <t>Mount Forest, ON</t>
  </si>
  <si>
    <t>Raleigh/Durham</t>
  </si>
  <si>
    <t>Muskoka, ON</t>
  </si>
  <si>
    <t>Rapid City</t>
  </si>
  <si>
    <t>North Bay, ON</t>
  </si>
  <si>
    <t>Red Bluff</t>
  </si>
  <si>
    <t>Ottawa Int'l, ON</t>
  </si>
  <si>
    <t>Redmond</t>
  </si>
  <si>
    <t>Redwood Falls</t>
  </si>
  <si>
    <t>Regina</t>
  </si>
  <si>
    <t>Sault Ste Marie, ON</t>
  </si>
  <si>
    <t>Reno</t>
  </si>
  <si>
    <t>Simcoe, ON</t>
  </si>
  <si>
    <t>Resolute</t>
  </si>
  <si>
    <t>Sioux Lookout, ON</t>
  </si>
  <si>
    <t>Richmond</t>
  </si>
  <si>
    <t>Sudbury, ON</t>
  </si>
  <si>
    <t>Riverside/March AFB</t>
  </si>
  <si>
    <t>Thunder Bay, ON</t>
  </si>
  <si>
    <t>Timmins, ON</t>
  </si>
  <si>
    <t>CTZ10</t>
  </si>
  <si>
    <t>Toronto Int'l, ON</t>
  </si>
  <si>
    <t>Riviere Du Loup</t>
  </si>
  <si>
    <t>CAN12</t>
  </si>
  <si>
    <t>Roanoke</t>
  </si>
  <si>
    <t>Trenton, ON</t>
  </si>
  <si>
    <t>Roberval</t>
  </si>
  <si>
    <t>Wiarton, ON</t>
  </si>
  <si>
    <t>Rochester</t>
  </si>
  <si>
    <t>Windsor, ON</t>
  </si>
  <si>
    <t>Astoria, OR</t>
  </si>
  <si>
    <t>Rock Springs</t>
  </si>
  <si>
    <t>Burns, OR</t>
  </si>
  <si>
    <t>Rockford</t>
  </si>
  <si>
    <t>Eugene, OR</t>
  </si>
  <si>
    <t>Rome</t>
  </si>
  <si>
    <t>Hillsboro, OR</t>
  </si>
  <si>
    <t>Rome/Griffiss AFB</t>
  </si>
  <si>
    <t>Klamath Falls, OR</t>
  </si>
  <si>
    <t>Roswell</t>
  </si>
  <si>
    <t>Meacham, OR</t>
  </si>
  <si>
    <t>Medford, OR</t>
  </si>
  <si>
    <t>Russell</t>
  </si>
  <si>
    <t>North Bend, OR</t>
  </si>
  <si>
    <t>Sable Island</t>
  </si>
  <si>
    <t>Pendleton, OR</t>
  </si>
  <si>
    <t>Sacramento/Mather Field</t>
  </si>
  <si>
    <t>Portland, OR</t>
  </si>
  <si>
    <t>Sacramento/Mcclellan AFB</t>
  </si>
  <si>
    <t>Redmond, OR</t>
  </si>
  <si>
    <t>Sacramento/Metro</t>
  </si>
  <si>
    <t>Salem, OR</t>
  </si>
  <si>
    <t>Safford/Agri Center</t>
  </si>
  <si>
    <t>Saginaw</t>
  </si>
  <si>
    <t>Allentown, PA</t>
  </si>
  <si>
    <t>Saint Cloud</t>
  </si>
  <si>
    <t>Altoona, PA</t>
  </si>
  <si>
    <t>Saint John</t>
  </si>
  <si>
    <t>Bradford, PA</t>
  </si>
  <si>
    <t>Saint Paul Island</t>
  </si>
  <si>
    <t>Du Bois, PA</t>
  </si>
  <si>
    <t>Saint Petersburg</t>
  </si>
  <si>
    <t>Erie, PA</t>
  </si>
  <si>
    <t>Salem</t>
  </si>
  <si>
    <t>Harrisburg, PA</t>
  </si>
  <si>
    <t>Salina</t>
  </si>
  <si>
    <t>Philadelphia/Int'l Airport, PA</t>
  </si>
  <si>
    <t>Salinas</t>
  </si>
  <si>
    <t>Philadelphia/Northeast Airport, PA</t>
  </si>
  <si>
    <t>Salisbury</t>
  </si>
  <si>
    <t>Philadelphia/Willow Grove NAS, PA</t>
  </si>
  <si>
    <t>Salt Lake City</t>
  </si>
  <si>
    <t>Pittsburgh/Allegheny Co Airport, PA</t>
  </si>
  <si>
    <t>San Angelo</t>
  </si>
  <si>
    <t>Pittsburgh/Pittsburgh Int'l AP, PA</t>
  </si>
  <si>
    <t>Wilkes-Barre/Scranton, PA</t>
  </si>
  <si>
    <t>San Antonio/Int'l Airport</t>
  </si>
  <si>
    <t>Williamsport, PA</t>
  </si>
  <si>
    <t>San Antonio/Kelly AFB</t>
  </si>
  <si>
    <t>Charlottetown CDA, PE</t>
  </si>
  <si>
    <t>San Antonio/Randolph AFB</t>
  </si>
  <si>
    <t>Summerside, PE</t>
  </si>
  <si>
    <t>San Bernardino/Norton AFB</t>
  </si>
  <si>
    <t>Bagotville, PQ</t>
  </si>
  <si>
    <t>San Diego/Int'l Airport</t>
  </si>
  <si>
    <t>Baie Comeau, PQ</t>
  </si>
  <si>
    <t>San Diego/Miramar NAS</t>
  </si>
  <si>
    <t>Grindstone Island, PQ</t>
  </si>
  <si>
    <t>San Francisco</t>
  </si>
  <si>
    <t>Kuujjuarapik, PQ</t>
  </si>
  <si>
    <t>San Jose Int'l Airport</t>
  </si>
  <si>
    <t>Kuujuaq, PQ</t>
  </si>
  <si>
    <t>Sanderson</t>
  </si>
  <si>
    <t>La Grande Riviere, PQ</t>
  </si>
  <si>
    <t>Sandspit</t>
  </si>
  <si>
    <t>Lake Eon, PQ</t>
  </si>
  <si>
    <t>Santa Barbara</t>
  </si>
  <si>
    <t>Santa Maria</t>
  </si>
  <si>
    <t>Mont Joli, PQ</t>
  </si>
  <si>
    <t>Santa Rosa</t>
  </si>
  <si>
    <t>Montreal Int'l, PQ</t>
  </si>
  <si>
    <t>CTZ02</t>
  </si>
  <si>
    <t>Montreal Mirabel, PQ</t>
  </si>
  <si>
    <t>Sarasota/Bradenton</t>
  </si>
  <si>
    <t>Saskatoon</t>
  </si>
  <si>
    <t>Nitchequon, PQ</t>
  </si>
  <si>
    <t>Sault Ste Marie</t>
  </si>
  <si>
    <t>Quebec, PQ</t>
  </si>
  <si>
    <t>Riviere Du Loup, PQ</t>
  </si>
  <si>
    <t>Savannah</t>
  </si>
  <si>
    <t>Schefferville</t>
  </si>
  <si>
    <t>Roberval, PQ</t>
  </si>
  <si>
    <t>Scottsbluff</t>
  </si>
  <si>
    <t>Schefferville, PQ</t>
  </si>
  <si>
    <t>Seattle-Tacoma/Int'l Airport</t>
  </si>
  <si>
    <t>Sept-Iles, PQ</t>
  </si>
  <si>
    <t>Sept-Iles</t>
  </si>
  <si>
    <t>Sherbrooke, PQ</t>
  </si>
  <si>
    <t>Seul Choix Point</t>
  </si>
  <si>
    <t>St Hubert, PQ</t>
  </si>
  <si>
    <t>Ste Agathe Des Monts, PQ</t>
  </si>
  <si>
    <t>Shearwater</t>
  </si>
  <si>
    <t>Val d'Or, PQ</t>
  </si>
  <si>
    <t>Sherbrooke</t>
  </si>
  <si>
    <t>Providence, RI</t>
  </si>
  <si>
    <t>Sheridan</t>
  </si>
  <si>
    <t>Beaufort/MCAS, SC</t>
  </si>
  <si>
    <t>Sherman-Denison</t>
  </si>
  <si>
    <t>Charleston, SC</t>
  </si>
  <si>
    <t>Shreveport</t>
  </si>
  <si>
    <t>Columbia, SC</t>
  </si>
  <si>
    <t>Sidney</t>
  </si>
  <si>
    <t>Florence, SC</t>
  </si>
  <si>
    <t>Simcoe</t>
  </si>
  <si>
    <t>Greer/Greenville, SC</t>
  </si>
  <si>
    <t>Sioux City</t>
  </si>
  <si>
    <t>Myrtle Beach/AFB, SC</t>
  </si>
  <si>
    <t>Sioux Falls</t>
  </si>
  <si>
    <t>Sumter/Shaw AFB, SC</t>
  </si>
  <si>
    <t>Sioux Lookout</t>
  </si>
  <si>
    <t>Chamberlain, SD</t>
  </si>
  <si>
    <t>Sitka</t>
  </si>
  <si>
    <t>Huron, SD</t>
  </si>
  <si>
    <t>Smithers</t>
  </si>
  <si>
    <t>Pierre, SD</t>
  </si>
  <si>
    <t>South Bend</t>
  </si>
  <si>
    <t>Rapid City, SD</t>
  </si>
  <si>
    <t>Spencer</t>
  </si>
  <si>
    <t>Sioux Falls, SD</t>
  </si>
  <si>
    <t>Spickard/Trenton</t>
  </si>
  <si>
    <t>Broadview, SK</t>
  </si>
  <si>
    <t>Spokane/Fairchild AFB</t>
  </si>
  <si>
    <t>Estevan, SK</t>
  </si>
  <si>
    <t>Spring Island</t>
  </si>
  <si>
    <t>Moose Jaw, SK</t>
  </si>
  <si>
    <t>CAN09</t>
  </si>
  <si>
    <t>North Battleford, SK</t>
  </si>
  <si>
    <t>Springfield</t>
  </si>
  <si>
    <t>Prince Albert, SK</t>
  </si>
  <si>
    <t>Regina, SK</t>
  </si>
  <si>
    <t>St Hubert</t>
  </si>
  <si>
    <t>Saskatoon, SK</t>
  </si>
  <si>
    <t>St John's</t>
  </si>
  <si>
    <t>Swift Current, SK</t>
  </si>
  <si>
    <t>Uranium City, SK</t>
  </si>
  <si>
    <t>St Louis/Int'l Airport</t>
  </si>
  <si>
    <t>Wynyard, SK</t>
  </si>
  <si>
    <t>Ste Agathe Des Monts</t>
  </si>
  <si>
    <t>Yorkton, SK</t>
  </si>
  <si>
    <t>Stephenville</t>
  </si>
  <si>
    <t>Bristol, TN</t>
  </si>
  <si>
    <t>Sterling/Washington Dulles Airport</t>
  </si>
  <si>
    <t>Chattanooga, TN</t>
  </si>
  <si>
    <t>Crossville, TN</t>
  </si>
  <si>
    <t>Stockton</t>
  </si>
  <si>
    <t>Jackson, TN</t>
  </si>
  <si>
    <t>Sudbury</t>
  </si>
  <si>
    <t>Knoxville, TN</t>
  </si>
  <si>
    <t>Summerland</t>
  </si>
  <si>
    <t>Memphis, TN</t>
  </si>
  <si>
    <t>Summerside</t>
  </si>
  <si>
    <t>Nashville, TN</t>
  </si>
  <si>
    <t>Summit</t>
  </si>
  <si>
    <t>Abilene, TX</t>
  </si>
  <si>
    <t>Sumter/Shaw AFB</t>
  </si>
  <si>
    <t>Amarillo, TX</t>
  </si>
  <si>
    <t>Swift Current</t>
  </si>
  <si>
    <t>Austin, TX</t>
  </si>
  <si>
    <t>Sydney</t>
  </si>
  <si>
    <t>Beaumont/Port Arthur, TX</t>
  </si>
  <si>
    <t>Syracuse</t>
  </si>
  <si>
    <t>Beeville/Chase Field NAS, TX</t>
  </si>
  <si>
    <t>Tacoma/McChord AFB</t>
  </si>
  <si>
    <t>Brownsville, TX</t>
  </si>
  <si>
    <t>Talkeetna</t>
  </si>
  <si>
    <t>College Station/Bryan, TX</t>
  </si>
  <si>
    <t>Tallahassee</t>
  </si>
  <si>
    <t>Corpus Christi, TX</t>
  </si>
  <si>
    <t>Tampa/Int'l Airport</t>
  </si>
  <si>
    <t>Dallas/Fort Worth/Int'l Airport, TX</t>
  </si>
  <si>
    <t>Terrace</t>
  </si>
  <si>
    <t>Del Rio/Laughlin AFB, TX</t>
  </si>
  <si>
    <t>Terre Haute</t>
  </si>
  <si>
    <t>Teterboro</t>
  </si>
  <si>
    <t>El Paso, TX</t>
  </si>
  <si>
    <t>Texarkana</t>
  </si>
  <si>
    <t>The Pas</t>
  </si>
  <si>
    <t>Fort Worth/Carswell AFB, TX</t>
  </si>
  <si>
    <t>Thompson</t>
  </si>
  <si>
    <t>Fort Worth/Meacham Field, TX</t>
  </si>
  <si>
    <t>Thunder Bay</t>
  </si>
  <si>
    <t>Guadalupe Pass, TX</t>
  </si>
  <si>
    <t>Timmins</t>
  </si>
  <si>
    <t>Houston/Hobby Airport, TX</t>
  </si>
  <si>
    <t>Tofino</t>
  </si>
  <si>
    <t>Houston/Intercontinental Airport, TX</t>
  </si>
  <si>
    <t>Tofte</t>
  </si>
  <si>
    <t>Toledo</t>
  </si>
  <si>
    <t>Junction, TX</t>
  </si>
  <si>
    <t>Tonopah</t>
  </si>
  <si>
    <t>Killeen/Fort Hood, TX</t>
  </si>
  <si>
    <t>Topeka</t>
  </si>
  <si>
    <t>Kingsville/NAS, TX</t>
  </si>
  <si>
    <t>Toronto Int'l</t>
  </si>
  <si>
    <t>Laredo AFB, TX</t>
  </si>
  <si>
    <t>Laredo, TX</t>
  </si>
  <si>
    <t>Lubbock/Int'l Arpt, TX</t>
  </si>
  <si>
    <t>Traverse City</t>
  </si>
  <si>
    <t>Lubbock/Reese AFB, TX</t>
  </si>
  <si>
    <t>Trenton</t>
  </si>
  <si>
    <t>Lufkin, TX</t>
  </si>
  <si>
    <t>Trenton/Wrightstown/McGuire AFB</t>
  </si>
  <si>
    <t>Marfa, TX</t>
  </si>
  <si>
    <t>Trinidad</t>
  </si>
  <si>
    <t>McAllen, TX</t>
  </si>
  <si>
    <t>Truro</t>
  </si>
  <si>
    <t>Midland/Odessa, TX</t>
  </si>
  <si>
    <t>Truth or Consequences</t>
  </si>
  <si>
    <t>Tucson</t>
  </si>
  <si>
    <t>San Angelo, TX</t>
  </si>
  <si>
    <t>Tucumcari</t>
  </si>
  <si>
    <t>Tulsa</t>
  </si>
  <si>
    <t>San Antonio/Int'l Airport, TX</t>
  </si>
  <si>
    <t>Tupelo</t>
  </si>
  <si>
    <t>San Antonio/Kelly AFB, TX</t>
  </si>
  <si>
    <t>Tuscaloosa</t>
  </si>
  <si>
    <t>San Antonio/Randolph AFB, TX</t>
  </si>
  <si>
    <t>Uranium City</t>
  </si>
  <si>
    <t>Sanderson, TX</t>
  </si>
  <si>
    <t>CAN02</t>
  </si>
  <si>
    <t>Sherman-Denison, TX</t>
  </si>
  <si>
    <t>Val d'Or</t>
  </si>
  <si>
    <t>Victoria, TX</t>
  </si>
  <si>
    <t>Waco, TX</t>
  </si>
  <si>
    <t>Valdosta/Moody AFB</t>
  </si>
  <si>
    <t>Wichita Falls/Sheppard AFB, TX</t>
  </si>
  <si>
    <t>Valdosta/Regional Airport</t>
  </si>
  <si>
    <t>Bryce Canyon, UT</t>
  </si>
  <si>
    <t>Valentine</t>
  </si>
  <si>
    <t>Cedar City, UT</t>
  </si>
  <si>
    <t>Valparaiso/Eglin AFB</t>
  </si>
  <si>
    <t>Ogden/Hill AFB, UT</t>
  </si>
  <si>
    <t>Vancouver Int'l</t>
  </si>
  <si>
    <t>Salt Lake City, UT</t>
  </si>
  <si>
    <t>Fort Belvoir, VA</t>
  </si>
  <si>
    <t>Vero Beach</t>
  </si>
  <si>
    <t>Hampton/Langley AFB, VA</t>
  </si>
  <si>
    <t>Victoria Int'l</t>
  </si>
  <si>
    <t>Lynchburg, VA</t>
  </si>
  <si>
    <t>Victoria</t>
  </si>
  <si>
    <t>Victorville/George AFB</t>
  </si>
  <si>
    <t>Norfolk, VA</t>
  </si>
  <si>
    <t>Wabush Lake</t>
  </si>
  <si>
    <t>Oceana/NAS, VA</t>
  </si>
  <si>
    <t>Waco</t>
  </si>
  <si>
    <t>Quantico/MCAS, VA</t>
  </si>
  <si>
    <t>Walla Walla</t>
  </si>
  <si>
    <t>Richmond, VA</t>
  </si>
  <si>
    <t>Warrensburg/Sedalia/Whiteman A</t>
  </si>
  <si>
    <t>Roanoke, VA</t>
  </si>
  <si>
    <t>Washington National Airport</t>
  </si>
  <si>
    <t>Sterling/Washington Dulles Airport, VA</t>
  </si>
  <si>
    <t>Waterloo</t>
  </si>
  <si>
    <t>Watertown</t>
  </si>
  <si>
    <t>Washington National Airport, VA</t>
  </si>
  <si>
    <t>Wausau</t>
  </si>
  <si>
    <t>Burlington, VT</t>
  </si>
  <si>
    <t>Waycross</t>
  </si>
  <si>
    <t>Montpelier/Barre, VT</t>
  </si>
  <si>
    <t>Wenatchee</t>
  </si>
  <si>
    <t>Bellingham, WA</t>
  </si>
  <si>
    <t>West Chicago</t>
  </si>
  <si>
    <t>West Palm Beach</t>
  </si>
  <si>
    <t>Olympia, WA</t>
  </si>
  <si>
    <t>Weymouth/South Weymouth NAS</t>
  </si>
  <si>
    <t>Quillayute, WA</t>
  </si>
  <si>
    <t>Seattle-Tacoma/Int'l Airport, WA</t>
  </si>
  <si>
    <t>White Plains</t>
  </si>
  <si>
    <t>Spokane/Fairchild AFB, WA</t>
  </si>
  <si>
    <t>Wiarton</t>
  </si>
  <si>
    <t>Wichita Falls/Sheppard AFB</t>
  </si>
  <si>
    <t>Tacoma/McChord AFB, WA</t>
  </si>
  <si>
    <t>Wichita/Airport</t>
  </si>
  <si>
    <t>Walla Walla, WA</t>
  </si>
  <si>
    <t>Wichita/Mcconnell AFB</t>
  </si>
  <si>
    <t>Wenatchee, WA</t>
  </si>
  <si>
    <t>Wilkes-Barre/Scranton</t>
  </si>
  <si>
    <t>Williams Lake</t>
  </si>
  <si>
    <t>Yakima, WA</t>
  </si>
  <si>
    <t>Williamsport</t>
  </si>
  <si>
    <t>Eau Claire, WI</t>
  </si>
  <si>
    <t>Williston</t>
  </si>
  <si>
    <t>Green Bay, WI</t>
  </si>
  <si>
    <t>Wilmington</t>
  </si>
  <si>
    <t>La Crosse, WI</t>
  </si>
  <si>
    <t>Madison, WI</t>
  </si>
  <si>
    <t>Windsor Locks/Bradley Field</t>
  </si>
  <si>
    <t>Milwaukee, WI</t>
  </si>
  <si>
    <t>Windsor</t>
  </si>
  <si>
    <t>Wausau, WI</t>
  </si>
  <si>
    <t>Winnemucca</t>
  </si>
  <si>
    <t>Bluefield, WV</t>
  </si>
  <si>
    <t>Winnipeg Int'l</t>
  </si>
  <si>
    <t>Charleston, WV</t>
  </si>
  <si>
    <t>Winslow</t>
  </si>
  <si>
    <t>Elkins, WV</t>
  </si>
  <si>
    <t>Winston-Salem</t>
  </si>
  <si>
    <t>Huntington, WV</t>
  </si>
  <si>
    <t>Worcester</t>
  </si>
  <si>
    <t>Martinsburg, WV</t>
  </si>
  <si>
    <t>Worland</t>
  </si>
  <si>
    <t>Morgantown, WV</t>
  </si>
  <si>
    <t>Wynyard</t>
  </si>
  <si>
    <t>Parkersburg, WV</t>
  </si>
  <si>
    <t>Yakima</t>
  </si>
  <si>
    <t>Big Piney, WY</t>
  </si>
  <si>
    <t>Yakutat</t>
  </si>
  <si>
    <t>Casper, WY</t>
  </si>
  <si>
    <t>Yarmouth</t>
  </si>
  <si>
    <t>Cheyenne/Warren AFB, WY</t>
  </si>
  <si>
    <t>Yellowknife</t>
  </si>
  <si>
    <t>Cody, WY</t>
  </si>
  <si>
    <t>Yorkton</t>
  </si>
  <si>
    <t>Gillette, WY</t>
  </si>
  <si>
    <t>Youngstown</t>
  </si>
  <si>
    <t>Lander, WY</t>
  </si>
  <si>
    <t>Yucca Flats</t>
  </si>
  <si>
    <t>Rock Springs, WY</t>
  </si>
  <si>
    <t>Yuma</t>
  </si>
  <si>
    <t>Sheridan, WY</t>
  </si>
  <si>
    <t>Zanesville</t>
  </si>
  <si>
    <t>Worland, WY</t>
  </si>
  <si>
    <t>Confirmed</t>
  </si>
  <si>
    <t>Coeff of Util*</t>
  </si>
  <si>
    <t>Room Cavity Ratio</t>
  </si>
  <si>
    <t>Floor-to-Ceiling Height (ft)</t>
  </si>
  <si>
    <t>Room/Area Name*</t>
  </si>
  <si>
    <t>Notes (Optional)</t>
  </si>
  <si>
    <t>Workplane Height</t>
  </si>
  <si>
    <t>Room Perimeter (ft)</t>
  </si>
  <si>
    <t>Room Width (ft)</t>
  </si>
  <si>
    <t>Room Length (ft)</t>
  </si>
  <si>
    <t>Room Shape</t>
  </si>
  <si>
    <t>Irregular</t>
  </si>
  <si>
    <t>Rectangular</t>
  </si>
  <si>
    <t>Linear Fluorescent (T5)</t>
  </si>
  <si>
    <t>Linear Fluorescent (T8)</t>
  </si>
  <si>
    <t>Linear Fluorescent (T12)</t>
  </si>
  <si>
    <t>From IES Handbook</t>
  </si>
  <si>
    <t>Misc Fluorescent</t>
  </si>
  <si>
    <t>Lighting Fraction</t>
  </si>
  <si>
    <t>Calculation of Seasonal and Geographic Effects on Lighting Energy (Updated November 28, 2009)</t>
  </si>
  <si>
    <t>Intermediate Calculations</t>
  </si>
  <si>
    <t>Benchmark Adjustmt (kWh/yr)</t>
  </si>
  <si>
    <t>(4) For all MELs with a non-zero quantity, enter the average power draw in each operating mode in the white boxes below.  Use the Benchmark value if power draws are unknown (column AC, AG, and AL).</t>
  </si>
  <si>
    <t>Total Lighting</t>
  </si>
  <si>
    <t>Total Lighting Sensible Load</t>
  </si>
  <si>
    <t>* RCR=5, Wall Reflectivity=50%, Ceiling Reflectivity=80%</t>
  </si>
  <si>
    <t>U.S. Avg Seasonal Fraction</t>
  </si>
  <si>
    <t>U.S. Avg Hourly Profiles</t>
  </si>
  <si>
    <t>Selected City Hourly Profile</t>
  </si>
  <si>
    <t>* Multiple fixtures in the same room must both use exactly the same Room Name</t>
  </si>
  <si>
    <t>Watts/ Lamp</t>
  </si>
  <si>
    <t>Multi-Purpose Room</t>
  </si>
  <si>
    <t>Office Occupant Sensible Load</t>
  </si>
  <si>
    <t>Office Occupant Latent Load</t>
  </si>
  <si>
    <t>Max # of people in Workout Room</t>
  </si>
  <si>
    <t>Max # of people in Laundry Room</t>
  </si>
  <si>
    <t>Does the multi-family complex have an office?</t>
  </si>
  <si>
    <t>Does the multi-family complex have a Workout Room?</t>
  </si>
  <si>
    <t>Benchmark Coeff of Utilization</t>
  </si>
  <si>
    <t>Benchmark Lumen Contribution</t>
  </si>
  <si>
    <t>Outdoor Stairs</t>
  </si>
  <si>
    <t>Parking Garage</t>
  </si>
  <si>
    <t>Open Parking</t>
  </si>
  <si>
    <t>Common Mail</t>
  </si>
  <si>
    <t>Elevator</t>
  </si>
  <si>
    <t>Equip. Room</t>
  </si>
  <si>
    <t>Multi-Purpose</t>
  </si>
  <si>
    <t>C</t>
  </si>
  <si>
    <t>W/ft^2 (Commerical Benchmark or Outdoor lighting Guide)</t>
  </si>
  <si>
    <t>MULTI FAMILY COMMON SPACES</t>
  </si>
  <si>
    <t>Outdoor Walkways</t>
  </si>
  <si>
    <t>Common Office</t>
  </si>
  <si>
    <t>Bench</t>
  </si>
  <si>
    <t>Adak Nas, AK</t>
  </si>
  <si>
    <t>Adak Nas</t>
  </si>
  <si>
    <t>Anchorage Elmendorf, AK</t>
  </si>
  <si>
    <t>Anchorage Elmendorf</t>
  </si>
  <si>
    <t>Lake Hood Seaplane, AK</t>
  </si>
  <si>
    <t>Lake Hood Seaplane</t>
  </si>
  <si>
    <t>Anchorage Merrill Field, AK</t>
  </si>
  <si>
    <t>Anchorage Merrill Field</t>
  </si>
  <si>
    <t>Anchorage Intl Ap, AK</t>
  </si>
  <si>
    <t>Anchorage Intl Ap</t>
  </si>
  <si>
    <t>Aniak Airport, AK</t>
  </si>
  <si>
    <t>Aniak Airport</t>
  </si>
  <si>
    <t>Annette Island Ap, AK</t>
  </si>
  <si>
    <t>Annette Island Ap</t>
  </si>
  <si>
    <t>Barrow W Post W Rogers Arpt  N, AK</t>
  </si>
  <si>
    <t>Barrow W Post W Rogers Arpt  N</t>
  </si>
  <si>
    <t>Bethel Airport, AK</t>
  </si>
  <si>
    <t>Bethel Airport</t>
  </si>
  <si>
    <t>Big Delta Allen Aaf, AK</t>
  </si>
  <si>
    <t>Big Delta Allen Aaf</t>
  </si>
  <si>
    <t>Cold Bay Arpt, AK</t>
  </si>
  <si>
    <t>Cold Bay Arpt</t>
  </si>
  <si>
    <t>Dillingham  Amos, AK</t>
  </si>
  <si>
    <t>Dillingham  Amos</t>
  </si>
  <si>
    <t>Fairbanks Eielson A, AK</t>
  </si>
  <si>
    <t>Fairbanks Eielson A</t>
  </si>
  <si>
    <t>Fairbanks Intl Arpt, AK</t>
  </si>
  <si>
    <t>Fairbanks Intl Arpt</t>
  </si>
  <si>
    <t>Gulkana Intermediate Field, AK</t>
  </si>
  <si>
    <t>Gulkana Intermediate Field</t>
  </si>
  <si>
    <t>Healy River Airport, AK</t>
  </si>
  <si>
    <t>Healy River Airport</t>
  </si>
  <si>
    <t>Homer Arpt, AK</t>
  </si>
  <si>
    <t>Homer Arpt</t>
  </si>
  <si>
    <t>Hydaburg Seaplane, AK</t>
  </si>
  <si>
    <t>Hydaburg Seaplane</t>
  </si>
  <si>
    <t>Iliamna Arpt, AK</t>
  </si>
  <si>
    <t>Iliamna Arpt</t>
  </si>
  <si>
    <t>Juneau IntL Arpt, AK</t>
  </si>
  <si>
    <t>Juneau IntL Arpt</t>
  </si>
  <si>
    <t>Kenai Municipal Ap, AK</t>
  </si>
  <si>
    <t>Kenai Municipal Ap</t>
  </si>
  <si>
    <t>Ketchikan Intl Ap, AK</t>
  </si>
  <si>
    <t>Ketchikan Intl Ap</t>
  </si>
  <si>
    <t>King Salmon Arpt, AK</t>
  </si>
  <si>
    <t>King Salmon Arpt</t>
  </si>
  <si>
    <t>Kodiak Airport, AK</t>
  </si>
  <si>
    <t>Kodiak Airport</t>
  </si>
  <si>
    <t>Kotzebue Ralph Wein Memorial, AK</t>
  </si>
  <si>
    <t>Kotzebue Ralph Wein Memorial</t>
  </si>
  <si>
    <t>Mcgrath Arpt, AK</t>
  </si>
  <si>
    <t>Mcgrath Arpt</t>
  </si>
  <si>
    <t>Middleton Island Aut, AK</t>
  </si>
  <si>
    <t>Middleton Island Aut</t>
  </si>
  <si>
    <t>Nenana Municipal Ap, AK</t>
  </si>
  <si>
    <t>Nenana Municipal Ap</t>
  </si>
  <si>
    <t>Nome Municipal Arpt, AK</t>
  </si>
  <si>
    <t>Nome Municipal Arpt</t>
  </si>
  <si>
    <t>Northway Airport, AK</t>
  </si>
  <si>
    <t>Northway Airport</t>
  </si>
  <si>
    <t>Palmer Municipal, AK</t>
  </si>
  <si>
    <t>Palmer Municipal</t>
  </si>
  <si>
    <t>Shemya Afb, AK</t>
  </si>
  <si>
    <t>Shemya Afb</t>
  </si>
  <si>
    <t>Sitka Japonski Ap, AK</t>
  </si>
  <si>
    <t>Sitka Japonski Ap</t>
  </si>
  <si>
    <t>Skagway Airport, AK</t>
  </si>
  <si>
    <t>Skagway Airport</t>
  </si>
  <si>
    <t>St Paul Island Arpt, AK</t>
  </si>
  <si>
    <t>St Paul Island Arpt</t>
  </si>
  <si>
    <t>Talkeetna State Arpt, AK</t>
  </si>
  <si>
    <t>Talkeetna State Arpt</t>
  </si>
  <si>
    <t>Tanana Ralph M Calhoun Mem Ap, AK</t>
  </si>
  <si>
    <t>Tanana Ralph M Calhoun Mem Ap</t>
  </si>
  <si>
    <t>Togiac Village Awos, AK</t>
  </si>
  <si>
    <t>Togiac Village Awos</t>
  </si>
  <si>
    <t>Dutch Harbor, AK</t>
  </si>
  <si>
    <t>Dutch Harbor</t>
  </si>
  <si>
    <t>Valdez Pioneer Fiel, AK</t>
  </si>
  <si>
    <t>Valdez Pioneer Fiel</t>
  </si>
  <si>
    <t>Valdez Wso, AK</t>
  </si>
  <si>
    <t>Valdez Wso</t>
  </si>
  <si>
    <t>Yakutat State Arpt, AK</t>
  </si>
  <si>
    <t>Yakutat State Arpt</t>
  </si>
  <si>
    <t>Anniston Metropolitan Ap, AL</t>
  </si>
  <si>
    <t>Anniston Metropolitan Ap</t>
  </si>
  <si>
    <t>Auburn Opelika Apt, AL</t>
  </si>
  <si>
    <t>Auburn Opelika Apt</t>
  </si>
  <si>
    <t>Birmingham Municipal Ap, AL</t>
  </si>
  <si>
    <t>Birmingham Municipal Ap</t>
  </si>
  <si>
    <t>Dothan Municipal Ap, AL</t>
  </si>
  <si>
    <t>Dothan Municipal Ap</t>
  </si>
  <si>
    <t>Cairns Field Fort Rucker, AL</t>
  </si>
  <si>
    <t>Cairns Field Fort Rucker</t>
  </si>
  <si>
    <t>Huntsville Intl Jones Field, AL</t>
  </si>
  <si>
    <t>Huntsville Intl Jones Field</t>
  </si>
  <si>
    <t>Maxwell Afb, AL</t>
  </si>
  <si>
    <t>Maxwell Afb</t>
  </si>
  <si>
    <t>Mobile Downtown Ap, AL</t>
  </si>
  <si>
    <t>Mobile Downtown Ap</t>
  </si>
  <si>
    <t>Mobile Regional Ap, AL</t>
  </si>
  <si>
    <t>Mobile Regional Ap</t>
  </si>
  <si>
    <t>Montgomery Dannelly Field, AL</t>
  </si>
  <si>
    <t>Montgomery Dannelly Field</t>
  </si>
  <si>
    <t>Muscle Shoals Regional Ap, AL</t>
  </si>
  <si>
    <t>Muscle Shoals Regional Ap</t>
  </si>
  <si>
    <t>Troy Af, AL</t>
  </si>
  <si>
    <t>Troy Af</t>
  </si>
  <si>
    <t>Tuscaloosa Municipal Ap, AL</t>
  </si>
  <si>
    <t>Tuscaloosa Municipal Ap</t>
  </si>
  <si>
    <t>El Dorado Goodwin Field, AR</t>
  </si>
  <si>
    <t>El Dorado Goodwin Field</t>
  </si>
  <si>
    <t>Fayetteville Drake Field, AR</t>
  </si>
  <si>
    <t>Fayetteville Drake Field</t>
  </si>
  <si>
    <t>Fort Smith Regional Ap, AR</t>
  </si>
  <si>
    <t>Fort Smith Regional Ap</t>
  </si>
  <si>
    <t>Harrison Faa Ap, AR</t>
  </si>
  <si>
    <t>Harrison Faa Ap</t>
  </si>
  <si>
    <t>Memorial Fld, AR</t>
  </si>
  <si>
    <t>Memorial Fld</t>
  </si>
  <si>
    <t>Jonesboro Muni, AR</t>
  </si>
  <si>
    <t>Jonesboro Muni</t>
  </si>
  <si>
    <t>Little Rock Adams Field, AR</t>
  </si>
  <si>
    <t>Little Rock Adams Field</t>
  </si>
  <si>
    <t>Little Rock Afb, AR</t>
  </si>
  <si>
    <t>Little Rock Afb</t>
  </si>
  <si>
    <t>Pine Bluff Faa Ap, AR</t>
  </si>
  <si>
    <t>Pine Bluff Faa Ap</t>
  </si>
  <si>
    <t>Siloam Spring Awos, AR</t>
  </si>
  <si>
    <t>Siloam Spring Awos</t>
  </si>
  <si>
    <t>Springdale Muni, AR</t>
  </si>
  <si>
    <t>Springdale Muni</t>
  </si>
  <si>
    <t>Texarkana Webb Field, AR</t>
  </si>
  <si>
    <t>Texarkana Webb Field</t>
  </si>
  <si>
    <t>Davis Monthan Afb, AZ</t>
  </si>
  <si>
    <t>Davis Monthan Afb</t>
  </si>
  <si>
    <t>Douglas Bisbee Douglas Intl A, AZ</t>
  </si>
  <si>
    <t>Douglas Bisbee Douglas Intl A</t>
  </si>
  <si>
    <t>Flagstaff Pulliam Arpt, AZ</t>
  </si>
  <si>
    <t>Flagstaff Pulliam Arpt</t>
  </si>
  <si>
    <t>Grand Canyon Natl P, AZ</t>
  </si>
  <si>
    <t>Grand Canyon Natl P</t>
  </si>
  <si>
    <t>Kingman  Amos, AZ</t>
  </si>
  <si>
    <t>Kingman  Amos</t>
  </si>
  <si>
    <t>Luke Afb, AZ</t>
  </si>
  <si>
    <t>Luke Afb</t>
  </si>
  <si>
    <t>Page Muni  Amos, AZ</t>
  </si>
  <si>
    <t>Page Muni  Amos</t>
  </si>
  <si>
    <t>Deer Valley Phoenix, AZ</t>
  </si>
  <si>
    <t>Deer Valley Phoenix</t>
  </si>
  <si>
    <t>Phoenix Sky Harbor Intl Ap, AZ</t>
  </si>
  <si>
    <t>Phoenix Sky Harbor Intl Ap</t>
  </si>
  <si>
    <t>Prescott Love Field, AZ</t>
  </si>
  <si>
    <t>Prescott Love Field</t>
  </si>
  <si>
    <t>Safford  Amos, AZ</t>
  </si>
  <si>
    <t>Safford  Amos</t>
  </si>
  <si>
    <t>Scottsdale Muni, AZ</t>
  </si>
  <si>
    <t>Scottsdale Muni</t>
  </si>
  <si>
    <t>Show Low Municipal, AZ</t>
  </si>
  <si>
    <t>Show Low Municipal</t>
  </si>
  <si>
    <t>Tucson International Ap, AZ</t>
  </si>
  <si>
    <t>Tucson International Ap</t>
  </si>
  <si>
    <t>Winslow Municipal Ap, AZ</t>
  </si>
  <si>
    <t>Winslow Municipal Ap</t>
  </si>
  <si>
    <t>Yuma Intl Arpt, AZ</t>
  </si>
  <si>
    <t>Yuma Intl Arpt</t>
  </si>
  <si>
    <t>Yuma Mcas, AZ</t>
  </si>
  <si>
    <t>Yuma Mcas</t>
  </si>
  <si>
    <t>Arcata Airport, CA</t>
  </si>
  <si>
    <t>Arcata Airport</t>
  </si>
  <si>
    <t>Bakersfield Meadows Field, CA</t>
  </si>
  <si>
    <t>Bakersfield Meadows Field</t>
  </si>
  <si>
    <t>Daggett Barstow Daggett Ap, CA</t>
  </si>
  <si>
    <t>Daggett Barstow Daggett Ap</t>
  </si>
  <si>
    <t>Beale Afb, CA</t>
  </si>
  <si>
    <t>Beale Afb</t>
  </si>
  <si>
    <t>Bishop Airport, CA</t>
  </si>
  <si>
    <t>Bishop Airport</t>
  </si>
  <si>
    <t>Blue Canyon Ap, CA</t>
  </si>
  <si>
    <t>Blue Canyon Ap</t>
  </si>
  <si>
    <t>Blythe Riverside Co Arpt, CA</t>
  </si>
  <si>
    <t>Blythe Riverside Co Arpt</t>
  </si>
  <si>
    <t>Burbank Glendale Passadena Ap, CA</t>
  </si>
  <si>
    <t>Burbank Glendale Passadena Ap</t>
  </si>
  <si>
    <t>Camp Pendleton Mcas, CA</t>
  </si>
  <si>
    <t>Camp Pendleton Mcas</t>
  </si>
  <si>
    <t>Carlsbad Palomar, CA</t>
  </si>
  <si>
    <t>Carlsbad Palomar</t>
  </si>
  <si>
    <t>China Lake Naf, CA</t>
  </si>
  <si>
    <t>China Lake Naf</t>
  </si>
  <si>
    <t>Chino Airport, CA</t>
  </si>
  <si>
    <t>Chino Airport</t>
  </si>
  <si>
    <t>Concord Concord Buchanan Fiel, CA</t>
  </si>
  <si>
    <t>Concord Concord Buchanan Fiel</t>
  </si>
  <si>
    <t>Crescent City Faa Ai, CA</t>
  </si>
  <si>
    <t>Crescent City Faa Ai</t>
  </si>
  <si>
    <t>Edwards Afb, CA</t>
  </si>
  <si>
    <t>Edwards Afb</t>
  </si>
  <si>
    <t>Travis Field Afb, CA</t>
  </si>
  <si>
    <t>Travis Field Afb</t>
  </si>
  <si>
    <t>Fresno Yosemite Intl Ap, CA</t>
  </si>
  <si>
    <t>Fresno Yosemite Intl Ap</t>
  </si>
  <si>
    <t>Fullerton Municipal, CA</t>
  </si>
  <si>
    <t>Fullerton Municipal</t>
  </si>
  <si>
    <t>Jack Northrop Fld H, CA</t>
  </si>
  <si>
    <t>Jack Northrop Fld H</t>
  </si>
  <si>
    <t>Hayward Air Term, CA</t>
  </si>
  <si>
    <t>Hayward Air Term</t>
  </si>
  <si>
    <t>Imperial, CA</t>
  </si>
  <si>
    <t>Imperial</t>
  </si>
  <si>
    <t>Lancaster Gen Wm Fox Field, CA</t>
  </si>
  <si>
    <t>Lancaster Gen Wm Fox Field</t>
  </si>
  <si>
    <t>Lemoore Reeves Nas, CA</t>
  </si>
  <si>
    <t>Lemoore Reeves Nas</t>
  </si>
  <si>
    <t>Livermore Municipal, CA</t>
  </si>
  <si>
    <t>Livermore Municipal</t>
  </si>
  <si>
    <t>Long Beach Daugherty Fld, CA</t>
  </si>
  <si>
    <t>Long Beach Daugherty Fld</t>
  </si>
  <si>
    <t>Los Angeles Intl Arpt, CA</t>
  </si>
  <si>
    <t>Los Angeles Intl Arpt</t>
  </si>
  <si>
    <t>March Afb, CA</t>
  </si>
  <si>
    <t>March Afb</t>
  </si>
  <si>
    <t>Merced Macready Fld, CA</t>
  </si>
  <si>
    <t>Merced Macready Fld</t>
  </si>
  <si>
    <t>Modesto City County Ap, CA</t>
  </si>
  <si>
    <t>Modesto City County Ap</t>
  </si>
  <si>
    <t>Montague Siskiyou County Ap, CA</t>
  </si>
  <si>
    <t>Montague Siskiyou County Ap</t>
  </si>
  <si>
    <t>Monterey Naf, CA</t>
  </si>
  <si>
    <t>Monterey Naf</t>
  </si>
  <si>
    <t>Mountain View Moffett Fld Nas, CA</t>
  </si>
  <si>
    <t>Mountain View Moffett Fld Nas</t>
  </si>
  <si>
    <t>Napa Co  Airport, CA</t>
  </si>
  <si>
    <t>Napa Co  Airport</t>
  </si>
  <si>
    <t>Needles Airport, CA</t>
  </si>
  <si>
    <t>Needles Airport</t>
  </si>
  <si>
    <t>Oakland Metropolitan Arpt, CA</t>
  </si>
  <si>
    <t>Oakland Metropolitan Arpt</t>
  </si>
  <si>
    <t>Oxnard Airport, CA</t>
  </si>
  <si>
    <t>Oxnard Airport</t>
  </si>
  <si>
    <t>Palm Springs Thermal Ap, CA</t>
  </si>
  <si>
    <t>Palm Springs Thermal Ap</t>
  </si>
  <si>
    <t>Palm Springs Intl, CA</t>
  </si>
  <si>
    <t>Palm Springs Intl</t>
  </si>
  <si>
    <t>Palmdale Airport, CA</t>
  </si>
  <si>
    <t>Palmdale Airport</t>
  </si>
  <si>
    <t>Paso Robles Municipal Arpt, CA</t>
  </si>
  <si>
    <t>Paso Robles Municipal Arpt</t>
  </si>
  <si>
    <t>Point Mugu Nf, CA</t>
  </si>
  <si>
    <t>Point Mugu Nf</t>
  </si>
  <si>
    <t>Red Bluff Municipal Arpt, CA</t>
  </si>
  <si>
    <t>Red Bluff Municipal Arpt</t>
  </si>
  <si>
    <t>Redding Municipal Arpt, CA</t>
  </si>
  <si>
    <t>Redding Municipal Arpt</t>
  </si>
  <si>
    <t>Riverside Muni, CA</t>
  </si>
  <si>
    <t>Riverside Muni</t>
  </si>
  <si>
    <t>Sacramento Executive Arpt, CA</t>
  </si>
  <si>
    <t>Sacramento Executive Arpt</t>
  </si>
  <si>
    <t>Sacramento Metropolitan Ap, CA</t>
  </si>
  <si>
    <t>Sacramento Metropolitan Ap</t>
  </si>
  <si>
    <t>Salinas Municipal Ap, CA</t>
  </si>
  <si>
    <t>Salinas Municipal Ap</t>
  </si>
  <si>
    <t>San Diego Lindbergh Field, CA</t>
  </si>
  <si>
    <t>San Diego Lindbergh Field</t>
  </si>
  <si>
    <t>San Diego Miramar Nas, CA</t>
  </si>
  <si>
    <t>San Diego Miramar Nas</t>
  </si>
  <si>
    <t>San Diego Montgomer, CA</t>
  </si>
  <si>
    <t>San Diego Montgomer</t>
  </si>
  <si>
    <t>San Diego North Island Nas, CA</t>
  </si>
  <si>
    <t>San Diego North Island Nas</t>
  </si>
  <si>
    <t>San Francisco Intl Ap, CA</t>
  </si>
  <si>
    <t>San Francisco Intl Ap</t>
  </si>
  <si>
    <t>San Jose Intl Ap, CA</t>
  </si>
  <si>
    <t>San Jose Intl Ap</t>
  </si>
  <si>
    <t>San Luis Co Rgnl, CA</t>
  </si>
  <si>
    <t>San Luis Co Rgnl</t>
  </si>
  <si>
    <t>Santa Ana John Wayne Ap, CA</t>
  </si>
  <si>
    <t>Santa Ana John Wayne Ap</t>
  </si>
  <si>
    <t>Santa Barbara Municipal Ap, CA</t>
  </si>
  <si>
    <t>Santa Barbara Municipal Ap</t>
  </si>
  <si>
    <t>Santa Maria Public Arpt, CA</t>
  </si>
  <si>
    <t>Santa Maria Public Arpt</t>
  </si>
  <si>
    <t>Santa Monica Muni, CA</t>
  </si>
  <si>
    <t>Santa Monica Muni</t>
  </si>
  <si>
    <t>South Lake Tahoe, CA</t>
  </si>
  <si>
    <t>South Lake Tahoe</t>
  </si>
  <si>
    <t>Stockton Metropolitan Arpt, CA</t>
  </si>
  <si>
    <t>Stockton Metropolitan Arpt</t>
  </si>
  <si>
    <t>Truckee Tahoe, CA</t>
  </si>
  <si>
    <t>Truckee Tahoe</t>
  </si>
  <si>
    <t>Ukiah Municipal Ap, CA</t>
  </si>
  <si>
    <t>Ukiah Municipal Ap</t>
  </si>
  <si>
    <t>Yuba Co, CA</t>
  </si>
  <si>
    <t>Yuba Co</t>
  </si>
  <si>
    <t>Akron Washington Co Ap, CO</t>
  </si>
  <si>
    <t>Akron Washington Co Ap</t>
  </si>
  <si>
    <t>Alamosa San Luis Valley Rgnl, CO</t>
  </si>
  <si>
    <t>Alamosa San Luis Valley Rgnl</t>
  </si>
  <si>
    <t>Aspen Pitkin Co Sar, CO</t>
  </si>
  <si>
    <t>Aspen Pitkin Co Sar</t>
  </si>
  <si>
    <t>Aurora Buckley Field Angb, CO</t>
  </si>
  <si>
    <t>Aurora Buckley Field Angb</t>
  </si>
  <si>
    <t>Broomfield Jeffco  Boulder   S, CO</t>
  </si>
  <si>
    <t>Broomfield Jeffco  Boulder   S</t>
  </si>
  <si>
    <t>Colorado Springs Muni Ap, CO</t>
  </si>
  <si>
    <t>Colorado Springs Muni Ap</t>
  </si>
  <si>
    <t>Cortez Montezuma Co, CO</t>
  </si>
  <si>
    <t>Cortez Montezuma Co</t>
  </si>
  <si>
    <t>Craig Moffat, CO</t>
  </si>
  <si>
    <t>Craig Moffat</t>
  </si>
  <si>
    <t>Denver Intl Ap, CO</t>
  </si>
  <si>
    <t>Denver Intl Ap</t>
  </si>
  <si>
    <t>Durango La Plata Co, CO</t>
  </si>
  <si>
    <t>Durango La Plata Co</t>
  </si>
  <si>
    <t>Eagle County Ap, CO</t>
  </si>
  <si>
    <t>Eagle County Ap</t>
  </si>
  <si>
    <t>Denver Centennial  Golden   Nr, CO</t>
  </si>
  <si>
    <t>Denver Centennial  Golden   Nr</t>
  </si>
  <si>
    <t>Grand Junction Walker Field, CO</t>
  </si>
  <si>
    <t>Grand Junction Walker Field</t>
  </si>
  <si>
    <t>La Junta Municipal Ap, CO</t>
  </si>
  <si>
    <t>La Junta Municipal Ap</t>
  </si>
  <si>
    <t>Lamar Municipal, CO</t>
  </si>
  <si>
    <t>Lamar Municipal</t>
  </si>
  <si>
    <t>Leadville Lake Co, CO</t>
  </si>
  <si>
    <t>Leadville Lake Co</t>
  </si>
  <si>
    <t>Montrose Co  Arpt, CO</t>
  </si>
  <si>
    <t>Montrose Co  Arpt</t>
  </si>
  <si>
    <t>Pueblo Memorial Ap, CO</t>
  </si>
  <si>
    <t>Pueblo Memorial Ap</t>
  </si>
  <si>
    <t>Rifle Garfield Rgnl, CO</t>
  </si>
  <si>
    <t>Rifle Garfield Rgnl</t>
  </si>
  <si>
    <t>Trinidad Las Animas County Ap, CO</t>
  </si>
  <si>
    <t>Trinidad Las Animas County Ap</t>
  </si>
  <si>
    <t>Bridgeport Sikorsky Memorial, CT</t>
  </si>
  <si>
    <t>Bridgeport Sikorsky Memorial</t>
  </si>
  <si>
    <t>Danbury Municipal, CT</t>
  </si>
  <si>
    <t>Danbury Municipal</t>
  </si>
  <si>
    <t>Groton New London Ap, CT</t>
  </si>
  <si>
    <t>Groton New London Ap</t>
  </si>
  <si>
    <t>Hartford Bradley Intl Ap, CT</t>
  </si>
  <si>
    <t>Hartford Bradley Intl Ap</t>
  </si>
  <si>
    <t>Hartford Brainard Fd, CT</t>
  </si>
  <si>
    <t>Hartford Brainard Fd</t>
  </si>
  <si>
    <t>New Haven Tweed Airport, CT</t>
  </si>
  <si>
    <t>New Haven Tweed Airport</t>
  </si>
  <si>
    <t>Dover Afb, DE</t>
  </si>
  <si>
    <t>Dover Afb</t>
  </si>
  <si>
    <t>Wilmington New Castle Cnty Ap, DE</t>
  </si>
  <si>
    <t>Wilmington New Castle Cnty Ap</t>
  </si>
  <si>
    <t>Crestview Bob Sikes Ap, FL</t>
  </si>
  <si>
    <t>Crestview Bob Sikes Ap</t>
  </si>
  <si>
    <t>Daytona Beach Intl Ap, FL</t>
  </si>
  <si>
    <t>Daytona Beach Intl Ap</t>
  </si>
  <si>
    <t>Fort Lauderdale, FL</t>
  </si>
  <si>
    <t>Fort Lauderdale</t>
  </si>
  <si>
    <t>Fort Lauderdale Hollywood Int, FL</t>
  </si>
  <si>
    <t>Fort Lauderdale Hollywood Int</t>
  </si>
  <si>
    <t>Fort Myers Page Field, FL</t>
  </si>
  <si>
    <t>Fort Myers Page Field</t>
  </si>
  <si>
    <t>St Lucie Co Intl, FL</t>
  </si>
  <si>
    <t>St Lucie Co Intl</t>
  </si>
  <si>
    <t>Valparaiso Hurlburt, FL</t>
  </si>
  <si>
    <t>Valparaiso Hurlburt</t>
  </si>
  <si>
    <t>Gainesville Regional Ap, FL</t>
  </si>
  <si>
    <t>Gainesville Regional Ap</t>
  </si>
  <si>
    <t>Homestead Afb, FL</t>
  </si>
  <si>
    <t>Homestead Afb</t>
  </si>
  <si>
    <t>Jacksonville Craig, FL</t>
  </si>
  <si>
    <t>Jacksonville Craig</t>
  </si>
  <si>
    <t>Jacksonville Intl Arpt, FL</t>
  </si>
  <si>
    <t>Jacksonville Intl Arpt</t>
  </si>
  <si>
    <t>Jacksonville Nas, FL</t>
  </si>
  <si>
    <t>Jacksonville Nas</t>
  </si>
  <si>
    <t>Key West Intl Arpt, FL</t>
  </si>
  <si>
    <t>Key West Intl Arpt</t>
  </si>
  <si>
    <t>Key West Nas, FL</t>
  </si>
  <si>
    <t>Key West Nas</t>
  </si>
  <si>
    <t>Lakeland Linder Rgn, FL</t>
  </si>
  <si>
    <t>Lakeland Linder Rgn</t>
  </si>
  <si>
    <t>Macdill Afb, FL</t>
  </si>
  <si>
    <t>Macdill Afb</t>
  </si>
  <si>
    <t>Marathon Airport, FL</t>
  </si>
  <si>
    <t>Marathon Airport</t>
  </si>
  <si>
    <t>Mayport Ns, FL</t>
  </si>
  <si>
    <t>Mayport Ns</t>
  </si>
  <si>
    <t>Melbourne Regional Ap, FL</t>
  </si>
  <si>
    <t>Melbourne Regional Ap</t>
  </si>
  <si>
    <t>Miami Kendall Tamia, FL</t>
  </si>
  <si>
    <t>Miami Kendall Tamia</t>
  </si>
  <si>
    <t>Miami Opa Locka, FL</t>
  </si>
  <si>
    <t>Miami Opa Locka</t>
  </si>
  <si>
    <t>Miami Intl Ap, FL</t>
  </si>
  <si>
    <t>Miami Intl Ap</t>
  </si>
  <si>
    <t>Naples Municipal, FL</t>
  </si>
  <si>
    <t>Naples Municipal</t>
  </si>
  <si>
    <t>Nasa Shuttle Fclty, FL</t>
  </si>
  <si>
    <t>Nasa Shuttle Fclty</t>
  </si>
  <si>
    <t>Orlando Sanford Airport, FL</t>
  </si>
  <si>
    <t>Orlando Sanford Airport</t>
  </si>
  <si>
    <t>Orlando Executive Ap, FL</t>
  </si>
  <si>
    <t>Orlando Executive Ap</t>
  </si>
  <si>
    <t>Orlando Intl Arpt, FL</t>
  </si>
  <si>
    <t>Orlando Intl Arpt</t>
  </si>
  <si>
    <t>Panama City Bay Co, FL</t>
  </si>
  <si>
    <t>Panama City Bay Co</t>
  </si>
  <si>
    <t>Pensacola Forest Sherman Nas, FL</t>
  </si>
  <si>
    <t>Pensacola Forest Sherman Nas</t>
  </si>
  <si>
    <t>Pensacola Regional Ap, FL</t>
  </si>
  <si>
    <t>Pensacola Regional Ap</t>
  </si>
  <si>
    <t>Sarasota Bradenton, FL</t>
  </si>
  <si>
    <t>Sarasota Bradenton</t>
  </si>
  <si>
    <t>Southwest Florida I, FL</t>
  </si>
  <si>
    <t>Southwest Florida I</t>
  </si>
  <si>
    <t>St Petersburg Albert Whitted, FL</t>
  </si>
  <si>
    <t>St Petersburg Albert Whitted</t>
  </si>
  <si>
    <t>St Petersburg Clear, FL</t>
  </si>
  <si>
    <t>St Petersburg Clear</t>
  </si>
  <si>
    <t>Tallahassee Regional Ap  Isis, FL</t>
  </si>
  <si>
    <t>Tallahassee Regional Ap  Isis</t>
  </si>
  <si>
    <t>Tampa International Ap, FL</t>
  </si>
  <si>
    <t>Tampa International Ap</t>
  </si>
  <si>
    <t>Tyndall Afb, FL</t>
  </si>
  <si>
    <t>Tyndall Afb</t>
  </si>
  <si>
    <t>Valparaiso Elgin Afb, FL</t>
  </si>
  <si>
    <t>Valparaiso Elgin Afb</t>
  </si>
  <si>
    <t>Vero Beach Municipal Arpt, FL</t>
  </si>
  <si>
    <t>Vero Beach Municipal Arpt</t>
  </si>
  <si>
    <t>West Palm Beach Intl Arpt, FL</t>
  </si>
  <si>
    <t>West Palm Beach Intl Arpt</t>
  </si>
  <si>
    <t>Whiting Field Naas, FL</t>
  </si>
  <si>
    <t>Whiting Field Naas</t>
  </si>
  <si>
    <t>Albany Dougherty County Ap, GA</t>
  </si>
  <si>
    <t>Albany Dougherty County Ap</t>
  </si>
  <si>
    <t>Alma Bacon County Ap, GA</t>
  </si>
  <si>
    <t>Alma Bacon County Ap</t>
  </si>
  <si>
    <t>Athens Ben Epps Ap, GA</t>
  </si>
  <si>
    <t>Athens Ben Epps Ap</t>
  </si>
  <si>
    <t>Atlanta Hartsfield Intl Ap, GA</t>
  </si>
  <si>
    <t>Atlanta Hartsfield Intl Ap</t>
  </si>
  <si>
    <t>Augusta Bush Field, GA</t>
  </si>
  <si>
    <t>Augusta Bush Field</t>
  </si>
  <si>
    <t>Brunswick Golden Is, GA</t>
  </si>
  <si>
    <t>Brunswick Golden Is</t>
  </si>
  <si>
    <t>Brunswick Malcolm Mckinnon Ap, GA</t>
  </si>
  <si>
    <t>Brunswick Malcolm Mckinnon Ap</t>
  </si>
  <si>
    <t>Columbus Metropolitan Arpt, GA</t>
  </si>
  <si>
    <t>Columbus Metropolitan Arpt</t>
  </si>
  <si>
    <t>Dekalb Peachtree, GA</t>
  </si>
  <si>
    <t>Dekalb Peachtree</t>
  </si>
  <si>
    <t>Fort Benning Lawson, GA</t>
  </si>
  <si>
    <t>Fort Benning Lawson</t>
  </si>
  <si>
    <t>Fulton Co Arpt Brow, GA</t>
  </si>
  <si>
    <t>Fulton Co Arpt Brow</t>
  </si>
  <si>
    <t>Macon Middle Ga Regional Ap, GA</t>
  </si>
  <si>
    <t>Macon Middle Ga Regional Ap</t>
  </si>
  <si>
    <t>Marietta Dobbins Afb, GA</t>
  </si>
  <si>
    <t>Marietta Dobbins Afb</t>
  </si>
  <si>
    <t>Rome R B Russell Ap, GA</t>
  </si>
  <si>
    <t>Rome R B Russell Ap</t>
  </si>
  <si>
    <t>Hunter Aaf, GA</t>
  </si>
  <si>
    <t>Hunter Aaf</t>
  </si>
  <si>
    <t>Savannah Intl Ap, GA</t>
  </si>
  <si>
    <t>Savannah Intl Ap</t>
  </si>
  <si>
    <t>Moody Afb Valdosta, GA</t>
  </si>
  <si>
    <t>Moody Afb Valdosta</t>
  </si>
  <si>
    <t>Valdosta Wb Airport, GA</t>
  </si>
  <si>
    <t>Valdosta Wb Airport</t>
  </si>
  <si>
    <t>Warner Robins Afb, GA</t>
  </si>
  <si>
    <t>Warner Robins Afb</t>
  </si>
  <si>
    <t>Barbers Point Nas, HI</t>
  </si>
  <si>
    <t>Barbers Point Nas</t>
  </si>
  <si>
    <t>Hilo International Ap, HI</t>
  </si>
  <si>
    <t>Hilo International Ap</t>
  </si>
  <si>
    <t>Honolulu Intl Arpt, HI</t>
  </si>
  <si>
    <t>Honolulu Intl Arpt</t>
  </si>
  <si>
    <t>Kahului Airport, HI</t>
  </si>
  <si>
    <t>Kahului Airport</t>
  </si>
  <si>
    <t>Kaneohe Bay Mcas, HI</t>
  </si>
  <si>
    <t>Kaneohe Bay Mcas</t>
  </si>
  <si>
    <t>Kapalua, HI</t>
  </si>
  <si>
    <t>Kapalua</t>
  </si>
  <si>
    <t>Kona Intl At Keahol, HI</t>
  </si>
  <si>
    <t>Kona Intl At Keahol</t>
  </si>
  <si>
    <t>Lanai, HI</t>
  </si>
  <si>
    <t>Lanai</t>
  </si>
  <si>
    <t>Lihue Airport, HI</t>
  </si>
  <si>
    <t>Lihue Airport</t>
  </si>
  <si>
    <t>Molokai  Amos, HI</t>
  </si>
  <si>
    <t>Molokai  Amos</t>
  </si>
  <si>
    <t>Algona, IA</t>
  </si>
  <si>
    <t>Algona</t>
  </si>
  <si>
    <t>Atlantic, IA</t>
  </si>
  <si>
    <t>Atlantic</t>
  </si>
  <si>
    <t>Boone Muni, IA</t>
  </si>
  <si>
    <t>Boone Muni</t>
  </si>
  <si>
    <t>Burlington Municipal Ap, IA</t>
  </si>
  <si>
    <t>Burlington Municipal Ap</t>
  </si>
  <si>
    <t>Carroll, IA</t>
  </si>
  <si>
    <t>Carroll</t>
  </si>
  <si>
    <t>Cedar Rapids Municipal Ap, IA</t>
  </si>
  <si>
    <t>Cedar Rapids Municipal Ap</t>
  </si>
  <si>
    <t>Chariton, IA</t>
  </si>
  <si>
    <t>Chariton</t>
  </si>
  <si>
    <t>Charles City, IA</t>
  </si>
  <si>
    <t>Charles City</t>
  </si>
  <si>
    <t>Clarinda, IA</t>
  </si>
  <si>
    <t>Clarinda</t>
  </si>
  <si>
    <t>Council Bluffs, IA</t>
  </si>
  <si>
    <t>Council Bluffs</t>
  </si>
  <si>
    <t>Creston, IA</t>
  </si>
  <si>
    <t>Creston</t>
  </si>
  <si>
    <t>Decorah, IA</t>
  </si>
  <si>
    <t>Decorah</t>
  </si>
  <si>
    <t>Denison, IA</t>
  </si>
  <si>
    <t>Denison</t>
  </si>
  <si>
    <t>Des Moines Intl Ap, IA</t>
  </si>
  <si>
    <t>Des Moines Intl Ap</t>
  </si>
  <si>
    <t>Dubuque Regional Ap, IA</t>
  </si>
  <si>
    <t>Dubuque Regional Ap</t>
  </si>
  <si>
    <t>Estherville Muni, IA</t>
  </si>
  <si>
    <t>Estherville Muni</t>
  </si>
  <si>
    <t>Fair Field, IA</t>
  </si>
  <si>
    <t>Fair Field</t>
  </si>
  <si>
    <t>Fort Madison, IA</t>
  </si>
  <si>
    <t>Fort Madison</t>
  </si>
  <si>
    <t>Keokuk Muni, IA</t>
  </si>
  <si>
    <t>Keokuk Muni</t>
  </si>
  <si>
    <t>Knoxville, IA</t>
  </si>
  <si>
    <t>Le Mars, IA</t>
  </si>
  <si>
    <t>Le Mars</t>
  </si>
  <si>
    <t>Mason City Municipal Arpt, IA</t>
  </si>
  <si>
    <t>Mason City Municipal Arpt</t>
  </si>
  <si>
    <t>Monticello Muni, IA</t>
  </si>
  <si>
    <t>Monticello Muni</t>
  </si>
  <si>
    <t>Muscatine, IA</t>
  </si>
  <si>
    <t>Muscatine</t>
  </si>
  <si>
    <t>Newton Muni, IA</t>
  </si>
  <si>
    <t>Newton Muni</t>
  </si>
  <si>
    <t>Oelwen, IA</t>
  </si>
  <si>
    <t>Oelwen</t>
  </si>
  <si>
    <t>Orange City, IA</t>
  </si>
  <si>
    <t>Orange City</t>
  </si>
  <si>
    <t>Ottumwa Industrial Ap, IA</t>
  </si>
  <si>
    <t>Ottumwa Industrial Ap</t>
  </si>
  <si>
    <t>Red Oak, IA</t>
  </si>
  <si>
    <t>Red Oak</t>
  </si>
  <si>
    <t>Sheldon, IA</t>
  </si>
  <si>
    <t>Sheldon</t>
  </si>
  <si>
    <t>Shenandoah Muni, IA</t>
  </si>
  <si>
    <t>Shenandoah Muni</t>
  </si>
  <si>
    <t>Sioux City Sioux Gateway Ap, IA</t>
  </si>
  <si>
    <t>Sioux City Sioux Gateway Ap</t>
  </si>
  <si>
    <t>Storm Lake, IA</t>
  </si>
  <si>
    <t>Storm Lake</t>
  </si>
  <si>
    <t>Washington, IA</t>
  </si>
  <si>
    <t>Washington</t>
  </si>
  <si>
    <t>Waterloo Municipal Ap, IA</t>
  </si>
  <si>
    <t>Waterloo Municipal Ap</t>
  </si>
  <si>
    <t>Webster City, IA</t>
  </si>
  <si>
    <t>Webster City</t>
  </si>
  <si>
    <t>Boise Air Terminal  Uo, ID</t>
  </si>
  <si>
    <t>Boise Air Terminal  Uo</t>
  </si>
  <si>
    <t>Burley Municipal Arpt, ID</t>
  </si>
  <si>
    <t>Burley Municipal Arpt</t>
  </si>
  <si>
    <t>Coeur D Alene Awos, ID</t>
  </si>
  <si>
    <t>Coeur D Alene Awos</t>
  </si>
  <si>
    <t>Hailey Friedman Mem, ID</t>
  </si>
  <si>
    <t>Hailey Friedman Mem</t>
  </si>
  <si>
    <t>Idaho Falls Fanning Field, ID</t>
  </si>
  <si>
    <t>Idaho Falls Fanning Field</t>
  </si>
  <si>
    <t>Lewiston Nez Perce Cnty Ap, ID</t>
  </si>
  <si>
    <t>Lewiston Nez Perce Cnty Ap</t>
  </si>
  <si>
    <t>Malad City, ID</t>
  </si>
  <si>
    <t>Malad City</t>
  </si>
  <si>
    <t>Mountain Home Afb, ID</t>
  </si>
  <si>
    <t>Mountain Home Afb</t>
  </si>
  <si>
    <t>Pocatello Regional Ap, ID</t>
  </si>
  <si>
    <t>Pocatello Regional Ap</t>
  </si>
  <si>
    <t>Soda Springs Tigert, ID</t>
  </si>
  <si>
    <t>Soda Springs Tigert</t>
  </si>
  <si>
    <t>Joslin Fld Magic Va  Twin Fall, ID</t>
  </si>
  <si>
    <t>Joslin Fld Magic Va  Twin Fall</t>
  </si>
  <si>
    <t>Aurora Municipal, IL</t>
  </si>
  <si>
    <t>Aurora Municipal</t>
  </si>
  <si>
    <t>Belleville Scott Afb, IL</t>
  </si>
  <si>
    <t>Belleville Scott Afb</t>
  </si>
  <si>
    <t>Central Illinois Rg, IL</t>
  </si>
  <si>
    <t>Central Illinois Rg</t>
  </si>
  <si>
    <t>Cahokia St  Louis, IL</t>
  </si>
  <si>
    <t>Cahokia St  Louis</t>
  </si>
  <si>
    <t>Southern Illinois, IL</t>
  </si>
  <si>
    <t>Southern Illinois</t>
  </si>
  <si>
    <t>Chicago Midway Ap, IL</t>
  </si>
  <si>
    <t>Chicago Midway Ap</t>
  </si>
  <si>
    <t>Chicago Ohare Intl Ap, IL</t>
  </si>
  <si>
    <t>Chicago Ohare Intl Ap</t>
  </si>
  <si>
    <t>W  Chicago Du Page, IL</t>
  </si>
  <si>
    <t>W  Chicago Du Page</t>
  </si>
  <si>
    <t>Marion Regional, IL</t>
  </si>
  <si>
    <t>Marion Regional</t>
  </si>
  <si>
    <t>Moline Quad City Intl Ap, IL</t>
  </si>
  <si>
    <t>Moline Quad City Intl Ap</t>
  </si>
  <si>
    <t>Peoria Greater Peoria Ap, IL</t>
  </si>
  <si>
    <t>Peoria Greater Peoria Ap</t>
  </si>
  <si>
    <t>Quincy Muni Baldwin Fld, IL</t>
  </si>
  <si>
    <t>Quincy Muni Baldwin Fld</t>
  </si>
  <si>
    <t>Rockford Greater Rockford Ap, IL</t>
  </si>
  <si>
    <t>Rockford Greater Rockford Ap</t>
  </si>
  <si>
    <t>Springfield Capital Ap, IL</t>
  </si>
  <si>
    <t>Springfield Capital Ap</t>
  </si>
  <si>
    <t>Sterling Rockfalls, IL</t>
  </si>
  <si>
    <t>Sterling Rockfalls</t>
  </si>
  <si>
    <t>Univ Of Illinois Wi  Bondville, IL</t>
  </si>
  <si>
    <t>Univ Of Illinois Wi  Bondville</t>
  </si>
  <si>
    <t>Chicago Waukegan, IL</t>
  </si>
  <si>
    <t>Chicago Waukegan</t>
  </si>
  <si>
    <t>Delaware Co Johnson, IN</t>
  </si>
  <si>
    <t>Delaware Co Johnson</t>
  </si>
  <si>
    <t>Evansville Regional Ap, IN</t>
  </si>
  <si>
    <t>Evansville Regional Ap</t>
  </si>
  <si>
    <t>Fort Wayne Intl Ap, IN</t>
  </si>
  <si>
    <t>Fort Wayne Intl Ap</t>
  </si>
  <si>
    <t>Grissom Arb, IN</t>
  </si>
  <si>
    <t>Grissom Arb</t>
  </si>
  <si>
    <t>Huntingburg, IN</t>
  </si>
  <si>
    <t>Huntingburg</t>
  </si>
  <si>
    <t>Indianapolis Intl Ap, IN</t>
  </si>
  <si>
    <t>Indianapolis Intl Ap</t>
  </si>
  <si>
    <t>Lafayette Purdue Univ Ap, IN</t>
  </si>
  <si>
    <t>Lafayette Purdue Univ Ap</t>
  </si>
  <si>
    <t>Monroe Co, IN</t>
  </si>
  <si>
    <t>Monroe Co</t>
  </si>
  <si>
    <t>South Bend Michiana Rgnl Ap, IN</t>
  </si>
  <si>
    <t>South Bend Michiana Rgnl Ap</t>
  </si>
  <si>
    <t>Terre Haute Hulman Regional A, IN</t>
  </si>
  <si>
    <t>Terre Haute Hulman Regional A</t>
  </si>
  <si>
    <t>Chanute Martin Johnson Ap, KS</t>
  </si>
  <si>
    <t>Chanute Martin Johnson Ap</t>
  </si>
  <si>
    <t>Concordia Blosser Muni Ap, KS</t>
  </si>
  <si>
    <t>Concordia Blosser Muni Ap</t>
  </si>
  <si>
    <t>Dodge City Regional Ap, KS</t>
  </si>
  <si>
    <t>Dodge City Regional Ap</t>
  </si>
  <si>
    <t>Emporia Municipal Ap, KS</t>
  </si>
  <si>
    <t>Emporia Municipal Ap</t>
  </si>
  <si>
    <t>Fort Riley Marshall Aaf, KS</t>
  </si>
  <si>
    <t>Fort Riley Marshall Aaf</t>
  </si>
  <si>
    <t>Garden City Municipal Ap, KS</t>
  </si>
  <si>
    <t>Garden City Municipal Ap</t>
  </si>
  <si>
    <t>Goodland Renner Field, KS</t>
  </si>
  <si>
    <t>Goodland Renner Field</t>
  </si>
  <si>
    <t>Hill City Municipal Ap, KS</t>
  </si>
  <si>
    <t>Hill City Municipal Ap</t>
  </si>
  <si>
    <t>Hutchinson Municipal Ap, KS</t>
  </si>
  <si>
    <t>Hutchinson Municipal Ap</t>
  </si>
  <si>
    <t>Liberal Muni, KS</t>
  </si>
  <si>
    <t>Liberal Muni</t>
  </si>
  <si>
    <t>Manhattan Rgnl, KS</t>
  </si>
  <si>
    <t>Manhattan Rgnl</t>
  </si>
  <si>
    <t>Olathe Johnson Co, KS</t>
  </si>
  <si>
    <t>Olathe Johnson Co</t>
  </si>
  <si>
    <t>Olathe Johnson Co Industrial, KS</t>
  </si>
  <si>
    <t>Olathe Johnson Co Industrial</t>
  </si>
  <si>
    <t>Russell Municipal Ap, KS</t>
  </si>
  <si>
    <t>Russell Municipal Ap</t>
  </si>
  <si>
    <t>Salina Municipal Ap, KS</t>
  </si>
  <si>
    <t>Salina Municipal Ap</t>
  </si>
  <si>
    <t>Topeka Forbes Field, KS</t>
  </si>
  <si>
    <t>Topeka Forbes Field</t>
  </si>
  <si>
    <t>Topeka Municipal Ap, KS</t>
  </si>
  <si>
    <t>Topeka Municipal Ap</t>
  </si>
  <si>
    <t>Wichita Col  Jabara, KS</t>
  </si>
  <si>
    <t>Wichita Col  Jabara</t>
  </si>
  <si>
    <t>Mcconnell Afb, KS</t>
  </si>
  <si>
    <t>Mcconnell Afb</t>
  </si>
  <si>
    <t>Wichita Mid Continent Ap, KS</t>
  </si>
  <si>
    <t>Wichita Mid Continent Ap</t>
  </si>
  <si>
    <t>Bowling Green Warren Co Ap, KY</t>
  </si>
  <si>
    <t>Bowling Green Warren Co Ap</t>
  </si>
  <si>
    <t>Cincinnati Northern Ky Ap, KY</t>
  </si>
  <si>
    <t>Cincinnati Northern Ky Ap</t>
  </si>
  <si>
    <t>Fort Campbell Aaf, KY</t>
  </si>
  <si>
    <t>Fort Campbell Aaf</t>
  </si>
  <si>
    <t>Fort Knox Godman Aaf, KY</t>
  </si>
  <si>
    <t>Fort Knox Godman Aaf</t>
  </si>
  <si>
    <t>Henderson City, KY</t>
  </si>
  <si>
    <t>Henderson City</t>
  </si>
  <si>
    <t>Jackson Julian Carroll Ap, KY</t>
  </si>
  <si>
    <t>Jackson Julian Carroll Ap</t>
  </si>
  <si>
    <t>Lexington Bluegrass Ap, KY</t>
  </si>
  <si>
    <t>Lexington Bluegrass Ap</t>
  </si>
  <si>
    <t>London Corbin Ap, KY</t>
  </si>
  <si>
    <t>London Corbin Ap</t>
  </si>
  <si>
    <t>Louisville Bowman Field, KY</t>
  </si>
  <si>
    <t>Louisville Bowman Field</t>
  </si>
  <si>
    <t>Louisville Standiford Field, KY</t>
  </si>
  <si>
    <t>Louisville Standiford Field</t>
  </si>
  <si>
    <t>Paducah Barkley Regional Ap, KY</t>
  </si>
  <si>
    <t>Paducah Barkley Regional Ap</t>
  </si>
  <si>
    <t>Somerset Awos, KY</t>
  </si>
  <si>
    <t>Somerset Awos</t>
  </si>
  <si>
    <t>England Afb, LA</t>
  </si>
  <si>
    <t>England Afb</t>
  </si>
  <si>
    <t>Alexandria Esler Regional Ap, LA</t>
  </si>
  <si>
    <t>Alexandria Esler Regional Ap</t>
  </si>
  <si>
    <t>Barksdale Afb, LA</t>
  </si>
  <si>
    <t>Barksdale Afb</t>
  </si>
  <si>
    <t>Baton Rouge Ryan Arpt, LA</t>
  </si>
  <si>
    <t>Baton Rouge Ryan Arpt</t>
  </si>
  <si>
    <t>Fort Polk Aaf, LA</t>
  </si>
  <si>
    <t>Fort Polk Aaf</t>
  </si>
  <si>
    <t>Houma Terrebonne, LA</t>
  </si>
  <si>
    <t>Houma Terrebonne</t>
  </si>
  <si>
    <t>Lafayette Regional Ap, LA</t>
  </si>
  <si>
    <t>Lafayette Regional Ap</t>
  </si>
  <si>
    <t>Lake Charles Wb Airp, LA</t>
  </si>
  <si>
    <t>Lake Charles Wb Airp</t>
  </si>
  <si>
    <t>Lake Charles Regional Arpt, LA</t>
  </si>
  <si>
    <t>Lake Charles Regional Arpt</t>
  </si>
  <si>
    <t>Monroe Regional Ap, LA</t>
  </si>
  <si>
    <t>Monroe Regional Ap</t>
  </si>
  <si>
    <t>New Iberia Naas, LA</t>
  </si>
  <si>
    <t>New Iberia Naas</t>
  </si>
  <si>
    <t>New Orleans Alvin Callender F, LA</t>
  </si>
  <si>
    <t>New Orleans Alvin Callender F</t>
  </si>
  <si>
    <t>New Orleans Lakefront Ap, LA</t>
  </si>
  <si>
    <t>New Orleans Lakefront Ap</t>
  </si>
  <si>
    <t>New Orleans Intl Arpt, LA</t>
  </si>
  <si>
    <t>New Orleans Intl Arpt</t>
  </si>
  <si>
    <t>Patterson Memorial, LA</t>
  </si>
  <si>
    <t>Patterson Memorial</t>
  </si>
  <si>
    <t>Shreveport Regional Arpt, LA</t>
  </si>
  <si>
    <t>Shreveport Regional Arpt</t>
  </si>
  <si>
    <t>Barnstable Muni Boa, MA</t>
  </si>
  <si>
    <t>Barnstable Muni Boa</t>
  </si>
  <si>
    <t>Beverly Muni, MA</t>
  </si>
  <si>
    <t>Beverly Muni</t>
  </si>
  <si>
    <t>Boston Logan IntL Arpt, MA</t>
  </si>
  <si>
    <t>Boston Logan IntL Arpt</t>
  </si>
  <si>
    <t>Chicopee Falls Westo, MA</t>
  </si>
  <si>
    <t>Chicopee Falls Westo</t>
  </si>
  <si>
    <t>Lawrence Muni, MA</t>
  </si>
  <si>
    <t>Lawrence Muni</t>
  </si>
  <si>
    <t>Marthas Vineyard, MA</t>
  </si>
  <si>
    <t>Marthas Vineyard</t>
  </si>
  <si>
    <t>Nantucket Memorial Ap, MA</t>
  </si>
  <si>
    <t>Nantucket Memorial Ap</t>
  </si>
  <si>
    <t>New Bedford Rgnl, MA</t>
  </si>
  <si>
    <t>New Bedford Rgnl</t>
  </si>
  <si>
    <t>North Adams, MA</t>
  </si>
  <si>
    <t>North Adams</t>
  </si>
  <si>
    <t>Norwood Memorial, MA</t>
  </si>
  <si>
    <t>Norwood Memorial</t>
  </si>
  <si>
    <t>Otis Angb, MA</t>
  </si>
  <si>
    <t>Otis Angb</t>
  </si>
  <si>
    <t>Plymouth Municipal, MA</t>
  </si>
  <si>
    <t>Plymouth Municipal</t>
  </si>
  <si>
    <t>Westfield Barnes Muni Ap, MA</t>
  </si>
  <si>
    <t>Westfield Barnes Muni Ap</t>
  </si>
  <si>
    <t>Worchester Regional Arpt, MA</t>
  </si>
  <si>
    <t>Worchester Regional Arpt</t>
  </si>
  <si>
    <t>Andrews Afb, MD</t>
  </si>
  <si>
    <t>Andrews Afb</t>
  </si>
  <si>
    <t>Baltimore Blt Washngtn IntL, MD</t>
  </si>
  <si>
    <t>Baltimore Blt Washngtn IntL</t>
  </si>
  <si>
    <t>Hagerstown Rgnl Ric, MD</t>
  </si>
  <si>
    <t>Hagerstown Rgnl Ric</t>
  </si>
  <si>
    <t>Patuxent River Nas, MD</t>
  </si>
  <si>
    <t>Patuxent River Nas</t>
  </si>
  <si>
    <t>Salisbury Wicomico Co Ap, MD</t>
  </si>
  <si>
    <t>Salisbury Wicomico Co Ap</t>
  </si>
  <si>
    <t>Auburn Lewiston, ME</t>
  </si>
  <si>
    <t>Auburn Lewiston</t>
  </si>
  <si>
    <t>Augusta Airport, ME</t>
  </si>
  <si>
    <t>Augusta Airport</t>
  </si>
  <si>
    <t>Bangor International Ap, ME</t>
  </si>
  <si>
    <t>Bangor International Ap</t>
  </si>
  <si>
    <t>Naval Air Station, ME</t>
  </si>
  <si>
    <t>Naval Air Station</t>
  </si>
  <si>
    <t>Caribou Municipal Arpt, ME</t>
  </si>
  <si>
    <t>Caribou Municipal Arpt</t>
  </si>
  <si>
    <t>Northern Aroostook, ME</t>
  </si>
  <si>
    <t>Northern Aroostook</t>
  </si>
  <si>
    <t>Houlton Intl Arpt, ME</t>
  </si>
  <si>
    <t>Houlton Intl Arpt</t>
  </si>
  <si>
    <t>Millinocket Municipal Ap, ME</t>
  </si>
  <si>
    <t>Millinocket Municipal Ap</t>
  </si>
  <si>
    <t>Presque Isle Municip, ME</t>
  </si>
  <si>
    <t>Presque Isle Municip</t>
  </si>
  <si>
    <t>Rockland Knox Awos, ME</t>
  </si>
  <si>
    <t>Rockland Knox Awos</t>
  </si>
  <si>
    <t>Wiscasset, ME</t>
  </si>
  <si>
    <t>Wiscasset</t>
  </si>
  <si>
    <t>Alpena County Regional Ap, MI</t>
  </si>
  <si>
    <t>Alpena County Regional Ap</t>
  </si>
  <si>
    <t>Ann Arbor Municipal, MI</t>
  </si>
  <si>
    <t>Ann Arbor Municipal</t>
  </si>
  <si>
    <t>Battle Creek Kellogg Ap, MI</t>
  </si>
  <si>
    <t>Battle Creek Kellogg Ap</t>
  </si>
  <si>
    <t>Benton Harbor Ross, MI</t>
  </si>
  <si>
    <t>Benton Harbor Ross</t>
  </si>
  <si>
    <t>Cadillac Wexford Co Ap, MI</t>
  </si>
  <si>
    <t>Cadillac Wexford Co Ap</t>
  </si>
  <si>
    <t>Chippewa Co Intl, MI</t>
  </si>
  <si>
    <t>Chippewa Co Intl</t>
  </si>
  <si>
    <t>Detroit City Airport, MI</t>
  </si>
  <si>
    <t>Detroit City Airport</t>
  </si>
  <si>
    <t>Detroit Willow Run Ap, MI</t>
  </si>
  <si>
    <t>Detroit Willow Run Ap</t>
  </si>
  <si>
    <t>Detroit Metropolitan Arpt, MI</t>
  </si>
  <si>
    <t>Detroit Metropolitan Arpt</t>
  </si>
  <si>
    <t>Flint Bishop Intl Arpt, MI</t>
  </si>
  <si>
    <t>Flint Bishop Intl Arpt</t>
  </si>
  <si>
    <t>Grand Rapids Kent County Int, MI</t>
  </si>
  <si>
    <t>Grand Rapids Kent County Int</t>
  </si>
  <si>
    <t>Hancock Houghton Co Ap, MI</t>
  </si>
  <si>
    <t>Hancock Houghton Co Ap</t>
  </si>
  <si>
    <t>Houghton Lake Roscommon Co Ar, MI</t>
  </si>
  <si>
    <t>Houghton Lake Roscommon Co Ar</t>
  </si>
  <si>
    <t>Howell, MI</t>
  </si>
  <si>
    <t>Howell</t>
  </si>
  <si>
    <t>Iron Mountain Ford, MI</t>
  </si>
  <si>
    <t>Iron Mountain Ford</t>
  </si>
  <si>
    <t>Jackson Reynolds Field, MI</t>
  </si>
  <si>
    <t>Jackson Reynolds Field</t>
  </si>
  <si>
    <t>Kalamazoo Battle Cr, MI</t>
  </si>
  <si>
    <t>Kalamazoo Battle Cr</t>
  </si>
  <si>
    <t>Lansing Capital City Arpt, MI</t>
  </si>
  <si>
    <t>Lansing Capital City Arpt</t>
  </si>
  <si>
    <t>Mount Clemens Selfridge Fld, MI</t>
  </si>
  <si>
    <t>Mount Clemens Selfridge Fld</t>
  </si>
  <si>
    <t>Muskegon County Arpt, MI</t>
  </si>
  <si>
    <t>Muskegon County Arpt</t>
  </si>
  <si>
    <t>Oakland Co Intl, MI</t>
  </si>
  <si>
    <t>Oakland Co Intl</t>
  </si>
  <si>
    <t>Oscoda Wurtsmith Afb, MI</t>
  </si>
  <si>
    <t>Oscoda Wurtsmith Afb</t>
  </si>
  <si>
    <t>Pellston Emmet County Ap, MI</t>
  </si>
  <si>
    <t>Pellston Emmet County Ap</t>
  </si>
  <si>
    <t>Rhinelander Oneida, WI</t>
  </si>
  <si>
    <t>Rhinelander Oneida</t>
  </si>
  <si>
    <t>Saginaw Tri City Intl Ap, MI</t>
  </si>
  <si>
    <t>Saginaw Tri City Intl Ap</t>
  </si>
  <si>
    <t>Sault Ste Marie Sanderson Fie, MI</t>
  </si>
  <si>
    <t>Sault Ste Marie Sanderson Fie</t>
  </si>
  <si>
    <t>St Clair County Int, MI</t>
  </si>
  <si>
    <t>St Clair County Int</t>
  </si>
  <si>
    <t>Traverse City Cherry Capital, MI</t>
  </si>
  <si>
    <t>Traverse City Cherry Capital</t>
  </si>
  <si>
    <t>Aitkin Ndb Awos, MN</t>
  </si>
  <si>
    <t>Aitkin Ndb Awos</t>
  </si>
  <si>
    <t>Alexandria Municipal Ap, MN</t>
  </si>
  <si>
    <t>Alexandria Municipal Ap</t>
  </si>
  <si>
    <t>Austin Muni, MN</t>
  </si>
  <si>
    <t>Austin Muni</t>
  </si>
  <si>
    <t>Baudette International Ap, MN</t>
  </si>
  <si>
    <t>Baudette International Ap</t>
  </si>
  <si>
    <t>Bemidji Municipal, MN</t>
  </si>
  <si>
    <t>Bemidji Municipal</t>
  </si>
  <si>
    <t>Benson Muni, MN</t>
  </si>
  <si>
    <t>Benson Muni</t>
  </si>
  <si>
    <t>Brainerd Wieland, MN</t>
  </si>
  <si>
    <t>Brainerd Wieland</t>
  </si>
  <si>
    <t>Cambridge Muni, MN</t>
  </si>
  <si>
    <t>Cambridge Muni</t>
  </si>
  <si>
    <t>Crookston Muni Fld, MN</t>
  </si>
  <si>
    <t>Crookston Muni Fld</t>
  </si>
  <si>
    <t>Detroit Lakes Awos, MN</t>
  </si>
  <si>
    <t>Detroit Lakes Awos</t>
  </si>
  <si>
    <t>Duluth International Arpt, MN</t>
  </si>
  <si>
    <t>Duluth International Arpt</t>
  </si>
  <si>
    <t>Flying Cloud, MN</t>
  </si>
  <si>
    <t>Flying Cloud</t>
  </si>
  <si>
    <t>Ely Muni, MN</t>
  </si>
  <si>
    <t>Ely Muni</t>
  </si>
  <si>
    <t>Fairmont Muni Awos, MN</t>
  </si>
  <si>
    <t>Fairmont Muni Awos</t>
  </si>
  <si>
    <t>Faribault Muni Awos, MN</t>
  </si>
  <si>
    <t>Faribault Muni Awos</t>
  </si>
  <si>
    <t>Fergus Falls Awos, MN</t>
  </si>
  <si>
    <t>Fergus Falls Awos</t>
  </si>
  <si>
    <t>Fosston Awos, MN</t>
  </si>
  <si>
    <t>Fosston Awos</t>
  </si>
  <si>
    <t>Glenwood  Asos, MN</t>
  </si>
  <si>
    <t>Glenwood  Asos</t>
  </si>
  <si>
    <t>Grand Rapids Awos, MN</t>
  </si>
  <si>
    <t>Grand Rapids Awos</t>
  </si>
  <si>
    <t>Hibbing Chisholm Hibbing Ap, MN</t>
  </si>
  <si>
    <t>Hibbing Chisholm Hibbing Ap</t>
  </si>
  <si>
    <t>International Falls Intl Ap, MN</t>
  </si>
  <si>
    <t>International Falls Intl Ap</t>
  </si>
  <si>
    <t>Litchfield Muni, MN</t>
  </si>
  <si>
    <t>Litchfield Muni</t>
  </si>
  <si>
    <t>Mankato Awos, MN</t>
  </si>
  <si>
    <t>Mankato Awos</t>
  </si>
  <si>
    <t>Marshall Ryan Awos, MN</t>
  </si>
  <si>
    <t>Marshall Ryan Awos</t>
  </si>
  <si>
    <t>Minneapolis Crystal, MN</t>
  </si>
  <si>
    <t>Minneapolis Crystal</t>
  </si>
  <si>
    <t>Minneapolis St Paul IntL Arp, MN</t>
  </si>
  <si>
    <t>Minneapolis St Paul IntL Arp</t>
  </si>
  <si>
    <t>Orr, MN</t>
  </si>
  <si>
    <t>Orr</t>
  </si>
  <si>
    <t>Park Rapids Municipal Ap, MN</t>
  </si>
  <si>
    <t>Park Rapids Municipal Ap</t>
  </si>
  <si>
    <t>Red Wing, MN</t>
  </si>
  <si>
    <t>Red Wing</t>
  </si>
  <si>
    <t>Redwood Falls Muni, MN</t>
  </si>
  <si>
    <t>Redwood Falls Muni</t>
  </si>
  <si>
    <t>Rochester International Arpt, MN</t>
  </si>
  <si>
    <t>Rochester International Arpt</t>
  </si>
  <si>
    <t>Silver Bay, MN</t>
  </si>
  <si>
    <t>Silver Bay</t>
  </si>
  <si>
    <t>South St Paul Muni, MN</t>
  </si>
  <si>
    <t>South St Paul Muni</t>
  </si>
  <si>
    <t>St Cloud Regional Arpt, MN</t>
  </si>
  <si>
    <t>St Cloud Regional Arpt</t>
  </si>
  <si>
    <t>St Paul Downtown Ap, MN</t>
  </si>
  <si>
    <t>St Paul Downtown Ap</t>
  </si>
  <si>
    <t>Thief River Awos, MN</t>
  </si>
  <si>
    <t>Thief River Awos</t>
  </si>
  <si>
    <t>Two Harbors, MN</t>
  </si>
  <si>
    <t>Two Harbors</t>
  </si>
  <si>
    <t>Willmar, MN</t>
  </si>
  <si>
    <t>Willmar</t>
  </si>
  <si>
    <t>Cape Girardeau Municipal Ap, MO</t>
  </si>
  <si>
    <t>Cape Girardeau Municipal Ap</t>
  </si>
  <si>
    <t>Columbia Regional Airport, MO</t>
  </si>
  <si>
    <t>Columbia Regional Airport</t>
  </si>
  <si>
    <t>Farmington, MO</t>
  </si>
  <si>
    <t>Ft Lnrd Wd Aaf, MO</t>
  </si>
  <si>
    <t>Ft Lnrd Wd Aaf</t>
  </si>
  <si>
    <t>Jefferson City Mem, MO</t>
  </si>
  <si>
    <t>Jefferson City Mem</t>
  </si>
  <si>
    <t>Joplin Municipal Ap, MO</t>
  </si>
  <si>
    <t>Joplin Municipal Ap</t>
  </si>
  <si>
    <t>Kansas City Downtown Ap, MO</t>
  </si>
  <si>
    <t>Kansas City Downtown Ap</t>
  </si>
  <si>
    <t>Kansas City IntL Arpt, MO</t>
  </si>
  <si>
    <t>Kansas City IntL Arpt</t>
  </si>
  <si>
    <t>Kirksville Regional Ap, MO</t>
  </si>
  <si>
    <t>Kirksville Regional Ap</t>
  </si>
  <si>
    <t>Poplar Bluff Amos, MO</t>
  </si>
  <si>
    <t>Poplar Bluff Amos</t>
  </si>
  <si>
    <t>Vichy Rolla Natl Arpt, MO</t>
  </si>
  <si>
    <t>Vichy Rolla Natl Arpt</t>
  </si>
  <si>
    <t>Springfield Regional Arpt, MO</t>
  </si>
  <si>
    <t>Springfield Regional Arpt</t>
  </si>
  <si>
    <t>St Joseph Rosecrans Memorial, MO</t>
  </si>
  <si>
    <t>St Joseph Rosecrans Memorial</t>
  </si>
  <si>
    <t>St Louis Lambert IntL Arpt, MO</t>
  </si>
  <si>
    <t>St Louis Lambert IntL Arpt</t>
  </si>
  <si>
    <t>St Louis Spirit Of St Louis A, MO</t>
  </si>
  <si>
    <t>St Louis Spirit Of St Louis A</t>
  </si>
  <si>
    <t>Whiteman Afb, MO</t>
  </si>
  <si>
    <t>Whiteman Afb</t>
  </si>
  <si>
    <t>Keesler Afb, MS</t>
  </si>
  <si>
    <t>Keesler Afb</t>
  </si>
  <si>
    <t>Columbus Afb, MS</t>
  </si>
  <si>
    <t>Columbus Afb</t>
  </si>
  <si>
    <t>Golden Tri Awos, MS</t>
  </si>
  <si>
    <t>Golden Tri Awos</t>
  </si>
  <si>
    <t>Greenville Municipal, MS</t>
  </si>
  <si>
    <t>Greenville Municipal</t>
  </si>
  <si>
    <t>Greenwood Leflore Arpt, MS</t>
  </si>
  <si>
    <t>Greenwood Leflore Arpt</t>
  </si>
  <si>
    <t>Gulfport Biloxi Int, MS</t>
  </si>
  <si>
    <t>Gulfport Biloxi Int</t>
  </si>
  <si>
    <t>Hattiesburg Laurel, MS</t>
  </si>
  <si>
    <t>Hattiesburg Laurel</t>
  </si>
  <si>
    <t>Jackson International Ap, MS</t>
  </si>
  <si>
    <t>Jackson International Ap</t>
  </si>
  <si>
    <t>Mccomb Pike County Ap, MS</t>
  </si>
  <si>
    <t>Mccomb Pike County Ap</t>
  </si>
  <si>
    <t>Meridian Key Field, MS</t>
  </si>
  <si>
    <t>Meridian Key Field</t>
  </si>
  <si>
    <t>Meridian Naas, MS</t>
  </si>
  <si>
    <t>Meridian Naas</t>
  </si>
  <si>
    <t>Natchez Hardy Awos, MS</t>
  </si>
  <si>
    <t>Natchez Hardy Awos</t>
  </si>
  <si>
    <t>Tupelo C D Lemons Arpt, MS</t>
  </si>
  <si>
    <t>Tupelo C D Lemons Arpt</t>
  </si>
  <si>
    <t>Billings Logan IntL Arpt, MT</t>
  </si>
  <si>
    <t>Billings Logan IntL Arpt</t>
  </si>
  <si>
    <t>Bozeman Gallatin Field, MT</t>
  </si>
  <si>
    <t>Bozeman Gallatin Field</t>
  </si>
  <si>
    <t>Butte Bert Mooney Arpt, MT</t>
  </si>
  <si>
    <t>Butte Bert Mooney Arpt</t>
  </si>
  <si>
    <t>Cut Bank Muni Ap, MT</t>
  </si>
  <si>
    <t>Cut Bank Muni Ap</t>
  </si>
  <si>
    <t>Glasgow Intl Arpt, MT</t>
  </si>
  <si>
    <t>Glasgow Intl Arpt</t>
  </si>
  <si>
    <t>Glendive Awos, MT</t>
  </si>
  <si>
    <t>Glendive Awos</t>
  </si>
  <si>
    <t>Great Falls Intl Arpt, MT</t>
  </si>
  <si>
    <t>Great Falls Intl Arpt</t>
  </si>
  <si>
    <t>Havre City County Ap, MT</t>
  </si>
  <si>
    <t>Havre City County Ap</t>
  </si>
  <si>
    <t>Helena Regional Airport, MT</t>
  </si>
  <si>
    <t>Helena Regional Airport</t>
  </si>
  <si>
    <t>Kalispell Glacier Pk IntL Ar, MT</t>
  </si>
  <si>
    <t>Kalispell Glacier Pk IntL Ar</t>
  </si>
  <si>
    <t>Lewistown Municipal Arpt, MT</t>
  </si>
  <si>
    <t>Lewistown Municipal Arpt</t>
  </si>
  <si>
    <t>Livingston Mission Field, MT</t>
  </si>
  <si>
    <t>Livingston Mission Field</t>
  </si>
  <si>
    <t>Miles City Municipal Arpt, MT</t>
  </si>
  <si>
    <t>Miles City Municipal Arpt</t>
  </si>
  <si>
    <t>Missoula International Ap, MT</t>
  </si>
  <si>
    <t>Missoula International Ap</t>
  </si>
  <si>
    <t>Sidney Richland, MT</t>
  </si>
  <si>
    <t>Sidney Richland</t>
  </si>
  <si>
    <t>Wolf Point Intl  Fort Peck   S, MT</t>
  </si>
  <si>
    <t>Wolf Point Intl  Fort Peck   S</t>
  </si>
  <si>
    <t>Asheville Regional Arpt, NC</t>
  </si>
  <si>
    <t>Asheville Regional Arpt</t>
  </si>
  <si>
    <t>Cape Hatteras Nws Bldg, NC</t>
  </si>
  <si>
    <t>Cape Hatteras Nws Bldg</t>
  </si>
  <si>
    <t>Charlotte Douglas Intl Arpt, NC</t>
  </si>
  <si>
    <t>Charlotte Douglas Intl Arpt</t>
  </si>
  <si>
    <t>Cherry Point Mcas, NC</t>
  </si>
  <si>
    <t>Cherry Point Mcas</t>
  </si>
  <si>
    <t>Elizabeth City Coast Guard Ai, NC</t>
  </si>
  <si>
    <t>Elizabeth City Coast Guard Ai</t>
  </si>
  <si>
    <t>Fayetteville Pope Afb, NC</t>
  </si>
  <si>
    <t>Fayetteville Pope Afb</t>
  </si>
  <si>
    <t>Fayetteville Rgnl G, NC</t>
  </si>
  <si>
    <t>Fayetteville Rgnl G</t>
  </si>
  <si>
    <t>Fort Bragg Simmons Aaf, NC</t>
  </si>
  <si>
    <t>Fort Bragg Simmons Aaf</t>
  </si>
  <si>
    <t>Goldsboro Seymour Johnson Afb, NC</t>
  </si>
  <si>
    <t>Goldsboro Seymour Johnson Afb</t>
  </si>
  <si>
    <t>Greensboro Piedmont Triad Int, NC</t>
  </si>
  <si>
    <t>Greensboro Piedmont Triad Int</t>
  </si>
  <si>
    <t>Hickory Regional Ap, NC</t>
  </si>
  <si>
    <t>Hickory Regional Ap</t>
  </si>
  <si>
    <t>Kinston Stallings Afb, NC</t>
  </si>
  <si>
    <t>Kinston Stallings Afb</t>
  </si>
  <si>
    <t>Dare Co Rgnl, NC</t>
  </si>
  <si>
    <t>Dare Co Rgnl</t>
  </si>
  <si>
    <t>New Bern Craven Co Regl Ap, NC</t>
  </si>
  <si>
    <t>New Bern Craven Co Regl Ap</t>
  </si>
  <si>
    <t>Pitt Greenville Arp, NC</t>
  </si>
  <si>
    <t>Pitt Greenville Arp</t>
  </si>
  <si>
    <t>Raleigh Durham International, NC</t>
  </si>
  <si>
    <t>Raleigh Durham International</t>
  </si>
  <si>
    <t>Rocky Mount Wilson, NC</t>
  </si>
  <si>
    <t>Rocky Mount Wilson</t>
  </si>
  <si>
    <t>Southern Pines Awos, NC</t>
  </si>
  <si>
    <t>Southern Pines Awos</t>
  </si>
  <si>
    <t>Wilmington International Arpt, NC</t>
  </si>
  <si>
    <t>Wilmington International Arpt</t>
  </si>
  <si>
    <t>Winston Salem Reynolds Ap, NC</t>
  </si>
  <si>
    <t>Winston Salem Reynolds Ap</t>
  </si>
  <si>
    <t>Bismarck Municipal Arpt  Isis, ND</t>
  </si>
  <si>
    <t>Bismarck Municipal Arpt  Isis</t>
  </si>
  <si>
    <t>Devils Lake Awos, ND</t>
  </si>
  <si>
    <t>Devils Lake Awos</t>
  </si>
  <si>
    <t>Dickinson Municipal Ap, ND</t>
  </si>
  <si>
    <t>Dickinson Municipal Ap</t>
  </si>
  <si>
    <t>Fargo Hector International Ap, ND</t>
  </si>
  <si>
    <t>Fargo Hector International Ap</t>
  </si>
  <si>
    <t>Grand Forks Af, ND</t>
  </si>
  <si>
    <t>Grand Forks Af</t>
  </si>
  <si>
    <t>Grand Forks International Ap, ND</t>
  </si>
  <si>
    <t>Grand Forks International Ap</t>
  </si>
  <si>
    <t>Jamestown Municipal Arpt, ND</t>
  </si>
  <si>
    <t>Jamestown Municipal Arpt</t>
  </si>
  <si>
    <t>Minot Afb, ND</t>
  </si>
  <si>
    <t>Minot Afb</t>
  </si>
  <si>
    <t>Minot Faa Ap, ND</t>
  </si>
  <si>
    <t>Minot Faa Ap</t>
  </si>
  <si>
    <t>Williston Sloulin Intl Ap, ND</t>
  </si>
  <si>
    <t>Williston Sloulin Intl Ap</t>
  </si>
  <si>
    <t>Ainsworth Municipal, NE</t>
  </si>
  <si>
    <t>Ainsworth Municipal</t>
  </si>
  <si>
    <t>Alliance Municipal, NE</t>
  </si>
  <si>
    <t>Alliance Municipal</t>
  </si>
  <si>
    <t>Beatrice Municipal, NE</t>
  </si>
  <si>
    <t>Beatrice Municipal</t>
  </si>
  <si>
    <t>Bellevue Offutt Afb, NE</t>
  </si>
  <si>
    <t>Bellevue Offutt Afb</t>
  </si>
  <si>
    <t>Broken Bow Muni, NE</t>
  </si>
  <si>
    <t>Broken Bow Muni</t>
  </si>
  <si>
    <t>Chadron Municipal Ap, NE</t>
  </si>
  <si>
    <t>Chadron Municipal Ap</t>
  </si>
  <si>
    <t>Columbus Muni, NE</t>
  </si>
  <si>
    <t>Columbus Muni</t>
  </si>
  <si>
    <t>Falls City Brenner, NE</t>
  </si>
  <si>
    <t>Falls City Brenner</t>
  </si>
  <si>
    <t>Fremont Muni Arpt, NE</t>
  </si>
  <si>
    <t>Fremont Muni Arpt</t>
  </si>
  <si>
    <t>Grand Island Central Ne Regio, NE</t>
  </si>
  <si>
    <t>Grand Island Central Ne Regio</t>
  </si>
  <si>
    <t>Hastings Municipal, NE</t>
  </si>
  <si>
    <t>Hastings Municipal</t>
  </si>
  <si>
    <t>Brewster Field Arpt, NE</t>
  </si>
  <si>
    <t>Brewster Field Arpt</t>
  </si>
  <si>
    <t>Imperial Faa Ap, NE</t>
  </si>
  <si>
    <t>Imperial Faa Ap</t>
  </si>
  <si>
    <t>Lincoln Municipal Arpt, NE</t>
  </si>
  <si>
    <t>Lincoln Municipal Arpt</t>
  </si>
  <si>
    <t>Mccook Municipal, NE</t>
  </si>
  <si>
    <t>Mccook Municipal</t>
  </si>
  <si>
    <t>Norfolk Karl Stefan Mem Arpt, NE</t>
  </si>
  <si>
    <t>Norfolk Karl Stefan Mem Arpt</t>
  </si>
  <si>
    <t>North Platte Regional Ap, NE</t>
  </si>
  <si>
    <t>North Platte Regional Ap</t>
  </si>
  <si>
    <t>Omaha Eppley Airfield, NE</t>
  </si>
  <si>
    <t>Omaha Eppley Airfield</t>
  </si>
  <si>
    <t>Omaha Wsfo, NE</t>
  </si>
  <si>
    <t>Omaha Wsfo</t>
  </si>
  <si>
    <t>O Neill Baker Field, NE</t>
  </si>
  <si>
    <t>O Neill Baker Field</t>
  </si>
  <si>
    <t>Ord Sharp Field, NE</t>
  </si>
  <si>
    <t>Ord Sharp Field</t>
  </si>
  <si>
    <t>Scottsbluff W B Heilig Field, NE</t>
  </si>
  <si>
    <t>Scottsbluff W B Heilig Field</t>
  </si>
  <si>
    <t>Sidney Municipal Ap, NE</t>
  </si>
  <si>
    <t>Sidney Municipal Ap</t>
  </si>
  <si>
    <t>Tekamah  Asos, NE</t>
  </si>
  <si>
    <t>Tekamah  Asos</t>
  </si>
  <si>
    <t>Valentine Miller Field, NE</t>
  </si>
  <si>
    <t>Valentine Miller Field</t>
  </si>
  <si>
    <t>Berlin Municipal, NH</t>
  </si>
  <si>
    <t>Berlin Municipal</t>
  </si>
  <si>
    <t>Concord Municipal Arpt, NH</t>
  </si>
  <si>
    <t>Concord Municipal Arpt</t>
  </si>
  <si>
    <t>Dillant Hopkins, NH</t>
  </si>
  <si>
    <t>Dillant Hopkins</t>
  </si>
  <si>
    <t>Lebanon Municipal, NH</t>
  </si>
  <si>
    <t>Lebanon Municipal</t>
  </si>
  <si>
    <t>Manchester Airport, NH</t>
  </si>
  <si>
    <t>Manchester Airport</t>
  </si>
  <si>
    <t>Pease Intl Tradepor, NH</t>
  </si>
  <si>
    <t>Pease Intl Tradepor</t>
  </si>
  <si>
    <t>Atlantic City Intl Ap, NJ</t>
  </si>
  <si>
    <t>Atlantic City Intl Ap</t>
  </si>
  <si>
    <t>Belmar Asc, NJ</t>
  </si>
  <si>
    <t>Belmar Asc</t>
  </si>
  <si>
    <t>Caldwell Essex Co, NJ</t>
  </si>
  <si>
    <t>Caldwell Essex Co</t>
  </si>
  <si>
    <t>Cape May Co, NJ</t>
  </si>
  <si>
    <t>Cape May Co</t>
  </si>
  <si>
    <t>Mcguire Afb, NJ</t>
  </si>
  <si>
    <t>Mcguire Afb</t>
  </si>
  <si>
    <t>Millville Municipal Ap, NJ</t>
  </si>
  <si>
    <t>Millville Municipal Ap</t>
  </si>
  <si>
    <t>Newark International Arpt, NJ</t>
  </si>
  <si>
    <t>Newark International Arpt</t>
  </si>
  <si>
    <t>Teterboro Airport, NJ</t>
  </si>
  <si>
    <t>Teterboro Airport</t>
  </si>
  <si>
    <t>Trenton Mercer County Ap, NJ</t>
  </si>
  <si>
    <t>Trenton Mercer County Ap</t>
  </si>
  <si>
    <t>Albuquerque Intl Arpt  Isis, NM</t>
  </si>
  <si>
    <t>Albuquerque Intl Arpt  Isis</t>
  </si>
  <si>
    <t>Carlsbad Cavern City Air Term, NM</t>
  </si>
  <si>
    <t>Carlsbad Cavern City Air Term</t>
  </si>
  <si>
    <t>Clayton Municipal Airpark, NM</t>
  </si>
  <si>
    <t>Clayton Municipal Airpark</t>
  </si>
  <si>
    <t>Clovis Cannon Afb, NM</t>
  </si>
  <si>
    <t>Clovis Cannon Afb</t>
  </si>
  <si>
    <t>Deming Muni, NM</t>
  </si>
  <si>
    <t>Deming Muni</t>
  </si>
  <si>
    <t>Farmington Four Corners Regl, NM</t>
  </si>
  <si>
    <t>Farmington Four Corners Regl</t>
  </si>
  <si>
    <t>Gallup Sen Clarke Fld, NM</t>
  </si>
  <si>
    <t>Gallup Sen Clarke Fld</t>
  </si>
  <si>
    <t>Holloman Afb, NM</t>
  </si>
  <si>
    <t>Holloman Afb</t>
  </si>
  <si>
    <t>Las Cruces Intl, NM</t>
  </si>
  <si>
    <t>Las Cruces Intl</t>
  </si>
  <si>
    <t>Sierra Blanca Rgnl, NM</t>
  </si>
  <si>
    <t>Sierra Blanca Rgnl</t>
  </si>
  <si>
    <t>Sata Fe County Municipal Ap, NM</t>
  </si>
  <si>
    <t>Sata Fe County Municipal Ap</t>
  </si>
  <si>
    <t>Taos Muni Apt Awos, NM</t>
  </si>
  <si>
    <t>Taos Muni Apt Awos</t>
  </si>
  <si>
    <t>Truth Or Consequences Muni Ap, NM</t>
  </si>
  <si>
    <t>Truth Or Consequences Muni Ap</t>
  </si>
  <si>
    <t>Tucumcari Faa Ap, NM</t>
  </si>
  <si>
    <t>Tucumcari Faa Ap</t>
  </si>
  <si>
    <t>Elko Municipal Arpt, NV</t>
  </si>
  <si>
    <t>Elko Municipal Arpt</t>
  </si>
  <si>
    <t>Ely Yelland Field, NV</t>
  </si>
  <si>
    <t>Ely Yelland Field</t>
  </si>
  <si>
    <t>Fallon Naas, NV</t>
  </si>
  <si>
    <t>Fallon Naas</t>
  </si>
  <si>
    <t>Las Vegas Mccarran Intl Ap, NV</t>
  </si>
  <si>
    <t>Las Vegas Mccarran Intl Ap</t>
  </si>
  <si>
    <t>Las Vegas Municipal Arpt, NM</t>
  </si>
  <si>
    <t>Las Vegas Municipal Arpt</t>
  </si>
  <si>
    <t>Lovelock Derby Field, NV</t>
  </si>
  <si>
    <t>Lovelock Derby Field</t>
  </si>
  <si>
    <t>Mercury Desert Rock Ap  Surfra, NV</t>
  </si>
  <si>
    <t>Mercury Desert Rock Ap  Surfra</t>
  </si>
  <si>
    <t>Nellis Afb, NV</t>
  </si>
  <si>
    <t>Nellis Afb</t>
  </si>
  <si>
    <t>Reno Tahoe International Ap, NV</t>
  </si>
  <si>
    <t>Reno Tahoe International Ap</t>
  </si>
  <si>
    <t>Tonopah Airport, NV</t>
  </si>
  <si>
    <t>Tonopah Airport</t>
  </si>
  <si>
    <t>Winnemucca Municipal Arpt, NV</t>
  </si>
  <si>
    <t>Winnemucca Municipal Arpt</t>
  </si>
  <si>
    <t>Albany County Ap, NY</t>
  </si>
  <si>
    <t>Albany County Ap</t>
  </si>
  <si>
    <t>Binghamton Edwin A Link Field, NY</t>
  </si>
  <si>
    <t>Binghamton Edwin A Link Field</t>
  </si>
  <si>
    <t>Buffalo Niagara Intl Ap, NY</t>
  </si>
  <si>
    <t>Buffalo Niagara Intl Ap</t>
  </si>
  <si>
    <t>Elmira Corning Regional Ap, NY</t>
  </si>
  <si>
    <t>Elmira Corning Regional Ap</t>
  </si>
  <si>
    <t>Fort Drum Wheeler S, NY</t>
  </si>
  <si>
    <t>Fort Drum Wheeler S</t>
  </si>
  <si>
    <t>Glens Falls Ap, NY</t>
  </si>
  <si>
    <t>Glens Falls Ap</t>
  </si>
  <si>
    <t>Islip Long Isl Macarthur Ap, NY</t>
  </si>
  <si>
    <t>Islip Long Isl Macarthur Ap</t>
  </si>
  <si>
    <t>Massena Ap, NY</t>
  </si>
  <si>
    <t>Massena Ap</t>
  </si>
  <si>
    <t>Monticello Awos, NY</t>
  </si>
  <si>
    <t>Monticello Awos</t>
  </si>
  <si>
    <t>New York Central Prk Obs Belv, NY</t>
  </si>
  <si>
    <t>New York Central Prk Obs Belv</t>
  </si>
  <si>
    <t>New York J F Kennedy IntL Ar, NY</t>
  </si>
  <si>
    <t>New York J F Kennedy IntL Ar</t>
  </si>
  <si>
    <t>New York Laguardia Arpt, NY</t>
  </si>
  <si>
    <t>New York Laguardia Arpt</t>
  </si>
  <si>
    <t>Stewart Field, NY</t>
  </si>
  <si>
    <t>Stewart Field</t>
  </si>
  <si>
    <t>Niagara Falls Af, NY</t>
  </si>
  <si>
    <t>Niagara Falls Af</t>
  </si>
  <si>
    <t>Poughkeepsie Dutchess Co Ap, NY</t>
  </si>
  <si>
    <t>Poughkeepsie Dutchess Co Ap</t>
  </si>
  <si>
    <t>Republic, NY</t>
  </si>
  <si>
    <t>Republic</t>
  </si>
  <si>
    <t>Rochester Greater Rochester I, NY</t>
  </si>
  <si>
    <t>Rochester Greater Rochester I</t>
  </si>
  <si>
    <t>Adirondack Rgnl, NY</t>
  </si>
  <si>
    <t>Adirondack Rgnl</t>
  </si>
  <si>
    <t>Syracuse Hancock IntL Arpt, NY</t>
  </si>
  <si>
    <t>Syracuse Hancock IntL Arpt</t>
  </si>
  <si>
    <t>Utica Oneida County Ap, NY</t>
  </si>
  <si>
    <t>Utica Oneida County Ap</t>
  </si>
  <si>
    <t>Watertown Ap, NY</t>
  </si>
  <si>
    <t>Watertown Ap</t>
  </si>
  <si>
    <t>Westhampton Gabreski Ap, NY</t>
  </si>
  <si>
    <t>Westhampton Gabreski Ap</t>
  </si>
  <si>
    <t>White Plains Westchester Co A, NY</t>
  </si>
  <si>
    <t>White Plains Westchester Co A</t>
  </si>
  <si>
    <t>Akron Akron Canton Reg Ap, OH</t>
  </si>
  <si>
    <t>Akron Akron Canton Reg Ap</t>
  </si>
  <si>
    <t>Cincinnati Municipal Ap Lunki, OH</t>
  </si>
  <si>
    <t>Cincinnati Municipal Ap Lunki</t>
  </si>
  <si>
    <t>Burke Lakefront, OH</t>
  </si>
  <si>
    <t>Burke Lakefront</t>
  </si>
  <si>
    <t>Cleveland Hopkins Intl Ap, OH</t>
  </si>
  <si>
    <t>Cleveland Hopkins Intl Ap</t>
  </si>
  <si>
    <t>Columbus Port Columbus Intl A, OH</t>
  </si>
  <si>
    <t>Columbus Port Columbus Intl A</t>
  </si>
  <si>
    <t>Dayton Wright Patterson Afb, OH</t>
  </si>
  <si>
    <t>Dayton Wright Patterson Afb</t>
  </si>
  <si>
    <t>Dayton International Airport, OH</t>
  </si>
  <si>
    <t>Dayton International Airport</t>
  </si>
  <si>
    <t>Findlay Airport, OH</t>
  </si>
  <si>
    <t>Findlay Airport</t>
  </si>
  <si>
    <t>Mansfield Lahm Municipal Arpt, OH</t>
  </si>
  <si>
    <t>Mansfield Lahm Municipal Arpt</t>
  </si>
  <si>
    <t>Ohio State Universi, OH</t>
  </si>
  <si>
    <t>Ohio State Universi</t>
  </si>
  <si>
    <t>Toledo Express Airport, OH</t>
  </si>
  <si>
    <t>Toledo Express Airport</t>
  </si>
  <si>
    <t>Youngstown Regional Airport, OH</t>
  </si>
  <si>
    <t>Youngstown Regional Airport</t>
  </si>
  <si>
    <t>Zanesville Municipal Ap, OH</t>
  </si>
  <si>
    <t>Zanesville Municipal Ap</t>
  </si>
  <si>
    <t>Altus Afb, OK</t>
  </si>
  <si>
    <t>Altus Afb</t>
  </si>
  <si>
    <t>Bartlesville Philli, OK</t>
  </si>
  <si>
    <t>Bartlesville Philli</t>
  </si>
  <si>
    <t>Clinton Sherman, OK</t>
  </si>
  <si>
    <t>Clinton Sherman</t>
  </si>
  <si>
    <t>Fort Sill Post Field Af, OK</t>
  </si>
  <si>
    <t>Fort Sill Post Field Af</t>
  </si>
  <si>
    <t>Gage Airport, OK</t>
  </si>
  <si>
    <t>Gage Airport</t>
  </si>
  <si>
    <t>Hobart Municipal Ap, OK</t>
  </si>
  <si>
    <t>Hobart Municipal Ap</t>
  </si>
  <si>
    <t>Lawton Municipal, OK</t>
  </si>
  <si>
    <t>Lawton Municipal</t>
  </si>
  <si>
    <t>Mcalester Municipal Ap, OK</t>
  </si>
  <si>
    <t>Mcalester Municipal Ap</t>
  </si>
  <si>
    <t>Oklahoma City Tinker Afb, OK</t>
  </si>
  <si>
    <t>Oklahoma City Tinker Afb</t>
  </si>
  <si>
    <t>Oklahoma City Wiley, OK</t>
  </si>
  <si>
    <t>Oklahoma City Wiley</t>
  </si>
  <si>
    <t>Oklahoma City Will Rogers Wor, OK</t>
  </si>
  <si>
    <t>Oklahoma City Will Rogers Wor</t>
  </si>
  <si>
    <t>Ponca City Municipal Ap  Sgp, OK</t>
  </si>
  <si>
    <t>Ponca City Municipal Ap  Sgp</t>
  </si>
  <si>
    <t>Stillwater Rgnl, OK</t>
  </si>
  <si>
    <t>Stillwater Rgnl</t>
  </si>
  <si>
    <t>Tulsa International Airport, OK</t>
  </si>
  <si>
    <t>Tulsa International Airport</t>
  </si>
  <si>
    <t>Vance Afb, OK</t>
  </si>
  <si>
    <t>Vance Afb</t>
  </si>
  <si>
    <t>Astoria Regional Airport, OR</t>
  </si>
  <si>
    <t>Astoria Regional Airport</t>
  </si>
  <si>
    <t>Aurora State, OR</t>
  </si>
  <si>
    <t>Aurora State</t>
  </si>
  <si>
    <t>Baker Municipal Ap, OR</t>
  </si>
  <si>
    <t>Baker Municipal Ap</t>
  </si>
  <si>
    <t>Burns Municipal Arpt  Uo, OR</t>
  </si>
  <si>
    <t>Burns Municipal Arpt  Uo</t>
  </si>
  <si>
    <t>Corvallis Muni, OR</t>
  </si>
  <si>
    <t>Corvallis Muni</t>
  </si>
  <si>
    <t>Eugene Mahlon Sweet Arpt  Uo, OR</t>
  </si>
  <si>
    <t>Eugene Mahlon Sweet Arpt  Uo</t>
  </si>
  <si>
    <t>Klamath Falls Intl Ap  Uo, OR</t>
  </si>
  <si>
    <t>Klamath Falls Intl Ap  Uo</t>
  </si>
  <si>
    <t>La Grande Muni Ap, OR</t>
  </si>
  <si>
    <t>La Grande Muni Ap</t>
  </si>
  <si>
    <t>Medford Rogue Valley Intl Ap, OR</t>
  </si>
  <si>
    <t>Medford Rogue Valley Intl Ap</t>
  </si>
  <si>
    <t>North Bend Muni Airport, OR</t>
  </si>
  <si>
    <t>North Bend Muni Airport</t>
  </si>
  <si>
    <t>Pendleton E Or Regional Ap, OR</t>
  </si>
  <si>
    <t>Pendleton E Or Regional Ap</t>
  </si>
  <si>
    <t>Portland Hillsboro, OR</t>
  </si>
  <si>
    <t>Portland Hillsboro</t>
  </si>
  <si>
    <t>Portland Troutdale, OR</t>
  </si>
  <si>
    <t>Portland Troutdale</t>
  </si>
  <si>
    <t>Portland International Ap, OR</t>
  </si>
  <si>
    <t>Portland International Ap</t>
  </si>
  <si>
    <t>Redmond Roberts Field, OR</t>
  </si>
  <si>
    <t>Redmond Roberts Field</t>
  </si>
  <si>
    <t>Roseburg Regional Ap, OR</t>
  </si>
  <si>
    <t>Roseburg Regional Ap</t>
  </si>
  <si>
    <t>Salem Mcnary Field, OR</t>
  </si>
  <si>
    <t>Salem Mcnary Field</t>
  </si>
  <si>
    <t>Allentown Lehigh Valley Intl, PA</t>
  </si>
  <si>
    <t>Allentown Lehigh Valley Intl</t>
  </si>
  <si>
    <t>Altoona Blair Co Arpt, PA</t>
  </si>
  <si>
    <t>Altoona Blair Co Arpt</t>
  </si>
  <si>
    <t>Bradford Regional Ap, PA</t>
  </si>
  <si>
    <t>Bradford Regional Ap</t>
  </si>
  <si>
    <t>Dubois Faa Ap, PA</t>
  </si>
  <si>
    <t>Dubois Faa Ap</t>
  </si>
  <si>
    <t>Erie International Ap, PA</t>
  </si>
  <si>
    <t>Erie International Ap</t>
  </si>
  <si>
    <t>Franklin, PA</t>
  </si>
  <si>
    <t>Franklin</t>
  </si>
  <si>
    <t>Harrisburg Capital City Arpt, PA</t>
  </si>
  <si>
    <t>Harrisburg Capital City Arpt</t>
  </si>
  <si>
    <t>Middletown Harrisburg Intl Ap, PA</t>
  </si>
  <si>
    <t>Middletown Harrisburg Intl Ap</t>
  </si>
  <si>
    <t>Johnstown Cambria County Ap, PA</t>
  </si>
  <si>
    <t>Johnstown Cambria County Ap</t>
  </si>
  <si>
    <t>Lancaster, PA</t>
  </si>
  <si>
    <t>Lancaster</t>
  </si>
  <si>
    <t>Philadelphia Ne Philadelphia, PA</t>
  </si>
  <si>
    <t>Philadelphia Ne Philadelphia</t>
  </si>
  <si>
    <t>Philadelphia International Ap, PA</t>
  </si>
  <si>
    <t>Philadelphia International Ap</t>
  </si>
  <si>
    <t>Pittsburgh Allegheny Co Ap, PA</t>
  </si>
  <si>
    <t>Pittsburgh Allegheny Co Ap</t>
  </si>
  <si>
    <t>Pittsburgh International Ap, PA</t>
  </si>
  <si>
    <t>Pittsburgh International Ap</t>
  </si>
  <si>
    <t>Reading Spaatz Field, PA</t>
  </si>
  <si>
    <t>Reading Spaatz Field</t>
  </si>
  <si>
    <t>State College  Penn State   Su, PA</t>
  </si>
  <si>
    <t>State College  Penn State   Su</t>
  </si>
  <si>
    <t>Wilkes Barre Scranton Intl Ap, PA</t>
  </si>
  <si>
    <t>Wilkes Barre Scranton Intl Ap</t>
  </si>
  <si>
    <t>Williamsport Regional Ap, PA</t>
  </si>
  <si>
    <t>Williamsport Regional Ap</t>
  </si>
  <si>
    <t>Willow Grove Nas, PA</t>
  </si>
  <si>
    <t>Willow Grove Nas</t>
  </si>
  <si>
    <t>Block Island State Arpt, RI</t>
  </si>
  <si>
    <t>Block Island State Arpt</t>
  </si>
  <si>
    <t>Providence T F Green State Ar, RI</t>
  </si>
  <si>
    <t>Providence T F Green State Ar</t>
  </si>
  <si>
    <t>Anderson County Ap, SC</t>
  </si>
  <si>
    <t>Anderson County Ap</t>
  </si>
  <si>
    <t>Beaufort Mcas, SC</t>
  </si>
  <si>
    <t>Beaufort Mcas</t>
  </si>
  <si>
    <t>Charleston Intl Arpt, SC</t>
  </si>
  <si>
    <t>Charleston Intl Arpt</t>
  </si>
  <si>
    <t>Columbia Metro Arpt, SC</t>
  </si>
  <si>
    <t>Columbia Metro Arpt</t>
  </si>
  <si>
    <t>Florence Regional Ap, SC</t>
  </si>
  <si>
    <t>Florence Regional Ap</t>
  </si>
  <si>
    <t>Greenville Downtown Ap, SC</t>
  </si>
  <si>
    <t>Greenville Downtown Ap</t>
  </si>
  <si>
    <t>Greer GreenvL Spartanbrg Ap, SC</t>
  </si>
  <si>
    <t>Greer GreenvL Spartanbrg Ap</t>
  </si>
  <si>
    <t>Myrtle Beach Afb, SC</t>
  </si>
  <si>
    <t>Myrtle Beach Afb</t>
  </si>
  <si>
    <t>New River Mcaf, NC</t>
  </si>
  <si>
    <t>New River Mcaf</t>
  </si>
  <si>
    <t>North Myrtle Beach Grand Stra, SC</t>
  </si>
  <si>
    <t>North Myrtle Beach Grand Stra</t>
  </si>
  <si>
    <t>Sumter Shaw Afb, SC</t>
  </si>
  <si>
    <t>Sumter Shaw Afb</t>
  </si>
  <si>
    <t>Aberdeen Regional Arpt, SD</t>
  </si>
  <si>
    <t>Aberdeen Regional Arpt</t>
  </si>
  <si>
    <t>Ellsworth Afb, SD</t>
  </si>
  <si>
    <t>Ellsworth Afb</t>
  </si>
  <si>
    <t>Huron Regional Arpt, SD</t>
  </si>
  <si>
    <t>Huron Regional Arpt</t>
  </si>
  <si>
    <t>Mobridge, SD</t>
  </si>
  <si>
    <t>Mobridge</t>
  </si>
  <si>
    <t>Pierre Municipal Ap, SD</t>
  </si>
  <si>
    <t>Pierre Municipal Ap</t>
  </si>
  <si>
    <t>Rapid City Regional Arpt, SD</t>
  </si>
  <si>
    <t>Rapid City Regional Arpt</t>
  </si>
  <si>
    <t>Sioux Falls Foss Field, SD</t>
  </si>
  <si>
    <t>Sioux Falls Foss Field</t>
  </si>
  <si>
    <t>Watertown Municipal Ap, SD</t>
  </si>
  <si>
    <t>Watertown Municipal Ap</t>
  </si>
  <si>
    <t>Chan Gurney Muni, SD</t>
  </si>
  <si>
    <t>Chan Gurney Muni</t>
  </si>
  <si>
    <t>Bristol Tri City Airport, TN</t>
  </si>
  <si>
    <t>Bristol Tri City Airport</t>
  </si>
  <si>
    <t>Chattanooga Lovell Field Ap, TN</t>
  </si>
  <si>
    <t>Chattanooga Lovell Field Ap</t>
  </si>
  <si>
    <t>Crossville Memorial Ap, TN</t>
  </si>
  <si>
    <t>Crossville Memorial Ap</t>
  </si>
  <si>
    <t>Dyersburg Municipal Ap, TN</t>
  </si>
  <si>
    <t>Dyersburg Municipal Ap</t>
  </si>
  <si>
    <t>Jackson Mckellar Sipes Regl A, TN</t>
  </si>
  <si>
    <t>Jackson Mckellar Sipes Regl A</t>
  </si>
  <si>
    <t>Knoxville Mcghee Tyson Ap, TN</t>
  </si>
  <si>
    <t>Knoxville Mcghee Tyson Ap</t>
  </si>
  <si>
    <t>Memphis International Ap, TN</t>
  </si>
  <si>
    <t>Memphis International Ap</t>
  </si>
  <si>
    <t>Nashville International Ap, TN</t>
  </si>
  <si>
    <t>Nashville International Ap</t>
  </si>
  <si>
    <t>Abilene Dyess Afb, TX</t>
  </si>
  <si>
    <t>Abilene Dyess Afb</t>
  </si>
  <si>
    <t>Abilene Regional Ap  Ut, TX</t>
  </si>
  <si>
    <t>Abilene Regional Ap  Ut</t>
  </si>
  <si>
    <t>Alice Intl Ap, TX</t>
  </si>
  <si>
    <t>Alice Intl Ap</t>
  </si>
  <si>
    <t>Amarillo International Ap  Can, TX</t>
  </si>
  <si>
    <t>Amarillo International Ap  Can</t>
  </si>
  <si>
    <t>Camp Mabry, TX</t>
  </si>
  <si>
    <t>Camp Mabry</t>
  </si>
  <si>
    <t>Austin Mueller Municipal Ap  U, TX</t>
  </si>
  <si>
    <t>Austin Mueller Municipal Ap  U</t>
  </si>
  <si>
    <t>Brownsville S Padre Isl Intl, TX</t>
  </si>
  <si>
    <t>Brownsville S Padre Isl Intl</t>
  </si>
  <si>
    <t>Childress Municipal Ap, TX</t>
  </si>
  <si>
    <t>Childress Municipal Ap</t>
  </si>
  <si>
    <t>College Station Easterwood Fl, TX</t>
  </si>
  <si>
    <t>College Station Easterwood Fl</t>
  </si>
  <si>
    <t>Corpus Christi Intl Arpt  Ut, TX</t>
  </si>
  <si>
    <t>Corpus Christi Intl Arpt  Ut</t>
  </si>
  <si>
    <t>Corpus Christi Nas, TX</t>
  </si>
  <si>
    <t>Corpus Christi Nas</t>
  </si>
  <si>
    <t>Cotulla Faa Ap, TX</t>
  </si>
  <si>
    <t>Cotulla Faa Ap</t>
  </si>
  <si>
    <t>Cox Fld, TX</t>
  </si>
  <si>
    <t>Cox Fld</t>
  </si>
  <si>
    <t>Dalhart Municipal Ap, TX</t>
  </si>
  <si>
    <t>Dalhart Municipal Ap</t>
  </si>
  <si>
    <t>Dallas Addison Arpt, TX</t>
  </si>
  <si>
    <t>Dallas Addison Arpt</t>
  </si>
  <si>
    <t>Dallas Fort Worth Intl Ap, TX</t>
  </si>
  <si>
    <t>Dallas Fort Worth Intl Ap</t>
  </si>
  <si>
    <t>Dallas Love Field, TX</t>
  </si>
  <si>
    <t>Dallas Love Field</t>
  </si>
  <si>
    <t>Dallas Redbird Arpt, TX</t>
  </si>
  <si>
    <t>Dallas Redbird Arpt</t>
  </si>
  <si>
    <t>Del Rio Laughlin Afb, TX</t>
  </si>
  <si>
    <t>Del Rio Laughlin Afb</t>
  </si>
  <si>
    <t>Del Rio  Ut, TX</t>
  </si>
  <si>
    <t>Del Rio  Ut</t>
  </si>
  <si>
    <t>Draughon Miller Cen, TX</t>
  </si>
  <si>
    <t>Draughon Miller Cen</t>
  </si>
  <si>
    <t>El Paso International Ap  Ut, TX</t>
  </si>
  <si>
    <t>El Paso International Ap  Ut</t>
  </si>
  <si>
    <t>Fort Worth Alliance, TX</t>
  </si>
  <si>
    <t>Fort Worth Alliance</t>
  </si>
  <si>
    <t>Fort Worth Meacham, TX</t>
  </si>
  <si>
    <t>Fort Worth Meacham</t>
  </si>
  <si>
    <t>Fort Worth Nas, TX</t>
  </si>
  <si>
    <t>Fort Worth Nas</t>
  </si>
  <si>
    <t>Galveston Scholes, TX</t>
  </si>
  <si>
    <t>Galveston Scholes</t>
  </si>
  <si>
    <t>Greenville Majors, TX</t>
  </si>
  <si>
    <t>Greenville Majors</t>
  </si>
  <si>
    <t>Harlingen Rio Grande Valley I, TX</t>
  </si>
  <si>
    <t>Harlingen Rio Grande Valley I</t>
  </si>
  <si>
    <t>Hondo Municipal Ap, TX</t>
  </si>
  <si>
    <t>Hondo Municipal Ap</t>
  </si>
  <si>
    <t>Houston Bush Intercontinental, TX</t>
  </si>
  <si>
    <t>Houston Bush Intercontinental</t>
  </si>
  <si>
    <t>Houston D W  Hooks, TX</t>
  </si>
  <si>
    <t>Houston D W  Hooks</t>
  </si>
  <si>
    <t>Houston Ellington Afb  Clear L, TX</t>
  </si>
  <si>
    <t>Houston Ellington Afb  Clear L</t>
  </si>
  <si>
    <t>Houston William P Hobby Ap, TX</t>
  </si>
  <si>
    <t>Houston William P Hobby Ap</t>
  </si>
  <si>
    <t>Robert Gray Aaf, TX</t>
  </si>
  <si>
    <t>Robert Gray Aaf</t>
  </si>
  <si>
    <t>Laredo Intl Ap  Ut, TX</t>
  </si>
  <si>
    <t>Laredo Intl Ap  Ut</t>
  </si>
  <si>
    <t>Longview Gregg County Ap  Over, TX</t>
  </si>
  <si>
    <t>Longview Gregg County Ap  Over</t>
  </si>
  <si>
    <t>Lubbock International Ap, TX</t>
  </si>
  <si>
    <t>Lubbock International Ap</t>
  </si>
  <si>
    <t>Lufkin Angelina Co, TX</t>
  </si>
  <si>
    <t>Lufkin Angelina Co</t>
  </si>
  <si>
    <t>Marfa Ap, TX</t>
  </si>
  <si>
    <t>Marfa Ap</t>
  </si>
  <si>
    <t>Mcallen Miller Intl Ap  Edinbu, TX</t>
  </si>
  <si>
    <t>Mcallen Miller Intl Ap  Edinbu</t>
  </si>
  <si>
    <t>Midland International Ap, TX</t>
  </si>
  <si>
    <t>Midland International Ap</t>
  </si>
  <si>
    <t>Mineral Wells Municipal Ap, TX</t>
  </si>
  <si>
    <t>Mineral Wells Municipal Ap</t>
  </si>
  <si>
    <t>Palacios Municipal Ap, TX</t>
  </si>
  <si>
    <t>Palacios Municipal Ap</t>
  </si>
  <si>
    <t>Port Arthur Jefferson County, TX</t>
  </si>
  <si>
    <t>Port Arthur Jefferson County</t>
  </si>
  <si>
    <t>Randolph Afb, TX</t>
  </si>
  <si>
    <t>Randolph Afb</t>
  </si>
  <si>
    <t>Rockport Aransas Co, TX</t>
  </si>
  <si>
    <t>Rockport Aransas Co</t>
  </si>
  <si>
    <t>San Angelo Mathis Field, TX</t>
  </si>
  <si>
    <t>San Angelo Mathis Field</t>
  </si>
  <si>
    <t>San Antonio Kelly Field Afb, TX</t>
  </si>
  <si>
    <t>San Antonio Kelly Field Afb</t>
  </si>
  <si>
    <t>San Antonio Stinson, TX</t>
  </si>
  <si>
    <t>San Antonio Stinson</t>
  </si>
  <si>
    <t>San Antonio Intl Ap, TX</t>
  </si>
  <si>
    <t>San Antonio Intl Ap</t>
  </si>
  <si>
    <t>Tyler Pounds Fld, TX</t>
  </si>
  <si>
    <t>Tyler Pounds Fld</t>
  </si>
  <si>
    <t>Victoria Regional Ap, TX</t>
  </si>
  <si>
    <t>Victoria Regional Ap</t>
  </si>
  <si>
    <t>Waco Regional Ap, TX</t>
  </si>
  <si>
    <t>Waco Regional Ap</t>
  </si>
  <si>
    <t>Wichita Falls Municipal Arpt, TX</t>
  </si>
  <si>
    <t>Wichita Falls Municipal Arpt</t>
  </si>
  <si>
    <t>Wink Winkler County Ap, TX</t>
  </si>
  <si>
    <t>Wink Winkler County Ap</t>
  </si>
  <si>
    <t>Blanding, UT</t>
  </si>
  <si>
    <t>Blanding</t>
  </si>
  <si>
    <t>Bryce Cnyn Faa Ap, UT</t>
  </si>
  <si>
    <t>Bryce Cnyn Faa Ap</t>
  </si>
  <si>
    <t>Cedar City Municipal Ap, UT</t>
  </si>
  <si>
    <t>Cedar City Municipal Ap</t>
  </si>
  <si>
    <t>Delta, UT</t>
  </si>
  <si>
    <t>Delta</t>
  </si>
  <si>
    <t>Hanksville, UT</t>
  </si>
  <si>
    <t>Hanksville</t>
  </si>
  <si>
    <t>Moab Canyonlands  Uo, UT</t>
  </si>
  <si>
    <t>Moab Canyonlands  Uo</t>
  </si>
  <si>
    <t>Ogden Hill Afb, UT</t>
  </si>
  <si>
    <t>Ogden Hill Afb</t>
  </si>
  <si>
    <t>Ogden Hinkley Airport, UT</t>
  </si>
  <si>
    <t>Ogden Hinkley Airport</t>
  </si>
  <si>
    <t>Salt Lake City IntL Arpt  Isis, UT</t>
  </si>
  <si>
    <t>Salt Lake City IntL Arpt  Isis</t>
  </si>
  <si>
    <t>Vernal, UT</t>
  </si>
  <si>
    <t>Vernal</t>
  </si>
  <si>
    <t>Wendover Usaf Auxiliary Field, UT</t>
  </si>
  <si>
    <t>Wendover Usaf Auxiliary Field</t>
  </si>
  <si>
    <t>Abington, VA</t>
  </si>
  <si>
    <t>Abington</t>
  </si>
  <si>
    <t>Washington Dc Reagan Ap, VA</t>
  </si>
  <si>
    <t>Washington Dc Reagan Ap</t>
  </si>
  <si>
    <t>Virginia Tech Arpt, VA</t>
  </si>
  <si>
    <t>Virginia Tech Arpt</t>
  </si>
  <si>
    <t>Charlottesville Faa, VA</t>
  </si>
  <si>
    <t>Charlottesville Faa</t>
  </si>
  <si>
    <t>Danville Faa Ap, VA</t>
  </si>
  <si>
    <t>Danville Faa Ap</t>
  </si>
  <si>
    <t>Davison Aaf, VA</t>
  </si>
  <si>
    <t>Davison Aaf</t>
  </si>
  <si>
    <t>Farmville, VA</t>
  </si>
  <si>
    <t>Farmville</t>
  </si>
  <si>
    <t>Franklin Naas, VA</t>
  </si>
  <si>
    <t>Franklin Naas</t>
  </si>
  <si>
    <t>Shannon Arpt, VA</t>
  </si>
  <si>
    <t>Shannon Arpt</t>
  </si>
  <si>
    <t>Hillsville, VA</t>
  </si>
  <si>
    <t>Hillsville</t>
  </si>
  <si>
    <t>Hot Springs Ingalls, VA</t>
  </si>
  <si>
    <t>Hot Springs Ingalls</t>
  </si>
  <si>
    <t>Langley Afb, VA</t>
  </si>
  <si>
    <t>Langley Afb</t>
  </si>
  <si>
    <t>Leesburg Godfrey, VA</t>
  </si>
  <si>
    <t>Leesburg Godfrey</t>
  </si>
  <si>
    <t>Lynchburg Regional Arpt, VA</t>
  </si>
  <si>
    <t>Lynchburg Regional Arpt</t>
  </si>
  <si>
    <t>Manassas Muni Awos, VA</t>
  </si>
  <si>
    <t>Manassas Muni Awos</t>
  </si>
  <si>
    <t>Marion   Wytheville, VA</t>
  </si>
  <si>
    <t>Marion   Wytheville</t>
  </si>
  <si>
    <t>Martinsville, VA</t>
  </si>
  <si>
    <t>Martinsville</t>
  </si>
  <si>
    <t>Melfa Accomack Arpt, VA</t>
  </si>
  <si>
    <t>Melfa Accomack Arpt</t>
  </si>
  <si>
    <t>Norfolk International Ap, VA</t>
  </si>
  <si>
    <t>Norfolk International Ap</t>
  </si>
  <si>
    <t>Norfolk Nas, VA</t>
  </si>
  <si>
    <t>Norfolk Nas</t>
  </si>
  <si>
    <t>Oceana Nas, VA</t>
  </si>
  <si>
    <t>Oceana Nas</t>
  </si>
  <si>
    <t>Dinwiddie Co, VA</t>
  </si>
  <si>
    <t>Dinwiddie Co</t>
  </si>
  <si>
    <t>Pulaski, VA</t>
  </si>
  <si>
    <t>Pulaski</t>
  </si>
  <si>
    <t>Quantico Mcas, VA</t>
  </si>
  <si>
    <t>Quantico Mcas</t>
  </si>
  <si>
    <t>Richmond International Ap, VA</t>
  </si>
  <si>
    <t>Richmond International Ap</t>
  </si>
  <si>
    <t>Roanoke Regional Ap, VA</t>
  </si>
  <si>
    <t>Roanoke Regional Ap</t>
  </si>
  <si>
    <t>Staunton Shenandoah, VA</t>
  </si>
  <si>
    <t>Staunton Shenandoah</t>
  </si>
  <si>
    <t>Washington Dc Dulles IntL Ar, VA</t>
  </si>
  <si>
    <t>Washington Dc Dulles IntL Ar</t>
  </si>
  <si>
    <t>Winchester Rgnl, VA</t>
  </si>
  <si>
    <t>Winchester Rgnl</t>
  </si>
  <si>
    <t>Wise Lonesome Pine, VA</t>
  </si>
  <si>
    <t>Wise Lonesome Pine</t>
  </si>
  <si>
    <t>Burlington International Ap, VT</t>
  </si>
  <si>
    <t>Burlington International Ap</t>
  </si>
  <si>
    <t>Montpelier Ap, VT</t>
  </si>
  <si>
    <t>Montpelier Ap</t>
  </si>
  <si>
    <t>Rutland State, VT</t>
  </si>
  <si>
    <t>Rutland State</t>
  </si>
  <si>
    <t>Springfield Hartnes, VT</t>
  </si>
  <si>
    <t>Springfield Hartnes</t>
  </si>
  <si>
    <t>Bellingham Intl Ap, WA</t>
  </si>
  <si>
    <t>Bellingham Intl Ap</t>
  </si>
  <si>
    <t>Bremerton National, WA</t>
  </si>
  <si>
    <t>Bremerton National</t>
  </si>
  <si>
    <t>Ephrata Ap Fcwos, WA</t>
  </si>
  <si>
    <t>Ephrata Ap Fcwos</t>
  </si>
  <si>
    <t>Fairchild Afb, WA</t>
  </si>
  <si>
    <t>Fairchild Afb</t>
  </si>
  <si>
    <t>Gray Aaf, WA</t>
  </si>
  <si>
    <t>Gray Aaf</t>
  </si>
  <si>
    <t>Hoquiam Ap, WA</t>
  </si>
  <si>
    <t>Hoquiam Ap</t>
  </si>
  <si>
    <t>Kelso Wb Ap, WA</t>
  </si>
  <si>
    <t>Kelso Wb Ap</t>
  </si>
  <si>
    <t>Moses Lake Grant County Ap, WA</t>
  </si>
  <si>
    <t>Moses Lake Grant County Ap</t>
  </si>
  <si>
    <t>Olympia Airport, WA</t>
  </si>
  <si>
    <t>Olympia Airport</t>
  </si>
  <si>
    <t>Pasco, WA</t>
  </si>
  <si>
    <t>Pasco</t>
  </si>
  <si>
    <t>William R Fairchild, WA</t>
  </si>
  <si>
    <t>William R Fairchild</t>
  </si>
  <si>
    <t>Pullman Moscow Rgnl, WA</t>
  </si>
  <si>
    <t>Pullman Moscow Rgnl</t>
  </si>
  <si>
    <t>Quillayute State Airport, WA</t>
  </si>
  <si>
    <t>Quillayute State Airport</t>
  </si>
  <si>
    <t>Renton Muni, WA</t>
  </si>
  <si>
    <t>Renton Muni</t>
  </si>
  <si>
    <t>Seattle Boeing Field  Isis, WA</t>
  </si>
  <si>
    <t>Seattle Boeing Field  Isis</t>
  </si>
  <si>
    <t>Seattle Seattle Tacoma Intl A, WA</t>
  </si>
  <si>
    <t>Seattle Seattle Tacoma Intl A</t>
  </si>
  <si>
    <t>Snohomish Co, WA</t>
  </si>
  <si>
    <t>Snohomish Co</t>
  </si>
  <si>
    <t>Felts Fld, WA</t>
  </si>
  <si>
    <t>Felts Fld</t>
  </si>
  <si>
    <t>Spokane International Ap  Chen, WA</t>
  </si>
  <si>
    <t>Spokane International Ap  Chen</t>
  </si>
  <si>
    <t>Tacoma Mcchord Afb, WA</t>
  </si>
  <si>
    <t>Tacoma Mcchord Afb</t>
  </si>
  <si>
    <t>Tacoma Narrows, WA</t>
  </si>
  <si>
    <t>Tacoma Narrows</t>
  </si>
  <si>
    <t>The Dalles Municipal Arpt, WA</t>
  </si>
  <si>
    <t>The Dalles Municipal Arpt</t>
  </si>
  <si>
    <t>Toledo Winlock Mem, WA</t>
  </si>
  <si>
    <t>Toledo Winlock Mem</t>
  </si>
  <si>
    <t>Walla Walla City County Ap, WA</t>
  </si>
  <si>
    <t>Walla Walla City County Ap</t>
  </si>
  <si>
    <t>Wenatchee Pangborn, WA</t>
  </si>
  <si>
    <t>Wenatchee Pangborn</t>
  </si>
  <si>
    <t>Whidbey Island Nas, WA</t>
  </si>
  <si>
    <t>Whidbey Island Nas</t>
  </si>
  <si>
    <t>Yakima Air Terminal, WA</t>
  </si>
  <si>
    <t>Yakima Air Terminal</t>
  </si>
  <si>
    <t>Appleton Outagamie, WI</t>
  </si>
  <si>
    <t>Appleton Outagamie</t>
  </si>
  <si>
    <t>Eau Claire County Ap, WI</t>
  </si>
  <si>
    <t>Eau Claire County Ap</t>
  </si>
  <si>
    <t>Antigo Lang Awos, WI</t>
  </si>
  <si>
    <t>Antigo Lang Awos</t>
  </si>
  <si>
    <t>Green Bay Austin Straubel Int, WI</t>
  </si>
  <si>
    <t>Green Bay Austin Straubel Int</t>
  </si>
  <si>
    <t>Janesville Rock Co, WI</t>
  </si>
  <si>
    <t>Janesville Rock Co</t>
  </si>
  <si>
    <t>La Crosse Municipal Arpt, WI</t>
  </si>
  <si>
    <t>La Crosse Municipal Arpt</t>
  </si>
  <si>
    <t>Lone Rock Faa Ap, WI</t>
  </si>
  <si>
    <t>Lone Rock Faa Ap</t>
  </si>
  <si>
    <t>Madison Dane Co Regional Arpt, WI</t>
  </si>
  <si>
    <t>Madison Dane Co Regional Arpt</t>
  </si>
  <si>
    <t>Manitowac Muni Awos, WI</t>
  </si>
  <si>
    <t>Manitowac Muni Awos</t>
  </si>
  <si>
    <t>Marshfield Muni, WI</t>
  </si>
  <si>
    <t>Marshfield Muni</t>
  </si>
  <si>
    <t>Milwaukee Mitchell Intl Ap, WI</t>
  </si>
  <si>
    <t>Milwaukee Mitchell Intl Ap</t>
  </si>
  <si>
    <t>Minocqua Woodruff, WI</t>
  </si>
  <si>
    <t>Minocqua Woodruff</t>
  </si>
  <si>
    <t>Mosinee Central Wi, WI</t>
  </si>
  <si>
    <t>Mosinee Central Wi</t>
  </si>
  <si>
    <t>Phillips Price Co, WI</t>
  </si>
  <si>
    <t>Phillips Price Co</t>
  </si>
  <si>
    <t>Rice Lake Municipal, WI</t>
  </si>
  <si>
    <t>Rice Lake Municipal</t>
  </si>
  <si>
    <t>Sturgeon Bay, WI</t>
  </si>
  <si>
    <t>Sturgeon Bay</t>
  </si>
  <si>
    <t>Watertown, WI</t>
  </si>
  <si>
    <t>Wausau Municipal Arpt, WI</t>
  </si>
  <si>
    <t>Wausau Municipal Arpt</t>
  </si>
  <si>
    <t>Wittman Rgnl, WI</t>
  </si>
  <si>
    <t>Wittman Rgnl</t>
  </si>
  <si>
    <t>Beckley Raleigh Co Mem Ap, WV</t>
  </si>
  <si>
    <t>Beckley Raleigh Co Mem Ap</t>
  </si>
  <si>
    <t>Bluefield Mercer Co  Nrel, WV</t>
  </si>
  <si>
    <t>Bluefield Mercer Co  Nrel</t>
  </si>
  <si>
    <t>Charleston Yeager Arpt, WV</t>
  </si>
  <si>
    <t>Charleston Yeager Arpt</t>
  </si>
  <si>
    <t>Harrison Marion Rgn, WV</t>
  </si>
  <si>
    <t>Harrison Marion Rgn</t>
  </si>
  <si>
    <t>Elkins Elkins Randolph Co Arp, WV</t>
  </si>
  <si>
    <t>Elkins Elkins Randolph Co Arp</t>
  </si>
  <si>
    <t>Huntington Tri State Arpt, WV</t>
  </si>
  <si>
    <t>Huntington Tri State Arpt</t>
  </si>
  <si>
    <t>Lewisburg Greenbrie, WV</t>
  </si>
  <si>
    <t>Lewisburg Greenbrie</t>
  </si>
  <si>
    <t>Martinsburg Eastern Wv Reg Ap, WV</t>
  </si>
  <si>
    <t>Martinsburg Eastern Wv Reg Ap</t>
  </si>
  <si>
    <t>Morgantown Hart Field, WV</t>
  </si>
  <si>
    <t>Morgantown Hart Field</t>
  </si>
  <si>
    <t>Parkersburg Wood County Ap, WV</t>
  </si>
  <si>
    <t>Parkersburg Wood County Ap</t>
  </si>
  <si>
    <t>Wheeling Ohio County Ap, WV</t>
  </si>
  <si>
    <t>Wheeling Ohio County Ap</t>
  </si>
  <si>
    <t>Casper Natrona Co Intl Ap, WY</t>
  </si>
  <si>
    <t>Casper Natrona Co Intl Ap</t>
  </si>
  <si>
    <t>Cheyenne Municipal Arpt, WY</t>
  </si>
  <si>
    <t>Cheyenne Municipal Arpt</t>
  </si>
  <si>
    <t>Evanston Burns Fld, WY</t>
  </si>
  <si>
    <t>Evanston Burns Fld</t>
  </si>
  <si>
    <t>Gillette Gillette C, WY</t>
  </si>
  <si>
    <t>Gillette Gillette C</t>
  </si>
  <si>
    <t>Rock Springs Arpt  Green River, WY</t>
  </si>
  <si>
    <t>Rock Springs Arpt  Green River</t>
  </si>
  <si>
    <t>Jackson Hole, WY</t>
  </si>
  <si>
    <t>Jackson Hole</t>
  </si>
  <si>
    <t>Lander Hunt Field, WY</t>
  </si>
  <si>
    <t>Lander Hunt Field</t>
  </si>
  <si>
    <t>Laramie General Brees Field, WY</t>
  </si>
  <si>
    <t>Laramie General Brees Field</t>
  </si>
  <si>
    <t>Rawlins Municipal Ap, WY</t>
  </si>
  <si>
    <t>Rawlins Municipal Ap</t>
  </si>
  <si>
    <t>Riverton Municipl Ap, WY</t>
  </si>
  <si>
    <t>Riverton Municipl Ap</t>
  </si>
  <si>
    <t>Sheridan County Arpt, WY</t>
  </si>
  <si>
    <t>Sheridan County Arpt</t>
  </si>
  <si>
    <t>Worland Municipal, WY</t>
  </si>
  <si>
    <t>Worland Municipal</t>
  </si>
  <si>
    <t>MULTIFAMILY COMMON SPACES</t>
  </si>
  <si>
    <t>Residential Unit Lighting Energy Savings</t>
  </si>
  <si>
    <t>Common Area Lighting Energy Savings</t>
  </si>
  <si>
    <t>Workout Room Occupant Sensible Load</t>
  </si>
  <si>
    <t>Workout Room Occupant Latent Load</t>
  </si>
  <si>
    <t>Total Garage Floor Area</t>
  </si>
  <si>
    <t xml:space="preserve">Number of garages in multi-family complex </t>
  </si>
  <si>
    <t>SUMMARY AND OUTPUTS</t>
  </si>
  <si>
    <t>Enclosed Garage Lighting</t>
  </si>
  <si>
    <t>cfm/toilet</t>
  </si>
  <si>
    <t>**Assumes 1 hour per week use of common area range</t>
  </si>
  <si>
    <t>**Assumes that the average household uses a range for an hour a day</t>
  </si>
  <si>
    <t>max occupancy)</t>
  </si>
  <si>
    <t>Table Titles</t>
  </si>
  <si>
    <t>Category Labels</t>
  </si>
  <si>
    <t>Multifamily common space variables</t>
  </si>
  <si>
    <t>Common Area</t>
  </si>
  <si>
    <t>mm/dd/yyyy</t>
  </si>
  <si>
    <t xml:space="preserve">Common </t>
  </si>
  <si>
    <t>Area</t>
  </si>
  <si>
    <t>Laundry Occupant Sensible Load</t>
  </si>
  <si>
    <t>Laundry Occupant Latent Load</t>
  </si>
  <si>
    <t>Number of Elevators</t>
  </si>
  <si>
    <t xml:space="preserve">Total DHW for </t>
  </si>
  <si>
    <t>Reference DHW Heat Gain</t>
  </si>
  <si>
    <t>from DHW in Unit</t>
  </si>
  <si>
    <t>Unit</t>
  </si>
  <si>
    <t>Common Areas</t>
  </si>
  <si>
    <t>Special Instructions:</t>
  </si>
  <si>
    <t xml:space="preserve">(2) Any outdoor area should have the "outdoor" fixture type, regardless of what the true fixture looks like.  </t>
  </si>
  <si>
    <t>(3) User must provide the same room dimensions for all duplicate room types.</t>
  </si>
  <si>
    <t xml:space="preserve">(4) Use caution when adding rows to the spreadsheet to accommodate more Room Types.  </t>
  </si>
  <si>
    <t xml:space="preserve">(5) Unless the user is changing some fundamental numbers (such as efficacy values), there is no need to modify any row past Row 56. </t>
  </si>
  <si>
    <t>Energy Information Administration, "2005 Residential Energy Consumption Survey"</t>
  </si>
  <si>
    <t>Coffee Maker</t>
  </si>
  <si>
    <t>DVD Player or Recorder/Player</t>
  </si>
  <si>
    <t>Benchmark Penetration</t>
  </si>
  <si>
    <t>% CFL</t>
  </si>
  <si>
    <t>% Linear Fl</t>
  </si>
  <si>
    <t>% Incand</t>
  </si>
  <si>
    <t>Total Gas (therms)</t>
  </si>
  <si>
    <t>Total Elect (kWh)</t>
  </si>
  <si>
    <t>B10 Average Efficacy (lm/W)</t>
  </si>
  <si>
    <t>1990s Average Efficacy (lm/W)</t>
  </si>
  <si>
    <t>B10 Average Hours</t>
  </si>
  <si>
    <t>Average Efficacy 1990s</t>
  </si>
  <si>
    <t>Avg Efficacy 2010</t>
  </si>
  <si>
    <t>(Note: No takeback assumed for common spaces, because they tend to operate on schedules</t>
  </si>
  <si>
    <t># Days Cooling</t>
  </si>
  <si>
    <r>
      <t>(1) Green boxes indicate user inputs, gray boxes indicate program outputs.</t>
    </r>
    <r>
      <rPr>
        <b/>
        <i/>
        <u/>
        <sz val="10"/>
        <rFont val="Arial"/>
        <family val="2"/>
      </rPr>
      <t xml:space="preserve"> Values in gray cells should not be changed without strong technical justification.</t>
    </r>
  </si>
  <si>
    <t>E&amp;D</t>
  </si>
  <si>
    <t>Updated January 16, 2009 (not currently maintained, use at own risk)</t>
  </si>
  <si>
    <t>Intermediate Calculated Values</t>
  </si>
  <si>
    <t>Lookup Tables</t>
  </si>
  <si>
    <t>Heating &amp; Cooling Equipment</t>
  </si>
  <si>
    <t>B10 Benchmark</t>
  </si>
  <si>
    <t>NCTH</t>
  </si>
  <si>
    <t>Cooling System Approximate EER</t>
  </si>
  <si>
    <t>NCTH Coeff of Utilization</t>
  </si>
  <si>
    <t>NCTH Total Lumen Contribution</t>
  </si>
  <si>
    <t>NCTH Usable Lumen Contribution</t>
  </si>
  <si>
    <t>NCTH Foot-Candle Contribution</t>
  </si>
  <si>
    <t>NCTH Light Loss Factor</t>
  </si>
  <si>
    <t>NCTH Total Hardwired Watts</t>
  </si>
  <si>
    <t>NCTH Peak Hardwired Illumination (footcandles)</t>
  </si>
  <si>
    <t>NCTH Operating Hours (hrs/day/lamp)</t>
  </si>
  <si>
    <t>NCTH Hardwired Lumens</t>
  </si>
  <si>
    <t>NCTH Hardwired kWh/yr</t>
  </si>
  <si>
    <t>NCTH Lighting (kWh/yr)</t>
  </si>
  <si>
    <t>NCTH Characteristics</t>
  </si>
  <si>
    <t>(7) Each MEL category has a user-defined end-use available for new technology.  The user is responsible for entering realistic Benchmark energy use and operating conditions that allow comparison to the NCTH.</t>
  </si>
  <si>
    <t>Units KNOWN to be Present in NCTH</t>
  </si>
  <si>
    <t>NCTH Energy (kWh/yr)</t>
  </si>
  <si>
    <t>NCTH Stdby/Idle Energy  (kWh/yr)</t>
  </si>
  <si>
    <t>NCTH Operating Energy  (kWh/yr)</t>
  </si>
  <si>
    <t>NCTH Sensible Load (kWh/yr)</t>
  </si>
  <si>
    <t>NCTH Latent Load  (kWh/yr)</t>
  </si>
  <si>
    <t>NCTH Stdby/Idle Energy Savings (kWh/yr)</t>
  </si>
  <si>
    <t>NCTH Operating Energy Savings (kWh/yr)</t>
  </si>
  <si>
    <t>NCTH Monthly Profiles</t>
  </si>
  <si>
    <t>NCTH Normalized Hourly Profiles</t>
  </si>
  <si>
    <t>NCTH Normalized Hourly Profiles (Common Areas)</t>
  </si>
  <si>
    <t>Electric NCTH</t>
  </si>
  <si>
    <t>Gas NCTH</t>
  </si>
  <si>
    <t>NCTH Equipment</t>
  </si>
  <si>
    <t>NCTH House</t>
  </si>
  <si>
    <t xml:space="preserve">NCTH House* </t>
  </si>
  <si>
    <t xml:space="preserve">  * The Code Minimum House costs may be entered as zeroes, with incremental costs entered for the NCTH House</t>
  </si>
  <si>
    <t>** Electric heating element in washer used to achieve mixed temperature under the NCTH operating conditions.  Cannot be used in conjunction with thermostatic control valves.</t>
  </si>
  <si>
    <t>(1) Enter NCTH house physical characteristics under the "NCTH Inputs" tab.</t>
  </si>
  <si>
    <t>Option/BAB/NCTH</t>
  </si>
  <si>
    <t>Does the NCTH have a duct system for heating?</t>
  </si>
  <si>
    <t>New Construction 
Test House</t>
  </si>
  <si>
    <t>Energy Efficient Lighting Take-Back Effect (10% increased operating hours)</t>
  </si>
  <si>
    <t>Benchmark Hours per Day per Room (includes Ltg Takeback)</t>
  </si>
  <si>
    <t>Hours per Day per Room (from Navigant/TPU)</t>
  </si>
  <si>
    <t>NCTH Average Hours</t>
  </si>
  <si>
    <t>NCTH Average Efficacy (lm/W)</t>
  </si>
  <si>
    <t>NCTH Total Efficacy (lm/W)</t>
  </si>
  <si>
    <t>NCTH Hardwired Efficacy (lm/W)</t>
  </si>
  <si>
    <t>NCTH Plug-In Efficacy (lm/W)</t>
  </si>
  <si>
    <t>Benchmark Plug-in kWh/yr</t>
  </si>
  <si>
    <t>Plug-in (million lm-hr/yr/rm)</t>
  </si>
  <si>
    <t>Plug-in (kWh/yr)</t>
  </si>
  <si>
    <t>Necessary Peak Plug-in Illumination (footcandles)</t>
  </si>
  <si>
    <t>NCTH Plug-in Lumens*</t>
  </si>
  <si>
    <t>NCTH Plug-in Wattage**</t>
  </si>
  <si>
    <t>NCTH Plug-in kWh/yr</t>
  </si>
  <si>
    <t>Benchmark Operating Hours (hrs/day/lamp)</t>
  </si>
  <si>
    <t xml:space="preserve">          Central Restroom (only operating for 30 minutes per day)</t>
  </si>
  <si>
    <t>Remaining wall assembly components</t>
  </si>
  <si>
    <t>Stud R-value</t>
  </si>
  <si>
    <t>Wall Framing</t>
  </si>
  <si>
    <t>1/2" drywall R-value</t>
  </si>
  <si>
    <t>1/2" plywood R-value</t>
  </si>
  <si>
    <t>Stucco R-value</t>
  </si>
  <si>
    <t>Specific Leakage Area, Basement</t>
  </si>
  <si>
    <t>Above Grade Conditioned Floor Area</t>
  </si>
  <si>
    <t>Appliance</t>
  </si>
  <si>
    <t>Electricity</t>
  </si>
  <si>
    <t>Natural Gas</t>
  </si>
  <si>
    <t>Clothes washer (3.2 ft3 drum)</t>
  </si>
  <si>
    <t>Clothes dryer (electric)</t>
  </si>
  <si>
    <t>Clothes dryer (gas)</t>
  </si>
  <si>
    <t>Dishwasher (8 place settings)</t>
  </si>
  <si>
    <t>Range (electric)***</t>
  </si>
  <si>
    <t>Range (gas)****</t>
  </si>
  <si>
    <t>Miscellaneous loads (gas/electric house)</t>
  </si>
  <si>
    <t>Miscellaneous loads (all- electric house)</t>
  </si>
  <si>
    <t>38.8 + 12.9 × Nbr</t>
  </si>
  <si>
    <t>538.2 + 179.4 × Nbr</t>
  </si>
  <si>
    <t>43 + 14.3 × Nbr</t>
  </si>
  <si>
    <t>87.6 + 29.2 × Nbr</t>
  </si>
  <si>
    <t>250 + 83 × Nbr</t>
  </si>
  <si>
    <t>40 + 13.3 × Nbr</t>
  </si>
  <si>
    <t>1595 + 248 × Nbr+ 0.426 × FFA</t>
  </si>
  <si>
    <t>1703 + 266 × Nbr+ 0.454 × FFA</t>
  </si>
  <si>
    <t>19.5 + 6.5 × Nbr</t>
  </si>
  <si>
    <t>14.3 + 4.8 × Nbr</t>
  </si>
  <si>
    <t>3.7 + 0.6 × Nbr+ 0.001 × FFA</t>
  </si>
  <si>
    <t>Multi-Family Common Space MELs</t>
  </si>
  <si>
    <t>Workout room</t>
  </si>
  <si>
    <t>9.8*FFA</t>
  </si>
  <si>
    <t>Corridor/restroom/mech.</t>
  </si>
  <si>
    <t>Television</t>
  </si>
  <si>
    <t>673**</t>
  </si>
  <si>
    <t>52*</t>
  </si>
  <si>
    <t>Range (electric)</t>
  </si>
  <si>
    <t>62.4*</t>
  </si>
  <si>
    <t>Range (gas)</t>
  </si>
  <si>
    <t>78*</t>
  </si>
  <si>
    <t>Sensible Load Fraction</t>
  </si>
  <si>
    <t>Latent Load Fraction</t>
  </si>
  <si>
    <t>=</t>
  </si>
  <si>
    <t>Multi-Purpose Room MELs</t>
  </si>
  <si>
    <t>4.6*</t>
  </si>
  <si>
    <t xml:space="preserve">*Assuming 1 h/wk use (data from appliance usage list from PSNH: The Northeast Utility System) </t>
  </si>
  <si>
    <t xml:space="preserve">**Assuming on during office hours (Data from appliance usage list from PSNH: The Northeast Utility System) </t>
  </si>
  <si>
    <t xml:space="preserve">***Assuming 74% EF cooktop, 11% EF oven </t>
  </si>
  <si>
    <t xml:space="preserve"> ****Assuming 40% EF cooktop, 5.8% EF oven with electronic ignition</t>
  </si>
  <si>
    <t>Notes</t>
  </si>
  <si>
    <t>3.2*FFA</t>
  </si>
  <si>
    <t>1 End-use loads in this table include only energy used within the machine. Associated DHW use is treated separately (see “Domestic Hot Water”). The BA Analysis Spreadsheet can assist with the calculation of this split for an energy- efficient clothes washer or dishwasher based on the Energy Guide label.</t>
  </si>
  <si>
    <r>
      <t xml:space="preserve">Table 21. Annual Appliance Loads and MELs for the Benchmark </t>
    </r>
    <r>
      <rPr>
        <b/>
        <vertAlign val="superscript"/>
        <sz val="8"/>
        <rFont val="Arial"/>
        <family val="2"/>
      </rPr>
      <t>1</t>
    </r>
  </si>
  <si>
    <t xml:space="preserve">Sensible Load </t>
  </si>
  <si>
    <t>Electric (kWh/yr)</t>
  </si>
  <si>
    <t>Gas (therms/yr)</t>
  </si>
  <si>
    <t>Other Miscellaneous Electric Loads/Miscellaneous Gas Loads</t>
  </si>
  <si>
    <t>All-Electric Building?</t>
  </si>
  <si>
    <t>Total Multi-Purpose Room MEL Energy</t>
  </si>
  <si>
    <t>Total Multi-Family Common Areas Sensible Internal Load</t>
  </si>
  <si>
    <t>Total Multi-Family Common Areas Latent Internal Load</t>
  </si>
  <si>
    <t>Number of employees that work in the office (maximum oocupancy)</t>
  </si>
  <si>
    <t>Central Restroom Occupant Sensible Load</t>
  </si>
  <si>
    <t>Central Restroom Occupant Latent Load</t>
  </si>
  <si>
    <t>Input cell (default value)</t>
  </si>
  <si>
    <t>Input cell (user-specified value)</t>
  </si>
  <si>
    <t>a</t>
  </si>
  <si>
    <t>Finished Floor Area of unit, Above Grade</t>
  </si>
  <si>
    <t>A_ExWa,Liv = total exterior wall area of above-grade living space on a specific floor</t>
  </si>
  <si>
    <t>A_ExWa,Bsm = total basement exterior wall area</t>
  </si>
  <si>
    <t>Length of exterior walls adjacent to exterior hallways</t>
  </si>
  <si>
    <t>Perimeter (exterior and non-hallway walls only)</t>
  </si>
  <si>
    <t>Solar orientation neutrality option (Option 1 or Option 2)</t>
  </si>
  <si>
    <t>Total Window area</t>
  </si>
  <si>
    <t>Percentage of Window Area on each façade that can be opened for nat. vent.</t>
  </si>
  <si>
    <t>Building Site and Geometry</t>
  </si>
  <si>
    <t>Building Envelope Characteristics</t>
  </si>
  <si>
    <t>user specified</t>
  </si>
  <si>
    <t>Climate Zone</t>
  </si>
  <si>
    <t>Very Cold</t>
  </si>
  <si>
    <t>Subarctic</t>
  </si>
  <si>
    <t>Mixed-Humid</t>
  </si>
  <si>
    <t>3A</t>
  </si>
  <si>
    <t>Hot-Humid</t>
  </si>
  <si>
    <t>2A</t>
  </si>
  <si>
    <t>4A</t>
  </si>
  <si>
    <t>Hot-Dry</t>
  </si>
  <si>
    <t>2B</t>
  </si>
  <si>
    <t>3B</t>
  </si>
  <si>
    <t>Cold</t>
  </si>
  <si>
    <t>5B</t>
  </si>
  <si>
    <t>Mixed-Dry</t>
  </si>
  <si>
    <t>4B</t>
  </si>
  <si>
    <t>Marine</t>
  </si>
  <si>
    <t>4C</t>
  </si>
  <si>
    <t>3C</t>
  </si>
  <si>
    <t>6B</t>
  </si>
  <si>
    <t>5A</t>
  </si>
  <si>
    <t>1A</t>
  </si>
  <si>
    <t>6A</t>
  </si>
  <si>
    <t>Hot-humid</t>
  </si>
  <si>
    <t>ADAK NAS</t>
  </si>
  <si>
    <t>AMBLER</t>
  </si>
  <si>
    <t>ANAKTUVUK PASS</t>
  </si>
  <si>
    <t>ANCHORAGE INTL AP</t>
  </si>
  <si>
    <t>ANCHORAGE MERRILL FIELD</t>
  </si>
  <si>
    <t>ANCHORAGE/ELMENDORF</t>
  </si>
  <si>
    <t>ANIAK AIRPORT</t>
  </si>
  <si>
    <t>ANNETTE ISLAND AP</t>
  </si>
  <si>
    <t>ANVIK</t>
  </si>
  <si>
    <t>BARROW W POST-W ROGERS ARPT</t>
  </si>
  <si>
    <t>BETHEL AIRPORT</t>
  </si>
  <si>
    <t>BETTLES FIELD</t>
  </si>
  <si>
    <t>BIG DELTA ALLEN AAF</t>
  </si>
  <si>
    <t>BIG RIVER LAKE</t>
  </si>
  <si>
    <t>BIRCHWOOD</t>
  </si>
  <si>
    <t>CHULITNA</t>
  </si>
  <si>
    <t>COLD BAY ARPT</t>
  </si>
  <si>
    <t>CORDOVA</t>
  </si>
  <si>
    <t>DEADHORSE</t>
  </si>
  <si>
    <t>DILLINGHAM MUNI</t>
  </si>
  <si>
    <t>DUTCH HARBOR</t>
  </si>
  <si>
    <t>EMMONAK</t>
  </si>
  <si>
    <t>FAIRBANKS INTL ARPT</t>
  </si>
  <si>
    <t>FAIRBANKS/EIELSON A</t>
  </si>
  <si>
    <t>FORT YUKON</t>
  </si>
  <si>
    <t>GAMBELL</t>
  </si>
  <si>
    <t>GULKANA INTERMEDIATE FIELD</t>
  </si>
  <si>
    <t>GUSTAVUS</t>
  </si>
  <si>
    <t>HAYES RIVER</t>
  </si>
  <si>
    <t>HEALY RIVER AIRPORT</t>
  </si>
  <si>
    <t>HOMER ARPT</t>
  </si>
  <si>
    <t>HOONAH</t>
  </si>
  <si>
    <t>HOOPER BAY</t>
  </si>
  <si>
    <t>HUSLIA</t>
  </si>
  <si>
    <t>HYDABURG SEAPLANE</t>
  </si>
  <si>
    <t>ILIAMNA ARPT</t>
  </si>
  <si>
    <t>JUNEAU INT'L ARPT</t>
  </si>
  <si>
    <t>KAKE SEAPLANE BASE</t>
  </si>
  <si>
    <t>KENAI MUNICIPAL AP</t>
  </si>
  <si>
    <t>KETCHIKAN INTL AP</t>
  </si>
  <si>
    <t>KING SALMON ARPT</t>
  </si>
  <si>
    <t>KODIAK AIRPORT</t>
  </si>
  <si>
    <t>KOTZEBUE RALPH WEIN MEMORIAL</t>
  </si>
  <si>
    <t>LAKE HOOD SEAPLANE</t>
  </si>
  <si>
    <t>MCGRATH ARPT</t>
  </si>
  <si>
    <t>MEKORYUK</t>
  </si>
  <si>
    <t>MIDDLETON ISL. AMOS</t>
  </si>
  <si>
    <t>MINCHUMINA</t>
  </si>
  <si>
    <t>NENANA MUNICIPAL AP</t>
  </si>
  <si>
    <t>NOME MUNICIPAL ARPT</t>
  </si>
  <si>
    <t>NORTHWAY AIRPORT</t>
  </si>
  <si>
    <t>PALMER MUNICIPAL</t>
  </si>
  <si>
    <t>PETERSBURG</t>
  </si>
  <si>
    <t>PORT HEIDEN</t>
  </si>
  <si>
    <t>SAND POINT</t>
  </si>
  <si>
    <t>SAVOONGA</t>
  </si>
  <si>
    <t>SELAWIK</t>
  </si>
  <si>
    <t>SEWARD</t>
  </si>
  <si>
    <t>SHEMYA AFB</t>
  </si>
  <si>
    <t>SITKA JAPONSKI AP</t>
  </si>
  <si>
    <t>SKAGWAY AIRPORT</t>
  </si>
  <si>
    <t>SLEETMUTE</t>
  </si>
  <si>
    <t>SOLDOTNA</t>
  </si>
  <si>
    <t>ST PAUL ISLAND ARPT</t>
  </si>
  <si>
    <t>TALKEETNA STATE ARPT</t>
  </si>
  <si>
    <t>TANANA RALPH M CALHOUN MEM AP</t>
  </si>
  <si>
    <t>TOGIAC VILLAGE AWOS</t>
  </si>
  <si>
    <t>UNALAKLEET FIELD</t>
  </si>
  <si>
    <t>VALDEZ PIONEER FIEL</t>
  </si>
  <si>
    <t>VALDEZ WSO</t>
  </si>
  <si>
    <t>WHITTIER</t>
  </si>
  <si>
    <t>WRANGELL</t>
  </si>
  <si>
    <t>YAKUTAT STATE ARPT</t>
  </si>
  <si>
    <t>ANNISTON METROPOLITAN AP</t>
  </si>
  <si>
    <t>AUBURN-OPELIKA APT</t>
  </si>
  <si>
    <t>BIRMINGHAM MUNICIPAL AP</t>
  </si>
  <si>
    <t>DOTHAN MUNICIPAL</t>
  </si>
  <si>
    <t>MOBILE DOWNTOWN AP</t>
  </si>
  <si>
    <t>MOBILE REGIONAL AP</t>
  </si>
  <si>
    <t>MONTGOMERY DANNELLY FIELD</t>
  </si>
  <si>
    <t>MUSCLE SHOALS REGIONAL AP</t>
  </si>
  <si>
    <t>TROY AF</t>
  </si>
  <si>
    <t>TUSCALOOSA MUNICIPAL AP</t>
  </si>
  <si>
    <t>EL DORADO GOODWIN FIELD</t>
  </si>
  <si>
    <t>FAYETTEVILLE DRAKE FIELD</t>
  </si>
  <si>
    <t>FORT SMITH REGIONAL AP</t>
  </si>
  <si>
    <t>HARRISON FAA AP</t>
  </si>
  <si>
    <t>JONESBORO MUNI</t>
  </si>
  <si>
    <t>LITTLE ROCK ADAMS FIELD</t>
  </si>
  <si>
    <t>LITTLE ROCK AFB</t>
  </si>
  <si>
    <t>MEMORIAL FLD</t>
  </si>
  <si>
    <t>PINE BLUFF FAA AP</t>
  </si>
  <si>
    <t>SPRINGDALE MUNI</t>
  </si>
  <si>
    <t>TEXARKANA WEBB FIELD</t>
  </si>
  <si>
    <t>DAVIS-MONTHAN AFB</t>
  </si>
  <si>
    <t>DOUGLAS BISBEE-DOUGLAS INTL A</t>
  </si>
  <si>
    <t>FLAGSTAFF PULLIAM ARPT</t>
  </si>
  <si>
    <t>GRAND CANYON NATL P</t>
  </si>
  <si>
    <t>KINGMAN (AMOS)</t>
  </si>
  <si>
    <t>PAGE MUNI (AMOS)</t>
  </si>
  <si>
    <t>PHOENIX SKY HARBOR INTL AP</t>
  </si>
  <si>
    <t>PRESCOTT LOVE FIELD</t>
  </si>
  <si>
    <t>SAFFORD (AMOS)</t>
  </si>
  <si>
    <t>SCOTTSDALE MUNI</t>
  </si>
  <si>
    <t>SHOW LOW MUNICIPAL</t>
  </si>
  <si>
    <t>TUCSON INTERNATIONAL AP</t>
  </si>
  <si>
    <t>WINSLOW MUNICIPAL AP</t>
  </si>
  <si>
    <t>YUMA INTL AIRPORT</t>
  </si>
  <si>
    <t>YUMA MCAS</t>
  </si>
  <si>
    <t>ALTURAS</t>
  </si>
  <si>
    <t>ARCATA AIRPORT</t>
  </si>
  <si>
    <t>BAKERSFIELD MEADOWS FIELD</t>
  </si>
  <si>
    <t>BISHOP AIRPORT</t>
  </si>
  <si>
    <t>BLUE CANYON AP</t>
  </si>
  <si>
    <t>BLYTHE RIVERSIDE CO ARPT</t>
  </si>
  <si>
    <t>BURBANK-GLENDALE-PASSADENA AP</t>
  </si>
  <si>
    <t>CAMP PENDLETON MCAS</t>
  </si>
  <si>
    <t>CHINA LAKE NAF</t>
  </si>
  <si>
    <t>CHINO AIRPORT</t>
  </si>
  <si>
    <t>CONCORD CONCORD-BUCHANAN FIEL</t>
  </si>
  <si>
    <t>CRESCENT CITY FAA AI</t>
  </si>
  <si>
    <t>DAGGETT BARSTOW-DAGGETT AP</t>
  </si>
  <si>
    <t>EDWARDS AFB</t>
  </si>
  <si>
    <t>FRESNO YOSEMITE INTL AP</t>
  </si>
  <si>
    <t>FULLERTON MUNICIPAL</t>
  </si>
  <si>
    <t>HAYWARD AIR TERM</t>
  </si>
  <si>
    <t>IMPERIAL</t>
  </si>
  <si>
    <t>JACK NORTHROP FLD H</t>
  </si>
  <si>
    <t>LANCASTER GEN WM FOX FIELD</t>
  </si>
  <si>
    <t>LEMOORE REEVES NAS</t>
  </si>
  <si>
    <t>LIVERMORE MUNICIPAL</t>
  </si>
  <si>
    <t>LONG BEACH DAUGHERTY FLD</t>
  </si>
  <si>
    <t>LOS ANGELES INTL ARPT</t>
  </si>
  <si>
    <t>MODESTO CITY-COUNTY AP</t>
  </si>
  <si>
    <t>MONTAGUE SISKIYOU COUNTY AP</t>
  </si>
  <si>
    <t>MONTEREY PENINSULA</t>
  </si>
  <si>
    <t>MOUNTAIN VIEW MOFFETT FLD NAS</t>
  </si>
  <si>
    <t>NAPA CO. AIRPORT</t>
  </si>
  <si>
    <t>NEEDLES AIRPORT</t>
  </si>
  <si>
    <t>OAKLAND METROPOLITAN ARPT</t>
  </si>
  <si>
    <t>OXNARD AIRPORT</t>
  </si>
  <si>
    <t>PALM SPRINGS INTL</t>
  </si>
  <si>
    <t>PALM SPRINGS THERMAL AP</t>
  </si>
  <si>
    <t>PALMDALE AIRPORT</t>
  </si>
  <si>
    <t>PASO ROBLES MUNICIPAL ARPT</t>
  </si>
  <si>
    <t>POINT MUGU NF</t>
  </si>
  <si>
    <t>RED BLUFF MUNICIPAL ARPT</t>
  </si>
  <si>
    <t>REDDING MUNICIPAL ARPT</t>
  </si>
  <si>
    <t>RIVERSIDE MUNI</t>
  </si>
  <si>
    <t>SACRAMENTO EXECUTIVE ARPT</t>
  </si>
  <si>
    <t>SACRAMENTO METROPOLITAN AP</t>
  </si>
  <si>
    <t>SALINAS MUNICIPAL AP</t>
  </si>
  <si>
    <t>SAN DIEGO LINDBERGH FIELD</t>
  </si>
  <si>
    <t>SAN DIEGO MIRAMAR NAS</t>
  </si>
  <si>
    <t>SAN DIEGO NORTH ISLAND NAS</t>
  </si>
  <si>
    <t>SAN FRANCISCO INTL AP</t>
  </si>
  <si>
    <t>SAN JOSE INTL AP</t>
  </si>
  <si>
    <t>SAN LUIS CO RGNL</t>
  </si>
  <si>
    <t>SANDBERG</t>
  </si>
  <si>
    <t>SANTA ANA JOHN WAYNE AP</t>
  </si>
  <si>
    <t>SANTA BARBARA MUNICIPAL AP</t>
  </si>
  <si>
    <t>SANTA MARIA PUBLIC ARPT</t>
  </si>
  <si>
    <t>SANTA MONICA MUNI</t>
  </si>
  <si>
    <t>SOUTH LAKE TAHOE</t>
  </si>
  <si>
    <t>STOCKTON METROPOLITAN ARPT</t>
  </si>
  <si>
    <t>TWENTYNINE PALMS</t>
  </si>
  <si>
    <t>UKIAH MUNICIPAL AP</t>
  </si>
  <si>
    <t>VAN NUYS AIRPORT</t>
  </si>
  <si>
    <t>YUBA CO</t>
  </si>
  <si>
    <t>AKRON WASHINGTON CO AP</t>
  </si>
  <si>
    <t>ALAMOSA SAN LUIS VALLEY RGNL</t>
  </si>
  <si>
    <t>ASPEN PITKIN CO SAR</t>
  </si>
  <si>
    <t>COLORADO SPRINGS MUNI AP</t>
  </si>
  <si>
    <t>DENVER INTL AP</t>
  </si>
  <si>
    <t>EAGLE COUNTY AP</t>
  </si>
  <si>
    <t>GRAND JUNCTION WALKER FIELD</t>
  </si>
  <si>
    <t>LA JUNTA MUNICIPAL AP</t>
  </si>
  <si>
    <t>LAMAR MUNICIPAL</t>
  </si>
  <si>
    <t>LIMON</t>
  </si>
  <si>
    <t>MONTROSE CO. ARPT</t>
  </si>
  <si>
    <t>PUEBLO MEMORIAL AP</t>
  </si>
  <si>
    <t>TRINIDAD LAS ANIMAS COUNTY AP</t>
  </si>
  <si>
    <t>BRIDGEPORT SIKORSKY MEMORIAL</t>
  </si>
  <si>
    <t>DANBURY MUNICIPAL</t>
  </si>
  <si>
    <t>GROTON NEW LONDON AP</t>
  </si>
  <si>
    <t>HARTFORD BRADLEY INTL AP</t>
  </si>
  <si>
    <t>HARTFORD BRAINARD FD</t>
  </si>
  <si>
    <t>NEW HAVEN TWEED AIRPORT</t>
  </si>
  <si>
    <t>WASHINGTON DC REAGAN AP</t>
  </si>
  <si>
    <t>DOVER AFB</t>
  </si>
  <si>
    <t>WILMINGTON NEW CASTLE CNTY AP</t>
  </si>
  <si>
    <t>CRESTVIEW BOB SIKES AP</t>
  </si>
  <si>
    <t>DAYTONA BEACH INTL AP</t>
  </si>
  <si>
    <t>FORT LAUDERDALE</t>
  </si>
  <si>
    <t>FORT LAUDERDALE HOLLYWOOD INT</t>
  </si>
  <si>
    <t>FORT MYERS PAGE FIELD</t>
  </si>
  <si>
    <t>GAINESVILLE REGIONAL AP</t>
  </si>
  <si>
    <t>HOMESTEAD AFB</t>
  </si>
  <si>
    <t>HURLBURT FIELD (AF)</t>
  </si>
  <si>
    <t>JACKSONVILLE INTL ARPT</t>
  </si>
  <si>
    <t>JACKSONVILLE NAS</t>
  </si>
  <si>
    <t>KEY WEST INTL ARPT</t>
  </si>
  <si>
    <t>KEY WEST NAS</t>
  </si>
  <si>
    <t>LAKELAND LINDER RGN</t>
  </si>
  <si>
    <t>MARATHON AIRPORT</t>
  </si>
  <si>
    <t>MAYPORT NS</t>
  </si>
  <si>
    <t>MELBOURNE REGIONAL AP</t>
  </si>
  <si>
    <t>MIAMI INTL AP</t>
  </si>
  <si>
    <t>NAPLES MUNICIPAL</t>
  </si>
  <si>
    <t>NASA SHUTTLE FCLTY</t>
  </si>
  <si>
    <t>ORLANDO EXECUTIVE AP</t>
  </si>
  <si>
    <t>ORLANDO INTL ARPT</t>
  </si>
  <si>
    <t>ORLANDO SANFORD AIRPORT</t>
  </si>
  <si>
    <t>PANAMA CITY BAY CO</t>
  </si>
  <si>
    <t>PENSACOLA FOREST SHERMAN NAS</t>
  </si>
  <si>
    <t>PENSACOLA REGIONAL AP</t>
  </si>
  <si>
    <t>SAN JUAN INTL ARPT</t>
  </si>
  <si>
    <t>SAN JUAN L M MARIN INTL AP</t>
  </si>
  <si>
    <t>SARASOTA BRADENTON</t>
  </si>
  <si>
    <t>SOUTHWEST FLORIDA I</t>
  </si>
  <si>
    <t>ST LUCIE CO INTL</t>
  </si>
  <si>
    <t>ST PETERSBURG ALBERT WHITTED</t>
  </si>
  <si>
    <t>ST PETERSBURG CLEAR</t>
  </si>
  <si>
    <t>TALLAHASSEE REGIONAL AP</t>
  </si>
  <si>
    <t>TAMPA INTERNATIONAL AP</t>
  </si>
  <si>
    <t>TYNDALL AFB</t>
  </si>
  <si>
    <t>VERO BEACH MUNICIPAL ARPT</t>
  </si>
  <si>
    <t>WEST PALM BEACH INTL ARPT</t>
  </si>
  <si>
    <t>WHITING FIELD NAAS</t>
  </si>
  <si>
    <t>ALBANY DOUGHERTY COUNTY AP</t>
  </si>
  <si>
    <t>ALMA BACON COUNTY AP</t>
  </si>
  <si>
    <t>ATHENS BEN EPPS AP</t>
  </si>
  <si>
    <t>ATLANTA HARTSFIELD INTL AP</t>
  </si>
  <si>
    <t>AUGUSTA BUSH FIELD</t>
  </si>
  <si>
    <t>BRUNSWICK GOLDEN IS</t>
  </si>
  <si>
    <t>BRUNSWICK MALCOLM MCKINNON AP</t>
  </si>
  <si>
    <t>COLUMBUS METROPOLITAN ARPT</t>
  </si>
  <si>
    <t>DEKALB PEACHTREE</t>
  </si>
  <si>
    <t>FORT BENNING</t>
  </si>
  <si>
    <t>FULTON CO ARPT BROW</t>
  </si>
  <si>
    <t>HUNTER AAF</t>
  </si>
  <si>
    <t>MACON MIDDLE GA REGIONAL AP</t>
  </si>
  <si>
    <t>ROME R B RUSSELL AP</t>
  </si>
  <si>
    <t>SAVANNAH INTL AP</t>
  </si>
  <si>
    <t>VALDOSTA WB AIRPORT</t>
  </si>
  <si>
    <t>WARNER ROBINS AFB</t>
  </si>
  <si>
    <t>BARBERS POINT NAS</t>
  </si>
  <si>
    <t>HILO INTERNATIONAL AP</t>
  </si>
  <si>
    <t>HONOLULU INTL ARPT</t>
  </si>
  <si>
    <t>KAHULUI AIRPORT</t>
  </si>
  <si>
    <t>KANEOHE BAY MCAS</t>
  </si>
  <si>
    <t>KAPALUA</t>
  </si>
  <si>
    <t>KONA INTL AT KEAHOL</t>
  </si>
  <si>
    <t>LANAI</t>
  </si>
  <si>
    <t>LIHUE AIRPORT</t>
  </si>
  <si>
    <t>MOLOKAI (AMOS)</t>
  </si>
  <si>
    <t>ALGONA</t>
  </si>
  <si>
    <t>ATLANTIC</t>
  </si>
  <si>
    <t>BOONE MUNI</t>
  </si>
  <si>
    <t>BURLINGTON MUNICIPAL AP</t>
  </si>
  <si>
    <t>CARROLL</t>
  </si>
  <si>
    <t>CEDAR RAPIDS MUNICIPAL AP</t>
  </si>
  <si>
    <t>CHARITON</t>
  </si>
  <si>
    <t>CHARLES CITY</t>
  </si>
  <si>
    <t>CLARINDA</t>
  </si>
  <si>
    <t>COUNCIL BLUFFS</t>
  </si>
  <si>
    <t>CRESTON</t>
  </si>
  <si>
    <t>DECORAH</t>
  </si>
  <si>
    <t>DENISON</t>
  </si>
  <si>
    <t>DES MOINES INTL AP</t>
  </si>
  <si>
    <t>DUBUQUE REGIONAL AP</t>
  </si>
  <si>
    <t>ESTHERVILLE MUNI</t>
  </si>
  <si>
    <t>FAIR FIELD</t>
  </si>
  <si>
    <t>FORT MADISON</t>
  </si>
  <si>
    <t>KEOKUK MUNI</t>
  </si>
  <si>
    <t>KNOXVILLE</t>
  </si>
  <si>
    <t>LE MARS</t>
  </si>
  <si>
    <t>MASON CITY MUNICIPAL ARPT</t>
  </si>
  <si>
    <t>MONTICELLO MUNI</t>
  </si>
  <si>
    <t>MUSCATINE</t>
  </si>
  <si>
    <t>NEWTON MUNI</t>
  </si>
  <si>
    <t>OELWEN</t>
  </si>
  <si>
    <t>ORANGE CITY</t>
  </si>
  <si>
    <t>OTTUMWA INDUSTRIAL AP</t>
  </si>
  <si>
    <t>RED OAK</t>
  </si>
  <si>
    <t>SHELDON</t>
  </si>
  <si>
    <t>SHENANDOAH MUNI</t>
  </si>
  <si>
    <t>SIOUX CITY SIOUX GATEWAY AP</t>
  </si>
  <si>
    <t>SPENCER</t>
  </si>
  <si>
    <t>STORM LAKE</t>
  </si>
  <si>
    <t>WASHINGTON</t>
  </si>
  <si>
    <t>WATERLOO MUNICIPAL AP</t>
  </si>
  <si>
    <t>WEBSTER CITY</t>
  </si>
  <si>
    <t>BOISE AIR TERMINAL</t>
  </si>
  <si>
    <t>BURLEY MUNICIPAL ARPT</t>
  </si>
  <si>
    <t>IDAHO FALLS FANNING FIELD</t>
  </si>
  <si>
    <t>JOSLIN FLD MAGIC VA</t>
  </si>
  <si>
    <t>LEWISTON NEZ PERCE CNTY AP</t>
  </si>
  <si>
    <t>MALAD CITY</t>
  </si>
  <si>
    <t>MOUNTAIN HOME AFB</t>
  </si>
  <si>
    <t>POCATELLO REGIONAL AP</t>
  </si>
  <si>
    <t>AURORA MUNICIPAL</t>
  </si>
  <si>
    <t>CENTRAL ILLINOIS RG</t>
  </si>
  <si>
    <t>CHICAGO MIDWAY AP</t>
  </si>
  <si>
    <t>CHICAGO OHARE INTL AP</t>
  </si>
  <si>
    <t>DECATUR</t>
  </si>
  <si>
    <t>MARION REGIONAL</t>
  </si>
  <si>
    <t>MOLINE QUAD CITY INTL AP</t>
  </si>
  <si>
    <t>PEORIA GREATER PEORIA AP</t>
  </si>
  <si>
    <t>QUINCY MUNI BALDWIN FLD</t>
  </si>
  <si>
    <t>ROCKFORD GREATER ROCKFORD AP</t>
  </si>
  <si>
    <t>SOUTHERN ILLINOIS</t>
  </si>
  <si>
    <t>SPRINGFIELD CAPITAL AP</t>
  </si>
  <si>
    <t>STERLING ROCKFALLS</t>
  </si>
  <si>
    <t>UNIV OF ILLINOIS WI</t>
  </si>
  <si>
    <t>DELAWARE CO JOHNSON</t>
  </si>
  <si>
    <t>EVANSVILLE REGIONAL AP</t>
  </si>
  <si>
    <t>FORT WAYNE INTL AP</t>
  </si>
  <si>
    <t>GRISSOM ARB</t>
  </si>
  <si>
    <t>HUNTINGBURG</t>
  </si>
  <si>
    <t>INDIANAPOLIS INTL AP</t>
  </si>
  <si>
    <t>LAFAYETTE PURDUE UNIV AP</t>
  </si>
  <si>
    <t>MONROE CO</t>
  </si>
  <si>
    <t>SOUTH BEND MICHIANA RGNL AP</t>
  </si>
  <si>
    <t>CHANUTE MARTIN JOHNSON AP</t>
  </si>
  <si>
    <t>CONCORDIA BLOSSER MUNI AP</t>
  </si>
  <si>
    <t>DODGE CITY REGIONAL AP</t>
  </si>
  <si>
    <t>EMPORIA MUNICIPAL AP</t>
  </si>
  <si>
    <t>GARDEN CITY MUNICIPAL AP</t>
  </si>
  <si>
    <t>GOODLAND RENNER FIELD</t>
  </si>
  <si>
    <t>HILL CITY MUNICIPAL AP</t>
  </si>
  <si>
    <t>HUTCHINSON MUNICIPAL AP</t>
  </si>
  <si>
    <t>LIBERAL MUNI</t>
  </si>
  <si>
    <t>MANHATTAN RGNL</t>
  </si>
  <si>
    <t>MCCONNELL AFB</t>
  </si>
  <si>
    <t>OLATHE JOHNSON CO INDUSTRIAL</t>
  </si>
  <si>
    <t>RUSSELL MUNICIPAL AP</t>
  </si>
  <si>
    <t>SALINA MUNICIPAL AP</t>
  </si>
  <si>
    <t>TOPEKA FORBES FIELD</t>
  </si>
  <si>
    <t>TOPEKA MUNICIPAL AP</t>
  </si>
  <si>
    <t>BOWLING GREEN WARREN CO AP</t>
  </si>
  <si>
    <t>CINCINNATI NORTHERN KY AP</t>
  </si>
  <si>
    <t>FORT CAMPBELL (AAF)</t>
  </si>
  <si>
    <t>HENDERSON CITY</t>
  </si>
  <si>
    <t>JACKSON JULIAN CARROLL AP</t>
  </si>
  <si>
    <t>LEXINGTON BLUEGRASS AP</t>
  </si>
  <si>
    <t>LOUISVILLE BOWMAN FIELD</t>
  </si>
  <si>
    <t>LOUISVILLE STANDIFORD FIELD</t>
  </si>
  <si>
    <t>PADUCAH BARKLEY REGIONAL AP</t>
  </si>
  <si>
    <t>ALEXANDRIA ESLER REGIONAL AP</t>
  </si>
  <si>
    <t>BARKSDALE AFB</t>
  </si>
  <si>
    <t>BATON ROUGE RYAN ARPT</t>
  </si>
  <si>
    <t>FORT POLK (ARMY)</t>
  </si>
  <si>
    <t>LAFAYETTE REGIONAL AP</t>
  </si>
  <si>
    <t>LAKE CHARLES REGIONAL ARPT</t>
  </si>
  <si>
    <t>LAKE CHARLES WB AIRP</t>
  </si>
  <si>
    <t>MONROE REGIONAL AP</t>
  </si>
  <si>
    <t>NEW IBERIA NAAS</t>
  </si>
  <si>
    <t>NEW ORLEANS ALVIN CALLENDER F</t>
  </si>
  <si>
    <t>NEW ORLEANS INTL ARPT</t>
  </si>
  <si>
    <t>NEW ORLEANS LAKEFRONT AP</t>
  </si>
  <si>
    <t>PATTERSON MEMORIAL</t>
  </si>
  <si>
    <t>SHREVEPORT DOWNTOWN</t>
  </si>
  <si>
    <t>SHREVEPORT REGIONAL ARPT</t>
  </si>
  <si>
    <t>BARNSTABLE MUNI BOA</t>
  </si>
  <si>
    <t>BEVERLY MUNI</t>
  </si>
  <si>
    <t>BOSTON LOGAN INT'L ARPT</t>
  </si>
  <si>
    <t>CHICOPEE FALLS WESTO</t>
  </si>
  <si>
    <t>LAWRENCE MUNI</t>
  </si>
  <si>
    <t>MARTHAS VINEYARD</t>
  </si>
  <si>
    <t>NANTUCKET MEMORIAL AP</t>
  </si>
  <si>
    <t>NEW BEDFORD RGNL</t>
  </si>
  <si>
    <t>NORTH ADAMS</t>
  </si>
  <si>
    <t>NORWOOD MEMORIAL</t>
  </si>
  <si>
    <t>OTIS ANGB</t>
  </si>
  <si>
    <t>PLYMOUTH MUNICIPAL</t>
  </si>
  <si>
    <t>WESTFIELD BARNES MUNI AP</t>
  </si>
  <si>
    <t>WORCHESTER REGIONAL ARPT</t>
  </si>
  <si>
    <t>ANDREWS AFB</t>
  </si>
  <si>
    <t>HAGERSTOWN RGNL RIC</t>
  </si>
  <si>
    <t>PATUXENT RIVER NAS</t>
  </si>
  <si>
    <t>SALISBURY WICOMICO CO AP</t>
  </si>
  <si>
    <t>ANDERSEN AFB</t>
  </si>
  <si>
    <t>AUGUSTA AIRPORT</t>
  </si>
  <si>
    <t>BANGOR INTERNATIONAL AP</t>
  </si>
  <si>
    <t>BRUNSWICK NAS</t>
  </si>
  <si>
    <t>CARIBOU MUNICIPAL ARPT</t>
  </si>
  <si>
    <t>GUAM WFO</t>
  </si>
  <si>
    <t>HOULTON INTL ARPT</t>
  </si>
  <si>
    <t>MILLINOCKET MUNICIPAL AP</t>
  </si>
  <si>
    <t>NORTHERN AROOSTOOK</t>
  </si>
  <si>
    <t>PORTLAND INTL JETPORT</t>
  </si>
  <si>
    <t>PRESQUE ISLE MUNICIP</t>
  </si>
  <si>
    <t>WISCASSET</t>
  </si>
  <si>
    <t>ALPENA COUNTY REGIONAL AP</t>
  </si>
  <si>
    <t>ANN ARBOR MUNICIPAL</t>
  </si>
  <si>
    <t>BATTLE CREEK KELLOGG AP</t>
  </si>
  <si>
    <t>CADILLAC WEXFORD CO AP</t>
  </si>
  <si>
    <t>CHIPPEWA CO INTL</t>
  </si>
  <si>
    <t>DETROIT CITY AIRPORT</t>
  </si>
  <si>
    <t>DETROIT METROPOLITAN ARPT</t>
  </si>
  <si>
    <t>DETROIT WILLOW RUN AP</t>
  </si>
  <si>
    <t>FLINT BISHOP INTL ARPT</t>
  </si>
  <si>
    <t>GRAND RAPIDS KENT COUNTY INT'</t>
  </si>
  <si>
    <t>HANCOCK HOUGHTON CO AP</t>
  </si>
  <si>
    <t>HOUGHTON LAKE ROSCOMMON CO AR</t>
  </si>
  <si>
    <t>HOWELL</t>
  </si>
  <si>
    <t>JACKSON REYNOLDS FIELD</t>
  </si>
  <si>
    <t>KALAMAZOO BATTLE CR</t>
  </si>
  <si>
    <t>LANSING CAPITAL CITY ARPT</t>
  </si>
  <si>
    <t>MUSKEGON COUNTY ARPT</t>
  </si>
  <si>
    <t>OAKLAND CO INTL</t>
  </si>
  <si>
    <t>OSCODA WURTSMITH AFB</t>
  </si>
  <si>
    <t>PELLSTON EMMET COUNTY AP</t>
  </si>
  <si>
    <t>SAGINAW TRI CITY INTL AP</t>
  </si>
  <si>
    <t>SAULT STE MARIE SANDERSON FIE</t>
  </si>
  <si>
    <t>SELFRIDGE ANGB</t>
  </si>
  <si>
    <t>ST.CLAIR COUNTY INT</t>
  </si>
  <si>
    <t>TRAVERSE CITY CHERRY CAPITAL</t>
  </si>
  <si>
    <t>ALEXANDRIA MUNICIPAL AP</t>
  </si>
  <si>
    <t>AUSTIN MUNI</t>
  </si>
  <si>
    <t>BAUDETTE INTERNATIONAL AP</t>
  </si>
  <si>
    <t>BEMIDJI MUNICIPAL</t>
  </si>
  <si>
    <t>BENSON MUNI</t>
  </si>
  <si>
    <t>CAMBRIDGE MUNI</t>
  </si>
  <si>
    <t>CROOKSTON MUNI FLD</t>
  </si>
  <si>
    <t>DULUTH INTERNATIONAL ARPT</t>
  </si>
  <si>
    <t>ELY MUNI</t>
  </si>
  <si>
    <t>FARIBAULT MUNI AWOS</t>
  </si>
  <si>
    <t>FLYING CLOUD</t>
  </si>
  <si>
    <t>GLENWOOD (ASOS)</t>
  </si>
  <si>
    <t>HALLOCK</t>
  </si>
  <si>
    <t>INTERNATIONAL FALLS INTL AP</t>
  </si>
  <si>
    <t>LITCHFIELD MUNI</t>
  </si>
  <si>
    <t>ORR</t>
  </si>
  <si>
    <t>PARK RAPIDS MUNICIPAL AP</t>
  </si>
  <si>
    <t>RED WING</t>
  </si>
  <si>
    <t>REDWOOD FALLS MUNI</t>
  </si>
  <si>
    <t>ROCHESTER INTERNATIONAL ARPT</t>
  </si>
  <si>
    <t>SILVER BAY</t>
  </si>
  <si>
    <t>SOUTH ST PAUL MUNI</t>
  </si>
  <si>
    <t>ST CLOUD REGIONAL ARPT</t>
  </si>
  <si>
    <t>ST PAUL DOWNTOWN AP</t>
  </si>
  <si>
    <t>TWO HARBORS</t>
  </si>
  <si>
    <t>WILLMAR</t>
  </si>
  <si>
    <t>CAPE GIRARDEAU MUNICIPAL AP</t>
  </si>
  <si>
    <t>COLUMBIA REGIONAL AIRPORT</t>
  </si>
  <si>
    <t>FARMINGTON</t>
  </si>
  <si>
    <t>FT LNRD WD AAF</t>
  </si>
  <si>
    <t>JEFFERSON CITY MEM</t>
  </si>
  <si>
    <t>JOPLIN MUNICIPAL AP</t>
  </si>
  <si>
    <t>KANSAS CITY DOWNTOWN AP</t>
  </si>
  <si>
    <t>KANSAS CITY INT'L ARPT</t>
  </si>
  <si>
    <t>KIRKSVILLE REGIONAL AP</t>
  </si>
  <si>
    <t>POPLAR BLUFF(AMOS)</t>
  </si>
  <si>
    <t>SPRINGFIELD REGIONAL ARPT</t>
  </si>
  <si>
    <t>ST JOSEPH ROSECRANS MEMORIAL</t>
  </si>
  <si>
    <t>ST LOUIS LAMBERT INT'L ARPT</t>
  </si>
  <si>
    <t>ST LOUIS SPIRIT OF ST LOUIS A</t>
  </si>
  <si>
    <t>VICHY ROLLA NATL ARPT</t>
  </si>
  <si>
    <t>WHITEMAN AFB</t>
  </si>
  <si>
    <t>COLUMBUS AFB</t>
  </si>
  <si>
    <t>GREENVILLE MUNICIPAL</t>
  </si>
  <si>
    <t>GREENWOOD LEFLORE ARPT</t>
  </si>
  <si>
    <t>GULFPORT BILOXI INT</t>
  </si>
  <si>
    <t>HATTIESBURG LAUREL</t>
  </si>
  <si>
    <t>JACKSON INTERNATIONAL AP</t>
  </si>
  <si>
    <t>MCCOMB PIKE COUNTY AP</t>
  </si>
  <si>
    <t>MERIDIAN KEY FIELD</t>
  </si>
  <si>
    <t>MERIDIAN NAAS</t>
  </si>
  <si>
    <t>TUPELO C D LEMONS ARPT</t>
  </si>
  <si>
    <t>BILLINGS LOGAN INT'L ARPT</t>
  </si>
  <si>
    <t>BOZEMAN GALLATIN FIELD</t>
  </si>
  <si>
    <t>BUTTE BERT MOONEY ARPT</t>
  </si>
  <si>
    <t>CUT BANK MUNI AP</t>
  </si>
  <si>
    <t>GLASGOW INTL ARPT</t>
  </si>
  <si>
    <t>GREAT FALLS INTL ARPT</t>
  </si>
  <si>
    <t>HELENA REGIONAL AIRPORT</t>
  </si>
  <si>
    <t>KALISPELL GLACIER PK INT'L AR</t>
  </si>
  <si>
    <t>LEWISTOWN MUNICIPAL ARPT</t>
  </si>
  <si>
    <t>LIVINGSTON MISSION FIELD</t>
  </si>
  <si>
    <t>MILES CITY MUNICIPAL ARPT</t>
  </si>
  <si>
    <t>MISSOULA INTERNATIONAL AP</t>
  </si>
  <si>
    <t>ASHEVILLE REGIONAL ARPT</t>
  </si>
  <si>
    <t>CAPE HATTERAS</t>
  </si>
  <si>
    <t>CHARLOTTE DOUGLAS INTL ARPT</t>
  </si>
  <si>
    <t>CHERRY POINT MCAS</t>
  </si>
  <si>
    <t>DARE CO RGNL</t>
  </si>
  <si>
    <t>ELIZABETH CITY COAST GUARD AI [NREL]</t>
  </si>
  <si>
    <t>FAYETTEVILLE RGNL G</t>
  </si>
  <si>
    <t>GREENSBORO PIEDMONT TRIAD INT</t>
  </si>
  <si>
    <t>HICKORY REGIONAL AP</t>
  </si>
  <si>
    <t>KINSTON STALLINGS AFB</t>
  </si>
  <si>
    <t>NEW BERN CRAVEN CO REGL AP</t>
  </si>
  <si>
    <t>NEW RIVER MCAF</t>
  </si>
  <si>
    <t>PITT GREENVILLE ARP</t>
  </si>
  <si>
    <t>POPE AFB</t>
  </si>
  <si>
    <t>RALEIGH DURHAM INTERNATIONAL</t>
  </si>
  <si>
    <t>ROCKY MOUNT WILSON</t>
  </si>
  <si>
    <t>SOUTHERN PINES AWOS</t>
  </si>
  <si>
    <t>WILMINGTON INTERNATIONAL ARPT</t>
  </si>
  <si>
    <t>BISMARCK MUNICIPAL ARPT</t>
  </si>
  <si>
    <t>DICKINSON MUNICIPAL AP</t>
  </si>
  <si>
    <t>FARGO HECTOR INTERNATIONAL AP</t>
  </si>
  <si>
    <t>GRAND FORKS AFB</t>
  </si>
  <si>
    <t>GRAND FORKS INTERNATIONAL AP</t>
  </si>
  <si>
    <t>JAMESTOWN MUNICIPAL ARPT</t>
  </si>
  <si>
    <t>MINOT AFB</t>
  </si>
  <si>
    <t>MINOT FAA AP</t>
  </si>
  <si>
    <t>WILLISTON SLOULIN INTL AP</t>
  </si>
  <si>
    <t>AINSWORTH MUNICIPAL</t>
  </si>
  <si>
    <t>ALLIANCE MUNICIPAL</t>
  </si>
  <si>
    <t>BEATRICE MUNICIPAL</t>
  </si>
  <si>
    <t>BREWSTER FIELD ARPT</t>
  </si>
  <si>
    <t>BROKEN BOW MUNI</t>
  </si>
  <si>
    <t>CHADRON MUNICIPAL AP</t>
  </si>
  <si>
    <t>COLUMBUS MUNI</t>
  </si>
  <si>
    <t>FREMONT MUNI ARPT</t>
  </si>
  <si>
    <t>GRAND ISLAND CENTRAL NE REGIO</t>
  </si>
  <si>
    <t>HASTINGS MUNICIPAL</t>
  </si>
  <si>
    <t>IMPERIAL FAA AP</t>
  </si>
  <si>
    <t>LINCOLN MUNICIPAL ARPT</t>
  </si>
  <si>
    <t>MCCOOK MUNICIPAL</t>
  </si>
  <si>
    <t>NORFOLK KARL STEFAN MEM ARPT</t>
  </si>
  <si>
    <t>NORTH PLATTE REGIONAL AP</t>
  </si>
  <si>
    <t>OMAHA EPPLEY AIRFIELD</t>
  </si>
  <si>
    <t>OMAHA WSFO</t>
  </si>
  <si>
    <t>SCOTTSBLUFF W B HEILIG FIELD</t>
  </si>
  <si>
    <t>SIDNEY MUNICIPAL AP</t>
  </si>
  <si>
    <t>TEKAMAH (ASOS)</t>
  </si>
  <si>
    <t>VALENTINE MILLER FIELD</t>
  </si>
  <si>
    <t>BERLIN MUNICIPAL</t>
  </si>
  <si>
    <t>CONCORD MUNICIPAL ARPT</t>
  </si>
  <si>
    <t>DILLANT HOPKINS</t>
  </si>
  <si>
    <t>LEBANON MUNICIPAL</t>
  </si>
  <si>
    <t>MANCHESTER AIRPORT</t>
  </si>
  <si>
    <t>MOUNT WASHINGTON</t>
  </si>
  <si>
    <t>PEASE INTL TRADEPOR</t>
  </si>
  <si>
    <t>ATLANTIC CITY INTL AP</t>
  </si>
  <si>
    <t>CAPE MAY CO</t>
  </si>
  <si>
    <t>MCGUIRE AFB</t>
  </si>
  <si>
    <t>MILLVILLE MUNICIPAL AP</t>
  </si>
  <si>
    <t>NEWARK INTERNATIONAL ARPT</t>
  </si>
  <si>
    <t>TETERBORO AIRPORT</t>
  </si>
  <si>
    <t>TRENTON MERCER COUNTY AP</t>
  </si>
  <si>
    <t>ALBUQUERQUE INTL ARPT</t>
  </si>
  <si>
    <t>CARLSBAD CAVERN CITY AIR TERM</t>
  </si>
  <si>
    <t>CLAYTON MUNICIPAL AIRPARK</t>
  </si>
  <si>
    <t>DEMING MUNI</t>
  </si>
  <si>
    <t>FARMINGTON FOUR CORNERS REGL</t>
  </si>
  <si>
    <t>GALLUP SEN CLARKE FLD</t>
  </si>
  <si>
    <t>HOLLOMAN AFB</t>
  </si>
  <si>
    <t>LAS CRUCES INTL</t>
  </si>
  <si>
    <t>LAS VEGAS MUNICIPAL ARPT</t>
  </si>
  <si>
    <t>ROSWELL INDUSTRIAL AIR PARK</t>
  </si>
  <si>
    <t>SATA FE COUNTY MUNICIPAL AP</t>
  </si>
  <si>
    <t>SIERRA BLANCA RGNL</t>
  </si>
  <si>
    <t>TRUTH OR CONSEQUENCES MUNI AP</t>
  </si>
  <si>
    <t>TUCUMCARI FAA AP</t>
  </si>
  <si>
    <t>ELKO MUNICIPAL ARPT</t>
  </si>
  <si>
    <t>ELY YELLAND FIELD</t>
  </si>
  <si>
    <t>FALLON NAAS</t>
  </si>
  <si>
    <t>LAS VEGAS MCCARRAN INTL AP</t>
  </si>
  <si>
    <t>LOVELOCK DERBY FIELD</t>
  </si>
  <si>
    <t>MERCURY DESERT ROCK AP</t>
  </si>
  <si>
    <t>NELLIS AFB</t>
  </si>
  <si>
    <t>RENO TAHOE INTERNATIONAL AP</t>
  </si>
  <si>
    <t>TONOPAH AIRPORT</t>
  </si>
  <si>
    <t>WINNEMUCCA MUNICIPAL ARPT</t>
  </si>
  <si>
    <t>ADIRONDACK RGNL</t>
  </si>
  <si>
    <t>ALBANY COUNTY AP</t>
  </si>
  <si>
    <t>BINGHAMTON EDWIN A LINK FIELD</t>
  </si>
  <si>
    <t>BUFFALO NIAGARA INTL AP</t>
  </si>
  <si>
    <t>ELMIRA CORNING REGIONAL AP</t>
  </si>
  <si>
    <t>GLENS FALLS AP</t>
  </si>
  <si>
    <t>ISLIP LONG ISL MACARTHUR AP</t>
  </si>
  <si>
    <t>MASSENA AP</t>
  </si>
  <si>
    <t>NEW YORK CENTRAL PRK OBS BELV</t>
  </si>
  <si>
    <t>NEW YORK J F KENNEDY INT'L AR</t>
  </si>
  <si>
    <t>NEW YORK LAGUARDIA ARPT</t>
  </si>
  <si>
    <t>NIAGARA FALLS AF</t>
  </si>
  <si>
    <t>POUGHKEEPSIE DUTCHESS CO AP</t>
  </si>
  <si>
    <t>REPUBLIC</t>
  </si>
  <si>
    <t>ROCHESTER GREATER ROCHESTER I</t>
  </si>
  <si>
    <t>SYRACUSE HANCOCK INT'L ARPT</t>
  </si>
  <si>
    <t>UTICA ONEIDA COUNTY AP</t>
  </si>
  <si>
    <t>WATERTOWN AP</t>
  </si>
  <si>
    <t>WESTHAMPTON GABRESKI AP</t>
  </si>
  <si>
    <t>WHITE PLAINS WESTCHESTER CO A</t>
  </si>
  <si>
    <t>BURKE LAKEFRONT</t>
  </si>
  <si>
    <t>CINCINNATI MUNICIPAL AP LUNKI</t>
  </si>
  <si>
    <t>CLEVELAND HOPKINS INTL AP</t>
  </si>
  <si>
    <t>COLUMBUS PORT COLUMBUS INTL A</t>
  </si>
  <si>
    <t>DAYTON INTERNATIONAL AIRPORT</t>
  </si>
  <si>
    <t>FINDLAY AIRPORT</t>
  </si>
  <si>
    <t>MANSFIELD LAHM MUNICIPAL ARPT</t>
  </si>
  <si>
    <t>OHIO STATE UNIVERSI</t>
  </si>
  <si>
    <t>TOLEDO EXPRESS AIRPORT</t>
  </si>
  <si>
    <t>YOUNGSTOWN REGIONAL AIRPORT</t>
  </si>
  <si>
    <t>ZANESVILLE MUNICIPAL AP</t>
  </si>
  <si>
    <t>ALTUS AFB</t>
  </si>
  <si>
    <t>FORT SILL</t>
  </si>
  <si>
    <t>GAGE AIRPORT</t>
  </si>
  <si>
    <t>HOBART MUNICIPAL AP</t>
  </si>
  <si>
    <t>LAWTON MUNICIPAL</t>
  </si>
  <si>
    <t>MCALESTER MUNICIPAL AP</t>
  </si>
  <si>
    <t>OKLAHOMA CITY WILL ROGERS WOR</t>
  </si>
  <si>
    <t>PONCA CITY MUNICIPAL AP</t>
  </si>
  <si>
    <t>STILLWATER RGNL</t>
  </si>
  <si>
    <t>TINKER AFB</t>
  </si>
  <si>
    <t>TULSA INTERNATIONAL AIRPORT</t>
  </si>
  <si>
    <t>VANCE AFB</t>
  </si>
  <si>
    <t>ASTORIA REGIONAL AIRPORT</t>
  </si>
  <si>
    <t>AURORA STATE</t>
  </si>
  <si>
    <t>BAKER MUNICIPAL AP</t>
  </si>
  <si>
    <t>BURNS MUNICIPAL ARPT</t>
  </si>
  <si>
    <t>CORVALLIS MUNI</t>
  </si>
  <si>
    <t>EUGENE MAHLON SWEET ARPT</t>
  </si>
  <si>
    <t>KLAMATH FALLS INTL AP</t>
  </si>
  <si>
    <t>LA GRANDE MUNI AP</t>
  </si>
  <si>
    <t>MEDFORD ROGUE VALLEY INTL AP</t>
  </si>
  <si>
    <t>NORTH BEND MUNI AIRPORT</t>
  </si>
  <si>
    <t>PENDLETON E OR REGIONAL AP</t>
  </si>
  <si>
    <t>PORTLAND INTERNATIONAL AP</t>
  </si>
  <si>
    <t>REDMOND ROBERTS FIELD</t>
  </si>
  <si>
    <t>ROSEBURG REGIONAL AP</t>
  </si>
  <si>
    <t>SALEM MCNARY FIELD</t>
  </si>
  <si>
    <t>SEXTON SUMMIT</t>
  </si>
  <si>
    <t>ALLENTOWN LEHIGH VALLEY INTL</t>
  </si>
  <si>
    <t>ALTOONA BLAIR CO ARPT</t>
  </si>
  <si>
    <t>BRADFORD REGIONAL AP</t>
  </si>
  <si>
    <t>DUBOIS FAA AP</t>
  </si>
  <si>
    <t>ERIE INTERNATIONAL AP</t>
  </si>
  <si>
    <t>FRANKLIN</t>
  </si>
  <si>
    <t>HARRISBURG CAPITAL CITY ARPT</t>
  </si>
  <si>
    <t>JOHNSTOWN CAMBRIA COUNTY AP</t>
  </si>
  <si>
    <t>LANCASTER</t>
  </si>
  <si>
    <t>MIDDLETOWN HARRISBURG INTL AP</t>
  </si>
  <si>
    <t>PHILADELPHIA INTERNATIONAL AP</t>
  </si>
  <si>
    <t>PHILADELPHIA NE PHILADELPHIA</t>
  </si>
  <si>
    <t>PITTSBURGH ALLEGHENY CO AP</t>
  </si>
  <si>
    <t>PITTSBURGH INTERNATIONAL AP</t>
  </si>
  <si>
    <t>READING SPAATZ FIELD</t>
  </si>
  <si>
    <t>WILLIAMSPORT REGIONAL AP</t>
  </si>
  <si>
    <t>WILLOW GROVE NAS</t>
  </si>
  <si>
    <t>BLOCK ISLAND STATE ARPT</t>
  </si>
  <si>
    <t>PROVIDENCE T F GREEN STATE AR</t>
  </si>
  <si>
    <t>ANDERSON COUNTY AP</t>
  </si>
  <si>
    <t>BEAUFORT MCAS</t>
  </si>
  <si>
    <t>CHARLESTON INTL ARPT</t>
  </si>
  <si>
    <t>COLUMBIA METRO ARPT</t>
  </si>
  <si>
    <t>FLORENCE REGIONAL AP</t>
  </si>
  <si>
    <t>GREENVILLE DOWNTOWN AP</t>
  </si>
  <si>
    <t>MYRTLE BEACH AFB</t>
  </si>
  <si>
    <t>NORTH MYRTLE BEACH GRAND STRA</t>
  </si>
  <si>
    <t>ABERDEEN REGIONAL ARPT</t>
  </si>
  <si>
    <t>CHAN GURNEY MUNI</t>
  </si>
  <si>
    <t>ELLSWORTH AFB</t>
  </si>
  <si>
    <t>HURON REGIONAL ARPT</t>
  </si>
  <si>
    <t>MOBRIDGE</t>
  </si>
  <si>
    <t>PIERRE MUNICIPAL AP</t>
  </si>
  <si>
    <t>RAPID CITY REGIONAL ARPT</t>
  </si>
  <si>
    <t>SIOUX FALLS FOSS FIELD</t>
  </si>
  <si>
    <t>WATERTOWN MUNICIPAL AP</t>
  </si>
  <si>
    <t>BRISTOL TRI CITY AIRPORT</t>
  </si>
  <si>
    <t>CHATTANOOGA LOVELL FIELD AP</t>
  </si>
  <si>
    <t>CROSSVILLE MEMORIAL AP</t>
  </si>
  <si>
    <t>DYERSBURG MUNICIPAL AP</t>
  </si>
  <si>
    <t>KNOXVILLE MCGHEE TYSON AP</t>
  </si>
  <si>
    <t>MEMPHIS INTERNATIONAL AP</t>
  </si>
  <si>
    <t>NASHVILLE INTERNATIONAL AP</t>
  </si>
  <si>
    <t>ABILENE DYESS AFB</t>
  </si>
  <si>
    <t>ABILENE REGIONAL AP</t>
  </si>
  <si>
    <t>ALICE INTL AP</t>
  </si>
  <si>
    <t>AMARILLO INTERNATIONAL AP</t>
  </si>
  <si>
    <t>BROWNSVILLE S PADRE ISL INTL</t>
  </si>
  <si>
    <t>CAMP MABRY</t>
  </si>
  <si>
    <t>CHILDRESS MUNICIPAL AP</t>
  </si>
  <si>
    <t>COLLEGE STATION EASTERWOOD FL</t>
  </si>
  <si>
    <t>CORPUS CHRISTI INTL ARPT</t>
  </si>
  <si>
    <t>CORPUS CHRISTI NAS</t>
  </si>
  <si>
    <t>COTULLA FAA AP</t>
  </si>
  <si>
    <t>COX FLD</t>
  </si>
  <si>
    <t>DALHART MUNICIPAL AP</t>
  </si>
  <si>
    <t>DALLAS LOVE FIELD</t>
  </si>
  <si>
    <t>DEL RIO INTERNATIONAL AP</t>
  </si>
  <si>
    <t>DRAUGHON MILLER CEN</t>
  </si>
  <si>
    <t>EL PASO INTERNATIONAL AP</t>
  </si>
  <si>
    <t>FORT HOOD</t>
  </si>
  <si>
    <t>FORT WORTH ALLIANCE</t>
  </si>
  <si>
    <t>FORT WORTH MEACHAM</t>
  </si>
  <si>
    <t>FORT WORTH NAS</t>
  </si>
  <si>
    <t>HARLINGEN RIO GRANDE VALLEY I</t>
  </si>
  <si>
    <t>HONDO MUNICIPAL AP</t>
  </si>
  <si>
    <t>HOUSTON BUSH INTERCONTINENTAL</t>
  </si>
  <si>
    <t>HOUSTON WILLIAM P HOBBY AP</t>
  </si>
  <si>
    <t>KELLY AFB</t>
  </si>
  <si>
    <t>KINGSVILLE</t>
  </si>
  <si>
    <t>LAREDO INTL AIRPORT</t>
  </si>
  <si>
    <t>LAUGHLIN AFB</t>
  </si>
  <si>
    <t>LONGVIEW GREGG COUNTY AP</t>
  </si>
  <si>
    <t>LUBBOCK INTERNATIONAL AP</t>
  </si>
  <si>
    <t>LUFKIN ANGELINA CO</t>
  </si>
  <si>
    <t>MARFA AP</t>
  </si>
  <si>
    <t>MCALLEN MILLER INTL AP</t>
  </si>
  <si>
    <t>MIDLAND INTERNATIONAL AP</t>
  </si>
  <si>
    <t>MINERAL WELLS MUNICIPAL AP</t>
  </si>
  <si>
    <t>PALACIOS MUNICIPAL AP</t>
  </si>
  <si>
    <t>PORT ARTHUR JEFFERSON COUNTY</t>
  </si>
  <si>
    <t>RANDOLPH AFB</t>
  </si>
  <si>
    <t>SAN ANGELO MATHIS FIELD</t>
  </si>
  <si>
    <t>SAN ANTONIO INTL AP</t>
  </si>
  <si>
    <t>VICTORIA REGIONAL AP</t>
  </si>
  <si>
    <t>WACO REGIONAL AP</t>
  </si>
  <si>
    <t>WICHITA FALLS MUNICIPAL ARPT</t>
  </si>
  <si>
    <t>WINK WINKLER COUNTY AP</t>
  </si>
  <si>
    <t>BLANDING</t>
  </si>
  <si>
    <t>BRYCE CNYN FAA AP</t>
  </si>
  <si>
    <t>CEDAR CITY MUNICIPAL AP</t>
  </si>
  <si>
    <t>DELTA</t>
  </si>
  <si>
    <t>HANKSVILLE</t>
  </si>
  <si>
    <t>OGDEN HINKLEY AIRPORT</t>
  </si>
  <si>
    <t>SALT LAKE CITY INT'L ARPT</t>
  </si>
  <si>
    <t>VERNAL</t>
  </si>
  <si>
    <t>WENDOVER USAF AUXILIARY FIELD</t>
  </si>
  <si>
    <t>ABINGTON</t>
  </si>
  <si>
    <t>CHARLOTTESVILLE FAA</t>
  </si>
  <si>
    <t>DANVILLE FAA AP</t>
  </si>
  <si>
    <t>DINWIDDIE CO</t>
  </si>
  <si>
    <t>FARMVILLE</t>
  </si>
  <si>
    <t>FRANKLIN NAAS</t>
  </si>
  <si>
    <t>HILLSVILLE</t>
  </si>
  <si>
    <t>LYNCHBURG REGIONAL ARPT</t>
  </si>
  <si>
    <t>MARTINSVILLE</t>
  </si>
  <si>
    <t>NEWPORT NEWS</t>
  </si>
  <si>
    <t>NORFOLK INTERNATIONAL AP</t>
  </si>
  <si>
    <t>NORFOLK NAS</t>
  </si>
  <si>
    <t>OCEANA NAS</t>
  </si>
  <si>
    <t>PULASKI</t>
  </si>
  <si>
    <t>QUANTICO MCAS</t>
  </si>
  <si>
    <t>RICHMOND INTERNATIONAL AP</t>
  </si>
  <si>
    <t>ROANOKE REGIONAL AP</t>
  </si>
  <si>
    <t>SHANNON ARPT</t>
  </si>
  <si>
    <t>VIRGINIA TECH ARPT</t>
  </si>
  <si>
    <t>WASHINGTON DC DULLES INT'L AR</t>
  </si>
  <si>
    <t>WINCHESTER RGNL</t>
  </si>
  <si>
    <t>BURLINGTON INTERNATIONAL AP</t>
  </si>
  <si>
    <t>MONTPELIER AP</t>
  </si>
  <si>
    <t>RUTLAND STATE</t>
  </si>
  <si>
    <t>BELLINGHAM INTL AP</t>
  </si>
  <si>
    <t>BREMERTON NATIONAL</t>
  </si>
  <si>
    <t>EPHRATA AP FCWOS</t>
  </si>
  <si>
    <t>FAIRCHILD AFB</t>
  </si>
  <si>
    <t>FELTS FLD</t>
  </si>
  <si>
    <t>GRAY AAF</t>
  </si>
  <si>
    <t>HANFORD</t>
  </si>
  <si>
    <t>HOQUIAM AP</t>
  </si>
  <si>
    <t>KELSO WB AP</t>
  </si>
  <si>
    <t>MOSES LAKE GRANT COUNTY AP</t>
  </si>
  <si>
    <t>OLYMPIA AIRPORT</t>
  </si>
  <si>
    <t>PASCO</t>
  </si>
  <si>
    <t>QUILLAYUTE STATE AIRPORT</t>
  </si>
  <si>
    <t>RENTON MUNI</t>
  </si>
  <si>
    <t>SEATTLE BOEING FIELD</t>
  </si>
  <si>
    <t>SNOHOMISH CO</t>
  </si>
  <si>
    <t>SPOKANE INTERNATIONAL AP</t>
  </si>
  <si>
    <t>STAMPEDE PASS</t>
  </si>
  <si>
    <t>TACOMA NARROWS</t>
  </si>
  <si>
    <t>THE DALLES MUNICIPAL ARPT</t>
  </si>
  <si>
    <t>WALLA WALLA CITY COUNTY AP</t>
  </si>
  <si>
    <t>WHIDBEY ISLAND NAS</t>
  </si>
  <si>
    <t>WILLIAM R FAIRCHILD</t>
  </si>
  <si>
    <t>YAKIMA AIR TERMINAL</t>
  </si>
  <si>
    <t>EAU CLAIRE COUNTY AP</t>
  </si>
  <si>
    <t>GREEN BAY AUSTIN STRAUBEL INT</t>
  </si>
  <si>
    <t>LA CROSSE MUNICIPAL ARPT</t>
  </si>
  <si>
    <t>LONE ROCK FAA AP</t>
  </si>
  <si>
    <t>MADISON DANE CO REGIONAL ARPT</t>
  </si>
  <si>
    <t>MANITOWAC MUNI AWOS</t>
  </si>
  <si>
    <t>MARSHFIELD MUNI</t>
  </si>
  <si>
    <t>MILWAUKEE MITCHELL INTL AP</t>
  </si>
  <si>
    <t>RHINELANDER ONEIDA</t>
  </si>
  <si>
    <t>RICE LAKE MUNICIPAL</t>
  </si>
  <si>
    <t>STURGEON BAY</t>
  </si>
  <si>
    <t>WATERTOWN</t>
  </si>
  <si>
    <t>WAUSAU MUNICIPAL ARPT</t>
  </si>
  <si>
    <t>WITTMAN RGNL</t>
  </si>
  <si>
    <t>BECKLEY RALEIGH CO MEM AP</t>
  </si>
  <si>
    <t>CHARLESTON YEAGER ARPT</t>
  </si>
  <si>
    <t>HARRISON MARION RGN</t>
  </si>
  <si>
    <t>MARTINSBURG EASTERN WV REG AP</t>
  </si>
  <si>
    <t>MORGANTOWN HART FIELD</t>
  </si>
  <si>
    <t>PARKERSBURG WOOD COUNTY AP</t>
  </si>
  <si>
    <t>WHEELING OHIO COUNTY AP</t>
  </si>
  <si>
    <t>CASPER NATRONA CO INTL AP</t>
  </si>
  <si>
    <t>CHEYENNE MUNICIPAL ARPT</t>
  </si>
  <si>
    <t>JACKSON HOLE</t>
  </si>
  <si>
    <t>LANDER HUNT FIELD</t>
  </si>
  <si>
    <t>LARAMIE GENERAL BREES FIELD</t>
  </si>
  <si>
    <t>RAWLINS MUNICIPAL AP</t>
  </si>
  <si>
    <t>RIVERTON MUNICIPL AP</t>
  </si>
  <si>
    <t>ROCK SPRINGS ARPT</t>
  </si>
  <si>
    <t>SHERIDAN COUNTY ARPT</t>
  </si>
  <si>
    <t>WORLAND MUNICIPAL</t>
  </si>
  <si>
    <t>SAN DIEGO MONTGOMER</t>
  </si>
  <si>
    <t>POINT HOPE AWOS</t>
  </si>
  <si>
    <t>SAINT MARY`S AWOS</t>
  </si>
  <si>
    <t>SHISHMAREF AWOS</t>
  </si>
  <si>
    <t>GADSEN MUNI AWOS</t>
  </si>
  <si>
    <t>BATESVILLE AWOS</t>
  </si>
  <si>
    <t>BENTONVILLE AWOS</t>
  </si>
  <si>
    <t>FLIPPIN AWOS</t>
  </si>
  <si>
    <t>ROGERS AWOS</t>
  </si>
  <si>
    <t>SILOAM SPRINGAWOS</t>
  </si>
  <si>
    <t>STUTTGART AWOS</t>
  </si>
  <si>
    <t>WALNUT RIDGE AWOS</t>
  </si>
  <si>
    <t>CASA GRANDA AWOS</t>
  </si>
  <si>
    <t>CAMARILLO AWOS</t>
  </si>
  <si>
    <t>LOMPOC AWOS</t>
  </si>
  <si>
    <t>PORTERVILLE AWOS</t>
  </si>
  <si>
    <t>SANTA ROSA AWOS</t>
  </si>
  <si>
    <t>VISALIA MUNI AWOS</t>
  </si>
  <si>
    <t>FORT COLLINS AWOS</t>
  </si>
  <si>
    <t>GUNNISON CO. AWOS</t>
  </si>
  <si>
    <t>OXFORD AWOS</t>
  </si>
  <si>
    <t>OCALA MUNI AWOS</t>
  </si>
  <si>
    <t>CLINTON MUNI AWOS</t>
  </si>
  <si>
    <t>FORT DODGE AWOS</t>
  </si>
  <si>
    <t>CALDWELL AWOS</t>
  </si>
  <si>
    <t>COEUR D`ALENEAWOS</t>
  </si>
  <si>
    <t>MOUNT VERNON AWOS</t>
  </si>
  <si>
    <t>GREAT BEND AWOS</t>
  </si>
  <si>
    <t>HAYS MUNI AWOS</t>
  </si>
  <si>
    <t>NEWTON AWOS</t>
  </si>
  <si>
    <t>SOMERSETAWOS</t>
  </si>
  <si>
    <t>PROVINCETOWN AWOS</t>
  </si>
  <si>
    <t>BAR HARBOR AWOS</t>
  </si>
  <si>
    <t>SANFORD MUNI AWOS</t>
  </si>
  <si>
    <t>WATERVILLE AWOS</t>
  </si>
  <si>
    <t>ESCANABA AWOS</t>
  </si>
  <si>
    <t>IRONWOOD AWOS</t>
  </si>
  <si>
    <t>MANISTEE AWOS</t>
  </si>
  <si>
    <t>MENOMINEE AWOS</t>
  </si>
  <si>
    <t>AITKIN NDBAWOS</t>
  </si>
  <si>
    <t>ALBERT LEA AWOS</t>
  </si>
  <si>
    <t>CLOQUET AWOS</t>
  </si>
  <si>
    <t>CRANE LAKE AWOS</t>
  </si>
  <si>
    <t>DETROIT LAKESAWOS</t>
  </si>
  <si>
    <t>EVELETH MUNI AWOS</t>
  </si>
  <si>
    <t>FAIRMONT MUNIAWOS</t>
  </si>
  <si>
    <t>FERGUS FALLSAWOS</t>
  </si>
  <si>
    <t>FOSSTONAWOS</t>
  </si>
  <si>
    <t>GRAND RAPIDSAWOS</t>
  </si>
  <si>
    <t>HUTCHINSON AWOS</t>
  </si>
  <si>
    <t>LITTLE FALLS AWOS</t>
  </si>
  <si>
    <t>MANKATOAWOS</t>
  </si>
  <si>
    <t>MORA MUNI AWOS</t>
  </si>
  <si>
    <t>MORRIS MUNI AWOS</t>
  </si>
  <si>
    <t>NEW ULM MUNI AWOS</t>
  </si>
  <si>
    <t>OWATONNA AWOS</t>
  </si>
  <si>
    <t>PIPESTONE AWOS</t>
  </si>
  <si>
    <t>ROSEAU MUNI AWOS</t>
  </si>
  <si>
    <t>THIEF RIVERAWOS</t>
  </si>
  <si>
    <t>WHEATON NDB AWOS</t>
  </si>
  <si>
    <t>WINONA MUNI AWOS</t>
  </si>
  <si>
    <t>WORTHINGTON AWOS</t>
  </si>
  <si>
    <t>KAISER MEM AWOS</t>
  </si>
  <si>
    <t>GOLDEN TRIAWOS</t>
  </si>
  <si>
    <t>GLENDIVEAWOS</t>
  </si>
  <si>
    <t>JACKSONVILLE AWOS</t>
  </si>
  <si>
    <t>DEVILS LAKEAWOS</t>
  </si>
  <si>
    <t>KEARNEY MUNI AWOS</t>
  </si>
  <si>
    <t>LACONIA MUNI AWOS</t>
  </si>
  <si>
    <t>TAOS MUNI APTAWOS</t>
  </si>
  <si>
    <t>JAMESTOWN AWOS</t>
  </si>
  <si>
    <t>MONTICELLOAWOS</t>
  </si>
  <si>
    <t>LAKEVIEW AWOS</t>
  </si>
  <si>
    <t>BUTLER CO. AWOS</t>
  </si>
  <si>
    <t>WASHINGTON AWOS</t>
  </si>
  <si>
    <t>PAWTUCKET AWOS</t>
  </si>
  <si>
    <t>BROOKINGS AWOS</t>
  </si>
  <si>
    <t>MITCHELL AWOS</t>
  </si>
  <si>
    <t>GEORGETOWN AWOS</t>
  </si>
  <si>
    <t>KILLEEN MUNI AWOS</t>
  </si>
  <si>
    <t>MC GREGOR AWOS</t>
  </si>
  <si>
    <t>NACOGDOCHES AWOS</t>
  </si>
  <si>
    <t>PROVO MUNI AWOS</t>
  </si>
  <si>
    <t>SAINT GEORGE AWOS</t>
  </si>
  <si>
    <t>MANASSAS MUNIAWOS</t>
  </si>
  <si>
    <t>ANTIGO\LANGAWOS</t>
  </si>
  <si>
    <t>CODY MUNI AWOS</t>
  </si>
  <si>
    <t>Point Hope AWOS, AK</t>
  </si>
  <si>
    <t>Point Hope AWOS</t>
  </si>
  <si>
    <t>Saint Mary S AWOS, AK</t>
  </si>
  <si>
    <t>Saint Mary S AWOS</t>
  </si>
  <si>
    <t>Shishmaref AWOS, AK</t>
  </si>
  <si>
    <t>Shishmaref AWOS</t>
  </si>
  <si>
    <t>Gadsen Muni AWOS, AL</t>
  </si>
  <si>
    <t>Gadsen Muni AWOS</t>
  </si>
  <si>
    <t>Batesville AWOS, AR</t>
  </si>
  <si>
    <t>Batesville AWOS</t>
  </si>
  <si>
    <t>Bentonville AWOS, AR</t>
  </si>
  <si>
    <t>Bentonville AWOS</t>
  </si>
  <si>
    <t>Flippin AWOS, AR</t>
  </si>
  <si>
    <t>Flippin AWOS</t>
  </si>
  <si>
    <t>Rogers AWOS, AR</t>
  </si>
  <si>
    <t>Rogers AWOS</t>
  </si>
  <si>
    <t>Stuttgart AWOS, AR</t>
  </si>
  <si>
    <t>Stuttgart AWOS</t>
  </si>
  <si>
    <t>Walnut Ridge AWOS, AR</t>
  </si>
  <si>
    <t>Walnut Ridge AWOS</t>
  </si>
  <si>
    <t>Casa Granda AWOS, AZ</t>
  </si>
  <si>
    <t>Casa Granda AWOS</t>
  </si>
  <si>
    <t>Camarillo AWOS, CA</t>
  </si>
  <si>
    <t>Camarillo AWOS</t>
  </si>
  <si>
    <t>Lompoc AWOS, CA</t>
  </si>
  <si>
    <t>Lompoc AWOS</t>
  </si>
  <si>
    <t>Porterville AWOS, CA</t>
  </si>
  <si>
    <t>Porterville AWOS</t>
  </si>
  <si>
    <t>Santa Rosa AWOS, CA</t>
  </si>
  <si>
    <t>Santa Rosa AWOS</t>
  </si>
  <si>
    <t>Visalia Muni AWOS, CA</t>
  </si>
  <si>
    <t>Visalia Muni AWOS</t>
  </si>
  <si>
    <t>Fort Collins AWOS, CO</t>
  </si>
  <si>
    <t>Fort Collins AWOS</t>
  </si>
  <si>
    <t>Greeley Weld AWOS, CO</t>
  </si>
  <si>
    <t>Greeley Weld AWOS</t>
  </si>
  <si>
    <t>Gunnison Co  AWOS, CO</t>
  </si>
  <si>
    <t>Gunnison Co  AWOS</t>
  </si>
  <si>
    <t>Hayden Yampa AWOS, CO</t>
  </si>
  <si>
    <t>Hayden Yampa AWOS</t>
  </si>
  <si>
    <t>Oxford AWOS, CT</t>
  </si>
  <si>
    <t>Oxford AWOS</t>
  </si>
  <si>
    <t>Ocala Muni AWOS, FL</t>
  </si>
  <si>
    <t>Ocala Muni AWOS</t>
  </si>
  <si>
    <t>Clinton Muni AWOS, IA</t>
  </si>
  <si>
    <t>Clinton Muni AWOS</t>
  </si>
  <si>
    <t>Fort Dodge AWOS, IA</t>
  </si>
  <si>
    <t>Fort Dodge AWOS</t>
  </si>
  <si>
    <t>Caldwell AWOS, ID</t>
  </si>
  <si>
    <t>Caldwell AWOS</t>
  </si>
  <si>
    <t>Salmon Lemhi AWOS, ID</t>
  </si>
  <si>
    <t>Salmon Lemhi AWOS</t>
  </si>
  <si>
    <t>Mount Vernon AWOS, IL</t>
  </si>
  <si>
    <t>Mount Vernon AWOS</t>
  </si>
  <si>
    <t>Great Bend AWOS, KS</t>
  </si>
  <si>
    <t>Great Bend AWOS</t>
  </si>
  <si>
    <t>Hays Muni AWOS, KS</t>
  </si>
  <si>
    <t>Hays Muni AWOS</t>
  </si>
  <si>
    <t>Newton AWOS, KS</t>
  </si>
  <si>
    <t>Newton AWOS</t>
  </si>
  <si>
    <t>Provincetown AWOS, MA</t>
  </si>
  <si>
    <t>Provincetown AWOS</t>
  </si>
  <si>
    <t>Bar Harbor AWOS, ME</t>
  </si>
  <si>
    <t>Bar Harbor AWOS</t>
  </si>
  <si>
    <t>Sanford Muni AWOS, ME</t>
  </si>
  <si>
    <t>Sanford Muni AWOS</t>
  </si>
  <si>
    <t>Waterville AWOS, ME</t>
  </si>
  <si>
    <t>Waterville AWOS</t>
  </si>
  <si>
    <t>Escanaba AWOS, MI</t>
  </si>
  <si>
    <t>Escanaba AWOS</t>
  </si>
  <si>
    <t>Ironwood AWOS, MI</t>
  </si>
  <si>
    <t>Ironwood AWOS</t>
  </si>
  <si>
    <t>Manistee AWOS, MI</t>
  </si>
  <si>
    <t>Manistee AWOS</t>
  </si>
  <si>
    <t>Menominee AWOS, MI</t>
  </si>
  <si>
    <t>Menominee AWOS</t>
  </si>
  <si>
    <t>Albert Lea AWOS, MN</t>
  </si>
  <si>
    <t>Albert Lea AWOS</t>
  </si>
  <si>
    <t>Cloquet AWOS, MN</t>
  </si>
  <si>
    <t>Cloquet AWOS</t>
  </si>
  <si>
    <t>Crane Lake AWOS, MN</t>
  </si>
  <si>
    <t>Crane Lake AWOS</t>
  </si>
  <si>
    <t>Eveleth Muni AWOS, MN</t>
  </si>
  <si>
    <t>Eveleth Muni AWOS</t>
  </si>
  <si>
    <t>Hutchinson AWOS, MN</t>
  </si>
  <si>
    <t>Hutchinson AWOS</t>
  </si>
  <si>
    <t>Little Falls AWOS, MN</t>
  </si>
  <si>
    <t>Little Falls AWOS</t>
  </si>
  <si>
    <t>Mora Muni AWOS, MN</t>
  </si>
  <si>
    <t>Mora Muni AWOS</t>
  </si>
  <si>
    <t>Morris Muni AWOS, MN</t>
  </si>
  <si>
    <t>Morris Muni AWOS</t>
  </si>
  <si>
    <t>New Ulm Muni AWOS, MN</t>
  </si>
  <si>
    <t>New Ulm Muni AWOS</t>
  </si>
  <si>
    <t>Owatonna AWOS, MN</t>
  </si>
  <si>
    <t>Owatonna AWOS</t>
  </si>
  <si>
    <t>Pipestone AWOS, MN</t>
  </si>
  <si>
    <t>Pipestone AWOS</t>
  </si>
  <si>
    <t>Roseau Muni AWOS, MN</t>
  </si>
  <si>
    <t>Roseau Muni AWOS</t>
  </si>
  <si>
    <t>Wheaton Ndb AWOS, MN</t>
  </si>
  <si>
    <t>Wheaton Ndb AWOS</t>
  </si>
  <si>
    <t>Winona Muni AWOS, MN</t>
  </si>
  <si>
    <t>Winona Muni AWOS</t>
  </si>
  <si>
    <t>Worthington AWOS, MN</t>
  </si>
  <si>
    <t>Worthington AWOS</t>
  </si>
  <si>
    <t>Kaiser Mem AWOS, MO</t>
  </si>
  <si>
    <t>Kaiser Mem AWOS</t>
  </si>
  <si>
    <t>Jacksonville AWOS, NC</t>
  </si>
  <si>
    <t>Jacksonville AWOS</t>
  </si>
  <si>
    <t>Kearney Muni AWOS, NE</t>
  </si>
  <si>
    <t>Kearney Muni AWOS</t>
  </si>
  <si>
    <t>Laconia Muni AWOS, NH</t>
  </si>
  <si>
    <t>Laconia Muni AWOS</t>
  </si>
  <si>
    <t>Clovis Muni  AWOS, NM</t>
  </si>
  <si>
    <t>Clovis Muni  AWOS</t>
  </si>
  <si>
    <t>CLOVIS MUNI AWOS</t>
  </si>
  <si>
    <t>Jamestown AWOS, NY</t>
  </si>
  <si>
    <t>Jamestown AWOS</t>
  </si>
  <si>
    <t>Lakeview AWOS, OR</t>
  </si>
  <si>
    <t>Lakeview AWOS</t>
  </si>
  <si>
    <t>Butler Co  AWOS, PA</t>
  </si>
  <si>
    <t>Butler Co  AWOS</t>
  </si>
  <si>
    <t>Washington AWOS, PA</t>
  </si>
  <si>
    <t>Washington AWOS</t>
  </si>
  <si>
    <t>Pawtucket AWOS, RI</t>
  </si>
  <si>
    <t>Pawtucket AWOS</t>
  </si>
  <si>
    <t>Brookings AWOS, SD</t>
  </si>
  <si>
    <t>Brookings AWOS</t>
  </si>
  <si>
    <t>Mitchell AWOS, SD</t>
  </si>
  <si>
    <t>Mitchell AWOS</t>
  </si>
  <si>
    <t>Georgetown AWOS, TX</t>
  </si>
  <si>
    <t>Georgetown AWOS</t>
  </si>
  <si>
    <t>Killeen Muni AWOS, TX</t>
  </si>
  <si>
    <t>Killeen Muni AWOS</t>
  </si>
  <si>
    <t>Mc Gregor AWOS, TX</t>
  </si>
  <si>
    <t>Mc Gregor AWOS</t>
  </si>
  <si>
    <t>Nacogdoches AWOS, TX</t>
  </si>
  <si>
    <t>Nacogdoches AWOS</t>
  </si>
  <si>
    <t>Provo Muni AWOS, UT</t>
  </si>
  <si>
    <t>Provo Muni AWOS</t>
  </si>
  <si>
    <t>Saint George AWOS, UT</t>
  </si>
  <si>
    <t>Saint George AWOS</t>
  </si>
  <si>
    <t>Cody Muni AWOS, WY</t>
  </si>
  <si>
    <t>Cody Muni AWOS</t>
  </si>
  <si>
    <t>CAIRNS AAF OZARK</t>
  </si>
  <si>
    <t>HUNTSVILLE INTL JONES FIELD</t>
  </si>
  <si>
    <t>MAXWELL AFB MONTGOM</t>
  </si>
  <si>
    <t>DEER VALLEY PHOENIX</t>
  </si>
  <si>
    <t>LUKE AFB PHOENIX</t>
  </si>
  <si>
    <t>BEALE AFB MARYSVILE</t>
  </si>
  <si>
    <t>CARLSBAD PALOMAR</t>
  </si>
  <si>
    <t>MARCH AFB RIVERSIDE</t>
  </si>
  <si>
    <t>MERCED MACREADY FLD</t>
  </si>
  <si>
    <t>TRAVIS AFB FAIRFLD</t>
  </si>
  <si>
    <t>BUCKLEY ANGB DENVER</t>
  </si>
  <si>
    <t>CORTEZ MONTEZUMA CO</t>
  </si>
  <si>
    <t>DENVER CENTENNIAL</t>
  </si>
  <si>
    <t>DURANGO LA PLATA CO</t>
  </si>
  <si>
    <t>GREELEY WELD AWOS</t>
  </si>
  <si>
    <t>HAYDEN YAMPA AWOS</t>
  </si>
  <si>
    <t>LEADVILLE LAKE CO.</t>
  </si>
  <si>
    <t>RIFLE GARFIELD RGNL</t>
  </si>
  <si>
    <t>EGLIN AFB VALPARAIS</t>
  </si>
  <si>
    <t>JACKSONVILLE CRAIG</t>
  </si>
  <si>
    <t>MACDILL AFB TAMPA</t>
  </si>
  <si>
    <t>MIAMI OPA LOCKA</t>
  </si>
  <si>
    <t>DOBBINS AFB MARIETT</t>
  </si>
  <si>
    <t>MOODY AFB VALDOSTA</t>
  </si>
  <si>
    <t>HAILEY FRIEDMAN MEM</t>
  </si>
  <si>
    <t>SALMON LEMHI AWOS</t>
  </si>
  <si>
    <t>SODA SPRINGS TIGERT</t>
  </si>
  <si>
    <t>CAHOKIA ST. LOUIS</t>
  </si>
  <si>
    <t>CHICAGO WAUKEGAN</t>
  </si>
  <si>
    <t>SCOTT AFB BELLEVILL</t>
  </si>
  <si>
    <t>W. CHICAGO DU PAGE</t>
  </si>
  <si>
    <t>TERRE HAUTE HULMAN</t>
  </si>
  <si>
    <t>FT RILEY MARSHALL A</t>
  </si>
  <si>
    <t>OLATHE JOHNSON CO.</t>
  </si>
  <si>
    <t>WICHITA COL. JABARA</t>
  </si>
  <si>
    <t>FORT KNOX GODMAN</t>
  </si>
  <si>
    <t>ROCKLAND KNOXAWOS</t>
  </si>
  <si>
    <t>BENTON HARBOR ROSS</t>
  </si>
  <si>
    <t>IRON MOUNTAIN FORD</t>
  </si>
  <si>
    <t>BRAINERD WIELAND</t>
  </si>
  <si>
    <t>MARSHALL RYANAWOS</t>
  </si>
  <si>
    <t>MINNEAPOLIS CRYSTAL</t>
  </si>
  <si>
    <t>KEESLER AFB BILOXI</t>
  </si>
  <si>
    <t>NATCHEZ HARDYAWOS</t>
  </si>
  <si>
    <t>FORT BRAGG SIMMONS</t>
  </si>
  <si>
    <t>FALLS CITY BRENNER</t>
  </si>
  <si>
    <t>O`NEILL BAKER FIELD</t>
  </si>
  <si>
    <t>OFFUTT AFB BELLEVUE</t>
  </si>
  <si>
    <t>ORD SHARP FIELD</t>
  </si>
  <si>
    <t>CALDWELL ESSEX CO.</t>
  </si>
  <si>
    <t>CANNON AFB CLOVIS</t>
  </si>
  <si>
    <t>NEWBURGH STEWART</t>
  </si>
  <si>
    <t>BARTLESVILLE PHILLI</t>
  </si>
  <si>
    <t>OKLAHOMA CITY WILEY</t>
  </si>
  <si>
    <t>PORTLAND HILLSBORO</t>
  </si>
  <si>
    <t>PORTLAND TROUTDALE</t>
  </si>
  <si>
    <t>SHAW AFB SUMTER</t>
  </si>
  <si>
    <t>AUSTIN BERGSTROM</t>
  </si>
  <si>
    <t>DALLAS ADDISON ARPT</t>
  </si>
  <si>
    <t>DALLAS REDBIRD ARPT</t>
  </si>
  <si>
    <t>FORT HOOD GRAY AAF</t>
  </si>
  <si>
    <t>GALVESTON SCHOLES</t>
  </si>
  <si>
    <t>GREENVILLE MAJORS</t>
  </si>
  <si>
    <t>HOUSTON D.W. HOOKS</t>
  </si>
  <si>
    <t>HOUSTON ELLINGTON</t>
  </si>
  <si>
    <t>ROCKPORT ARANSAS CO</t>
  </si>
  <si>
    <t>SAN ANTONIO STINSON</t>
  </si>
  <si>
    <t>TYLER POUNDS FLD</t>
  </si>
  <si>
    <t>HILL AFB OGDEN</t>
  </si>
  <si>
    <t>MOAB CANYONLANDS [UO]</t>
  </si>
  <si>
    <t>FORT BELVOIR DAVISO</t>
  </si>
  <si>
    <t>HOT SPRINGS INGALLS</t>
  </si>
  <si>
    <t>LANGLEY AFB HAMPTON</t>
  </si>
  <si>
    <t>LEESBURG GODFREY</t>
  </si>
  <si>
    <t>MARION   WYTHEVILLE</t>
  </si>
  <si>
    <t>MELFA ACCOMACK ARPT</t>
  </si>
  <si>
    <t>STAUNTON SHENANDOAH</t>
  </si>
  <si>
    <t>WISE LONESOME PINE</t>
  </si>
  <si>
    <t>SPRINGFIELD HARTNES</t>
  </si>
  <si>
    <t>MC CHORD AFB TACOMA</t>
  </si>
  <si>
    <t>PULLMAN MOSCOW RGNL</t>
  </si>
  <si>
    <t>WENATCHEE PANGBORN</t>
  </si>
  <si>
    <t>APPLETON OUTAGAMIE</t>
  </si>
  <si>
    <t>JANESVILLE ROCK CO.</t>
  </si>
  <si>
    <t>MINOCQUA WOODRUFF</t>
  </si>
  <si>
    <t>MOSINEE CENTRAL WI</t>
  </si>
  <si>
    <t>PHILLIPS PRICE CO.</t>
  </si>
  <si>
    <t>BLUEFIELD MERCER CO</t>
  </si>
  <si>
    <t>LEWISBURG GREENBRIE</t>
  </si>
  <si>
    <t>EVANSTON BURNS FLD</t>
  </si>
  <si>
    <t>TRUCKEE TAHOE</t>
  </si>
  <si>
    <t>BROOMFIELD JEFFCO [BOULDER   SURFRAD]</t>
  </si>
  <si>
    <t>CRAIG MOFFAT</t>
  </si>
  <si>
    <t>MIAMI KENDALL TAMIA</t>
  </si>
  <si>
    <t>WICHITA MID CONTINENT AP</t>
  </si>
  <si>
    <t>LONDON CORBIN AP</t>
  </si>
  <si>
    <t>HOUMA TERREBONNE</t>
  </si>
  <si>
    <t>BALTIMORE BLT WASHNGTN INT'L</t>
  </si>
  <si>
    <t>AUBURN LEWISTON</t>
  </si>
  <si>
    <t>HIBBING CHISHOLM HIBBING AP</t>
  </si>
  <si>
    <t>MINNEAPOLIS ST PAUL INT'L ARP</t>
  </si>
  <si>
    <t>HAVRE CITY COUNTY AP</t>
  </si>
  <si>
    <t>SIDNEY RICHLAND</t>
  </si>
  <si>
    <t>WOLF POINT INTL [FORT PECK   SURFRAD]</t>
  </si>
  <si>
    <t>SEYMOUR JOHNSON AFB</t>
  </si>
  <si>
    <t>WINSTON SALEM REYNOLDS AP</t>
  </si>
  <si>
    <t>BELMAR FARMINGDALE</t>
  </si>
  <si>
    <t>FORT DRUM WHEELER S</t>
  </si>
  <si>
    <t>AKRON AKRON CANTON REG AP</t>
  </si>
  <si>
    <t>WRIGHT PATERSON AFB</t>
  </si>
  <si>
    <t>CLINTON SHERMAN</t>
  </si>
  <si>
    <t>STATE COLLEGE [PENN STATE   SURFRAD]</t>
  </si>
  <si>
    <t>WILKES BARRE SCRANTON INTL AP</t>
  </si>
  <si>
    <t>GREER GREENV'L SPARTANBRG AP</t>
  </si>
  <si>
    <t>JACKSON MCKELLAR SIPES REGL A</t>
  </si>
  <si>
    <t>DALLAS FORT WORTH INTL AP</t>
  </si>
  <si>
    <t>SEATTLE SEATTLE TACOMA INTL A</t>
  </si>
  <si>
    <t>TOLEDO WINLOCK MEM</t>
  </si>
  <si>
    <t>ELKINS ELKINS RANDOLPH CO ARP</t>
  </si>
  <si>
    <t>HUNTINGTON TRI STATE ARPT</t>
  </si>
  <si>
    <t>GILLETTE GILLETTE C</t>
  </si>
  <si>
    <t>PR</t>
  </si>
  <si>
    <t>Guam</t>
  </si>
  <si>
    <t>Ceiling R-Value</t>
  </si>
  <si>
    <r>
      <t>Frame Wall R-Value (Attached)</t>
    </r>
    <r>
      <rPr>
        <b/>
        <vertAlign val="superscript"/>
        <sz val="10"/>
        <rFont val="Arial"/>
        <family val="2"/>
      </rPr>
      <t>*</t>
    </r>
  </si>
  <si>
    <t xml:space="preserve">Floor </t>
  </si>
  <si>
    <t>R-Value</t>
  </si>
  <si>
    <t xml:space="preserve">Basement Wall </t>
  </si>
  <si>
    <t xml:space="preserve">Crawl Space Wall </t>
  </si>
  <si>
    <t>Insulation R-Values</t>
  </si>
  <si>
    <t>(Detached)</t>
  </si>
  <si>
    <t>Frame Wall Cavity R-Value (Detached)</t>
  </si>
  <si>
    <t>1B</t>
  </si>
  <si>
    <t>1C</t>
  </si>
  <si>
    <t>2C</t>
  </si>
  <si>
    <t>5C</t>
  </si>
  <si>
    <t>6C</t>
  </si>
  <si>
    <t>Slab R-Value</t>
  </si>
  <si>
    <t>Slab Insulation Depth (ft)</t>
  </si>
  <si>
    <t>Vertical Fenestration SHGC</t>
  </si>
  <si>
    <t>Window SHGC (entire assembly)</t>
  </si>
  <si>
    <t>Fraction of floor area covered by lightweight furniture</t>
  </si>
  <si>
    <t>Window Area and Orientation</t>
  </si>
  <si>
    <t>Output values (calculated)</t>
  </si>
  <si>
    <t>Output values (constant)</t>
  </si>
  <si>
    <t>Gas or oil fired furnace</t>
  </si>
  <si>
    <t>Mobile home furnace</t>
  </si>
  <si>
    <t>75% AFUE gas furnace</t>
  </si>
  <si>
    <t>80% AFUE gas boiler</t>
  </si>
  <si>
    <t>Gas steam boiler</t>
  </si>
  <si>
    <t>75% AFUE gas steam boiler</t>
  </si>
  <si>
    <t>Gas space heater</t>
  </si>
  <si>
    <t>74% AFUE gas space heater</t>
  </si>
  <si>
    <t>Other non-electric boiler</t>
  </si>
  <si>
    <t>Gas combination system</t>
  </si>
  <si>
    <t>78% AFUE gas furnace</t>
  </si>
  <si>
    <t>Other non-electric heating</t>
  </si>
  <si>
    <t>Ground source heat pump</t>
  </si>
  <si>
    <t>Air source heat pump (split)</t>
  </si>
  <si>
    <t>Air source heat pump (package)</t>
  </si>
  <si>
    <t>13 SEER air conditioner</t>
  </si>
  <si>
    <t>Single package air conditioner</t>
  </si>
  <si>
    <t>Room air conditioner</t>
  </si>
  <si>
    <t>9.0 EER room air conditioner</t>
  </si>
  <si>
    <t xml:space="preserve">13 SEER air conditioner </t>
  </si>
  <si>
    <t>Other electric or no system</t>
  </si>
  <si>
    <t>13 SEER air source heat pump</t>
  </si>
  <si>
    <t>7.7 HSPF air source heat pump</t>
  </si>
  <si>
    <t>Gas or oil fired hot water boiler</t>
  </si>
  <si>
    <t>No cooling system</t>
  </si>
  <si>
    <t>Other type</t>
  </si>
  <si>
    <t>Split system central (or mini-split) A/C</t>
  </si>
  <si>
    <t>(for modeling)</t>
  </si>
  <si>
    <t>AFUE/SEER/HSPF</t>
  </si>
  <si>
    <t>Dehumidifier?</t>
  </si>
  <si>
    <t>Dehumidifier Energy Factor (EF)</t>
  </si>
  <si>
    <t>NCTH Foundation Type</t>
  </si>
  <si>
    <t>Benchmark Duct Specification</t>
  </si>
  <si>
    <t>One-Story</t>
  </si>
  <si>
    <t>Two-Story or Higher</t>
  </si>
  <si>
    <t>All</t>
  </si>
  <si>
    <t>0.20 × FFA</t>
  </si>
  <si>
    <r>
      <t>0.05 × N</t>
    </r>
    <r>
      <rPr>
        <vertAlign val="subscript"/>
        <sz val="10"/>
        <rFont val="Arial"/>
        <family val="2"/>
      </rPr>
      <t>returns</t>
    </r>
    <r>
      <rPr>
        <sz val="10"/>
        <rFont val="Arial"/>
        <family val="2"/>
      </rPr>
      <t xml:space="preserve"> × FFA </t>
    </r>
  </si>
  <si>
    <t>(Maximum of 0.25 × FFA)</t>
  </si>
  <si>
    <r>
      <t>0.04 × N</t>
    </r>
    <r>
      <rPr>
        <vertAlign val="subscript"/>
        <sz val="10"/>
        <rFont val="Arial"/>
        <family val="2"/>
      </rPr>
      <t>returns</t>
    </r>
    <r>
      <rPr>
        <sz val="10"/>
        <rFont val="Arial"/>
        <family val="2"/>
      </rPr>
      <t xml:space="preserve"> × FFA</t>
    </r>
  </si>
  <si>
    <t>(Maximum of 0.19 × FFA)</t>
  </si>
  <si>
    <t>Rupply/return duct insulation (inside thermal envelope)**</t>
  </si>
  <si>
    <t>Supply duct insulation within attic</t>
  </si>
  <si>
    <t>R-8</t>
  </si>
  <si>
    <t xml:space="preserve">Supply/return duct insulation </t>
  </si>
  <si>
    <t>(all other locations)</t>
  </si>
  <si>
    <t>R-6</t>
  </si>
  <si>
    <t>Duct material</t>
  </si>
  <si>
    <t>Sheet metal</t>
  </si>
  <si>
    <t>Duct leakage excluding air handler (inside and outside)</t>
  </si>
  <si>
    <t>10% of air handler flow (9% supply, 1% return)</t>
  </si>
  <si>
    <t>Air handler leakage (inside and outside)</t>
  </si>
  <si>
    <t>5% of air handler flow (1% supply, 4% return)</t>
  </si>
  <si>
    <t>Percent of duct/air handler leakage imbalance (supply minus return) made up by outside air (OA)</t>
  </si>
  <si>
    <t>Slab-on-grade or raised floor</t>
  </si>
  <si>
    <t>Basement or crawl space</t>
  </si>
  <si>
    <t>Multi-family</t>
  </si>
  <si>
    <t>Supply duct location</t>
  </si>
  <si>
    <t xml:space="preserve">100% crawlspace </t>
  </si>
  <si>
    <t xml:space="preserve">100% Basement </t>
  </si>
  <si>
    <t>100% Conditioned space</t>
  </si>
  <si>
    <t>Return duct and air handler location</t>
  </si>
  <si>
    <t>100% crawlspace</t>
  </si>
  <si>
    <t>100% basement</t>
  </si>
  <si>
    <t>100% conditioned space</t>
  </si>
  <si>
    <t>0.27 × FFA</t>
  </si>
  <si>
    <t>Supply/return duct insulation (inside thermal envelope)**</t>
  </si>
  <si>
    <t>65% crawlspace, 35% above-grade conditioned space</t>
  </si>
  <si>
    <t>65% basement, 35% above-grade conditioned space</t>
  </si>
  <si>
    <t>0% OA</t>
  </si>
  <si>
    <t>100% OA</t>
  </si>
  <si>
    <t>37% OA</t>
  </si>
  <si>
    <r>
      <t>65% attic</t>
    </r>
    <r>
      <rPr>
        <sz val="10"/>
        <rFont val="Arial"/>
        <family val="2"/>
      </rPr>
      <t>, 35% conditioned space</t>
    </r>
  </si>
  <si>
    <t>100% attic</t>
  </si>
  <si>
    <t>Table 5. Duct Locations and Specifications for the Benchmark</t>
  </si>
  <si>
    <t>Supply/return duct insulation (all other locations)</t>
  </si>
  <si>
    <t>Supply/return duct insulation (inside thermal envelope)</t>
  </si>
  <si>
    <t>Space Conditioning</t>
  </si>
  <si>
    <t>Distribution System</t>
  </si>
  <si>
    <t>see footnotes in House Simulation Protocols, p9</t>
  </si>
  <si>
    <t># Bedrooms</t>
  </si>
  <si>
    <t># Bathrooms</t>
  </si>
  <si>
    <t>≤ 1.5</t>
  </si>
  <si>
    <t>≥ 2</t>
  </si>
  <si>
    <t>2–2.5</t>
  </si>
  <si>
    <t>≥ 3</t>
  </si>
  <si>
    <t>≤ 2.5</t>
  </si>
  <si>
    <t xml:space="preserve"> Storage (gal)</t>
  </si>
  <si>
    <t xml:space="preserve"> Burner (kBtu/h)</t>
  </si>
  <si>
    <t xml:space="preserve"> Burner (kW)</t>
  </si>
  <si>
    <t>Table 7. Benchmark DHW Storage and Burner Capacity</t>
  </si>
  <si>
    <t>Common area laundry water use (hot only)</t>
  </si>
  <si>
    <t>gal/day (hot)</t>
  </si>
  <si>
    <t>Office/public sink(s) DHW Use Sensible Gain</t>
  </si>
  <si>
    <t>Office/public sink(s) DHW Use Latent Gain</t>
  </si>
  <si>
    <t>gal/day (hot and cold)</t>
  </si>
  <si>
    <t>Dishwasher DHW Use</t>
  </si>
  <si>
    <t>Clothes washer DHW Use</t>
  </si>
  <si>
    <t>Office/public sink(s) water Use (hot and cold)</t>
  </si>
  <si>
    <t>Sinks - water use</t>
  </si>
  <si>
    <t>Bath - water use</t>
  </si>
  <si>
    <t>Shower - water use</t>
  </si>
  <si>
    <t>gal/day (hot only)</t>
  </si>
  <si>
    <t>pints/day</t>
  </si>
  <si>
    <t>negligible</t>
  </si>
  <si>
    <t>Domestic Hot Water (DHW)</t>
  </si>
  <si>
    <t>DHW Distribution</t>
  </si>
  <si>
    <t>see comment</t>
  </si>
  <si>
    <t>Inside conditioned space</t>
  </si>
  <si>
    <t>see monthly profiles</t>
  </si>
  <si>
    <t>Internal Heat Gain from distribution system</t>
  </si>
  <si>
    <t>from Table 18. Effects of Alternative DHW Distribution Systems on Daily Hot Water Volume, Internal Heat Gains, and Recovery Load</t>
  </si>
  <si>
    <t>December 2008 Building America Research Benchmark Definition</t>
  </si>
  <si>
    <t>Pipe layout</t>
  </si>
  <si>
    <t>T = Area of perimeter surfaces exposed to unconditioned space (including a ceiling or floor if unit is on top or bottom floor respectively)/total area of perimeter surfaces for the residential unit (including ceiling and floor area)</t>
  </si>
  <si>
    <t>Area of all perimeter surfaces</t>
  </si>
  <si>
    <t>Area of perimeter surfaces exposed to unconditioned space</t>
  </si>
  <si>
    <t>Above Grade Wall Area</t>
  </si>
  <si>
    <t>Above Grade Wall Area, exposed</t>
  </si>
  <si>
    <t>Length of all common/party walls (assumed to be same for all floors and foundation)</t>
  </si>
  <si>
    <t>Ceiling Area, exposed</t>
  </si>
  <si>
    <t>0/1/2/3</t>
  </si>
  <si>
    <t>Slab on grade</t>
  </si>
  <si>
    <t>Exposed floor</t>
  </si>
  <si>
    <t>Foundation Type (0=slab, 1=basement, 2=crawlspace, 3=exposed floor)</t>
  </si>
  <si>
    <t>Num Floors of unit (Above Grade)</t>
  </si>
  <si>
    <t>Unit location (0=ground floor, 1=middle floor(s), 2=top floor, 3=unit occupies ground and top floors)</t>
  </si>
  <si>
    <t>Basement/Crawlspace conditioned?</t>
  </si>
  <si>
    <t>Floor Area</t>
  </si>
  <si>
    <t>Floor Area, exposed</t>
  </si>
  <si>
    <t>Blower Door test completed?</t>
  </si>
  <si>
    <t>YES (mandatory)</t>
  </si>
  <si>
    <t xml:space="preserve">Effective Leakage Area (ELA) to the outside </t>
  </si>
  <si>
    <t>Blower Door test completed for multi-family common areas?</t>
  </si>
  <si>
    <t>Does the NCTH have a whole-house fresh air mech. ventilation system?</t>
  </si>
  <si>
    <t>Are the clothes washer specifications known?</t>
  </si>
  <si>
    <t>Is the Builder providing an in-unit clothes washer?</t>
  </si>
  <si>
    <t>Are the clothes dryer specifications known?</t>
  </si>
  <si>
    <t>Is the Builder providing an in-unit clothes dryer?</t>
  </si>
  <si>
    <t>Clothes dryer (in-unit) exhaust flow rate</t>
  </si>
  <si>
    <t>Continuous mechanical ventilation fan efficiency</t>
  </si>
  <si>
    <t>Bath exhaust fan efficiency</t>
  </si>
  <si>
    <t>Range hood fan efficiency</t>
  </si>
  <si>
    <t>Bath exhaust fan energy</t>
  </si>
  <si>
    <t>Volume for ACH calculation</t>
  </si>
  <si>
    <t>Multifamily Common Space Lighting</t>
  </si>
  <si>
    <t>Refrigerator Specification Annual Electricity</t>
  </si>
  <si>
    <t>Table 5.1—Test Load Sizes</t>
  </si>
  <si>
    <t>Container volume</t>
  </si>
  <si>
    <t>Minimum load</t>
  </si>
  <si>
    <t>Maximum load</t>
  </si>
  <si>
    <t>Average load</t>
  </si>
  <si>
    <t>cu. ft.</t>
  </si>
  <si>
    <t>≥  &lt;</t>
  </si>
  <si>
    <t>(liter)</t>
  </si>
  <si>
    <t>(kg)</t>
  </si>
  <si>
    <t>0–0.8</t>
  </si>
  <si>
    <t>0–22.7</t>
  </si>
  <si>
    <t>0.80–0.90</t>
  </si>
  <si>
    <t>22.7–25.5</t>
  </si>
  <si>
    <t>0.90–1.00</t>
  </si>
  <si>
    <t>25.5–28.3</t>
  </si>
  <si>
    <t>1.00–1.10</t>
  </si>
  <si>
    <t>28.3–31.1</t>
  </si>
  <si>
    <t>1.10–1.20</t>
  </si>
  <si>
    <t>31.1–34.0</t>
  </si>
  <si>
    <t>1.20–1.30</t>
  </si>
  <si>
    <t>34.0–36.8</t>
  </si>
  <si>
    <t>1.30–1.40</t>
  </si>
  <si>
    <t>36.8–39.6</t>
  </si>
  <si>
    <t>1.40–1.50</t>
  </si>
  <si>
    <t>39.6–42.5</t>
  </si>
  <si>
    <t>1.50–1.60</t>
  </si>
  <si>
    <t>42.5–45.3</t>
  </si>
  <si>
    <t>1.60–1.70</t>
  </si>
  <si>
    <t>45.3–48.1</t>
  </si>
  <si>
    <t>1.70–1.80</t>
  </si>
  <si>
    <t>48.1–51.0</t>
  </si>
  <si>
    <t>1.80–1.90</t>
  </si>
  <si>
    <t>51.0–53.8</t>
  </si>
  <si>
    <t>1.90–2.00</t>
  </si>
  <si>
    <t>53.8–56.6</t>
  </si>
  <si>
    <t>2.00–2.10</t>
  </si>
  <si>
    <t>56.6–59.5</t>
  </si>
  <si>
    <t>2.10–2.20</t>
  </si>
  <si>
    <t>59.5–62.3</t>
  </si>
  <si>
    <t>2.20–2.30</t>
  </si>
  <si>
    <t>62.3–65.1</t>
  </si>
  <si>
    <t>2.30–2.40</t>
  </si>
  <si>
    <t>65.1–68.0</t>
  </si>
  <si>
    <t>2.40–2.50</t>
  </si>
  <si>
    <t>68.0–70.8</t>
  </si>
  <si>
    <t>2.50–2.60</t>
  </si>
  <si>
    <t>70.8–73.6</t>
  </si>
  <si>
    <t>2.60–2.70</t>
  </si>
  <si>
    <t>73.6–76.5</t>
  </si>
  <si>
    <t>2.70–2.80</t>
  </si>
  <si>
    <t>76.5–79.3</t>
  </si>
  <si>
    <t>2.80–2.90</t>
  </si>
  <si>
    <t>79.3–82.1</t>
  </si>
  <si>
    <t>2.90–3.00</t>
  </si>
  <si>
    <t>82.1–85.0</t>
  </si>
  <si>
    <t>3.00–3.10</t>
  </si>
  <si>
    <t>85.0–87.8</t>
  </si>
  <si>
    <t>3.10–3.20</t>
  </si>
  <si>
    <t>87.8–90.6</t>
  </si>
  <si>
    <t>3.20–3.30</t>
  </si>
  <si>
    <t>90.6–93.4</t>
  </si>
  <si>
    <t>3.30–3.40</t>
  </si>
  <si>
    <t>93.4–96.3</t>
  </si>
  <si>
    <t>3.40–3.50</t>
  </si>
  <si>
    <t>96.3–99.1</t>
  </si>
  <si>
    <t>3.50–3.60</t>
  </si>
  <si>
    <t>99.1–101.9</t>
  </si>
  <si>
    <t>3.60–3.70</t>
  </si>
  <si>
    <t>101.9–104.8</t>
  </si>
  <si>
    <t>3.70–3.80</t>
  </si>
  <si>
    <t>104.8–107.6</t>
  </si>
  <si>
    <t>Notes: (1) All test load weights are bone dry weights.</t>
  </si>
  <si>
    <t>http://ecfr.gpoaccess.gov/cgi/t/text/text-idx?c=ecfr&amp;sid=02725affade99683ebf0d57ba76072ff&amp;rgn=div9&amp;view=text&amp;node=10:3.0.1.4.16.2.9.6.11&amp;idno=10</t>
  </si>
  <si>
    <t>≥</t>
  </si>
  <si>
    <t>&lt;</t>
  </si>
  <si>
    <t>Volume</t>
  </si>
  <si>
    <t>lbs</t>
  </si>
  <si>
    <t>RndDown</t>
  </si>
  <si>
    <t>W_test</t>
  </si>
  <si>
    <t>cycles/yr</t>
  </si>
  <si>
    <t>Clothes washer cycles per year</t>
  </si>
  <si>
    <t>cycles/year</t>
  </si>
  <si>
    <t xml:space="preserve">Single Family Cycles / Year </t>
  </si>
  <si>
    <t>Multi Family Cycles / Year</t>
  </si>
  <si>
    <t>Note: This table has been implemented in the form of an equation in AF250.</t>
  </si>
  <si>
    <t>Cycles/year for this case</t>
  </si>
  <si>
    <t>Dryer cycles per year</t>
  </si>
  <si>
    <t>Bedrooms/unit</t>
  </si>
  <si>
    <t>Less energy factor</t>
  </si>
  <si>
    <t>N_units</t>
  </si>
  <si>
    <t>Common Laundry or in-unt:</t>
  </si>
  <si>
    <t>Point to these:</t>
  </si>
  <si>
    <t>Clothes Washer - Either residential unit OR common area total</t>
  </si>
  <si>
    <t>Gas Range/oven gas Sensible Load</t>
  </si>
  <si>
    <t>Gas Range/oven gas Latent Load</t>
  </si>
  <si>
    <t>Modeling the NCTH</t>
  </si>
  <si>
    <t xml:space="preserve">Useful Cooking Energy Output </t>
  </si>
  <si>
    <t>Electric cooktop</t>
  </si>
  <si>
    <t xml:space="preserve">Electric oven </t>
  </si>
  <si>
    <t>Gas cooktop</t>
  </si>
  <si>
    <t>Gas oven</t>
  </si>
  <si>
    <t>Table 23. Useful Cooking Energy Output for Gas and Electric Ranges</t>
  </si>
  <si>
    <r>
      <t xml:space="preserve">86.5 + 28.9 </t>
    </r>
    <r>
      <rPr>
        <sz val="8"/>
        <color rgb="FF000000"/>
        <rFont val="Arial"/>
        <family val="2"/>
      </rPr>
      <t>× N</t>
    </r>
    <r>
      <rPr>
        <vertAlign val="subscript"/>
        <sz val="8"/>
        <color rgb="FF000000"/>
        <rFont val="Arial"/>
        <family val="2"/>
      </rPr>
      <t>br</t>
    </r>
    <r>
      <rPr>
        <sz val="8"/>
        <rFont val="Arial"/>
        <family val="2"/>
      </rPr>
      <t xml:space="preserve"> kWh/yr</t>
    </r>
  </si>
  <si>
    <r>
      <t xml:space="preserve">14.6 + 4.9 </t>
    </r>
    <r>
      <rPr>
        <sz val="8"/>
        <color rgb="FF000000"/>
        <rFont val="Arial"/>
        <family val="2"/>
      </rPr>
      <t>× N</t>
    </r>
    <r>
      <rPr>
        <vertAlign val="subscript"/>
        <sz val="8"/>
        <color rgb="FF000000"/>
        <rFont val="Arial"/>
        <family val="2"/>
      </rPr>
      <t>br</t>
    </r>
    <r>
      <rPr>
        <sz val="8"/>
        <rFont val="Arial"/>
        <family val="2"/>
      </rPr>
      <t xml:space="preserve"> kWh/yr</t>
    </r>
  </si>
  <si>
    <r>
      <t xml:space="preserve">2.64 + 0.88 </t>
    </r>
    <r>
      <rPr>
        <sz val="8"/>
        <color rgb="FF000000"/>
        <rFont val="Arial"/>
        <family val="2"/>
      </rPr>
      <t>× N</t>
    </r>
    <r>
      <rPr>
        <vertAlign val="subscript"/>
        <sz val="8"/>
        <color rgb="FF000000"/>
        <rFont val="Arial"/>
        <family val="2"/>
      </rPr>
      <t>br</t>
    </r>
    <r>
      <rPr>
        <sz val="8"/>
        <rFont val="Arial"/>
        <family val="2"/>
      </rPr>
      <t xml:space="preserve"> therms/yr</t>
    </r>
  </si>
  <si>
    <r>
      <t xml:space="preserve">0.44 + 0.15 </t>
    </r>
    <r>
      <rPr>
        <sz val="8"/>
        <color rgb="FF000000"/>
        <rFont val="Arial"/>
        <family val="2"/>
      </rPr>
      <t>× N</t>
    </r>
    <r>
      <rPr>
        <vertAlign val="subscript"/>
        <sz val="8"/>
        <color rgb="FF000000"/>
        <rFont val="Arial"/>
        <family val="2"/>
      </rPr>
      <t>br</t>
    </r>
    <r>
      <rPr>
        <sz val="8"/>
        <rFont val="Arial"/>
        <family val="2"/>
      </rPr>
      <t xml:space="preserve"> therms/yr</t>
    </r>
  </si>
  <si>
    <t>Cooktop Energy Factor (EF) using DOE test procedures</t>
  </si>
  <si>
    <t>Oven Energy Factor (EF) using DOE test procedures</t>
  </si>
  <si>
    <t>pilot light or spark</t>
  </si>
  <si>
    <t>electric glo-bar/hot surface</t>
  </si>
  <si>
    <t>Ignition type (if gas)</t>
  </si>
  <si>
    <t>Ignitor electriciyt if gas w/ glo-bar</t>
  </si>
  <si>
    <t>40 + 13.3 x N_br kWh/yr</t>
  </si>
  <si>
    <t>}</t>
  </si>
  <si>
    <t>Annual Energy Input
(Divide by EF)</t>
  </si>
  <si>
    <t>Gas Range/oven ignitor electricity</t>
  </si>
  <si>
    <t>Gas Range/oven ignitor electricity Sensible Load</t>
  </si>
  <si>
    <t>Gas Range/oven ignitor electricity Latent Load</t>
  </si>
  <si>
    <t>Multifamily Common Area</t>
  </si>
  <si>
    <t>Use reduction factor</t>
  </si>
  <si>
    <t>Detailed</t>
  </si>
  <si>
    <t>Simple</t>
  </si>
  <si>
    <t>MEL/MGL Sensible Load (kWh/yr)</t>
  </si>
  <si>
    <t>MEL/MGL Latent Load  (kWh/yr)</t>
  </si>
  <si>
    <t>Combined (kWh/yr)</t>
  </si>
  <si>
    <t>Using</t>
  </si>
  <si>
    <t>1900 * N_elev</t>
  </si>
  <si>
    <t>Range ignitor electricity (gas only)</t>
  </si>
  <si>
    <t>Conversions</t>
  </si>
  <si>
    <t>Therms_to_kWh</t>
  </si>
  <si>
    <t>kWh_to_therms</t>
  </si>
  <si>
    <t>Use Manufacturers Performance Data</t>
  </si>
  <si>
    <t>Sensible (kWh/yr)</t>
  </si>
  <si>
    <t>Latent (kWh/yr)</t>
  </si>
  <si>
    <t>Sensible (Btu/day)</t>
  </si>
  <si>
    <t>Latent (Btu/day)</t>
  </si>
  <si>
    <t>Therms_to_Btu</t>
  </si>
  <si>
    <t>kWh_to_Btu</t>
  </si>
  <si>
    <t xml:space="preserve">Weekend </t>
  </si>
  <si>
    <t xml:space="preserve">Weekday </t>
  </si>
  <si>
    <t>Not vacation</t>
  </si>
  <si>
    <t>Vacation (May 26–28, August 12–18, December 22–25)</t>
  </si>
  <si>
    <t>Interior shading multiplier (constant year round)</t>
  </si>
  <si>
    <t>Btu/person/h</t>
  </si>
  <si>
    <t>Occupant Sensible Load (for single zone models)</t>
  </si>
  <si>
    <t>Occupant Latent Load (for single zone models)</t>
  </si>
  <si>
    <t>days</t>
  </si>
  <si>
    <t>Vacation days - no occupancy, no DHW use
(May 26-28, Aug 12-18, Dec 22-25)</t>
  </si>
  <si>
    <t>Mechanical Ventilation</t>
  </si>
  <si>
    <t>Rated input power (Burner Capacity)</t>
  </si>
  <si>
    <t>TRNSYS Inputs</t>
  </si>
  <si>
    <t>Half-hourly Check for irregularity</t>
  </si>
  <si>
    <t>Hourly Check for irregularity</t>
  </si>
  <si>
    <t>Lighting Glitch</t>
  </si>
  <si>
    <t>half-hourly</t>
  </si>
  <si>
    <t>hourly</t>
  </si>
  <si>
    <t>All June</t>
  </si>
  <si>
    <t>RMSE</t>
  </si>
  <si>
    <t>MSE</t>
  </si>
  <si>
    <t>RSE</t>
  </si>
  <si>
    <t>original</t>
  </si>
  <si>
    <t>solvered3</t>
  </si>
  <si>
    <t>solvered6</t>
  </si>
  <si>
    <t>Tank Nominal Volume</t>
  </si>
  <si>
    <t>mf</t>
  </si>
  <si>
    <t>New Construction - Benchmark and NCTH</t>
  </si>
  <si>
    <t>(actual change in infiltration will need to be added in quadrature with natural infiltration rate for duration of fan run time)</t>
  </si>
  <si>
    <t>(actual change in infiltration will need to be added in quadrature with natural infiltration rate)</t>
  </si>
  <si>
    <t>Infiltration rate attributed to continuous mechanical ventilation</t>
  </si>
  <si>
    <t xml:space="preserve">Range hood fan flow rate </t>
  </si>
  <si>
    <t>Bath exhaust fan flow rate</t>
  </si>
  <si>
    <t>Clothes Dryer Energy</t>
  </si>
  <si>
    <t>Max occupancy of central restroom</t>
  </si>
  <si>
    <t>Number of office visitors per day</t>
  </si>
  <si>
    <t>2004 or later</t>
  </si>
  <si>
    <t>2003 or earlier</t>
  </si>
  <si>
    <r>
      <rPr>
        <b/>
        <sz val="8"/>
        <rFont val="Arial"/>
        <family val="2"/>
      </rPr>
      <t>ASHRAE 62.2: intermittent 50 cfm or continuous 20 cfm</t>
    </r>
    <r>
      <rPr>
        <sz val="8"/>
        <rFont val="Arial"/>
        <family val="2"/>
      </rPr>
      <t xml:space="preserve">
(actual change in infiltration will need to be added in quadrature with natural infiltration rate for duration of fan run time)</t>
    </r>
  </si>
  <si>
    <t>ASHRAE 62.2: intermittent 100 cfm or continuous 5 ach</t>
  </si>
  <si>
    <t>Multiple Zones</t>
  </si>
  <si>
    <t>Internal Load (Btu/person/h)</t>
  </si>
  <si>
    <t xml:space="preserve">Living area </t>
  </si>
  <si>
    <t xml:space="preserve">Bedroom area </t>
  </si>
  <si>
    <t xml:space="preserve">Office </t>
  </si>
  <si>
    <t>Central restroom</t>
  </si>
  <si>
    <t>Single Zone</t>
  </si>
  <si>
    <t>Sensible load</t>
  </si>
  <si>
    <t xml:space="preserve">Latent load </t>
  </si>
  <si>
    <t>Table 46. Peak Sensible and Latent Heat Gain From Occupants</t>
  </si>
  <si>
    <t xml:space="preserve">Common Laundry </t>
  </si>
  <si>
    <t>Cooking Appliances</t>
  </si>
  <si>
    <t>Corrected Water Heater Recovery</t>
  </si>
  <si>
    <t>Estimated Interior Shading</t>
  </si>
  <si>
    <t>Common Area Dishwasher</t>
  </si>
  <si>
    <t>Spa Heater</t>
  </si>
  <si>
    <t>Clothes washer</t>
  </si>
  <si>
    <t>Clothes dryer</t>
  </si>
  <si>
    <t>Waterbed heater</t>
  </si>
  <si>
    <t>Spa pump</t>
  </si>
  <si>
    <t>Ceiling Fans</t>
  </si>
  <si>
    <t>Other MELs</t>
  </si>
  <si>
    <t>Daily Energy Use Multipliers</t>
  </si>
  <si>
    <t>kBtu/hr, kW</t>
  </si>
  <si>
    <t>Height</t>
  </si>
  <si>
    <t>Clothes Washer Energy</t>
  </si>
  <si>
    <t>Water</t>
  </si>
  <si>
    <t>Dishwasher, Range, Microwave</t>
  </si>
  <si>
    <t>No profile available *Assuming 1 h/wk use (data from appliance usage list from PSNH: The Northeast Utility System)</t>
  </si>
  <si>
    <t>Water heater</t>
  </si>
  <si>
    <t>Cooking appliances</t>
  </si>
  <si>
    <t>Home Entertainment appliances</t>
  </si>
  <si>
    <t>Spa heater</t>
  </si>
  <si>
    <t>Pool heater</t>
  </si>
  <si>
    <t>Pool pump</t>
  </si>
  <si>
    <t>Miscellaneous appliances</t>
  </si>
  <si>
    <t>Ceiling Fans (FSEC)</t>
  </si>
  <si>
    <t>Misc Elec Loads
(Total of disaggregation at right)</t>
  </si>
  <si>
    <t>Disaggregation of Misc Elec Loads (Figure 23 in HSP)</t>
  </si>
  <si>
    <t>Specific Leakage Area, overall</t>
  </si>
  <si>
    <t>(as installed</t>
  </si>
  <si>
    <t>Characteristics</t>
  </si>
  <si>
    <t>Home run</t>
  </si>
  <si>
    <t>alt</t>
  </si>
  <si>
    <t>E 1990s</t>
  </si>
  <si>
    <t>B10</t>
  </si>
  <si>
    <t>DHW Usage</t>
  </si>
  <si>
    <t>Low-Flow Fixture Options</t>
  </si>
  <si>
    <t>Faucet aerators on all sinks?</t>
  </si>
  <si>
    <t>Low-flow showerheads in all showers?</t>
  </si>
  <si>
    <r>
      <rPr>
        <b/>
        <sz val="8"/>
        <rFont val="Arial"/>
        <family val="2"/>
      </rPr>
      <t>Attic floor/Ceiling</t>
    </r>
    <r>
      <rPr>
        <sz val="8"/>
        <rFont val="Arial"/>
        <family val="2"/>
      </rPr>
      <t xml:space="preserve"> R-value</t>
    </r>
  </si>
  <si>
    <t>Framing Factor (below unconditioned space)</t>
  </si>
  <si>
    <r>
      <rPr>
        <b/>
        <sz val="8"/>
        <rFont val="Arial"/>
        <family val="2"/>
      </rPr>
      <t xml:space="preserve">Frame wall cavity </t>
    </r>
    <r>
      <rPr>
        <sz val="8"/>
        <rFont val="Arial"/>
        <family val="2"/>
      </rPr>
      <t>R-value</t>
    </r>
  </si>
  <si>
    <r>
      <rPr>
        <b/>
        <sz val="8"/>
        <rFont val="Arial"/>
        <family val="2"/>
      </rPr>
      <t xml:space="preserve">Floor </t>
    </r>
    <r>
      <rPr>
        <sz val="8"/>
        <rFont val="Arial"/>
        <family val="2"/>
      </rPr>
      <t>over unconditioned space R-value</t>
    </r>
  </si>
  <si>
    <r>
      <rPr>
        <b/>
        <sz val="8"/>
        <rFont val="Arial"/>
        <family val="2"/>
      </rPr>
      <t xml:space="preserve">Basement wall </t>
    </r>
    <r>
      <rPr>
        <sz val="8"/>
        <rFont val="Arial"/>
        <family val="2"/>
      </rPr>
      <t>R-value (continuous insulation)</t>
    </r>
  </si>
  <si>
    <r>
      <rPr>
        <b/>
        <sz val="8"/>
        <rFont val="Arial"/>
        <family val="2"/>
      </rPr>
      <t xml:space="preserve">Crawlspace wall </t>
    </r>
    <r>
      <rPr>
        <sz val="8"/>
        <rFont val="Arial"/>
        <family val="2"/>
      </rPr>
      <t>R-value (continuous insulation)</t>
    </r>
  </si>
  <si>
    <r>
      <rPr>
        <b/>
        <sz val="8"/>
        <color indexed="8"/>
        <rFont val="Arial"/>
        <family val="2"/>
      </rPr>
      <t xml:space="preserve">Floor/basement ceiling </t>
    </r>
    <r>
      <rPr>
        <sz val="8"/>
        <color indexed="8"/>
        <rFont val="Arial"/>
        <family val="2"/>
      </rPr>
      <t>Framing Factor</t>
    </r>
  </si>
  <si>
    <r>
      <rPr>
        <b/>
        <sz val="8"/>
        <rFont val="Arial"/>
        <family val="2"/>
      </rPr>
      <t>Slab</t>
    </r>
    <r>
      <rPr>
        <sz val="8"/>
        <rFont val="Arial"/>
        <family val="2"/>
      </rPr>
      <t xml:space="preserve"> insulation R-value (continuous insulation)</t>
    </r>
  </si>
  <si>
    <r>
      <rPr>
        <b/>
        <sz val="8"/>
        <rFont val="Arial"/>
        <family val="2"/>
      </rPr>
      <t>Window</t>
    </r>
    <r>
      <rPr>
        <sz val="8"/>
        <rFont val="Arial"/>
        <family val="2"/>
      </rPr>
      <t xml:space="preserve"> U-value (entire assembly)</t>
    </r>
  </si>
  <si>
    <t>Unfinished attic - ventilation opening area</t>
  </si>
  <si>
    <t>hr-F-ft²/Btu</t>
  </si>
  <si>
    <t>Btu/hr-F-ft²</t>
  </si>
  <si>
    <t>1 ft²  per 300 ft² ceiling area</t>
  </si>
  <si>
    <t>ft²</t>
  </si>
  <si>
    <t>TPU Estimated Average Floor Area (ft²)</t>
  </si>
  <si>
    <t>TPU Typical Room Size (ft²)</t>
  </si>
  <si>
    <t>Room Area (ft²)</t>
  </si>
  <si>
    <t>NCTH Total Floor Area for Room (ft²) (1st Occurrence)</t>
  </si>
  <si>
    <t>NCTH Total Floor Area by Room Type (ft²)</t>
  </si>
  <si>
    <t>Finished Floor Area (ft²)</t>
  </si>
  <si>
    <t>FFA Coefficient (kWh/1000ft²)</t>
  </si>
  <si>
    <t>Other MELs (1920 ft² house)</t>
  </si>
  <si>
    <t>Total MELs (1920 ft² house)</t>
  </si>
  <si>
    <t>Total Benchmark MELs (1920 ft² house)</t>
  </si>
  <si>
    <t>Vertical Fenestration U-Value (UF) (Btu/h·ft²·°F)</t>
  </si>
  <si>
    <t>Supply duct surface area (ft²)</t>
  </si>
  <si>
    <t>Return duct surface area (ft²)</t>
  </si>
  <si>
    <t>kJ/(h m² K)</t>
  </si>
  <si>
    <t>Option 1-Simplified</t>
  </si>
  <si>
    <t>Option 2-Detailed</t>
  </si>
  <si>
    <t xml:space="preserve">          Electrical Equipment Room</t>
  </si>
  <si>
    <t>Use the DHW Event Schedule Generation Tool if necessary</t>
  </si>
  <si>
    <t>Option 1 - Simplified Method</t>
  </si>
  <si>
    <t>Interior hard-wired: % incandescent</t>
  </si>
  <si>
    <t>% compact fluorescent</t>
  </si>
  <si>
    <t>% LED</t>
  </si>
  <si>
    <t>% linear fluorescent</t>
  </si>
  <si>
    <t>Exterior lighting:       % incandescent</t>
  </si>
  <si>
    <t>Garage lighting:       % incandescent</t>
  </si>
  <si>
    <t>Faucet aerators on all common area sinks?</t>
  </si>
  <si>
    <t>(6) Total MEL energy for the NCTH and Benchmark are calculated and summarized at left.</t>
  </si>
  <si>
    <t>Select Schedule to view:</t>
  </si>
  <si>
    <t>Winter (October - March)</t>
  </si>
  <si>
    <t>Summer (April - September)</t>
  </si>
  <si>
    <t>Spa heater/pump</t>
  </si>
  <si>
    <t>Pool heater/pump</t>
  </si>
  <si>
    <t>If Model Number is available, the MEF may be found in one of the following databases (2003-2010):</t>
  </si>
  <si>
    <t>California Energy Commission Appliance Efficiency Database</t>
  </si>
  <si>
    <t>Federal Trade Commission Appliance Energy Data Archives</t>
  </si>
  <si>
    <t>If Model Number is available, the EF may be found in one of the following databases (2003-2010):</t>
  </si>
  <si>
    <t>Detailed Lighting Analysis Worksheet (Updated December 17, 2010)</t>
  </si>
  <si>
    <t>Detailed MEL Analysis Worksheet, with 2010 Trends (Updated December 17, 2010)</t>
  </si>
  <si>
    <t>Climate Zone (IECC 2009, Building America)</t>
  </si>
  <si>
    <t>cmt</t>
  </si>
  <si>
    <t>mfcmt</t>
  </si>
  <si>
    <t>User comments (not used for calculation)</t>
  </si>
  <si>
    <t>Last modified December 17, 2010.  This sheet contains the NCTH inputs (orange cells), the corresponding B10 Benchmark specifications, and specifications for modeling the NCTH.</t>
  </si>
  <si>
    <t>Before 6/15/2002</t>
  </si>
  <si>
    <t>6/15/2002 to 12/31/2003</t>
  </si>
  <si>
    <t>Smart Replacement Algorithm Factor - Hard-wired</t>
  </si>
  <si>
    <t>Smart Replacement Algorithm Factor - Garage</t>
  </si>
  <si>
    <t>Smart Replacement Algorithm Factor - Exterior</t>
  </si>
</sst>
</file>

<file path=xl/styles.xml><?xml version="1.0" encoding="utf-8"?>
<styleSheet xmlns="http://schemas.openxmlformats.org/spreadsheetml/2006/main">
  <numFmts count="18">
    <numFmt numFmtId="6" formatCode="&quot;$&quot;#,##0_);[Red]\(&quot;$&quot;#,##0\)"/>
    <numFmt numFmtId="7" formatCode="&quot;$&quot;#,##0.00_);\(&quot;$&quot;#,##0.00\)"/>
    <numFmt numFmtId="44" formatCode="_(&quot;$&quot;* #,##0.00_);_(&quot;$&quot;* \(#,##0.00\);_(&quot;$&quot;* &quot;-&quot;??_);_(@_)"/>
    <numFmt numFmtId="43" formatCode="_(* #,##0.00_);_(* \(#,##0.00\);_(* &quot;-&quot;??_);_(@_)"/>
    <numFmt numFmtId="164" formatCode="&quot;$&quot;#,##0.00"/>
    <numFmt numFmtId="165" formatCode="0.0"/>
    <numFmt numFmtId="166" formatCode="0.0000"/>
    <numFmt numFmtId="167" formatCode="&quot;$&quot;#,##0"/>
    <numFmt numFmtId="168" formatCode="&quot;$&quot;#,##0.0000"/>
    <numFmt numFmtId="169" formatCode="0.000"/>
    <numFmt numFmtId="170" formatCode="0.0%"/>
    <numFmt numFmtId="171" formatCode="0.00000"/>
    <numFmt numFmtId="172" formatCode="m/d/yy"/>
    <numFmt numFmtId="173" formatCode="_(* #,##0.000_);_(* \(#,##0.000\);_(* &quot;-&quot;??_);_(@_)"/>
    <numFmt numFmtId="174" formatCode="_(* #,##0.0_);_(* \(#,##0.0\);_(* &quot;-&quot;??_);_(@_)"/>
    <numFmt numFmtId="175" formatCode="_(* #,##0_);_(* \(#,##0\);_(* &quot;-&quot;??_);_(@_)"/>
    <numFmt numFmtId="176" formatCode="mm/dd/yyyy"/>
    <numFmt numFmtId="177" formatCode="0.00000000000"/>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0"/>
      <name val="Arial"/>
      <family val="2"/>
    </font>
    <font>
      <b/>
      <sz val="12"/>
      <name val="Arial"/>
      <family val="2"/>
    </font>
    <font>
      <b/>
      <sz val="10"/>
      <name val="Arial"/>
      <family val="2"/>
    </font>
    <font>
      <sz val="8"/>
      <name val="Arial"/>
      <family val="2"/>
    </font>
    <font>
      <sz val="10"/>
      <name val="Arial"/>
      <family val="2"/>
    </font>
    <font>
      <b/>
      <sz val="14"/>
      <name val="Arial"/>
      <family val="2"/>
    </font>
    <font>
      <i/>
      <sz val="8"/>
      <name val="Arial"/>
      <family val="2"/>
    </font>
    <font>
      <sz val="8"/>
      <color indexed="8"/>
      <name val="Arial"/>
      <family val="2"/>
    </font>
    <font>
      <b/>
      <sz val="8"/>
      <name val="Arial"/>
      <family val="2"/>
    </font>
    <font>
      <sz val="8"/>
      <color indexed="10"/>
      <name val="Arial"/>
      <family val="2"/>
    </font>
    <font>
      <b/>
      <sz val="18"/>
      <name val="Arial"/>
      <family val="2"/>
    </font>
    <font>
      <b/>
      <sz val="9"/>
      <name val="Arial"/>
      <family val="2"/>
    </font>
    <font>
      <vertAlign val="superscript"/>
      <sz val="8"/>
      <name val="Arial"/>
      <family val="2"/>
    </font>
    <font>
      <sz val="10"/>
      <color indexed="10"/>
      <name val="Arial"/>
      <family val="2"/>
    </font>
    <font>
      <sz val="10"/>
      <color indexed="8"/>
      <name val="Arial"/>
      <family val="2"/>
    </font>
    <font>
      <b/>
      <sz val="8"/>
      <color indexed="8"/>
      <name val="Arial"/>
      <family val="2"/>
    </font>
    <font>
      <b/>
      <i/>
      <sz val="8"/>
      <color indexed="8"/>
      <name val="Arial"/>
      <family val="2"/>
    </font>
    <font>
      <b/>
      <i/>
      <sz val="10"/>
      <name val="Arial"/>
      <family val="2"/>
    </font>
    <font>
      <b/>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i/>
      <sz val="12"/>
      <name val="Arial"/>
      <family val="2"/>
    </font>
    <font>
      <i/>
      <sz val="10"/>
      <color indexed="10"/>
      <name val="Arial"/>
      <family val="2"/>
    </font>
    <font>
      <sz val="10"/>
      <color indexed="57"/>
      <name val="Arial"/>
      <family val="2"/>
    </font>
    <font>
      <i/>
      <sz val="10"/>
      <color indexed="57"/>
      <name val="Arial"/>
      <family val="2"/>
    </font>
    <font>
      <sz val="10"/>
      <color indexed="48"/>
      <name val="Arial"/>
      <family val="2"/>
    </font>
    <font>
      <i/>
      <sz val="10"/>
      <color indexed="48"/>
      <name val="Arial"/>
      <family val="2"/>
    </font>
    <font>
      <sz val="10"/>
      <color indexed="53"/>
      <name val="Arial"/>
      <family val="2"/>
    </font>
    <font>
      <i/>
      <sz val="10"/>
      <color indexed="53"/>
      <name val="Arial"/>
      <family val="2"/>
    </font>
    <font>
      <sz val="10"/>
      <color indexed="14"/>
      <name val="Arial"/>
      <family val="2"/>
    </font>
    <font>
      <i/>
      <sz val="10"/>
      <color indexed="14"/>
      <name val="Arial"/>
      <family val="2"/>
    </font>
    <font>
      <sz val="10"/>
      <color indexed="19"/>
      <name val="Arial"/>
      <family val="2"/>
    </font>
    <font>
      <i/>
      <sz val="10"/>
      <color indexed="19"/>
      <name val="Arial"/>
      <family val="2"/>
    </font>
    <font>
      <b/>
      <sz val="10"/>
      <color indexed="10"/>
      <name val="Arial"/>
      <family val="2"/>
    </font>
    <font>
      <b/>
      <i/>
      <sz val="11"/>
      <name val="Arial"/>
      <family val="2"/>
    </font>
    <font>
      <sz val="8"/>
      <name val="Arial"/>
      <family val="2"/>
    </font>
    <font>
      <i/>
      <sz val="10"/>
      <name val="Arial"/>
      <family val="2"/>
    </font>
    <font>
      <sz val="8"/>
      <color indexed="8"/>
      <name val="Arial"/>
      <family val="2"/>
    </font>
    <font>
      <sz val="11"/>
      <color indexed="8"/>
      <name val="Calibri"/>
      <family val="2"/>
    </font>
    <font>
      <i/>
      <sz val="10"/>
      <color indexed="8"/>
      <name val="Arial"/>
      <family val="2"/>
    </font>
    <font>
      <b/>
      <sz val="14"/>
      <name val="Calibri"/>
      <family val="2"/>
    </font>
    <font>
      <b/>
      <sz val="16"/>
      <name val="Arial"/>
      <family val="2"/>
    </font>
    <font>
      <sz val="8"/>
      <name val="Arial"/>
      <family val="2"/>
    </font>
    <font>
      <b/>
      <sz val="18"/>
      <color indexed="8"/>
      <name val="Calibri"/>
      <family val="2"/>
    </font>
    <font>
      <b/>
      <sz val="11"/>
      <color indexed="8"/>
      <name val="Calibri"/>
      <family val="2"/>
    </font>
    <font>
      <sz val="11"/>
      <color theme="1"/>
      <name val="Calibri"/>
      <family val="2"/>
      <scheme val="minor"/>
    </font>
    <font>
      <sz val="10"/>
      <color indexed="81"/>
      <name val="Tahoma"/>
      <family val="2"/>
    </font>
    <font>
      <b/>
      <sz val="10"/>
      <color indexed="81"/>
      <name val="Tahoma"/>
      <family val="2"/>
    </font>
    <font>
      <sz val="10"/>
      <name val="Arial"/>
      <family val="2"/>
    </font>
    <font>
      <sz val="11"/>
      <name val="Arial"/>
      <family val="2"/>
    </font>
    <font>
      <sz val="14"/>
      <name val="Arial"/>
      <family val="2"/>
    </font>
    <font>
      <b/>
      <i/>
      <sz val="14"/>
      <name val="Arial"/>
      <family val="2"/>
    </font>
    <font>
      <sz val="10"/>
      <color rgb="FFFF0000"/>
      <name val="Arial"/>
      <family val="2"/>
    </font>
    <font>
      <b/>
      <sz val="10"/>
      <color rgb="FFFF0000"/>
      <name val="Arial"/>
      <family val="2"/>
    </font>
    <font>
      <b/>
      <sz val="10"/>
      <color indexed="12"/>
      <name val="Arial"/>
      <family val="2"/>
    </font>
    <font>
      <sz val="10"/>
      <color indexed="12"/>
      <name val="Arial"/>
      <family val="2"/>
    </font>
    <font>
      <vertAlign val="superscript"/>
      <sz val="10"/>
      <color indexed="12"/>
      <name val="Arial"/>
      <family val="2"/>
    </font>
    <font>
      <b/>
      <sz val="14"/>
      <color rgb="FFFF0000"/>
      <name val="Arial"/>
      <family val="2"/>
    </font>
    <font>
      <b/>
      <sz val="24"/>
      <name val="Arial"/>
      <family val="2"/>
    </font>
    <font>
      <b/>
      <i/>
      <sz val="16"/>
      <name val="Arial"/>
      <family val="2"/>
    </font>
    <font>
      <sz val="25"/>
      <name val="Arial"/>
      <family val="2"/>
    </font>
    <font>
      <sz val="10"/>
      <name val="Arial"/>
      <family val="2"/>
    </font>
    <font>
      <sz val="8"/>
      <color indexed="81"/>
      <name val="Tahoma"/>
      <family val="2"/>
    </font>
    <font>
      <b/>
      <sz val="8"/>
      <color indexed="81"/>
      <name val="Tahoma"/>
      <family val="2"/>
    </font>
    <font>
      <b/>
      <sz val="11"/>
      <name val="Arial"/>
      <family val="2"/>
    </font>
    <font>
      <i/>
      <sz val="10"/>
      <color rgb="FFFF0000"/>
      <name val="Arial"/>
      <family val="2"/>
    </font>
    <font>
      <b/>
      <i/>
      <u/>
      <sz val="10"/>
      <name val="Arial"/>
      <family val="2"/>
    </font>
    <font>
      <b/>
      <vertAlign val="superscript"/>
      <sz val="8"/>
      <name val="Arial"/>
      <family val="2"/>
    </font>
    <font>
      <sz val="8"/>
      <color rgb="FFFF0000"/>
      <name val="Arial"/>
      <family val="2"/>
    </font>
    <font>
      <sz val="8"/>
      <color theme="6" tint="-0.499984740745262"/>
      <name val="Arial"/>
      <family val="2"/>
    </font>
    <font>
      <b/>
      <sz val="8"/>
      <color theme="3"/>
      <name val="Arial"/>
      <family val="2"/>
    </font>
    <font>
      <b/>
      <sz val="8"/>
      <color theme="6" tint="-0.499984740745262"/>
      <name val="Arial"/>
      <family val="2"/>
    </font>
    <font>
      <b/>
      <vertAlign val="superscript"/>
      <sz val="10"/>
      <name val="Arial"/>
      <family val="2"/>
    </font>
    <font>
      <b/>
      <sz val="10"/>
      <color rgb="FF000000"/>
      <name val="Arial"/>
      <family val="2"/>
    </font>
    <font>
      <sz val="10"/>
      <color rgb="FF000000"/>
      <name val="Arial"/>
      <family val="2"/>
    </font>
    <font>
      <vertAlign val="subscript"/>
      <sz val="10"/>
      <name val="Arial"/>
      <family val="2"/>
    </font>
    <font>
      <i/>
      <sz val="8"/>
      <color indexed="8"/>
      <name val="Arial"/>
      <family val="2"/>
    </font>
    <font>
      <u/>
      <sz val="10"/>
      <color theme="10"/>
      <name val="Arial"/>
      <family val="2"/>
    </font>
    <font>
      <u/>
      <sz val="10"/>
      <color theme="10"/>
      <name val="Arial"/>
      <family val="2"/>
    </font>
    <font>
      <sz val="10"/>
      <name val="Arial"/>
      <family val="2"/>
    </font>
    <font>
      <sz val="8"/>
      <color rgb="FF000000"/>
      <name val="Arial"/>
      <family val="2"/>
    </font>
    <font>
      <vertAlign val="subscript"/>
      <sz val="8"/>
      <color rgb="FF000000"/>
      <name val="Arial"/>
      <family val="2"/>
    </font>
    <font>
      <sz val="18"/>
      <name val="Arial"/>
      <family val="2"/>
    </font>
    <font>
      <sz val="8"/>
      <color theme="0" tint="-0.249977111117893"/>
      <name val="Arial"/>
      <family val="2"/>
    </font>
    <font>
      <sz val="10"/>
      <color theme="0" tint="-0.249977111117893"/>
      <name val="Arial"/>
      <family val="2"/>
    </font>
    <font>
      <sz val="24"/>
      <name val="Arial"/>
      <family val="2"/>
    </font>
    <font>
      <sz val="8"/>
      <color theme="0" tint="-0.499984740745262"/>
      <name val="Arial"/>
      <family val="2"/>
    </font>
    <font>
      <b/>
      <sz val="12"/>
      <color indexed="8"/>
      <name val="Arial"/>
      <family val="2"/>
    </font>
    <font>
      <u/>
      <sz val="8"/>
      <color theme="10"/>
      <name val="Arial"/>
      <family val="2"/>
    </font>
    <font>
      <sz val="10"/>
      <name val="Arial"/>
      <family val="2"/>
    </font>
    <font>
      <b/>
      <sz val="8"/>
      <color theme="4"/>
      <name val="Arial"/>
      <family val="2"/>
    </font>
    <font>
      <sz val="8"/>
      <color theme="4"/>
      <name val="Arial"/>
      <family val="2"/>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bgColor indexed="62"/>
      </patternFill>
    </fill>
    <fill>
      <patternFill patternType="solid">
        <fgColor indexed="31"/>
        <bgColor indexed="31"/>
      </patternFill>
    </fill>
    <fill>
      <patternFill patternType="solid">
        <fgColor indexed="44"/>
        <bgColor indexed="44"/>
      </patternFill>
    </fill>
    <fill>
      <patternFill patternType="solid">
        <fgColor indexed="30"/>
        <bgColor indexed="30"/>
      </patternFill>
    </fill>
    <fill>
      <patternFill patternType="solid">
        <fgColor indexed="10"/>
        <bgColor indexed="10"/>
      </patternFill>
    </fill>
    <fill>
      <patternFill patternType="solid">
        <fgColor indexed="45"/>
        <bgColor indexed="45"/>
      </patternFill>
    </fill>
    <fill>
      <patternFill patternType="solid">
        <fgColor indexed="29"/>
        <bgColor indexed="29"/>
      </patternFill>
    </fill>
    <fill>
      <patternFill patternType="solid">
        <fgColor indexed="57"/>
        <bgColor indexed="57"/>
      </patternFill>
    </fill>
    <fill>
      <patternFill patternType="solid">
        <fgColor indexed="42"/>
        <bgColor indexed="42"/>
      </patternFill>
    </fill>
    <fill>
      <patternFill patternType="solid">
        <fgColor indexed="11"/>
        <bgColor indexed="11"/>
      </patternFill>
    </fill>
    <fill>
      <patternFill patternType="solid">
        <fgColor indexed="36"/>
        <bgColor indexed="36"/>
      </patternFill>
    </fill>
    <fill>
      <patternFill patternType="solid">
        <fgColor indexed="46"/>
        <bgColor indexed="46"/>
      </patternFill>
    </fill>
    <fill>
      <patternFill patternType="solid">
        <fgColor indexed="49"/>
        <bgColor indexed="49"/>
      </patternFill>
    </fill>
    <fill>
      <patternFill patternType="solid">
        <fgColor indexed="27"/>
        <bgColor indexed="27"/>
      </patternFill>
    </fill>
    <fill>
      <patternFill patternType="solid">
        <fgColor indexed="53"/>
        <bgColor indexed="53"/>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22"/>
        <bgColor indexed="22"/>
      </patternFill>
    </fill>
    <fill>
      <patternFill patternType="solid">
        <fgColor indexed="55"/>
        <bgColor indexed="55"/>
      </patternFill>
    </fill>
    <fill>
      <patternFill patternType="lightUp">
        <fgColor indexed="9"/>
        <bgColor indexed="49"/>
      </patternFill>
    </fill>
    <fill>
      <patternFill patternType="lightUp">
        <fgColor indexed="9"/>
        <bgColor indexed="10"/>
      </patternFill>
    </fill>
    <fill>
      <patternFill patternType="lightUp">
        <fgColor indexed="9"/>
        <bgColor indexed="57"/>
      </patternFill>
    </fill>
    <fill>
      <patternFill patternType="solid">
        <fgColor indexed="43"/>
        <bgColor indexed="43"/>
      </patternFill>
    </fill>
    <fill>
      <patternFill patternType="solid">
        <fgColor indexed="26"/>
        <bgColor indexed="26"/>
      </patternFill>
    </fill>
    <fill>
      <patternFill patternType="solid">
        <fgColor indexed="41"/>
        <bgColor indexed="64"/>
      </patternFill>
    </fill>
    <fill>
      <patternFill patternType="solid">
        <fgColor indexed="22"/>
        <bgColor indexed="64"/>
      </patternFill>
    </fill>
    <fill>
      <patternFill patternType="solid">
        <fgColor indexed="42"/>
        <bgColor indexed="64"/>
      </patternFill>
    </fill>
    <fill>
      <patternFill patternType="solid">
        <fgColor indexed="44"/>
        <bgColor indexed="64"/>
      </patternFill>
    </fill>
    <fill>
      <patternFill patternType="solid">
        <fgColor indexed="50"/>
        <bgColor indexed="64"/>
      </patternFill>
    </fill>
    <fill>
      <patternFill patternType="solid">
        <fgColor indexed="43"/>
        <bgColor indexed="64"/>
      </patternFill>
    </fill>
    <fill>
      <patternFill patternType="solid">
        <fgColor indexed="47"/>
        <bgColor indexed="64"/>
      </patternFill>
    </fill>
    <fill>
      <patternFill patternType="solid">
        <fgColor indexed="50"/>
      </patternFill>
    </fill>
    <fill>
      <patternFill patternType="solid">
        <fgColor indexed="43"/>
      </patternFill>
    </fill>
    <fill>
      <patternFill patternType="solid">
        <fgColor indexed="22"/>
      </patternFill>
    </fill>
    <fill>
      <patternFill patternType="solid">
        <fgColor indexed="41"/>
      </patternFill>
    </fill>
    <fill>
      <patternFill patternType="solid">
        <fgColor indexed="23"/>
      </patternFill>
    </fill>
    <fill>
      <patternFill patternType="solid">
        <fgColor indexed="23"/>
        <bgColor indexed="64"/>
      </patternFill>
    </fill>
    <fill>
      <patternFill patternType="solid">
        <fgColor indexed="49"/>
        <bgColor indexed="64"/>
      </patternFill>
    </fill>
    <fill>
      <patternFill patternType="solid">
        <fgColor indexed="29"/>
        <bgColor indexed="64"/>
      </patternFill>
    </fill>
    <fill>
      <patternFill patternType="solid">
        <fgColor indexed="45"/>
        <bgColor indexed="64"/>
      </patternFill>
    </fill>
    <fill>
      <patternFill patternType="solid">
        <fgColor indexed="11"/>
        <bgColor indexed="64"/>
      </patternFill>
    </fill>
    <fill>
      <patternFill patternType="solid">
        <fgColor indexed="52"/>
        <bgColor indexed="64"/>
      </patternFill>
    </fill>
    <fill>
      <patternFill patternType="solid">
        <fgColor indexed="51"/>
        <bgColor indexed="64"/>
      </patternFill>
    </fill>
    <fill>
      <patternFill patternType="solid">
        <fgColor rgb="FFCCFFCC"/>
        <bgColor indexed="64"/>
      </patternFill>
    </fill>
    <fill>
      <patternFill patternType="solid">
        <fgColor rgb="FF99CCFF"/>
        <bgColor indexed="64"/>
      </patternFill>
    </fill>
    <fill>
      <patternFill patternType="solid">
        <fgColor rgb="FFFFFF9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0.249977111117893"/>
        <bgColor theme="0" tint="-0.34998626667073579"/>
      </patternFill>
    </fill>
    <fill>
      <patternFill patternType="solid">
        <fgColor theme="0" tint="-0.249977111117893"/>
        <bgColor theme="0" tint="-0.14999847407452621"/>
      </patternFill>
    </fill>
    <fill>
      <patternFill patternType="solid">
        <fgColor rgb="FFD9D9D9"/>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CCFFCC"/>
        <bgColor indexed="47"/>
      </patternFill>
    </fill>
    <fill>
      <patternFill patternType="solid">
        <fgColor theme="4" tint="0.79998168889431442"/>
        <bgColor indexed="47"/>
      </patternFill>
    </fill>
    <fill>
      <patternFill patternType="solid">
        <fgColor theme="0" tint="-0.249977111117893"/>
        <bgColor indexed="47"/>
      </patternFill>
    </fill>
    <fill>
      <patternFill patternType="solid">
        <fgColor theme="0" tint="-4.9989318521683403E-2"/>
        <bgColor indexed="64"/>
      </patternFill>
    </fill>
  </fills>
  <borders count="19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rgb="FF000000"/>
      </bottom>
      <diagonal/>
    </border>
    <border>
      <left/>
      <right style="thin">
        <color indexed="23"/>
      </right>
      <top style="thin">
        <color indexed="23"/>
      </top>
      <bottom style="thin">
        <color indexed="23"/>
      </bottom>
      <diagonal/>
    </border>
    <border>
      <left style="medium">
        <color indexed="64"/>
      </left>
      <right/>
      <top/>
      <bottom/>
      <diagonal/>
    </border>
    <border>
      <left style="thin">
        <color indexed="64"/>
      </left>
      <right style="medium">
        <color indexed="64"/>
      </right>
      <top/>
      <bottom/>
      <diagonal/>
    </border>
    <border>
      <left/>
      <right style="thin">
        <color indexed="64"/>
      </right>
      <top/>
      <bottom style="medium">
        <color indexed="64"/>
      </bottom>
      <diagonal/>
    </border>
    <border>
      <left style="thick">
        <color rgb="FF000000"/>
      </left>
      <right style="thick">
        <color rgb="FF000000"/>
      </right>
      <top style="thick">
        <color rgb="FF000000"/>
      </top>
      <bottom style="thick">
        <color rgb="FF000000"/>
      </bottom>
      <diagonal/>
    </border>
    <border>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medium">
        <color rgb="FF000000"/>
      </right>
      <top/>
      <bottom style="medium">
        <color rgb="FF000000"/>
      </bottom>
      <diagonal/>
    </border>
    <border>
      <left style="medium">
        <color rgb="FF000000"/>
      </left>
      <right style="thin">
        <color rgb="FF000000"/>
      </right>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top/>
      <bottom style="medium">
        <color rgb="FF000000"/>
      </bottom>
      <diagonal/>
    </border>
    <border>
      <left/>
      <right/>
      <top style="thin">
        <color indexed="64"/>
      </top>
      <bottom style="medium">
        <color indexed="64"/>
      </bottom>
      <diagonal/>
    </border>
    <border>
      <left/>
      <right style="thin">
        <color indexed="64"/>
      </right>
      <top/>
      <bottom style="thin">
        <color theme="6" tint="0.39994506668294322"/>
      </bottom>
      <diagonal/>
    </border>
    <border>
      <left/>
      <right style="thin">
        <color indexed="64"/>
      </right>
      <top style="thin">
        <color theme="6" tint="0.39994506668294322"/>
      </top>
      <bottom/>
      <diagonal/>
    </border>
    <border>
      <left/>
      <right style="thin">
        <color indexed="64"/>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right style="thin">
        <color indexed="64"/>
      </right>
      <top/>
      <bottom style="thin">
        <color indexed="23"/>
      </bottom>
      <diagonal/>
    </border>
    <border>
      <left/>
      <right style="thin">
        <color indexed="64"/>
      </right>
      <top style="thin">
        <color indexed="23"/>
      </top>
      <bottom style="thin">
        <color theme="6" tint="0.39994506668294322"/>
      </bottom>
      <diagonal/>
    </border>
    <border>
      <left/>
      <right style="thin">
        <color indexed="64"/>
      </right>
      <top style="thin">
        <color indexed="64"/>
      </top>
      <bottom style="thin">
        <color rgb="FF969696"/>
      </bottom>
      <diagonal/>
    </border>
    <border>
      <left style="thin">
        <color indexed="23"/>
      </left>
      <right style="thin">
        <color indexed="64"/>
      </right>
      <top/>
      <bottom style="thin">
        <color indexed="23"/>
      </bottom>
      <diagonal/>
    </border>
    <border>
      <left/>
      <right style="thin">
        <color indexed="64"/>
      </right>
      <top/>
      <bottom style="thin">
        <color theme="0" tint="-0.499984740745262"/>
      </bottom>
      <diagonal/>
    </border>
    <border>
      <left/>
      <right style="thin">
        <color indexed="64"/>
      </right>
      <top style="thin">
        <color indexed="23"/>
      </top>
      <bottom style="thin">
        <color theme="0" tint="-0.499984740745262"/>
      </bottom>
      <diagonal/>
    </border>
    <border>
      <left/>
      <right style="thin">
        <color indexed="64"/>
      </right>
      <top style="thin">
        <color theme="6" tint="0.39994506668294322"/>
      </top>
      <bottom style="thin">
        <color theme="0" tint="-0.499984740745262"/>
      </bottom>
      <diagonal/>
    </border>
    <border>
      <left/>
      <right/>
      <top/>
      <bottom style="thin">
        <color theme="0" tint="-0.499984740745262"/>
      </bottom>
      <diagonal/>
    </border>
    <border>
      <left style="thin">
        <color indexed="23"/>
      </left>
      <right style="thin">
        <color indexed="64"/>
      </right>
      <top style="thin">
        <color indexed="23"/>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indexed="64"/>
      </left>
      <right/>
      <top style="thin">
        <color theme="0" tint="-0.499984740745262"/>
      </top>
      <bottom/>
      <diagonal/>
    </border>
    <border>
      <left style="thin">
        <color indexed="64"/>
      </left>
      <right/>
      <top style="thin">
        <color theme="0" tint="-0.499984740745262"/>
      </top>
      <bottom style="thin">
        <color rgb="FFCCECFF"/>
      </bottom>
      <diagonal/>
    </border>
    <border>
      <left/>
      <right style="thin">
        <color indexed="64"/>
      </right>
      <top style="thin">
        <color theme="0" tint="-0.499984740745262"/>
      </top>
      <bottom style="thin">
        <color rgb="FFCCECFF"/>
      </bottom>
      <diagonal/>
    </border>
    <border>
      <left style="thin">
        <color indexed="64"/>
      </left>
      <right/>
      <top style="thin">
        <color rgb="FFCCECFF"/>
      </top>
      <bottom style="thin">
        <color rgb="FFCCECFF"/>
      </bottom>
      <diagonal/>
    </border>
    <border>
      <left/>
      <right style="thin">
        <color indexed="64"/>
      </right>
      <top style="thin">
        <color rgb="FFCCECFF"/>
      </top>
      <bottom style="thin">
        <color rgb="FFCCECFF"/>
      </bottom>
      <diagonal/>
    </border>
    <border>
      <left style="thin">
        <color indexed="64"/>
      </left>
      <right style="thin">
        <color indexed="64"/>
      </right>
      <top style="thin">
        <color theme="0" tint="-0.499984740745262"/>
      </top>
      <bottom style="thin">
        <color rgb="FFCCECFF"/>
      </bottom>
      <diagonal/>
    </border>
    <border>
      <left style="thin">
        <color indexed="64"/>
      </left>
      <right style="thin">
        <color indexed="64"/>
      </right>
      <top style="thin">
        <color rgb="FFCCECFF"/>
      </top>
      <bottom style="thin">
        <color rgb="FFCCECFF"/>
      </bottom>
      <diagonal/>
    </border>
    <border>
      <left style="thin">
        <color indexed="64"/>
      </left>
      <right/>
      <top style="thin">
        <color rgb="FFCCECFF"/>
      </top>
      <bottom style="thin">
        <color theme="0" tint="-0.499984740745262"/>
      </bottom>
      <diagonal/>
    </border>
    <border>
      <left/>
      <right style="thin">
        <color indexed="64"/>
      </right>
      <top style="thin">
        <color rgb="FFCCECFF"/>
      </top>
      <bottom style="thin">
        <color theme="0" tint="-0.499984740745262"/>
      </bottom>
      <diagonal/>
    </border>
    <border>
      <left style="thin">
        <color indexed="64"/>
      </left>
      <right style="thin">
        <color indexed="64"/>
      </right>
      <top style="thin">
        <color rgb="FFCCECFF"/>
      </top>
      <bottom style="thin">
        <color theme="0" tint="-0.499984740745262"/>
      </bottom>
      <diagonal/>
    </border>
    <border>
      <left/>
      <right style="thin">
        <color indexed="64"/>
      </right>
      <top style="thin">
        <color theme="6" tint="0.39994506668294322"/>
      </top>
      <bottom style="thin">
        <color rgb="FFCCECFF"/>
      </bottom>
      <diagonal/>
    </border>
    <border>
      <left style="thin">
        <color indexed="64"/>
      </left>
      <right style="thin">
        <color indexed="64"/>
      </right>
      <top style="thin">
        <color indexed="23"/>
      </top>
      <bottom style="thin">
        <color rgb="FFCCECFF"/>
      </bottom>
      <diagonal/>
    </border>
    <border>
      <left style="thin">
        <color indexed="64"/>
      </left>
      <right style="thin">
        <color indexed="64"/>
      </right>
      <top style="thin">
        <color rgb="FFCCECFF"/>
      </top>
      <bottom style="thin">
        <color indexed="23"/>
      </bottom>
      <diagonal/>
    </border>
    <border>
      <left style="thin">
        <color indexed="64"/>
      </left>
      <right style="thin">
        <color indexed="64"/>
      </right>
      <top/>
      <bottom style="thin">
        <color rgb="FFCCECFF"/>
      </bottom>
      <diagonal/>
    </border>
    <border>
      <left style="thin">
        <color indexed="64"/>
      </left>
      <right/>
      <top style="thin">
        <color rgb="FFCCECFF"/>
      </top>
      <bottom style="thin">
        <color indexed="64"/>
      </bottom>
      <diagonal/>
    </border>
    <border>
      <left/>
      <right style="thin">
        <color indexed="64"/>
      </right>
      <top style="thin">
        <color rgb="FFCCECFF"/>
      </top>
      <bottom style="thin">
        <color indexed="64"/>
      </bottom>
      <diagonal/>
    </border>
    <border>
      <left style="thin">
        <color indexed="64"/>
      </left>
      <right style="thin">
        <color indexed="64"/>
      </right>
      <top style="thin">
        <color rgb="FFCCECFF"/>
      </top>
      <bottom style="thin">
        <color indexed="64"/>
      </bottom>
      <diagonal/>
    </border>
    <border>
      <left style="thin">
        <color indexed="64"/>
      </left>
      <right style="thin">
        <color indexed="64"/>
      </right>
      <top style="thin">
        <color indexed="64"/>
      </top>
      <bottom style="thin">
        <color rgb="FFCCECFF"/>
      </bottom>
      <diagonal/>
    </border>
    <border>
      <left/>
      <right style="thin">
        <color indexed="64"/>
      </right>
      <top/>
      <bottom style="thin">
        <color rgb="FFCCECFF"/>
      </bottom>
      <diagonal/>
    </border>
    <border>
      <left style="thin">
        <color indexed="64"/>
      </left>
      <right/>
      <top/>
      <bottom style="thin">
        <color rgb="FFCCECFF"/>
      </bottom>
      <diagonal/>
    </border>
    <border>
      <left style="thin">
        <color indexed="64"/>
      </left>
      <right/>
      <top style="thin">
        <color indexed="64"/>
      </top>
      <bottom style="thin">
        <color rgb="FFCCECFF"/>
      </bottom>
      <diagonal/>
    </border>
    <border>
      <left/>
      <right style="thin">
        <color indexed="64"/>
      </right>
      <top style="thin">
        <color indexed="64"/>
      </top>
      <bottom style="thin">
        <color rgb="FFCCECFF"/>
      </bottom>
      <diagonal/>
    </border>
    <border>
      <left style="thin">
        <color indexed="23"/>
      </left>
      <right style="thin">
        <color indexed="64"/>
      </right>
      <top style="thin">
        <color indexed="23"/>
      </top>
      <bottom/>
      <diagonal/>
    </border>
    <border>
      <left style="thin">
        <color indexed="64"/>
      </left>
      <right/>
      <top style="thin">
        <color rgb="FFCCECFF"/>
      </top>
      <bottom/>
      <diagonal/>
    </border>
    <border>
      <left/>
      <right style="thin">
        <color indexed="64"/>
      </right>
      <top style="thin">
        <color rgb="FFCCECFF"/>
      </top>
      <bottom/>
      <diagonal/>
    </border>
    <border>
      <left style="thin">
        <color indexed="64"/>
      </left>
      <right style="thin">
        <color indexed="64"/>
      </right>
      <top style="thin">
        <color rgb="FFCCECFF"/>
      </top>
      <bottom/>
      <diagonal/>
    </border>
    <border>
      <left/>
      <right style="thin">
        <color indexed="64"/>
      </right>
      <top style="thin">
        <color indexed="23"/>
      </top>
      <bottom/>
      <diagonal/>
    </border>
    <border>
      <left/>
      <right/>
      <top style="thin">
        <color rgb="FFCCECFF"/>
      </top>
      <bottom style="thin">
        <color rgb="FFCCECFF"/>
      </bottom>
      <diagonal/>
    </border>
    <border>
      <left/>
      <right/>
      <top style="thin">
        <color rgb="FFCCECFF"/>
      </top>
      <bottom/>
      <diagonal/>
    </border>
    <border>
      <left/>
      <right/>
      <top style="thin">
        <color theme="0" tint="-0.499984740745262"/>
      </top>
      <bottom style="thin">
        <color rgb="FFCCECFF"/>
      </bottom>
      <diagonal/>
    </border>
    <border>
      <left/>
      <right/>
      <top style="thin">
        <color indexed="64"/>
      </top>
      <bottom style="thin">
        <color rgb="FF969696"/>
      </bottom>
      <diagonal/>
    </border>
    <border>
      <left/>
      <right style="thin">
        <color indexed="64"/>
      </right>
      <top style="thin">
        <color theme="0" tint="-0.499984740745262"/>
      </top>
      <bottom/>
      <diagonal/>
    </border>
    <border>
      <left style="thin">
        <color indexed="64"/>
      </left>
      <right style="thin">
        <color indexed="64"/>
      </right>
      <top style="thin">
        <color rgb="FFCCECFF"/>
      </top>
      <bottom style="thin">
        <color theme="6" tint="0.39994506668294322"/>
      </bottom>
      <diagonal/>
    </border>
    <border>
      <left style="thin">
        <color indexed="64"/>
      </left>
      <right style="thin">
        <color indexed="64"/>
      </right>
      <top/>
      <bottom style="thin">
        <color theme="0" tint="-0.499984740745262"/>
      </bottom>
      <diagonal/>
    </border>
    <border>
      <left/>
      <right/>
      <top/>
      <bottom style="thin">
        <color rgb="FFCCECFF"/>
      </bottom>
      <diagonal/>
    </border>
    <border>
      <left style="thin">
        <color indexed="64"/>
      </left>
      <right/>
      <top style="thin">
        <color theme="0" tint="-0.499984740745262"/>
      </top>
      <bottom style="thin">
        <color rgb="FFBEB0D0"/>
      </bottom>
      <diagonal/>
    </border>
    <border>
      <left/>
      <right style="thin">
        <color indexed="64"/>
      </right>
      <top style="thin">
        <color theme="0" tint="-0.499984740745262"/>
      </top>
      <bottom style="thin">
        <color rgb="FFBEB0D0"/>
      </bottom>
      <diagonal/>
    </border>
    <border>
      <left style="thin">
        <color indexed="64"/>
      </left>
      <right/>
      <top style="thin">
        <color rgb="FFBEB0D0"/>
      </top>
      <bottom style="thin">
        <color rgb="FFBEB0D0"/>
      </bottom>
      <diagonal/>
    </border>
    <border>
      <left/>
      <right style="thin">
        <color indexed="64"/>
      </right>
      <top style="thin">
        <color rgb="FFBEB0D0"/>
      </top>
      <bottom style="thin">
        <color rgb="FFBEB0D0"/>
      </bottom>
      <diagonal/>
    </border>
    <border>
      <left style="thin">
        <color indexed="64"/>
      </left>
      <right/>
      <top style="thin">
        <color rgb="FFBEB0D0"/>
      </top>
      <bottom style="thin">
        <color indexed="64"/>
      </bottom>
      <diagonal/>
    </border>
    <border>
      <left/>
      <right style="thin">
        <color indexed="64"/>
      </right>
      <top style="thin">
        <color rgb="FFBEB0D0"/>
      </top>
      <bottom style="thin">
        <color indexed="64"/>
      </bottom>
      <diagonal/>
    </border>
    <border>
      <left style="thin">
        <color indexed="64"/>
      </left>
      <right/>
      <top style="thin">
        <color rgb="FFBEB0D0"/>
      </top>
      <bottom/>
      <diagonal/>
    </border>
    <border>
      <left/>
      <right style="thin">
        <color indexed="64"/>
      </right>
      <top style="thin">
        <color rgb="FFBEB0D0"/>
      </top>
      <bottom/>
      <diagonal/>
    </border>
    <border>
      <left style="thin">
        <color indexed="64"/>
      </left>
      <right/>
      <top style="thin">
        <color rgb="FFCCECFF"/>
      </top>
      <bottom style="thin">
        <color rgb="FFBEB0D0"/>
      </bottom>
      <diagonal/>
    </border>
    <border>
      <left/>
      <right style="thin">
        <color indexed="64"/>
      </right>
      <top style="thin">
        <color rgb="FFCCECFF"/>
      </top>
      <bottom style="thin">
        <color rgb="FFBEB0D0"/>
      </bottom>
      <diagonal/>
    </border>
    <border>
      <left style="thin">
        <color indexed="64"/>
      </left>
      <right/>
      <top style="thin">
        <color rgb="FFBEB0D0"/>
      </top>
      <bottom style="thin">
        <color rgb="FFCCECFF"/>
      </bottom>
      <diagonal/>
    </border>
    <border>
      <left/>
      <right style="thin">
        <color indexed="64"/>
      </right>
      <top style="thin">
        <color rgb="FFBEB0D0"/>
      </top>
      <bottom style="thin">
        <color rgb="FFCCECFF"/>
      </bottom>
      <diagonal/>
    </border>
    <border>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23"/>
      </bottom>
      <diagonal/>
    </border>
    <border>
      <left style="thin">
        <color indexed="64"/>
      </left>
      <right style="thin">
        <color indexed="64"/>
      </right>
      <top style="thin">
        <color indexed="23"/>
      </top>
      <bottom style="thin">
        <color indexed="23"/>
      </bottom>
      <diagonal/>
    </border>
  </borders>
  <cellStyleXfs count="94">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8" borderId="0" applyNumberFormat="0" applyBorder="0" applyAlignment="0" applyProtection="0"/>
    <xf numFmtId="0" fontId="20"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5" fillId="19" borderId="0" applyNumberFormat="0" applyBorder="0" applyAlignment="0" applyProtection="0"/>
    <xf numFmtId="0" fontId="25"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5" fillId="22" borderId="0" applyNumberFormat="0" applyBorder="0" applyAlignment="0" applyProtection="0"/>
    <xf numFmtId="0" fontId="25"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20" fillId="27" borderId="0" applyNumberFormat="0" applyBorder="0" applyAlignment="0" applyProtection="0"/>
    <xf numFmtId="0" fontId="20" fillId="27" borderId="0" applyNumberFormat="0" applyBorder="0" applyAlignment="0" applyProtection="0"/>
    <xf numFmtId="0" fontId="25" fillId="26" borderId="0" applyNumberFormat="0" applyBorder="0" applyAlignment="0" applyProtection="0"/>
    <xf numFmtId="0" fontId="25" fillId="28" borderId="0" applyNumberFormat="0" applyBorder="0" applyAlignment="0" applyProtection="0"/>
    <xf numFmtId="0" fontId="20" fillId="29" borderId="0" applyNumberFormat="0" applyBorder="0" applyAlignment="0" applyProtection="0"/>
    <xf numFmtId="0" fontId="20" fillId="18" borderId="0" applyNumberFormat="0" applyBorder="0" applyAlignment="0" applyProtection="0"/>
    <xf numFmtId="0" fontId="25" fillId="28" borderId="0" applyNumberFormat="0" applyBorder="0" applyAlignment="0" applyProtection="0"/>
    <xf numFmtId="0" fontId="25" fillId="30"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5" fillId="33" borderId="0" applyNumberFormat="0" applyBorder="0" applyAlignment="0" applyProtection="0"/>
    <xf numFmtId="0" fontId="26" fillId="21" borderId="0" applyNumberFormat="0" applyBorder="0" applyAlignment="0" applyProtection="0"/>
    <xf numFmtId="0" fontId="27" fillId="34" borderId="1" applyNumberFormat="0" applyAlignment="0" applyProtection="0"/>
    <xf numFmtId="0" fontId="28" fillId="35" borderId="2" applyNumberFormat="0" applyAlignment="0" applyProtection="0"/>
    <xf numFmtId="43" fontId="10" fillId="0" borderId="0" applyFont="0" applyFill="0" applyBorder="0" applyAlignment="0" applyProtection="0"/>
    <xf numFmtId="44" fontId="56" fillId="0" borderId="0" applyFont="0" applyFill="0" applyBorder="0" applyAlignment="0" applyProtection="0"/>
    <xf numFmtId="0" fontId="24"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9" fillId="0" borderId="0" applyNumberFormat="0" applyFill="0" applyBorder="0" applyAlignment="0" applyProtection="0"/>
    <xf numFmtId="0" fontId="30" fillId="24" borderId="0" applyNumberFormat="0" applyBorder="0" applyAlignment="0" applyProtection="0"/>
    <xf numFmtId="0" fontId="31" fillId="0" borderId="3" applyNumberFormat="0" applyFill="0" applyAlignment="0" applyProtection="0"/>
    <xf numFmtId="0" fontId="32" fillId="0" borderId="4" applyNumberFormat="0" applyFill="0" applyAlignment="0" applyProtection="0"/>
    <xf numFmtId="0" fontId="33" fillId="0" borderId="5" applyNumberFormat="0" applyFill="0" applyAlignment="0" applyProtection="0"/>
    <xf numFmtId="0" fontId="33" fillId="0" borderId="0" applyNumberFormat="0" applyFill="0" applyBorder="0" applyAlignment="0" applyProtection="0"/>
    <xf numFmtId="0" fontId="34" fillId="31" borderId="1" applyNumberFormat="0" applyAlignment="0" applyProtection="0"/>
    <xf numFmtId="0" fontId="35" fillId="0" borderId="6" applyNumberFormat="0" applyFill="0" applyAlignment="0" applyProtection="0"/>
    <xf numFmtId="0" fontId="36" fillId="39" borderId="0" applyNumberFormat="0" applyBorder="0" applyAlignment="0" applyProtection="0"/>
    <xf numFmtId="0" fontId="63" fillId="0" borderId="0"/>
    <xf numFmtId="0" fontId="10" fillId="0" borderId="0"/>
    <xf numFmtId="0" fontId="6" fillId="40" borderId="7" applyNumberFormat="0" applyFont="0" applyAlignment="0" applyProtection="0"/>
    <xf numFmtId="0" fontId="37" fillId="34" borderId="8" applyNumberFormat="0" applyAlignment="0" applyProtection="0"/>
    <xf numFmtId="9" fontId="6" fillId="0" borderId="0" applyFont="0" applyFill="0" applyBorder="0" applyAlignment="0" applyProtection="0"/>
    <xf numFmtId="9" fontId="10" fillId="0" borderId="0" applyFon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4" fillId="0" borderId="9" applyNumberFormat="0" applyFill="0" applyAlignment="0" applyProtection="0"/>
    <xf numFmtId="0" fontId="19" fillId="0" borderId="0" applyNumberFormat="0" applyFill="0" applyBorder="0" applyAlignment="0" applyProtection="0"/>
    <xf numFmtId="0" fontId="66" fillId="0" borderId="0"/>
    <xf numFmtId="9" fontId="66" fillId="0" borderId="0" applyFont="0" applyFill="0" applyBorder="0" applyAlignment="0" applyProtection="0"/>
    <xf numFmtId="0" fontId="5" fillId="0" borderId="0"/>
    <xf numFmtId="43" fontId="20" fillId="0" borderId="0" applyFont="0" applyFill="0" applyBorder="0" applyAlignment="0" applyProtection="0"/>
    <xf numFmtId="9" fontId="20" fillId="0" borderId="0" applyFont="0" applyFill="0" applyBorder="0" applyAlignment="0" applyProtection="0"/>
    <xf numFmtId="43" fontId="6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3" fillId="0" borderId="0"/>
    <xf numFmtId="0" fontId="6" fillId="0" borderId="0"/>
    <xf numFmtId="9" fontId="6" fillId="0" borderId="0" applyFont="0" applyFill="0" applyBorder="0" applyAlignment="0" applyProtection="0"/>
    <xf numFmtId="0" fontId="4" fillId="0" borderId="0"/>
    <xf numFmtId="43" fontId="6" fillId="0" borderId="0" applyFont="0" applyFill="0" applyBorder="0" applyAlignment="0" applyProtection="0"/>
    <xf numFmtId="0" fontId="2" fillId="0" borderId="0"/>
    <xf numFmtId="0" fontId="2" fillId="0" borderId="0"/>
    <xf numFmtId="0" fontId="9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6" fillId="0" borderId="0" applyNumberFormat="0" applyFill="0" applyBorder="0" applyAlignment="0" applyProtection="0">
      <alignment vertical="top"/>
      <protection locked="0"/>
    </xf>
    <xf numFmtId="43" fontId="97" fillId="0" borderId="0" applyFont="0" applyFill="0" applyBorder="0" applyAlignment="0" applyProtection="0"/>
    <xf numFmtId="44" fontId="107" fillId="0" borderId="0" applyFont="0" applyFill="0" applyBorder="0" applyAlignment="0" applyProtection="0"/>
  </cellStyleXfs>
  <cellXfs count="2367">
    <xf numFmtId="0" fontId="0" fillId="0" borderId="0" xfId="0"/>
    <xf numFmtId="0" fontId="9" fillId="42" borderId="0" xfId="0" applyFont="1" applyFill="1" applyBorder="1"/>
    <xf numFmtId="0" fontId="9" fillId="42" borderId="0" xfId="0" applyFont="1" applyFill="1" applyBorder="1" applyAlignment="1">
      <alignment horizontal="center"/>
    </xf>
    <xf numFmtId="0" fontId="9" fillId="42" borderId="0" xfId="0" applyFont="1" applyFill="1" applyBorder="1" applyAlignment="1">
      <alignment horizontal="left"/>
    </xf>
    <xf numFmtId="0" fontId="9" fillId="41" borderId="11" xfId="0" applyFont="1" applyFill="1" applyBorder="1" applyAlignment="1">
      <alignment horizontal="center" vertical="center"/>
    </xf>
    <xf numFmtId="0" fontId="9" fillId="41" borderId="12" xfId="0" applyFont="1" applyFill="1" applyBorder="1" applyAlignment="1">
      <alignment horizontal="center" vertical="center"/>
    </xf>
    <xf numFmtId="0" fontId="9" fillId="41" borderId="13" xfId="0" applyFont="1" applyFill="1" applyBorder="1" applyAlignment="1">
      <alignment horizontal="center" vertical="center"/>
    </xf>
    <xf numFmtId="0" fontId="9" fillId="41" borderId="0" xfId="0" applyFont="1" applyFill="1" applyBorder="1" applyAlignment="1">
      <alignment horizontal="center" vertical="center"/>
    </xf>
    <xf numFmtId="0" fontId="9" fillId="42" borderId="0" xfId="0" applyFont="1" applyFill="1" applyAlignment="1"/>
    <xf numFmtId="0" fontId="9" fillId="42" borderId="0" xfId="0" applyFont="1" applyFill="1" applyAlignment="1">
      <alignment horizontal="left"/>
    </xf>
    <xf numFmtId="0" fontId="9" fillId="41" borderId="14" xfId="0" applyFont="1" applyFill="1" applyBorder="1" applyAlignment="1">
      <alignment horizontal="center" vertical="center"/>
    </xf>
    <xf numFmtId="0" fontId="9" fillId="42" borderId="0" xfId="0" applyFont="1" applyFill="1" applyBorder="1" applyAlignment="1">
      <alignment horizontal="center" wrapText="1"/>
    </xf>
    <xf numFmtId="0" fontId="9" fillId="42" borderId="0" xfId="0" applyFont="1" applyFill="1" applyBorder="1" applyAlignment="1" applyProtection="1">
      <alignment horizontal="left"/>
      <protection locked="0"/>
    </xf>
    <xf numFmtId="0" fontId="9" fillId="42" borderId="0" xfId="0" applyFont="1" applyFill="1"/>
    <xf numFmtId="2" fontId="9" fillId="43" borderId="0" xfId="0" applyNumberFormat="1" applyFont="1" applyFill="1" applyBorder="1" applyAlignment="1">
      <alignment horizontal="center"/>
    </xf>
    <xf numFmtId="0" fontId="9" fillId="42" borderId="0" xfId="0" applyFont="1" applyFill="1" applyAlignment="1">
      <alignment wrapText="1"/>
    </xf>
    <xf numFmtId="0" fontId="9" fillId="42" borderId="0" xfId="0" applyFont="1" applyFill="1" applyBorder="1" applyAlignment="1">
      <alignment wrapText="1"/>
    </xf>
    <xf numFmtId="0" fontId="9" fillId="41" borderId="10" xfId="0" applyFont="1" applyFill="1" applyBorder="1" applyAlignment="1">
      <alignment wrapText="1"/>
    </xf>
    <xf numFmtId="0" fontId="9" fillId="41" borderId="18" xfId="0" applyFont="1" applyFill="1" applyBorder="1" applyAlignment="1">
      <alignment vertical="center"/>
    </xf>
    <xf numFmtId="0" fontId="9" fillId="41" borderId="10" xfId="0" applyFont="1" applyFill="1" applyBorder="1" applyAlignment="1">
      <alignment vertical="center"/>
    </xf>
    <xf numFmtId="0" fontId="9" fillId="41" borderId="17" xfId="0" applyFont="1" applyFill="1" applyBorder="1" applyAlignment="1">
      <alignment vertical="center"/>
    </xf>
    <xf numFmtId="0" fontId="9" fillId="43" borderId="10" xfId="0" applyFont="1" applyFill="1" applyBorder="1" applyAlignment="1">
      <alignment horizontal="center" wrapText="1"/>
    </xf>
    <xf numFmtId="0" fontId="15" fillId="42" borderId="0" xfId="0" applyFont="1" applyFill="1" applyBorder="1" applyAlignment="1">
      <alignment wrapText="1"/>
    </xf>
    <xf numFmtId="2" fontId="15" fillId="42" borderId="0" xfId="0" applyNumberFormat="1" applyFont="1" applyFill="1" applyBorder="1" applyAlignment="1">
      <alignment horizontal="right" wrapText="1"/>
    </xf>
    <xf numFmtId="0" fontId="15" fillId="42" borderId="0" xfId="0" applyFont="1" applyFill="1" applyBorder="1" applyAlignment="1">
      <alignment horizontal="right" wrapText="1"/>
    </xf>
    <xf numFmtId="0" fontId="9" fillId="41" borderId="10" xfId="0" applyFont="1" applyFill="1" applyBorder="1" applyAlignment="1"/>
    <xf numFmtId="0" fontId="9" fillId="41" borderId="18" xfId="0" applyFont="1" applyFill="1" applyBorder="1" applyAlignment="1"/>
    <xf numFmtId="49" fontId="14" fillId="42" borderId="0" xfId="0" applyNumberFormat="1" applyFont="1" applyFill="1" applyBorder="1" applyAlignment="1">
      <alignment horizontal="center" wrapText="1"/>
    </xf>
    <xf numFmtId="0" fontId="12" fillId="42" borderId="0" xfId="0" applyFont="1" applyFill="1" applyAlignment="1">
      <alignment wrapText="1"/>
    </xf>
    <xf numFmtId="0" fontId="9" fillId="42" borderId="0" xfId="0" applyFont="1" applyFill="1" applyAlignment="1">
      <alignment horizontal="center"/>
    </xf>
    <xf numFmtId="0" fontId="13" fillId="42" borderId="0" xfId="0" applyFont="1" applyFill="1" applyAlignment="1">
      <alignment wrapText="1"/>
    </xf>
    <xf numFmtId="0" fontId="9" fillId="44" borderId="18" xfId="0" applyFont="1" applyFill="1" applyBorder="1" applyAlignment="1">
      <alignment horizontal="center"/>
    </xf>
    <xf numFmtId="0" fontId="9" fillId="44" borderId="10" xfId="0" applyFont="1" applyFill="1" applyBorder="1" applyAlignment="1">
      <alignment horizontal="center"/>
    </xf>
    <xf numFmtId="0" fontId="9" fillId="44" borderId="17" xfId="0" applyFont="1" applyFill="1" applyBorder="1" applyAlignment="1">
      <alignment horizontal="center"/>
    </xf>
    <xf numFmtId="169" fontId="9" fillId="42" borderId="0" xfId="0" applyNumberFormat="1" applyFont="1" applyFill="1" applyBorder="1" applyAlignment="1">
      <alignment horizontal="center"/>
    </xf>
    <xf numFmtId="0" fontId="9" fillId="44" borderId="0" xfId="0" applyFont="1" applyFill="1" applyBorder="1" applyAlignment="1">
      <alignment horizontal="center"/>
    </xf>
    <xf numFmtId="0" fontId="9" fillId="44" borderId="14" xfId="0" applyFont="1" applyFill="1" applyBorder="1" applyAlignment="1">
      <alignment horizontal="center"/>
    </xf>
    <xf numFmtId="0" fontId="9" fillId="44" borderId="19" xfId="0" applyFont="1" applyFill="1" applyBorder="1" applyAlignment="1">
      <alignment horizontal="center"/>
    </xf>
    <xf numFmtId="0" fontId="9" fillId="44" borderId="16" xfId="0" applyFont="1" applyFill="1" applyBorder="1" applyAlignment="1">
      <alignment horizontal="center"/>
    </xf>
    <xf numFmtId="0" fontId="9" fillId="44" borderId="20" xfId="0" applyFont="1" applyFill="1" applyBorder="1" applyAlignment="1">
      <alignment horizontal="center"/>
    </xf>
    <xf numFmtId="0" fontId="9" fillId="45" borderId="16" xfId="0" applyFont="1" applyFill="1" applyBorder="1" applyAlignment="1">
      <alignment horizontal="center" vertical="center"/>
    </xf>
    <xf numFmtId="1" fontId="9" fillId="43" borderId="20" xfId="0" applyNumberFormat="1" applyFont="1" applyFill="1" applyBorder="1" applyAlignment="1">
      <alignment horizontal="center" vertical="center"/>
    </xf>
    <xf numFmtId="0" fontId="9" fillId="43" borderId="0" xfId="0" applyFont="1" applyFill="1" applyBorder="1"/>
    <xf numFmtId="0" fontId="10" fillId="42" borderId="0" xfId="0" applyFont="1" applyFill="1"/>
    <xf numFmtId="1" fontId="9" fillId="45" borderId="16" xfId="0" applyNumberFormat="1" applyFont="1" applyFill="1" applyBorder="1" applyAlignment="1">
      <alignment horizontal="center" vertical="center"/>
    </xf>
    <xf numFmtId="165" fontId="9" fillId="45" borderId="16" xfId="0" applyNumberFormat="1" applyFont="1" applyFill="1" applyBorder="1" applyAlignment="1">
      <alignment horizontal="center" vertical="center"/>
    </xf>
    <xf numFmtId="0" fontId="9" fillId="41" borderId="15" xfId="0" applyFont="1" applyFill="1" applyBorder="1" applyAlignment="1" applyProtection="1">
      <alignment horizontal="center" vertical="center"/>
      <protection locked="0"/>
    </xf>
    <xf numFmtId="1" fontId="9" fillId="43" borderId="16" xfId="0" applyNumberFormat="1" applyFont="1" applyFill="1" applyBorder="1" applyAlignment="1">
      <alignment horizontal="center" vertical="center"/>
    </xf>
    <xf numFmtId="0" fontId="10" fillId="42" borderId="0" xfId="0" applyFont="1" applyFill="1" applyAlignment="1">
      <alignment wrapText="1"/>
    </xf>
    <xf numFmtId="0" fontId="8" fillId="44" borderId="22" xfId="0" applyFont="1" applyFill="1" applyBorder="1" applyAlignment="1" applyProtection="1">
      <alignment horizontal="left"/>
      <protection locked="0"/>
    </xf>
    <xf numFmtId="0" fontId="8" fillId="44" borderId="21" xfId="0" applyFont="1" applyFill="1" applyBorder="1" applyAlignment="1" applyProtection="1">
      <alignment horizontal="left"/>
      <protection locked="0"/>
    </xf>
    <xf numFmtId="0" fontId="8" fillId="45" borderId="16" xfId="0" applyFont="1" applyFill="1" applyBorder="1" applyAlignment="1" applyProtection="1">
      <alignment horizontal="left"/>
      <protection locked="0"/>
    </xf>
    <xf numFmtId="0" fontId="8" fillId="44" borderId="18" xfId="0" applyFont="1" applyFill="1" applyBorder="1" applyAlignment="1" applyProtection="1">
      <alignment horizontal="left"/>
      <protection locked="0"/>
    </xf>
    <xf numFmtId="0" fontId="8" fillId="44" borderId="14" xfId="0" applyFont="1" applyFill="1" applyBorder="1" applyAlignment="1" applyProtection="1">
      <alignment horizontal="left"/>
      <protection locked="0"/>
    </xf>
    <xf numFmtId="0" fontId="8" fillId="44" borderId="23" xfId="0" applyFont="1" applyFill="1" applyBorder="1" applyAlignment="1" applyProtection="1">
      <alignment horizontal="left"/>
      <protection locked="0"/>
    </xf>
    <xf numFmtId="0" fontId="8" fillId="46" borderId="21" xfId="0" applyFont="1" applyFill="1" applyBorder="1" applyAlignment="1" applyProtection="1">
      <alignment horizontal="left"/>
      <protection locked="0"/>
    </xf>
    <xf numFmtId="0" fontId="8" fillId="46" borderId="23" xfId="0" applyFont="1" applyFill="1" applyBorder="1" applyAlignment="1" applyProtection="1">
      <alignment horizontal="left"/>
      <protection locked="0"/>
    </xf>
    <xf numFmtId="0" fontId="8" fillId="45" borderId="19" xfId="0" applyFont="1" applyFill="1" applyBorder="1" applyAlignment="1" applyProtection="1">
      <alignment horizontal="left"/>
      <protection locked="0"/>
    </xf>
    <xf numFmtId="169" fontId="9" fillId="43" borderId="10" xfId="0" applyNumberFormat="1" applyFont="1" applyFill="1" applyBorder="1" applyAlignment="1">
      <alignment horizontal="center"/>
    </xf>
    <xf numFmtId="169" fontId="9" fillId="43" borderId="0" xfId="0" applyNumberFormat="1" applyFont="1" applyFill="1" applyBorder="1" applyAlignment="1">
      <alignment horizontal="center"/>
    </xf>
    <xf numFmtId="1" fontId="9" fillId="43" borderId="0" xfId="0" applyNumberFormat="1" applyFont="1" applyFill="1" applyBorder="1"/>
    <xf numFmtId="169" fontId="9" fillId="43" borderId="0" xfId="0" applyNumberFormat="1" applyFont="1" applyFill="1" applyBorder="1"/>
    <xf numFmtId="169" fontId="9" fillId="43" borderId="17" xfId="0" applyNumberFormat="1" applyFont="1" applyFill="1" applyBorder="1" applyAlignment="1">
      <alignment horizontal="center"/>
    </xf>
    <xf numFmtId="169" fontId="9" fillId="43" borderId="15" xfId="0" applyNumberFormat="1" applyFont="1" applyFill="1" applyBorder="1" applyAlignment="1">
      <alignment horizontal="center"/>
    </xf>
    <xf numFmtId="0" fontId="9" fillId="43" borderId="15" xfId="0" applyFont="1" applyFill="1" applyBorder="1"/>
    <xf numFmtId="169" fontId="9" fillId="43" borderId="22" xfId="0" applyNumberFormat="1" applyFont="1" applyFill="1" applyBorder="1"/>
    <xf numFmtId="169" fontId="9" fillId="43" borderId="21" xfId="0" applyNumberFormat="1" applyFont="1" applyFill="1" applyBorder="1"/>
    <xf numFmtId="169" fontId="9" fillId="43" borderId="23" xfId="0" applyNumberFormat="1" applyFont="1" applyFill="1" applyBorder="1"/>
    <xf numFmtId="0" fontId="9" fillId="43" borderId="0" xfId="0" applyFont="1" applyFill="1" applyBorder="1" applyAlignment="1">
      <alignment horizontal="center"/>
    </xf>
    <xf numFmtId="0" fontId="9" fillId="43" borderId="15" xfId="0" applyFont="1" applyFill="1" applyBorder="1" applyAlignment="1">
      <alignment horizontal="center"/>
    </xf>
    <xf numFmtId="0" fontId="9" fillId="43" borderId="22" xfId="0" applyFont="1" applyFill="1" applyBorder="1" applyAlignment="1">
      <alignment wrapText="1"/>
    </xf>
    <xf numFmtId="0" fontId="9" fillId="42" borderId="0" xfId="0" applyFont="1" applyFill="1" applyBorder="1" applyAlignment="1">
      <alignment horizontal="left" wrapText="1"/>
    </xf>
    <xf numFmtId="0" fontId="9" fillId="44" borderId="15" xfId="0" applyFont="1" applyFill="1" applyBorder="1" applyAlignment="1">
      <alignment horizontal="center" wrapText="1"/>
    </xf>
    <xf numFmtId="0" fontId="9" fillId="44" borderId="0" xfId="0" applyFont="1" applyFill="1" applyBorder="1" applyAlignment="1">
      <alignment horizontal="left"/>
    </xf>
    <xf numFmtId="0" fontId="9" fillId="44" borderId="16" xfId="0" applyFont="1" applyFill="1" applyBorder="1" applyAlignment="1">
      <alignment horizontal="left"/>
    </xf>
    <xf numFmtId="0" fontId="9" fillId="44" borderId="13" xfId="0" applyFont="1" applyFill="1" applyBorder="1" applyAlignment="1">
      <alignment horizontal="center" wrapText="1"/>
    </xf>
    <xf numFmtId="0" fontId="9" fillId="44" borderId="11" xfId="0" applyFont="1" applyFill="1" applyBorder="1" applyAlignment="1">
      <alignment horizontal="center"/>
    </xf>
    <xf numFmtId="0" fontId="9" fillId="44" borderId="12" xfId="0" applyFont="1" applyFill="1" applyBorder="1" applyAlignment="1">
      <alignment horizontal="center"/>
    </xf>
    <xf numFmtId="49" fontId="13" fillId="44" borderId="14" xfId="0" applyNumberFormat="1" applyFont="1" applyFill="1" applyBorder="1" applyAlignment="1">
      <alignment horizontal="center" wrapText="1"/>
    </xf>
    <xf numFmtId="0" fontId="14" fillId="45" borderId="22" xfId="0" applyFont="1" applyFill="1" applyBorder="1" applyAlignment="1">
      <alignment horizontal="center" wrapText="1"/>
    </xf>
    <xf numFmtId="2" fontId="9" fillId="43" borderId="0" xfId="0" applyNumberFormat="1" applyFont="1" applyFill="1" applyBorder="1"/>
    <xf numFmtId="165" fontId="9" fillId="43" borderId="0" xfId="0" applyNumberFormat="1" applyFont="1" applyFill="1" applyBorder="1" applyAlignment="1">
      <alignment horizontal="right"/>
    </xf>
    <xf numFmtId="0" fontId="9" fillId="43" borderId="17" xfId="0" applyFont="1" applyFill="1" applyBorder="1" applyAlignment="1">
      <alignment horizontal="center" wrapText="1"/>
    </xf>
    <xf numFmtId="0" fontId="9" fillId="46" borderId="15" xfId="0" applyFont="1" applyFill="1" applyBorder="1" applyAlignment="1">
      <alignment horizontal="left" wrapText="1"/>
    </xf>
    <xf numFmtId="0" fontId="9" fillId="46" borderId="15" xfId="0" applyFont="1" applyFill="1" applyBorder="1" applyAlignment="1">
      <alignment horizontal="right" wrapText="1"/>
    </xf>
    <xf numFmtId="0" fontId="9" fillId="46" borderId="15" xfId="0" applyFont="1" applyFill="1" applyBorder="1" applyAlignment="1">
      <alignment wrapText="1"/>
    </xf>
    <xf numFmtId="165" fontId="14" fillId="45" borderId="21" xfId="0" applyNumberFormat="1" applyFont="1" applyFill="1" applyBorder="1" applyAlignment="1">
      <alignment horizontal="center" wrapText="1"/>
    </xf>
    <xf numFmtId="165" fontId="9" fillId="46" borderId="15" xfId="0" applyNumberFormat="1" applyFont="1" applyFill="1" applyBorder="1" applyAlignment="1">
      <alignment horizontal="right" wrapText="1"/>
    </xf>
    <xf numFmtId="165" fontId="9" fillId="42" borderId="0" xfId="0" applyNumberFormat="1" applyFont="1" applyFill="1" applyBorder="1"/>
    <xf numFmtId="2" fontId="9" fillId="43" borderId="21" xfId="0" applyNumberFormat="1" applyFont="1" applyFill="1" applyBorder="1" applyAlignment="1">
      <alignment horizontal="center"/>
    </xf>
    <xf numFmtId="165" fontId="9" fillId="43" borderId="0" xfId="0" applyNumberFormat="1" applyFont="1" applyFill="1" applyBorder="1" applyAlignment="1">
      <alignment horizontal="center"/>
    </xf>
    <xf numFmtId="2" fontId="9" fillId="45" borderId="16" xfId="0" applyNumberFormat="1" applyFont="1" applyFill="1" applyBorder="1" applyAlignment="1">
      <alignment horizontal="center" vertical="center"/>
    </xf>
    <xf numFmtId="171" fontId="9" fillId="43" borderId="0" xfId="0" applyNumberFormat="1" applyFont="1" applyFill="1" applyBorder="1"/>
    <xf numFmtId="49" fontId="24" fillId="44" borderId="18" xfId="0" applyNumberFormat="1" applyFont="1" applyFill="1" applyBorder="1" applyAlignment="1">
      <alignment horizontal="left" wrapText="1"/>
    </xf>
    <xf numFmtId="2" fontId="14" fillId="45" borderId="21" xfId="0" applyNumberFormat="1" applyFont="1" applyFill="1" applyBorder="1" applyAlignment="1">
      <alignment horizontal="center" wrapText="1"/>
    </xf>
    <xf numFmtId="2" fontId="14" fillId="45" borderId="21" xfId="0" applyNumberFormat="1" applyFont="1" applyFill="1" applyBorder="1" applyAlignment="1">
      <alignment horizontal="right" wrapText="1"/>
    </xf>
    <xf numFmtId="2" fontId="9" fillId="46" borderId="15" xfId="0" applyNumberFormat="1" applyFont="1" applyFill="1" applyBorder="1" applyAlignment="1">
      <alignment horizontal="right" wrapText="1"/>
    </xf>
    <xf numFmtId="2" fontId="9" fillId="42" borderId="0" xfId="0" applyNumberFormat="1" applyFont="1" applyFill="1" applyBorder="1"/>
    <xf numFmtId="2" fontId="9" fillId="42" borderId="0" xfId="0" applyNumberFormat="1" applyFont="1" applyFill="1" applyBorder="1" applyAlignment="1">
      <alignment horizontal="right"/>
    </xf>
    <xf numFmtId="0" fontId="10" fillId="42" borderId="0" xfId="0" applyFont="1" applyFill="1" applyBorder="1" applyAlignment="1" applyProtection="1">
      <alignment horizontal="center"/>
      <protection locked="0"/>
    </xf>
    <xf numFmtId="0" fontId="7" fillId="42" borderId="0" xfId="0" applyFont="1" applyFill="1" applyBorder="1" applyProtection="1">
      <protection locked="0"/>
    </xf>
    <xf numFmtId="0" fontId="10" fillId="42" borderId="0" xfId="0" applyFont="1" applyFill="1" applyBorder="1" applyAlignment="1" applyProtection="1">
      <protection locked="0"/>
    </xf>
    <xf numFmtId="0" fontId="9" fillId="42" borderId="0" xfId="0" applyFont="1" applyFill="1" applyBorder="1" applyProtection="1">
      <protection locked="0"/>
    </xf>
    <xf numFmtId="0" fontId="9" fillId="41" borderId="18" xfId="0" applyFont="1" applyFill="1" applyBorder="1" applyProtection="1">
      <protection locked="0"/>
    </xf>
    <xf numFmtId="0" fontId="9" fillId="41" borderId="14" xfId="0" applyFont="1" applyFill="1" applyBorder="1" applyAlignment="1" applyProtection="1">
      <protection locked="0"/>
    </xf>
    <xf numFmtId="0" fontId="9" fillId="41" borderId="14" xfId="0" applyFont="1" applyFill="1" applyBorder="1" applyAlignment="1" applyProtection="1">
      <alignment horizontal="center" vertical="center" shrinkToFit="1"/>
      <protection locked="0"/>
    </xf>
    <xf numFmtId="0" fontId="9" fillId="41" borderId="10" xfId="0" applyFont="1" applyFill="1" applyBorder="1" applyProtection="1">
      <protection locked="0"/>
    </xf>
    <xf numFmtId="0" fontId="9" fillId="41" borderId="0" xfId="0" applyFont="1" applyFill="1" applyBorder="1" applyAlignment="1" applyProtection="1">
      <protection locked="0"/>
    </xf>
    <xf numFmtId="0" fontId="9" fillId="41" borderId="0" xfId="0" applyFont="1" applyFill="1" applyBorder="1" applyAlignment="1" applyProtection="1">
      <alignment vertical="top"/>
      <protection locked="0"/>
    </xf>
    <xf numFmtId="0" fontId="9" fillId="41" borderId="0" xfId="0" applyFont="1" applyFill="1" applyBorder="1" applyAlignment="1" applyProtection="1">
      <alignment vertical="center"/>
      <protection locked="0"/>
    </xf>
    <xf numFmtId="0" fontId="9" fillId="41" borderId="15" xfId="0" applyFont="1" applyFill="1" applyBorder="1" applyAlignment="1" applyProtection="1">
      <alignment vertical="top"/>
      <protection locked="0"/>
    </xf>
    <xf numFmtId="0" fontId="9" fillId="41" borderId="0" xfId="0" applyFont="1" applyFill="1" applyBorder="1" applyAlignment="1" applyProtection="1">
      <alignment horizontal="center" vertical="center"/>
      <protection locked="0"/>
    </xf>
    <xf numFmtId="0" fontId="9" fillId="41" borderId="0" xfId="0" applyFont="1" applyFill="1" applyBorder="1" applyAlignment="1" applyProtection="1">
      <alignment horizontal="left" vertical="top"/>
      <protection locked="0"/>
    </xf>
    <xf numFmtId="0" fontId="9" fillId="41" borderId="0" xfId="0" applyFont="1" applyFill="1" applyBorder="1" applyAlignment="1" applyProtection="1">
      <alignment horizontal="center"/>
      <protection locked="0"/>
    </xf>
    <xf numFmtId="0" fontId="9" fillId="41" borderId="22" xfId="0" applyFont="1" applyFill="1" applyBorder="1" applyProtection="1">
      <protection locked="0"/>
    </xf>
    <xf numFmtId="0" fontId="9" fillId="41" borderId="21" xfId="0" applyFont="1" applyFill="1" applyBorder="1" applyAlignment="1" applyProtection="1">
      <protection locked="0"/>
    </xf>
    <xf numFmtId="0" fontId="9" fillId="42" borderId="0" xfId="0" applyFont="1" applyFill="1" applyBorder="1" applyAlignment="1" applyProtection="1">
      <protection locked="0"/>
    </xf>
    <xf numFmtId="0" fontId="9" fillId="42" borderId="0" xfId="0" applyFont="1" applyFill="1" applyAlignment="1" applyProtection="1">
      <protection locked="0"/>
    </xf>
    <xf numFmtId="0" fontId="9" fillId="42" borderId="0" xfId="0" applyFont="1" applyFill="1" applyBorder="1" applyAlignment="1" applyProtection="1">
      <alignment horizontal="center"/>
      <protection locked="0"/>
    </xf>
    <xf numFmtId="0" fontId="14" fillId="42" borderId="0" xfId="0" applyFont="1" applyFill="1" applyBorder="1" applyProtection="1">
      <protection locked="0"/>
    </xf>
    <xf numFmtId="0" fontId="9" fillId="41" borderId="17" xfId="0" applyFont="1" applyFill="1" applyBorder="1" applyProtection="1">
      <protection locked="0"/>
    </xf>
    <xf numFmtId="0" fontId="9" fillId="41" borderId="15" xfId="0" applyFont="1" applyFill="1" applyBorder="1" applyAlignment="1" applyProtection="1">
      <protection locked="0"/>
    </xf>
    <xf numFmtId="0" fontId="9" fillId="41" borderId="15" xfId="0" applyFont="1" applyFill="1" applyBorder="1" applyAlignment="1" applyProtection="1">
      <alignment horizontal="left"/>
      <protection locked="0"/>
    </xf>
    <xf numFmtId="0" fontId="9" fillId="41" borderId="14"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15" xfId="0" applyFont="1" applyFill="1" applyBorder="1" applyAlignment="1" applyProtection="1">
      <alignment vertical="center"/>
      <protection locked="0"/>
    </xf>
    <xf numFmtId="0" fontId="9" fillId="42" borderId="0" xfId="0" applyFont="1" applyFill="1" applyBorder="1" applyAlignment="1" applyProtection="1">
      <alignment vertical="center" wrapText="1"/>
      <protection locked="0"/>
    </xf>
    <xf numFmtId="0" fontId="10" fillId="42" borderId="0" xfId="0" applyFont="1" applyFill="1" applyBorder="1" applyProtection="1">
      <protection locked="0"/>
    </xf>
    <xf numFmtId="0" fontId="9" fillId="41" borderId="14" xfId="0" applyFont="1" applyFill="1" applyBorder="1" applyAlignment="1" applyProtection="1">
      <alignment vertical="center"/>
      <protection locked="0"/>
    </xf>
    <xf numFmtId="0" fontId="9" fillId="41" borderId="14" xfId="0" applyFont="1" applyFill="1" applyBorder="1" applyAlignment="1" applyProtection="1">
      <alignment horizontal="center" vertical="center"/>
      <protection locked="0"/>
    </xf>
    <xf numFmtId="0" fontId="14" fillId="41" borderId="0" xfId="0" applyFont="1" applyFill="1" applyBorder="1" applyAlignment="1" applyProtection="1">
      <protection locked="0"/>
    </xf>
    <xf numFmtId="0" fontId="9" fillId="42" borderId="0" xfId="0" applyFont="1" applyFill="1" applyAlignment="1" applyProtection="1">
      <alignment horizontal="left"/>
      <protection locked="0"/>
    </xf>
    <xf numFmtId="0" fontId="9" fillId="42" borderId="0" xfId="0" applyFont="1" applyFill="1" applyBorder="1" applyAlignment="1" applyProtection="1">
      <alignment vertical="top"/>
      <protection locked="0"/>
    </xf>
    <xf numFmtId="0" fontId="9" fillId="41" borderId="0" xfId="0" applyFont="1" applyFill="1" applyBorder="1" applyProtection="1">
      <protection locked="0"/>
    </xf>
    <xf numFmtId="0" fontId="9" fillId="41" borderId="0" xfId="0" applyFont="1" applyFill="1" applyBorder="1" applyAlignment="1" applyProtection="1">
      <alignment horizontal="left" vertical="center"/>
      <protection locked="0"/>
    </xf>
    <xf numFmtId="0" fontId="9" fillId="41" borderId="14" xfId="0" applyFont="1" applyFill="1" applyBorder="1" applyAlignment="1" applyProtection="1">
      <alignment vertical="top"/>
      <protection locked="0"/>
    </xf>
    <xf numFmtId="0" fontId="14" fillId="41" borderId="15" xfId="0" applyFont="1" applyFill="1" applyBorder="1" applyAlignment="1" applyProtection="1">
      <protection locked="0"/>
    </xf>
    <xf numFmtId="0" fontId="17" fillId="41" borderId="0" xfId="0" applyFont="1" applyFill="1" applyBorder="1" applyAlignment="1" applyProtection="1">
      <alignment horizontal="left"/>
      <protection locked="0"/>
    </xf>
    <xf numFmtId="0" fontId="9" fillId="41" borderId="15" xfId="0" applyFont="1" applyFill="1" applyBorder="1" applyAlignment="1" applyProtection="1">
      <alignment horizontal="left" wrapText="1"/>
      <protection locked="0"/>
    </xf>
    <xf numFmtId="0" fontId="9" fillId="41" borderId="0" xfId="0" applyFont="1" applyFill="1" applyBorder="1" applyAlignment="1" applyProtection="1">
      <alignment horizontal="left" wrapText="1"/>
      <protection locked="0"/>
    </xf>
    <xf numFmtId="0" fontId="13" fillId="43" borderId="16" xfId="0" applyFont="1" applyFill="1" applyBorder="1" applyAlignment="1" applyProtection="1">
      <alignment horizontal="center" vertical="center"/>
      <protection locked="0"/>
    </xf>
    <xf numFmtId="1" fontId="21" fillId="43" borderId="16" xfId="0" applyNumberFormat="1" applyFont="1" applyFill="1" applyBorder="1" applyAlignment="1" applyProtection="1">
      <alignment horizontal="center" vertical="center"/>
      <protection locked="0"/>
    </xf>
    <xf numFmtId="165" fontId="21" fillId="43" borderId="16" xfId="0" applyNumberFormat="1" applyFont="1" applyFill="1" applyBorder="1" applyAlignment="1" applyProtection="1">
      <alignment horizontal="center" vertical="center" wrapText="1"/>
      <protection locked="0"/>
    </xf>
    <xf numFmtId="0" fontId="13" fillId="43" borderId="16" xfId="0" applyFont="1" applyFill="1" applyBorder="1" applyAlignment="1" applyProtection="1">
      <alignment horizontal="center"/>
      <protection locked="0"/>
    </xf>
    <xf numFmtId="165" fontId="21" fillId="43" borderId="16" xfId="0" applyNumberFormat="1" applyFont="1" applyFill="1" applyBorder="1" applyAlignment="1" applyProtection="1">
      <alignment horizontal="center"/>
      <protection locked="0"/>
    </xf>
    <xf numFmtId="0" fontId="21" fillId="43" borderId="16" xfId="0" applyFont="1" applyFill="1" applyBorder="1" applyAlignment="1" applyProtection="1">
      <alignment horizontal="center" vertical="center"/>
      <protection locked="0"/>
    </xf>
    <xf numFmtId="0" fontId="13" fillId="43" borderId="20" xfId="0" applyFont="1" applyFill="1" applyBorder="1" applyAlignment="1" applyProtection="1">
      <alignment horizontal="center" vertical="center"/>
      <protection locked="0"/>
    </xf>
    <xf numFmtId="0" fontId="9" fillId="43" borderId="16" xfId="0" applyFont="1" applyFill="1" applyBorder="1" applyAlignment="1" applyProtection="1">
      <alignment horizontal="center" vertical="center" wrapText="1"/>
      <protection locked="0"/>
    </xf>
    <xf numFmtId="0" fontId="9" fillId="41" borderId="21" xfId="0" applyFont="1" applyFill="1" applyBorder="1" applyAlignment="1" applyProtection="1">
      <alignment vertical="center"/>
      <protection locked="0"/>
    </xf>
    <xf numFmtId="0" fontId="8" fillId="41" borderId="10" xfId="0" applyFont="1" applyFill="1" applyBorder="1" applyProtection="1">
      <protection locked="0"/>
    </xf>
    <xf numFmtId="0" fontId="9" fillId="42" borderId="0" xfId="0" applyFont="1" applyFill="1" applyBorder="1" applyAlignment="1" applyProtection="1">
      <alignment horizontal="right" vertical="center"/>
      <protection locked="0"/>
    </xf>
    <xf numFmtId="0" fontId="9" fillId="43" borderId="19" xfId="0" applyFont="1" applyFill="1" applyBorder="1" applyAlignment="1" applyProtection="1">
      <alignment horizontal="center" vertical="center" wrapText="1"/>
      <protection locked="0"/>
    </xf>
    <xf numFmtId="0" fontId="9" fillId="42" borderId="0" xfId="0" applyFont="1" applyFill="1" applyBorder="1" applyAlignment="1" applyProtection="1">
      <alignment horizontal="left" vertical="center"/>
      <protection locked="0"/>
    </xf>
    <xf numFmtId="164" fontId="9" fillId="42" borderId="0" xfId="0" applyNumberFormat="1" applyFont="1" applyFill="1" applyBorder="1" applyAlignment="1" applyProtection="1">
      <alignment horizontal="center" vertical="center"/>
      <protection locked="0"/>
    </xf>
    <xf numFmtId="0" fontId="9" fillId="42" borderId="0" xfId="0" applyFont="1" applyFill="1" applyBorder="1" applyAlignment="1" applyProtection="1">
      <alignment horizontal="left" vertical="center" wrapText="1"/>
      <protection locked="0"/>
    </xf>
    <xf numFmtId="0" fontId="14" fillId="42" borderId="0" xfId="0" applyFont="1" applyFill="1" applyBorder="1" applyAlignment="1" applyProtection="1">
      <alignment horizontal="left" vertical="center"/>
      <protection locked="0"/>
    </xf>
    <xf numFmtId="0" fontId="9" fillId="42" borderId="0" xfId="0" applyNumberFormat="1" applyFont="1" applyFill="1" applyBorder="1" applyProtection="1">
      <protection locked="0"/>
    </xf>
    <xf numFmtId="1" fontId="9" fillId="42" borderId="0" xfId="0" applyNumberFormat="1" applyFont="1" applyFill="1" applyBorder="1" applyAlignment="1" applyProtection="1">
      <alignment horizontal="center" vertical="center" wrapText="1"/>
      <protection locked="0"/>
    </xf>
    <xf numFmtId="1" fontId="13" fillId="43" borderId="16" xfId="0" applyNumberFormat="1" applyFont="1" applyFill="1" applyBorder="1" applyAlignment="1" applyProtection="1">
      <alignment horizontal="center" vertical="center"/>
      <protection locked="0"/>
    </xf>
    <xf numFmtId="0" fontId="9" fillId="41" borderId="14" xfId="0" applyFont="1" applyFill="1" applyBorder="1" applyAlignment="1" applyProtection="1">
      <alignment horizontal="left" vertical="center"/>
      <protection locked="0"/>
    </xf>
    <xf numFmtId="0" fontId="21" fillId="43" borderId="20" xfId="0" applyFont="1" applyFill="1" applyBorder="1" applyAlignment="1" applyProtection="1">
      <alignment horizontal="center"/>
      <protection locked="0"/>
    </xf>
    <xf numFmtId="0" fontId="9" fillId="44" borderId="17" xfId="0" applyFont="1" applyFill="1" applyBorder="1" applyAlignment="1">
      <alignment horizontal="center" wrapText="1"/>
    </xf>
    <xf numFmtId="0" fontId="8" fillId="44" borderId="17" xfId="0" applyFont="1" applyFill="1" applyBorder="1" applyAlignment="1" applyProtection="1">
      <protection locked="0"/>
    </xf>
    <xf numFmtId="0" fontId="0" fillId="50" borderId="33" xfId="0" applyFill="1" applyBorder="1" applyAlignment="1">
      <alignment wrapText="1"/>
    </xf>
    <xf numFmtId="9" fontId="6" fillId="50" borderId="33" xfId="64" applyFont="1" applyFill="1" applyBorder="1" applyAlignment="1">
      <alignment wrapText="1"/>
    </xf>
    <xf numFmtId="0" fontId="0" fillId="0" borderId="0" xfId="0" applyAlignment="1">
      <alignment wrapText="1"/>
    </xf>
    <xf numFmtId="0" fontId="0" fillId="51" borderId="34" xfId="0" applyFill="1" applyBorder="1" applyAlignment="1">
      <alignment horizontal="left" wrapText="1"/>
    </xf>
    <xf numFmtId="0" fontId="0" fillId="51" borderId="35" xfId="0" applyFill="1" applyBorder="1" applyAlignment="1">
      <alignment horizontal="left" wrapText="1"/>
    </xf>
    <xf numFmtId="0" fontId="0" fillId="0" borderId="29" xfId="0" applyFill="1" applyBorder="1" applyAlignment="1">
      <alignment horizontal="center" wrapText="1"/>
    </xf>
    <xf numFmtId="0" fontId="0" fillId="0" borderId="33" xfId="0" applyFill="1" applyBorder="1" applyAlignment="1">
      <alignment horizontal="center" wrapText="1"/>
    </xf>
    <xf numFmtId="170" fontId="6" fillId="50" borderId="30" xfId="64" applyNumberFormat="1" applyFont="1" applyFill="1" applyBorder="1" applyAlignment="1">
      <alignment horizontal="center" wrapText="1"/>
    </xf>
    <xf numFmtId="0" fontId="0" fillId="0" borderId="0" xfId="0" applyAlignment="1">
      <alignment horizontal="left" wrapText="1"/>
    </xf>
    <xf numFmtId="165" fontId="0" fillId="50" borderId="33" xfId="0" applyNumberFormat="1" applyFill="1" applyBorder="1" applyAlignment="1">
      <alignment wrapText="1"/>
    </xf>
    <xf numFmtId="165" fontId="6" fillId="50" borderId="33" xfId="64" applyNumberFormat="1" applyFont="1" applyFill="1" applyBorder="1" applyAlignment="1">
      <alignment wrapText="1"/>
    </xf>
    <xf numFmtId="165" fontId="0" fillId="50" borderId="33" xfId="0" applyNumberFormat="1" applyFill="1" applyBorder="1" applyAlignment="1">
      <alignment horizontal="center" wrapText="1"/>
    </xf>
    <xf numFmtId="0" fontId="8" fillId="42" borderId="0" xfId="0" applyFont="1" applyFill="1" applyBorder="1" applyAlignment="1"/>
    <xf numFmtId="165" fontId="0" fillId="50" borderId="20" xfId="0" applyNumberFormat="1" applyFill="1" applyBorder="1" applyAlignment="1">
      <alignment horizontal="center" wrapText="1"/>
    </xf>
    <xf numFmtId="0" fontId="9" fillId="43" borderId="19" xfId="0" applyFont="1" applyFill="1" applyBorder="1" applyAlignment="1" applyProtection="1">
      <alignment horizontal="center" vertical="center" wrapText="1"/>
    </xf>
    <xf numFmtId="0" fontId="9" fillId="43" borderId="14" xfId="0" applyFont="1" applyFill="1" applyBorder="1" applyAlignment="1" applyProtection="1">
      <alignment horizontal="center" vertical="center" wrapText="1"/>
    </xf>
    <xf numFmtId="0" fontId="9" fillId="43" borderId="11" xfId="0" applyFont="1" applyFill="1" applyBorder="1" applyAlignment="1" applyProtection="1">
      <alignment horizontal="center" vertical="center" wrapText="1"/>
    </xf>
    <xf numFmtId="0" fontId="13" fillId="47" borderId="10" xfId="0" applyFont="1" applyFill="1" applyBorder="1" applyAlignment="1" applyProtection="1">
      <alignment horizontal="center" vertical="top" wrapText="1"/>
    </xf>
    <xf numFmtId="0" fontId="13" fillId="47" borderId="16" xfId="0" applyFont="1" applyFill="1" applyBorder="1" applyAlignment="1" applyProtection="1">
      <alignment horizontal="center" vertical="top" wrapText="1"/>
    </xf>
    <xf numFmtId="0" fontId="13" fillId="47" borderId="0" xfId="0" applyFont="1" applyFill="1" applyBorder="1" applyAlignment="1" applyProtection="1">
      <alignment horizontal="center" vertical="top" wrapText="1"/>
    </xf>
    <xf numFmtId="0" fontId="13" fillId="47" borderId="12" xfId="0" applyFont="1" applyFill="1" applyBorder="1" applyAlignment="1" applyProtection="1">
      <alignment horizontal="center" vertical="top" wrapText="1"/>
    </xf>
    <xf numFmtId="0" fontId="9" fillId="43" borderId="10" xfId="0" applyFont="1" applyFill="1" applyBorder="1" applyAlignment="1" applyProtection="1">
      <alignment horizontal="center" vertical="center" wrapText="1"/>
    </xf>
    <xf numFmtId="0" fontId="9" fillId="43" borderId="16" xfId="0" applyFont="1" applyFill="1" applyBorder="1" applyAlignment="1" applyProtection="1">
      <alignment horizontal="center" vertical="center" wrapText="1"/>
    </xf>
    <xf numFmtId="0" fontId="9" fillId="43" borderId="0" xfId="0" applyFont="1" applyFill="1" applyBorder="1" applyAlignment="1" applyProtection="1">
      <alignment horizontal="center" vertical="center" wrapText="1"/>
    </xf>
    <xf numFmtId="0" fontId="9" fillId="43" borderId="12" xfId="0" applyFont="1" applyFill="1" applyBorder="1" applyAlignment="1" applyProtection="1">
      <alignment horizontal="center" vertical="center" wrapText="1"/>
    </xf>
    <xf numFmtId="165" fontId="21" fillId="47" borderId="16" xfId="0" applyNumberFormat="1" applyFont="1" applyFill="1" applyBorder="1" applyAlignment="1" applyProtection="1">
      <alignment horizontal="center"/>
    </xf>
    <xf numFmtId="165" fontId="21" fillId="47" borderId="0" xfId="0" applyNumberFormat="1" applyFont="1" applyFill="1" applyBorder="1" applyAlignment="1" applyProtection="1">
      <alignment horizontal="center"/>
    </xf>
    <xf numFmtId="165" fontId="21" fillId="47" borderId="12" xfId="0" applyNumberFormat="1" applyFont="1" applyFill="1" applyBorder="1" applyAlignment="1" applyProtection="1">
      <alignment horizontal="center"/>
    </xf>
    <xf numFmtId="0" fontId="9" fillId="43" borderId="16" xfId="0" applyFont="1" applyFill="1" applyBorder="1" applyAlignment="1" applyProtection="1">
      <alignment horizontal="center" vertical="top" wrapText="1"/>
    </xf>
    <xf numFmtId="0" fontId="9" fillId="43" borderId="0" xfId="0" applyFont="1" applyFill="1" applyBorder="1" applyAlignment="1" applyProtection="1">
      <alignment horizontal="center" vertical="top" wrapText="1"/>
    </xf>
    <xf numFmtId="0" fontId="21" fillId="47" borderId="16" xfId="0" applyFont="1" applyFill="1" applyBorder="1" applyAlignment="1" applyProtection="1">
      <alignment horizontal="center"/>
    </xf>
    <xf numFmtId="0" fontId="21" fillId="47" borderId="0" xfId="0" applyFont="1" applyFill="1" applyBorder="1" applyAlignment="1" applyProtection="1">
      <alignment horizontal="center"/>
    </xf>
    <xf numFmtId="2" fontId="21" fillId="47" borderId="16" xfId="0" applyNumberFormat="1" applyFont="1" applyFill="1" applyBorder="1" applyAlignment="1" applyProtection="1">
      <alignment horizontal="center"/>
    </xf>
    <xf numFmtId="2" fontId="21" fillId="47" borderId="0" xfId="0" applyNumberFormat="1" applyFont="1" applyFill="1" applyBorder="1" applyAlignment="1" applyProtection="1">
      <alignment horizontal="center"/>
    </xf>
    <xf numFmtId="2" fontId="21" fillId="47" borderId="16" xfId="0" applyNumberFormat="1" applyFont="1" applyFill="1" applyBorder="1" applyAlignment="1" applyProtection="1">
      <alignment horizontal="center" vertical="top" wrapText="1"/>
    </xf>
    <xf numFmtId="2" fontId="21" fillId="47" borderId="0" xfId="0" applyNumberFormat="1" applyFont="1" applyFill="1" applyBorder="1" applyAlignment="1" applyProtection="1">
      <alignment horizontal="center" vertical="top" wrapText="1"/>
    </xf>
    <xf numFmtId="2" fontId="13" fillId="43" borderId="16" xfId="0" applyNumberFormat="1" applyFont="1" applyFill="1" applyBorder="1" applyAlignment="1" applyProtection="1">
      <alignment horizontal="center"/>
    </xf>
    <xf numFmtId="1" fontId="21" fillId="43" borderId="16" xfId="0" applyNumberFormat="1" applyFont="1" applyFill="1" applyBorder="1" applyAlignment="1" applyProtection="1">
      <alignment horizontal="center"/>
    </xf>
    <xf numFmtId="1" fontId="21" fillId="43" borderId="0" xfId="0" applyNumberFormat="1" applyFont="1" applyFill="1" applyBorder="1" applyAlignment="1" applyProtection="1">
      <alignment horizontal="center"/>
    </xf>
    <xf numFmtId="1" fontId="13" fillId="47" borderId="16" xfId="0" applyNumberFormat="1" applyFont="1" applyFill="1" applyBorder="1" applyAlignment="1" applyProtection="1">
      <alignment horizontal="center"/>
    </xf>
    <xf numFmtId="1" fontId="13" fillId="47" borderId="0" xfId="0" applyNumberFormat="1" applyFont="1" applyFill="1" applyBorder="1" applyAlignment="1" applyProtection="1">
      <alignment horizontal="center"/>
    </xf>
    <xf numFmtId="169" fontId="13" fillId="47" borderId="16" xfId="0" applyNumberFormat="1" applyFont="1" applyFill="1" applyBorder="1" applyAlignment="1" applyProtection="1">
      <alignment horizontal="center"/>
    </xf>
    <xf numFmtId="169" fontId="13" fillId="47" borderId="0" xfId="0" applyNumberFormat="1" applyFont="1" applyFill="1" applyBorder="1" applyAlignment="1" applyProtection="1">
      <alignment horizontal="center"/>
    </xf>
    <xf numFmtId="0" fontId="13" fillId="47" borderId="0" xfId="0" applyFont="1" applyFill="1" applyBorder="1" applyAlignment="1" applyProtection="1">
      <alignment horizontal="center" vertical="center" wrapText="1"/>
    </xf>
    <xf numFmtId="9" fontId="21" fillId="47" borderId="16" xfId="0" applyNumberFormat="1" applyFont="1" applyFill="1" applyBorder="1" applyAlignment="1" applyProtection="1">
      <alignment horizontal="center" vertical="top" wrapText="1"/>
    </xf>
    <xf numFmtId="9" fontId="21" fillId="47" borderId="0" xfId="0" applyNumberFormat="1" applyFont="1" applyFill="1" applyBorder="1" applyAlignment="1" applyProtection="1">
      <alignment horizontal="center" vertical="top" wrapText="1"/>
    </xf>
    <xf numFmtId="0" fontId="13" fillId="43" borderId="16" xfId="0" applyFont="1" applyFill="1" applyBorder="1" applyAlignment="1" applyProtection="1">
      <alignment horizontal="center" vertical="top" wrapText="1"/>
    </xf>
    <xf numFmtId="0" fontId="13" fillId="43" borderId="0" xfId="0" applyFont="1" applyFill="1" applyBorder="1" applyAlignment="1" applyProtection="1">
      <alignment horizontal="center" vertical="top" wrapText="1"/>
    </xf>
    <xf numFmtId="0" fontId="21" fillId="43" borderId="10" xfId="0" applyFont="1" applyFill="1" applyBorder="1" applyAlignment="1" applyProtection="1">
      <alignment horizontal="center" vertical="center" wrapText="1"/>
    </xf>
    <xf numFmtId="0" fontId="13" fillId="43" borderId="16" xfId="0" applyFont="1" applyFill="1" applyBorder="1" applyAlignment="1" applyProtection="1">
      <alignment horizontal="center" vertical="center" wrapText="1"/>
    </xf>
    <xf numFmtId="0" fontId="13" fillId="43" borderId="0" xfId="0" applyFont="1" applyFill="1" applyBorder="1" applyAlignment="1" applyProtection="1">
      <alignment horizontal="center" vertical="center" wrapText="1"/>
    </xf>
    <xf numFmtId="0" fontId="13" fillId="43" borderId="10" xfId="0" applyFont="1" applyFill="1" applyBorder="1" applyAlignment="1" applyProtection="1">
      <alignment horizontal="center"/>
    </xf>
    <xf numFmtId="166" fontId="21" fillId="43" borderId="16" xfId="0" applyNumberFormat="1" applyFont="1" applyFill="1" applyBorder="1" applyAlignment="1" applyProtection="1">
      <alignment horizontal="center" vertical="top" wrapText="1"/>
    </xf>
    <xf numFmtId="166" fontId="21" fillId="43" borderId="0" xfId="0" applyNumberFormat="1" applyFont="1" applyFill="1" applyBorder="1" applyAlignment="1" applyProtection="1">
      <alignment horizontal="center" vertical="top" wrapText="1"/>
    </xf>
    <xf numFmtId="2" fontId="21" fillId="43" borderId="16" xfId="0" applyNumberFormat="1" applyFont="1" applyFill="1" applyBorder="1" applyAlignment="1" applyProtection="1">
      <alignment horizontal="center"/>
    </xf>
    <xf numFmtId="2" fontId="21" fillId="43" borderId="0" xfId="0" applyNumberFormat="1" applyFont="1" applyFill="1" applyBorder="1" applyAlignment="1" applyProtection="1">
      <alignment horizontal="center"/>
    </xf>
    <xf numFmtId="2" fontId="21" fillId="47" borderId="12" xfId="0" applyNumberFormat="1" applyFont="1" applyFill="1" applyBorder="1" applyAlignment="1" applyProtection="1">
      <alignment horizontal="center"/>
    </xf>
    <xf numFmtId="0" fontId="21" fillId="47" borderId="16" xfId="0" applyNumberFormat="1" applyFont="1" applyFill="1" applyBorder="1" applyAlignment="1" applyProtection="1">
      <alignment horizontal="center"/>
    </xf>
    <xf numFmtId="0" fontId="21" fillId="47" borderId="0" xfId="0" applyNumberFormat="1" applyFont="1" applyFill="1" applyBorder="1" applyAlignment="1" applyProtection="1">
      <alignment horizontal="center"/>
    </xf>
    <xf numFmtId="169" fontId="21" fillId="47" borderId="16" xfId="0" applyNumberFormat="1" applyFont="1" applyFill="1" applyBorder="1" applyAlignment="1" applyProtection="1">
      <alignment horizontal="center"/>
    </xf>
    <xf numFmtId="169" fontId="21" fillId="47" borderId="0" xfId="0" applyNumberFormat="1" applyFont="1" applyFill="1" applyBorder="1" applyAlignment="1" applyProtection="1">
      <alignment horizontal="center"/>
    </xf>
    <xf numFmtId="167" fontId="21" fillId="43" borderId="16" xfId="0" applyNumberFormat="1" applyFont="1" applyFill="1" applyBorder="1" applyAlignment="1" applyProtection="1">
      <alignment horizontal="center"/>
    </xf>
    <xf numFmtId="167" fontId="21" fillId="43" borderId="0" xfId="0" applyNumberFormat="1" applyFont="1" applyFill="1" applyBorder="1" applyAlignment="1" applyProtection="1">
      <alignment horizontal="center"/>
    </xf>
    <xf numFmtId="167" fontId="21" fillId="43" borderId="12" xfId="0" applyNumberFormat="1" applyFont="1" applyFill="1" applyBorder="1" applyAlignment="1" applyProtection="1">
      <alignment horizontal="center"/>
    </xf>
    <xf numFmtId="0" fontId="21" fillId="43" borderId="16" xfId="0" applyFont="1" applyFill="1" applyBorder="1" applyAlignment="1" applyProtection="1">
      <alignment horizontal="center" vertical="center" wrapText="1"/>
    </xf>
    <xf numFmtId="0" fontId="21" fillId="43" borderId="0" xfId="0" applyFont="1" applyFill="1" applyBorder="1" applyAlignment="1" applyProtection="1">
      <alignment horizontal="center" vertical="center" wrapText="1"/>
    </xf>
    <xf numFmtId="0" fontId="21" fillId="47" borderId="16" xfId="0" applyFont="1" applyFill="1" applyBorder="1" applyAlignment="1" applyProtection="1">
      <alignment horizontal="center" vertical="top" wrapText="1"/>
    </xf>
    <xf numFmtId="0" fontId="21" fillId="47" borderId="0" xfId="0" applyFont="1" applyFill="1" applyBorder="1" applyAlignment="1" applyProtection="1">
      <alignment horizontal="center" vertical="top" wrapText="1"/>
    </xf>
    <xf numFmtId="0" fontId="21" fillId="47" borderId="12" xfId="0" applyFont="1" applyFill="1" applyBorder="1" applyAlignment="1" applyProtection="1">
      <alignment horizontal="center" vertical="top" wrapText="1"/>
    </xf>
    <xf numFmtId="0" fontId="13" fillId="43" borderId="16" xfId="0" applyFont="1" applyFill="1" applyBorder="1" applyAlignment="1" applyProtection="1">
      <alignment horizontal="center"/>
    </xf>
    <xf numFmtId="0" fontId="13" fillId="43" borderId="0" xfId="0" applyFont="1" applyFill="1" applyBorder="1" applyAlignment="1" applyProtection="1">
      <alignment horizontal="center"/>
    </xf>
    <xf numFmtId="0" fontId="13" fillId="43" borderId="12" xfId="0" applyFont="1" applyFill="1" applyBorder="1" applyAlignment="1" applyProtection="1">
      <alignment horizontal="center"/>
    </xf>
    <xf numFmtId="1" fontId="21" fillId="43" borderId="16" xfId="0" applyNumberFormat="1" applyFont="1" applyFill="1" applyBorder="1" applyAlignment="1" applyProtection="1">
      <alignment horizontal="center" vertical="center" wrapText="1"/>
    </xf>
    <xf numFmtId="1" fontId="21" fillId="43" borderId="0" xfId="0" applyNumberFormat="1" applyFont="1" applyFill="1" applyBorder="1" applyAlignment="1" applyProtection="1">
      <alignment horizontal="center" vertical="center" wrapText="1"/>
    </xf>
    <xf numFmtId="2" fontId="21" fillId="43" borderId="16" xfId="0" applyNumberFormat="1" applyFont="1" applyFill="1" applyBorder="1" applyAlignment="1" applyProtection="1">
      <alignment horizontal="center" vertical="center" wrapText="1"/>
    </xf>
    <xf numFmtId="2" fontId="21" fillId="43" borderId="0" xfId="0" applyNumberFormat="1" applyFont="1" applyFill="1" applyBorder="1" applyAlignment="1" applyProtection="1">
      <alignment horizontal="center" vertical="center" wrapText="1"/>
    </xf>
    <xf numFmtId="2" fontId="21" fillId="43" borderId="12" xfId="0" applyNumberFormat="1" applyFont="1" applyFill="1" applyBorder="1" applyAlignment="1" applyProtection="1">
      <alignment horizontal="center" vertical="center" wrapText="1"/>
    </xf>
    <xf numFmtId="2" fontId="13" fillId="43" borderId="16" xfId="0" applyNumberFormat="1" applyFont="1" applyFill="1" applyBorder="1" applyAlignment="1" applyProtection="1">
      <alignment horizontal="center" vertical="center" wrapText="1"/>
    </xf>
    <xf numFmtId="1" fontId="13" fillId="43" borderId="16" xfId="0" applyNumberFormat="1" applyFont="1" applyFill="1" applyBorder="1" applyAlignment="1" applyProtection="1">
      <alignment horizontal="center" vertical="center" wrapText="1"/>
    </xf>
    <xf numFmtId="1" fontId="13" fillId="43" borderId="0" xfId="0" applyNumberFormat="1" applyFont="1" applyFill="1" applyBorder="1" applyAlignment="1" applyProtection="1">
      <alignment horizontal="center" vertical="center" wrapText="1"/>
    </xf>
    <xf numFmtId="169" fontId="21" fillId="43" borderId="16" xfId="0" applyNumberFormat="1" applyFont="1" applyFill="1" applyBorder="1" applyAlignment="1" applyProtection="1">
      <alignment horizontal="center" vertical="center" wrapText="1"/>
    </xf>
    <xf numFmtId="169" fontId="21" fillId="43" borderId="0" xfId="0" applyNumberFormat="1" applyFont="1" applyFill="1" applyBorder="1" applyAlignment="1" applyProtection="1">
      <alignment horizontal="center" vertical="center" wrapText="1"/>
    </xf>
    <xf numFmtId="1" fontId="21" fillId="47" borderId="16" xfId="0" applyNumberFormat="1" applyFont="1" applyFill="1" applyBorder="1" applyAlignment="1" applyProtection="1">
      <alignment horizontal="center"/>
    </xf>
    <xf numFmtId="1" fontId="21" fillId="47" borderId="0" xfId="0" applyNumberFormat="1" applyFont="1" applyFill="1" applyBorder="1" applyAlignment="1" applyProtection="1">
      <alignment horizontal="center"/>
    </xf>
    <xf numFmtId="164" fontId="13" fillId="43" borderId="16" xfId="0" applyNumberFormat="1" applyFont="1" applyFill="1" applyBorder="1" applyAlignment="1" applyProtection="1">
      <alignment horizontal="center"/>
    </xf>
    <xf numFmtId="169" fontId="21" fillId="43" borderId="0" xfId="0" applyNumberFormat="1" applyFont="1" applyFill="1" applyBorder="1" applyAlignment="1" applyProtection="1">
      <alignment horizontal="center"/>
    </xf>
    <xf numFmtId="164" fontId="21" fillId="47" borderId="0" xfId="0" applyNumberFormat="1" applyFont="1" applyFill="1" applyBorder="1" applyAlignment="1" applyProtection="1">
      <alignment horizontal="center"/>
    </xf>
    <xf numFmtId="164" fontId="21" fillId="47" borderId="16" xfId="0" applyNumberFormat="1" applyFont="1" applyFill="1" applyBorder="1" applyAlignment="1" applyProtection="1">
      <alignment horizontal="center"/>
    </xf>
    <xf numFmtId="10" fontId="13" fillId="47" borderId="16" xfId="0" applyNumberFormat="1" applyFont="1" applyFill="1" applyBorder="1" applyAlignment="1" applyProtection="1">
      <alignment horizontal="center" vertical="center" wrapText="1"/>
    </xf>
    <xf numFmtId="10" fontId="13" fillId="47" borderId="0" xfId="0" applyNumberFormat="1" applyFont="1" applyFill="1" applyBorder="1" applyAlignment="1" applyProtection="1">
      <alignment horizontal="center" vertical="center" wrapText="1"/>
    </xf>
    <xf numFmtId="0" fontId="13" fillId="47" borderId="16" xfId="0" applyNumberFormat="1" applyFont="1" applyFill="1" applyBorder="1" applyAlignment="1" applyProtection="1">
      <alignment horizontal="center"/>
    </xf>
    <xf numFmtId="10" fontId="13" fillId="43" borderId="16" xfId="0" applyNumberFormat="1" applyFont="1" applyFill="1" applyBorder="1" applyAlignment="1" applyProtection="1">
      <alignment horizontal="center" vertical="center" wrapText="1"/>
    </xf>
    <xf numFmtId="0" fontId="13" fillId="43" borderId="16" xfId="0" applyNumberFormat="1" applyFont="1" applyFill="1" applyBorder="1" applyAlignment="1" applyProtection="1">
      <alignment horizontal="center" vertical="center" wrapText="1"/>
    </xf>
    <xf numFmtId="1" fontId="13" fillId="43" borderId="12" xfId="0" applyNumberFormat="1" applyFont="1" applyFill="1" applyBorder="1" applyAlignment="1" applyProtection="1">
      <alignment horizontal="center" vertical="center" wrapText="1"/>
    </xf>
    <xf numFmtId="167" fontId="13" fillId="47" borderId="16" xfId="0" applyNumberFormat="1" applyFont="1" applyFill="1" applyBorder="1" applyAlignment="1" applyProtection="1">
      <alignment horizontal="center"/>
    </xf>
    <xf numFmtId="167" fontId="13" fillId="47" borderId="12" xfId="0" applyNumberFormat="1" applyFont="1" applyFill="1" applyBorder="1" applyAlignment="1" applyProtection="1">
      <alignment horizontal="center"/>
    </xf>
    <xf numFmtId="10" fontId="13" fillId="43" borderId="0" xfId="0" applyNumberFormat="1" applyFont="1" applyFill="1" applyBorder="1" applyAlignment="1" applyProtection="1">
      <alignment horizontal="center" vertical="center" wrapText="1"/>
    </xf>
    <xf numFmtId="0" fontId="13" fillId="43" borderId="0" xfId="0" applyNumberFormat="1" applyFont="1" applyFill="1" applyBorder="1" applyAlignment="1" applyProtection="1">
      <alignment horizontal="center" vertical="center" wrapText="1"/>
    </xf>
    <xf numFmtId="0" fontId="21" fillId="43" borderId="16" xfId="0" applyNumberFormat="1" applyFont="1" applyFill="1" applyBorder="1" applyAlignment="1" applyProtection="1">
      <alignment horizontal="center" vertical="center" wrapText="1"/>
    </xf>
    <xf numFmtId="0" fontId="21" fillId="43" borderId="0" xfId="0" applyNumberFormat="1" applyFont="1" applyFill="1" applyBorder="1" applyAlignment="1" applyProtection="1">
      <alignment horizontal="center" vertical="center" wrapText="1"/>
    </xf>
    <xf numFmtId="165" fontId="13" fillId="47" borderId="16" xfId="0" applyNumberFormat="1" applyFont="1" applyFill="1" applyBorder="1" applyAlignment="1" applyProtection="1">
      <alignment horizontal="center"/>
    </xf>
    <xf numFmtId="165" fontId="13" fillId="47" borderId="0" xfId="0" applyNumberFormat="1" applyFont="1" applyFill="1" applyBorder="1" applyAlignment="1" applyProtection="1">
      <alignment horizontal="center"/>
    </xf>
    <xf numFmtId="167" fontId="13" fillId="47" borderId="0" xfId="0" applyNumberFormat="1" applyFont="1" applyFill="1" applyBorder="1" applyAlignment="1" applyProtection="1">
      <alignment horizontal="center"/>
    </xf>
    <xf numFmtId="10" fontId="9" fillId="43" borderId="16" xfId="0" applyNumberFormat="1" applyFont="1" applyFill="1" applyBorder="1" applyAlignment="1" applyProtection="1">
      <alignment horizontal="center" vertical="center" wrapText="1"/>
    </xf>
    <xf numFmtId="10" fontId="9" fillId="43" borderId="0" xfId="0" applyNumberFormat="1" applyFont="1" applyFill="1" applyBorder="1" applyAlignment="1" applyProtection="1">
      <alignment horizontal="center" vertical="center" wrapText="1"/>
    </xf>
    <xf numFmtId="0" fontId="21" fillId="43" borderId="16" xfId="0" applyFont="1" applyFill="1" applyBorder="1" applyAlignment="1" applyProtection="1">
      <alignment horizontal="center" vertical="center"/>
    </xf>
    <xf numFmtId="0" fontId="13" fillId="43" borderId="0" xfId="0" applyFont="1" applyFill="1" applyBorder="1" applyAlignment="1" applyProtection="1">
      <alignment horizontal="center" vertical="center"/>
    </xf>
    <xf numFmtId="0" fontId="13" fillId="43" borderId="16" xfId="0" applyFont="1" applyFill="1" applyBorder="1" applyAlignment="1" applyProtection="1">
      <alignment horizontal="center" vertical="center"/>
    </xf>
    <xf numFmtId="1" fontId="21" fillId="43" borderId="16" xfId="0" applyNumberFormat="1" applyFont="1" applyFill="1" applyBorder="1" applyAlignment="1" applyProtection="1">
      <alignment horizontal="center" vertical="center"/>
    </xf>
    <xf numFmtId="1" fontId="9" fillId="43" borderId="16" xfId="0" applyNumberFormat="1" applyFont="1" applyFill="1" applyBorder="1" applyAlignment="1" applyProtection="1">
      <alignment horizontal="center" vertical="center" wrapText="1"/>
    </xf>
    <xf numFmtId="1" fontId="9" fillId="43" borderId="0" xfId="0" applyNumberFormat="1" applyFont="1" applyFill="1" applyBorder="1" applyAlignment="1" applyProtection="1">
      <alignment horizontal="center" vertical="center" wrapText="1"/>
    </xf>
    <xf numFmtId="0" fontId="21" fillId="43" borderId="0" xfId="0" applyFont="1" applyFill="1" applyBorder="1" applyAlignment="1" applyProtection="1">
      <alignment horizontal="center" vertical="center"/>
    </xf>
    <xf numFmtId="166" fontId="21" fillId="43" borderId="16" xfId="0" applyNumberFormat="1" applyFont="1" applyFill="1" applyBorder="1" applyAlignment="1" applyProtection="1">
      <alignment horizontal="center" vertical="center"/>
    </xf>
    <xf numFmtId="166" fontId="21" fillId="43" borderId="0" xfId="0" applyNumberFormat="1" applyFont="1" applyFill="1" applyBorder="1" applyAlignment="1" applyProtection="1">
      <alignment horizontal="center" vertical="center"/>
    </xf>
    <xf numFmtId="2" fontId="21" fillId="43" borderId="16" xfId="0" applyNumberFormat="1" applyFont="1" applyFill="1" applyBorder="1" applyAlignment="1" applyProtection="1">
      <alignment horizontal="center" vertical="center"/>
    </xf>
    <xf numFmtId="2" fontId="21" fillId="43" borderId="0" xfId="0" applyNumberFormat="1" applyFont="1" applyFill="1" applyBorder="1" applyAlignment="1" applyProtection="1">
      <alignment horizontal="center" vertical="center"/>
    </xf>
    <xf numFmtId="1" fontId="21" fillId="43" borderId="0" xfId="0" applyNumberFormat="1" applyFont="1" applyFill="1" applyBorder="1" applyAlignment="1" applyProtection="1">
      <alignment horizontal="center" vertical="center"/>
    </xf>
    <xf numFmtId="0" fontId="13" fillId="47" borderId="0" xfId="0" applyNumberFormat="1" applyFont="1" applyFill="1" applyBorder="1" applyAlignment="1" applyProtection="1">
      <alignment horizontal="center"/>
    </xf>
    <xf numFmtId="0" fontId="13" fillId="47" borderId="16" xfId="0" applyFont="1" applyFill="1" applyBorder="1" applyAlignment="1" applyProtection="1">
      <alignment horizontal="center" vertical="center"/>
    </xf>
    <xf numFmtId="0" fontId="9" fillId="43" borderId="16" xfId="0" applyNumberFormat="1" applyFont="1" applyFill="1" applyBorder="1" applyAlignment="1" applyProtection="1">
      <alignment horizontal="center" vertical="center" wrapText="1"/>
    </xf>
    <xf numFmtId="0" fontId="9" fillId="43" borderId="0" xfId="0" applyNumberFormat="1" applyFont="1" applyFill="1" applyBorder="1" applyAlignment="1" applyProtection="1">
      <alignment horizontal="center" vertical="center" wrapText="1"/>
    </xf>
    <xf numFmtId="0" fontId="21" fillId="43" borderId="0" xfId="0" applyFont="1" applyFill="1" applyBorder="1" applyAlignment="1" applyProtection="1">
      <alignment horizontal="center"/>
    </xf>
    <xf numFmtId="0" fontId="21" fillId="43" borderId="16" xfId="0" applyFont="1" applyFill="1" applyBorder="1" applyAlignment="1" applyProtection="1">
      <alignment horizontal="center"/>
    </xf>
    <xf numFmtId="14" fontId="13" fillId="43" borderId="0" xfId="0" applyNumberFormat="1" applyFont="1" applyFill="1" applyBorder="1" applyAlignment="1" applyProtection="1">
      <alignment horizontal="center"/>
    </xf>
    <xf numFmtId="14" fontId="13" fillId="43" borderId="16" xfId="0" applyNumberFormat="1" applyFont="1" applyFill="1" applyBorder="1" applyAlignment="1" applyProtection="1">
      <alignment horizontal="center"/>
    </xf>
    <xf numFmtId="166" fontId="21" fillId="43" borderId="0" xfId="0" applyNumberFormat="1" applyFont="1" applyFill="1" applyBorder="1" applyAlignment="1" applyProtection="1">
      <alignment horizontal="center" vertical="center" wrapText="1"/>
    </xf>
    <xf numFmtId="166" fontId="21" fillId="43" borderId="16" xfId="0" applyNumberFormat="1" applyFont="1" applyFill="1" applyBorder="1" applyAlignment="1" applyProtection="1">
      <alignment horizontal="center" vertical="center" wrapText="1"/>
    </xf>
    <xf numFmtId="165" fontId="21" fillId="43" borderId="16" xfId="0" applyNumberFormat="1" applyFont="1" applyFill="1" applyBorder="1" applyAlignment="1" applyProtection="1">
      <alignment horizontal="center"/>
    </xf>
    <xf numFmtId="165" fontId="21" fillId="43" borderId="0" xfId="0" applyNumberFormat="1" applyFont="1" applyFill="1" applyBorder="1" applyAlignment="1" applyProtection="1">
      <alignment horizontal="center"/>
    </xf>
    <xf numFmtId="0" fontId="13" fillId="47" borderId="16" xfId="0" applyNumberFormat="1" applyFont="1" applyFill="1" applyBorder="1" applyAlignment="1" applyProtection="1">
      <alignment horizontal="center" vertical="center"/>
    </xf>
    <xf numFmtId="0" fontId="13" fillId="47" borderId="0" xfId="0" applyNumberFormat="1" applyFont="1" applyFill="1" applyBorder="1" applyAlignment="1" applyProtection="1">
      <alignment horizontal="center" vertical="center"/>
    </xf>
    <xf numFmtId="0" fontId="13" fillId="47" borderId="16" xfId="0" applyNumberFormat="1" applyFont="1" applyFill="1" applyBorder="1" applyAlignment="1" applyProtection="1">
      <alignment horizontal="center" vertical="center" wrapText="1"/>
    </xf>
    <xf numFmtId="0" fontId="13" fillId="47" borderId="0" xfId="0" applyNumberFormat="1" applyFont="1" applyFill="1" applyBorder="1" applyAlignment="1" applyProtection="1">
      <alignment horizontal="center" vertical="center" wrapText="1"/>
    </xf>
    <xf numFmtId="10" fontId="9" fillId="43" borderId="16" xfId="0" applyNumberFormat="1" applyFont="1" applyFill="1" applyBorder="1" applyAlignment="1" applyProtection="1">
      <alignment horizontal="center" vertical="top" wrapText="1"/>
    </xf>
    <xf numFmtId="10" fontId="9" fillId="43" borderId="0" xfId="0" applyNumberFormat="1" applyFont="1" applyFill="1" applyBorder="1" applyAlignment="1" applyProtection="1">
      <alignment horizontal="center" vertical="top" wrapText="1"/>
    </xf>
    <xf numFmtId="164" fontId="13" fillId="43" borderId="0" xfId="0" applyNumberFormat="1" applyFont="1" applyFill="1" applyBorder="1" applyAlignment="1" applyProtection="1">
      <alignment horizontal="center"/>
    </xf>
    <xf numFmtId="4" fontId="13" fillId="43" borderId="16" xfId="0" applyNumberFormat="1" applyFont="1" applyFill="1" applyBorder="1" applyAlignment="1" applyProtection="1">
      <alignment horizontal="center"/>
    </xf>
    <xf numFmtId="169" fontId="13" fillId="43" borderId="0" xfId="0" applyNumberFormat="1" applyFont="1" applyFill="1" applyBorder="1" applyAlignment="1" applyProtection="1">
      <alignment horizontal="center"/>
    </xf>
    <xf numFmtId="169" fontId="13" fillId="43" borderId="16" xfId="0" applyNumberFormat="1" applyFont="1" applyFill="1" applyBorder="1" applyAlignment="1" applyProtection="1">
      <alignment horizontal="center"/>
    </xf>
    <xf numFmtId="2" fontId="12" fillId="43" borderId="16" xfId="0" applyNumberFormat="1" applyFont="1" applyFill="1" applyBorder="1" applyAlignment="1" applyProtection="1">
      <alignment horizontal="center"/>
    </xf>
    <xf numFmtId="2" fontId="12" fillId="43" borderId="0" xfId="0" applyNumberFormat="1" applyFont="1" applyFill="1" applyBorder="1" applyAlignment="1" applyProtection="1">
      <alignment horizontal="center"/>
    </xf>
    <xf numFmtId="0" fontId="9" fillId="43" borderId="16" xfId="0" applyFont="1" applyFill="1" applyBorder="1" applyProtection="1"/>
    <xf numFmtId="0" fontId="9" fillId="43" borderId="0" xfId="0" applyFont="1" applyFill="1" applyBorder="1" applyProtection="1"/>
    <xf numFmtId="1" fontId="21" fillId="43" borderId="16" xfId="0" applyNumberFormat="1" applyFont="1" applyFill="1" applyBorder="1" applyAlignment="1" applyProtection="1">
      <alignment horizontal="center" wrapText="1"/>
    </xf>
    <xf numFmtId="1" fontId="21" fillId="43" borderId="0" xfId="0" applyNumberFormat="1" applyFont="1" applyFill="1" applyBorder="1" applyAlignment="1" applyProtection="1">
      <alignment horizontal="center" wrapText="1"/>
    </xf>
    <xf numFmtId="2" fontId="9" fillId="43" borderId="16" xfId="0" applyNumberFormat="1" applyFont="1" applyFill="1" applyBorder="1" applyAlignment="1" applyProtection="1">
      <alignment horizontal="center"/>
    </xf>
    <xf numFmtId="2" fontId="9" fillId="43" borderId="0" xfId="0" applyNumberFormat="1" applyFont="1" applyFill="1" applyBorder="1" applyAlignment="1" applyProtection="1">
      <alignment horizontal="center"/>
    </xf>
    <xf numFmtId="165" fontId="21" fillId="43" borderId="16" xfId="0" applyNumberFormat="1" applyFont="1" applyFill="1" applyBorder="1" applyAlignment="1" applyProtection="1">
      <alignment horizontal="center" vertical="center"/>
    </xf>
    <xf numFmtId="165" fontId="21" fillId="43" borderId="0" xfId="0" applyNumberFormat="1" applyFont="1" applyFill="1" applyBorder="1" applyAlignment="1" applyProtection="1">
      <alignment horizontal="center" vertical="center"/>
    </xf>
    <xf numFmtId="2" fontId="9" fillId="43" borderId="16" xfId="0" applyNumberFormat="1" applyFont="1" applyFill="1" applyBorder="1" applyAlignment="1" applyProtection="1">
      <alignment horizontal="center" vertical="center"/>
    </xf>
    <xf numFmtId="2" fontId="9" fillId="43" borderId="0" xfId="0" applyNumberFormat="1" applyFont="1" applyFill="1" applyBorder="1" applyAlignment="1" applyProtection="1">
      <alignment horizontal="center" vertical="center"/>
    </xf>
    <xf numFmtId="0" fontId="9" fillId="43" borderId="16" xfId="0" applyFont="1" applyFill="1" applyBorder="1" applyAlignment="1" applyProtection="1">
      <alignment horizontal="center"/>
    </xf>
    <xf numFmtId="0" fontId="9" fillId="43" borderId="0" xfId="0" applyFont="1" applyFill="1" applyBorder="1" applyAlignment="1" applyProtection="1">
      <alignment horizontal="center"/>
    </xf>
    <xf numFmtId="9" fontId="21" fillId="43" borderId="16" xfId="0" applyNumberFormat="1" applyFont="1" applyFill="1" applyBorder="1" applyAlignment="1" applyProtection="1">
      <alignment horizontal="center"/>
    </xf>
    <xf numFmtId="9" fontId="21" fillId="43" borderId="0" xfId="0" applyNumberFormat="1" applyFont="1" applyFill="1" applyBorder="1" applyAlignment="1" applyProtection="1">
      <alignment horizontal="center"/>
    </xf>
    <xf numFmtId="10" fontId="13" fillId="47" borderId="0" xfId="0" applyNumberFormat="1" applyFont="1" applyFill="1" applyBorder="1" applyAlignment="1" applyProtection="1">
      <alignment horizontal="center" vertical="top" wrapText="1"/>
    </xf>
    <xf numFmtId="1" fontId="21" fillId="43" borderId="0" xfId="0" applyNumberFormat="1" applyFont="1" applyFill="1" applyBorder="1" applyAlignment="1" applyProtection="1">
      <alignment horizontal="center" vertical="top" wrapText="1"/>
    </xf>
    <xf numFmtId="165" fontId="21" fillId="43" borderId="0" xfId="0" applyNumberFormat="1" applyFont="1" applyFill="1" applyBorder="1" applyAlignment="1" applyProtection="1">
      <alignment horizontal="center" vertical="top" wrapText="1"/>
    </xf>
    <xf numFmtId="165" fontId="21" fillId="43" borderId="16" xfId="0" applyNumberFormat="1" applyFont="1" applyFill="1" applyBorder="1" applyAlignment="1" applyProtection="1">
      <alignment horizontal="center" vertical="top" wrapText="1"/>
    </xf>
    <xf numFmtId="1" fontId="21" fillId="47" borderId="12" xfId="0" applyNumberFormat="1" applyFont="1" applyFill="1" applyBorder="1" applyAlignment="1" applyProtection="1">
      <alignment horizontal="center"/>
    </xf>
    <xf numFmtId="167" fontId="21" fillId="47" borderId="0" xfId="0" applyNumberFormat="1" applyFont="1" applyFill="1" applyBorder="1" applyAlignment="1" applyProtection="1">
      <alignment horizontal="center"/>
    </xf>
    <xf numFmtId="167" fontId="21" fillId="47" borderId="16" xfId="0" applyNumberFormat="1" applyFont="1" applyFill="1" applyBorder="1" applyAlignment="1" applyProtection="1">
      <alignment horizontal="center"/>
    </xf>
    <xf numFmtId="167" fontId="21" fillId="47" borderId="12" xfId="0" applyNumberFormat="1" applyFont="1" applyFill="1" applyBorder="1" applyAlignment="1" applyProtection="1">
      <alignment horizontal="center"/>
    </xf>
    <xf numFmtId="0" fontId="9" fillId="43" borderId="12" xfId="0" applyNumberFormat="1" applyFont="1" applyFill="1" applyBorder="1" applyAlignment="1" applyProtection="1">
      <alignment horizontal="center" vertical="center" wrapText="1"/>
    </xf>
    <xf numFmtId="0" fontId="13" fillId="47" borderId="12" xfId="0" applyNumberFormat="1" applyFont="1" applyFill="1" applyBorder="1" applyAlignment="1" applyProtection="1">
      <alignment horizontal="center"/>
    </xf>
    <xf numFmtId="0" fontId="21" fillId="43" borderId="16" xfId="0" applyFont="1" applyFill="1" applyBorder="1" applyAlignment="1" applyProtection="1">
      <alignment horizontal="center" vertical="top" wrapText="1"/>
    </xf>
    <xf numFmtId="0" fontId="21" fillId="43" borderId="0" xfId="0" applyFont="1" applyFill="1" applyBorder="1" applyAlignment="1" applyProtection="1">
      <alignment horizontal="center" vertical="top" wrapText="1"/>
    </xf>
    <xf numFmtId="169" fontId="21" fillId="43" borderId="16" xfId="0" applyNumberFormat="1" applyFont="1" applyFill="1" applyBorder="1" applyAlignment="1" applyProtection="1">
      <alignment horizontal="center" vertical="top" wrapText="1"/>
    </xf>
    <xf numFmtId="169" fontId="21" fillId="43" borderId="0" xfId="0" applyNumberFormat="1" applyFont="1" applyFill="1" applyBorder="1" applyAlignment="1" applyProtection="1">
      <alignment horizontal="center" vertical="top" wrapText="1"/>
    </xf>
    <xf numFmtId="0" fontId="21" fillId="47" borderId="0" xfId="0" applyNumberFormat="1" applyFont="1" applyFill="1" applyBorder="1" applyAlignment="1" applyProtection="1">
      <alignment horizontal="center" vertical="top" wrapText="1"/>
    </xf>
    <xf numFmtId="170" fontId="13" fillId="43" borderId="16" xfId="0" applyNumberFormat="1" applyFont="1" applyFill="1" applyBorder="1" applyAlignment="1" applyProtection="1">
      <alignment horizontal="center" vertical="top" wrapText="1"/>
    </xf>
    <xf numFmtId="170" fontId="13" fillId="43" borderId="0" xfId="0" applyNumberFormat="1" applyFont="1" applyFill="1" applyBorder="1" applyAlignment="1" applyProtection="1">
      <alignment horizontal="center" vertical="top" wrapText="1"/>
    </xf>
    <xf numFmtId="0" fontId="24" fillId="44" borderId="17" xfId="0" applyFont="1" applyFill="1" applyBorder="1" applyAlignment="1">
      <alignment wrapText="1"/>
    </xf>
    <xf numFmtId="0" fontId="24" fillId="44" borderId="13" xfId="0" applyFont="1" applyFill="1" applyBorder="1" applyAlignment="1">
      <alignment horizontal="center" wrapText="1"/>
    </xf>
    <xf numFmtId="2" fontId="13" fillId="45" borderId="16" xfId="0" applyNumberFormat="1" applyFont="1" applyFill="1" applyBorder="1" applyAlignment="1">
      <alignment horizontal="center" wrapText="1"/>
    </xf>
    <xf numFmtId="0" fontId="9" fillId="41" borderId="15" xfId="0" applyFont="1" applyFill="1" applyBorder="1" applyAlignment="1" applyProtection="1">
      <alignment horizontal="left" vertical="top"/>
      <protection locked="0"/>
    </xf>
    <xf numFmtId="0" fontId="13" fillId="47" borderId="15" xfId="0" applyFont="1" applyFill="1" applyBorder="1" applyAlignment="1" applyProtection="1">
      <alignment horizontal="center"/>
    </xf>
    <xf numFmtId="0" fontId="13" fillId="47" borderId="20" xfId="0" applyNumberFormat="1" applyFont="1" applyFill="1" applyBorder="1" applyAlignment="1" applyProtection="1">
      <alignment horizontal="center"/>
    </xf>
    <xf numFmtId="0" fontId="13" fillId="47" borderId="15" xfId="0" applyNumberFormat="1" applyFont="1" applyFill="1" applyBorder="1" applyAlignment="1" applyProtection="1">
      <alignment horizontal="center"/>
    </xf>
    <xf numFmtId="0" fontId="13" fillId="47" borderId="13" xfId="0" applyNumberFormat="1" applyFont="1" applyFill="1" applyBorder="1" applyAlignment="1" applyProtection="1">
      <alignment horizontal="center"/>
    </xf>
    <xf numFmtId="0" fontId="9" fillId="41" borderId="21" xfId="0" applyFont="1" applyFill="1" applyBorder="1" applyAlignment="1" applyProtection="1">
      <alignment horizontal="center" vertical="center"/>
      <protection locked="0"/>
    </xf>
    <xf numFmtId="1" fontId="21" fillId="43" borderId="20" xfId="0" applyNumberFormat="1" applyFont="1" applyFill="1" applyBorder="1" applyAlignment="1" applyProtection="1">
      <alignment horizontal="center" vertical="center"/>
      <protection locked="0"/>
    </xf>
    <xf numFmtId="2" fontId="21" fillId="43" borderId="12" xfId="0" applyNumberFormat="1" applyFont="1" applyFill="1" applyBorder="1" applyAlignment="1" applyProtection="1">
      <alignment horizontal="center"/>
    </xf>
    <xf numFmtId="1" fontId="21" fillId="43" borderId="12" xfId="0" applyNumberFormat="1" applyFont="1" applyFill="1" applyBorder="1" applyAlignment="1" applyProtection="1">
      <alignment horizontal="center"/>
    </xf>
    <xf numFmtId="0" fontId="9" fillId="41" borderId="15" xfId="0" applyFont="1" applyFill="1" applyBorder="1" applyAlignment="1" applyProtection="1">
      <alignment horizontal="center"/>
      <protection locked="0"/>
    </xf>
    <xf numFmtId="0" fontId="21" fillId="43" borderId="12" xfId="0" applyFont="1" applyFill="1" applyBorder="1" applyAlignment="1" applyProtection="1">
      <alignment horizontal="center"/>
    </xf>
    <xf numFmtId="165" fontId="21" fillId="43" borderId="12" xfId="0" applyNumberFormat="1" applyFont="1" applyFill="1" applyBorder="1" applyAlignment="1" applyProtection="1">
      <alignment horizontal="center"/>
    </xf>
    <xf numFmtId="0" fontId="21" fillId="47" borderId="15" xfId="0" applyFont="1" applyFill="1" applyBorder="1" applyAlignment="1" applyProtection="1">
      <alignment horizontal="center"/>
    </xf>
    <xf numFmtId="0" fontId="21" fillId="47" borderId="20" xfId="0" applyFont="1" applyFill="1" applyBorder="1" applyAlignment="1" applyProtection="1">
      <alignment horizontal="center"/>
    </xf>
    <xf numFmtId="0" fontId="21" fillId="47" borderId="15" xfId="0" applyNumberFormat="1" applyFont="1" applyFill="1" applyBorder="1" applyAlignment="1" applyProtection="1">
      <alignment horizontal="center"/>
    </xf>
    <xf numFmtId="0" fontId="21" fillId="43" borderId="0" xfId="0" applyNumberFormat="1" applyFont="1" applyFill="1" applyBorder="1" applyAlignment="1" applyProtection="1">
      <alignment horizontal="center"/>
    </xf>
    <xf numFmtId="0" fontId="21" fillId="47" borderId="20" xfId="0" applyNumberFormat="1" applyFont="1" applyFill="1" applyBorder="1" applyAlignment="1" applyProtection="1">
      <alignment horizontal="center"/>
    </xf>
    <xf numFmtId="0" fontId="21" fillId="47" borderId="20" xfId="0" applyNumberFormat="1" applyFont="1" applyFill="1" applyBorder="1" applyAlignment="1" applyProtection="1">
      <alignment horizontal="center" vertical="center" wrapText="1"/>
    </xf>
    <xf numFmtId="0" fontId="21" fillId="47" borderId="15" xfId="0" applyNumberFormat="1" applyFont="1" applyFill="1" applyBorder="1" applyAlignment="1" applyProtection="1">
      <alignment horizontal="center" vertical="center" wrapText="1"/>
    </xf>
    <xf numFmtId="0" fontId="13" fillId="47" borderId="16" xfId="0" applyFont="1" applyFill="1" applyBorder="1" applyAlignment="1" applyProtection="1">
      <alignment horizontal="center" vertical="center"/>
      <protection locked="0"/>
    </xf>
    <xf numFmtId="0" fontId="13" fillId="43" borderId="10" xfId="0" applyFont="1" applyFill="1" applyBorder="1" applyAlignment="1" applyProtection="1">
      <alignment horizontal="center" vertical="top" wrapText="1"/>
    </xf>
    <xf numFmtId="165" fontId="21" fillId="47" borderId="10" xfId="0" applyNumberFormat="1" applyFont="1" applyFill="1" applyBorder="1" applyAlignment="1" applyProtection="1">
      <alignment horizontal="center"/>
    </xf>
    <xf numFmtId="0" fontId="9" fillId="43" borderId="18" xfId="0" applyFont="1" applyFill="1" applyBorder="1" applyAlignment="1" applyProtection="1">
      <alignment horizontal="center" vertical="center" wrapText="1"/>
    </xf>
    <xf numFmtId="0" fontId="13" fillId="47" borderId="16" xfId="0" applyFont="1" applyFill="1" applyBorder="1" applyAlignment="1" applyProtection="1">
      <alignment horizontal="center" vertical="center" shrinkToFit="1"/>
      <protection locked="0"/>
    </xf>
    <xf numFmtId="0" fontId="9" fillId="43" borderId="10" xfId="0" applyFont="1" applyFill="1" applyBorder="1" applyAlignment="1" applyProtection="1">
      <alignment horizontal="center" vertical="top" wrapText="1"/>
    </xf>
    <xf numFmtId="2" fontId="21" fillId="47" borderId="10" xfId="0" applyNumberFormat="1" applyFont="1" applyFill="1" applyBorder="1" applyAlignment="1" applyProtection="1">
      <alignment horizontal="center"/>
    </xf>
    <xf numFmtId="2" fontId="13" fillId="43" borderId="10" xfId="0" applyNumberFormat="1" applyFont="1" applyFill="1" applyBorder="1" applyAlignment="1" applyProtection="1">
      <alignment horizontal="center"/>
    </xf>
    <xf numFmtId="2" fontId="21" fillId="43" borderId="10" xfId="0" applyNumberFormat="1" applyFont="1" applyFill="1" applyBorder="1" applyAlignment="1" applyProtection="1">
      <alignment horizontal="center"/>
    </xf>
    <xf numFmtId="9" fontId="21" fillId="47" borderId="10" xfId="0" applyNumberFormat="1" applyFont="1" applyFill="1" applyBorder="1" applyAlignment="1" applyProtection="1">
      <alignment horizontal="center" vertical="top" wrapText="1"/>
    </xf>
    <xf numFmtId="0" fontId="21" fillId="43" borderId="10" xfId="0" applyFont="1" applyFill="1" applyBorder="1" applyAlignment="1" applyProtection="1">
      <alignment horizontal="center" vertical="top" wrapText="1"/>
    </xf>
    <xf numFmtId="166" fontId="21" fillId="43" borderId="10" xfId="0" applyNumberFormat="1" applyFont="1" applyFill="1" applyBorder="1" applyAlignment="1" applyProtection="1">
      <alignment horizontal="center" vertical="top" wrapText="1"/>
    </xf>
    <xf numFmtId="9" fontId="13" fillId="43" borderId="10" xfId="0" applyNumberFormat="1" applyFont="1" applyFill="1" applyBorder="1" applyAlignment="1" applyProtection="1">
      <alignment horizontal="center"/>
    </xf>
    <xf numFmtId="0" fontId="21" fillId="47" borderId="10" xfId="0" applyNumberFormat="1" applyFont="1" applyFill="1" applyBorder="1" applyAlignment="1" applyProtection="1">
      <alignment horizontal="center"/>
    </xf>
    <xf numFmtId="167" fontId="21" fillId="43" borderId="10" xfId="0" applyNumberFormat="1" applyFont="1" applyFill="1" applyBorder="1" applyAlignment="1" applyProtection="1">
      <alignment horizontal="center"/>
    </xf>
    <xf numFmtId="0" fontId="21" fillId="47" borderId="10" xfId="0" applyFont="1" applyFill="1" applyBorder="1" applyAlignment="1" applyProtection="1">
      <alignment horizontal="center" vertical="top" wrapText="1"/>
    </xf>
    <xf numFmtId="169" fontId="21" fillId="43" borderId="10" xfId="0" applyNumberFormat="1" applyFont="1" applyFill="1" applyBorder="1" applyAlignment="1" applyProtection="1">
      <alignment horizontal="center" vertical="top" wrapText="1"/>
    </xf>
    <xf numFmtId="1" fontId="21" fillId="43" borderId="10" xfId="0" applyNumberFormat="1" applyFont="1" applyFill="1" applyBorder="1" applyAlignment="1" applyProtection="1">
      <alignment horizontal="center" vertical="center" wrapText="1"/>
    </xf>
    <xf numFmtId="2" fontId="13" fillId="43" borderId="10" xfId="0" applyNumberFormat="1" applyFont="1" applyFill="1" applyBorder="1" applyAlignment="1" applyProtection="1">
      <alignment horizontal="center" vertical="center" wrapText="1"/>
    </xf>
    <xf numFmtId="0" fontId="21" fillId="47" borderId="17" xfId="0" applyFont="1" applyFill="1" applyBorder="1" applyAlignment="1" applyProtection="1">
      <alignment horizontal="center"/>
    </xf>
    <xf numFmtId="1" fontId="21" fillId="47" borderId="10" xfId="0" applyNumberFormat="1" applyFont="1" applyFill="1" applyBorder="1" applyAlignment="1" applyProtection="1">
      <alignment horizontal="center"/>
    </xf>
    <xf numFmtId="1" fontId="13" fillId="47" borderId="10" xfId="0" applyNumberFormat="1" applyFont="1" applyFill="1" applyBorder="1" applyAlignment="1" applyProtection="1">
      <alignment horizontal="center"/>
    </xf>
    <xf numFmtId="164" fontId="21" fillId="47" borderId="10" xfId="0" applyNumberFormat="1" applyFont="1" applyFill="1" applyBorder="1" applyAlignment="1" applyProtection="1">
      <alignment horizontal="center"/>
    </xf>
    <xf numFmtId="164" fontId="13" fillId="43" borderId="10" xfId="0" applyNumberFormat="1" applyFont="1" applyFill="1" applyBorder="1" applyAlignment="1" applyProtection="1">
      <alignment horizontal="center"/>
    </xf>
    <xf numFmtId="0" fontId="13" fillId="47" borderId="16" xfId="0" applyNumberFormat="1" applyFont="1" applyFill="1" applyBorder="1" applyAlignment="1" applyProtection="1">
      <alignment horizontal="left" vertical="center"/>
      <protection locked="0"/>
    </xf>
    <xf numFmtId="0" fontId="13" fillId="47" borderId="16" xfId="0" applyFont="1" applyFill="1" applyBorder="1" applyAlignment="1" applyProtection="1">
      <alignment horizontal="center" vertical="center" wrapText="1"/>
      <protection locked="0"/>
    </xf>
    <xf numFmtId="0" fontId="13" fillId="47" borderId="16" xfId="0" applyNumberFormat="1" applyFont="1" applyFill="1" applyBorder="1" applyAlignment="1" applyProtection="1">
      <alignment horizontal="center" vertical="center"/>
      <protection locked="0"/>
    </xf>
    <xf numFmtId="0" fontId="21" fillId="47" borderId="17" xfId="0" applyNumberFormat="1" applyFont="1" applyFill="1" applyBorder="1" applyAlignment="1" applyProtection="1">
      <alignment horizontal="center"/>
    </xf>
    <xf numFmtId="0" fontId="13" fillId="43" borderId="10" xfId="0" applyNumberFormat="1" applyFont="1" applyFill="1" applyBorder="1" applyAlignment="1" applyProtection="1">
      <alignment horizontal="center" vertical="center" wrapText="1"/>
    </xf>
    <xf numFmtId="0" fontId="13" fillId="47" borderId="10" xfId="0" applyNumberFormat="1" applyFont="1" applyFill="1" applyBorder="1" applyAlignment="1" applyProtection="1">
      <alignment horizontal="center"/>
    </xf>
    <xf numFmtId="0" fontId="21" fillId="43" borderId="10" xfId="0" applyNumberFormat="1" applyFont="1" applyFill="1" applyBorder="1" applyAlignment="1" applyProtection="1">
      <alignment horizontal="center" vertical="center" wrapText="1"/>
    </xf>
    <xf numFmtId="165" fontId="13" fillId="47" borderId="10" xfId="0" applyNumberFormat="1" applyFont="1" applyFill="1" applyBorder="1" applyAlignment="1" applyProtection="1">
      <alignment horizontal="center"/>
    </xf>
    <xf numFmtId="0" fontId="21" fillId="43" borderId="10" xfId="0" applyNumberFormat="1" applyFont="1" applyFill="1" applyBorder="1" applyAlignment="1" applyProtection="1">
      <alignment horizontal="center"/>
    </xf>
    <xf numFmtId="10" fontId="9" fillId="43" borderId="10" xfId="0" applyNumberFormat="1" applyFont="1" applyFill="1" applyBorder="1" applyAlignment="1" applyProtection="1">
      <alignment horizontal="center" vertical="center" wrapText="1"/>
    </xf>
    <xf numFmtId="1" fontId="9" fillId="43" borderId="10" xfId="0" applyNumberFormat="1" applyFont="1" applyFill="1" applyBorder="1" applyAlignment="1" applyProtection="1">
      <alignment horizontal="center" vertical="center" wrapText="1"/>
    </xf>
    <xf numFmtId="0" fontId="9" fillId="43" borderId="10" xfId="0" applyNumberFormat="1" applyFont="1" applyFill="1" applyBorder="1" applyAlignment="1" applyProtection="1">
      <alignment horizontal="center" vertical="center" wrapText="1"/>
    </xf>
    <xf numFmtId="165" fontId="21" fillId="43" borderId="10" xfId="0" applyNumberFormat="1" applyFont="1" applyFill="1" applyBorder="1" applyAlignment="1" applyProtection="1">
      <alignment horizontal="center"/>
    </xf>
    <xf numFmtId="169" fontId="13" fillId="47" borderId="10" xfId="0" applyNumberFormat="1" applyFont="1" applyFill="1" applyBorder="1" applyAlignment="1" applyProtection="1">
      <alignment horizontal="center"/>
    </xf>
    <xf numFmtId="10" fontId="9" fillId="43" borderId="10" xfId="0" applyNumberFormat="1" applyFont="1" applyFill="1" applyBorder="1" applyAlignment="1" applyProtection="1">
      <alignment horizontal="center" vertical="top" wrapText="1"/>
    </xf>
    <xf numFmtId="2" fontId="12" fillId="43" borderId="10" xfId="0" applyNumberFormat="1" applyFont="1" applyFill="1" applyBorder="1" applyAlignment="1" applyProtection="1">
      <alignment horizontal="center"/>
    </xf>
    <xf numFmtId="2" fontId="9" fillId="43" borderId="10" xfId="0" applyNumberFormat="1" applyFont="1" applyFill="1" applyBorder="1" applyAlignment="1" applyProtection="1">
      <alignment horizontal="center"/>
    </xf>
    <xf numFmtId="2" fontId="9" fillId="43" borderId="10" xfId="0" applyNumberFormat="1" applyFont="1" applyFill="1" applyBorder="1" applyAlignment="1" applyProtection="1">
      <alignment horizontal="center" vertical="center"/>
    </xf>
    <xf numFmtId="0" fontId="13" fillId="47" borderId="10" xfId="0" applyNumberFormat="1" applyFont="1" applyFill="1" applyBorder="1" applyAlignment="1" applyProtection="1">
      <alignment horizontal="center" vertical="center"/>
    </xf>
    <xf numFmtId="0" fontId="9" fillId="43" borderId="10" xfId="0" applyFont="1" applyFill="1" applyBorder="1" applyProtection="1"/>
    <xf numFmtId="2" fontId="13" fillId="43" borderId="10" xfId="0" applyNumberFormat="1" applyFont="1" applyFill="1" applyBorder="1" applyAlignment="1" applyProtection="1">
      <alignment horizontal="center" vertical="center"/>
    </xf>
    <xf numFmtId="169" fontId="13" fillId="43" borderId="10" xfId="0" applyNumberFormat="1" applyFont="1" applyFill="1" applyBorder="1" applyAlignment="1" applyProtection="1">
      <alignment horizontal="center" wrapText="1"/>
    </xf>
    <xf numFmtId="0" fontId="9" fillId="43" borderId="10" xfId="0" applyFont="1" applyFill="1" applyBorder="1" applyAlignment="1" applyProtection="1">
      <alignment horizontal="center"/>
    </xf>
    <xf numFmtId="0" fontId="13" fillId="43" borderId="10" xfId="0" applyNumberFormat="1" applyFont="1" applyFill="1" applyBorder="1" applyAlignment="1" applyProtection="1">
      <alignment horizontal="center"/>
    </xf>
    <xf numFmtId="165" fontId="21" fillId="43" borderId="10" xfId="0" applyNumberFormat="1" applyFont="1" applyFill="1" applyBorder="1" applyAlignment="1" applyProtection="1">
      <alignment horizontal="center" vertical="top" wrapText="1"/>
    </xf>
    <xf numFmtId="0" fontId="21" fillId="47" borderId="16" xfId="0" applyNumberFormat="1" applyFont="1" applyFill="1" applyBorder="1" applyAlignment="1" applyProtection="1">
      <alignment horizontal="center" vertical="center" wrapText="1"/>
    </xf>
    <xf numFmtId="0" fontId="21" fillId="47" borderId="0" xfId="0" applyNumberFormat="1" applyFont="1" applyFill="1" applyBorder="1" applyAlignment="1" applyProtection="1">
      <alignment horizontal="center" vertical="center" wrapText="1"/>
    </xf>
    <xf numFmtId="0" fontId="21" fillId="47" borderId="17" xfId="0" applyNumberFormat="1" applyFont="1" applyFill="1" applyBorder="1" applyAlignment="1" applyProtection="1">
      <alignment horizontal="center" vertical="center" wrapText="1"/>
    </xf>
    <xf numFmtId="0" fontId="21" fillId="47" borderId="10" xfId="0" applyNumberFormat="1" applyFont="1" applyFill="1" applyBorder="1" applyAlignment="1" applyProtection="1">
      <alignment horizontal="center" vertical="center" wrapText="1"/>
    </xf>
    <xf numFmtId="170" fontId="13" fillId="43" borderId="10" xfId="0" applyNumberFormat="1" applyFont="1" applyFill="1" applyBorder="1" applyAlignment="1" applyProtection="1">
      <alignment horizontal="center" vertical="top" wrapText="1"/>
    </xf>
    <xf numFmtId="164" fontId="13" fillId="43" borderId="12" xfId="0" applyNumberFormat="1" applyFont="1" applyFill="1" applyBorder="1" applyAlignment="1" applyProtection="1">
      <alignment horizontal="center"/>
    </xf>
    <xf numFmtId="0" fontId="9" fillId="43" borderId="17" xfId="0" applyFont="1" applyFill="1" applyBorder="1" applyAlignment="1">
      <alignment wrapText="1"/>
    </xf>
    <xf numFmtId="2" fontId="9" fillId="43" borderId="15" xfId="0" applyNumberFormat="1" applyFont="1" applyFill="1" applyBorder="1"/>
    <xf numFmtId="0" fontId="9" fillId="43" borderId="18" xfId="0" applyFont="1" applyFill="1" applyBorder="1" applyAlignment="1">
      <alignment horizontal="center" wrapText="1"/>
    </xf>
    <xf numFmtId="0" fontId="9" fillId="43" borderId="14" xfId="0" applyFont="1" applyFill="1" applyBorder="1" applyAlignment="1">
      <alignment horizontal="center"/>
    </xf>
    <xf numFmtId="171" fontId="9" fillId="43" borderId="14" xfId="0" applyNumberFormat="1" applyFont="1" applyFill="1" applyBorder="1"/>
    <xf numFmtId="165" fontId="9" fillId="43" borderId="14" xfId="0" applyNumberFormat="1" applyFont="1" applyFill="1" applyBorder="1" applyAlignment="1">
      <alignment horizontal="right"/>
    </xf>
    <xf numFmtId="2" fontId="9" fillId="43" borderId="14" xfId="0" applyNumberFormat="1" applyFont="1" applyFill="1" applyBorder="1"/>
    <xf numFmtId="171" fontId="9" fillId="43" borderId="15" xfId="0" applyNumberFormat="1" applyFont="1" applyFill="1" applyBorder="1"/>
    <xf numFmtId="165" fontId="9" fillId="43" borderId="15" xfId="0" applyNumberFormat="1" applyFont="1" applyFill="1" applyBorder="1" applyAlignment="1">
      <alignment horizontal="right"/>
    </xf>
    <xf numFmtId="0" fontId="14" fillId="41" borderId="18" xfId="0" applyFont="1" applyFill="1" applyBorder="1" applyProtection="1">
      <protection locked="0"/>
    </xf>
    <xf numFmtId="0" fontId="14" fillId="41" borderId="14" xfId="0" applyFont="1" applyFill="1" applyBorder="1" applyProtection="1">
      <protection locked="0"/>
    </xf>
    <xf numFmtId="0" fontId="14" fillId="41" borderId="10" xfId="0" applyFont="1" applyFill="1" applyBorder="1" applyProtection="1">
      <protection locked="0"/>
    </xf>
    <xf numFmtId="0" fontId="14" fillId="41" borderId="0" xfId="0" applyFont="1" applyFill="1" applyBorder="1" applyProtection="1">
      <protection locked="0"/>
    </xf>
    <xf numFmtId="0" fontId="9" fillId="42" borderId="0" xfId="0" applyFont="1" applyFill="1" applyBorder="1" applyAlignment="1" applyProtection="1">
      <alignment horizontal="center" vertical="top" wrapText="1"/>
      <protection locked="0"/>
    </xf>
    <xf numFmtId="1" fontId="13" fillId="42" borderId="0" xfId="0" applyNumberFormat="1" applyFont="1" applyFill="1" applyBorder="1" applyAlignment="1" applyProtection="1">
      <alignment horizontal="center"/>
      <protection locked="0"/>
    </xf>
    <xf numFmtId="0" fontId="9" fillId="41" borderId="0" xfId="0" applyFont="1" applyFill="1" applyBorder="1" applyAlignment="1" applyProtection="1">
      <alignment horizontal="center" vertical="center" wrapText="1"/>
      <protection locked="0"/>
    </xf>
    <xf numFmtId="0" fontId="9" fillId="41" borderId="10" xfId="0" applyFont="1" applyFill="1" applyBorder="1" applyAlignment="1" applyProtection="1">
      <alignment vertical="center"/>
      <protection locked="0"/>
    </xf>
    <xf numFmtId="0" fontId="9" fillId="41" borderId="10" xfId="0" applyFont="1" applyFill="1" applyBorder="1" applyAlignment="1" applyProtection="1">
      <alignment vertical="top"/>
      <protection locked="0"/>
    </xf>
    <xf numFmtId="0" fontId="9" fillId="41" borderId="0" xfId="0" applyFont="1" applyFill="1" applyBorder="1" applyAlignment="1" applyProtection="1">
      <alignment horizontal="center" vertical="top"/>
      <protection locked="0"/>
    </xf>
    <xf numFmtId="0" fontId="14" fillId="41" borderId="10" xfId="0" applyFont="1" applyFill="1" applyBorder="1" applyAlignment="1" applyProtection="1">
      <protection locked="0"/>
    </xf>
    <xf numFmtId="0" fontId="14" fillId="41" borderId="14" xfId="0" applyFont="1" applyFill="1" applyBorder="1" applyAlignment="1" applyProtection="1">
      <protection locked="0"/>
    </xf>
    <xf numFmtId="0" fontId="14" fillId="41" borderId="0" xfId="0" applyFont="1" applyFill="1" applyBorder="1" applyAlignment="1" applyProtection="1">
      <alignment horizontal="left"/>
      <protection locked="0"/>
    </xf>
    <xf numFmtId="0" fontId="8" fillId="44" borderId="15" xfId="0" applyFont="1" applyFill="1" applyBorder="1" applyAlignment="1" applyProtection="1">
      <protection locked="0"/>
    </xf>
    <xf numFmtId="0" fontId="14" fillId="41" borderId="0" xfId="0" applyFont="1" applyFill="1" applyBorder="1" applyAlignment="1" applyProtection="1">
      <alignment vertical="top"/>
      <protection locked="0"/>
    </xf>
    <xf numFmtId="0" fontId="9" fillId="42" borderId="0" xfId="0" applyNumberFormat="1" applyFont="1" applyFill="1" applyBorder="1" applyAlignment="1" applyProtection="1">
      <alignment horizontal="center"/>
      <protection locked="0"/>
    </xf>
    <xf numFmtId="0" fontId="9" fillId="41" borderId="17" xfId="0" applyFont="1" applyFill="1" applyBorder="1" applyAlignment="1" applyProtection="1">
      <alignment vertical="top"/>
      <protection locked="0"/>
    </xf>
    <xf numFmtId="0" fontId="9" fillId="41" borderId="15" xfId="0" applyFont="1" applyFill="1" applyBorder="1" applyAlignment="1" applyProtection="1">
      <alignment horizontal="center" vertical="top"/>
      <protection locked="0"/>
    </xf>
    <xf numFmtId="0" fontId="9" fillId="41" borderId="0" xfId="0" applyFont="1" applyFill="1" applyBorder="1" applyAlignment="1" applyProtection="1">
      <alignment horizontal="left" vertical="center" wrapText="1"/>
      <protection locked="0"/>
    </xf>
    <xf numFmtId="0" fontId="14" fillId="41" borderId="17" xfId="0" applyFont="1" applyFill="1" applyBorder="1" applyProtection="1">
      <protection locked="0"/>
    </xf>
    <xf numFmtId="0" fontId="9" fillId="41" borderId="15" xfId="0" applyFont="1" applyFill="1" applyBorder="1" applyAlignment="1" applyProtection="1">
      <alignment horizontal="left" vertical="center" wrapText="1"/>
      <protection locked="0"/>
    </xf>
    <xf numFmtId="10" fontId="9" fillId="41" borderId="0" xfId="0" applyNumberFormat="1" applyFont="1" applyFill="1" applyBorder="1" applyAlignment="1" applyProtection="1">
      <alignment horizontal="left" vertical="center"/>
      <protection locked="0"/>
    </xf>
    <xf numFmtId="1" fontId="9" fillId="41" borderId="0" xfId="0" applyNumberFormat="1" applyFont="1" applyFill="1" applyBorder="1" applyAlignment="1" applyProtection="1">
      <alignment horizontal="left" vertical="center"/>
      <protection locked="0"/>
    </xf>
    <xf numFmtId="0" fontId="9" fillId="41" borderId="15" xfId="0" applyFont="1" applyFill="1" applyBorder="1" applyAlignment="1" applyProtection="1">
      <alignment horizontal="left" vertical="center"/>
      <protection locked="0"/>
    </xf>
    <xf numFmtId="0" fontId="14" fillId="41" borderId="18" xfId="0" applyFont="1" applyFill="1" applyBorder="1" applyAlignment="1" applyProtection="1">
      <protection locked="0"/>
    </xf>
    <xf numFmtId="0" fontId="14" fillId="41" borderId="17" xfId="0" applyFont="1" applyFill="1" applyBorder="1" applyAlignment="1" applyProtection="1">
      <protection locked="0"/>
    </xf>
    <xf numFmtId="0" fontId="9" fillId="41" borderId="0" xfId="0" applyFont="1" applyFill="1" applyBorder="1" applyAlignment="1" applyProtection="1">
      <alignment horizontal="center" vertical="center" shrinkToFit="1"/>
      <protection locked="0"/>
    </xf>
    <xf numFmtId="0" fontId="9" fillId="42" borderId="0" xfId="0" applyNumberFormat="1" applyFont="1" applyFill="1" applyBorder="1" applyAlignment="1" applyProtection="1">
      <alignment horizontal="center" vertical="top" wrapText="1"/>
      <protection locked="0"/>
    </xf>
    <xf numFmtId="164" fontId="14" fillId="42" borderId="0" xfId="0" applyNumberFormat="1" applyFont="1" applyFill="1" applyBorder="1" applyAlignment="1" applyProtection="1">
      <alignment horizontal="center"/>
      <protection locked="0"/>
    </xf>
    <xf numFmtId="9" fontId="13" fillId="43" borderId="16" xfId="0" applyNumberFormat="1" applyFont="1" applyFill="1" applyBorder="1" applyAlignment="1" applyProtection="1">
      <alignment horizontal="center"/>
    </xf>
    <xf numFmtId="0" fontId="9" fillId="41" borderId="0" xfId="0" applyNumberFormat="1" applyFont="1" applyFill="1" applyBorder="1" applyAlignment="1" applyProtection="1">
      <protection locked="0"/>
    </xf>
    <xf numFmtId="10" fontId="13" fillId="47" borderId="0" xfId="0" applyNumberFormat="1" applyFont="1" applyFill="1" applyBorder="1" applyAlignment="1" applyProtection="1">
      <alignment horizontal="left" vertical="center"/>
    </xf>
    <xf numFmtId="10" fontId="21" fillId="47" borderId="10" xfId="0" applyNumberFormat="1" applyFont="1" applyFill="1" applyBorder="1" applyAlignment="1" applyProtection="1">
      <alignment horizontal="center" vertical="center"/>
    </xf>
    <xf numFmtId="10" fontId="21" fillId="47" borderId="0" xfId="0" applyNumberFormat="1" applyFont="1" applyFill="1" applyBorder="1" applyAlignment="1" applyProtection="1">
      <alignment horizontal="center" vertical="center"/>
    </xf>
    <xf numFmtId="10" fontId="21" fillId="47" borderId="16" xfId="0" applyNumberFormat="1" applyFont="1" applyFill="1" applyBorder="1" applyAlignment="1" applyProtection="1">
      <alignment horizontal="center" vertical="center"/>
    </xf>
    <xf numFmtId="9" fontId="21" fillId="43" borderId="12" xfId="0" applyNumberFormat="1" applyFont="1" applyFill="1" applyBorder="1" applyAlignment="1" applyProtection="1">
      <alignment horizontal="center"/>
    </xf>
    <xf numFmtId="10" fontId="13" fillId="47" borderId="0" xfId="0" applyNumberFormat="1" applyFont="1" applyFill="1" applyBorder="1" applyAlignment="1" applyProtection="1">
      <alignment horizontal="center" vertical="center"/>
    </xf>
    <xf numFmtId="10" fontId="13" fillId="47" borderId="16" xfId="0" applyNumberFormat="1" applyFont="1" applyFill="1" applyBorder="1" applyAlignment="1" applyProtection="1">
      <alignment horizontal="center" vertical="center"/>
    </xf>
    <xf numFmtId="0" fontId="8" fillId="55" borderId="0" xfId="0" applyFont="1" applyFill="1" applyBorder="1" applyAlignment="1"/>
    <xf numFmtId="1" fontId="9" fillId="55" borderId="12" xfId="0" applyNumberFormat="1" applyFont="1" applyFill="1" applyBorder="1" applyAlignment="1">
      <alignment horizontal="center"/>
    </xf>
    <xf numFmtId="0" fontId="9" fillId="55" borderId="0" xfId="0" applyFont="1" applyFill="1" applyBorder="1"/>
    <xf numFmtId="1" fontId="9" fillId="55" borderId="16" xfId="0" applyNumberFormat="1" applyFont="1" applyFill="1" applyBorder="1" applyAlignment="1">
      <alignment horizontal="center"/>
    </xf>
    <xf numFmtId="1" fontId="9" fillId="55" borderId="0" xfId="0" applyNumberFormat="1" applyFont="1" applyFill="1" applyBorder="1" applyAlignment="1">
      <alignment horizontal="center"/>
    </xf>
    <xf numFmtId="1" fontId="9" fillId="55" borderId="19" xfId="0" applyNumberFormat="1" applyFont="1" applyFill="1" applyBorder="1" applyAlignment="1">
      <alignment horizontal="center"/>
    </xf>
    <xf numFmtId="1" fontId="9" fillId="55" borderId="20" xfId="0" applyNumberFormat="1" applyFont="1" applyFill="1" applyBorder="1" applyAlignment="1">
      <alignment horizontal="center"/>
    </xf>
    <xf numFmtId="2" fontId="9" fillId="55" borderId="0" xfId="0" applyNumberFormat="1" applyFont="1" applyFill="1" applyBorder="1" applyAlignment="1">
      <alignment horizontal="center"/>
    </xf>
    <xf numFmtId="2" fontId="9" fillId="55" borderId="16" xfId="0" applyNumberFormat="1" applyFont="1" applyFill="1" applyBorder="1" applyAlignment="1">
      <alignment horizontal="center"/>
    </xf>
    <xf numFmtId="2" fontId="9" fillId="55" borderId="12" xfId="0" applyNumberFormat="1" applyFont="1" applyFill="1" applyBorder="1" applyAlignment="1">
      <alignment horizontal="center"/>
    </xf>
    <xf numFmtId="2" fontId="9" fillId="55" borderId="19" xfId="0" applyNumberFormat="1" applyFont="1" applyFill="1" applyBorder="1" applyAlignment="1">
      <alignment horizontal="center"/>
    </xf>
    <xf numFmtId="10" fontId="9" fillId="43" borderId="12" xfId="0" applyNumberFormat="1" applyFont="1" applyFill="1" applyBorder="1" applyAlignment="1" applyProtection="1">
      <alignment horizontal="center" vertical="center" wrapText="1"/>
    </xf>
    <xf numFmtId="172" fontId="21" fillId="43" borderId="0" xfId="0" applyNumberFormat="1" applyFont="1" applyFill="1" applyBorder="1" applyAlignment="1" applyProtection="1">
      <alignment horizontal="center" vertical="center"/>
    </xf>
    <xf numFmtId="1" fontId="9" fillId="43" borderId="12" xfId="0" applyNumberFormat="1" applyFont="1" applyFill="1" applyBorder="1" applyAlignment="1" applyProtection="1">
      <alignment horizontal="center" vertical="center" wrapText="1"/>
    </xf>
    <xf numFmtId="0" fontId="13" fillId="47" borderId="12" xfId="0" applyNumberFormat="1" applyFont="1" applyFill="1" applyBorder="1" applyAlignment="1" applyProtection="1">
      <alignment horizontal="center" vertical="center" wrapText="1"/>
    </xf>
    <xf numFmtId="10" fontId="9" fillId="43" borderId="12" xfId="0" applyNumberFormat="1" applyFont="1" applyFill="1" applyBorder="1" applyAlignment="1" applyProtection="1">
      <alignment horizontal="center" vertical="top" wrapText="1"/>
    </xf>
    <xf numFmtId="4" fontId="13" fillId="43" borderId="12" xfId="0" applyNumberFormat="1" applyFont="1" applyFill="1" applyBorder="1" applyAlignment="1" applyProtection="1">
      <alignment horizontal="center"/>
    </xf>
    <xf numFmtId="169" fontId="13" fillId="43" borderId="12" xfId="0" applyNumberFormat="1" applyFont="1" applyFill="1" applyBorder="1" applyAlignment="1" applyProtection="1">
      <alignment horizontal="center"/>
    </xf>
    <xf numFmtId="2" fontId="12" fillId="43" borderId="12" xfId="0" applyNumberFormat="1" applyFont="1" applyFill="1" applyBorder="1" applyAlignment="1" applyProtection="1">
      <alignment horizontal="center"/>
    </xf>
    <xf numFmtId="1" fontId="21" fillId="43" borderId="12" xfId="0" applyNumberFormat="1" applyFont="1" applyFill="1" applyBorder="1" applyAlignment="1" applyProtection="1">
      <alignment horizontal="center" wrapText="1"/>
    </xf>
    <xf numFmtId="2" fontId="9" fillId="43" borderId="12" xfId="0" applyNumberFormat="1" applyFont="1" applyFill="1" applyBorder="1" applyAlignment="1" applyProtection="1">
      <alignment horizontal="center"/>
    </xf>
    <xf numFmtId="165" fontId="21" fillId="43" borderId="12" xfId="0" applyNumberFormat="1" applyFont="1" applyFill="1" applyBorder="1" applyAlignment="1" applyProtection="1">
      <alignment horizontal="center" vertical="center"/>
    </xf>
    <xf numFmtId="2" fontId="9" fillId="43" borderId="12" xfId="0" applyNumberFormat="1" applyFont="1" applyFill="1" applyBorder="1" applyAlignment="1" applyProtection="1">
      <alignment horizontal="center" vertical="center"/>
    </xf>
    <xf numFmtId="2" fontId="13" fillId="43" borderId="16" xfId="0" applyNumberFormat="1" applyFont="1" applyFill="1" applyBorder="1" applyAlignment="1" applyProtection="1">
      <alignment horizontal="center" vertical="center"/>
    </xf>
    <xf numFmtId="0" fontId="53" fillId="43" borderId="16" xfId="0" applyFont="1" applyFill="1" applyBorder="1" applyAlignment="1" applyProtection="1">
      <alignment horizontal="center" vertical="center" wrapText="1"/>
    </xf>
    <xf numFmtId="164" fontId="55" fillId="43" borderId="16" xfId="0" applyNumberFormat="1" applyFont="1" applyFill="1" applyBorder="1" applyAlignment="1" applyProtection="1">
      <alignment horizontal="center"/>
    </xf>
    <xf numFmtId="0" fontId="55" fillId="43" borderId="16" xfId="0" applyFont="1" applyFill="1" applyBorder="1" applyAlignment="1" applyProtection="1">
      <alignment horizontal="center"/>
    </xf>
    <xf numFmtId="2" fontId="55" fillId="43" borderId="16" xfId="0" applyNumberFormat="1" applyFont="1" applyFill="1" applyBorder="1" applyAlignment="1" applyProtection="1">
      <alignment horizontal="center"/>
    </xf>
    <xf numFmtId="165" fontId="55" fillId="43" borderId="16" xfId="0" applyNumberFormat="1" applyFont="1" applyFill="1" applyBorder="1" applyAlignment="1" applyProtection="1">
      <alignment horizontal="center"/>
    </xf>
    <xf numFmtId="10" fontId="53" fillId="43" borderId="16" xfId="0" applyNumberFormat="1" applyFont="1" applyFill="1" applyBorder="1" applyAlignment="1" applyProtection="1">
      <alignment horizontal="center" vertical="top" wrapText="1"/>
    </xf>
    <xf numFmtId="0" fontId="53" fillId="43" borderId="16" xfId="0" applyNumberFormat="1" applyFont="1" applyFill="1" applyBorder="1" applyAlignment="1" applyProtection="1">
      <alignment horizontal="center" vertical="center" wrapText="1"/>
    </xf>
    <xf numFmtId="0" fontId="53" fillId="43" borderId="16" xfId="0" applyFont="1" applyFill="1" applyBorder="1" applyProtection="1"/>
    <xf numFmtId="2" fontId="53" fillId="43" borderId="16" xfId="0" applyNumberFormat="1" applyFont="1" applyFill="1" applyBorder="1" applyAlignment="1" applyProtection="1">
      <alignment horizontal="center" vertical="center"/>
    </xf>
    <xf numFmtId="169" fontId="55" fillId="43" borderId="16" xfId="0" applyNumberFormat="1" applyFont="1" applyFill="1" applyBorder="1" applyAlignment="1" applyProtection="1">
      <alignment horizontal="center" wrapText="1"/>
    </xf>
    <xf numFmtId="2" fontId="53" fillId="43" borderId="16" xfId="0" applyNumberFormat="1" applyFont="1" applyFill="1" applyBorder="1" applyAlignment="1" applyProtection="1">
      <alignment horizontal="center"/>
    </xf>
    <xf numFmtId="0" fontId="13" fillId="43" borderId="16" xfId="0" applyNumberFormat="1" applyFont="1" applyFill="1" applyBorder="1" applyAlignment="1" applyProtection="1">
      <alignment horizontal="center"/>
    </xf>
    <xf numFmtId="1" fontId="53" fillId="43" borderId="16" xfId="0" applyNumberFormat="1" applyFont="1" applyFill="1" applyBorder="1" applyAlignment="1" applyProtection="1">
      <alignment horizontal="center" vertical="center" wrapText="1"/>
    </xf>
    <xf numFmtId="10" fontId="21" fillId="47" borderId="10" xfId="0" applyNumberFormat="1" applyFont="1" applyFill="1" applyBorder="1" applyAlignment="1" applyProtection="1">
      <alignment vertical="center"/>
    </xf>
    <xf numFmtId="10" fontId="21" fillId="47" borderId="16" xfId="0" applyNumberFormat="1" applyFont="1" applyFill="1" applyBorder="1" applyAlignment="1" applyProtection="1">
      <alignment vertical="center"/>
    </xf>
    <xf numFmtId="10" fontId="13" fillId="47" borderId="0" xfId="0" applyNumberFormat="1" applyFont="1" applyFill="1" applyBorder="1" applyAlignment="1" applyProtection="1">
      <alignment vertical="center"/>
    </xf>
    <xf numFmtId="10" fontId="13" fillId="47" borderId="16" xfId="0" applyNumberFormat="1" applyFont="1" applyFill="1" applyBorder="1" applyAlignment="1" applyProtection="1">
      <alignment vertical="center"/>
    </xf>
    <xf numFmtId="10" fontId="21" fillId="47" borderId="10" xfId="0" applyNumberFormat="1" applyFont="1" applyFill="1" applyBorder="1" applyAlignment="1" applyProtection="1">
      <alignment vertical="top"/>
    </xf>
    <xf numFmtId="10" fontId="21" fillId="47" borderId="16" xfId="0" applyNumberFormat="1" applyFont="1" applyFill="1" applyBorder="1" applyAlignment="1" applyProtection="1">
      <alignment vertical="top"/>
    </xf>
    <xf numFmtId="10" fontId="21" fillId="47" borderId="16" xfId="0" applyNumberFormat="1" applyFont="1" applyFill="1" applyBorder="1" applyAlignment="1" applyProtection="1">
      <alignment horizontal="left" vertical="center"/>
    </xf>
    <xf numFmtId="0" fontId="63" fillId="0" borderId="0" xfId="60"/>
    <xf numFmtId="0" fontId="63" fillId="0" borderId="0" xfId="60" applyBorder="1"/>
    <xf numFmtId="0" fontId="63" fillId="0" borderId="0" xfId="60" applyAlignment="1"/>
    <xf numFmtId="0" fontId="63" fillId="0" borderId="0" xfId="60" applyBorder="1" applyAlignment="1">
      <alignment horizontal="center"/>
    </xf>
    <xf numFmtId="0" fontId="24" fillId="0" borderId="49" xfId="60" applyFont="1" applyFill="1" applyBorder="1" applyAlignment="1">
      <alignment horizontal="center" wrapText="1"/>
    </xf>
    <xf numFmtId="0" fontId="24" fillId="0" borderId="50" xfId="60" applyFont="1" applyFill="1" applyBorder="1" applyAlignment="1">
      <alignment horizontal="center" wrapText="1"/>
    </xf>
    <xf numFmtId="0" fontId="63" fillId="0" borderId="0" xfId="60" applyAlignment="1">
      <alignment horizontal="center"/>
    </xf>
    <xf numFmtId="0" fontId="24" fillId="0" borderId="51" xfId="60" applyFont="1" applyFill="1" applyBorder="1" applyAlignment="1">
      <alignment horizontal="center" wrapText="1"/>
    </xf>
    <xf numFmtId="0" fontId="24" fillId="43" borderId="52" xfId="60" applyFont="1" applyFill="1" applyBorder="1" applyAlignment="1">
      <alignment horizontal="left" wrapText="1"/>
    </xf>
    <xf numFmtId="0" fontId="24" fillId="43" borderId="49" xfId="60" applyFont="1" applyFill="1" applyBorder="1" applyAlignment="1">
      <alignment horizontal="center" wrapText="1"/>
    </xf>
    <xf numFmtId="0" fontId="24" fillId="43" borderId="53" xfId="60" applyFont="1" applyFill="1" applyBorder="1" applyAlignment="1">
      <alignment horizontal="center" wrapText="1"/>
    </xf>
    <xf numFmtId="0" fontId="24" fillId="43" borderId="51" xfId="60" applyFont="1" applyFill="1" applyBorder="1" applyAlignment="1">
      <alignment horizontal="center" wrapText="1"/>
    </xf>
    <xf numFmtId="0" fontId="20" fillId="43" borderId="54" xfId="60" applyFont="1" applyFill="1" applyBorder="1" applyAlignment="1">
      <alignment horizontal="left" wrapText="1"/>
    </xf>
    <xf numFmtId="0" fontId="20" fillId="0" borderId="55" xfId="60" applyFont="1" applyBorder="1" applyAlignment="1">
      <alignment horizontal="center" wrapText="1"/>
    </xf>
    <xf numFmtId="6" fontId="20" fillId="42" borderId="56" xfId="60" applyNumberFormat="1" applyFont="1" applyFill="1" applyBorder="1" applyAlignment="1">
      <alignment horizontal="center" wrapText="1"/>
    </xf>
    <xf numFmtId="7" fontId="0" fillId="0" borderId="53" xfId="47" applyNumberFormat="1" applyFont="1" applyBorder="1" applyAlignment="1">
      <alignment horizontal="center"/>
    </xf>
    <xf numFmtId="0" fontId="20" fillId="43" borderId="34" xfId="60" applyFont="1" applyFill="1" applyBorder="1" applyAlignment="1">
      <alignment horizontal="left" wrapText="1"/>
    </xf>
    <xf numFmtId="0" fontId="20" fillId="0" borderId="24" xfId="60" applyFont="1" applyBorder="1" applyAlignment="1">
      <alignment horizontal="center" wrapText="1"/>
    </xf>
    <xf numFmtId="6" fontId="20" fillId="42" borderId="35" xfId="60" applyNumberFormat="1" applyFont="1" applyFill="1" applyBorder="1" applyAlignment="1">
      <alignment horizontal="center" wrapText="1"/>
    </xf>
    <xf numFmtId="0" fontId="24" fillId="43" borderId="34" xfId="60" applyFont="1" applyFill="1" applyBorder="1" applyAlignment="1">
      <alignment horizontal="left" wrapText="1"/>
    </xf>
    <xf numFmtId="0" fontId="24" fillId="42" borderId="24" xfId="60" applyFont="1" applyFill="1" applyBorder="1" applyAlignment="1">
      <alignment horizontal="center" wrapText="1"/>
    </xf>
    <xf numFmtId="6" fontId="24" fillId="42" borderId="35" xfId="60" applyNumberFormat="1" applyFont="1" applyFill="1" applyBorder="1" applyAlignment="1">
      <alignment horizontal="center" wrapText="1"/>
    </xf>
    <xf numFmtId="0" fontId="24" fillId="43" borderId="39" xfId="60" applyFont="1" applyFill="1" applyBorder="1" applyAlignment="1">
      <alignment horizontal="left" wrapText="1"/>
    </xf>
    <xf numFmtId="0" fontId="24" fillId="42" borderId="57" xfId="60" applyFont="1" applyFill="1" applyBorder="1" applyAlignment="1">
      <alignment horizontal="center" wrapText="1"/>
    </xf>
    <xf numFmtId="6" fontId="24" fillId="42" borderId="37" xfId="60" applyNumberFormat="1" applyFont="1" applyFill="1" applyBorder="1" applyAlignment="1">
      <alignment horizontal="center" wrapText="1"/>
    </xf>
    <xf numFmtId="0" fontId="24" fillId="43" borderId="43" xfId="60" applyFont="1" applyFill="1" applyBorder="1" applyAlignment="1">
      <alignment horizontal="left" wrapText="1"/>
    </xf>
    <xf numFmtId="0" fontId="24" fillId="42" borderId="55" xfId="60" applyFont="1" applyFill="1" applyBorder="1" applyAlignment="1">
      <alignment horizontal="center" wrapText="1"/>
    </xf>
    <xf numFmtId="6" fontId="24" fillId="42" borderId="56" xfId="60" applyNumberFormat="1" applyFont="1" applyFill="1" applyBorder="1" applyAlignment="1">
      <alignment horizontal="center" wrapText="1"/>
    </xf>
    <xf numFmtId="167" fontId="24" fillId="42" borderId="35" xfId="60" applyNumberFormat="1" applyFont="1" applyFill="1" applyBorder="1" applyAlignment="1">
      <alignment horizontal="center" wrapText="1"/>
    </xf>
    <xf numFmtId="0" fontId="24" fillId="42" borderId="58" xfId="60" applyFont="1" applyFill="1" applyBorder="1" applyAlignment="1">
      <alignment horizontal="center" wrapText="1"/>
    </xf>
    <xf numFmtId="6" fontId="24" fillId="56" borderId="59" xfId="60" applyNumberFormat="1" applyFont="1" applyFill="1" applyBorder="1" applyAlignment="1">
      <alignment horizontal="center" wrapText="1"/>
    </xf>
    <xf numFmtId="0" fontId="24" fillId="57" borderId="52" xfId="60" applyFont="1" applyFill="1" applyBorder="1" applyAlignment="1"/>
    <xf numFmtId="0" fontId="24" fillId="57" borderId="52" xfId="60" applyFont="1" applyFill="1" applyBorder="1" applyAlignment="1">
      <alignment horizontal="center" wrapText="1"/>
    </xf>
    <xf numFmtId="0" fontId="24" fillId="57" borderId="60" xfId="60" applyFont="1" applyFill="1" applyBorder="1" applyAlignment="1">
      <alignment horizontal="center" wrapText="1"/>
    </xf>
    <xf numFmtId="0" fontId="24" fillId="57" borderId="29" xfId="60" applyFont="1" applyFill="1" applyBorder="1"/>
    <xf numFmtId="167" fontId="21" fillId="42" borderId="33" xfId="60" applyNumberFormat="1" applyFont="1" applyFill="1" applyBorder="1" applyAlignment="1">
      <alignment horizontal="center" wrapText="1"/>
    </xf>
    <xf numFmtId="0" fontId="21" fillId="42" borderId="30" xfId="60" applyFont="1" applyFill="1" applyBorder="1" applyAlignment="1">
      <alignment horizontal="center" wrapText="1"/>
    </xf>
    <xf numFmtId="0" fontId="20" fillId="57" borderId="29" xfId="60" applyFont="1" applyFill="1" applyBorder="1"/>
    <xf numFmtId="167" fontId="13" fillId="42" borderId="33" xfId="60" applyNumberFormat="1" applyFont="1" applyFill="1" applyBorder="1" applyAlignment="1">
      <alignment horizontal="center" wrapText="1"/>
    </xf>
    <xf numFmtId="0" fontId="13" fillId="42" borderId="30" xfId="60" applyFont="1" applyFill="1" applyBorder="1" applyAlignment="1">
      <alignment horizontal="center" wrapText="1"/>
    </xf>
    <xf numFmtId="0" fontId="20" fillId="43" borderId="29" xfId="60" applyFont="1" applyFill="1" applyBorder="1" applyAlignment="1">
      <alignment horizontal="left" indent="1"/>
    </xf>
    <xf numFmtId="167" fontId="13" fillId="0" borderId="33" xfId="60" applyNumberFormat="1" applyFont="1" applyFill="1" applyBorder="1" applyAlignment="1">
      <alignment horizontal="center" wrapText="1"/>
    </xf>
    <xf numFmtId="0" fontId="13" fillId="0" borderId="30" xfId="60" applyFont="1" applyFill="1" applyBorder="1" applyAlignment="1">
      <alignment horizontal="center" wrapText="1"/>
    </xf>
    <xf numFmtId="0" fontId="20" fillId="57" borderId="29" xfId="60" applyFont="1" applyFill="1" applyBorder="1" applyAlignment="1">
      <alignment wrapText="1"/>
    </xf>
    <xf numFmtId="0" fontId="21" fillId="0" borderId="30" xfId="60" applyFont="1" applyFill="1" applyBorder="1" applyAlignment="1">
      <alignment horizontal="center" wrapText="1"/>
    </xf>
    <xf numFmtId="0" fontId="24" fillId="57" borderId="29" xfId="60" applyFont="1" applyFill="1" applyBorder="1" applyAlignment="1">
      <alignment wrapText="1"/>
    </xf>
    <xf numFmtId="167" fontId="21" fillId="0" borderId="33" xfId="60" applyNumberFormat="1" applyFont="1" applyFill="1" applyBorder="1" applyAlignment="1">
      <alignment horizontal="center" wrapText="1"/>
    </xf>
    <xf numFmtId="0" fontId="24" fillId="58" borderId="29" xfId="60" applyFont="1" applyFill="1" applyBorder="1" applyAlignment="1">
      <alignment wrapText="1"/>
    </xf>
    <xf numFmtId="167" fontId="21" fillId="58" borderId="33" xfId="60" applyNumberFormat="1" applyFont="1" applyFill="1" applyBorder="1" applyAlignment="1">
      <alignment horizontal="center" wrapText="1"/>
    </xf>
    <xf numFmtId="0" fontId="21" fillId="58" borderId="30" xfId="60" applyFont="1" applyFill="1" applyBorder="1" applyAlignment="1">
      <alignment horizontal="center" wrapText="1"/>
    </xf>
    <xf numFmtId="0" fontId="24" fillId="59" borderId="29" xfId="60" applyFont="1" applyFill="1" applyBorder="1" applyAlignment="1">
      <alignment wrapText="1"/>
    </xf>
    <xf numFmtId="0" fontId="20" fillId="46" borderId="29" xfId="60" applyFont="1" applyFill="1" applyBorder="1" applyAlignment="1">
      <alignment horizontal="left" wrapText="1" indent="1"/>
    </xf>
    <xf numFmtId="0" fontId="24" fillId="58" borderId="31" xfId="60" applyFont="1" applyFill="1" applyBorder="1" applyAlignment="1">
      <alignment wrapText="1"/>
    </xf>
    <xf numFmtId="167" fontId="21" fillId="58" borderId="41" xfId="60" applyNumberFormat="1" applyFont="1" applyFill="1" applyBorder="1" applyAlignment="1">
      <alignment horizontal="center" wrapText="1"/>
    </xf>
    <xf numFmtId="0" fontId="21" fillId="58" borderId="61" xfId="60" applyFont="1" applyFill="1" applyBorder="1" applyAlignment="1">
      <alignment horizontal="center" wrapText="1"/>
    </xf>
    <xf numFmtId="0" fontId="58" fillId="56" borderId="53" xfId="60" applyFont="1" applyFill="1" applyBorder="1" applyAlignment="1">
      <alignment horizontal="center" vertical="center"/>
    </xf>
    <xf numFmtId="0" fontId="24" fillId="57" borderId="62" xfId="60" applyFont="1" applyFill="1" applyBorder="1"/>
    <xf numFmtId="167" fontId="21" fillId="42" borderId="63" xfId="60" applyNumberFormat="1" applyFont="1" applyFill="1" applyBorder="1" applyAlignment="1">
      <alignment horizontal="center" wrapText="1"/>
    </xf>
    <xf numFmtId="0" fontId="21" fillId="42" borderId="64" xfId="60" applyFont="1" applyFill="1" applyBorder="1" applyAlignment="1">
      <alignment horizontal="center" wrapText="1"/>
    </xf>
    <xf numFmtId="0" fontId="61" fillId="0" borderId="0" xfId="60" applyFont="1"/>
    <xf numFmtId="0" fontId="62" fillId="0" borderId="0" xfId="60" applyFont="1" applyBorder="1"/>
    <xf numFmtId="0" fontId="9" fillId="41" borderId="0" xfId="0" quotePrefix="1" applyFont="1" applyFill="1" applyBorder="1" applyAlignment="1" applyProtection="1">
      <protection locked="0"/>
    </xf>
    <xf numFmtId="0" fontId="9" fillId="41" borderId="0" xfId="0" quotePrefix="1" applyFont="1" applyFill="1" applyBorder="1" applyAlignment="1" applyProtection="1">
      <alignment vertical="top"/>
      <protection locked="0"/>
    </xf>
    <xf numFmtId="9" fontId="21" fillId="47" borderId="16" xfId="0" applyNumberFormat="1" applyFont="1" applyFill="1" applyBorder="1" applyAlignment="1" applyProtection="1">
      <alignment horizontal="center"/>
    </xf>
    <xf numFmtId="0" fontId="9" fillId="41" borderId="15" xfId="0" quotePrefix="1" applyFont="1" applyFill="1" applyBorder="1" applyAlignment="1" applyProtection="1">
      <protection locked="0"/>
    </xf>
    <xf numFmtId="0" fontId="9" fillId="41" borderId="0" xfId="0" quotePrefix="1" applyFont="1" applyFill="1" applyBorder="1" applyAlignment="1" applyProtection="1">
      <alignment vertical="center"/>
      <protection locked="0"/>
    </xf>
    <xf numFmtId="0" fontId="8" fillId="41" borderId="18" xfId="0" applyFont="1" applyFill="1" applyBorder="1" applyAlignment="1" applyProtection="1">
      <protection locked="0"/>
    </xf>
    <xf numFmtId="0" fontId="8" fillId="41" borderId="14" xfId="0" applyFont="1" applyFill="1" applyBorder="1" applyAlignment="1" applyProtection="1">
      <protection locked="0"/>
    </xf>
    <xf numFmtId="0" fontId="8" fillId="44" borderId="22" xfId="0" applyFont="1" applyFill="1" applyBorder="1" applyAlignment="1" applyProtection="1">
      <protection locked="0"/>
    </xf>
    <xf numFmtId="0" fontId="8" fillId="44" borderId="21" xfId="0" applyFont="1" applyFill="1" applyBorder="1" applyAlignment="1" applyProtection="1">
      <protection locked="0"/>
    </xf>
    <xf numFmtId="0" fontId="9" fillId="41" borderId="0" xfId="0" applyFont="1" applyFill="1" applyBorder="1" applyAlignment="1" applyProtection="1">
      <alignment horizontal="center" shrinkToFit="1"/>
      <protection locked="0"/>
    </xf>
    <xf numFmtId="0" fontId="10" fillId="46" borderId="21" xfId="0" applyFont="1" applyFill="1" applyBorder="1" applyAlignment="1" applyProtection="1">
      <alignment horizontal="center"/>
      <protection locked="0"/>
    </xf>
    <xf numFmtId="0" fontId="10" fillId="46" borderId="23" xfId="0" applyFont="1" applyFill="1" applyBorder="1" applyAlignment="1" applyProtection="1">
      <alignment horizontal="center"/>
      <protection locked="0"/>
    </xf>
    <xf numFmtId="0" fontId="10" fillId="41" borderId="0" xfId="0" applyFont="1" applyFill="1" applyBorder="1" applyAlignment="1" applyProtection="1">
      <alignment horizontal="center"/>
      <protection locked="0"/>
    </xf>
    <xf numFmtId="0" fontId="10" fillId="41" borderId="15" xfId="0" applyFont="1" applyFill="1" applyBorder="1" applyAlignment="1" applyProtection="1">
      <alignment horizontal="center"/>
      <protection locked="0"/>
    </xf>
    <xf numFmtId="165" fontId="21" fillId="43" borderId="16" xfId="0" applyNumberFormat="1" applyFont="1" applyFill="1" applyBorder="1" applyAlignment="1" applyProtection="1">
      <alignment horizontal="center" vertical="center"/>
      <protection locked="0"/>
    </xf>
    <xf numFmtId="165" fontId="13" fillId="43" borderId="16" xfId="0" applyNumberFormat="1" applyFont="1" applyFill="1" applyBorder="1" applyAlignment="1" applyProtection="1">
      <alignment horizontal="center"/>
      <protection locked="0"/>
    </xf>
    <xf numFmtId="0" fontId="21" fillId="43" borderId="16" xfId="0" applyFont="1" applyFill="1" applyBorder="1" applyAlignment="1" applyProtection="1">
      <alignment horizontal="center"/>
      <protection locked="0"/>
    </xf>
    <xf numFmtId="0" fontId="9" fillId="43" borderId="16" xfId="0" applyFont="1" applyFill="1" applyBorder="1" applyAlignment="1" applyProtection="1">
      <alignment horizontal="center"/>
      <protection locked="0"/>
    </xf>
    <xf numFmtId="0" fontId="13" fillId="43" borderId="20" xfId="0" applyFont="1" applyFill="1" applyBorder="1" applyAlignment="1" applyProtection="1">
      <alignment horizontal="center"/>
      <protection locked="0"/>
    </xf>
    <xf numFmtId="2" fontId="21" fillId="43" borderId="16" xfId="0" applyNumberFormat="1" applyFont="1" applyFill="1" applyBorder="1" applyAlignment="1" applyProtection="1">
      <alignment horizontal="center" vertical="center"/>
      <protection locked="0"/>
    </xf>
    <xf numFmtId="0" fontId="9" fillId="43" borderId="16" xfId="0" applyFont="1" applyFill="1" applyBorder="1" applyAlignment="1" applyProtection="1">
      <alignment horizontal="center" vertical="top" wrapText="1"/>
      <protection locked="0"/>
    </xf>
    <xf numFmtId="1" fontId="13" fillId="43" borderId="16" xfId="0" applyNumberFormat="1" applyFont="1" applyFill="1" applyBorder="1" applyAlignment="1" applyProtection="1">
      <alignment horizontal="center"/>
      <protection locked="0"/>
    </xf>
    <xf numFmtId="170" fontId="13" fillId="43" borderId="16" xfId="0" applyNumberFormat="1" applyFont="1" applyFill="1" applyBorder="1" applyAlignment="1" applyProtection="1">
      <alignment horizontal="center"/>
      <protection locked="0"/>
    </xf>
    <xf numFmtId="170" fontId="21" fillId="43" borderId="16" xfId="0" applyNumberFormat="1" applyFont="1" applyFill="1" applyBorder="1" applyAlignment="1" applyProtection="1">
      <alignment horizontal="center"/>
      <protection locked="0"/>
    </xf>
    <xf numFmtId="0" fontId="9" fillId="61" borderId="14" xfId="0" applyFont="1" applyFill="1" applyBorder="1" applyAlignment="1">
      <alignment horizontal="center"/>
    </xf>
    <xf numFmtId="0" fontId="9" fillId="61" borderId="0" xfId="0" applyFont="1" applyFill="1" applyBorder="1" applyAlignment="1">
      <alignment horizontal="center"/>
    </xf>
    <xf numFmtId="0" fontId="9" fillId="61" borderId="15" xfId="0" applyFont="1" applyFill="1" applyBorder="1" applyAlignment="1">
      <alignment horizontal="center" wrapText="1"/>
    </xf>
    <xf numFmtId="169" fontId="9" fillId="60" borderId="0" xfId="0" applyNumberFormat="1" applyFont="1" applyFill="1" applyBorder="1" applyAlignment="1">
      <alignment horizontal="center"/>
    </xf>
    <xf numFmtId="169" fontId="9" fillId="60" borderId="0" xfId="0" applyNumberFormat="1" applyFont="1" applyFill="1"/>
    <xf numFmtId="169" fontId="9" fillId="60" borderId="15" xfId="0" applyNumberFormat="1" applyFont="1" applyFill="1" applyBorder="1" applyAlignment="1">
      <alignment horizontal="center"/>
    </xf>
    <xf numFmtId="0" fontId="9" fillId="61" borderId="13" xfId="0" applyFont="1" applyFill="1" applyBorder="1" applyAlignment="1">
      <alignment horizontal="center" wrapText="1"/>
    </xf>
    <xf numFmtId="0" fontId="8" fillId="62" borderId="21" xfId="0" applyFont="1" applyFill="1" applyBorder="1" applyAlignment="1"/>
    <xf numFmtId="0" fontId="8" fillId="62" borderId="23" xfId="0" applyFont="1" applyFill="1" applyBorder="1" applyAlignment="1"/>
    <xf numFmtId="2" fontId="9" fillId="60" borderId="14" xfId="0" applyNumberFormat="1" applyFont="1" applyFill="1" applyBorder="1" applyAlignment="1">
      <alignment horizontal="center"/>
    </xf>
    <xf numFmtId="2" fontId="9" fillId="60" borderId="11" xfId="0" applyNumberFormat="1" applyFont="1" applyFill="1" applyBorder="1" applyAlignment="1">
      <alignment horizontal="center"/>
    </xf>
    <xf numFmtId="2" fontId="9" fillId="60" borderId="0" xfId="0" applyNumberFormat="1" applyFont="1" applyFill="1" applyBorder="1" applyAlignment="1">
      <alignment horizontal="center"/>
    </xf>
    <xf numFmtId="2" fontId="9" fillId="60" borderId="12" xfId="0" applyNumberFormat="1" applyFont="1" applyFill="1" applyBorder="1" applyAlignment="1">
      <alignment horizontal="center"/>
    </xf>
    <xf numFmtId="2" fontId="9" fillId="60" borderId="15" xfId="0" applyNumberFormat="1" applyFont="1" applyFill="1" applyBorder="1" applyAlignment="1">
      <alignment horizontal="center"/>
    </xf>
    <xf numFmtId="2" fontId="9" fillId="60" borderId="13" xfId="0" applyNumberFormat="1" applyFont="1" applyFill="1" applyBorder="1" applyAlignment="1">
      <alignment horizontal="center"/>
    </xf>
    <xf numFmtId="1" fontId="9" fillId="60" borderId="15" xfId="0" applyNumberFormat="1" applyFont="1" applyFill="1" applyBorder="1" applyAlignment="1">
      <alignment horizontal="center"/>
    </xf>
    <xf numFmtId="1" fontId="9" fillId="60" borderId="0" xfId="0" applyNumberFormat="1" applyFont="1" applyFill="1" applyBorder="1" applyAlignment="1">
      <alignment horizontal="center"/>
    </xf>
    <xf numFmtId="1" fontId="9" fillId="60" borderId="14" xfId="0" applyNumberFormat="1" applyFont="1" applyFill="1" applyBorder="1" applyAlignment="1">
      <alignment horizontal="center"/>
    </xf>
    <xf numFmtId="0" fontId="9" fillId="61" borderId="0" xfId="0" applyFont="1" applyFill="1" applyBorder="1" applyAlignment="1">
      <alignment horizontal="left"/>
    </xf>
    <xf numFmtId="0" fontId="9" fillId="61" borderId="0" xfId="0" applyFont="1" applyFill="1"/>
    <xf numFmtId="169" fontId="9" fillId="60" borderId="21" xfId="0" applyNumberFormat="1" applyFont="1" applyFill="1" applyBorder="1"/>
    <xf numFmtId="1" fontId="9" fillId="60" borderId="12" xfId="0" applyNumberFormat="1" applyFont="1" applyFill="1" applyBorder="1" applyAlignment="1">
      <alignment horizontal="center"/>
    </xf>
    <xf numFmtId="2" fontId="9" fillId="60" borderId="21" xfId="0" applyNumberFormat="1" applyFont="1" applyFill="1" applyBorder="1" applyAlignment="1">
      <alignment horizontal="center"/>
    </xf>
    <xf numFmtId="0" fontId="13" fillId="43" borderId="10" xfId="0" applyFont="1" applyFill="1" applyBorder="1" applyAlignment="1">
      <alignment horizontal="center" wrapText="1"/>
    </xf>
    <xf numFmtId="0" fontId="13" fillId="43" borderId="17" xfId="0" applyFont="1" applyFill="1" applyBorder="1" applyAlignment="1">
      <alignment horizontal="center" wrapText="1"/>
    </xf>
    <xf numFmtId="1" fontId="9" fillId="60" borderId="21" xfId="0" applyNumberFormat="1" applyFont="1" applyFill="1" applyBorder="1" applyAlignment="1">
      <alignment horizontal="center"/>
    </xf>
    <xf numFmtId="1" fontId="9" fillId="60" borderId="23" xfId="0" applyNumberFormat="1" applyFont="1" applyFill="1" applyBorder="1" applyAlignment="1">
      <alignment horizontal="center"/>
    </xf>
    <xf numFmtId="1" fontId="41" fillId="63" borderId="33" xfId="0" applyNumberFormat="1" applyFont="1" applyFill="1" applyBorder="1"/>
    <xf numFmtId="1" fontId="42" fillId="63" borderId="33" xfId="0" applyNumberFormat="1" applyFont="1" applyFill="1" applyBorder="1" applyAlignment="1">
      <alignment horizontal="center"/>
    </xf>
    <xf numFmtId="165" fontId="0" fillId="63" borderId="33" xfId="0" applyNumberFormat="1" applyFill="1" applyBorder="1"/>
    <xf numFmtId="0" fontId="0" fillId="63" borderId="33" xfId="0" applyFill="1" applyBorder="1"/>
    <xf numFmtId="165" fontId="43" fillId="63" borderId="33" xfId="0" applyNumberFormat="1" applyFont="1" applyFill="1" applyBorder="1"/>
    <xf numFmtId="0" fontId="44" fillId="63" borderId="33" xfId="0" applyFont="1" applyFill="1" applyBorder="1"/>
    <xf numFmtId="0" fontId="45" fillId="63" borderId="33" xfId="0" applyFont="1" applyFill="1" applyBorder="1" applyAlignment="1">
      <alignment wrapText="1"/>
    </xf>
    <xf numFmtId="0" fontId="46" fillId="63" borderId="33" xfId="0" applyFont="1" applyFill="1" applyBorder="1" applyAlignment="1">
      <alignment wrapText="1"/>
    </xf>
    <xf numFmtId="0" fontId="43" fillId="63" borderId="33" xfId="0" applyFont="1" applyFill="1" applyBorder="1" applyAlignment="1">
      <alignment wrapText="1"/>
    </xf>
    <xf numFmtId="0" fontId="44" fillId="63" borderId="33" xfId="0" applyFont="1" applyFill="1" applyBorder="1" applyAlignment="1">
      <alignment horizontal="right"/>
    </xf>
    <xf numFmtId="165" fontId="47" fillId="63" borderId="33" xfId="0" applyNumberFormat="1" applyFont="1" applyFill="1" applyBorder="1" applyAlignment="1">
      <alignment wrapText="1"/>
    </xf>
    <xf numFmtId="0" fontId="48" fillId="63" borderId="33" xfId="0" applyFont="1" applyFill="1" applyBorder="1" applyAlignment="1">
      <alignment wrapText="1"/>
    </xf>
    <xf numFmtId="0" fontId="49" fillId="63" borderId="33" xfId="0" applyFont="1" applyFill="1" applyBorder="1" applyAlignment="1">
      <alignment wrapText="1"/>
    </xf>
    <xf numFmtId="0" fontId="50" fillId="63" borderId="33" xfId="0" applyFont="1" applyFill="1" applyBorder="1" applyAlignment="1">
      <alignment wrapText="1"/>
    </xf>
    <xf numFmtId="0" fontId="9" fillId="66" borderId="0" xfId="0" applyFont="1" applyFill="1" applyBorder="1" applyAlignment="1">
      <alignment horizontal="center"/>
    </xf>
    <xf numFmtId="169" fontId="9" fillId="43" borderId="14" xfId="0" applyNumberFormat="1" applyFont="1" applyFill="1" applyBorder="1" applyAlignment="1">
      <alignment horizontal="center"/>
    </xf>
    <xf numFmtId="0" fontId="8" fillId="46" borderId="22" xfId="0" applyFont="1" applyFill="1" applyBorder="1" applyAlignment="1" applyProtection="1">
      <alignment horizontal="left"/>
      <protection locked="0"/>
    </xf>
    <xf numFmtId="0" fontId="9" fillId="68" borderId="10" xfId="0" applyFont="1" applyFill="1" applyBorder="1" applyAlignment="1">
      <alignment horizontal="left"/>
    </xf>
    <xf numFmtId="0" fontId="9" fillId="63" borderId="0" xfId="0" applyFont="1" applyFill="1"/>
    <xf numFmtId="0" fontId="66" fillId="0" borderId="0" xfId="70"/>
    <xf numFmtId="0" fontId="6" fillId="0" borderId="0" xfId="70" applyFont="1"/>
    <xf numFmtId="0" fontId="67" fillId="0" borderId="0" xfId="70" applyFont="1"/>
    <xf numFmtId="0" fontId="68" fillId="0" borderId="0" xfId="70" applyFont="1" applyAlignment="1">
      <alignment horizontal="left"/>
    </xf>
    <xf numFmtId="0" fontId="66" fillId="0" borderId="0" xfId="70" applyAlignment="1">
      <alignment horizontal="center"/>
    </xf>
    <xf numFmtId="0" fontId="69" fillId="0" borderId="0" xfId="70" applyFont="1"/>
    <xf numFmtId="10" fontId="0" fillId="0" borderId="0" xfId="71" applyNumberFormat="1" applyFont="1" applyAlignment="1">
      <alignment wrapText="1"/>
    </xf>
    <xf numFmtId="0" fontId="5" fillId="0" borderId="0" xfId="72"/>
    <xf numFmtId="0" fontId="66" fillId="0" borderId="0" xfId="70" applyFont="1"/>
    <xf numFmtId="169" fontId="19" fillId="0" borderId="0" xfId="70" applyNumberFormat="1" applyFont="1"/>
    <xf numFmtId="173" fontId="70" fillId="0" borderId="0" xfId="73" applyNumberFormat="1" applyFont="1"/>
    <xf numFmtId="169" fontId="66" fillId="0" borderId="0" xfId="70" applyNumberFormat="1"/>
    <xf numFmtId="0" fontId="66" fillId="42" borderId="33" xfId="70" applyFill="1" applyBorder="1"/>
    <xf numFmtId="0" fontId="66" fillId="60" borderId="33" xfId="70" applyFill="1" applyBorder="1"/>
    <xf numFmtId="1" fontId="66" fillId="60" borderId="33" xfId="70" applyNumberFormat="1" applyFill="1" applyBorder="1" applyAlignment="1">
      <alignment horizontal="center"/>
    </xf>
    <xf numFmtId="1" fontId="5" fillId="4" borderId="33" xfId="71" applyNumberFormat="1" applyFont="1" applyFill="1" applyBorder="1" applyAlignment="1">
      <alignment horizontal="center"/>
    </xf>
    <xf numFmtId="0" fontId="66" fillId="4" borderId="33" xfId="70" applyFill="1" applyBorder="1" applyAlignment="1">
      <alignment horizontal="center"/>
    </xf>
    <xf numFmtId="0" fontId="66" fillId="63" borderId="33" xfId="70" applyFill="1" applyBorder="1" applyAlignment="1">
      <alignment horizontal="center"/>
    </xf>
    <xf numFmtId="2" fontId="5" fillId="63" borderId="33" xfId="71" applyNumberFormat="1" applyFont="1" applyFill="1" applyBorder="1" applyAlignment="1">
      <alignment horizontal="center"/>
    </xf>
    <xf numFmtId="1" fontId="5" fillId="63" borderId="33" xfId="71" applyNumberFormat="1" applyFont="1" applyFill="1" applyBorder="1" applyAlignment="1">
      <alignment horizontal="center"/>
    </xf>
    <xf numFmtId="165" fontId="5" fillId="63" borderId="33" xfId="71" applyNumberFormat="1" applyFont="1" applyFill="1" applyBorder="1" applyAlignment="1">
      <alignment horizontal="center"/>
    </xf>
    <xf numFmtId="0" fontId="66" fillId="42" borderId="33" xfId="70" applyFill="1" applyBorder="1" applyAlignment="1">
      <alignment horizontal="center"/>
    </xf>
    <xf numFmtId="165" fontId="66" fillId="42" borderId="33" xfId="70" applyNumberFormat="1" applyFill="1" applyBorder="1" applyAlignment="1">
      <alignment horizontal="center"/>
    </xf>
    <xf numFmtId="1" fontId="66" fillId="42" borderId="33" xfId="70" applyNumberFormat="1" applyFill="1" applyBorder="1" applyAlignment="1">
      <alignment horizontal="center"/>
    </xf>
    <xf numFmtId="2" fontId="66" fillId="42" borderId="33" xfId="70" applyNumberFormat="1" applyFill="1" applyBorder="1" applyAlignment="1">
      <alignment horizontal="center"/>
    </xf>
    <xf numFmtId="1" fontId="70" fillId="42" borderId="33" xfId="70" applyNumberFormat="1" applyFont="1" applyFill="1" applyBorder="1" applyAlignment="1">
      <alignment horizontal="center"/>
    </xf>
    <xf numFmtId="0" fontId="8" fillId="63" borderId="33" xfId="70" applyFont="1" applyFill="1" applyBorder="1" applyAlignment="1">
      <alignment horizontal="center"/>
    </xf>
    <xf numFmtId="1" fontId="66" fillId="0" borderId="0" xfId="70" applyNumberFormat="1"/>
    <xf numFmtId="0" fontId="8" fillId="60" borderId="33" xfId="70" applyFont="1" applyFill="1" applyBorder="1"/>
    <xf numFmtId="0" fontId="8" fillId="60" borderId="33" xfId="70" applyFont="1" applyFill="1" applyBorder="1" applyAlignment="1">
      <alignment horizontal="center"/>
    </xf>
    <xf numFmtId="0" fontId="8" fillId="4" borderId="33" xfId="70" applyFont="1" applyFill="1" applyBorder="1" applyAlignment="1">
      <alignment horizontal="center"/>
    </xf>
    <xf numFmtId="49" fontId="66" fillId="0" borderId="0" xfId="70" applyNumberFormat="1" applyAlignment="1">
      <alignment horizontal="left"/>
    </xf>
    <xf numFmtId="0" fontId="8" fillId="0" borderId="0" xfId="70" applyFont="1" applyAlignment="1">
      <alignment wrapText="1"/>
    </xf>
    <xf numFmtId="0" fontId="66" fillId="0" borderId="0" xfId="70" applyAlignment="1">
      <alignment wrapText="1"/>
    </xf>
    <xf numFmtId="0" fontId="6" fillId="0" borderId="0" xfId="70" applyFont="1" applyAlignment="1">
      <alignment wrapText="1"/>
    </xf>
    <xf numFmtId="0" fontId="66" fillId="0" borderId="0" xfId="70" applyAlignment="1">
      <alignment horizontal="center" wrapText="1"/>
    </xf>
    <xf numFmtId="2" fontId="66" fillId="0" borderId="0" xfId="70" applyNumberFormat="1" applyAlignment="1">
      <alignment horizontal="center"/>
    </xf>
    <xf numFmtId="165" fontId="66" fillId="0" borderId="0" xfId="70" applyNumberFormat="1"/>
    <xf numFmtId="49" fontId="66" fillId="0" borderId="0" xfId="70" applyNumberFormat="1"/>
    <xf numFmtId="2" fontId="66" fillId="0" borderId="0" xfId="70" applyNumberFormat="1"/>
    <xf numFmtId="0" fontId="19" fillId="0" borderId="0" xfId="70" applyFont="1" applyAlignment="1">
      <alignment horizontal="center"/>
    </xf>
    <xf numFmtId="0" fontId="66" fillId="0" borderId="0" xfId="70" applyFill="1"/>
    <xf numFmtId="49" fontId="66" fillId="0" borderId="0" xfId="70" applyNumberFormat="1" applyFont="1"/>
    <xf numFmtId="1" fontId="66" fillId="0" borderId="0" xfId="70" applyNumberFormat="1" applyAlignment="1">
      <alignment horizontal="center"/>
    </xf>
    <xf numFmtId="0" fontId="19" fillId="0" borderId="0" xfId="70" applyFont="1"/>
    <xf numFmtId="0" fontId="66" fillId="0" borderId="0" xfId="70" applyAlignment="1">
      <alignment horizontal="center"/>
    </xf>
    <xf numFmtId="9" fontId="66" fillId="0" borderId="0" xfId="74" applyFont="1" applyAlignment="1">
      <alignment horizontal="center"/>
    </xf>
    <xf numFmtId="9" fontId="66" fillId="0" borderId="0" xfId="74" applyFont="1"/>
    <xf numFmtId="174" fontId="66" fillId="0" borderId="0" xfId="73" applyNumberFormat="1" applyFont="1"/>
    <xf numFmtId="1" fontId="19" fillId="0" borderId="0" xfId="70" applyNumberFormat="1" applyFont="1"/>
    <xf numFmtId="0" fontId="66" fillId="0" borderId="0" xfId="70" applyAlignment="1">
      <alignment horizontal="right"/>
    </xf>
    <xf numFmtId="0" fontId="8" fillId="0" borderId="0" xfId="70" applyFont="1"/>
    <xf numFmtId="16" fontId="66" fillId="0" borderId="0" xfId="70" applyNumberFormat="1"/>
    <xf numFmtId="10" fontId="5" fillId="0" borderId="0" xfId="71" applyNumberFormat="1" applyFont="1"/>
    <xf numFmtId="175" fontId="66" fillId="0" borderId="0" xfId="70" applyNumberFormat="1"/>
    <xf numFmtId="15" fontId="66" fillId="0" borderId="0" xfId="70" applyNumberFormat="1"/>
    <xf numFmtId="175" fontId="5" fillId="0" borderId="0" xfId="75" applyNumberFormat="1" applyFont="1"/>
    <xf numFmtId="10" fontId="66" fillId="0" borderId="0" xfId="70" applyNumberFormat="1"/>
    <xf numFmtId="0" fontId="66" fillId="0" borderId="0" xfId="70" applyBorder="1" applyAlignment="1">
      <alignment horizontal="center"/>
    </xf>
    <xf numFmtId="0" fontId="66" fillId="0" borderId="0" xfId="70" applyBorder="1"/>
    <xf numFmtId="169" fontId="66" fillId="0" borderId="0" xfId="70" applyNumberFormat="1" applyBorder="1" applyAlignment="1">
      <alignment horizontal="center"/>
    </xf>
    <xf numFmtId="169" fontId="66" fillId="0" borderId="0" xfId="70" applyNumberFormat="1" applyAlignment="1">
      <alignment horizontal="center"/>
    </xf>
    <xf numFmtId="169" fontId="6" fillId="0" borderId="0" xfId="70" applyNumberFormat="1" applyFont="1" applyBorder="1" applyAlignment="1">
      <alignment horizontal="center"/>
    </xf>
    <xf numFmtId="0" fontId="9" fillId="0" borderId="0" xfId="70" applyFont="1"/>
    <xf numFmtId="0" fontId="6" fillId="0" borderId="0" xfId="70" applyFont="1" applyAlignment="1">
      <alignment horizontal="left"/>
    </xf>
    <xf numFmtId="0" fontId="19" fillId="0" borderId="0" xfId="70" applyFont="1" applyAlignment="1">
      <alignment horizontal="left"/>
    </xf>
    <xf numFmtId="2" fontId="19" fillId="0" borderId="0" xfId="70" applyNumberFormat="1" applyFont="1" applyAlignment="1">
      <alignment horizontal="left"/>
    </xf>
    <xf numFmtId="0" fontId="19" fillId="0" borderId="0" xfId="70" applyFont="1" applyAlignment="1">
      <alignment horizontal="right"/>
    </xf>
    <xf numFmtId="0" fontId="66" fillId="0" borderId="0" xfId="70" applyAlignment="1">
      <alignment horizontal="left"/>
    </xf>
    <xf numFmtId="0" fontId="72" fillId="0" borderId="0" xfId="70" applyFont="1"/>
    <xf numFmtId="9" fontId="5" fillId="0" borderId="0" xfId="71" applyFont="1"/>
    <xf numFmtId="0" fontId="73" fillId="0" borderId="0" xfId="70" applyFont="1"/>
    <xf numFmtId="165" fontId="73" fillId="0" borderId="0" xfId="70" applyNumberFormat="1" applyFont="1"/>
    <xf numFmtId="0" fontId="0" fillId="70" borderId="0" xfId="70" applyFont="1" applyFill="1"/>
    <xf numFmtId="0" fontId="0" fillId="0" borderId="0" xfId="70" applyFont="1"/>
    <xf numFmtId="165" fontId="66" fillId="63" borderId="33" xfId="70" applyNumberFormat="1" applyFill="1" applyBorder="1" applyAlignment="1">
      <alignment horizontal="center"/>
    </xf>
    <xf numFmtId="49" fontId="0" fillId="0" borderId="0" xfId="70" applyNumberFormat="1" applyFont="1"/>
    <xf numFmtId="0" fontId="66" fillId="0" borderId="0" xfId="70" applyAlignment="1">
      <alignment horizontal="center"/>
    </xf>
    <xf numFmtId="0" fontId="0" fillId="60" borderId="33" xfId="70" applyFont="1" applyFill="1" applyBorder="1"/>
    <xf numFmtId="0" fontId="0" fillId="0" borderId="0" xfId="70" applyFont="1" applyAlignment="1">
      <alignment wrapText="1"/>
    </xf>
    <xf numFmtId="0" fontId="66" fillId="0" borderId="0" xfId="70" applyAlignment="1">
      <alignment horizontal="center"/>
    </xf>
    <xf numFmtId="0" fontId="9" fillId="71" borderId="0" xfId="0" applyFont="1" applyFill="1" applyBorder="1" applyAlignment="1">
      <alignment horizontal="center"/>
    </xf>
    <xf numFmtId="0" fontId="9" fillId="71" borderId="12" xfId="0" applyFont="1" applyFill="1" applyBorder="1" applyAlignment="1">
      <alignment horizontal="center"/>
    </xf>
    <xf numFmtId="0" fontId="9" fillId="71" borderId="18" xfId="0" applyFont="1" applyFill="1" applyBorder="1" applyAlignment="1">
      <alignment horizontal="center"/>
    </xf>
    <xf numFmtId="0" fontId="9" fillId="71" borderId="14" xfId="0" applyFont="1" applyFill="1" applyBorder="1" applyAlignment="1">
      <alignment horizontal="center"/>
    </xf>
    <xf numFmtId="0" fontId="9" fillId="71" borderId="14" xfId="0" applyFont="1" applyFill="1" applyBorder="1"/>
    <xf numFmtId="0" fontId="9" fillId="71" borderId="11" xfId="0" applyFont="1" applyFill="1" applyBorder="1"/>
    <xf numFmtId="0" fontId="9" fillId="71" borderId="10" xfId="0" applyFont="1" applyFill="1" applyBorder="1" applyAlignment="1">
      <alignment horizontal="center"/>
    </xf>
    <xf numFmtId="0" fontId="9" fillId="71" borderId="0" xfId="0" applyFont="1" applyFill="1" applyBorder="1"/>
    <xf numFmtId="0" fontId="9" fillId="71" borderId="12" xfId="0" applyFont="1" applyFill="1" applyBorder="1"/>
    <xf numFmtId="0" fontId="9" fillId="71" borderId="0" xfId="0" applyFont="1" applyFill="1" applyBorder="1" applyAlignment="1">
      <alignment horizontal="center" wrapText="1"/>
    </xf>
    <xf numFmtId="0" fontId="9" fillId="71" borderId="10" xfId="0" applyFont="1" applyFill="1" applyBorder="1" applyAlignment="1">
      <alignment horizontal="center" wrapText="1"/>
    </xf>
    <xf numFmtId="0" fontId="9" fillId="71" borderId="12" xfId="0" applyFont="1" applyFill="1" applyBorder="1" applyAlignment="1">
      <alignment horizontal="center" wrapText="1"/>
    </xf>
    <xf numFmtId="169" fontId="9" fillId="43" borderId="18" xfId="0" applyNumberFormat="1" applyFont="1" applyFill="1" applyBorder="1" applyAlignment="1">
      <alignment horizontal="center"/>
    </xf>
    <xf numFmtId="169" fontId="9" fillId="43" borderId="11" xfId="0" applyNumberFormat="1" applyFont="1" applyFill="1" applyBorder="1" applyAlignment="1">
      <alignment horizontal="center"/>
    </xf>
    <xf numFmtId="169" fontId="9" fillId="43" borderId="12" xfId="0" applyNumberFormat="1" applyFont="1" applyFill="1" applyBorder="1" applyAlignment="1">
      <alignment horizontal="center"/>
    </xf>
    <xf numFmtId="169" fontId="9" fillId="60" borderId="17" xfId="0" applyNumberFormat="1" applyFont="1" applyFill="1" applyBorder="1" applyAlignment="1">
      <alignment horizontal="center"/>
    </xf>
    <xf numFmtId="169" fontId="9" fillId="60" borderId="13" xfId="0" applyNumberFormat="1" applyFont="1" applyFill="1" applyBorder="1" applyAlignment="1">
      <alignment horizontal="center"/>
    </xf>
    <xf numFmtId="169" fontId="9" fillId="43" borderId="13" xfId="0" applyNumberFormat="1" applyFont="1" applyFill="1" applyBorder="1" applyAlignment="1">
      <alignment horizontal="center"/>
    </xf>
    <xf numFmtId="0" fontId="9" fillId="61" borderId="19" xfId="0" applyFont="1" applyFill="1" applyBorder="1" applyAlignment="1">
      <alignment horizontal="center"/>
    </xf>
    <xf numFmtId="170" fontId="9" fillId="60" borderId="16" xfId="64" applyNumberFormat="1" applyFont="1" applyFill="1" applyBorder="1" applyAlignment="1">
      <alignment horizontal="center"/>
    </xf>
    <xf numFmtId="9" fontId="9" fillId="60" borderId="33" xfId="64" applyFont="1" applyFill="1" applyBorder="1" applyAlignment="1">
      <alignment horizontal="center"/>
    </xf>
    <xf numFmtId="0" fontId="9" fillId="61" borderId="20" xfId="0" applyFont="1" applyFill="1" applyBorder="1" applyAlignment="1">
      <alignment horizontal="center" wrapText="1"/>
    </xf>
    <xf numFmtId="0" fontId="16" fillId="0" borderId="0" xfId="70" applyFont="1"/>
    <xf numFmtId="0" fontId="68" fillId="0" borderId="0" xfId="70" applyFont="1"/>
    <xf numFmtId="0" fontId="76" fillId="0" borderId="0" xfId="70" applyFont="1"/>
    <xf numFmtId="0" fontId="68" fillId="0" borderId="0" xfId="70" applyFont="1" applyAlignment="1">
      <alignment horizontal="center"/>
    </xf>
    <xf numFmtId="49" fontId="68" fillId="0" borderId="0" xfId="70" applyNumberFormat="1" applyFont="1" applyAlignment="1">
      <alignment horizontal="left"/>
    </xf>
    <xf numFmtId="0" fontId="77" fillId="0" borderId="0" xfId="0" applyFont="1" applyAlignment="1">
      <alignment horizontal="left"/>
    </xf>
    <xf numFmtId="165" fontId="9" fillId="60" borderId="12" xfId="0" applyNumberFormat="1" applyFont="1" applyFill="1" applyBorder="1" applyAlignment="1">
      <alignment horizontal="center" wrapText="1"/>
    </xf>
    <xf numFmtId="1" fontId="6" fillId="60" borderId="33" xfId="70" applyNumberFormat="1" applyFont="1" applyFill="1" applyBorder="1" applyAlignment="1">
      <alignment horizontal="center"/>
    </xf>
    <xf numFmtId="169" fontId="9" fillId="69" borderId="0" xfId="0" applyNumberFormat="1" applyFont="1" applyFill="1" applyBorder="1" applyAlignment="1">
      <alignment horizontal="center"/>
    </xf>
    <xf numFmtId="169" fontId="9" fillId="69" borderId="0" xfId="0" applyNumberFormat="1" applyFont="1" applyFill="1" applyAlignment="1">
      <alignment horizontal="center"/>
    </xf>
    <xf numFmtId="1" fontId="9" fillId="69" borderId="0" xfId="0" applyNumberFormat="1" applyFont="1" applyFill="1" applyBorder="1"/>
    <xf numFmtId="1" fontId="9" fillId="69" borderId="12" xfId="0" applyNumberFormat="1" applyFont="1" applyFill="1" applyBorder="1"/>
    <xf numFmtId="169" fontId="9" fillId="69" borderId="15" xfId="0" applyNumberFormat="1" applyFont="1" applyFill="1" applyBorder="1" applyAlignment="1">
      <alignment horizontal="center"/>
    </xf>
    <xf numFmtId="0" fontId="8" fillId="46" borderId="21" xfId="0" applyFont="1" applyFill="1" applyBorder="1" applyAlignment="1"/>
    <xf numFmtId="0" fontId="8" fillId="46" borderId="23" xfId="0" applyFont="1" applyFill="1" applyBorder="1" applyAlignment="1"/>
    <xf numFmtId="0" fontId="8" fillId="63" borderId="0" xfId="0" applyFont="1" applyFill="1" applyBorder="1" applyAlignment="1"/>
    <xf numFmtId="0" fontId="9" fillId="44" borderId="0" xfId="0" applyFont="1" applyFill="1" applyBorder="1" applyAlignment="1">
      <alignment horizontal="center" wrapText="1"/>
    </xf>
    <xf numFmtId="0" fontId="9" fillId="44" borderId="12" xfId="0" applyFont="1" applyFill="1" applyBorder="1" applyAlignment="1">
      <alignment horizontal="center" wrapText="1"/>
    </xf>
    <xf numFmtId="0" fontId="9" fillId="44" borderId="10" xfId="0" applyFont="1" applyFill="1" applyBorder="1" applyAlignment="1">
      <alignment horizontal="center" wrapText="1"/>
    </xf>
    <xf numFmtId="0" fontId="9" fillId="69" borderId="10" xfId="0" applyFont="1" applyFill="1" applyBorder="1"/>
    <xf numFmtId="0" fontId="9" fillId="69" borderId="17" xfId="0" applyFont="1" applyFill="1" applyBorder="1"/>
    <xf numFmtId="169" fontId="9" fillId="69" borderId="10" xfId="0" applyNumberFormat="1" applyFont="1" applyFill="1" applyBorder="1"/>
    <xf numFmtId="0" fontId="5" fillId="0" borderId="0" xfId="70" applyFont="1" applyAlignment="1">
      <alignment wrapText="1"/>
    </xf>
    <xf numFmtId="0" fontId="5" fillId="0" borderId="0" xfId="70" applyFont="1"/>
    <xf numFmtId="165" fontId="5" fillId="0" borderId="0" xfId="70" applyNumberFormat="1" applyFont="1"/>
    <xf numFmtId="0" fontId="5" fillId="70" borderId="0" xfId="70" applyFont="1" applyFill="1"/>
    <xf numFmtId="2" fontId="5" fillId="0" borderId="0" xfId="70" applyNumberFormat="1" applyFont="1"/>
    <xf numFmtId="2" fontId="5" fillId="70" borderId="0" xfId="70" applyNumberFormat="1" applyFont="1" applyFill="1"/>
    <xf numFmtId="0" fontId="6" fillId="60" borderId="33" xfId="70" applyFont="1" applyFill="1" applyBorder="1"/>
    <xf numFmtId="49" fontId="6" fillId="0" borderId="0" xfId="70" applyNumberFormat="1" applyFont="1"/>
    <xf numFmtId="1" fontId="4" fillId="4" borderId="33" xfId="71" applyNumberFormat="1" applyFont="1" applyFill="1" applyBorder="1" applyAlignment="1">
      <alignment horizontal="center"/>
    </xf>
    <xf numFmtId="0" fontId="66" fillId="0" borderId="0" xfId="70" applyAlignment="1">
      <alignment horizontal="center"/>
    </xf>
    <xf numFmtId="0" fontId="79" fillId="0" borderId="0" xfId="60" applyFont="1"/>
    <xf numFmtId="2" fontId="79" fillId="0" borderId="0" xfId="60" applyNumberFormat="1" applyFont="1"/>
    <xf numFmtId="0" fontId="0" fillId="0" borderId="0" xfId="60" applyFont="1" applyAlignment="1">
      <alignment horizontal="center"/>
    </xf>
    <xf numFmtId="0" fontId="66" fillId="60" borderId="20" xfId="70" applyFill="1" applyBorder="1"/>
    <xf numFmtId="1" fontId="66" fillId="60" borderId="20" xfId="70" applyNumberFormat="1" applyFill="1" applyBorder="1" applyAlignment="1">
      <alignment horizontal="center"/>
    </xf>
    <xf numFmtId="0" fontId="66" fillId="63" borderId="20" xfId="70" applyFill="1" applyBorder="1" applyAlignment="1">
      <alignment horizontal="center"/>
    </xf>
    <xf numFmtId="2" fontId="5" fillId="63" borderId="20" xfId="71" applyNumberFormat="1" applyFont="1" applyFill="1" applyBorder="1" applyAlignment="1">
      <alignment horizontal="center"/>
    </xf>
    <xf numFmtId="1" fontId="5" fillId="63" borderId="20" xfId="71" applyNumberFormat="1" applyFont="1" applyFill="1" applyBorder="1" applyAlignment="1">
      <alignment horizontal="center"/>
    </xf>
    <xf numFmtId="165" fontId="5" fillId="63" borderId="20" xfId="71" applyNumberFormat="1" applyFont="1" applyFill="1" applyBorder="1" applyAlignment="1">
      <alignment horizontal="center"/>
    </xf>
    <xf numFmtId="0" fontId="66" fillId="60" borderId="41" xfId="70" applyFill="1" applyBorder="1"/>
    <xf numFmtId="1" fontId="66" fillId="60" borderId="41" xfId="70" applyNumberFormat="1" applyFill="1" applyBorder="1" applyAlignment="1">
      <alignment horizontal="center"/>
    </xf>
    <xf numFmtId="1" fontId="5" fillId="4" borderId="41" xfId="71" applyNumberFormat="1" applyFont="1" applyFill="1" applyBorder="1" applyAlignment="1">
      <alignment horizontal="center"/>
    </xf>
    <xf numFmtId="0" fontId="66" fillId="4" borderId="41" xfId="70" applyFill="1" applyBorder="1" applyAlignment="1">
      <alignment horizontal="center"/>
    </xf>
    <xf numFmtId="0" fontId="66" fillId="63" borderId="41" xfId="70" applyFill="1" applyBorder="1" applyAlignment="1">
      <alignment horizontal="center"/>
    </xf>
    <xf numFmtId="1" fontId="5" fillId="63" borderId="41" xfId="71" applyNumberFormat="1" applyFont="1" applyFill="1" applyBorder="1" applyAlignment="1">
      <alignment horizontal="center"/>
    </xf>
    <xf numFmtId="0" fontId="6" fillId="4" borderId="33" xfId="70" applyFont="1" applyFill="1" applyBorder="1" applyAlignment="1">
      <alignment horizontal="center"/>
    </xf>
    <xf numFmtId="165" fontId="6" fillId="42" borderId="33" xfId="70" applyNumberFormat="1" applyFont="1" applyFill="1" applyBorder="1" applyAlignment="1">
      <alignment horizontal="center"/>
    </xf>
    <xf numFmtId="0" fontId="6" fillId="42" borderId="33" xfId="70" applyFont="1" applyFill="1" applyBorder="1"/>
    <xf numFmtId="0" fontId="0" fillId="0" borderId="0" xfId="60" applyFont="1"/>
    <xf numFmtId="1" fontId="68" fillId="0" borderId="0" xfId="70" applyNumberFormat="1" applyFont="1"/>
    <xf numFmtId="0" fontId="6" fillId="60" borderId="41" xfId="70" applyFont="1" applyFill="1" applyBorder="1"/>
    <xf numFmtId="0" fontId="78" fillId="0" borderId="0" xfId="70" applyFont="1" applyAlignment="1">
      <alignment horizontal="center"/>
    </xf>
    <xf numFmtId="0" fontId="66" fillId="64" borderId="0" xfId="70" applyFill="1" applyBorder="1"/>
    <xf numFmtId="0" fontId="6" fillId="64" borderId="0" xfId="70" applyFont="1" applyFill="1" applyBorder="1"/>
    <xf numFmtId="0" fontId="66" fillId="42" borderId="19" xfId="70" applyFill="1" applyBorder="1"/>
    <xf numFmtId="0" fontId="66" fillId="42" borderId="19" xfId="70" applyFill="1" applyBorder="1" applyAlignment="1">
      <alignment horizontal="center"/>
    </xf>
    <xf numFmtId="165" fontId="66" fillId="42" borderId="19" xfId="70" applyNumberFormat="1" applyFill="1" applyBorder="1" applyAlignment="1">
      <alignment horizontal="center"/>
    </xf>
    <xf numFmtId="0" fontId="66" fillId="63" borderId="19" xfId="70" applyFill="1" applyBorder="1" applyAlignment="1">
      <alignment horizontal="center"/>
    </xf>
    <xf numFmtId="1" fontId="66" fillId="42" borderId="19" xfId="70" applyNumberFormat="1" applyFill="1" applyBorder="1" applyAlignment="1">
      <alignment horizontal="center"/>
    </xf>
    <xf numFmtId="2" fontId="66" fillId="42" borderId="19" xfId="70" applyNumberFormat="1" applyFill="1" applyBorder="1" applyAlignment="1">
      <alignment horizontal="center"/>
    </xf>
    <xf numFmtId="1" fontId="70" fillId="42" borderId="19" xfId="70" applyNumberFormat="1" applyFont="1" applyFill="1" applyBorder="1" applyAlignment="1">
      <alignment horizontal="center"/>
    </xf>
    <xf numFmtId="0" fontId="66" fillId="42" borderId="44" xfId="70" applyFill="1" applyBorder="1"/>
    <xf numFmtId="0" fontId="8" fillId="42" borderId="26" xfId="70" applyFont="1" applyFill="1" applyBorder="1" applyAlignment="1">
      <alignment horizontal="center"/>
    </xf>
    <xf numFmtId="0" fontId="8" fillId="42" borderId="46" xfId="70" applyFont="1" applyFill="1" applyBorder="1" applyAlignment="1">
      <alignment horizontal="center"/>
    </xf>
    <xf numFmtId="0" fontId="8" fillId="63" borderId="46" xfId="70" applyFont="1" applyFill="1" applyBorder="1" applyAlignment="1">
      <alignment horizontal="center"/>
    </xf>
    <xf numFmtId="1" fontId="8" fillId="42" borderId="46" xfId="70" applyNumberFormat="1" applyFont="1" applyFill="1" applyBorder="1" applyAlignment="1">
      <alignment horizontal="center"/>
    </xf>
    <xf numFmtId="1" fontId="71" fillId="42" borderId="46" xfId="70" applyNumberFormat="1" applyFont="1" applyFill="1" applyBorder="1" applyAlignment="1">
      <alignment horizontal="center"/>
    </xf>
    <xf numFmtId="0" fontId="66" fillId="42" borderId="81" xfId="70" applyFill="1" applyBorder="1" applyAlignment="1">
      <alignment horizontal="center"/>
    </xf>
    <xf numFmtId="0" fontId="8" fillId="42" borderId="53" xfId="70" applyFont="1" applyFill="1" applyBorder="1"/>
    <xf numFmtId="0" fontId="8" fillId="42" borderId="53" xfId="70" applyFont="1" applyFill="1" applyBorder="1" applyAlignment="1">
      <alignment horizontal="left"/>
    </xf>
    <xf numFmtId="0" fontId="66" fillId="60" borderId="19" xfId="70" applyFill="1" applyBorder="1"/>
    <xf numFmtId="0" fontId="6" fillId="60" borderId="19" xfId="70" applyFont="1" applyFill="1" applyBorder="1"/>
    <xf numFmtId="1" fontId="66" fillId="60" borderId="19" xfId="70" applyNumberFormat="1" applyFill="1" applyBorder="1" applyAlignment="1">
      <alignment horizontal="center"/>
    </xf>
    <xf numFmtId="1" fontId="5" fillId="4" borderId="19" xfId="71" applyNumberFormat="1" applyFont="1" applyFill="1" applyBorder="1" applyAlignment="1">
      <alignment horizontal="center"/>
    </xf>
    <xf numFmtId="0" fontId="66" fillId="4" borderId="19" xfId="70" applyFill="1" applyBorder="1" applyAlignment="1">
      <alignment horizontal="center"/>
    </xf>
    <xf numFmtId="0" fontId="9" fillId="66" borderId="0" xfId="0" applyFont="1" applyFill="1" applyBorder="1" applyAlignment="1">
      <alignment horizontal="center"/>
    </xf>
    <xf numFmtId="169" fontId="19" fillId="0" borderId="0" xfId="70" applyNumberFormat="1" applyFont="1" applyAlignment="1">
      <alignment horizontal="center"/>
    </xf>
    <xf numFmtId="2" fontId="9" fillId="63" borderId="0" xfId="0" applyNumberFormat="1" applyFont="1" applyFill="1" applyBorder="1" applyAlignment="1">
      <alignment horizontal="center"/>
    </xf>
    <xf numFmtId="0" fontId="9" fillId="63" borderId="0" xfId="0" applyFont="1" applyFill="1" applyBorder="1"/>
    <xf numFmtId="2" fontId="9" fillId="68" borderId="0" xfId="0" applyNumberFormat="1" applyFont="1" applyFill="1" applyBorder="1" applyAlignment="1">
      <alignment horizontal="center"/>
    </xf>
    <xf numFmtId="2" fontId="9" fillId="68" borderId="21" xfId="0" applyNumberFormat="1" applyFont="1" applyFill="1" applyBorder="1" applyAlignment="1">
      <alignment horizontal="center"/>
    </xf>
    <xf numFmtId="172" fontId="21" fillId="43" borderId="16" xfId="0" applyNumberFormat="1" applyFont="1" applyFill="1" applyBorder="1" applyAlignment="1" applyProtection="1">
      <alignment horizontal="center" vertical="center"/>
    </xf>
    <xf numFmtId="0" fontId="11" fillId="0" borderId="0" xfId="76" applyFont="1" applyAlignment="1">
      <alignment wrapText="1"/>
    </xf>
    <xf numFmtId="0" fontId="39" fillId="0" borderId="0" xfId="76" applyFont="1" applyAlignment="1">
      <alignment horizontal="left"/>
    </xf>
    <xf numFmtId="0" fontId="6" fillId="0" borderId="0" xfId="76" applyFont="1" applyAlignment="1">
      <alignment horizontal="center"/>
    </xf>
    <xf numFmtId="0" fontId="6" fillId="0" borderId="0" xfId="76" applyFont="1" applyAlignment="1">
      <alignment horizontal="left"/>
    </xf>
    <xf numFmtId="0" fontId="6" fillId="0" borderId="0" xfId="76" applyFont="1"/>
    <xf numFmtId="0" fontId="54" fillId="0" borderId="0" xfId="76" applyFont="1" applyAlignment="1">
      <alignment horizontal="center"/>
    </xf>
    <xf numFmtId="0" fontId="23" fillId="48" borderId="26" xfId="76" applyFont="1" applyFill="1" applyBorder="1" applyAlignment="1">
      <alignment horizontal="left"/>
    </xf>
    <xf numFmtId="0" fontId="23" fillId="48" borderId="27" xfId="76" applyFont="1" applyFill="1" applyBorder="1" applyAlignment="1">
      <alignment horizontal="left"/>
    </xf>
    <xf numFmtId="0" fontId="52" fillId="0" borderId="0" xfId="76" applyFont="1" applyAlignment="1">
      <alignment horizontal="left"/>
    </xf>
    <xf numFmtId="0" fontId="6" fillId="49" borderId="28" xfId="76" applyFont="1" applyFill="1" applyBorder="1" applyAlignment="1">
      <alignment horizontal="left"/>
    </xf>
    <xf numFmtId="0" fontId="6" fillId="42" borderId="32" xfId="76" applyFill="1" applyBorder="1" applyAlignment="1">
      <alignment horizontal="center"/>
    </xf>
    <xf numFmtId="0" fontId="6" fillId="49" borderId="29" xfId="76" applyFont="1" applyFill="1" applyBorder="1" applyAlignment="1">
      <alignment horizontal="left"/>
    </xf>
    <xf numFmtId="1" fontId="6" fillId="42" borderId="30" xfId="76" applyNumberFormat="1" applyFill="1" applyBorder="1" applyAlignment="1">
      <alignment horizontal="center"/>
    </xf>
    <xf numFmtId="2" fontId="6" fillId="42" borderId="30" xfId="76" applyNumberFormat="1" applyFill="1" applyBorder="1" applyAlignment="1">
      <alignment horizontal="center"/>
    </xf>
    <xf numFmtId="1" fontId="8" fillId="50" borderId="30" xfId="76" applyNumberFormat="1" applyFont="1" applyFill="1" applyBorder="1" applyAlignment="1">
      <alignment horizontal="center"/>
    </xf>
    <xf numFmtId="170" fontId="8" fillId="50" borderId="30" xfId="77" applyNumberFormat="1" applyFont="1" applyFill="1" applyBorder="1" applyAlignment="1">
      <alignment horizontal="center"/>
    </xf>
    <xf numFmtId="1" fontId="8" fillId="50" borderId="30" xfId="78" applyNumberFormat="1" applyFont="1" applyFill="1" applyBorder="1" applyAlignment="1">
      <alignment horizontal="center"/>
    </xf>
    <xf numFmtId="165" fontId="8" fillId="50" borderId="30" xfId="77" applyNumberFormat="1" applyFont="1" applyFill="1" applyBorder="1" applyAlignment="1">
      <alignment horizontal="center"/>
    </xf>
    <xf numFmtId="2" fontId="8" fillId="50" borderId="30" xfId="77" applyNumberFormat="1" applyFont="1" applyFill="1" applyBorder="1" applyAlignment="1">
      <alignment horizontal="center"/>
    </xf>
    <xf numFmtId="1" fontId="6" fillId="50" borderId="30" xfId="77" applyNumberFormat="1" applyFont="1" applyFill="1" applyBorder="1" applyAlignment="1">
      <alignment horizontal="center"/>
    </xf>
    <xf numFmtId="1" fontId="6" fillId="50" borderId="30" xfId="76" applyNumberFormat="1" applyFont="1" applyFill="1" applyBorder="1" applyAlignment="1">
      <alignment horizontal="center"/>
    </xf>
    <xf numFmtId="170" fontId="6" fillId="50" borderId="30" xfId="77" applyNumberFormat="1" applyFont="1" applyFill="1" applyBorder="1" applyAlignment="1">
      <alignment horizontal="center"/>
    </xf>
    <xf numFmtId="0" fontId="6" fillId="49" borderId="31" xfId="76" applyFont="1" applyFill="1" applyBorder="1" applyAlignment="1">
      <alignment horizontal="left"/>
    </xf>
    <xf numFmtId="170" fontId="6" fillId="50" borderId="61" xfId="77" applyNumberFormat="1" applyFont="1" applyFill="1" applyBorder="1" applyAlignment="1">
      <alignment horizontal="center"/>
    </xf>
    <xf numFmtId="0" fontId="54" fillId="0" borderId="0" xfId="76" applyFont="1"/>
    <xf numFmtId="0" fontId="54" fillId="0" borderId="0" xfId="76" applyFont="1" applyAlignment="1">
      <alignment horizontal="right"/>
    </xf>
    <xf numFmtId="1" fontId="6" fillId="0" borderId="0" xfId="76" applyNumberFormat="1" applyFont="1"/>
    <xf numFmtId="0" fontId="8" fillId="0" borderId="0" xfId="76" applyFont="1"/>
    <xf numFmtId="9" fontId="6" fillId="0" borderId="0" xfId="77" applyFont="1"/>
    <xf numFmtId="0" fontId="6" fillId="0" borderId="0" xfId="76" applyFont="1" applyBorder="1" applyAlignment="1">
      <alignment horizontal="left"/>
    </xf>
    <xf numFmtId="0" fontId="6" fillId="0" borderId="0" xfId="76" applyFont="1" applyBorder="1" applyAlignment="1">
      <alignment horizontal="center"/>
    </xf>
    <xf numFmtId="0" fontId="23" fillId="48" borderId="27" xfId="76" applyFont="1" applyFill="1" applyBorder="1" applyAlignment="1">
      <alignment horizontal="center"/>
    </xf>
    <xf numFmtId="1" fontId="8" fillId="50" borderId="32" xfId="76" applyNumberFormat="1" applyFont="1" applyFill="1" applyBorder="1" applyAlignment="1">
      <alignment horizontal="center"/>
    </xf>
    <xf numFmtId="165" fontId="8" fillId="50" borderId="32" xfId="76" applyNumberFormat="1" applyFont="1" applyFill="1" applyBorder="1" applyAlignment="1">
      <alignment horizontal="center"/>
    </xf>
    <xf numFmtId="1" fontId="6" fillId="50" borderId="32" xfId="76" applyNumberFormat="1" applyFont="1" applyFill="1" applyBorder="1" applyAlignment="1">
      <alignment horizontal="center"/>
    </xf>
    <xf numFmtId="0" fontId="6" fillId="0" borderId="0" xfId="76" applyFont="1" applyFill="1" applyBorder="1" applyAlignment="1">
      <alignment horizontal="left"/>
    </xf>
    <xf numFmtId="170" fontId="6" fillId="0" borderId="0" xfId="77" applyNumberFormat="1" applyFont="1" applyFill="1" applyBorder="1" applyAlignment="1">
      <alignment horizontal="center"/>
    </xf>
    <xf numFmtId="0" fontId="6" fillId="14" borderId="71" xfId="76" applyFont="1" applyFill="1" applyBorder="1" applyAlignment="1">
      <alignment horizontal="center" wrapText="1"/>
    </xf>
    <xf numFmtId="0" fontId="6" fillId="50" borderId="19" xfId="76" applyFont="1" applyFill="1" applyBorder="1"/>
    <xf numFmtId="0" fontId="54" fillId="50" borderId="19" xfId="76" applyFont="1" applyFill="1" applyBorder="1" applyAlignment="1">
      <alignment horizontal="center"/>
    </xf>
    <xf numFmtId="0" fontId="54" fillId="50" borderId="19" xfId="76" applyFont="1" applyFill="1" applyBorder="1"/>
    <xf numFmtId="0" fontId="54" fillId="50" borderId="19" xfId="76" applyFont="1" applyFill="1" applyBorder="1" applyAlignment="1">
      <alignment horizontal="right"/>
    </xf>
    <xf numFmtId="1" fontId="6" fillId="50" borderId="19" xfId="76" applyNumberFormat="1" applyFont="1" applyFill="1" applyBorder="1"/>
    <xf numFmtId="0" fontId="8" fillId="50" borderId="19" xfId="76" applyFont="1" applyFill="1" applyBorder="1"/>
    <xf numFmtId="9" fontId="6" fillId="50" borderId="19" xfId="77" applyFont="1" applyFill="1" applyBorder="1"/>
    <xf numFmtId="1" fontId="59" fillId="0" borderId="0" xfId="76" applyNumberFormat="1" applyFont="1" applyAlignment="1">
      <alignment horizontal="center" wrapText="1"/>
    </xf>
    <xf numFmtId="0" fontId="6" fillId="0" borderId="0" xfId="76" applyFont="1" applyAlignment="1">
      <alignment horizontal="center" wrapText="1"/>
    </xf>
    <xf numFmtId="0" fontId="6" fillId="14" borderId="19" xfId="76" applyFont="1" applyFill="1" applyBorder="1" applyAlignment="1">
      <alignment horizontal="center" wrapText="1"/>
    </xf>
    <xf numFmtId="0" fontId="6" fillId="14" borderId="72" xfId="76" applyFont="1" applyFill="1" applyBorder="1" applyAlignment="1">
      <alignment horizontal="center" wrapText="1"/>
    </xf>
    <xf numFmtId="169" fontId="6" fillId="50" borderId="20" xfId="76" applyNumberFormat="1" applyFont="1" applyFill="1" applyBorder="1" applyAlignment="1">
      <alignment horizontal="center" wrapText="1"/>
    </xf>
    <xf numFmtId="169" fontId="54" fillId="50" borderId="20" xfId="76" applyNumberFormat="1" applyFont="1" applyFill="1" applyBorder="1" applyAlignment="1">
      <alignment horizontal="center" wrapText="1"/>
    </xf>
    <xf numFmtId="1" fontId="6" fillId="50" borderId="20" xfId="76" applyNumberFormat="1" applyFont="1" applyFill="1" applyBorder="1" applyAlignment="1">
      <alignment horizontal="center" wrapText="1"/>
    </xf>
    <xf numFmtId="1" fontId="54" fillId="50" borderId="20" xfId="76" applyNumberFormat="1" applyFont="1" applyFill="1" applyBorder="1" applyAlignment="1">
      <alignment horizontal="center" wrapText="1"/>
    </xf>
    <xf numFmtId="0" fontId="6" fillId="50" borderId="20" xfId="76" applyFont="1" applyFill="1" applyBorder="1" applyAlignment="1">
      <alignment horizontal="center" wrapText="1"/>
    </xf>
    <xf numFmtId="0" fontId="54" fillId="50" borderId="20" xfId="76" applyFont="1" applyFill="1" applyBorder="1" applyAlignment="1">
      <alignment horizontal="center" wrapText="1"/>
    </xf>
    <xf numFmtId="0" fontId="8" fillId="50" borderId="20" xfId="76" applyFont="1" applyFill="1" applyBorder="1" applyAlignment="1">
      <alignment horizontal="center" wrapText="1"/>
    </xf>
    <xf numFmtId="9" fontId="6" fillId="50" borderId="20" xfId="77" applyFont="1" applyFill="1" applyBorder="1" applyAlignment="1">
      <alignment horizontal="center" wrapText="1"/>
    </xf>
    <xf numFmtId="0" fontId="23" fillId="14" borderId="44" xfId="76" applyFont="1" applyFill="1" applyBorder="1" applyAlignment="1">
      <alignment horizontal="left" wrapText="1"/>
    </xf>
    <xf numFmtId="0" fontId="23" fillId="14" borderId="48" xfId="76" applyFont="1" applyFill="1" applyBorder="1" applyAlignment="1">
      <alignment horizontal="left" wrapText="1"/>
    </xf>
    <xf numFmtId="0" fontId="23" fillId="14" borderId="26" xfId="76" applyFont="1" applyFill="1" applyBorder="1" applyAlignment="1">
      <alignment horizontal="center" wrapText="1"/>
    </xf>
    <xf numFmtId="0" fontId="23" fillId="14" borderId="46" xfId="76" applyFont="1" applyFill="1" applyBorder="1" applyAlignment="1">
      <alignment horizontal="center" wrapText="1"/>
    </xf>
    <xf numFmtId="0" fontId="23" fillId="14" borderId="27" xfId="76" applyFont="1" applyFill="1" applyBorder="1" applyAlignment="1">
      <alignment horizontal="center" wrapText="1"/>
    </xf>
    <xf numFmtId="0" fontId="23" fillId="0" borderId="0" xfId="76" applyFont="1" applyAlignment="1">
      <alignment horizontal="left" wrapText="1"/>
    </xf>
    <xf numFmtId="169" fontId="6" fillId="50" borderId="33" xfId="76" applyNumberFormat="1" applyFont="1" applyFill="1" applyBorder="1"/>
    <xf numFmtId="169" fontId="54" fillId="50" borderId="33" xfId="76" applyNumberFormat="1" applyFont="1" applyFill="1" applyBorder="1" applyAlignment="1">
      <alignment horizontal="center"/>
    </xf>
    <xf numFmtId="1" fontId="6" fillId="50" borderId="33" xfId="76" applyNumberFormat="1" applyFont="1" applyFill="1" applyBorder="1"/>
    <xf numFmtId="1" fontId="54" fillId="50" borderId="33" xfId="76" applyNumberFormat="1" applyFont="1" applyFill="1" applyBorder="1" applyAlignment="1">
      <alignment horizontal="center"/>
    </xf>
    <xf numFmtId="0" fontId="6" fillId="50" borderId="33" xfId="76" applyFont="1" applyFill="1" applyBorder="1"/>
    <xf numFmtId="0" fontId="54" fillId="50" borderId="33" xfId="76" applyFont="1" applyFill="1" applyBorder="1"/>
    <xf numFmtId="0" fontId="6" fillId="50" borderId="33" xfId="76" applyFont="1" applyFill="1" applyBorder="1" applyAlignment="1">
      <alignment wrapText="1"/>
    </xf>
    <xf numFmtId="0" fontId="54" fillId="50" borderId="33" xfId="76" applyFont="1" applyFill="1" applyBorder="1" applyAlignment="1">
      <alignment wrapText="1"/>
    </xf>
    <xf numFmtId="0" fontId="54" fillId="50" borderId="33" xfId="76" applyFont="1" applyFill="1" applyBorder="1" applyAlignment="1">
      <alignment horizontal="right"/>
    </xf>
    <xf numFmtId="1" fontId="6" fillId="50" borderId="33" xfId="76" applyNumberFormat="1" applyFont="1" applyFill="1" applyBorder="1" applyAlignment="1">
      <alignment wrapText="1"/>
    </xf>
    <xf numFmtId="0" fontId="8" fillId="50" borderId="33" xfId="76" applyFont="1" applyFill="1" applyBorder="1" applyAlignment="1">
      <alignment wrapText="1"/>
    </xf>
    <xf numFmtId="9" fontId="6" fillId="50" borderId="33" xfId="77" applyFont="1" applyFill="1" applyBorder="1" applyAlignment="1">
      <alignment wrapText="1"/>
    </xf>
    <xf numFmtId="0" fontId="6" fillId="0" borderId="0" xfId="76" applyFont="1" applyAlignment="1">
      <alignment wrapText="1"/>
    </xf>
    <xf numFmtId="0" fontId="6" fillId="51" borderId="43" xfId="76" applyFont="1" applyFill="1" applyBorder="1" applyAlignment="1">
      <alignment horizontal="left" wrapText="1"/>
    </xf>
    <xf numFmtId="0" fontId="6" fillId="51" borderId="47" xfId="76" applyFont="1" applyFill="1" applyBorder="1" applyAlignment="1">
      <alignment horizontal="left" wrapText="1"/>
    </xf>
    <xf numFmtId="0" fontId="6" fillId="0" borderId="28" xfId="76" applyFont="1" applyFill="1" applyBorder="1" applyAlignment="1">
      <alignment horizontal="center" wrapText="1"/>
    </xf>
    <xf numFmtId="0" fontId="6" fillId="0" borderId="20" xfId="76" applyFont="1" applyFill="1" applyBorder="1" applyAlignment="1">
      <alignment horizontal="center" wrapText="1"/>
    </xf>
    <xf numFmtId="165" fontId="6" fillId="50" borderId="20" xfId="76" applyNumberFormat="1" applyFont="1" applyFill="1" applyBorder="1" applyAlignment="1">
      <alignment horizontal="center" wrapText="1"/>
    </xf>
    <xf numFmtId="170" fontId="6" fillId="50" borderId="32" xfId="77" applyNumberFormat="1" applyFont="1" applyFill="1" applyBorder="1" applyAlignment="1">
      <alignment horizontal="center" wrapText="1"/>
    </xf>
    <xf numFmtId="0" fontId="6" fillId="0" borderId="0" xfId="76" applyFont="1" applyAlignment="1">
      <alignment horizontal="left" wrapText="1"/>
    </xf>
    <xf numFmtId="169" fontId="19" fillId="50" borderId="33" xfId="76" applyNumberFormat="1" applyFont="1" applyFill="1" applyBorder="1"/>
    <xf numFmtId="165" fontId="6" fillId="50" borderId="33" xfId="76" applyNumberFormat="1" applyFont="1" applyFill="1" applyBorder="1"/>
    <xf numFmtId="165" fontId="19" fillId="50" borderId="33" xfId="76" applyNumberFormat="1" applyFont="1" applyFill="1" applyBorder="1"/>
    <xf numFmtId="0" fontId="40" fillId="50" borderId="33" xfId="76" applyFont="1" applyFill="1" applyBorder="1"/>
    <xf numFmtId="0" fontId="19" fillId="50" borderId="33" xfId="76" applyFont="1" applyFill="1" applyBorder="1" applyAlignment="1">
      <alignment wrapText="1"/>
    </xf>
    <xf numFmtId="0" fontId="40" fillId="50" borderId="33" xfId="76" applyFont="1" applyFill="1" applyBorder="1" applyAlignment="1">
      <alignment wrapText="1"/>
    </xf>
    <xf numFmtId="1" fontId="19" fillId="50" borderId="33" xfId="76" applyNumberFormat="1" applyFont="1" applyFill="1" applyBorder="1" applyAlignment="1">
      <alignment wrapText="1"/>
    </xf>
    <xf numFmtId="165" fontId="6" fillId="50" borderId="33" xfId="76" applyNumberFormat="1" applyFont="1" applyFill="1" applyBorder="1" applyAlignment="1">
      <alignment wrapText="1"/>
    </xf>
    <xf numFmtId="165" fontId="8" fillId="50" borderId="33" xfId="76" applyNumberFormat="1" applyFont="1" applyFill="1" applyBorder="1" applyAlignment="1">
      <alignment wrapText="1"/>
    </xf>
    <xf numFmtId="165" fontId="6" fillId="50" borderId="33" xfId="77" applyNumberFormat="1" applyFont="1" applyFill="1" applyBorder="1" applyAlignment="1">
      <alignment wrapText="1"/>
    </xf>
    <xf numFmtId="0" fontId="6" fillId="51" borderId="34" xfId="76" applyFont="1" applyFill="1" applyBorder="1" applyAlignment="1">
      <alignment horizontal="left" wrapText="1"/>
    </xf>
    <xf numFmtId="0" fontId="6" fillId="51" borderId="35" xfId="76" applyFont="1" applyFill="1" applyBorder="1" applyAlignment="1">
      <alignment horizontal="left" wrapText="1"/>
    </xf>
    <xf numFmtId="0" fontId="6" fillId="0" borderId="29" xfId="76" applyFont="1" applyFill="1" applyBorder="1" applyAlignment="1">
      <alignment horizontal="center" wrapText="1"/>
    </xf>
    <xf numFmtId="0" fontId="6" fillId="0" borderId="33" xfId="76" applyFont="1" applyFill="1" applyBorder="1" applyAlignment="1">
      <alignment horizontal="center" wrapText="1"/>
    </xf>
    <xf numFmtId="165" fontId="6" fillId="50" borderId="33" xfId="76" applyNumberFormat="1" applyFont="1" applyFill="1" applyBorder="1" applyAlignment="1">
      <alignment horizontal="center" wrapText="1"/>
    </xf>
    <xf numFmtId="170" fontId="6" fillId="50" borderId="30" xfId="77" applyNumberFormat="1" applyFont="1" applyFill="1" applyBorder="1" applyAlignment="1">
      <alignment horizontal="center" wrapText="1"/>
    </xf>
    <xf numFmtId="1" fontId="40" fillId="50" borderId="33" xfId="76" applyNumberFormat="1" applyFont="1" applyFill="1" applyBorder="1" applyAlignment="1">
      <alignment horizontal="center"/>
    </xf>
    <xf numFmtId="0" fontId="40" fillId="50" borderId="33" xfId="76" applyFont="1" applyFill="1" applyBorder="1" applyAlignment="1">
      <alignment horizontal="right"/>
    </xf>
    <xf numFmtId="0" fontId="6" fillId="51" borderId="36" xfId="76" applyFont="1" applyFill="1" applyBorder="1" applyAlignment="1">
      <alignment horizontal="left" wrapText="1"/>
    </xf>
    <xf numFmtId="0" fontId="6" fillId="51" borderId="37" xfId="76" applyFont="1" applyFill="1" applyBorder="1" applyAlignment="1">
      <alignment horizontal="left" wrapText="1"/>
    </xf>
    <xf numFmtId="0" fontId="6" fillId="0" borderId="38" xfId="76" applyFont="1" applyFill="1" applyBorder="1" applyAlignment="1">
      <alignment horizontal="center" wrapText="1"/>
    </xf>
    <xf numFmtId="0" fontId="6" fillId="0" borderId="19" xfId="76" applyFont="1" applyFill="1" applyBorder="1" applyAlignment="1">
      <alignment horizontal="center" wrapText="1"/>
    </xf>
    <xf numFmtId="165" fontId="6" fillId="50" borderId="19" xfId="76" applyNumberFormat="1" applyFont="1" applyFill="1" applyBorder="1" applyAlignment="1">
      <alignment horizontal="center" wrapText="1"/>
    </xf>
    <xf numFmtId="170" fontId="6" fillId="50" borderId="42" xfId="77" applyNumberFormat="1" applyFont="1" applyFill="1" applyBorder="1" applyAlignment="1">
      <alignment horizontal="center" wrapText="1"/>
    </xf>
    <xf numFmtId="165" fontId="6" fillId="0" borderId="33" xfId="76" applyNumberFormat="1" applyFont="1" applyFill="1" applyBorder="1"/>
    <xf numFmtId="0" fontId="6" fillId="0" borderId="33" xfId="76" applyFont="1" applyFill="1" applyBorder="1"/>
    <xf numFmtId="0" fontId="54" fillId="0" borderId="33" xfId="76" applyFont="1" applyFill="1" applyBorder="1"/>
    <xf numFmtId="0" fontId="6" fillId="0" borderId="33" xfId="76" applyFont="1" applyFill="1" applyBorder="1" applyAlignment="1">
      <alignment wrapText="1"/>
    </xf>
    <xf numFmtId="0" fontId="54" fillId="0" borderId="33" xfId="76" applyFont="1" applyFill="1" applyBorder="1" applyAlignment="1">
      <alignment wrapText="1"/>
    </xf>
    <xf numFmtId="0" fontId="54" fillId="0" borderId="33" xfId="76" applyFont="1" applyFill="1" applyBorder="1" applyAlignment="1">
      <alignment horizontal="right"/>
    </xf>
    <xf numFmtId="0" fontId="23" fillId="54" borderId="48" xfId="76" applyFont="1" applyFill="1" applyBorder="1" applyAlignment="1">
      <alignment horizontal="left" wrapText="1"/>
    </xf>
    <xf numFmtId="0" fontId="23" fillId="54" borderId="26" xfId="76" applyFont="1" applyFill="1" applyBorder="1" applyAlignment="1">
      <alignment horizontal="center" wrapText="1"/>
    </xf>
    <xf numFmtId="0" fontId="6" fillId="54" borderId="46" xfId="76" applyFont="1" applyFill="1" applyBorder="1" applyAlignment="1">
      <alignment horizontal="center" wrapText="1"/>
    </xf>
    <xf numFmtId="165" fontId="6" fillId="54" borderId="46" xfId="76" applyNumberFormat="1" applyFont="1" applyFill="1" applyBorder="1" applyAlignment="1">
      <alignment horizontal="center" wrapText="1"/>
    </xf>
    <xf numFmtId="170" fontId="6" fillId="54" borderId="27" xfId="77" applyNumberFormat="1" applyFont="1" applyFill="1" applyBorder="1" applyAlignment="1">
      <alignment horizontal="center" wrapText="1"/>
    </xf>
    <xf numFmtId="169" fontId="6" fillId="0" borderId="0" xfId="76" applyNumberFormat="1" applyFont="1" applyAlignment="1">
      <alignment horizontal="left" wrapText="1"/>
    </xf>
    <xf numFmtId="0" fontId="19" fillId="51" borderId="34" xfId="76" applyFont="1" applyFill="1" applyBorder="1" applyAlignment="1">
      <alignment horizontal="left" wrapText="1"/>
    </xf>
    <xf numFmtId="0" fontId="19" fillId="51" borderId="35" xfId="76" applyFont="1" applyFill="1" applyBorder="1" applyAlignment="1">
      <alignment horizontal="left" wrapText="1"/>
    </xf>
    <xf numFmtId="0" fontId="19" fillId="0" borderId="29" xfId="76" applyFont="1" applyFill="1" applyBorder="1" applyAlignment="1">
      <alignment horizontal="center" wrapText="1"/>
    </xf>
    <xf numFmtId="0" fontId="19" fillId="0" borderId="33" xfId="76" applyFont="1" applyFill="1" applyBorder="1" applyAlignment="1">
      <alignment horizontal="center" wrapText="1"/>
    </xf>
    <xf numFmtId="165" fontId="19" fillId="50" borderId="33" xfId="76" applyNumberFormat="1" applyFont="1" applyFill="1" applyBorder="1" applyAlignment="1">
      <alignment horizontal="center" wrapText="1"/>
    </xf>
    <xf numFmtId="165" fontId="70" fillId="50" borderId="20" xfId="76" applyNumberFormat="1" applyFont="1" applyFill="1" applyBorder="1" applyAlignment="1">
      <alignment horizontal="center" wrapText="1"/>
    </xf>
    <xf numFmtId="170" fontId="19" fillId="50" borderId="30" xfId="77" applyNumberFormat="1" applyFont="1" applyFill="1" applyBorder="1" applyAlignment="1">
      <alignment horizontal="center" wrapText="1"/>
    </xf>
    <xf numFmtId="169" fontId="19" fillId="0" borderId="0" xfId="76" applyNumberFormat="1" applyFont="1" applyAlignment="1">
      <alignment horizontal="left" wrapText="1"/>
    </xf>
    <xf numFmtId="1" fontId="19" fillId="50" borderId="33" xfId="76" applyNumberFormat="1" applyFont="1" applyFill="1" applyBorder="1"/>
    <xf numFmtId="0" fontId="19" fillId="50" borderId="33" xfId="76" applyFont="1" applyFill="1" applyBorder="1"/>
    <xf numFmtId="165" fontId="19" fillId="50" borderId="33" xfId="76" applyNumberFormat="1" applyFont="1" applyFill="1" applyBorder="1" applyAlignment="1">
      <alignment wrapText="1"/>
    </xf>
    <xf numFmtId="165" fontId="51" fillId="50" borderId="33" xfId="76" applyNumberFormat="1" applyFont="1" applyFill="1" applyBorder="1" applyAlignment="1">
      <alignment wrapText="1"/>
    </xf>
    <xf numFmtId="9" fontId="19" fillId="50" borderId="33" xfId="77" applyFont="1" applyFill="1" applyBorder="1" applyAlignment="1">
      <alignment wrapText="1"/>
    </xf>
    <xf numFmtId="165" fontId="19" fillId="50" borderId="33" xfId="77" applyNumberFormat="1" applyFont="1" applyFill="1" applyBorder="1" applyAlignment="1">
      <alignment wrapText="1"/>
    </xf>
    <xf numFmtId="0" fontId="19" fillId="0" borderId="0" xfId="76" applyFont="1" applyAlignment="1">
      <alignment wrapText="1"/>
    </xf>
    <xf numFmtId="0" fontId="19" fillId="0" borderId="0" xfId="76" applyFont="1" applyAlignment="1">
      <alignment horizontal="left" wrapText="1"/>
    </xf>
    <xf numFmtId="2" fontId="19" fillId="50" borderId="33" xfId="76" applyNumberFormat="1" applyFont="1" applyFill="1" applyBorder="1" applyAlignment="1">
      <alignment wrapText="1"/>
    </xf>
    <xf numFmtId="2" fontId="6" fillId="50" borderId="33" xfId="76" applyNumberFormat="1" applyFont="1" applyFill="1" applyBorder="1" applyAlignment="1">
      <alignment wrapText="1"/>
    </xf>
    <xf numFmtId="165" fontId="70" fillId="50" borderId="33" xfId="76" applyNumberFormat="1" applyFont="1" applyFill="1" applyBorder="1" applyAlignment="1">
      <alignment horizontal="center" wrapText="1"/>
    </xf>
    <xf numFmtId="0" fontId="19" fillId="51" borderId="36" xfId="76" applyFont="1" applyFill="1" applyBorder="1" applyAlignment="1">
      <alignment horizontal="left" wrapText="1"/>
    </xf>
    <xf numFmtId="0" fontId="19" fillId="51" borderId="37" xfId="76" applyFont="1" applyFill="1" applyBorder="1" applyAlignment="1">
      <alignment horizontal="left" wrapText="1"/>
    </xf>
    <xf numFmtId="0" fontId="19" fillId="0" borderId="38" xfId="76" applyFont="1" applyFill="1" applyBorder="1" applyAlignment="1">
      <alignment horizontal="center" wrapText="1"/>
    </xf>
    <xf numFmtId="0" fontId="19" fillId="0" borderId="19" xfId="76" applyFont="1" applyFill="1" applyBorder="1" applyAlignment="1">
      <alignment horizontal="center" wrapText="1"/>
    </xf>
    <xf numFmtId="165" fontId="19" fillId="50" borderId="19" xfId="76" applyNumberFormat="1" applyFont="1" applyFill="1" applyBorder="1" applyAlignment="1">
      <alignment horizontal="center" wrapText="1"/>
    </xf>
    <xf numFmtId="170" fontId="19" fillId="50" borderId="42" xfId="77" applyNumberFormat="1" applyFont="1" applyFill="1" applyBorder="1" applyAlignment="1">
      <alignment horizontal="center" wrapText="1"/>
    </xf>
    <xf numFmtId="0" fontId="23" fillId="54" borderId="44" xfId="76" applyFont="1" applyFill="1" applyBorder="1" applyAlignment="1">
      <alignment horizontal="left" wrapText="1"/>
    </xf>
    <xf numFmtId="165" fontId="6" fillId="14" borderId="46" xfId="76" applyNumberFormat="1" applyFont="1" applyFill="1" applyBorder="1" applyAlignment="1">
      <alignment horizontal="center" wrapText="1"/>
    </xf>
    <xf numFmtId="170" fontId="6" fillId="14" borderId="27" xfId="77" applyNumberFormat="1" applyFont="1" applyFill="1" applyBorder="1" applyAlignment="1">
      <alignment horizontal="center" wrapText="1"/>
    </xf>
    <xf numFmtId="0" fontId="23" fillId="52" borderId="44" xfId="76" applyFont="1" applyFill="1" applyBorder="1" applyAlignment="1">
      <alignment horizontal="left" wrapText="1"/>
    </xf>
    <xf numFmtId="0" fontId="23" fillId="52" borderId="45" xfId="76" applyFont="1" applyFill="1" applyBorder="1" applyAlignment="1">
      <alignment horizontal="left" wrapText="1"/>
    </xf>
    <xf numFmtId="0" fontId="23" fillId="52" borderId="46" xfId="76" applyFont="1" applyFill="1" applyBorder="1" applyAlignment="1">
      <alignment horizontal="center" wrapText="1"/>
    </xf>
    <xf numFmtId="165" fontId="23" fillId="52" borderId="46" xfId="76" applyNumberFormat="1" applyFont="1" applyFill="1" applyBorder="1" applyAlignment="1">
      <alignment horizontal="center" wrapText="1"/>
    </xf>
    <xf numFmtId="165" fontId="6" fillId="53" borderId="46" xfId="76" applyNumberFormat="1" applyFont="1" applyFill="1" applyBorder="1" applyAlignment="1">
      <alignment horizontal="center" wrapText="1"/>
    </xf>
    <xf numFmtId="0" fontId="23" fillId="52" borderId="27" xfId="76" applyFont="1" applyFill="1" applyBorder="1" applyAlignment="1">
      <alignment horizontal="center" wrapText="1"/>
    </xf>
    <xf numFmtId="169" fontId="23" fillId="50" borderId="33" xfId="76" applyNumberFormat="1" applyFont="1" applyFill="1" applyBorder="1"/>
    <xf numFmtId="1" fontId="23" fillId="50" borderId="33" xfId="76" applyNumberFormat="1" applyFont="1" applyFill="1" applyBorder="1" applyAlignment="1">
      <alignment horizontal="center"/>
    </xf>
    <xf numFmtId="1" fontId="23" fillId="50" borderId="33" xfId="76" applyNumberFormat="1" applyFont="1" applyFill="1" applyBorder="1"/>
    <xf numFmtId="165" fontId="23" fillId="50" borderId="33" xfId="76" applyNumberFormat="1" applyFont="1" applyFill="1" applyBorder="1"/>
    <xf numFmtId="0" fontId="23" fillId="50" borderId="33" xfId="76" applyFont="1" applyFill="1" applyBorder="1"/>
    <xf numFmtId="0" fontId="23" fillId="50" borderId="33" xfId="76" applyFont="1" applyFill="1" applyBorder="1" applyAlignment="1">
      <alignment wrapText="1"/>
    </xf>
    <xf numFmtId="0" fontId="23" fillId="50" borderId="33" xfId="76" applyFont="1" applyFill="1" applyBorder="1" applyAlignment="1">
      <alignment horizontal="right"/>
    </xf>
    <xf numFmtId="165" fontId="23" fillId="50" borderId="33" xfId="76" applyNumberFormat="1" applyFont="1" applyFill="1" applyBorder="1" applyAlignment="1">
      <alignment wrapText="1"/>
    </xf>
    <xf numFmtId="9" fontId="23" fillId="50" borderId="33" xfId="77" applyFont="1" applyFill="1" applyBorder="1" applyAlignment="1">
      <alignment wrapText="1"/>
    </xf>
    <xf numFmtId="0" fontId="23" fillId="0" borderId="0" xfId="76" applyFont="1" applyAlignment="1">
      <alignment wrapText="1"/>
    </xf>
    <xf numFmtId="0" fontId="6" fillId="50" borderId="43" xfId="76" applyFont="1" applyFill="1" applyBorder="1" applyAlignment="1">
      <alignment horizontal="left" wrapText="1"/>
    </xf>
    <xf numFmtId="0" fontId="6" fillId="50" borderId="13" xfId="76" applyFont="1" applyFill="1" applyBorder="1" applyAlignment="1">
      <alignment horizontal="left" wrapText="1"/>
    </xf>
    <xf numFmtId="165" fontId="6" fillId="50" borderId="16" xfId="76" applyNumberFormat="1" applyFont="1" applyFill="1" applyBorder="1" applyAlignment="1">
      <alignment horizontal="center" wrapText="1"/>
    </xf>
    <xf numFmtId="0" fontId="6" fillId="50" borderId="34" xfId="76" applyFont="1" applyFill="1" applyBorder="1" applyAlignment="1">
      <alignment horizontal="left" wrapText="1"/>
    </xf>
    <xf numFmtId="0" fontId="6" fillId="50" borderId="23" xfId="76" applyFont="1" applyFill="1" applyBorder="1" applyAlignment="1">
      <alignment horizontal="left" wrapText="1"/>
    </xf>
    <xf numFmtId="169" fontId="6" fillId="50" borderId="33" xfId="76" applyNumberFormat="1" applyFont="1" applyFill="1" applyBorder="1" applyAlignment="1">
      <alignment horizontal="center" wrapText="1"/>
    </xf>
    <xf numFmtId="0" fontId="6" fillId="50" borderId="33" xfId="76" applyFont="1" applyFill="1" applyBorder="1" applyAlignment="1">
      <alignment horizontal="center" wrapText="1"/>
    </xf>
    <xf numFmtId="1" fontId="6" fillId="50" borderId="33" xfId="76" applyNumberFormat="1" applyFont="1" applyFill="1" applyBorder="1" applyAlignment="1">
      <alignment horizontal="center" wrapText="1"/>
    </xf>
    <xf numFmtId="169" fontId="6" fillId="50" borderId="33" xfId="76" applyNumberFormat="1" applyFont="1" applyFill="1" applyBorder="1" applyAlignment="1">
      <alignment wrapText="1"/>
    </xf>
    <xf numFmtId="0" fontId="6" fillId="0" borderId="15" xfId="76" applyFont="1" applyBorder="1" applyAlignment="1">
      <alignment horizontal="left" wrapText="1"/>
    </xf>
    <xf numFmtId="0" fontId="6" fillId="50" borderId="39" xfId="76" applyFont="1" applyFill="1" applyBorder="1" applyAlignment="1">
      <alignment horizontal="left" wrapText="1"/>
    </xf>
    <xf numFmtId="0" fontId="6" fillId="50" borderId="40" xfId="76" applyFont="1" applyFill="1" applyBorder="1" applyAlignment="1">
      <alignment horizontal="left" wrapText="1"/>
    </xf>
    <xf numFmtId="165" fontId="6" fillId="50" borderId="41" xfId="76" applyNumberFormat="1" applyFont="1" applyFill="1" applyBorder="1" applyAlignment="1">
      <alignment horizontal="center" wrapText="1"/>
    </xf>
    <xf numFmtId="0" fontId="6" fillId="50" borderId="0" xfId="76" applyFont="1" applyFill="1" applyAlignment="1">
      <alignment horizontal="left"/>
    </xf>
    <xf numFmtId="169" fontId="6" fillId="50" borderId="0" xfId="76" applyNumberFormat="1" applyFont="1" applyFill="1" applyAlignment="1">
      <alignment wrapText="1"/>
    </xf>
    <xf numFmtId="0" fontId="6" fillId="50" borderId="0" xfId="76" applyFont="1" applyFill="1" applyAlignment="1">
      <alignment wrapText="1"/>
    </xf>
    <xf numFmtId="1" fontId="54" fillId="50" borderId="0" xfId="76" applyNumberFormat="1" applyFont="1" applyFill="1" applyAlignment="1">
      <alignment horizontal="center" wrapText="1"/>
    </xf>
    <xf numFmtId="165" fontId="6" fillId="50" borderId="0" xfId="76" applyNumberFormat="1" applyFont="1" applyFill="1" applyAlignment="1">
      <alignment wrapText="1"/>
    </xf>
    <xf numFmtId="0" fontId="54" fillId="50" borderId="0" xfId="76" applyFont="1" applyFill="1" applyAlignment="1">
      <alignment horizontal="center" wrapText="1"/>
    </xf>
    <xf numFmtId="0" fontId="54" fillId="50" borderId="0" xfId="76" applyFont="1" applyFill="1" applyAlignment="1">
      <alignment wrapText="1"/>
    </xf>
    <xf numFmtId="0" fontId="54" fillId="50" borderId="0" xfId="76" applyFont="1" applyFill="1" applyAlignment="1">
      <alignment horizontal="right" wrapText="1"/>
    </xf>
    <xf numFmtId="165" fontId="8" fillId="50" borderId="0" xfId="76" applyNumberFormat="1" applyFont="1" applyFill="1" applyAlignment="1">
      <alignment wrapText="1"/>
    </xf>
    <xf numFmtId="9" fontId="6" fillId="50" borderId="0" xfId="77" applyFont="1" applyFill="1" applyAlignment="1">
      <alignment wrapText="1"/>
    </xf>
    <xf numFmtId="165" fontId="6" fillId="50" borderId="0" xfId="77" applyNumberFormat="1" applyFont="1" applyFill="1" applyAlignment="1">
      <alignment wrapText="1"/>
    </xf>
    <xf numFmtId="0" fontId="52" fillId="50" borderId="0" xfId="76" applyFont="1" applyFill="1" applyAlignment="1">
      <alignment horizontal="center" wrapText="1"/>
    </xf>
    <xf numFmtId="170" fontId="6" fillId="50" borderId="0" xfId="77" applyNumberFormat="1" applyFont="1" applyFill="1" applyAlignment="1">
      <alignment wrapText="1"/>
    </xf>
    <xf numFmtId="1" fontId="6" fillId="50" borderId="0" xfId="77" applyNumberFormat="1" applyFont="1" applyFill="1" applyAlignment="1">
      <alignment wrapText="1"/>
    </xf>
    <xf numFmtId="0" fontId="23" fillId="50" borderId="0" xfId="76" applyFont="1" applyFill="1" applyAlignment="1">
      <alignment wrapText="1"/>
    </xf>
    <xf numFmtId="1" fontId="6" fillId="50" borderId="0" xfId="76" applyNumberFormat="1" applyFont="1" applyFill="1" applyAlignment="1">
      <alignment wrapText="1"/>
    </xf>
    <xf numFmtId="0" fontId="6" fillId="50" borderId="0" xfId="76" applyFont="1" applyFill="1" applyAlignment="1"/>
    <xf numFmtId="2" fontId="8" fillId="50" borderId="0" xfId="76" applyNumberFormat="1" applyFont="1" applyFill="1" applyAlignment="1">
      <alignment wrapText="1"/>
    </xf>
    <xf numFmtId="2" fontId="6" fillId="50" borderId="0" xfId="77" applyNumberFormat="1" applyFont="1" applyFill="1" applyAlignment="1">
      <alignment wrapText="1"/>
    </xf>
    <xf numFmtId="0" fontId="6" fillId="50" borderId="0" xfId="76" applyFont="1" applyFill="1" applyAlignment="1">
      <alignment horizontal="right"/>
    </xf>
    <xf numFmtId="1" fontId="54" fillId="50" borderId="0" xfId="76" applyNumberFormat="1" applyFont="1" applyFill="1" applyAlignment="1">
      <alignment horizontal="center"/>
    </xf>
    <xf numFmtId="0" fontId="54" fillId="50" borderId="0" xfId="76" applyFont="1" applyFill="1" applyAlignment="1">
      <alignment horizontal="center"/>
    </xf>
    <xf numFmtId="165" fontId="6" fillId="50" borderId="0" xfId="76" applyNumberFormat="1" applyFont="1" applyFill="1" applyAlignment="1"/>
    <xf numFmtId="0" fontId="54" fillId="50" borderId="0" xfId="76" applyFont="1" applyFill="1" applyAlignment="1"/>
    <xf numFmtId="0" fontId="54" fillId="50" borderId="0" xfId="76" applyFont="1" applyFill="1" applyAlignment="1">
      <alignment horizontal="right"/>
    </xf>
    <xf numFmtId="1" fontId="6" fillId="50" borderId="0" xfId="76" applyNumberFormat="1" applyFont="1" applyFill="1" applyAlignment="1"/>
    <xf numFmtId="2" fontId="8" fillId="50" borderId="0" xfId="76" applyNumberFormat="1" applyFont="1" applyFill="1" applyAlignment="1"/>
    <xf numFmtId="1" fontId="6" fillId="50" borderId="0" xfId="77" applyNumberFormat="1" applyFont="1" applyFill="1" applyAlignment="1"/>
    <xf numFmtId="0" fontId="6" fillId="0" borderId="0" xfId="76" applyFont="1" applyAlignment="1"/>
    <xf numFmtId="0" fontId="8" fillId="50" borderId="0" xfId="76" applyFont="1" applyFill="1" applyAlignment="1"/>
    <xf numFmtId="9" fontId="6" fillId="50" borderId="0" xfId="77" applyFont="1" applyFill="1" applyAlignment="1"/>
    <xf numFmtId="1" fontId="54" fillId="0" borderId="0" xfId="76" applyNumberFormat="1" applyFont="1" applyAlignment="1">
      <alignment horizontal="center" wrapText="1"/>
    </xf>
    <xf numFmtId="0" fontId="54" fillId="0" borderId="0" xfId="76" applyFont="1" applyAlignment="1">
      <alignment horizontal="center" wrapText="1"/>
    </xf>
    <xf numFmtId="165" fontId="6" fillId="0" borderId="0" xfId="76" applyNumberFormat="1" applyFont="1" applyAlignment="1">
      <alignment wrapText="1"/>
    </xf>
    <xf numFmtId="0" fontId="54" fillId="0" borderId="0" xfId="76" applyFont="1" applyAlignment="1">
      <alignment wrapText="1"/>
    </xf>
    <xf numFmtId="0" fontId="54" fillId="0" borderId="0" xfId="76" applyFont="1" applyAlignment="1">
      <alignment horizontal="right" wrapText="1"/>
    </xf>
    <xf numFmtId="1" fontId="6" fillId="0" borderId="0" xfId="76" applyNumberFormat="1" applyFont="1" applyAlignment="1">
      <alignment wrapText="1"/>
    </xf>
    <xf numFmtId="0" fontId="8" fillId="0" borderId="0" xfId="76" applyFont="1" applyAlignment="1">
      <alignment wrapText="1"/>
    </xf>
    <xf numFmtId="9" fontId="6" fillId="0" borderId="0" xfId="77" applyFont="1" applyAlignment="1">
      <alignment wrapText="1"/>
    </xf>
    <xf numFmtId="0" fontId="8" fillId="0" borderId="0" xfId="76" applyFont="1" applyAlignment="1">
      <alignment horizontal="left" wrapText="1"/>
    </xf>
    <xf numFmtId="0" fontId="8" fillId="0" borderId="0" xfId="76" applyFont="1" applyAlignment="1">
      <alignment horizontal="center" wrapText="1"/>
    </xf>
    <xf numFmtId="0" fontId="8" fillId="0" borderId="0" xfId="76" applyFont="1" applyAlignment="1">
      <alignment horizontal="left"/>
    </xf>
    <xf numFmtId="1" fontId="54" fillId="0" borderId="0" xfId="76" applyNumberFormat="1" applyFont="1" applyAlignment="1">
      <alignment horizontal="center"/>
    </xf>
    <xf numFmtId="165" fontId="6" fillId="0" borderId="0" xfId="76" applyNumberFormat="1" applyFont="1" applyAlignment="1"/>
    <xf numFmtId="0" fontId="54" fillId="0" borderId="0" xfId="76" applyFont="1" applyAlignment="1"/>
    <xf numFmtId="1" fontId="6" fillId="0" borderId="0" xfId="76" applyNumberFormat="1" applyFont="1" applyAlignment="1"/>
    <xf numFmtId="0" fontId="8" fillId="0" borderId="0" xfId="76" applyFont="1" applyAlignment="1"/>
    <xf numFmtId="9" fontId="6" fillId="0" borderId="0" xfId="77" applyFont="1" applyAlignment="1"/>
    <xf numFmtId="165" fontId="6" fillId="0" borderId="0" xfId="76" applyNumberFormat="1" applyFont="1"/>
    <xf numFmtId="2" fontId="9" fillId="60" borderId="23" xfId="0" applyNumberFormat="1" applyFont="1" applyFill="1" applyBorder="1" applyAlignment="1">
      <alignment horizontal="center"/>
    </xf>
    <xf numFmtId="2" fontId="9" fillId="68" borderId="14" xfId="0" applyNumberFormat="1" applyFont="1" applyFill="1" applyBorder="1" applyAlignment="1">
      <alignment horizontal="center"/>
    </xf>
    <xf numFmtId="2" fontId="9" fillId="68" borderId="15" xfId="0" applyNumberFormat="1" applyFont="1" applyFill="1" applyBorder="1" applyAlignment="1">
      <alignment horizontal="center"/>
    </xf>
    <xf numFmtId="1" fontId="9" fillId="43" borderId="21" xfId="0" applyNumberFormat="1" applyFont="1" applyFill="1" applyBorder="1"/>
    <xf numFmtId="0" fontId="66" fillId="0" borderId="0" xfId="70" applyAlignment="1">
      <alignment horizontal="center"/>
    </xf>
    <xf numFmtId="0" fontId="52" fillId="0" borderId="0" xfId="70" applyFont="1"/>
    <xf numFmtId="0" fontId="70" fillId="50" borderId="33" xfId="76" applyFont="1" applyFill="1" applyBorder="1" applyAlignment="1">
      <alignment wrapText="1"/>
    </xf>
    <xf numFmtId="0" fontId="83" fillId="50" borderId="33" xfId="76" applyFont="1" applyFill="1" applyBorder="1" applyAlignment="1">
      <alignment wrapText="1"/>
    </xf>
    <xf numFmtId="170" fontId="5" fillId="0" borderId="0" xfId="64" applyNumberFormat="1" applyFont="1"/>
    <xf numFmtId="9" fontId="66" fillId="0" borderId="0" xfId="64" applyFont="1"/>
    <xf numFmtId="169" fontId="19" fillId="65" borderId="33" xfId="76" applyNumberFormat="1" applyFont="1" applyFill="1" applyBorder="1"/>
    <xf numFmtId="169" fontId="70" fillId="65" borderId="33" xfId="76" applyNumberFormat="1" applyFont="1" applyFill="1" applyBorder="1"/>
    <xf numFmtId="169" fontId="19" fillId="65" borderId="33" xfId="0" applyNumberFormat="1" applyFont="1" applyFill="1" applyBorder="1"/>
    <xf numFmtId="1" fontId="40" fillId="65" borderId="33" xfId="76" applyNumberFormat="1" applyFont="1" applyFill="1" applyBorder="1" applyAlignment="1">
      <alignment horizontal="center"/>
    </xf>
    <xf numFmtId="1" fontId="83" fillId="65" borderId="33" xfId="76" applyNumberFormat="1" applyFont="1" applyFill="1" applyBorder="1" applyAlignment="1">
      <alignment horizontal="center"/>
    </xf>
    <xf numFmtId="1" fontId="40" fillId="65" borderId="33" xfId="0" applyNumberFormat="1" applyFont="1" applyFill="1" applyBorder="1" applyAlignment="1">
      <alignment horizontal="center"/>
    </xf>
    <xf numFmtId="1" fontId="54" fillId="65" borderId="33" xfId="76" applyNumberFormat="1" applyFont="1" applyFill="1" applyBorder="1" applyAlignment="1">
      <alignment horizontal="center"/>
    </xf>
    <xf numFmtId="0" fontId="6" fillId="0" borderId="0" xfId="70" applyFont="1" applyAlignment="1">
      <alignment horizontal="center"/>
    </xf>
    <xf numFmtId="165" fontId="6" fillId="0" borderId="0" xfId="70" applyNumberFormat="1" applyFont="1"/>
    <xf numFmtId="0" fontId="8" fillId="44" borderId="21" xfId="0" applyFont="1" applyFill="1" applyBorder="1" applyProtection="1">
      <protection locked="0"/>
    </xf>
    <xf numFmtId="0" fontId="11" fillId="42" borderId="0" xfId="0" applyFont="1" applyFill="1" applyBorder="1" applyProtection="1">
      <protection locked="0"/>
    </xf>
    <xf numFmtId="0" fontId="9" fillId="42" borderId="0" xfId="0" applyFont="1" applyFill="1" applyBorder="1" applyAlignment="1" applyProtection="1">
      <alignment horizontal="center" vertical="center" wrapText="1"/>
      <protection locked="0"/>
    </xf>
    <xf numFmtId="0" fontId="8" fillId="42" borderId="0" xfId="0" applyFont="1" applyFill="1" applyBorder="1" applyProtection="1">
      <protection locked="0"/>
    </xf>
    <xf numFmtId="0" fontId="66" fillId="0" borderId="0" xfId="70" applyAlignment="1">
      <alignment horizontal="center"/>
    </xf>
    <xf numFmtId="0" fontId="0" fillId="63" borderId="0" xfId="0" applyFill="1"/>
    <xf numFmtId="0" fontId="0" fillId="63" borderId="0" xfId="0" applyFill="1" applyAlignment="1">
      <alignment horizontal="center"/>
    </xf>
    <xf numFmtId="0" fontId="16" fillId="63" borderId="0" xfId="70" applyFont="1" applyFill="1"/>
    <xf numFmtId="0" fontId="7" fillId="63" borderId="0" xfId="0" applyFont="1" applyFill="1"/>
    <xf numFmtId="0" fontId="11" fillId="64" borderId="0" xfId="76" applyFont="1" applyFill="1" applyAlignment="1">
      <alignment wrapText="1"/>
    </xf>
    <xf numFmtId="0" fontId="8" fillId="44" borderId="22" xfId="0" applyFont="1" applyFill="1" applyBorder="1" applyAlignment="1">
      <alignment horizontal="center" wrapText="1"/>
    </xf>
    <xf numFmtId="0" fontId="8" fillId="44" borderId="33" xfId="0" applyFont="1" applyFill="1" applyBorder="1" applyAlignment="1">
      <alignment horizontal="center" wrapText="1"/>
    </xf>
    <xf numFmtId="0" fontId="8" fillId="39" borderId="33" xfId="59" applyFont="1" applyBorder="1" applyAlignment="1">
      <alignment horizontal="center" wrapText="1"/>
    </xf>
    <xf numFmtId="2" fontId="9" fillId="60" borderId="16" xfId="0" applyNumberFormat="1" applyFont="1" applyFill="1" applyBorder="1" applyAlignment="1">
      <alignment horizontal="center" vertical="center" wrapText="1"/>
    </xf>
    <xf numFmtId="0" fontId="11" fillId="0" borderId="0" xfId="70" applyFont="1"/>
    <xf numFmtId="0" fontId="6" fillId="0" borderId="0" xfId="70" applyFont="1" applyAlignment="1">
      <alignment horizontal="center" wrapText="1"/>
    </xf>
    <xf numFmtId="2" fontId="6" fillId="42" borderId="33" xfId="70" applyNumberFormat="1" applyFont="1" applyFill="1" applyBorder="1" applyAlignment="1">
      <alignment horizontal="center"/>
    </xf>
    <xf numFmtId="0" fontId="8" fillId="46" borderId="22" xfId="0" applyFont="1" applyFill="1" applyBorder="1" applyAlignment="1">
      <alignment horizontal="left"/>
    </xf>
    <xf numFmtId="0" fontId="8" fillId="46" borderId="21" xfId="0" applyFont="1" applyFill="1" applyBorder="1" applyAlignment="1">
      <alignment horizontal="left"/>
    </xf>
    <xf numFmtId="0" fontId="9" fillId="63" borderId="0" xfId="0" applyFont="1" applyFill="1" applyAlignment="1">
      <alignment horizontal="center" wrapText="1"/>
    </xf>
    <xf numFmtId="0" fontId="9" fillId="42" borderId="0" xfId="0" applyFont="1" applyFill="1" applyBorder="1" applyAlignment="1" applyProtection="1">
      <alignment horizontal="center" vertical="center" wrapText="1"/>
      <protection locked="0"/>
    </xf>
    <xf numFmtId="0" fontId="9" fillId="72" borderId="17" xfId="0" applyFont="1" applyFill="1" applyBorder="1" applyAlignment="1" applyProtection="1">
      <alignment horizontal="center" vertical="center" wrapText="1"/>
      <protection locked="0"/>
    </xf>
    <xf numFmtId="0" fontId="9" fillId="42" borderId="12" xfId="0" applyFont="1" applyFill="1" applyBorder="1" applyAlignment="1" applyProtection="1">
      <alignment horizontal="center" vertical="center" wrapText="1"/>
      <protection locked="0"/>
    </xf>
    <xf numFmtId="0" fontId="9" fillId="64" borderId="19" xfId="0" applyFont="1" applyFill="1" applyBorder="1" applyAlignment="1" applyProtection="1">
      <alignment horizontal="left" vertical="center" wrapText="1"/>
      <protection locked="0"/>
    </xf>
    <xf numFmtId="0" fontId="9" fillId="64" borderId="20" xfId="0" applyFont="1" applyFill="1" applyBorder="1" applyAlignment="1" applyProtection="1">
      <alignment horizontal="left" vertical="center" wrapText="1"/>
      <protection locked="0"/>
    </xf>
    <xf numFmtId="0" fontId="14" fillId="72" borderId="18" xfId="0" applyFont="1" applyFill="1" applyBorder="1" applyAlignment="1" applyProtection="1">
      <alignment horizontal="center" vertical="center" wrapText="1"/>
      <protection locked="0"/>
    </xf>
    <xf numFmtId="0" fontId="14" fillId="72" borderId="20" xfId="0" applyFont="1" applyFill="1" applyBorder="1" applyAlignment="1" applyProtection="1">
      <alignment horizontal="center" vertical="center" wrapText="1"/>
      <protection locked="0"/>
    </xf>
    <xf numFmtId="2" fontId="9" fillId="64" borderId="21" xfId="0" applyNumberFormat="1" applyFont="1" applyFill="1" applyBorder="1" applyAlignment="1" applyProtection="1">
      <alignment horizontal="center" vertical="center" wrapText="1"/>
      <protection locked="0"/>
    </xf>
    <xf numFmtId="1" fontId="9" fillId="64" borderId="11" xfId="0" applyNumberFormat="1" applyFont="1" applyFill="1" applyBorder="1" applyAlignment="1" applyProtection="1">
      <alignment horizontal="center" vertical="center" wrapText="1"/>
      <protection locked="0"/>
    </xf>
    <xf numFmtId="2" fontId="9" fillId="42" borderId="0" xfId="0" applyNumberFormat="1" applyFont="1" applyFill="1" applyBorder="1" applyAlignment="1" applyProtection="1">
      <alignment horizontal="center" vertical="center" wrapText="1"/>
      <protection locked="0"/>
    </xf>
    <xf numFmtId="1" fontId="9" fillId="64" borderId="21" xfId="0" applyNumberFormat="1" applyFont="1" applyFill="1" applyBorder="1" applyAlignment="1" applyProtection="1">
      <alignment horizontal="center" vertical="center" wrapText="1"/>
      <protection locked="0"/>
    </xf>
    <xf numFmtId="1" fontId="9" fillId="64" borderId="13" xfId="0" applyNumberFormat="1" applyFont="1" applyFill="1" applyBorder="1" applyAlignment="1" applyProtection="1">
      <alignment horizontal="center" vertical="center" wrapText="1"/>
      <protection locked="0"/>
    </xf>
    <xf numFmtId="1" fontId="9" fillId="64" borderId="23" xfId="0" applyNumberFormat="1" applyFont="1" applyFill="1" applyBorder="1" applyAlignment="1" applyProtection="1">
      <alignment horizontal="center" vertical="center" wrapText="1"/>
      <protection locked="0"/>
    </xf>
    <xf numFmtId="0" fontId="14" fillId="72" borderId="11" xfId="0" applyFont="1" applyFill="1" applyBorder="1" applyAlignment="1" applyProtection="1">
      <alignment vertical="center" wrapText="1"/>
      <protection locked="0"/>
    </xf>
    <xf numFmtId="0" fontId="14" fillId="72" borderId="18" xfId="0" applyFont="1" applyFill="1" applyBorder="1" applyAlignment="1" applyProtection="1">
      <alignment vertical="center" wrapText="1"/>
      <protection locked="0"/>
    </xf>
    <xf numFmtId="2" fontId="9" fillId="64" borderId="23" xfId="0" applyNumberFormat="1" applyFont="1" applyFill="1" applyBorder="1" applyAlignment="1" applyProtection="1">
      <alignment horizontal="center" vertical="center" wrapText="1"/>
      <protection locked="0"/>
    </xf>
    <xf numFmtId="2" fontId="9" fillId="64" borderId="22" xfId="0" applyNumberFormat="1" applyFont="1" applyFill="1" applyBorder="1" applyAlignment="1" applyProtection="1">
      <alignment horizontal="center" vertical="center" wrapText="1"/>
      <protection locked="0"/>
    </xf>
    <xf numFmtId="0" fontId="9" fillId="64" borderId="23" xfId="0" applyFont="1" applyFill="1" applyBorder="1" applyAlignment="1" applyProtection="1">
      <alignment horizontal="center" vertical="center" wrapText="1"/>
      <protection locked="0"/>
    </xf>
    <xf numFmtId="0" fontId="9" fillId="64" borderId="21" xfId="0" applyFont="1" applyFill="1" applyBorder="1" applyAlignment="1" applyProtection="1">
      <alignment horizontal="center" vertical="center" wrapText="1"/>
      <protection locked="0"/>
    </xf>
    <xf numFmtId="0" fontId="9" fillId="64" borderId="22" xfId="0"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14" fillId="72" borderId="33" xfId="0" applyFont="1" applyFill="1" applyBorder="1" applyAlignment="1" applyProtection="1">
      <alignment horizontal="left" vertical="center" wrapText="1"/>
      <protection locked="0"/>
    </xf>
    <xf numFmtId="2" fontId="9" fillId="64" borderId="13" xfId="0" applyNumberFormat="1" applyFont="1" applyFill="1" applyBorder="1" applyAlignment="1" applyProtection="1">
      <alignment horizontal="center" vertical="center" wrapText="1"/>
      <protection locked="0"/>
    </xf>
    <xf numFmtId="2" fontId="9" fillId="64" borderId="17" xfId="0" applyNumberFormat="1" applyFont="1" applyFill="1" applyBorder="1" applyAlignment="1" applyProtection="1">
      <alignment horizontal="center" vertical="center" wrapText="1"/>
      <protection locked="0"/>
    </xf>
    <xf numFmtId="2" fontId="9" fillId="64" borderId="11" xfId="0" applyNumberFormat="1" applyFont="1" applyFill="1" applyBorder="1" applyAlignment="1" applyProtection="1">
      <alignment horizontal="center" vertical="center" wrapText="1"/>
      <protection locked="0"/>
    </xf>
    <xf numFmtId="2" fontId="9" fillId="64" borderId="18" xfId="0" applyNumberFormat="1" applyFont="1" applyFill="1" applyBorder="1" applyAlignment="1" applyProtection="1">
      <alignment horizontal="center" vertical="center" wrapText="1"/>
      <protection locked="0"/>
    </xf>
    <xf numFmtId="0" fontId="14" fillId="72" borderId="19" xfId="0" applyFont="1" applyFill="1" applyBorder="1" applyAlignment="1" applyProtection="1">
      <alignment horizontal="center" vertical="center" wrapText="1"/>
      <protection locked="0"/>
    </xf>
    <xf numFmtId="0" fontId="9" fillId="42" borderId="0" xfId="0" applyNumberFormat="1" applyFont="1" applyFill="1" applyBorder="1" applyAlignment="1" applyProtection="1">
      <alignment horizontal="left" vertical="center" wrapText="1"/>
      <protection locked="0"/>
    </xf>
    <xf numFmtId="1" fontId="9" fillId="64" borderId="18" xfId="0" applyNumberFormat="1" applyFont="1" applyFill="1" applyBorder="1" applyAlignment="1" applyProtection="1">
      <alignment horizontal="center" vertical="center" wrapText="1"/>
      <protection locked="0"/>
    </xf>
    <xf numFmtId="169" fontId="9" fillId="64" borderId="23" xfId="0" applyNumberFormat="1" applyFont="1" applyFill="1" applyBorder="1" applyAlignment="1" applyProtection="1">
      <alignment horizontal="center" vertical="center" wrapText="1"/>
      <protection locked="0"/>
    </xf>
    <xf numFmtId="1" fontId="9" fillId="64" borderId="22" xfId="0" applyNumberFormat="1" applyFont="1" applyFill="1" applyBorder="1" applyAlignment="1" applyProtection="1">
      <alignment horizontal="center" vertical="center" wrapText="1"/>
      <protection locked="0"/>
    </xf>
    <xf numFmtId="1" fontId="9" fillId="64" borderId="17" xfId="0" applyNumberFormat="1" applyFont="1" applyFill="1" applyBorder="1" applyAlignment="1" applyProtection="1">
      <alignment horizontal="center" vertical="center" wrapText="1"/>
      <protection locked="0"/>
    </xf>
    <xf numFmtId="169" fontId="9" fillId="64" borderId="22" xfId="0" applyNumberFormat="1" applyFont="1" applyFill="1" applyBorder="1" applyAlignment="1" applyProtection="1">
      <alignment horizontal="center" vertical="center" wrapText="1"/>
      <protection locked="0"/>
    </xf>
    <xf numFmtId="0" fontId="13" fillId="42" borderId="0" xfId="0" applyFont="1" applyFill="1" applyAlignment="1">
      <alignment horizontal="left"/>
    </xf>
    <xf numFmtId="0" fontId="14" fillId="45" borderId="21" xfId="0" applyFont="1" applyFill="1" applyBorder="1" applyAlignment="1">
      <alignment horizontal="center" wrapText="1"/>
    </xf>
    <xf numFmtId="0" fontId="9" fillId="73" borderId="0" xfId="0" applyFont="1" applyFill="1" applyBorder="1"/>
    <xf numFmtId="2" fontId="9" fillId="73" borderId="0" xfId="0" applyNumberFormat="1" applyFont="1" applyFill="1" applyBorder="1"/>
    <xf numFmtId="2" fontId="9" fillId="73" borderId="0" xfId="0" applyNumberFormat="1" applyFont="1" applyFill="1" applyBorder="1" applyAlignment="1">
      <alignment horizontal="right"/>
    </xf>
    <xf numFmtId="165" fontId="9" fillId="73" borderId="0" xfId="0" applyNumberFormat="1" applyFont="1" applyFill="1" applyBorder="1"/>
    <xf numFmtId="0" fontId="9" fillId="73" borderId="0" xfId="0" applyFont="1" applyFill="1" applyBorder="1" applyAlignment="1">
      <alignment horizontal="center"/>
    </xf>
    <xf numFmtId="0" fontId="9" fillId="74" borderId="0" xfId="0" applyFont="1" applyFill="1" applyBorder="1"/>
    <xf numFmtId="2" fontId="9" fillId="74" borderId="0" xfId="0" applyNumberFormat="1" applyFont="1" applyFill="1" applyBorder="1"/>
    <xf numFmtId="2" fontId="9" fillId="74" borderId="0" xfId="0" applyNumberFormat="1" applyFont="1" applyFill="1" applyBorder="1" applyAlignment="1">
      <alignment horizontal="right"/>
    </xf>
    <xf numFmtId="165" fontId="9" fillId="74" borderId="0" xfId="0" applyNumberFormat="1" applyFont="1" applyFill="1" applyBorder="1"/>
    <xf numFmtId="0" fontId="9" fillId="74" borderId="0" xfId="0" applyFont="1" applyFill="1" applyBorder="1" applyAlignment="1">
      <alignment horizontal="center"/>
    </xf>
    <xf numFmtId="2" fontId="9" fillId="63" borderId="0" xfId="0" applyNumberFormat="1" applyFont="1" applyFill="1" applyBorder="1"/>
    <xf numFmtId="2" fontId="9" fillId="63" borderId="0" xfId="0" applyNumberFormat="1" applyFont="1" applyFill="1" applyBorder="1" applyAlignment="1">
      <alignment horizontal="right"/>
    </xf>
    <xf numFmtId="165" fontId="9" fillId="63" borderId="0" xfId="0" applyNumberFormat="1" applyFont="1" applyFill="1" applyBorder="1"/>
    <xf numFmtId="0" fontId="9" fillId="73" borderId="0" xfId="80" applyFont="1" applyFill="1" applyBorder="1"/>
    <xf numFmtId="0" fontId="14" fillId="45" borderId="21" xfId="0" applyFont="1" applyFill="1" applyBorder="1" applyAlignment="1">
      <alignment horizontal="center" wrapText="1"/>
    </xf>
    <xf numFmtId="0" fontId="9" fillId="73" borderId="10" xfId="0" applyFont="1" applyFill="1" applyBorder="1" applyAlignment="1">
      <alignment horizontal="center"/>
    </xf>
    <xf numFmtId="0" fontId="9" fillId="74" borderId="10" xfId="0" applyFont="1" applyFill="1" applyBorder="1" applyAlignment="1">
      <alignment horizontal="center"/>
    </xf>
    <xf numFmtId="0" fontId="9" fillId="42" borderId="10" xfId="0" applyFont="1" applyFill="1" applyBorder="1"/>
    <xf numFmtId="165" fontId="9" fillId="46" borderId="15" xfId="0" applyNumberFormat="1" applyFont="1" applyFill="1" applyBorder="1" applyAlignment="1">
      <alignment horizontal="center" wrapText="1"/>
    </xf>
    <xf numFmtId="0" fontId="8" fillId="75" borderId="82" xfId="0" applyFont="1" applyFill="1" applyBorder="1" applyAlignment="1">
      <alignment horizontal="center" wrapText="1"/>
    </xf>
    <xf numFmtId="0" fontId="8" fillId="75" borderId="84" xfId="0" applyFont="1" applyFill="1" applyBorder="1" applyAlignment="1">
      <alignment horizontal="center" wrapText="1"/>
    </xf>
    <xf numFmtId="0" fontId="8" fillId="75" borderId="85" xfId="0" applyFont="1" applyFill="1" applyBorder="1" applyAlignment="1">
      <alignment horizontal="center" wrapText="1"/>
    </xf>
    <xf numFmtId="0" fontId="8" fillId="75" borderId="83" xfId="0" applyFont="1" applyFill="1" applyBorder="1" applyAlignment="1">
      <alignment horizontal="center" wrapText="1"/>
    </xf>
    <xf numFmtId="0" fontId="6" fillId="71" borderId="83" xfId="0" applyFont="1" applyFill="1" applyBorder="1" applyAlignment="1">
      <alignment horizontal="center" wrapText="1"/>
    </xf>
    <xf numFmtId="0" fontId="6" fillId="71" borderId="85" xfId="0" applyFont="1" applyFill="1" applyBorder="1" applyAlignment="1">
      <alignment horizontal="center" wrapText="1"/>
    </xf>
    <xf numFmtId="0" fontId="6" fillId="76" borderId="83" xfId="0" applyFont="1" applyFill="1" applyBorder="1" applyAlignment="1">
      <alignment horizontal="center" wrapText="1"/>
    </xf>
    <xf numFmtId="0" fontId="6" fillId="76" borderId="85" xfId="0" applyFont="1" applyFill="1" applyBorder="1" applyAlignment="1">
      <alignment horizontal="center" wrapText="1"/>
    </xf>
    <xf numFmtId="0" fontId="6" fillId="69" borderId="83" xfId="0" applyFont="1" applyFill="1" applyBorder="1" applyAlignment="1">
      <alignment horizontal="center" wrapText="1"/>
    </xf>
    <xf numFmtId="0" fontId="6" fillId="69" borderId="85" xfId="0" applyFont="1" applyFill="1" applyBorder="1" applyAlignment="1">
      <alignment horizontal="center" wrapText="1"/>
    </xf>
    <xf numFmtId="0" fontId="6" fillId="77" borderId="83" xfId="0" applyFont="1" applyFill="1" applyBorder="1" applyAlignment="1">
      <alignment horizontal="center" wrapText="1"/>
    </xf>
    <xf numFmtId="0" fontId="6" fillId="77" borderId="85" xfId="0" applyFont="1" applyFill="1" applyBorder="1" applyAlignment="1">
      <alignment horizontal="center" wrapText="1"/>
    </xf>
    <xf numFmtId="0" fontId="6" fillId="78" borderId="83" xfId="0" applyFont="1" applyFill="1" applyBorder="1" applyAlignment="1">
      <alignment horizontal="center" wrapText="1"/>
    </xf>
    <xf numFmtId="0" fontId="6" fillId="78" borderId="85" xfId="0" applyFont="1" applyFill="1" applyBorder="1" applyAlignment="1">
      <alignment horizontal="center" wrapText="1"/>
    </xf>
    <xf numFmtId="0" fontId="6" fillId="67" borderId="83" xfId="0" applyFont="1" applyFill="1" applyBorder="1" applyAlignment="1">
      <alignment horizontal="center" wrapText="1"/>
    </xf>
    <xf numFmtId="0" fontId="6" fillId="67" borderId="85" xfId="0" applyFont="1" applyFill="1" applyBorder="1" applyAlignment="1">
      <alignment horizontal="center" wrapText="1"/>
    </xf>
    <xf numFmtId="0" fontId="6" fillId="79" borderId="83" xfId="0" applyFont="1" applyFill="1" applyBorder="1" applyAlignment="1">
      <alignment horizontal="center" wrapText="1"/>
    </xf>
    <xf numFmtId="0" fontId="6" fillId="79" borderId="85" xfId="0" applyFont="1" applyFill="1" applyBorder="1" applyAlignment="1">
      <alignment horizontal="center" wrapText="1"/>
    </xf>
    <xf numFmtId="0" fontId="6" fillId="0" borderId="86" xfId="0" applyFont="1" applyBorder="1" applyAlignment="1">
      <alignment horizontal="center" wrapText="1"/>
    </xf>
    <xf numFmtId="0" fontId="6" fillId="0" borderId="87" xfId="0" applyFont="1" applyBorder="1" applyAlignment="1">
      <alignment horizontal="center" wrapText="1"/>
    </xf>
    <xf numFmtId="0" fontId="6" fillId="0" borderId="88" xfId="0" applyFont="1" applyBorder="1" applyAlignment="1">
      <alignment horizontal="center" wrapText="1"/>
    </xf>
    <xf numFmtId="0" fontId="6" fillId="0" borderId="51" xfId="0" applyFont="1" applyBorder="1" applyAlignment="1">
      <alignment horizontal="center" wrapText="1"/>
    </xf>
    <xf numFmtId="2" fontId="6" fillId="0" borderId="86" xfId="0" applyNumberFormat="1" applyFont="1" applyBorder="1" applyAlignment="1">
      <alignment horizontal="center" wrapText="1"/>
    </xf>
    <xf numFmtId="2" fontId="6" fillId="0" borderId="87" xfId="0" applyNumberFormat="1" applyFont="1" applyBorder="1" applyAlignment="1">
      <alignment horizontal="center" wrapText="1"/>
    </xf>
    <xf numFmtId="0" fontId="91" fillId="75" borderId="53" xfId="0" applyFont="1" applyFill="1" applyBorder="1" applyAlignment="1">
      <alignment horizontal="center" wrapText="1"/>
    </xf>
    <xf numFmtId="0" fontId="91" fillId="75" borderId="48" xfId="0" applyFont="1" applyFill="1" applyBorder="1" applyAlignment="1">
      <alignment horizontal="center" wrapText="1"/>
    </xf>
    <xf numFmtId="0" fontId="92" fillId="0" borderId="25" xfId="0" applyFont="1" applyBorder="1" applyAlignment="1">
      <alignment wrapText="1"/>
    </xf>
    <xf numFmtId="0" fontId="92" fillId="0" borderId="51" xfId="0" applyFont="1" applyBorder="1" applyAlignment="1">
      <alignment horizontal="center" wrapText="1"/>
    </xf>
    <xf numFmtId="0" fontId="92" fillId="0" borderId="51" xfId="0" applyFont="1" applyBorder="1" applyAlignment="1">
      <alignment wrapText="1"/>
    </xf>
    <xf numFmtId="1" fontId="14" fillId="63" borderId="0" xfId="0" applyNumberFormat="1" applyFont="1" applyFill="1" applyBorder="1" applyAlignment="1">
      <alignment vertical="center" wrapText="1"/>
    </xf>
    <xf numFmtId="0" fontId="8" fillId="75" borderId="90" xfId="0" applyFont="1" applyFill="1" applyBorder="1" applyAlignment="1">
      <alignment horizontal="center" wrapText="1"/>
    </xf>
    <xf numFmtId="0" fontId="6" fillId="0" borderId="85" xfId="0" applyFont="1" applyBorder="1" applyAlignment="1">
      <alignment horizontal="center" wrapText="1"/>
    </xf>
    <xf numFmtId="0" fontId="6" fillId="0" borderId="94" xfId="0" applyFont="1" applyBorder="1" applyAlignment="1">
      <alignment horizontal="center" wrapText="1"/>
    </xf>
    <xf numFmtId="0" fontId="6" fillId="0" borderId="84" xfId="0" applyFont="1" applyBorder="1" applyAlignment="1">
      <alignment horizontal="center" wrapText="1"/>
    </xf>
    <xf numFmtId="0" fontId="6" fillId="0" borderId="90" xfId="0" applyFont="1" applyBorder="1" applyAlignment="1">
      <alignment horizontal="center" wrapText="1"/>
    </xf>
    <xf numFmtId="0" fontId="6" fillId="0" borderId="96" xfId="0" applyFont="1" applyBorder="1" applyAlignment="1">
      <alignment horizontal="center" wrapText="1"/>
    </xf>
    <xf numFmtId="0" fontId="6" fillId="0" borderId="98" xfId="0" applyFont="1" applyBorder="1" applyAlignment="1">
      <alignment horizontal="center" wrapText="1"/>
    </xf>
    <xf numFmtId="0" fontId="6" fillId="0" borderId="97" xfId="0" applyFont="1" applyBorder="1" applyAlignment="1">
      <alignment horizontal="center" wrapText="1"/>
    </xf>
    <xf numFmtId="0" fontId="8" fillId="75" borderId="96" xfId="0" applyFont="1" applyFill="1" applyBorder="1" applyAlignment="1">
      <alignment horizontal="center" wrapText="1"/>
    </xf>
    <xf numFmtId="0" fontId="6" fillId="0" borderId="93" xfId="0" applyFont="1" applyBorder="1" applyAlignment="1">
      <alignment vertical="center" wrapText="1"/>
    </xf>
    <xf numFmtId="0" fontId="6" fillId="0" borderId="82" xfId="0" applyFont="1" applyBorder="1" applyAlignment="1">
      <alignment vertical="center" wrapText="1"/>
    </xf>
    <xf numFmtId="0" fontId="6" fillId="0" borderId="83" xfId="0" applyFont="1" applyBorder="1" applyAlignment="1">
      <alignment vertical="center" wrapText="1"/>
    </xf>
    <xf numFmtId="0" fontId="6" fillId="0" borderId="99" xfId="0" applyFont="1" applyBorder="1" applyAlignment="1">
      <alignment horizontal="center" wrapText="1"/>
    </xf>
    <xf numFmtId="0" fontId="6" fillId="0" borderId="65" xfId="0" applyFont="1" applyBorder="1" applyAlignment="1">
      <alignment horizontal="center" wrapText="1"/>
    </xf>
    <xf numFmtId="0" fontId="6" fillId="0" borderId="25" xfId="0" applyFont="1" applyBorder="1" applyAlignment="1">
      <alignment horizontal="center" wrapText="1"/>
    </xf>
    <xf numFmtId="0" fontId="6" fillId="63" borderId="0" xfId="0" applyFont="1" applyFill="1"/>
    <xf numFmtId="0" fontId="6" fillId="0" borderId="89" xfId="0" applyFont="1" applyBorder="1" applyAlignment="1">
      <alignment horizontal="center" vertical="center" wrapText="1"/>
    </xf>
    <xf numFmtId="0" fontId="0" fillId="63" borderId="66" xfId="0" applyFill="1" applyBorder="1"/>
    <xf numFmtId="0" fontId="11" fillId="63" borderId="44" xfId="0" applyFont="1" applyFill="1" applyBorder="1"/>
    <xf numFmtId="0" fontId="0" fillId="63" borderId="48" xfId="0" applyFill="1" applyBorder="1" applyAlignment="1">
      <alignment horizontal="center"/>
    </xf>
    <xf numFmtId="0" fontId="8" fillId="75" borderId="53" xfId="0" applyFont="1" applyFill="1" applyBorder="1" applyAlignment="1">
      <alignment horizontal="center" wrapText="1"/>
    </xf>
    <xf numFmtId="0" fontId="8" fillId="75" borderId="48" xfId="0" applyFont="1" applyFill="1" applyBorder="1" applyAlignment="1">
      <alignment horizontal="center" wrapText="1"/>
    </xf>
    <xf numFmtId="0" fontId="8" fillId="75" borderId="66" xfId="0" applyFont="1" applyFill="1" applyBorder="1" applyAlignment="1">
      <alignment horizontal="center" wrapText="1"/>
    </xf>
    <xf numFmtId="0" fontId="6" fillId="80" borderId="25" xfId="0" applyFont="1" applyFill="1" applyBorder="1" applyAlignment="1">
      <alignment wrapText="1"/>
    </xf>
    <xf numFmtId="0" fontId="6" fillId="80" borderId="51" xfId="0" applyFont="1" applyFill="1" applyBorder="1" applyAlignment="1">
      <alignment horizontal="center" wrapText="1"/>
    </xf>
    <xf numFmtId="0" fontId="8" fillId="80" borderId="51" xfId="0" applyFont="1" applyFill="1" applyBorder="1" applyAlignment="1">
      <alignment horizontal="center" wrapText="1"/>
    </xf>
    <xf numFmtId="0" fontId="6" fillId="80" borderId="53" xfId="0" applyFont="1" applyFill="1" applyBorder="1" applyAlignment="1">
      <alignment wrapText="1"/>
    </xf>
    <xf numFmtId="165" fontId="9" fillId="41" borderId="0" xfId="0" applyNumberFormat="1" applyFont="1" applyFill="1" applyBorder="1" applyAlignment="1" applyProtection="1">
      <alignment horizontal="center" vertical="center"/>
      <protection locked="0"/>
    </xf>
    <xf numFmtId="169" fontId="9" fillId="45" borderId="16" xfId="0" applyNumberFormat="1" applyFont="1" applyFill="1" applyBorder="1" applyAlignment="1">
      <alignment horizontal="center" vertical="center"/>
    </xf>
    <xf numFmtId="0" fontId="9" fillId="41" borderId="10" xfId="0" applyFont="1" applyFill="1" applyBorder="1" applyAlignment="1">
      <alignment vertical="center" wrapText="1"/>
    </xf>
    <xf numFmtId="0" fontId="9" fillId="63" borderId="0" xfId="0" applyFont="1" applyFill="1" applyBorder="1" applyAlignment="1">
      <alignment horizontal="center" wrapText="1"/>
    </xf>
    <xf numFmtId="0" fontId="9" fillId="63" borderId="0" xfId="0" applyFont="1" applyFill="1" applyBorder="1" applyAlignment="1">
      <alignment wrapText="1"/>
    </xf>
    <xf numFmtId="0" fontId="9" fillId="63" borderId="0" xfId="0" applyFont="1" applyFill="1" applyAlignment="1">
      <alignment wrapText="1"/>
    </xf>
    <xf numFmtId="2" fontId="9" fillId="55" borderId="103" xfId="0" applyNumberFormat="1" applyFont="1" applyFill="1" applyBorder="1" applyAlignment="1">
      <alignment horizontal="center"/>
    </xf>
    <xf numFmtId="2" fontId="9" fillId="55" borderId="40" xfId="0" applyNumberFormat="1" applyFont="1" applyFill="1" applyBorder="1" applyAlignment="1">
      <alignment horizontal="center"/>
    </xf>
    <xf numFmtId="2" fontId="9" fillId="55" borderId="41" xfId="0" applyNumberFormat="1" applyFont="1" applyFill="1" applyBorder="1" applyAlignment="1">
      <alignment horizontal="center"/>
    </xf>
    <xf numFmtId="0" fontId="0" fillId="63" borderId="80" xfId="0" applyFill="1" applyBorder="1"/>
    <xf numFmtId="1" fontId="9" fillId="55" borderId="41" xfId="0" applyNumberFormat="1" applyFont="1" applyFill="1" applyBorder="1" applyAlignment="1">
      <alignment horizontal="center"/>
    </xf>
    <xf numFmtId="1" fontId="9" fillId="55" borderId="103" xfId="0" applyNumberFormat="1" applyFont="1" applyFill="1" applyBorder="1" applyAlignment="1">
      <alignment horizontal="center"/>
    </xf>
    <xf numFmtId="1" fontId="9" fillId="55" borderId="40" xfId="0" applyNumberFormat="1" applyFont="1" applyFill="1" applyBorder="1" applyAlignment="1">
      <alignment horizontal="center"/>
    </xf>
    <xf numFmtId="1" fontId="9" fillId="55" borderId="31" xfId="0" applyNumberFormat="1" applyFont="1" applyFill="1" applyBorder="1" applyAlignment="1">
      <alignment horizontal="center"/>
    </xf>
    <xf numFmtId="2" fontId="9" fillId="55" borderId="102" xfId="0" applyNumberFormat="1" applyFont="1" applyFill="1" applyBorder="1" applyAlignment="1">
      <alignment horizontal="center"/>
    </xf>
    <xf numFmtId="1" fontId="9" fillId="55" borderId="70" xfId="0" applyNumberFormat="1" applyFont="1" applyFill="1" applyBorder="1" applyAlignment="1">
      <alignment horizontal="center"/>
    </xf>
    <xf numFmtId="0" fontId="8" fillId="55" borderId="101" xfId="0" applyFont="1" applyFill="1" applyBorder="1" applyAlignment="1"/>
    <xf numFmtId="0" fontId="0" fillId="63" borderId="74" xfId="0" applyFill="1" applyBorder="1"/>
    <xf numFmtId="0" fontId="96" fillId="63" borderId="101" xfId="86" applyFont="1" applyFill="1" applyBorder="1" applyAlignment="1" applyProtection="1"/>
    <xf numFmtId="2" fontId="9" fillId="55" borderId="61" xfId="0" applyNumberFormat="1" applyFont="1" applyFill="1" applyBorder="1" applyAlignment="1">
      <alignment horizontal="center"/>
    </xf>
    <xf numFmtId="0" fontId="0" fillId="63" borderId="49" xfId="0" applyFill="1" applyBorder="1"/>
    <xf numFmtId="0" fontId="13" fillId="63" borderId="0" xfId="0" applyFont="1" applyFill="1" applyAlignment="1">
      <alignment wrapText="1"/>
    </xf>
    <xf numFmtId="0" fontId="9" fillId="55" borderId="49" xfId="0" applyFont="1" applyFill="1" applyBorder="1"/>
    <xf numFmtId="0" fontId="0" fillId="63" borderId="0" xfId="0" applyFill="1" applyBorder="1"/>
    <xf numFmtId="0" fontId="0" fillId="63" borderId="60" xfId="0" applyFill="1" applyBorder="1"/>
    <xf numFmtId="0" fontId="10" fillId="63" borderId="0" xfId="0" applyFont="1" applyFill="1"/>
    <xf numFmtId="2" fontId="21" fillId="81" borderId="22" xfId="0" applyNumberFormat="1" applyFont="1" applyFill="1" applyBorder="1" applyAlignment="1" applyProtection="1">
      <alignment horizontal="center" vertical="top" wrapText="1"/>
    </xf>
    <xf numFmtId="2" fontId="21" fillId="81" borderId="33" xfId="0" applyNumberFormat="1" applyFont="1" applyFill="1" applyBorder="1" applyAlignment="1" applyProtection="1">
      <alignment horizontal="center" vertical="top" wrapText="1"/>
    </xf>
    <xf numFmtId="0" fontId="9" fillId="42" borderId="0" xfId="0" applyFont="1" applyFill="1" applyBorder="1" applyAlignment="1" applyProtection="1">
      <alignment horizontal="center" vertical="center" wrapText="1"/>
      <protection locked="0"/>
    </xf>
    <xf numFmtId="0" fontId="9" fillId="64" borderId="21" xfId="0" applyFont="1" applyFill="1" applyBorder="1" applyAlignment="1" applyProtection="1">
      <alignment horizontal="center" vertical="center" wrapText="1"/>
      <protection locked="0"/>
    </xf>
    <xf numFmtId="0" fontId="9" fillId="64" borderId="22" xfId="0"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9" fillId="64" borderId="21" xfId="0" applyFont="1" applyFill="1" applyBorder="1" applyAlignment="1" applyProtection="1">
      <alignment horizontal="center" vertical="center" wrapText="1"/>
      <protection locked="0"/>
    </xf>
    <xf numFmtId="0" fontId="6" fillId="0" borderId="0" xfId="0" applyFont="1"/>
    <xf numFmtId="0" fontId="8" fillId="0" borderId="0" xfId="0" applyFont="1" applyAlignment="1">
      <alignment horizontal="center"/>
    </xf>
    <xf numFmtId="0" fontId="8" fillId="0" borderId="82" xfId="0" applyFont="1" applyBorder="1" applyAlignment="1">
      <alignment horizontal="center" wrapText="1"/>
    </xf>
    <xf numFmtId="0" fontId="8" fillId="0" borderId="83" xfId="0" applyFont="1" applyBorder="1" applyAlignment="1">
      <alignment horizontal="center" wrapText="1"/>
    </xf>
    <xf numFmtId="0" fontId="6" fillId="0" borderId="89" xfId="0" applyFont="1" applyBorder="1" applyAlignment="1">
      <alignment horizontal="right" vertical="top" wrapText="1"/>
    </xf>
    <xf numFmtId="0" fontId="8" fillId="0" borderId="108" xfId="0" applyFont="1" applyBorder="1" applyAlignment="1">
      <alignment horizontal="center" wrapText="1"/>
    </xf>
    <xf numFmtId="0" fontId="8" fillId="0" borderId="110" xfId="0" applyFont="1" applyBorder="1" applyAlignment="1">
      <alignment horizontal="center" wrapText="1"/>
    </xf>
    <xf numFmtId="0" fontId="6" fillId="0" borderId="112" xfId="0" applyFont="1" applyBorder="1" applyAlignment="1">
      <alignment horizontal="left" vertical="top" wrapText="1"/>
    </xf>
    <xf numFmtId="0" fontId="6" fillId="0" borderId="113" xfId="0" applyFont="1" applyBorder="1" applyAlignment="1">
      <alignment horizontal="right" vertical="top" wrapText="1"/>
    </xf>
    <xf numFmtId="0" fontId="6" fillId="0" borderId="114" xfId="0" applyFont="1" applyBorder="1" applyAlignment="1">
      <alignment horizontal="left" vertical="top" wrapText="1"/>
    </xf>
    <xf numFmtId="0" fontId="6" fillId="0" borderId="115" xfId="0" applyFont="1" applyBorder="1" applyAlignment="1">
      <alignment horizontal="right" vertical="top" wrapText="1"/>
    </xf>
    <xf numFmtId="0" fontId="6" fillId="0" borderId="116" xfId="0" applyFont="1" applyBorder="1" applyAlignment="1">
      <alignment horizontal="right" vertical="top" wrapText="1"/>
    </xf>
    <xf numFmtId="0" fontId="96" fillId="0" borderId="104" xfId="86" applyFont="1" applyBorder="1" applyAlignment="1" applyProtection="1"/>
    <xf numFmtId="2" fontId="9" fillId="42" borderId="0" xfId="0" applyNumberFormat="1" applyFont="1" applyFill="1" applyBorder="1" applyProtection="1">
      <protection locked="0"/>
    </xf>
    <xf numFmtId="3" fontId="13" fillId="43" borderId="16" xfId="92" applyNumberFormat="1" applyFont="1" applyFill="1" applyBorder="1" applyAlignment="1" applyProtection="1">
      <alignment horizontal="center"/>
      <protection locked="0"/>
    </xf>
    <xf numFmtId="0" fontId="14" fillId="41" borderId="0" xfId="0" applyFont="1" applyFill="1" applyBorder="1" applyAlignment="1" applyProtection="1">
      <alignment horizontal="center" vertical="center"/>
      <protection locked="0"/>
    </xf>
    <xf numFmtId="3" fontId="21" fillId="43" borderId="16" xfId="92" applyNumberFormat="1" applyFont="1" applyFill="1" applyBorder="1" applyAlignment="1" applyProtection="1">
      <alignment horizontal="center"/>
      <protection locked="0"/>
    </xf>
    <xf numFmtId="0" fontId="8" fillId="42" borderId="0" xfId="0" applyFont="1" applyFill="1" applyBorder="1" applyAlignment="1" applyProtection="1">
      <alignment horizontal="left" vertical="center" wrapText="1"/>
      <protection locked="0"/>
    </xf>
    <xf numFmtId="0" fontId="6" fillId="42" borderId="0" xfId="0" applyFont="1" applyFill="1" applyBorder="1" applyAlignment="1" applyProtection="1">
      <alignment horizontal="left" vertical="center" wrapText="1"/>
      <protection locked="0"/>
    </xf>
    <xf numFmtId="3" fontId="9" fillId="64" borderId="23" xfId="0" applyNumberFormat="1" applyFont="1" applyFill="1" applyBorder="1" applyAlignment="1" applyProtection="1">
      <alignment horizontal="center" vertical="center" wrapText="1"/>
      <protection locked="0"/>
    </xf>
    <xf numFmtId="169" fontId="9" fillId="60" borderId="12" xfId="0" applyNumberFormat="1" applyFont="1" applyFill="1" applyBorder="1" applyAlignment="1">
      <alignment horizontal="center" wrapText="1"/>
    </xf>
    <xf numFmtId="0" fontId="6" fillId="42" borderId="0" xfId="0" applyFont="1" applyFill="1" applyBorder="1" applyProtection="1">
      <protection locked="0"/>
    </xf>
    <xf numFmtId="0" fontId="14" fillId="75" borderId="53" xfId="0" applyFont="1" applyFill="1" applyBorder="1" applyAlignment="1">
      <alignment horizontal="center" wrapText="1"/>
    </xf>
    <xf numFmtId="0" fontId="9" fillId="0" borderId="25" xfId="0" applyFont="1" applyBorder="1" applyAlignment="1">
      <alignment horizontal="left" wrapText="1"/>
    </xf>
    <xf numFmtId="165" fontId="9" fillId="0" borderId="51" xfId="0" applyNumberFormat="1" applyFont="1" applyBorder="1" applyAlignment="1">
      <alignment horizontal="center" wrapText="1"/>
    </xf>
    <xf numFmtId="0" fontId="9" fillId="64" borderId="118" xfId="0" applyFont="1" applyFill="1" applyBorder="1" applyAlignment="1" applyProtection="1">
      <alignment horizontal="center" vertical="center" wrapText="1"/>
      <protection locked="0"/>
    </xf>
    <xf numFmtId="0" fontId="9" fillId="0" borderId="50" xfId="0" applyFont="1" applyBorder="1" applyAlignment="1">
      <alignment horizontal="center" wrapText="1"/>
    </xf>
    <xf numFmtId="0" fontId="9" fillId="64" borderId="15" xfId="0" applyFont="1" applyFill="1" applyBorder="1" applyAlignment="1" applyProtection="1">
      <alignment horizontal="center" vertical="center" wrapText="1"/>
      <protection locked="0"/>
    </xf>
    <xf numFmtId="165" fontId="10" fillId="64" borderId="33" xfId="0" applyNumberFormat="1" applyFont="1" applyFill="1" applyBorder="1" applyAlignment="1" applyProtection="1">
      <alignment horizontal="center" vertical="center"/>
      <protection locked="0"/>
    </xf>
    <xf numFmtId="2" fontId="10" fillId="64" borderId="33" xfId="0" applyNumberFormat="1" applyFont="1" applyFill="1" applyBorder="1" applyAlignment="1" applyProtection="1">
      <alignment horizontal="center" vertical="center"/>
      <protection locked="0"/>
    </xf>
    <xf numFmtId="166" fontId="10" fillId="42" borderId="0" xfId="0" applyNumberFormat="1" applyFont="1" applyFill="1" applyBorder="1" applyAlignment="1" applyProtection="1">
      <alignment horizontal="center"/>
      <protection locked="0"/>
    </xf>
    <xf numFmtId="1" fontId="6" fillId="50" borderId="61" xfId="77" applyNumberFormat="1" applyFont="1" applyFill="1" applyBorder="1" applyAlignment="1">
      <alignment horizontal="center"/>
    </xf>
    <xf numFmtId="0" fontId="6" fillId="82" borderId="32" xfId="76" applyFill="1" applyBorder="1" applyAlignment="1">
      <alignment horizontal="center"/>
    </xf>
    <xf numFmtId="1" fontId="6" fillId="82" borderId="30" xfId="76" applyNumberFormat="1" applyFill="1" applyBorder="1" applyAlignment="1">
      <alignment horizontal="center"/>
    </xf>
    <xf numFmtId="2" fontId="6" fillId="82" borderId="30" xfId="76" applyNumberFormat="1" applyFill="1" applyBorder="1" applyAlignment="1">
      <alignment horizontal="center"/>
    </xf>
    <xf numFmtId="1" fontId="8" fillId="82" borderId="30" xfId="76" applyNumberFormat="1" applyFont="1" applyFill="1" applyBorder="1" applyAlignment="1">
      <alignment horizontal="center"/>
    </xf>
    <xf numFmtId="170" fontId="8" fillId="82" borderId="30" xfId="77" applyNumberFormat="1" applyFont="1" applyFill="1" applyBorder="1" applyAlignment="1">
      <alignment horizontal="center"/>
    </xf>
    <xf numFmtId="165" fontId="8" fillId="82" borderId="32" xfId="76" applyNumberFormat="1" applyFont="1" applyFill="1" applyBorder="1" applyAlignment="1">
      <alignment horizontal="center"/>
    </xf>
    <xf numFmtId="2" fontId="8" fillId="82" borderId="30" xfId="77" applyNumberFormat="1" applyFont="1" applyFill="1" applyBorder="1" applyAlignment="1">
      <alignment horizontal="center"/>
    </xf>
    <xf numFmtId="1" fontId="6" fillId="82" borderId="30" xfId="77" applyNumberFormat="1" applyFont="1" applyFill="1" applyBorder="1" applyAlignment="1">
      <alignment horizontal="center"/>
    </xf>
    <xf numFmtId="1" fontId="6" fillId="82" borderId="30" xfId="76" applyNumberFormat="1" applyFont="1" applyFill="1" applyBorder="1" applyAlignment="1">
      <alignment horizontal="center"/>
    </xf>
    <xf numFmtId="170" fontId="6" fillId="82" borderId="30" xfId="77" applyNumberFormat="1" applyFont="1" applyFill="1" applyBorder="1" applyAlignment="1">
      <alignment horizontal="center"/>
    </xf>
    <xf numFmtId="170" fontId="6" fillId="82" borderId="61" xfId="77" applyNumberFormat="1" applyFont="1" applyFill="1" applyBorder="1" applyAlignment="1">
      <alignment horizontal="center"/>
    </xf>
    <xf numFmtId="1" fontId="6" fillId="82" borderId="32" xfId="76" applyNumberFormat="1" applyFont="1" applyFill="1" applyBorder="1" applyAlignment="1">
      <alignment horizontal="center"/>
    </xf>
    <xf numFmtId="171" fontId="13" fillId="45" borderId="16" xfId="0" applyNumberFormat="1" applyFont="1" applyFill="1" applyBorder="1" applyAlignment="1">
      <alignment horizontal="center" wrapText="1"/>
    </xf>
    <xf numFmtId="0" fontId="13" fillId="41" borderId="22" xfId="0" applyFont="1" applyFill="1" applyBorder="1" applyAlignment="1">
      <alignment wrapText="1"/>
    </xf>
    <xf numFmtId="0" fontId="9" fillId="44" borderId="16" xfId="0" applyFont="1" applyFill="1" applyBorder="1" applyAlignment="1">
      <alignment horizontal="left" wrapText="1"/>
    </xf>
    <xf numFmtId="0" fontId="9" fillId="44" borderId="0" xfId="0" applyFont="1" applyFill="1" applyBorder="1" applyAlignment="1">
      <alignment horizontal="left" wrapText="1"/>
    </xf>
    <xf numFmtId="0" fontId="9" fillId="61" borderId="0" xfId="0" applyFont="1" applyFill="1" applyBorder="1" applyAlignment="1">
      <alignment horizontal="left" wrapText="1"/>
    </xf>
    <xf numFmtId="0" fontId="9" fillId="61" borderId="0" xfId="0" applyFont="1" applyFill="1" applyAlignment="1">
      <alignment wrapText="1"/>
    </xf>
    <xf numFmtId="0" fontId="9" fillId="44" borderId="16" xfId="0" applyFont="1" applyFill="1" applyBorder="1" applyAlignment="1">
      <alignment horizontal="center" wrapText="1"/>
    </xf>
    <xf numFmtId="0" fontId="9" fillId="66" borderId="0" xfId="0" applyFont="1" applyFill="1" applyBorder="1" applyAlignment="1">
      <alignment horizontal="center" wrapText="1"/>
    </xf>
    <xf numFmtId="0" fontId="0" fillId="63" borderId="0" xfId="0" applyFill="1" applyAlignment="1">
      <alignment wrapText="1"/>
    </xf>
    <xf numFmtId="0" fontId="9" fillId="61" borderId="0" xfId="0" applyFont="1" applyFill="1" applyBorder="1" applyAlignment="1">
      <alignment horizontal="center" wrapText="1"/>
    </xf>
    <xf numFmtId="1" fontId="13" fillId="45" borderId="16" xfId="0" applyNumberFormat="1" applyFont="1" applyFill="1" applyBorder="1" applyAlignment="1">
      <alignment horizontal="center" wrapText="1"/>
    </xf>
    <xf numFmtId="3" fontId="13" fillId="45" borderId="16" xfId="0" applyNumberFormat="1" applyFont="1" applyFill="1" applyBorder="1" applyAlignment="1">
      <alignment horizontal="center" wrapText="1"/>
    </xf>
    <xf numFmtId="0" fontId="6" fillId="0" borderId="25" xfId="0" applyFont="1" applyBorder="1" applyAlignment="1">
      <alignment wrapText="1"/>
    </xf>
    <xf numFmtId="0" fontId="6" fillId="0" borderId="65" xfId="0" applyFont="1" applyBorder="1" applyAlignment="1">
      <alignment wrapText="1"/>
    </xf>
    <xf numFmtId="0" fontId="6" fillId="0" borderId="51" xfId="0" applyFont="1" applyBorder="1" applyAlignment="1">
      <alignment horizontal="center" vertical="center" wrapText="1"/>
    </xf>
    <xf numFmtId="0" fontId="6" fillId="0" borderId="52" xfId="0" applyFont="1" applyBorder="1" applyAlignment="1">
      <alignment horizontal="center" vertical="center" wrapText="1"/>
    </xf>
    <xf numFmtId="1" fontId="9" fillId="43" borderId="23" xfId="0" applyNumberFormat="1" applyFont="1" applyFill="1" applyBorder="1"/>
    <xf numFmtId="0" fontId="9" fillId="63" borderId="0" xfId="0" applyFont="1" applyFill="1" applyBorder="1" applyAlignment="1">
      <alignment horizontal="left"/>
    </xf>
    <xf numFmtId="0" fontId="9" fillId="63" borderId="0" xfId="0" applyFont="1" applyFill="1" applyAlignment="1">
      <alignment horizontal="left" wrapText="1"/>
    </xf>
    <xf numFmtId="49" fontId="13" fillId="44" borderId="21" xfId="0" applyNumberFormat="1" applyFont="1" applyFill="1" applyBorder="1" applyAlignment="1">
      <alignment horizontal="center" wrapText="1"/>
    </xf>
    <xf numFmtId="49" fontId="13" fillId="44" borderId="23" xfId="0" applyNumberFormat="1" applyFont="1" applyFill="1" applyBorder="1" applyAlignment="1">
      <alignment horizontal="center" wrapText="1"/>
    </xf>
    <xf numFmtId="2" fontId="9" fillId="60" borderId="120" xfId="0" applyNumberFormat="1" applyFont="1" applyFill="1" applyBorder="1" applyAlignment="1">
      <alignment horizontal="center" wrapText="1"/>
    </xf>
    <xf numFmtId="0" fontId="14" fillId="45" borderId="21" xfId="0" applyFont="1" applyFill="1" applyBorder="1" applyAlignment="1">
      <alignment horizontal="center" wrapText="1"/>
    </xf>
    <xf numFmtId="0" fontId="8" fillId="46" borderId="21" xfId="0" applyFont="1" applyFill="1" applyBorder="1" applyAlignment="1">
      <alignment horizontal="left"/>
    </xf>
    <xf numFmtId="0" fontId="9" fillId="66" borderId="0" xfId="0" applyFont="1" applyFill="1" applyBorder="1" applyAlignment="1">
      <alignment horizontal="center"/>
    </xf>
    <xf numFmtId="9" fontId="9" fillId="42" borderId="0" xfId="64" applyFont="1" applyFill="1" applyBorder="1"/>
    <xf numFmtId="0" fontId="9" fillId="0" borderId="132" xfId="70" applyFont="1" applyBorder="1"/>
    <xf numFmtId="0" fontId="66" fillId="0" borderId="133" xfId="70" applyBorder="1"/>
    <xf numFmtId="0" fontId="66" fillId="0" borderId="134" xfId="70" applyBorder="1"/>
    <xf numFmtId="0" fontId="6" fillId="0" borderId="135" xfId="70" applyFont="1" applyBorder="1"/>
    <xf numFmtId="0" fontId="6" fillId="0" borderId="0" xfId="70" applyFont="1" applyBorder="1"/>
    <xf numFmtId="0" fontId="6" fillId="0" borderId="136" xfId="70" applyFont="1" applyBorder="1"/>
    <xf numFmtId="0" fontId="8" fillId="0" borderId="130" xfId="70" applyFont="1" applyBorder="1"/>
    <xf numFmtId="0" fontId="8" fillId="0" borderId="138" xfId="70" applyFont="1" applyBorder="1"/>
    <xf numFmtId="0" fontId="8" fillId="0" borderId="137" xfId="70" applyFont="1" applyBorder="1"/>
    <xf numFmtId="0" fontId="101" fillId="42" borderId="0" xfId="0" applyFont="1" applyFill="1"/>
    <xf numFmtId="0" fontId="102" fillId="42" borderId="0" xfId="0" applyFont="1" applyFill="1"/>
    <xf numFmtId="0" fontId="101" fillId="42" borderId="0" xfId="0" applyFont="1" applyFill="1" applyAlignment="1">
      <alignment horizontal="center"/>
    </xf>
    <xf numFmtId="0" fontId="101" fillId="42" borderId="0" xfId="0" applyFont="1" applyFill="1" applyAlignment="1">
      <alignment horizontal="center" wrapText="1"/>
    </xf>
    <xf numFmtId="9" fontId="101" fillId="42" borderId="0" xfId="0" applyNumberFormat="1" applyFont="1" applyFill="1" applyAlignment="1">
      <alignment horizontal="center"/>
    </xf>
    <xf numFmtId="0" fontId="101" fillId="42" borderId="0" xfId="0" applyFont="1" applyFill="1" applyBorder="1" applyAlignment="1">
      <alignment horizontal="center"/>
    </xf>
    <xf numFmtId="168" fontId="101" fillId="42" borderId="0" xfId="0" applyNumberFormat="1" applyFont="1" applyFill="1" applyBorder="1" applyAlignment="1">
      <alignment horizontal="center"/>
    </xf>
    <xf numFmtId="170" fontId="101" fillId="42" borderId="0" xfId="0" applyNumberFormat="1" applyFont="1" applyFill="1" applyBorder="1" applyAlignment="1">
      <alignment horizontal="center"/>
    </xf>
    <xf numFmtId="167" fontId="101" fillId="42" borderId="0" xfId="0" applyNumberFormat="1" applyFont="1" applyFill="1" applyBorder="1" applyAlignment="1">
      <alignment horizontal="center"/>
    </xf>
    <xf numFmtId="14" fontId="101" fillId="42" borderId="0" xfId="0" applyNumberFormat="1" applyFont="1" applyFill="1" applyBorder="1" applyAlignment="1">
      <alignment horizontal="center"/>
    </xf>
    <xf numFmtId="9" fontId="101" fillId="42" borderId="0" xfId="0" applyNumberFormat="1" applyFont="1" applyFill="1" applyBorder="1" applyAlignment="1">
      <alignment horizontal="center"/>
    </xf>
    <xf numFmtId="0" fontId="101" fillId="63" borderId="0" xfId="0" applyFont="1" applyFill="1" applyAlignment="1">
      <alignment horizontal="center" wrapText="1"/>
    </xf>
    <xf numFmtId="0" fontId="101" fillId="63" borderId="0" xfId="0" applyFont="1" applyFill="1" applyAlignment="1">
      <alignment wrapText="1"/>
    </xf>
    <xf numFmtId="0" fontId="102" fillId="63" borderId="0" xfId="0" applyFont="1" applyFill="1"/>
    <xf numFmtId="0" fontId="101" fillId="63" borderId="0" xfId="0" applyFont="1" applyFill="1"/>
    <xf numFmtId="0" fontId="101" fillId="42" borderId="0" xfId="0" applyFont="1" applyFill="1" applyAlignment="1">
      <alignment horizontal="left"/>
    </xf>
    <xf numFmtId="0" fontId="101" fillId="63" borderId="0" xfId="0" applyFont="1" applyFill="1" applyAlignment="1">
      <alignment horizontal="left" wrapText="1"/>
    </xf>
    <xf numFmtId="0" fontId="101" fillId="63" borderId="0" xfId="0" applyFont="1" applyFill="1" applyBorder="1" applyAlignment="1">
      <alignment horizontal="left" wrapText="1"/>
    </xf>
    <xf numFmtId="0" fontId="6" fillId="42" borderId="10" xfId="0" applyFont="1" applyFill="1" applyBorder="1" applyAlignment="1">
      <alignment vertical="top" wrapText="1"/>
    </xf>
    <xf numFmtId="0" fontId="9" fillId="63" borderId="0" xfId="0" applyFont="1" applyFill="1" applyBorder="1" applyAlignment="1">
      <alignment horizontal="center"/>
    </xf>
    <xf numFmtId="0" fontId="101" fillId="63" borderId="0" xfId="0" applyFont="1" applyFill="1" applyAlignment="1">
      <alignment horizontal="left"/>
    </xf>
    <xf numFmtId="0" fontId="9" fillId="67" borderId="0" xfId="0" applyFont="1" applyFill="1" applyBorder="1" applyAlignment="1"/>
    <xf numFmtId="2" fontId="9" fillId="69" borderId="0" xfId="0" applyNumberFormat="1" applyFont="1" applyFill="1" applyBorder="1" applyAlignment="1">
      <alignment horizontal="center"/>
    </xf>
    <xf numFmtId="1" fontId="9" fillId="69" borderId="0" xfId="0" applyNumberFormat="1" applyFont="1" applyFill="1" applyBorder="1" applyAlignment="1">
      <alignment horizontal="center"/>
    </xf>
    <xf numFmtId="1" fontId="9" fillId="69" borderId="15" xfId="0" applyNumberFormat="1" applyFont="1" applyFill="1" applyBorder="1" applyAlignment="1">
      <alignment horizontal="center"/>
    </xf>
    <xf numFmtId="0" fontId="101" fillId="42" borderId="0" xfId="0" applyFont="1" applyFill="1" applyAlignment="1">
      <alignment wrapText="1"/>
    </xf>
    <xf numFmtId="0" fontId="9" fillId="63" borderId="18" xfId="0" applyFont="1" applyFill="1" applyBorder="1" applyAlignment="1" applyProtection="1">
      <alignment horizontal="center" vertical="center" wrapText="1"/>
    </xf>
    <xf numFmtId="0" fontId="9" fillId="63" borderId="19" xfId="0" applyFont="1" applyFill="1" applyBorder="1" applyAlignment="1" applyProtection="1">
      <alignment horizontal="center" vertical="center" wrapText="1"/>
    </xf>
    <xf numFmtId="0" fontId="13" fillId="63" borderId="10" xfId="0" applyFont="1" applyFill="1" applyBorder="1" applyAlignment="1" applyProtection="1">
      <alignment horizontal="center" vertical="top" wrapText="1"/>
    </xf>
    <xf numFmtId="0" fontId="13" fillId="63" borderId="16" xfId="0" applyFont="1" applyFill="1" applyBorder="1" applyAlignment="1" applyProtection="1">
      <alignment horizontal="center" vertical="top" wrapText="1"/>
    </xf>
    <xf numFmtId="0" fontId="13" fillId="63" borderId="16" xfId="0" applyFont="1" applyFill="1" applyBorder="1" applyAlignment="1" applyProtection="1">
      <alignment horizontal="center" vertical="center"/>
    </xf>
    <xf numFmtId="0" fontId="9" fillId="63" borderId="10" xfId="0" applyFont="1" applyFill="1" applyBorder="1" applyAlignment="1" applyProtection="1">
      <alignment horizontal="center" vertical="center" wrapText="1"/>
    </xf>
    <xf numFmtId="0" fontId="9" fillId="63" borderId="16" xfId="0" applyFont="1" applyFill="1" applyBorder="1" applyAlignment="1" applyProtection="1">
      <alignment horizontal="center" vertical="center" wrapText="1"/>
    </xf>
    <xf numFmtId="1" fontId="21" fillId="63" borderId="10" xfId="0" applyNumberFormat="1" applyFont="1" applyFill="1" applyBorder="1" applyAlignment="1" applyProtection="1">
      <alignment horizontal="center" vertical="center" wrapText="1"/>
    </xf>
    <xf numFmtId="1" fontId="13" fillId="63" borderId="16" xfId="0" applyNumberFormat="1" applyFont="1" applyFill="1" applyBorder="1" applyAlignment="1" applyProtection="1">
      <alignment horizontal="center" vertical="center" wrapText="1"/>
    </xf>
    <xf numFmtId="0" fontId="13" fillId="63" borderId="16" xfId="0" applyFont="1" applyFill="1" applyBorder="1" applyAlignment="1" applyProtection="1">
      <alignment horizontal="center"/>
    </xf>
    <xf numFmtId="0" fontId="21" fillId="63" borderId="16" xfId="0" applyFont="1" applyFill="1" applyBorder="1" applyAlignment="1" applyProtection="1">
      <alignment horizontal="center"/>
    </xf>
    <xf numFmtId="1" fontId="21" fillId="63" borderId="16" xfId="0" applyNumberFormat="1" applyFont="1" applyFill="1" applyBorder="1" applyAlignment="1" applyProtection="1">
      <alignment horizontal="center" vertical="center" wrapText="1"/>
    </xf>
    <xf numFmtId="164" fontId="21" fillId="63" borderId="10" xfId="0" applyNumberFormat="1" applyFont="1" applyFill="1" applyBorder="1" applyAlignment="1" applyProtection="1">
      <alignment horizontal="center"/>
    </xf>
    <xf numFmtId="164" fontId="21" fillId="63" borderId="16" xfId="0" applyNumberFormat="1" applyFont="1" applyFill="1" applyBorder="1" applyAlignment="1" applyProtection="1">
      <alignment horizontal="center"/>
    </xf>
    <xf numFmtId="167" fontId="21" fillId="63" borderId="10" xfId="0" applyNumberFormat="1" applyFont="1" applyFill="1" applyBorder="1" applyAlignment="1" applyProtection="1">
      <alignment horizontal="center"/>
    </xf>
    <xf numFmtId="167" fontId="21" fillId="63" borderId="16" xfId="0" applyNumberFormat="1" applyFont="1" applyFill="1" applyBorder="1" applyAlignment="1" applyProtection="1">
      <alignment horizontal="center"/>
    </xf>
    <xf numFmtId="0" fontId="21" fillId="63" borderId="10" xfId="0" applyNumberFormat="1" applyFont="1" applyFill="1" applyBorder="1" applyAlignment="1" applyProtection="1">
      <alignment horizontal="center"/>
    </xf>
    <xf numFmtId="0" fontId="21" fillId="63" borderId="17" xfId="0" applyNumberFormat="1" applyFont="1" applyFill="1" applyBorder="1" applyAlignment="1" applyProtection="1">
      <alignment horizontal="center"/>
    </xf>
    <xf numFmtId="0" fontId="9" fillId="63" borderId="14" xfId="0" applyFont="1" applyFill="1" applyBorder="1" applyAlignment="1" applyProtection="1">
      <alignment horizontal="center" vertical="center" wrapText="1"/>
    </xf>
    <xf numFmtId="0" fontId="13" fillId="63" borderId="0" xfId="0" applyFont="1" applyFill="1" applyBorder="1" applyAlignment="1" applyProtection="1">
      <alignment horizontal="center" vertical="top" wrapText="1"/>
    </xf>
    <xf numFmtId="0" fontId="13" fillId="63" borderId="0" xfId="0" applyFont="1" applyFill="1" applyBorder="1" applyAlignment="1" applyProtection="1">
      <alignment horizontal="center" vertical="center"/>
    </xf>
    <xf numFmtId="0" fontId="9" fillId="63" borderId="0" xfId="0" applyFont="1" applyFill="1" applyBorder="1" applyAlignment="1" applyProtection="1">
      <alignment horizontal="center" vertical="center" wrapText="1"/>
    </xf>
    <xf numFmtId="169" fontId="21" fillId="63" borderId="0" xfId="0" applyNumberFormat="1" applyFont="1" applyFill="1" applyBorder="1" applyAlignment="1" applyProtection="1">
      <alignment horizontal="center" vertical="center" wrapText="1"/>
    </xf>
    <xf numFmtId="169" fontId="21" fillId="63" borderId="16" xfId="0" applyNumberFormat="1" applyFont="1" applyFill="1" applyBorder="1" applyAlignment="1" applyProtection="1">
      <alignment horizontal="center" vertical="center" wrapText="1"/>
    </xf>
    <xf numFmtId="1" fontId="21" fillId="63" borderId="0" xfId="0" applyNumberFormat="1" applyFont="1" applyFill="1" applyBorder="1" applyAlignment="1" applyProtection="1">
      <alignment horizontal="center" vertical="center" wrapText="1"/>
    </xf>
    <xf numFmtId="0" fontId="21" fillId="63" borderId="0" xfId="0" applyFont="1" applyFill="1" applyBorder="1" applyAlignment="1" applyProtection="1">
      <alignment horizontal="center"/>
    </xf>
    <xf numFmtId="1" fontId="13" fillId="63" borderId="0" xfId="0" applyNumberFormat="1" applyFont="1" applyFill="1" applyBorder="1" applyAlignment="1" applyProtection="1">
      <alignment horizontal="center" vertical="center" wrapText="1"/>
    </xf>
    <xf numFmtId="167" fontId="13" fillId="63" borderId="0" xfId="0" applyNumberFormat="1" applyFont="1" applyFill="1" applyBorder="1" applyAlignment="1" applyProtection="1">
      <alignment horizontal="center"/>
    </xf>
    <xf numFmtId="167" fontId="13" fillId="63" borderId="16" xfId="0" applyNumberFormat="1" applyFont="1" applyFill="1" applyBorder="1" applyAlignment="1" applyProtection="1">
      <alignment horizontal="center"/>
    </xf>
    <xf numFmtId="167" fontId="21" fillId="63" borderId="0" xfId="0" applyNumberFormat="1" applyFont="1" applyFill="1" applyBorder="1" applyAlignment="1" applyProtection="1">
      <alignment horizontal="center"/>
    </xf>
    <xf numFmtId="0" fontId="13" fillId="63" borderId="0" xfId="0" applyNumberFormat="1" applyFont="1" applyFill="1" applyBorder="1" applyAlignment="1" applyProtection="1">
      <alignment horizontal="center"/>
    </xf>
    <xf numFmtId="0" fontId="13" fillId="63" borderId="15" xfId="0" applyNumberFormat="1" applyFont="1" applyFill="1" applyBorder="1" applyAlignment="1" applyProtection="1">
      <alignment horizontal="center"/>
    </xf>
    <xf numFmtId="0" fontId="9" fillId="83" borderId="18" xfId="0" applyFont="1" applyFill="1" applyBorder="1" applyAlignment="1" applyProtection="1">
      <alignment horizontal="center" vertical="center" wrapText="1"/>
    </xf>
    <xf numFmtId="0" fontId="9" fillId="83" borderId="19" xfId="0" applyFont="1" applyFill="1" applyBorder="1" applyAlignment="1" applyProtection="1">
      <alignment horizontal="center" vertical="center" wrapText="1"/>
    </xf>
    <xf numFmtId="0" fontId="13" fillId="83" borderId="10" xfId="0" applyFont="1" applyFill="1" applyBorder="1" applyAlignment="1" applyProtection="1">
      <alignment horizontal="center" vertical="top" wrapText="1"/>
    </xf>
    <xf numFmtId="0" fontId="13" fillId="83" borderId="16" xfId="0" applyFont="1" applyFill="1" applyBorder="1" applyAlignment="1" applyProtection="1">
      <alignment horizontal="center" vertical="top" wrapText="1"/>
    </xf>
    <xf numFmtId="10" fontId="13" fillId="83" borderId="10" xfId="0" applyNumberFormat="1" applyFont="1" applyFill="1" applyBorder="1" applyAlignment="1" applyProtection="1">
      <alignment horizontal="center" vertical="center" wrapText="1"/>
    </xf>
    <xf numFmtId="10" fontId="13" fillId="83" borderId="16" xfId="0" applyNumberFormat="1" applyFont="1" applyFill="1" applyBorder="1" applyAlignment="1" applyProtection="1">
      <alignment horizontal="center" vertical="center" wrapText="1"/>
    </xf>
    <xf numFmtId="10" fontId="9" fillId="83" borderId="10" xfId="0" applyNumberFormat="1" applyFont="1" applyFill="1" applyBorder="1" applyAlignment="1" applyProtection="1">
      <alignment horizontal="center" vertical="center" wrapText="1"/>
    </xf>
    <xf numFmtId="10" fontId="9" fillId="83" borderId="16" xfId="0" applyNumberFormat="1" applyFont="1" applyFill="1" applyBorder="1" applyAlignment="1" applyProtection="1">
      <alignment horizontal="center" vertical="center" wrapText="1"/>
    </xf>
    <xf numFmtId="0" fontId="13" fillId="83" borderId="10" xfId="0" applyFont="1" applyFill="1" applyBorder="1" applyAlignment="1" applyProtection="1">
      <alignment horizontal="center" vertical="center"/>
    </xf>
    <xf numFmtId="0" fontId="13" fillId="83" borderId="16" xfId="0" applyFont="1" applyFill="1" applyBorder="1" applyAlignment="1" applyProtection="1">
      <alignment horizontal="center" vertical="center"/>
    </xf>
    <xf numFmtId="0" fontId="9" fillId="83" borderId="10" xfId="0" applyFont="1" applyFill="1" applyBorder="1" applyAlignment="1" applyProtection="1">
      <alignment horizontal="center" vertical="center" wrapText="1"/>
    </xf>
    <xf numFmtId="0" fontId="9" fillId="83" borderId="16" xfId="0" applyFont="1" applyFill="1" applyBorder="1" applyAlignment="1" applyProtection="1">
      <alignment horizontal="center" vertical="center" wrapText="1"/>
    </xf>
    <xf numFmtId="172" fontId="13" fillId="83" borderId="10" xfId="0" applyNumberFormat="1" applyFont="1" applyFill="1" applyBorder="1" applyAlignment="1" applyProtection="1">
      <alignment horizontal="center" vertical="center"/>
    </xf>
    <xf numFmtId="172" fontId="13" fillId="83" borderId="16" xfId="0" applyNumberFormat="1" applyFont="1" applyFill="1" applyBorder="1" applyAlignment="1" applyProtection="1">
      <alignment horizontal="center" vertical="center"/>
    </xf>
    <xf numFmtId="1" fontId="9" fillId="83" borderId="10" xfId="0" applyNumberFormat="1" applyFont="1" applyFill="1" applyBorder="1" applyAlignment="1" applyProtection="1">
      <alignment horizontal="center" vertical="center" wrapText="1"/>
    </xf>
    <xf numFmtId="1" fontId="9" fillId="83" borderId="16" xfId="0" applyNumberFormat="1" applyFont="1" applyFill="1" applyBorder="1" applyAlignment="1" applyProtection="1">
      <alignment horizontal="center" vertical="center" wrapText="1"/>
    </xf>
    <xf numFmtId="1" fontId="13" fillId="83" borderId="10" xfId="0" applyNumberFormat="1" applyFont="1" applyFill="1" applyBorder="1" applyAlignment="1" applyProtection="1">
      <alignment horizontal="center"/>
    </xf>
    <xf numFmtId="1" fontId="13" fillId="83" borderId="16" xfId="0" applyNumberFormat="1" applyFont="1" applyFill="1" applyBorder="1" applyAlignment="1" applyProtection="1">
      <alignment horizontal="center"/>
    </xf>
    <xf numFmtId="166" fontId="13" fillId="83" borderId="10" xfId="0" applyNumberFormat="1" applyFont="1" applyFill="1" applyBorder="1" applyAlignment="1" applyProtection="1">
      <alignment horizontal="center" vertical="center"/>
    </xf>
    <xf numFmtId="166" fontId="13" fillId="83" borderId="16" xfId="0" applyNumberFormat="1" applyFont="1" applyFill="1" applyBorder="1" applyAlignment="1" applyProtection="1">
      <alignment horizontal="center" vertical="center"/>
    </xf>
    <xf numFmtId="169" fontId="13" fillId="83" borderId="10" xfId="0" applyNumberFormat="1" applyFont="1" applyFill="1" applyBorder="1" applyAlignment="1" applyProtection="1">
      <alignment horizontal="center" vertical="center"/>
    </xf>
    <xf numFmtId="169" fontId="13" fillId="83" borderId="16" xfId="0" applyNumberFormat="1" applyFont="1" applyFill="1" applyBorder="1" applyAlignment="1" applyProtection="1">
      <alignment horizontal="center" vertical="center"/>
    </xf>
    <xf numFmtId="165" fontId="13" fillId="83" borderId="10" xfId="0" applyNumberFormat="1" applyFont="1" applyFill="1" applyBorder="1" applyAlignment="1" applyProtection="1">
      <alignment horizontal="center" vertical="center"/>
    </xf>
    <xf numFmtId="165" fontId="13" fillId="83" borderId="16" xfId="0" applyNumberFormat="1" applyFont="1" applyFill="1" applyBorder="1" applyAlignment="1" applyProtection="1">
      <alignment horizontal="center" vertical="center"/>
    </xf>
    <xf numFmtId="1" fontId="13" fillId="83" borderId="10" xfId="0" applyNumberFormat="1" applyFont="1" applyFill="1" applyBorder="1" applyAlignment="1" applyProtection="1">
      <alignment horizontal="center" vertical="center"/>
    </xf>
    <xf numFmtId="1" fontId="13" fillId="83" borderId="16" xfId="0" applyNumberFormat="1" applyFont="1" applyFill="1" applyBorder="1" applyAlignment="1" applyProtection="1">
      <alignment horizontal="center" vertical="center"/>
    </xf>
    <xf numFmtId="2" fontId="21" fillId="83" borderId="10" xfId="0" applyNumberFormat="1" applyFont="1" applyFill="1" applyBorder="1" applyAlignment="1" applyProtection="1">
      <alignment horizontal="center" vertical="center"/>
    </xf>
    <xf numFmtId="2" fontId="13" fillId="83" borderId="16" xfId="0" applyNumberFormat="1" applyFont="1" applyFill="1" applyBorder="1" applyAlignment="1" applyProtection="1">
      <alignment horizontal="center" vertical="center"/>
    </xf>
    <xf numFmtId="169" fontId="13" fillId="83" borderId="10" xfId="0" applyNumberFormat="1" applyFont="1" applyFill="1" applyBorder="1" applyAlignment="1" applyProtection="1">
      <alignment horizontal="center" vertical="center" wrapText="1"/>
    </xf>
    <xf numFmtId="169" fontId="13" fillId="83" borderId="16" xfId="0" applyNumberFormat="1" applyFont="1" applyFill="1" applyBorder="1" applyAlignment="1" applyProtection="1">
      <alignment horizontal="center" vertical="center" wrapText="1"/>
    </xf>
    <xf numFmtId="2" fontId="13" fillId="83" borderId="10" xfId="0" applyNumberFormat="1" applyFont="1" applyFill="1" applyBorder="1" applyAlignment="1" applyProtection="1">
      <alignment horizontal="center" vertical="center" wrapText="1"/>
    </xf>
    <xf numFmtId="2" fontId="13" fillId="83" borderId="16" xfId="0" applyNumberFormat="1" applyFont="1" applyFill="1" applyBorder="1" applyAlignment="1" applyProtection="1">
      <alignment horizontal="center" vertical="center" wrapText="1"/>
    </xf>
    <xf numFmtId="1" fontId="21" fillId="83" borderId="10" xfId="0" applyNumberFormat="1" applyFont="1" applyFill="1" applyBorder="1" applyAlignment="1" applyProtection="1">
      <alignment horizontal="center" vertical="center" wrapText="1"/>
    </xf>
    <xf numFmtId="1" fontId="13" fillId="83" borderId="16" xfId="0" applyNumberFormat="1" applyFont="1" applyFill="1" applyBorder="1" applyAlignment="1" applyProtection="1">
      <alignment horizontal="center" vertical="center" wrapText="1"/>
    </xf>
    <xf numFmtId="0" fontId="21" fillId="83" borderId="10" xfId="0" applyFont="1" applyFill="1" applyBorder="1" applyAlignment="1" applyProtection="1">
      <alignment horizontal="center"/>
    </xf>
    <xf numFmtId="0" fontId="13" fillId="83" borderId="16" xfId="0" applyFont="1" applyFill="1" applyBorder="1" applyAlignment="1" applyProtection="1">
      <alignment horizontal="center"/>
    </xf>
    <xf numFmtId="0" fontId="21" fillId="83" borderId="16" xfId="0" applyFont="1" applyFill="1" applyBorder="1" applyAlignment="1" applyProtection="1">
      <alignment horizontal="center"/>
    </xf>
    <xf numFmtId="1" fontId="21" fillId="83" borderId="16" xfId="0" applyNumberFormat="1" applyFont="1" applyFill="1" applyBorder="1" applyAlignment="1" applyProtection="1">
      <alignment horizontal="center" vertical="center" wrapText="1"/>
    </xf>
    <xf numFmtId="164" fontId="21" fillId="83" borderId="10" xfId="0" applyNumberFormat="1" applyFont="1" applyFill="1" applyBorder="1" applyAlignment="1" applyProtection="1">
      <alignment horizontal="center"/>
    </xf>
    <xf numFmtId="164" fontId="21" fillId="83" borderId="16" xfId="0" applyNumberFormat="1" applyFont="1" applyFill="1" applyBorder="1" applyAlignment="1" applyProtection="1">
      <alignment horizontal="center"/>
    </xf>
    <xf numFmtId="167" fontId="21" fillId="83" borderId="10" xfId="0" applyNumberFormat="1" applyFont="1" applyFill="1" applyBorder="1" applyAlignment="1" applyProtection="1">
      <alignment horizontal="center"/>
    </xf>
    <xf numFmtId="167" fontId="21" fillId="83" borderId="16" xfId="0" applyNumberFormat="1" applyFont="1" applyFill="1" applyBorder="1" applyAlignment="1" applyProtection="1">
      <alignment horizontal="center"/>
    </xf>
    <xf numFmtId="0" fontId="21" fillId="83" borderId="10" xfId="0" applyNumberFormat="1" applyFont="1" applyFill="1" applyBorder="1" applyAlignment="1" applyProtection="1">
      <alignment horizontal="center"/>
    </xf>
    <xf numFmtId="0" fontId="21" fillId="83" borderId="16" xfId="0" applyNumberFormat="1" applyFont="1" applyFill="1" applyBorder="1" applyAlignment="1" applyProtection="1">
      <alignment horizontal="center"/>
    </xf>
    <xf numFmtId="0" fontId="13" fillId="83" borderId="10" xfId="0" applyNumberFormat="1" applyFont="1" applyFill="1" applyBorder="1" applyAlignment="1" applyProtection="1">
      <alignment horizontal="center"/>
    </xf>
    <xf numFmtId="0" fontId="13" fillId="83" borderId="16" xfId="0" applyNumberFormat="1" applyFont="1" applyFill="1" applyBorder="1" applyAlignment="1" applyProtection="1">
      <alignment horizontal="center"/>
    </xf>
    <xf numFmtId="0" fontId="21" fillId="83" borderId="17" xfId="0" applyNumberFormat="1" applyFont="1" applyFill="1" applyBorder="1" applyAlignment="1" applyProtection="1">
      <alignment horizontal="center"/>
    </xf>
    <xf numFmtId="0" fontId="21" fillId="83" borderId="20" xfId="0" applyNumberFormat="1" applyFont="1" applyFill="1" applyBorder="1" applyAlignment="1" applyProtection="1">
      <alignment horizontal="center"/>
    </xf>
    <xf numFmtId="0" fontId="9" fillId="83" borderId="14" xfId="0" applyFont="1" applyFill="1" applyBorder="1" applyAlignment="1" applyProtection="1">
      <alignment horizontal="center" vertical="center" wrapText="1"/>
    </xf>
    <xf numFmtId="0" fontId="13" fillId="83" borderId="0" xfId="0" applyFont="1" applyFill="1" applyBorder="1" applyAlignment="1" applyProtection="1">
      <alignment horizontal="center" vertical="top" wrapText="1"/>
    </xf>
    <xf numFmtId="10" fontId="13" fillId="83" borderId="0" xfId="0" applyNumberFormat="1" applyFont="1" applyFill="1" applyBorder="1" applyAlignment="1" applyProtection="1">
      <alignment horizontal="center" vertical="center" wrapText="1"/>
    </xf>
    <xf numFmtId="10" fontId="9" fillId="83" borderId="0" xfId="0" applyNumberFormat="1" applyFont="1" applyFill="1" applyBorder="1" applyAlignment="1" applyProtection="1">
      <alignment horizontal="center" vertical="center" wrapText="1"/>
    </xf>
    <xf numFmtId="0" fontId="13" fillId="83" borderId="0" xfId="0" applyFont="1" applyFill="1" applyBorder="1" applyAlignment="1" applyProtection="1">
      <alignment horizontal="center" vertical="center"/>
    </xf>
    <xf numFmtId="0" fontId="9" fillId="83" borderId="0" xfId="0" applyFont="1" applyFill="1" applyBorder="1" applyAlignment="1" applyProtection="1">
      <alignment horizontal="center" vertical="center" wrapText="1"/>
    </xf>
    <xf numFmtId="172" fontId="13" fillId="83" borderId="0" xfId="0" applyNumberFormat="1" applyFont="1" applyFill="1" applyBorder="1" applyAlignment="1" applyProtection="1">
      <alignment horizontal="center" vertical="center"/>
    </xf>
    <xf numFmtId="1" fontId="9" fillId="83" borderId="0" xfId="0" applyNumberFormat="1" applyFont="1" applyFill="1" applyBorder="1" applyAlignment="1" applyProtection="1">
      <alignment horizontal="center" vertical="center" wrapText="1"/>
    </xf>
    <xf numFmtId="0" fontId="21" fillId="83" borderId="0" xfId="0" applyFont="1" applyFill="1" applyBorder="1" applyAlignment="1" applyProtection="1">
      <alignment horizontal="center" vertical="center"/>
    </xf>
    <xf numFmtId="0" fontId="21" fillId="83" borderId="16" xfId="0" applyFont="1" applyFill="1" applyBorder="1" applyAlignment="1" applyProtection="1">
      <alignment horizontal="center" vertical="center"/>
    </xf>
    <xf numFmtId="1" fontId="21" fillId="83" borderId="0" xfId="0" applyNumberFormat="1" applyFont="1" applyFill="1" applyBorder="1" applyAlignment="1" applyProtection="1">
      <alignment horizontal="center"/>
    </xf>
    <xf numFmtId="1" fontId="21" fillId="83" borderId="16" xfId="0" applyNumberFormat="1" applyFont="1" applyFill="1" applyBorder="1" applyAlignment="1" applyProtection="1">
      <alignment horizontal="center"/>
    </xf>
    <xf numFmtId="166" fontId="21" fillId="83" borderId="0" xfId="0" applyNumberFormat="1" applyFont="1" applyFill="1" applyBorder="1" applyAlignment="1" applyProtection="1">
      <alignment horizontal="center" vertical="center"/>
    </xf>
    <xf numFmtId="166" fontId="21" fillId="83" borderId="16" xfId="0" applyNumberFormat="1" applyFont="1" applyFill="1" applyBorder="1" applyAlignment="1" applyProtection="1">
      <alignment horizontal="center" vertical="center"/>
    </xf>
    <xf numFmtId="2" fontId="21" fillId="83" borderId="0" xfId="0" applyNumberFormat="1" applyFont="1" applyFill="1" applyBorder="1" applyAlignment="1" applyProtection="1">
      <alignment horizontal="center" vertical="center"/>
    </xf>
    <xf numFmtId="2" fontId="21" fillId="83" borderId="16" xfId="0" applyNumberFormat="1" applyFont="1" applyFill="1" applyBorder="1" applyAlignment="1" applyProtection="1">
      <alignment horizontal="center" vertical="center"/>
    </xf>
    <xf numFmtId="1" fontId="21" fillId="83" borderId="0" xfId="0" applyNumberFormat="1" applyFont="1" applyFill="1" applyBorder="1" applyAlignment="1" applyProtection="1">
      <alignment horizontal="center" vertical="center"/>
    </xf>
    <xf numFmtId="1" fontId="21" fillId="83" borderId="16" xfId="0" applyNumberFormat="1" applyFont="1" applyFill="1" applyBorder="1" applyAlignment="1" applyProtection="1">
      <alignment horizontal="center" vertical="center"/>
    </xf>
    <xf numFmtId="169" fontId="21" fillId="83" borderId="0" xfId="0" applyNumberFormat="1" applyFont="1" applyFill="1" applyBorder="1" applyAlignment="1" applyProtection="1">
      <alignment horizontal="center" vertical="center" wrapText="1"/>
    </xf>
    <xf numFmtId="169" fontId="21" fillId="83" borderId="16" xfId="0" applyNumberFormat="1" applyFont="1" applyFill="1" applyBorder="1" applyAlignment="1" applyProtection="1">
      <alignment horizontal="center" vertical="center" wrapText="1"/>
    </xf>
    <xf numFmtId="1" fontId="21" fillId="83" borderId="0" xfId="0" applyNumberFormat="1" applyFont="1" applyFill="1" applyBorder="1" applyAlignment="1" applyProtection="1">
      <alignment horizontal="center" vertical="center" wrapText="1"/>
    </xf>
    <xf numFmtId="0" fontId="21" fillId="83" borderId="0" xfId="0" applyFont="1" applyFill="1" applyBorder="1" applyAlignment="1" applyProtection="1">
      <alignment horizontal="center"/>
    </xf>
    <xf numFmtId="1" fontId="13" fillId="83" borderId="0" xfId="0" applyNumberFormat="1" applyFont="1" applyFill="1" applyBorder="1" applyAlignment="1" applyProtection="1">
      <alignment horizontal="center" vertical="center" wrapText="1"/>
    </xf>
    <xf numFmtId="167" fontId="13" fillId="83" borderId="0" xfId="0" applyNumberFormat="1" applyFont="1" applyFill="1" applyBorder="1" applyAlignment="1" applyProtection="1">
      <alignment horizontal="center"/>
    </xf>
    <xf numFmtId="167" fontId="13" fillId="83" borderId="16" xfId="0" applyNumberFormat="1" applyFont="1" applyFill="1" applyBorder="1" applyAlignment="1" applyProtection="1">
      <alignment horizontal="center"/>
    </xf>
    <xf numFmtId="167" fontId="21" fillId="83" borderId="0" xfId="0" applyNumberFormat="1" applyFont="1" applyFill="1" applyBorder="1" applyAlignment="1" applyProtection="1">
      <alignment horizontal="center"/>
    </xf>
    <xf numFmtId="0" fontId="13" fillId="83" borderId="0" xfId="0" applyNumberFormat="1" applyFont="1" applyFill="1" applyBorder="1" applyAlignment="1" applyProtection="1">
      <alignment horizontal="center"/>
    </xf>
    <xf numFmtId="0" fontId="13" fillId="83" borderId="15" xfId="0" applyNumberFormat="1" applyFont="1" applyFill="1" applyBorder="1" applyAlignment="1" applyProtection="1">
      <alignment horizontal="center"/>
    </xf>
    <xf numFmtId="0" fontId="13" fillId="83" borderId="20" xfId="0" applyNumberFormat="1" applyFont="1" applyFill="1" applyBorder="1" applyAlignment="1" applyProtection="1">
      <alignment horizontal="center"/>
    </xf>
    <xf numFmtId="0" fontId="9" fillId="73" borderId="15" xfId="80" applyFont="1" applyFill="1" applyBorder="1"/>
    <xf numFmtId="0" fontId="9" fillId="73" borderId="15" xfId="0" applyFont="1" applyFill="1" applyBorder="1"/>
    <xf numFmtId="0" fontId="14" fillId="73" borderId="0" xfId="80" applyFont="1" applyFill="1" applyBorder="1"/>
    <xf numFmtId="0" fontId="9" fillId="42" borderId="0" xfId="0" applyFont="1" applyFill="1" applyAlignment="1">
      <alignment vertical="center"/>
    </xf>
    <xf numFmtId="0" fontId="9" fillId="42" borderId="0" xfId="0" applyFont="1" applyFill="1" applyAlignment="1">
      <alignment vertical="center" wrapText="1"/>
    </xf>
    <xf numFmtId="0" fontId="9" fillId="63" borderId="11" xfId="0" applyFont="1" applyFill="1" applyBorder="1" applyAlignment="1" applyProtection="1">
      <alignment horizontal="center" vertical="center" wrapText="1"/>
    </xf>
    <xf numFmtId="0" fontId="13" fillId="63" borderId="12" xfId="0" applyFont="1" applyFill="1" applyBorder="1" applyAlignment="1" applyProtection="1">
      <alignment horizontal="center" vertical="top" wrapText="1"/>
    </xf>
    <xf numFmtId="0" fontId="13" fillId="63" borderId="12" xfId="0" applyFont="1" applyFill="1" applyBorder="1" applyAlignment="1" applyProtection="1">
      <alignment horizontal="center" vertical="center" wrapText="1"/>
    </xf>
    <xf numFmtId="0" fontId="21" fillId="63" borderId="0" xfId="0" applyFont="1" applyFill="1" applyBorder="1" applyAlignment="1" applyProtection="1">
      <alignment horizontal="center" vertical="top" wrapText="1"/>
    </xf>
    <xf numFmtId="0" fontId="21" fillId="63" borderId="16" xfId="0" applyFont="1" applyFill="1" applyBorder="1" applyAlignment="1" applyProtection="1">
      <alignment horizontal="center" vertical="top" wrapText="1"/>
    </xf>
    <xf numFmtId="2" fontId="21" fillId="63" borderId="0" xfId="0" applyNumberFormat="1" applyFont="1" applyFill="1" applyBorder="1" applyAlignment="1" applyProtection="1">
      <alignment horizontal="center" vertical="top" wrapText="1"/>
    </xf>
    <xf numFmtId="2" fontId="21" fillId="63" borderId="16" xfId="0" applyNumberFormat="1" applyFont="1" applyFill="1" applyBorder="1" applyAlignment="1" applyProtection="1">
      <alignment horizontal="center" vertical="top" wrapText="1"/>
    </xf>
    <xf numFmtId="2" fontId="13" fillId="63" borderId="12" xfId="0" applyNumberFormat="1" applyFont="1" applyFill="1" applyBorder="1" applyAlignment="1" applyProtection="1">
      <alignment horizontal="center" vertical="top" wrapText="1"/>
    </xf>
    <xf numFmtId="0" fontId="9" fillId="63" borderId="0" xfId="0" applyFont="1" applyFill="1" applyBorder="1" applyAlignment="1" applyProtection="1">
      <alignment horizontal="center" vertical="top" wrapText="1"/>
    </xf>
    <xf numFmtId="0" fontId="9" fillId="63" borderId="16" xfId="0" applyFont="1" applyFill="1" applyBorder="1" applyAlignment="1" applyProtection="1">
      <alignment horizontal="center" vertical="top" wrapText="1"/>
    </xf>
    <xf numFmtId="0" fontId="9" fillId="63" borderId="12" xfId="0" applyFont="1" applyFill="1" applyBorder="1" applyAlignment="1" applyProtection="1">
      <alignment horizontal="center" vertical="top" wrapText="1"/>
    </xf>
    <xf numFmtId="0" fontId="13" fillId="63" borderId="0" xfId="0" applyFont="1" applyFill="1" applyBorder="1" applyAlignment="1" applyProtection="1">
      <alignment horizontal="center"/>
    </xf>
    <xf numFmtId="0" fontId="13" fillId="63" borderId="12" xfId="0" applyFont="1" applyFill="1" applyBorder="1" applyAlignment="1" applyProtection="1">
      <alignment horizontal="center"/>
    </xf>
    <xf numFmtId="0" fontId="9" fillId="63" borderId="0" xfId="0" applyNumberFormat="1" applyFont="1" applyFill="1" applyBorder="1" applyAlignment="1" applyProtection="1">
      <alignment horizontal="center" vertical="center" wrapText="1"/>
    </xf>
    <xf numFmtId="0" fontId="9" fillId="63" borderId="16" xfId="0" applyNumberFormat="1" applyFont="1" applyFill="1" applyBorder="1" applyAlignment="1" applyProtection="1">
      <alignment horizontal="center" vertical="center" wrapText="1"/>
    </xf>
    <xf numFmtId="0" fontId="9" fillId="63" borderId="12" xfId="0" applyNumberFormat="1" applyFont="1" applyFill="1" applyBorder="1" applyAlignment="1" applyProtection="1">
      <alignment horizontal="center" vertical="center" wrapText="1"/>
    </xf>
    <xf numFmtId="0" fontId="9" fillId="63" borderId="12" xfId="0" applyFont="1" applyFill="1" applyBorder="1" applyAlignment="1" applyProtection="1">
      <alignment horizontal="center" vertical="center" wrapText="1"/>
    </xf>
    <xf numFmtId="0" fontId="21" fillId="63" borderId="12" xfId="0" applyFont="1" applyFill="1" applyBorder="1" applyAlignment="1" applyProtection="1">
      <alignment horizontal="center"/>
    </xf>
    <xf numFmtId="2" fontId="21" fillId="63" borderId="0" xfId="0" applyNumberFormat="1" applyFont="1" applyFill="1" applyBorder="1" applyAlignment="1" applyProtection="1">
      <alignment horizontal="center"/>
    </xf>
    <xf numFmtId="2" fontId="21" fillId="63" borderId="16" xfId="0" applyNumberFormat="1" applyFont="1" applyFill="1" applyBorder="1" applyAlignment="1" applyProtection="1">
      <alignment horizontal="center"/>
    </xf>
    <xf numFmtId="2" fontId="13" fillId="63" borderId="12" xfId="0" applyNumberFormat="1" applyFont="1" applyFill="1" applyBorder="1" applyAlignment="1" applyProtection="1">
      <alignment horizontal="center"/>
    </xf>
    <xf numFmtId="169" fontId="13" fillId="63" borderId="12" xfId="0" applyNumberFormat="1" applyFont="1" applyFill="1" applyBorder="1" applyAlignment="1" applyProtection="1">
      <alignment horizontal="center" vertical="center" wrapText="1"/>
    </xf>
    <xf numFmtId="166" fontId="21" fillId="63" borderId="0" xfId="0" applyNumberFormat="1" applyFont="1" applyFill="1" applyBorder="1" applyAlignment="1" applyProtection="1">
      <alignment horizontal="center" vertical="center" wrapText="1"/>
    </xf>
    <xf numFmtId="166" fontId="21" fillId="63" borderId="16" xfId="0" applyNumberFormat="1" applyFont="1" applyFill="1" applyBorder="1" applyAlignment="1" applyProtection="1">
      <alignment horizontal="center" vertical="center" wrapText="1"/>
    </xf>
    <xf numFmtId="166" fontId="13" fillId="63" borderId="12" xfId="0" applyNumberFormat="1" applyFont="1" applyFill="1" applyBorder="1" applyAlignment="1" applyProtection="1">
      <alignment horizontal="center" vertical="center" wrapText="1"/>
    </xf>
    <xf numFmtId="165" fontId="21" fillId="63" borderId="0" xfId="0" applyNumberFormat="1" applyFont="1" applyFill="1" applyBorder="1" applyAlignment="1" applyProtection="1">
      <alignment horizontal="center"/>
    </xf>
    <xf numFmtId="165" fontId="21" fillId="63" borderId="16" xfId="0" applyNumberFormat="1" applyFont="1" applyFill="1" applyBorder="1" applyAlignment="1" applyProtection="1">
      <alignment horizontal="center"/>
    </xf>
    <xf numFmtId="165" fontId="13" fillId="63" borderId="12" xfId="0" applyNumberFormat="1" applyFont="1" applyFill="1" applyBorder="1" applyAlignment="1" applyProtection="1">
      <alignment horizontal="center"/>
    </xf>
    <xf numFmtId="169" fontId="21" fillId="63" borderId="0" xfId="0" applyNumberFormat="1" applyFont="1" applyFill="1" applyBorder="1" applyAlignment="1" applyProtection="1">
      <alignment horizontal="center"/>
    </xf>
    <xf numFmtId="169" fontId="21" fillId="63" borderId="16" xfId="0" applyNumberFormat="1" applyFont="1" applyFill="1" applyBorder="1" applyAlignment="1" applyProtection="1">
      <alignment horizontal="center"/>
    </xf>
    <xf numFmtId="169" fontId="21" fillId="63" borderId="12" xfId="0" applyNumberFormat="1" applyFont="1" applyFill="1" applyBorder="1" applyAlignment="1" applyProtection="1">
      <alignment horizontal="center"/>
    </xf>
    <xf numFmtId="9" fontId="13" fillId="63" borderId="0" xfId="0" applyNumberFormat="1" applyFont="1" applyFill="1" applyBorder="1" applyAlignment="1" applyProtection="1">
      <alignment horizontal="center"/>
    </xf>
    <xf numFmtId="9" fontId="13" fillId="63" borderId="16" xfId="0" applyNumberFormat="1" applyFont="1" applyFill="1" applyBorder="1" applyAlignment="1" applyProtection="1">
      <alignment horizontal="center"/>
    </xf>
    <xf numFmtId="9" fontId="13" fillId="63" borderId="12" xfId="0" applyNumberFormat="1" applyFont="1" applyFill="1" applyBorder="1" applyAlignment="1" applyProtection="1">
      <alignment horizontal="center"/>
    </xf>
    <xf numFmtId="1" fontId="13" fillId="63" borderId="12" xfId="0" applyNumberFormat="1" applyFont="1" applyFill="1" applyBorder="1" applyAlignment="1" applyProtection="1">
      <alignment horizontal="center" vertical="center" wrapText="1"/>
    </xf>
    <xf numFmtId="164" fontId="13" fillId="63" borderId="12" xfId="0" applyNumberFormat="1" applyFont="1" applyFill="1" applyBorder="1" applyAlignment="1" applyProtection="1">
      <alignment horizontal="center"/>
    </xf>
    <xf numFmtId="164" fontId="9" fillId="63" borderId="12" xfId="0" applyNumberFormat="1" applyFont="1" applyFill="1" applyBorder="1" applyAlignment="1" applyProtection="1">
      <alignment horizontal="center" vertical="center" wrapText="1"/>
    </xf>
    <xf numFmtId="0" fontId="13" fillId="63" borderId="12" xfId="0" applyNumberFormat="1" applyFont="1" applyFill="1" applyBorder="1" applyAlignment="1" applyProtection="1">
      <alignment horizontal="center"/>
    </xf>
    <xf numFmtId="0" fontId="13" fillId="63" borderId="20" xfId="0" applyFont="1" applyFill="1" applyBorder="1" applyAlignment="1" applyProtection="1">
      <alignment horizontal="center"/>
    </xf>
    <xf numFmtId="0" fontId="13" fillId="63" borderId="13" xfId="0" applyNumberFormat="1" applyFont="1" applyFill="1" applyBorder="1" applyAlignment="1" applyProtection="1">
      <alignment horizontal="center"/>
    </xf>
    <xf numFmtId="0" fontId="13" fillId="63" borderId="0" xfId="0" applyFont="1" applyFill="1" applyBorder="1" applyAlignment="1" applyProtection="1">
      <alignment vertical="center"/>
    </xf>
    <xf numFmtId="0" fontId="13" fillId="63" borderId="16" xfId="0" applyFont="1" applyFill="1" applyBorder="1" applyAlignment="1" applyProtection="1">
      <alignment vertical="center"/>
    </xf>
    <xf numFmtId="2" fontId="13" fillId="63" borderId="0" xfId="0" applyNumberFormat="1" applyFont="1" applyFill="1" applyBorder="1" applyAlignment="1" applyProtection="1">
      <alignment horizontal="center"/>
    </xf>
    <xf numFmtId="2" fontId="13" fillId="63" borderId="16" xfId="0" applyNumberFormat="1" applyFont="1" applyFill="1" applyBorder="1" applyAlignment="1" applyProtection="1">
      <alignment horizontal="center"/>
    </xf>
    <xf numFmtId="0" fontId="13" fillId="63" borderId="0" xfId="0" applyFont="1" applyFill="1" applyBorder="1" applyAlignment="1" applyProtection="1">
      <alignment horizontal="center" vertical="center" wrapText="1"/>
    </xf>
    <xf numFmtId="0" fontId="13" fillId="63" borderId="16" xfId="0" applyFont="1" applyFill="1" applyBorder="1" applyAlignment="1" applyProtection="1">
      <alignment horizontal="center" vertical="center" wrapText="1"/>
    </xf>
    <xf numFmtId="166" fontId="13" fillId="63" borderId="0" xfId="0" applyNumberFormat="1" applyFont="1" applyFill="1" applyBorder="1" applyAlignment="1" applyProtection="1">
      <alignment horizontal="center" vertical="center" wrapText="1"/>
    </xf>
    <xf numFmtId="166" fontId="13" fillId="63" borderId="16" xfId="0" applyNumberFormat="1" applyFont="1" applyFill="1" applyBorder="1" applyAlignment="1" applyProtection="1">
      <alignment horizontal="center" vertical="center" wrapText="1"/>
    </xf>
    <xf numFmtId="165" fontId="13" fillId="63" borderId="0" xfId="0" applyNumberFormat="1" applyFont="1" applyFill="1" applyBorder="1" applyAlignment="1" applyProtection="1">
      <alignment horizontal="center"/>
    </xf>
    <xf numFmtId="165" fontId="13" fillId="63" borderId="16" xfId="0" applyNumberFormat="1" applyFont="1" applyFill="1" applyBorder="1" applyAlignment="1" applyProtection="1">
      <alignment horizontal="center"/>
    </xf>
    <xf numFmtId="169" fontId="13" fillId="63" borderId="0" xfId="0" applyNumberFormat="1" applyFont="1" applyFill="1" applyBorder="1" applyAlignment="1" applyProtection="1">
      <alignment horizontal="center"/>
    </xf>
    <xf numFmtId="169" fontId="13" fillId="63" borderId="16" xfId="0" applyNumberFormat="1" applyFont="1" applyFill="1" applyBorder="1" applyAlignment="1" applyProtection="1">
      <alignment horizontal="center"/>
    </xf>
    <xf numFmtId="164" fontId="21" fillId="63" borderId="0" xfId="0" applyNumberFormat="1" applyFont="1" applyFill="1" applyBorder="1" applyAlignment="1" applyProtection="1">
      <alignment horizontal="center"/>
    </xf>
    <xf numFmtId="0" fontId="21" fillId="63" borderId="0" xfId="0" applyNumberFormat="1" applyFont="1" applyFill="1" applyBorder="1" applyAlignment="1" applyProtection="1">
      <alignment horizontal="center"/>
    </xf>
    <xf numFmtId="0" fontId="21" fillId="63" borderId="15" xfId="0" applyNumberFormat="1" applyFont="1" applyFill="1" applyBorder="1" applyAlignment="1" applyProtection="1">
      <alignment horizontal="center"/>
    </xf>
    <xf numFmtId="0" fontId="21" fillId="63" borderId="20" xfId="0" applyFont="1" applyFill="1" applyBorder="1" applyAlignment="1" applyProtection="1">
      <alignment horizontal="center"/>
    </xf>
    <xf numFmtId="0" fontId="21" fillId="63" borderId="10" xfId="0" applyFont="1" applyFill="1" applyBorder="1" applyAlignment="1" applyProtection="1">
      <alignment vertical="center"/>
    </xf>
    <xf numFmtId="0" fontId="21" fillId="63" borderId="16" xfId="0" applyFont="1" applyFill="1" applyBorder="1" applyAlignment="1" applyProtection="1">
      <alignment vertical="center"/>
    </xf>
    <xf numFmtId="0" fontId="21" fillId="63" borderId="10" xfId="0" applyFont="1" applyFill="1" applyBorder="1" applyAlignment="1" applyProtection="1">
      <alignment horizontal="center" vertical="top" wrapText="1"/>
    </xf>
    <xf numFmtId="2" fontId="21" fillId="63" borderId="10" xfId="0" applyNumberFormat="1" applyFont="1" applyFill="1" applyBorder="1" applyAlignment="1" applyProtection="1">
      <alignment horizontal="center" vertical="top" wrapText="1"/>
    </xf>
    <xf numFmtId="0" fontId="9" fillId="63" borderId="10" xfId="0" applyFont="1" applyFill="1" applyBorder="1" applyAlignment="1" applyProtection="1">
      <alignment horizontal="center" vertical="top" wrapText="1"/>
    </xf>
    <xf numFmtId="0" fontId="13" fillId="63" borderId="10" xfId="0" applyFont="1" applyFill="1" applyBorder="1" applyAlignment="1" applyProtection="1">
      <alignment horizontal="center"/>
    </xf>
    <xf numFmtId="0" fontId="9" fillId="63" borderId="10" xfId="0" applyNumberFormat="1" applyFont="1" applyFill="1" applyBorder="1" applyAlignment="1" applyProtection="1">
      <alignment horizontal="center" vertical="center" wrapText="1"/>
    </xf>
    <xf numFmtId="2" fontId="13" fillId="63" borderId="10" xfId="0" applyNumberFormat="1" applyFont="1" applyFill="1" applyBorder="1" applyAlignment="1" applyProtection="1">
      <alignment horizontal="center"/>
    </xf>
    <xf numFmtId="0" fontId="13" fillId="63" borderId="10" xfId="0" applyFont="1" applyFill="1" applyBorder="1" applyAlignment="1" applyProtection="1">
      <alignment horizontal="center" vertical="center" wrapText="1"/>
    </xf>
    <xf numFmtId="166" fontId="13" fillId="63" borderId="10" xfId="0" applyNumberFormat="1" applyFont="1" applyFill="1" applyBorder="1" applyAlignment="1" applyProtection="1">
      <alignment horizontal="center" vertical="center" wrapText="1"/>
    </xf>
    <xf numFmtId="165" fontId="21" fillId="63" borderId="10" xfId="0" applyNumberFormat="1" applyFont="1" applyFill="1" applyBorder="1" applyAlignment="1" applyProtection="1">
      <alignment horizontal="center"/>
    </xf>
    <xf numFmtId="169" fontId="13" fillId="63" borderId="10" xfId="0" applyNumberFormat="1" applyFont="1" applyFill="1" applyBorder="1" applyAlignment="1" applyProtection="1">
      <alignment horizontal="center"/>
    </xf>
    <xf numFmtId="0" fontId="14" fillId="63" borderId="0" xfId="0" applyFont="1" applyFill="1" applyAlignment="1">
      <alignment horizontal="left" wrapText="1"/>
    </xf>
    <xf numFmtId="0" fontId="6" fillId="75" borderId="25" xfId="0" applyFont="1" applyFill="1" applyBorder="1" applyAlignment="1">
      <alignment horizontal="left" wrapText="1"/>
    </xf>
    <xf numFmtId="0" fontId="8" fillId="75" borderId="51" xfId="0" applyFont="1" applyFill="1" applyBorder="1" applyAlignment="1">
      <alignment horizontal="center" wrapText="1"/>
    </xf>
    <xf numFmtId="0" fontId="8" fillId="75" borderId="51" xfId="0" applyFont="1" applyFill="1" applyBorder="1" applyAlignment="1">
      <alignment horizontal="center" vertical="top" wrapText="1"/>
    </xf>
    <xf numFmtId="0" fontId="6" fillId="0" borderId="25" xfId="0" applyFont="1" applyBorder="1" applyAlignment="1">
      <alignment horizontal="left" wrapText="1"/>
    </xf>
    <xf numFmtId="0" fontId="6" fillId="0" borderId="51" xfId="0" applyFont="1" applyBorder="1" applyAlignment="1">
      <alignment horizontal="center" vertical="top" wrapText="1"/>
    </xf>
    <xf numFmtId="0" fontId="8" fillId="75" borderId="25" xfId="0" applyFont="1" applyFill="1" applyBorder="1" applyAlignment="1">
      <alignment horizontal="left" wrapText="1"/>
    </xf>
    <xf numFmtId="0" fontId="8" fillId="63" borderId="0" xfId="0" applyFont="1" applyFill="1" applyAlignment="1">
      <alignment horizontal="left"/>
    </xf>
    <xf numFmtId="0" fontId="9" fillId="44" borderId="14" xfId="0" applyFont="1" applyFill="1" applyBorder="1" applyAlignment="1">
      <alignment horizontal="center" wrapText="1"/>
    </xf>
    <xf numFmtId="169" fontId="9" fillId="43" borderId="14" xfId="0" applyNumberFormat="1" applyFont="1" applyFill="1" applyBorder="1" applyAlignment="1">
      <alignment horizontal="right"/>
    </xf>
    <xf numFmtId="169" fontId="9" fillId="43" borderId="0" xfId="0" applyNumberFormat="1" applyFont="1" applyFill="1" applyBorder="1" applyAlignment="1">
      <alignment horizontal="right"/>
    </xf>
    <xf numFmtId="169" fontId="9" fillId="43" borderId="15" xfId="0" applyNumberFormat="1" applyFont="1" applyFill="1" applyBorder="1" applyAlignment="1">
      <alignment horizontal="right"/>
    </xf>
    <xf numFmtId="2" fontId="104" fillId="43" borderId="15" xfId="0" applyNumberFormat="1" applyFont="1" applyFill="1" applyBorder="1"/>
    <xf numFmtId="0" fontId="9" fillId="44" borderId="0" xfId="0" applyFont="1" applyFill="1" applyBorder="1" applyAlignment="1">
      <alignment wrapText="1"/>
    </xf>
    <xf numFmtId="0" fontId="9" fillId="44" borderId="15" xfId="0" applyFont="1" applyFill="1" applyBorder="1" applyAlignment="1">
      <alignment wrapText="1"/>
    </xf>
    <xf numFmtId="0" fontId="9" fillId="61" borderId="12" xfId="0" applyFont="1" applyFill="1" applyBorder="1" applyAlignment="1">
      <alignment horizontal="center" wrapText="1"/>
    </xf>
    <xf numFmtId="0" fontId="9" fillId="61" borderId="16" xfId="0" applyFont="1" applyFill="1" applyBorder="1" applyAlignment="1">
      <alignment horizontal="center" wrapText="1"/>
    </xf>
    <xf numFmtId="0" fontId="8" fillId="42" borderId="0" xfId="0" applyFont="1" applyFill="1" applyBorder="1" applyAlignment="1">
      <alignment horizontal="left" wrapText="1"/>
    </xf>
    <xf numFmtId="0" fontId="9" fillId="44" borderId="18" xfId="0" applyFont="1" applyFill="1" applyBorder="1" applyAlignment="1">
      <alignment horizontal="center" wrapText="1"/>
    </xf>
    <xf numFmtId="0" fontId="9" fillId="61" borderId="14" xfId="0" applyFont="1" applyFill="1" applyBorder="1" applyAlignment="1">
      <alignment horizontal="center" wrapText="1"/>
    </xf>
    <xf numFmtId="0" fontId="9" fillId="61" borderId="14" xfId="0" applyFont="1" applyFill="1" applyBorder="1" applyAlignment="1">
      <alignment wrapText="1"/>
    </xf>
    <xf numFmtId="0" fontId="9" fillId="61" borderId="11" xfId="0" applyFont="1" applyFill="1" applyBorder="1" applyAlignment="1">
      <alignment horizontal="center" wrapText="1"/>
    </xf>
    <xf numFmtId="0" fontId="9" fillId="61" borderId="19" xfId="0" applyFont="1" applyFill="1" applyBorder="1" applyAlignment="1">
      <alignment horizontal="center" wrapText="1"/>
    </xf>
    <xf numFmtId="0" fontId="9" fillId="44" borderId="10" xfId="0" applyFont="1" applyFill="1" applyBorder="1" applyAlignment="1">
      <alignment wrapText="1"/>
    </xf>
    <xf numFmtId="0" fontId="9" fillId="44" borderId="17" xfId="0" applyFont="1" applyFill="1" applyBorder="1" applyAlignment="1">
      <alignment wrapText="1"/>
    </xf>
    <xf numFmtId="0" fontId="9" fillId="44" borderId="13" xfId="0" applyFont="1" applyFill="1" applyBorder="1" applyAlignment="1">
      <alignment wrapText="1"/>
    </xf>
    <xf numFmtId="169" fontId="9" fillId="43" borderId="18" xfId="0" applyNumberFormat="1" applyFont="1" applyFill="1" applyBorder="1" applyAlignment="1">
      <alignment horizontal="right"/>
    </xf>
    <xf numFmtId="169" fontId="9" fillId="43" borderId="11" xfId="0" applyNumberFormat="1" applyFont="1" applyFill="1" applyBorder="1" applyAlignment="1">
      <alignment horizontal="right"/>
    </xf>
    <xf numFmtId="169" fontId="9" fillId="43" borderId="10" xfId="0" applyNumberFormat="1" applyFont="1" applyFill="1" applyBorder="1" applyAlignment="1">
      <alignment horizontal="right"/>
    </xf>
    <xf numFmtId="169" fontId="9" fillId="43" borderId="12" xfId="0" applyNumberFormat="1" applyFont="1" applyFill="1" applyBorder="1" applyAlignment="1">
      <alignment horizontal="right"/>
    </xf>
    <xf numFmtId="169" fontId="9" fillId="43" borderId="17" xfId="0" applyNumberFormat="1" applyFont="1" applyFill="1" applyBorder="1" applyAlignment="1">
      <alignment horizontal="right"/>
    </xf>
    <xf numFmtId="169" fontId="9" fillId="43" borderId="13" xfId="0" applyNumberFormat="1" applyFont="1" applyFill="1" applyBorder="1" applyAlignment="1">
      <alignment horizontal="right"/>
    </xf>
    <xf numFmtId="2" fontId="104" fillId="43" borderId="17" xfId="0" applyNumberFormat="1" applyFont="1" applyFill="1" applyBorder="1"/>
    <xf numFmtId="0" fontId="9" fillId="44" borderId="12" xfId="0" applyFont="1" applyFill="1" applyBorder="1" applyAlignment="1">
      <alignment wrapText="1"/>
    </xf>
    <xf numFmtId="2" fontId="104" fillId="43" borderId="22" xfId="0" applyNumberFormat="1" applyFont="1" applyFill="1" applyBorder="1"/>
    <xf numFmtId="2" fontId="104" fillId="43" borderId="21" xfId="0" applyNumberFormat="1" applyFont="1" applyFill="1" applyBorder="1"/>
    <xf numFmtId="2" fontId="104" fillId="43" borderId="23" xfId="0" applyNumberFormat="1" applyFont="1" applyFill="1" applyBorder="1"/>
    <xf numFmtId="0" fontId="9" fillId="41" borderId="0" xfId="0" applyFont="1" applyFill="1" applyBorder="1" applyAlignment="1">
      <alignment wrapText="1"/>
    </xf>
    <xf numFmtId="0" fontId="9" fillId="67" borderId="0" xfId="0" applyFont="1" applyFill="1" applyBorder="1" applyAlignment="1">
      <alignment wrapText="1"/>
    </xf>
    <xf numFmtId="0" fontId="9" fillId="66" borderId="10" xfId="0" applyFont="1" applyFill="1" applyBorder="1" applyAlignment="1"/>
    <xf numFmtId="0" fontId="9" fillId="66" borderId="0" xfId="0" applyFont="1" applyFill="1" applyBorder="1" applyAlignment="1"/>
    <xf numFmtId="0" fontId="9" fillId="66" borderId="0" xfId="0" applyFont="1" applyFill="1" applyBorder="1" applyAlignment="1">
      <alignment wrapText="1"/>
    </xf>
    <xf numFmtId="0" fontId="9" fillId="70" borderId="0" xfId="0" applyFont="1" applyFill="1" applyBorder="1" applyAlignment="1">
      <alignment horizontal="center"/>
    </xf>
    <xf numFmtId="0" fontId="9" fillId="70" borderId="15" xfId="0" applyFont="1" applyFill="1" applyBorder="1" applyAlignment="1">
      <alignment horizontal="center" wrapText="1"/>
    </xf>
    <xf numFmtId="169" fontId="9" fillId="77" borderId="0" xfId="0" applyNumberFormat="1" applyFont="1" applyFill="1" applyBorder="1" applyAlignment="1">
      <alignment horizontal="center"/>
    </xf>
    <xf numFmtId="169" fontId="9" fillId="77" borderId="21" xfId="0" applyNumberFormat="1" applyFont="1" applyFill="1" applyBorder="1"/>
    <xf numFmtId="10" fontId="13" fillId="63" borderId="0" xfId="0" applyNumberFormat="1" applyFont="1" applyFill="1" applyBorder="1" applyAlignment="1" applyProtection="1">
      <alignment vertical="top"/>
    </xf>
    <xf numFmtId="10" fontId="13" fillId="63" borderId="16" xfId="0" applyNumberFormat="1" applyFont="1" applyFill="1" applyBorder="1" applyAlignment="1" applyProtection="1">
      <alignment vertical="top"/>
    </xf>
    <xf numFmtId="9" fontId="21" fillId="63" borderId="0" xfId="0" applyNumberFormat="1" applyFont="1" applyFill="1" applyBorder="1" applyAlignment="1" applyProtection="1">
      <alignment horizontal="center" vertical="top" wrapText="1"/>
    </xf>
    <xf numFmtId="9" fontId="21" fillId="63" borderId="16" xfId="0" applyNumberFormat="1" applyFont="1" applyFill="1" applyBorder="1" applyAlignment="1" applyProtection="1">
      <alignment horizontal="center" vertical="top" wrapText="1"/>
    </xf>
    <xf numFmtId="0" fontId="53" fillId="63" borderId="0" xfId="0" applyFont="1" applyFill="1" applyBorder="1" applyAlignment="1" applyProtection="1">
      <alignment horizontal="center" vertical="center" wrapText="1"/>
    </xf>
    <xf numFmtId="0" fontId="53" fillId="63" borderId="16" xfId="0" applyFont="1" applyFill="1" applyBorder="1" applyAlignment="1" applyProtection="1">
      <alignment horizontal="center" vertical="center" wrapText="1"/>
    </xf>
    <xf numFmtId="0" fontId="55" fillId="63" borderId="0" xfId="0" applyFont="1" applyFill="1" applyBorder="1" applyAlignment="1" applyProtection="1">
      <alignment horizontal="center" vertical="top" wrapText="1"/>
    </xf>
    <xf numFmtId="0" fontId="55" fillId="63" borderId="16" xfId="0" applyFont="1" applyFill="1" applyBorder="1" applyAlignment="1" applyProtection="1">
      <alignment horizontal="center" vertical="top" wrapText="1"/>
    </xf>
    <xf numFmtId="170" fontId="55" fillId="63" borderId="0" xfId="0" applyNumberFormat="1" applyFont="1" applyFill="1" applyBorder="1" applyAlignment="1" applyProtection="1">
      <alignment horizontal="center" vertical="top" wrapText="1"/>
    </xf>
    <xf numFmtId="170" fontId="55" fillId="63" borderId="16" xfId="0" applyNumberFormat="1" applyFont="1" applyFill="1" applyBorder="1" applyAlignment="1" applyProtection="1">
      <alignment horizontal="center" vertical="top" wrapText="1"/>
    </xf>
    <xf numFmtId="2" fontId="55" fillId="63" borderId="0" xfId="0" applyNumberFormat="1" applyFont="1" applyFill="1" applyBorder="1" applyAlignment="1" applyProtection="1">
      <alignment horizontal="center"/>
    </xf>
    <xf numFmtId="2" fontId="55" fillId="63" borderId="16" xfId="0" applyNumberFormat="1" applyFont="1" applyFill="1" applyBorder="1" applyAlignment="1" applyProtection="1">
      <alignment horizontal="center"/>
    </xf>
    <xf numFmtId="165" fontId="55" fillId="63" borderId="0" xfId="0" applyNumberFormat="1" applyFont="1" applyFill="1" applyBorder="1" applyAlignment="1" applyProtection="1">
      <alignment horizontal="center" vertical="top" wrapText="1"/>
    </xf>
    <xf numFmtId="165" fontId="55" fillId="63" borderId="16" xfId="0" applyNumberFormat="1" applyFont="1" applyFill="1" applyBorder="1" applyAlignment="1" applyProtection="1">
      <alignment horizontal="center" vertical="top" wrapText="1"/>
    </xf>
    <xf numFmtId="165" fontId="55" fillId="63" borderId="0" xfId="0" applyNumberFormat="1" applyFont="1" applyFill="1" applyBorder="1" applyAlignment="1" applyProtection="1">
      <alignment horizontal="center"/>
    </xf>
    <xf numFmtId="165" fontId="55" fillId="63" borderId="16" xfId="0" applyNumberFormat="1" applyFont="1" applyFill="1" applyBorder="1" applyAlignment="1" applyProtection="1">
      <alignment horizontal="center"/>
    </xf>
    <xf numFmtId="2" fontId="55" fillId="63" borderId="0" xfId="0" applyNumberFormat="1" applyFont="1" applyFill="1" applyBorder="1" applyAlignment="1" applyProtection="1">
      <alignment horizontal="center" vertical="top" wrapText="1"/>
    </xf>
    <xf numFmtId="2" fontId="55" fillId="63" borderId="16" xfId="0" applyNumberFormat="1" applyFont="1" applyFill="1" applyBorder="1" applyAlignment="1" applyProtection="1">
      <alignment horizontal="center" vertical="top" wrapText="1"/>
    </xf>
    <xf numFmtId="166" fontId="55" fillId="63" borderId="0" xfId="0" applyNumberFormat="1" applyFont="1" applyFill="1" applyBorder="1" applyAlignment="1" applyProtection="1">
      <alignment horizontal="center" vertical="top" wrapText="1"/>
    </xf>
    <xf numFmtId="166" fontId="55" fillId="63" borderId="16" xfId="0" applyNumberFormat="1" applyFont="1" applyFill="1" applyBorder="1" applyAlignment="1" applyProtection="1">
      <alignment horizontal="center" vertical="top" wrapText="1"/>
    </xf>
    <xf numFmtId="169" fontId="13" fillId="63" borderId="0" xfId="0" applyNumberFormat="1" applyFont="1" applyFill="1" applyBorder="1" applyAlignment="1" applyProtection="1">
      <alignment horizontal="center" vertical="top" wrapText="1"/>
    </xf>
    <xf numFmtId="169" fontId="13" fillId="63" borderId="16" xfId="0" applyNumberFormat="1" applyFont="1" applyFill="1" applyBorder="1" applyAlignment="1" applyProtection="1">
      <alignment horizontal="center" vertical="top" wrapText="1"/>
    </xf>
    <xf numFmtId="0" fontId="53" fillId="63" borderId="0" xfId="0" applyFont="1" applyFill="1" applyBorder="1" applyAlignment="1" applyProtection="1">
      <alignment horizontal="center" vertical="top" wrapText="1"/>
    </xf>
    <xf numFmtId="0" fontId="53" fillId="63" borderId="16" xfId="0" applyFont="1" applyFill="1" applyBorder="1" applyAlignment="1" applyProtection="1">
      <alignment horizontal="center" vertical="top" wrapText="1"/>
    </xf>
    <xf numFmtId="1" fontId="13" fillId="63" borderId="0" xfId="0" applyNumberFormat="1" applyFont="1" applyFill="1" applyBorder="1" applyAlignment="1" applyProtection="1">
      <alignment horizontal="center"/>
    </xf>
    <xf numFmtId="1" fontId="13" fillId="63" borderId="16" xfId="0" applyNumberFormat="1" applyFont="1" applyFill="1" applyBorder="1" applyAlignment="1" applyProtection="1">
      <alignment horizontal="center"/>
    </xf>
    <xf numFmtId="0" fontId="21" fillId="63" borderId="0" xfId="0" applyNumberFormat="1" applyFont="1" applyFill="1" applyBorder="1" applyAlignment="1" applyProtection="1">
      <alignment horizontal="center" vertical="center" wrapText="1"/>
    </xf>
    <xf numFmtId="0" fontId="21" fillId="63" borderId="16" xfId="0" applyNumberFormat="1" applyFont="1" applyFill="1" applyBorder="1" applyAlignment="1" applyProtection="1">
      <alignment horizontal="center" vertical="center" wrapText="1"/>
    </xf>
    <xf numFmtId="0" fontId="21" fillId="63" borderId="15" xfId="0" applyNumberFormat="1" applyFont="1" applyFill="1" applyBorder="1" applyAlignment="1" applyProtection="1">
      <alignment horizontal="center" vertical="center" wrapText="1"/>
    </xf>
    <xf numFmtId="0" fontId="21" fillId="63" borderId="20" xfId="0" applyNumberFormat="1" applyFont="1" applyFill="1" applyBorder="1" applyAlignment="1" applyProtection="1">
      <alignment horizontal="center" vertical="center" wrapText="1"/>
    </xf>
    <xf numFmtId="10" fontId="13" fillId="63" borderId="16" xfId="0" applyNumberFormat="1" applyFont="1" applyFill="1" applyBorder="1" applyAlignment="1" applyProtection="1">
      <alignment horizontal="center" vertical="top" wrapText="1"/>
    </xf>
    <xf numFmtId="10" fontId="13" fillId="63" borderId="0" xfId="0" applyNumberFormat="1" applyFont="1" applyFill="1" applyBorder="1" applyAlignment="1" applyProtection="1">
      <alignment horizontal="center" vertical="top" wrapText="1"/>
    </xf>
    <xf numFmtId="10" fontId="13" fillId="63" borderId="12" xfId="0" applyNumberFormat="1" applyFont="1" applyFill="1" applyBorder="1" applyAlignment="1" applyProtection="1">
      <alignment horizontal="center" vertical="top" wrapText="1"/>
    </xf>
    <xf numFmtId="9" fontId="21" fillId="63" borderId="12" xfId="0" applyNumberFormat="1" applyFont="1" applyFill="1" applyBorder="1" applyAlignment="1" applyProtection="1">
      <alignment horizontal="center" vertical="top" wrapText="1"/>
    </xf>
    <xf numFmtId="0" fontId="21" fillId="63" borderId="16" xfId="0" applyNumberFormat="1" applyFont="1" applyFill="1" applyBorder="1" applyAlignment="1" applyProtection="1">
      <alignment horizontal="center" vertical="top" wrapText="1"/>
    </xf>
    <xf numFmtId="0" fontId="21" fillId="63" borderId="0" xfId="0" applyNumberFormat="1" applyFont="1" applyFill="1" applyBorder="1" applyAlignment="1" applyProtection="1">
      <alignment horizontal="center" vertical="top" wrapText="1"/>
    </xf>
    <xf numFmtId="0" fontId="21" fillId="63" borderId="12" xfId="0" applyNumberFormat="1" applyFont="1" applyFill="1" applyBorder="1" applyAlignment="1" applyProtection="1">
      <alignment horizontal="center" vertical="top" wrapText="1"/>
    </xf>
    <xf numFmtId="0" fontId="13" fillId="63" borderId="16" xfId="0" applyNumberFormat="1" applyFont="1" applyFill="1" applyBorder="1" applyAlignment="1" applyProtection="1">
      <alignment horizontal="center" vertical="top" wrapText="1"/>
    </xf>
    <xf numFmtId="0" fontId="21" fillId="63" borderId="12" xfId="0" applyFont="1" applyFill="1" applyBorder="1" applyAlignment="1" applyProtection="1">
      <alignment horizontal="center" vertical="top" wrapText="1"/>
    </xf>
    <xf numFmtId="170" fontId="13" fillId="63" borderId="16" xfId="0" applyNumberFormat="1" applyFont="1" applyFill="1" applyBorder="1" applyAlignment="1" applyProtection="1">
      <alignment horizontal="center" vertical="top" wrapText="1"/>
    </xf>
    <xf numFmtId="170" fontId="13" fillId="63" borderId="0" xfId="0" applyNumberFormat="1" applyFont="1" applyFill="1" applyBorder="1" applyAlignment="1" applyProtection="1">
      <alignment horizontal="center" vertical="top" wrapText="1"/>
    </xf>
    <xf numFmtId="170" fontId="13" fillId="63" borderId="12" xfId="0" applyNumberFormat="1" applyFont="1" applyFill="1" applyBorder="1" applyAlignment="1" applyProtection="1">
      <alignment horizontal="center" vertical="top" wrapText="1"/>
    </xf>
    <xf numFmtId="1" fontId="13" fillId="63" borderId="0" xfId="0" applyNumberFormat="1" applyFont="1" applyFill="1" applyBorder="1" applyAlignment="1" applyProtection="1">
      <alignment horizontal="center" vertical="top" wrapText="1"/>
    </xf>
    <xf numFmtId="1" fontId="13" fillId="63" borderId="16" xfId="0" applyNumberFormat="1" applyFont="1" applyFill="1" applyBorder="1" applyAlignment="1" applyProtection="1">
      <alignment horizontal="center" vertical="top" wrapText="1"/>
    </xf>
    <xf numFmtId="1" fontId="13" fillId="63" borderId="12" xfId="0" applyNumberFormat="1" applyFont="1" applyFill="1" applyBorder="1" applyAlignment="1" applyProtection="1">
      <alignment horizontal="center" vertical="top" wrapText="1"/>
    </xf>
    <xf numFmtId="165" fontId="21" fillId="63" borderId="16" xfId="0" applyNumberFormat="1" applyFont="1" applyFill="1" applyBorder="1" applyAlignment="1" applyProtection="1">
      <alignment horizontal="center" vertical="top" wrapText="1"/>
    </xf>
    <xf numFmtId="165" fontId="21" fillId="63" borderId="0" xfId="0" applyNumberFormat="1" applyFont="1" applyFill="1" applyBorder="1" applyAlignment="1" applyProtection="1">
      <alignment horizontal="center" vertical="top" wrapText="1"/>
    </xf>
    <xf numFmtId="165" fontId="21" fillId="63" borderId="12" xfId="0" applyNumberFormat="1" applyFont="1" applyFill="1" applyBorder="1" applyAlignment="1" applyProtection="1">
      <alignment horizontal="center" vertical="top" wrapText="1"/>
    </xf>
    <xf numFmtId="2" fontId="21" fillId="63" borderId="12" xfId="0" applyNumberFormat="1" applyFont="1" applyFill="1" applyBorder="1" applyAlignment="1" applyProtection="1">
      <alignment horizontal="center" vertical="top" wrapText="1"/>
    </xf>
    <xf numFmtId="1" fontId="21" fillId="63" borderId="16" xfId="0" applyNumberFormat="1" applyFont="1" applyFill="1" applyBorder="1" applyAlignment="1" applyProtection="1">
      <alignment horizontal="center"/>
    </xf>
    <xf numFmtId="1" fontId="21" fillId="63" borderId="0" xfId="0" applyNumberFormat="1" applyFont="1" applyFill="1" applyBorder="1" applyAlignment="1" applyProtection="1">
      <alignment horizontal="center"/>
    </xf>
    <xf numFmtId="1" fontId="21" fillId="63" borderId="12" xfId="0" applyNumberFormat="1" applyFont="1" applyFill="1" applyBorder="1" applyAlignment="1" applyProtection="1">
      <alignment horizontal="center"/>
    </xf>
    <xf numFmtId="2" fontId="21" fillId="63" borderId="12" xfId="0" applyNumberFormat="1" applyFont="1" applyFill="1" applyBorder="1" applyAlignment="1" applyProtection="1">
      <alignment horizontal="center"/>
    </xf>
    <xf numFmtId="1" fontId="13" fillId="63" borderId="12" xfId="0" applyNumberFormat="1" applyFont="1" applyFill="1" applyBorder="1" applyAlignment="1" applyProtection="1">
      <alignment horizontal="center"/>
    </xf>
    <xf numFmtId="167" fontId="21" fillId="63" borderId="16" xfId="0" applyNumberFormat="1" applyFont="1" applyFill="1" applyBorder="1" applyAlignment="1" applyProtection="1">
      <alignment horizontal="center" vertical="center" wrapText="1"/>
    </xf>
    <xf numFmtId="167" fontId="21" fillId="63" borderId="0" xfId="0" applyNumberFormat="1" applyFont="1" applyFill="1" applyBorder="1" applyAlignment="1" applyProtection="1">
      <alignment horizontal="center" vertical="center" wrapText="1"/>
    </xf>
    <xf numFmtId="167" fontId="13" fillId="63" borderId="0" xfId="0" applyNumberFormat="1" applyFont="1" applyFill="1" applyBorder="1" applyAlignment="1" applyProtection="1">
      <alignment horizontal="center" vertical="center" wrapText="1"/>
    </xf>
    <xf numFmtId="167" fontId="13" fillId="63" borderId="12" xfId="0" applyNumberFormat="1" applyFont="1" applyFill="1" applyBorder="1" applyAlignment="1" applyProtection="1">
      <alignment horizontal="center" vertical="center" wrapText="1"/>
    </xf>
    <xf numFmtId="167" fontId="21" fillId="63" borderId="12" xfId="0" applyNumberFormat="1" applyFont="1" applyFill="1" applyBorder="1" applyAlignment="1" applyProtection="1">
      <alignment horizontal="center"/>
    </xf>
    <xf numFmtId="167" fontId="13" fillId="63" borderId="16" xfId="0" applyNumberFormat="1" applyFont="1" applyFill="1" applyBorder="1" applyAlignment="1" applyProtection="1">
      <alignment horizontal="center" vertical="center" wrapText="1"/>
    </xf>
    <xf numFmtId="167" fontId="21" fillId="63" borderId="12" xfId="0" applyNumberFormat="1" applyFont="1" applyFill="1" applyBorder="1" applyAlignment="1" applyProtection="1">
      <alignment horizontal="center" vertical="center" wrapText="1"/>
    </xf>
    <xf numFmtId="1" fontId="0" fillId="63" borderId="0" xfId="0" applyNumberFormat="1" applyFill="1"/>
    <xf numFmtId="0" fontId="9" fillId="63" borderId="0" xfId="0" applyFont="1" applyFill="1" applyBorder="1" applyProtection="1">
      <protection locked="0"/>
    </xf>
    <xf numFmtId="0" fontId="10" fillId="63" borderId="0" xfId="0" applyFont="1" applyFill="1" applyBorder="1" applyAlignment="1" applyProtection="1">
      <protection locked="0"/>
    </xf>
    <xf numFmtId="0" fontId="9" fillId="63" borderId="0" xfId="0" applyFont="1" applyFill="1" applyBorder="1" applyAlignment="1" applyProtection="1">
      <protection locked="0"/>
    </xf>
    <xf numFmtId="0" fontId="10" fillId="63" borderId="0" xfId="0" applyFont="1" applyFill="1" applyBorder="1" applyProtection="1">
      <protection locked="0"/>
    </xf>
    <xf numFmtId="0" fontId="9" fillId="63" borderId="0" xfId="0" applyFont="1" applyFill="1" applyBorder="1" applyAlignment="1" applyProtection="1">
      <alignment vertical="top"/>
      <protection locked="0"/>
    </xf>
    <xf numFmtId="0" fontId="7" fillId="39" borderId="33" xfId="59" applyFont="1" applyBorder="1" applyAlignment="1">
      <alignment horizontal="center" wrapText="1"/>
    </xf>
    <xf numFmtId="1" fontId="9" fillId="43" borderId="145" xfId="0" applyNumberFormat="1" applyFont="1" applyFill="1" applyBorder="1" applyAlignment="1">
      <alignment horizontal="center" wrapText="1"/>
    </xf>
    <xf numFmtId="0" fontId="9" fillId="43" borderId="145" xfId="0" applyFont="1" applyFill="1" applyBorder="1" applyAlignment="1">
      <alignment horizontal="center" wrapText="1"/>
    </xf>
    <xf numFmtId="0" fontId="24" fillId="44" borderId="14" xfId="0" applyFont="1" applyFill="1" applyBorder="1" applyAlignment="1">
      <alignment horizontal="left" wrapText="1"/>
    </xf>
    <xf numFmtId="2" fontId="13" fillId="60" borderId="155" xfId="0" applyNumberFormat="1" applyFont="1" applyFill="1" applyBorder="1" applyAlignment="1">
      <alignment horizontal="center" wrapText="1"/>
    </xf>
    <xf numFmtId="0" fontId="24" fillId="44" borderId="12" xfId="0" applyFont="1" applyFill="1" applyBorder="1" applyAlignment="1">
      <alignment horizontal="left" wrapText="1"/>
    </xf>
    <xf numFmtId="0" fontId="9" fillId="43" borderId="156" xfId="0" applyFont="1" applyFill="1" applyBorder="1" applyAlignment="1">
      <alignment horizontal="center" wrapText="1"/>
    </xf>
    <xf numFmtId="0" fontId="9" fillId="43" borderId="144" xfId="0" applyFont="1" applyFill="1" applyBorder="1" applyAlignment="1">
      <alignment horizontal="center" wrapText="1"/>
    </xf>
    <xf numFmtId="0" fontId="9" fillId="60" borderId="145" xfId="0" applyFont="1" applyFill="1" applyBorder="1" applyAlignment="1">
      <alignment horizontal="center" wrapText="1"/>
    </xf>
    <xf numFmtId="0" fontId="9" fillId="60" borderId="164" xfId="0" applyFont="1" applyFill="1" applyBorder="1" applyAlignment="1">
      <alignment horizontal="center" wrapText="1"/>
    </xf>
    <xf numFmtId="2" fontId="13" fillId="60" borderId="143" xfId="0" applyNumberFormat="1" applyFont="1" applyFill="1" applyBorder="1" applyAlignment="1">
      <alignment horizontal="center" wrapText="1"/>
    </xf>
    <xf numFmtId="0" fontId="9" fillId="43" borderId="164" xfId="0" applyFont="1" applyFill="1" applyBorder="1" applyAlignment="1">
      <alignment horizontal="center" wrapText="1"/>
    </xf>
    <xf numFmtId="2" fontId="9" fillId="43" borderId="144" xfId="0" applyNumberFormat="1" applyFont="1" applyFill="1" applyBorder="1" applyAlignment="1">
      <alignment horizontal="center" wrapText="1"/>
    </xf>
    <xf numFmtId="2" fontId="9" fillId="43" borderId="145" xfId="0" applyNumberFormat="1" applyFont="1" applyFill="1" applyBorder="1" applyAlignment="1">
      <alignment horizontal="center" wrapText="1"/>
    </xf>
    <xf numFmtId="0" fontId="13" fillId="43" borderId="164" xfId="0" applyFont="1" applyFill="1" applyBorder="1" applyAlignment="1">
      <alignment horizontal="center" wrapText="1"/>
    </xf>
    <xf numFmtId="0" fontId="13" fillId="43" borderId="144" xfId="0" applyFont="1" applyFill="1" applyBorder="1" applyAlignment="1">
      <alignment horizontal="center" wrapText="1"/>
    </xf>
    <xf numFmtId="0" fontId="13" fillId="43" borderId="145" xfId="0" applyFont="1" applyFill="1" applyBorder="1" applyAlignment="1">
      <alignment horizontal="center" wrapText="1"/>
    </xf>
    <xf numFmtId="2" fontId="13" fillId="60" borderId="145" xfId="0" applyNumberFormat="1" applyFont="1" applyFill="1" applyBorder="1" applyAlignment="1">
      <alignment horizontal="center" wrapText="1"/>
    </xf>
    <xf numFmtId="1" fontId="9" fillId="60" borderId="144" xfId="0" applyNumberFormat="1" applyFont="1" applyFill="1" applyBorder="1" applyAlignment="1">
      <alignment horizontal="center" vertical="center" wrapText="1"/>
    </xf>
    <xf numFmtId="1" fontId="13" fillId="60" borderId="145" xfId="0" applyNumberFormat="1" applyFont="1" applyFill="1" applyBorder="1" applyAlignment="1">
      <alignment horizontal="center" wrapText="1"/>
    </xf>
    <xf numFmtId="1" fontId="13" fillId="60" borderId="143" xfId="0" applyNumberFormat="1" applyFont="1" applyFill="1" applyBorder="1" applyAlignment="1">
      <alignment horizontal="center" vertical="center" wrapText="1"/>
    </xf>
    <xf numFmtId="2" fontId="9" fillId="60" borderId="145" xfId="0" applyNumberFormat="1" applyFont="1" applyFill="1" applyBorder="1" applyAlignment="1">
      <alignment horizontal="center" wrapText="1"/>
    </xf>
    <xf numFmtId="2" fontId="9" fillId="60" borderId="145" xfId="0" applyNumberFormat="1" applyFont="1" applyFill="1" applyBorder="1" applyAlignment="1">
      <alignment horizontal="center" vertical="center" wrapText="1"/>
    </xf>
    <xf numFmtId="2" fontId="9" fillId="60" borderId="144" xfId="0" applyNumberFormat="1" applyFont="1" applyFill="1" applyBorder="1" applyAlignment="1">
      <alignment horizontal="center" vertical="center" wrapText="1"/>
    </xf>
    <xf numFmtId="0" fontId="9" fillId="60" borderId="145" xfId="0" applyFont="1" applyFill="1" applyBorder="1" applyAlignment="1">
      <alignment vertical="center"/>
    </xf>
    <xf numFmtId="0" fontId="9" fillId="60" borderId="164" xfId="0" applyFont="1" applyFill="1" applyBorder="1" applyAlignment="1">
      <alignment vertical="center"/>
    </xf>
    <xf numFmtId="1" fontId="9" fillId="60" borderId="145" xfId="0" applyNumberFormat="1" applyFont="1" applyFill="1" applyBorder="1" applyAlignment="1">
      <alignment horizontal="center" wrapText="1"/>
    </xf>
    <xf numFmtId="2" fontId="9" fillId="60" borderId="152" xfId="0" applyNumberFormat="1" applyFont="1" applyFill="1" applyBorder="1" applyAlignment="1">
      <alignment horizontal="center" wrapText="1"/>
    </xf>
    <xf numFmtId="1" fontId="9" fillId="60" borderId="164" xfId="0" applyNumberFormat="1" applyFont="1" applyFill="1" applyBorder="1" applyAlignment="1">
      <alignment horizontal="center" wrapText="1"/>
    </xf>
    <xf numFmtId="1" fontId="9" fillId="60" borderId="152" xfId="0" applyNumberFormat="1" applyFont="1" applyFill="1" applyBorder="1" applyAlignment="1">
      <alignment horizontal="center" wrapText="1"/>
    </xf>
    <xf numFmtId="171" fontId="13" fillId="60" borderId="145" xfId="0" applyNumberFormat="1" applyFont="1" applyFill="1" applyBorder="1" applyAlignment="1">
      <alignment horizontal="center" wrapText="1"/>
    </xf>
    <xf numFmtId="171" fontId="13" fillId="60" borderId="142" xfId="0" applyNumberFormat="1" applyFont="1" applyFill="1" applyBorder="1" applyAlignment="1">
      <alignment horizontal="center" wrapText="1"/>
    </xf>
    <xf numFmtId="171" fontId="13" fillId="60" borderId="150" xfId="0" applyNumberFormat="1" applyFont="1" applyFill="1" applyBorder="1" applyAlignment="1">
      <alignment horizontal="center" wrapText="1"/>
    </xf>
    <xf numFmtId="171" fontId="9" fillId="60" borderId="151" xfId="0" applyNumberFormat="1" applyFont="1" applyFill="1" applyBorder="1" applyAlignment="1">
      <alignment horizontal="center" wrapText="1"/>
    </xf>
    <xf numFmtId="2" fontId="9" fillId="60" borderId="142" xfId="0" applyNumberFormat="1" applyFont="1" applyFill="1" applyBorder="1" applyAlignment="1">
      <alignment horizontal="center" vertical="center" wrapText="1"/>
    </xf>
    <xf numFmtId="2" fontId="9" fillId="60" borderId="150" xfId="0" applyNumberFormat="1" applyFont="1" applyFill="1" applyBorder="1" applyAlignment="1">
      <alignment horizontal="center" vertical="center" wrapText="1"/>
    </xf>
    <xf numFmtId="2" fontId="9" fillId="60" borderId="162" xfId="0" applyNumberFormat="1" applyFont="1" applyFill="1" applyBorder="1" applyAlignment="1">
      <alignment horizontal="center" vertical="center" wrapText="1"/>
    </xf>
    <xf numFmtId="2" fontId="9" fillId="60" borderId="164" xfId="0" applyNumberFormat="1" applyFont="1" applyFill="1" applyBorder="1" applyAlignment="1">
      <alignment horizontal="center" vertical="center" wrapText="1"/>
    </xf>
    <xf numFmtId="165" fontId="9" fillId="60" borderId="148" xfId="0" applyNumberFormat="1" applyFont="1" applyFill="1" applyBorder="1" applyAlignment="1">
      <alignment horizontal="center" wrapText="1"/>
    </xf>
    <xf numFmtId="9" fontId="88" fillId="60" borderId="145" xfId="64" applyFont="1" applyFill="1" applyBorder="1" applyAlignment="1">
      <alignment horizontal="center" wrapText="1"/>
    </xf>
    <xf numFmtId="1" fontId="9" fillId="43" borderId="144" xfId="0" applyNumberFormat="1" applyFont="1" applyFill="1" applyBorder="1" applyAlignment="1">
      <alignment horizontal="center" wrapText="1"/>
    </xf>
    <xf numFmtId="1" fontId="9" fillId="60" borderId="144" xfId="0" applyNumberFormat="1" applyFont="1" applyFill="1" applyBorder="1" applyAlignment="1">
      <alignment horizontal="center" wrapText="1"/>
    </xf>
    <xf numFmtId="1" fontId="9" fillId="60" borderId="143" xfId="0" applyNumberFormat="1" applyFont="1" applyFill="1" applyBorder="1" applyAlignment="1">
      <alignment horizontal="center" wrapText="1"/>
    </xf>
    <xf numFmtId="0" fontId="13" fillId="60" borderId="142" xfId="0" applyFont="1" applyFill="1" applyBorder="1" applyAlignment="1">
      <alignment horizontal="center" wrapText="1"/>
    </xf>
    <xf numFmtId="2" fontId="13" fillId="60" borderId="142" xfId="0" applyNumberFormat="1" applyFont="1" applyFill="1" applyBorder="1" applyAlignment="1">
      <alignment horizontal="center" wrapText="1"/>
    </xf>
    <xf numFmtId="1" fontId="9" fillId="60" borderId="142" xfId="0" applyNumberFormat="1" applyFont="1" applyFill="1" applyBorder="1" applyAlignment="1">
      <alignment horizontal="center" wrapText="1"/>
    </xf>
    <xf numFmtId="0" fontId="22" fillId="60" borderId="145" xfId="0" applyFont="1" applyFill="1" applyBorder="1" applyAlignment="1">
      <alignment horizontal="center" wrapText="1"/>
    </xf>
    <xf numFmtId="165" fontId="13" fillId="60" borderId="145" xfId="0" applyNumberFormat="1" applyFont="1" applyFill="1" applyBorder="1" applyAlignment="1">
      <alignment horizontal="center" wrapText="1"/>
    </xf>
    <xf numFmtId="165" fontId="13" fillId="60" borderId="142" xfId="0" applyNumberFormat="1" applyFont="1" applyFill="1" applyBorder="1" applyAlignment="1">
      <alignment horizontal="center" wrapText="1"/>
    </xf>
    <xf numFmtId="165" fontId="13" fillId="60" borderId="150" xfId="0" applyNumberFormat="1" applyFont="1" applyFill="1" applyBorder="1" applyAlignment="1">
      <alignment horizontal="center" wrapText="1"/>
    </xf>
    <xf numFmtId="0" fontId="22" fillId="60" borderId="164" xfId="0" applyFont="1" applyFill="1" applyBorder="1" applyAlignment="1">
      <alignment horizontal="center" wrapText="1"/>
    </xf>
    <xf numFmtId="165" fontId="13" fillId="60" borderId="144" xfId="0" applyNumberFormat="1" applyFont="1" applyFill="1" applyBorder="1" applyAlignment="1">
      <alignment horizontal="center" wrapText="1"/>
    </xf>
    <xf numFmtId="165" fontId="13" fillId="60" borderId="143" xfId="0" applyNumberFormat="1" applyFont="1" applyFill="1" applyBorder="1" applyAlignment="1">
      <alignment horizontal="center" wrapText="1"/>
    </xf>
    <xf numFmtId="165" fontId="13" fillId="60" borderId="163" xfId="0" applyNumberFormat="1" applyFont="1" applyFill="1" applyBorder="1" applyAlignment="1">
      <alignment horizontal="center" wrapText="1"/>
    </xf>
    <xf numFmtId="169" fontId="13" fillId="60" borderId="145" xfId="0" applyNumberFormat="1" applyFont="1" applyFill="1" applyBorder="1" applyAlignment="1">
      <alignment horizontal="center" wrapText="1"/>
    </xf>
    <xf numFmtId="165" fontId="13" fillId="60" borderId="148" xfId="0" applyNumberFormat="1" applyFont="1" applyFill="1" applyBorder="1" applyAlignment="1">
      <alignment horizontal="center" wrapText="1"/>
    </xf>
    <xf numFmtId="165" fontId="13" fillId="60" borderId="164" xfId="0" applyNumberFormat="1" applyFont="1" applyFill="1" applyBorder="1" applyAlignment="1">
      <alignment horizontal="center" wrapText="1"/>
    </xf>
    <xf numFmtId="1" fontId="13" fillId="60" borderId="144" xfId="0" applyNumberFormat="1" applyFont="1" applyFill="1" applyBorder="1" applyAlignment="1">
      <alignment horizontal="center" wrapText="1"/>
    </xf>
    <xf numFmtId="1" fontId="13" fillId="60" borderId="167" xfId="0" applyNumberFormat="1" applyFont="1" applyFill="1" applyBorder="1" applyAlignment="1">
      <alignment horizontal="center" wrapText="1"/>
    </xf>
    <xf numFmtId="170" fontId="13" fillId="60" borderId="164" xfId="64" applyNumberFormat="1" applyFont="1" applyFill="1" applyBorder="1" applyAlignment="1">
      <alignment horizontal="center" wrapText="1"/>
    </xf>
    <xf numFmtId="1" fontId="13" fillId="60" borderId="168" xfId="0" applyNumberFormat="1" applyFont="1" applyFill="1" applyBorder="1" applyAlignment="1">
      <alignment horizontal="center" wrapText="1"/>
    </xf>
    <xf numFmtId="1" fontId="13" fillId="60" borderId="166" xfId="0" applyNumberFormat="1" applyFont="1" applyFill="1" applyBorder="1" applyAlignment="1">
      <alignment horizontal="center" wrapText="1"/>
    </xf>
    <xf numFmtId="3" fontId="9" fillId="60" borderId="145" xfId="0" applyNumberFormat="1" applyFont="1" applyFill="1" applyBorder="1" applyAlignment="1">
      <alignment horizontal="center" wrapText="1"/>
    </xf>
    <xf numFmtId="3" fontId="9" fillId="60" borderId="148" xfId="0" applyNumberFormat="1" applyFont="1" applyFill="1" applyBorder="1" applyAlignment="1">
      <alignment horizontal="center" wrapText="1"/>
    </xf>
    <xf numFmtId="0" fontId="9" fillId="42" borderId="0" xfId="0" applyFont="1" applyFill="1" applyBorder="1" applyAlignment="1">
      <alignment vertical="center" wrapText="1"/>
    </xf>
    <xf numFmtId="1" fontId="9" fillId="60" borderId="16" xfId="0" applyNumberFormat="1" applyFont="1" applyFill="1" applyBorder="1" applyAlignment="1">
      <alignment horizontal="center" vertical="center" wrapText="1"/>
    </xf>
    <xf numFmtId="169" fontId="9" fillId="60" borderId="144" xfId="0" applyNumberFormat="1" applyFont="1" applyFill="1" applyBorder="1" applyAlignment="1">
      <alignment horizontal="center" wrapText="1"/>
    </xf>
    <xf numFmtId="0" fontId="9" fillId="68" borderId="139" xfId="0" applyFont="1" applyFill="1" applyBorder="1" applyAlignment="1">
      <alignment wrapText="1"/>
    </xf>
    <xf numFmtId="171" fontId="9" fillId="60" borderId="162" xfId="0" applyNumberFormat="1" applyFont="1" applyFill="1" applyBorder="1" applyAlignment="1">
      <alignment horizontal="center" wrapText="1"/>
    </xf>
    <xf numFmtId="171" fontId="9" fillId="60" borderId="145" xfId="0" applyNumberFormat="1" applyFont="1" applyFill="1" applyBorder="1" applyAlignment="1">
      <alignment horizontal="center" wrapText="1"/>
    </xf>
    <xf numFmtId="169" fontId="9" fillId="60" borderId="150" xfId="0" applyNumberFormat="1" applyFont="1" applyFill="1" applyBorder="1" applyAlignment="1">
      <alignment horizontal="center" wrapText="1"/>
    </xf>
    <xf numFmtId="0" fontId="87" fillId="84" borderId="121" xfId="57" applyFont="1" applyFill="1" applyBorder="1" applyAlignment="1">
      <alignment horizontal="center" vertical="center" shrinkToFit="1"/>
    </xf>
    <xf numFmtId="1" fontId="9" fillId="43" borderId="164" xfId="0" applyNumberFormat="1" applyFont="1" applyFill="1" applyBorder="1" applyAlignment="1">
      <alignment horizontal="center" wrapText="1"/>
    </xf>
    <xf numFmtId="2" fontId="9" fillId="60" borderId="162" xfId="0" applyNumberFormat="1" applyFont="1" applyFill="1" applyBorder="1" applyAlignment="1">
      <alignment horizontal="center" wrapText="1"/>
    </xf>
    <xf numFmtId="1" fontId="9" fillId="60" borderId="145" xfId="0" applyNumberFormat="1" applyFont="1" applyFill="1" applyBorder="1" applyAlignment="1">
      <alignment horizontal="center"/>
    </xf>
    <xf numFmtId="1" fontId="13" fillId="60" borderId="150" xfId="0" applyNumberFormat="1" applyFont="1" applyFill="1" applyBorder="1" applyAlignment="1">
      <alignment horizontal="center" wrapText="1"/>
    </xf>
    <xf numFmtId="169" fontId="13" fillId="60" borderId="164" xfId="0" applyNumberFormat="1" applyFont="1" applyFill="1" applyBorder="1" applyAlignment="1">
      <alignment horizontal="center" wrapText="1"/>
    </xf>
    <xf numFmtId="1" fontId="9" fillId="60" borderId="144" xfId="0" applyNumberFormat="1" applyFont="1" applyFill="1" applyBorder="1" applyAlignment="1">
      <alignment horizontal="center"/>
    </xf>
    <xf numFmtId="2" fontId="9" fillId="60" borderId="145" xfId="0" applyNumberFormat="1" applyFont="1" applyFill="1" applyBorder="1" applyAlignment="1">
      <alignment horizontal="center"/>
    </xf>
    <xf numFmtId="2" fontId="9" fillId="60" borderId="164" xfId="0" applyNumberFormat="1" applyFont="1" applyFill="1" applyBorder="1" applyAlignment="1">
      <alignment horizontal="center"/>
    </xf>
    <xf numFmtId="2" fontId="13" fillId="60" borderId="164" xfId="0" applyNumberFormat="1" applyFont="1" applyFill="1" applyBorder="1" applyAlignment="1">
      <alignment horizontal="center" wrapText="1"/>
    </xf>
    <xf numFmtId="166" fontId="13" fillId="60" borderId="145" xfId="0" applyNumberFormat="1" applyFont="1" applyFill="1" applyBorder="1" applyAlignment="1">
      <alignment horizontal="center" wrapText="1"/>
    </xf>
    <xf numFmtId="1" fontId="9" fillId="60" borderId="164" xfId="0" applyNumberFormat="1" applyFont="1" applyFill="1" applyBorder="1" applyAlignment="1">
      <alignment horizontal="center"/>
    </xf>
    <xf numFmtId="165" fontId="9" fillId="60" borderId="145" xfId="0" applyNumberFormat="1" applyFont="1" applyFill="1" applyBorder="1" applyAlignment="1">
      <alignment horizontal="center"/>
    </xf>
    <xf numFmtId="3" fontId="13" fillId="60" borderId="164" xfId="0" applyNumberFormat="1" applyFont="1" applyFill="1" applyBorder="1" applyAlignment="1">
      <alignment horizontal="center" wrapText="1"/>
    </xf>
    <xf numFmtId="3" fontId="13" fillId="60" borderId="144" xfId="0" applyNumberFormat="1" applyFont="1" applyFill="1" applyBorder="1" applyAlignment="1">
      <alignment horizontal="center" wrapText="1"/>
    </xf>
    <xf numFmtId="3" fontId="9" fillId="60" borderId="164" xfId="0" applyNumberFormat="1" applyFont="1" applyFill="1" applyBorder="1" applyAlignment="1">
      <alignment horizontal="center" wrapText="1"/>
    </xf>
    <xf numFmtId="3" fontId="13" fillId="60" borderId="150" xfId="0" applyNumberFormat="1" applyFont="1" applyFill="1" applyBorder="1" applyAlignment="1">
      <alignment horizontal="center" wrapText="1"/>
    </xf>
    <xf numFmtId="3" fontId="13" fillId="60" borderId="145" xfId="0" applyNumberFormat="1" applyFont="1" applyFill="1" applyBorder="1" applyAlignment="1">
      <alignment horizontal="center" wrapText="1"/>
    </xf>
    <xf numFmtId="2" fontId="13" fillId="60" borderId="144" xfId="0" applyNumberFormat="1" applyFont="1" applyFill="1" applyBorder="1" applyAlignment="1">
      <alignment horizontal="center" wrapText="1"/>
    </xf>
    <xf numFmtId="1" fontId="13" fillId="60" borderId="164" xfId="0" applyNumberFormat="1" applyFont="1" applyFill="1" applyBorder="1" applyAlignment="1">
      <alignment horizontal="center" wrapText="1"/>
    </xf>
    <xf numFmtId="3" fontId="9" fillId="60" borderId="171" xfId="0" applyNumberFormat="1" applyFont="1" applyFill="1" applyBorder="1" applyAlignment="1">
      <alignment horizontal="center" wrapText="1"/>
    </xf>
    <xf numFmtId="3" fontId="13" fillId="60" borderId="149" xfId="0" applyNumberFormat="1" applyFont="1" applyFill="1" applyBorder="1" applyAlignment="1">
      <alignment horizontal="center" wrapText="1"/>
    </xf>
    <xf numFmtId="1" fontId="14" fillId="63" borderId="0" xfId="0" applyNumberFormat="1" applyFont="1" applyFill="1" applyBorder="1" applyAlignment="1">
      <alignment horizontal="left" vertical="center" wrapText="1"/>
    </xf>
    <xf numFmtId="0" fontId="101" fillId="42" borderId="0" xfId="0" applyFont="1" applyFill="1" applyAlignment="1">
      <alignment vertical="center"/>
    </xf>
    <xf numFmtId="0" fontId="9" fillId="42" borderId="0" xfId="0" applyFont="1" applyFill="1" applyAlignment="1">
      <alignment horizontal="left" vertical="center"/>
    </xf>
    <xf numFmtId="0" fontId="9" fillId="63" borderId="0" xfId="0" applyFont="1" applyFill="1" applyBorder="1" applyAlignment="1">
      <alignment horizontal="center" vertical="center" wrapText="1"/>
    </xf>
    <xf numFmtId="0" fontId="9" fillId="63" borderId="0" xfId="0" applyFont="1" applyFill="1" applyBorder="1" applyAlignment="1">
      <alignment vertical="center" wrapText="1"/>
    </xf>
    <xf numFmtId="0" fontId="9" fillId="63" borderId="0" xfId="0" applyFont="1" applyFill="1" applyAlignment="1">
      <alignment vertical="center"/>
    </xf>
    <xf numFmtId="0" fontId="87" fillId="84" borderId="12" xfId="57" applyFont="1" applyFill="1" applyBorder="1" applyAlignment="1" applyProtection="1">
      <alignment horizontal="center" vertical="center" wrapText="1"/>
      <protection locked="0"/>
    </xf>
    <xf numFmtId="0" fontId="24" fillId="44" borderId="22" xfId="0" applyFont="1" applyFill="1" applyBorder="1" applyAlignment="1">
      <alignment horizontal="left" wrapText="1"/>
    </xf>
    <xf numFmtId="1" fontId="9" fillId="60" borderId="145" xfId="0" applyNumberFormat="1" applyFont="1" applyFill="1" applyBorder="1" applyAlignment="1">
      <alignment horizontal="center" vertical="center" wrapText="1"/>
    </xf>
    <xf numFmtId="0" fontId="6" fillId="0" borderId="93" xfId="0" applyFont="1" applyBorder="1" applyAlignment="1">
      <alignment vertical="center" wrapText="1"/>
    </xf>
    <xf numFmtId="0" fontId="87" fillId="84" borderId="126" xfId="57" applyFont="1" applyFill="1" applyBorder="1" applyAlignment="1" applyProtection="1">
      <alignment horizontal="center" vertical="center" shrinkToFit="1"/>
      <protection locked="0"/>
    </xf>
    <xf numFmtId="0" fontId="87" fillId="84" borderId="122" xfId="57" applyFont="1" applyFill="1" applyBorder="1" applyAlignment="1" applyProtection="1">
      <alignment horizontal="center" vertical="center" shrinkToFit="1"/>
      <protection locked="0"/>
    </xf>
    <xf numFmtId="1" fontId="9" fillId="60" borderId="150" xfId="0" applyNumberFormat="1" applyFont="1" applyFill="1" applyBorder="1" applyAlignment="1">
      <alignment horizontal="center" wrapText="1"/>
    </xf>
    <xf numFmtId="1" fontId="9" fillId="60" borderId="151" xfId="0" applyNumberFormat="1" applyFont="1" applyFill="1" applyBorder="1" applyAlignment="1">
      <alignment horizontal="center" wrapText="1"/>
    </xf>
    <xf numFmtId="0" fontId="87" fillId="84" borderId="131" xfId="57" applyFont="1" applyFill="1" applyBorder="1" applyAlignment="1" applyProtection="1">
      <alignment horizontal="center" vertical="center" shrinkToFit="1"/>
      <protection locked="0"/>
    </xf>
    <xf numFmtId="0" fontId="87" fillId="84" borderId="123" xfId="57" applyFont="1" applyFill="1" applyBorder="1" applyAlignment="1" applyProtection="1">
      <alignment horizontal="center" vertical="center" shrinkToFit="1"/>
      <protection locked="0"/>
    </xf>
    <xf numFmtId="0" fontId="87" fillId="84" borderId="121" xfId="57" applyFont="1" applyFill="1" applyBorder="1" applyAlignment="1" applyProtection="1">
      <alignment horizontal="center" vertical="center" shrinkToFit="1"/>
      <protection locked="0"/>
    </xf>
    <xf numFmtId="0" fontId="87" fillId="84" borderId="100" xfId="57" applyFont="1" applyFill="1" applyBorder="1" applyAlignment="1" applyProtection="1">
      <alignment horizontal="center" vertical="center" shrinkToFit="1"/>
      <protection locked="0"/>
    </xf>
    <xf numFmtId="1" fontId="13" fillId="60" borderId="16" xfId="0" applyNumberFormat="1" applyFont="1" applyFill="1" applyBorder="1" applyAlignment="1">
      <alignment horizontal="center" wrapText="1"/>
    </xf>
    <xf numFmtId="1" fontId="13" fillId="60" borderId="157" xfId="0" applyNumberFormat="1" applyFont="1" applyFill="1" applyBorder="1" applyAlignment="1">
      <alignment horizontal="center" wrapText="1"/>
    </xf>
    <xf numFmtId="0" fontId="87" fillId="84" borderId="161" xfId="57" applyFont="1" applyFill="1" applyBorder="1" applyAlignment="1" applyProtection="1">
      <alignment horizontal="center" vertical="center" shrinkToFit="1"/>
      <protection locked="0"/>
    </xf>
    <xf numFmtId="1" fontId="13" fillId="60" borderId="142" xfId="0" applyNumberFormat="1" applyFont="1" applyFill="1" applyBorder="1" applyAlignment="1">
      <alignment horizontal="center" wrapText="1"/>
    </xf>
    <xf numFmtId="1" fontId="88" fillId="60" borderId="153" xfId="0" applyNumberFormat="1" applyFont="1" applyFill="1" applyBorder="1" applyAlignment="1">
      <alignment horizontal="center" wrapText="1"/>
    </xf>
    <xf numFmtId="0" fontId="9" fillId="60" borderId="143" xfId="0" applyFont="1" applyFill="1" applyBorder="1" applyAlignment="1">
      <alignment horizontal="center" wrapText="1"/>
    </xf>
    <xf numFmtId="0" fontId="9" fillId="60" borderId="163" xfId="0" applyFont="1" applyFill="1" applyBorder="1" applyAlignment="1">
      <alignment horizontal="center" wrapText="1"/>
    </xf>
    <xf numFmtId="0" fontId="87" fillId="84" borderId="165" xfId="57" applyFont="1" applyFill="1" applyBorder="1" applyAlignment="1" applyProtection="1">
      <alignment horizontal="center" vertical="center" shrinkToFit="1"/>
      <protection locked="0"/>
    </xf>
    <xf numFmtId="0" fontId="9" fillId="60" borderId="145" xfId="0" applyFont="1" applyFill="1" applyBorder="1" applyAlignment="1">
      <alignment horizontal="center" vertical="center" wrapText="1"/>
    </xf>
    <xf numFmtId="169" fontId="9" fillId="60" borderId="141" xfId="0" applyNumberFormat="1" applyFont="1" applyFill="1" applyBorder="1" applyAlignment="1">
      <alignment horizontal="center" vertical="center" wrapText="1"/>
    </xf>
    <xf numFmtId="169" fontId="9" fillId="60" borderId="143" xfId="0" applyNumberFormat="1" applyFont="1" applyFill="1" applyBorder="1" applyAlignment="1">
      <alignment horizontal="center" vertical="center" wrapText="1"/>
    </xf>
    <xf numFmtId="3" fontId="9" fillId="60" borderId="148" xfId="0" applyNumberFormat="1" applyFont="1" applyFill="1" applyBorder="1" applyAlignment="1">
      <alignment horizontal="center" vertical="center" wrapText="1"/>
    </xf>
    <xf numFmtId="0" fontId="87" fillId="84" borderId="172" xfId="57" applyFont="1" applyFill="1" applyBorder="1" applyAlignment="1" applyProtection="1">
      <alignment horizontal="center" vertical="center" wrapText="1"/>
      <protection locked="0"/>
    </xf>
    <xf numFmtId="2" fontId="9" fillId="60" borderId="143" xfId="0" applyNumberFormat="1" applyFont="1" applyFill="1" applyBorder="1" applyAlignment="1">
      <alignment horizontal="center" vertical="center"/>
    </xf>
    <xf numFmtId="0" fontId="87" fillId="84" borderId="143" xfId="57" applyFont="1" applyFill="1" applyBorder="1" applyAlignment="1" applyProtection="1">
      <alignment horizontal="center" vertical="center" shrinkToFit="1"/>
      <protection locked="0"/>
    </xf>
    <xf numFmtId="165" fontId="9" fillId="60" borderId="143" xfId="0" applyNumberFormat="1" applyFont="1" applyFill="1" applyBorder="1" applyAlignment="1">
      <alignment horizontal="center" vertical="center"/>
    </xf>
    <xf numFmtId="0" fontId="9" fillId="60" borderId="12" xfId="0" applyFont="1" applyFill="1" applyBorder="1" applyAlignment="1">
      <alignment horizontal="center" vertical="center"/>
    </xf>
    <xf numFmtId="9" fontId="87" fillId="84" borderId="121" xfId="64" applyFont="1" applyFill="1" applyBorder="1" applyAlignment="1" applyProtection="1">
      <alignment horizontal="center" vertical="center" shrinkToFit="1"/>
      <protection locked="0"/>
    </xf>
    <xf numFmtId="9" fontId="87" fillId="84" borderId="165" xfId="64" applyFont="1" applyFill="1" applyBorder="1" applyAlignment="1" applyProtection="1">
      <alignment horizontal="center" vertical="center" shrinkToFit="1"/>
      <protection locked="0"/>
    </xf>
    <xf numFmtId="2" fontId="9" fillId="60" borderId="148" xfId="0" applyNumberFormat="1" applyFont="1" applyFill="1" applyBorder="1" applyAlignment="1">
      <alignment horizontal="center" wrapText="1"/>
    </xf>
    <xf numFmtId="167" fontId="87" fillId="84" borderId="121" xfId="57" applyNumberFormat="1" applyFont="1" applyFill="1" applyBorder="1" applyAlignment="1" applyProtection="1">
      <alignment horizontal="center" vertical="center" shrinkToFit="1"/>
      <protection locked="0"/>
    </xf>
    <xf numFmtId="168" fontId="87" fillId="84" borderId="121" xfId="57" applyNumberFormat="1" applyFont="1" applyFill="1" applyBorder="1" applyAlignment="1" applyProtection="1">
      <alignment horizontal="center" vertical="center" shrinkToFit="1"/>
      <protection locked="0"/>
    </xf>
    <xf numFmtId="176" fontId="87" fillId="84" borderId="165" xfId="57" applyNumberFormat="1" applyFont="1" applyFill="1" applyBorder="1" applyAlignment="1" applyProtection="1">
      <alignment horizontal="center" vertical="center" shrinkToFit="1"/>
      <protection locked="0"/>
    </xf>
    <xf numFmtId="165" fontId="13" fillId="60" borderId="141" xfId="0" applyNumberFormat="1" applyFont="1" applyFill="1" applyBorder="1" applyAlignment="1">
      <alignment horizontal="center" wrapText="1"/>
    </xf>
    <xf numFmtId="169" fontId="13" fillId="60" borderId="148" xfId="0" applyNumberFormat="1" applyFont="1" applyFill="1" applyBorder="1" applyAlignment="1">
      <alignment horizontal="center" wrapText="1"/>
    </xf>
    <xf numFmtId="170" fontId="87" fillId="84" borderId="121" xfId="64" applyNumberFormat="1" applyFont="1" applyFill="1" applyBorder="1" applyAlignment="1" applyProtection="1">
      <alignment horizontal="center" vertical="center" shrinkToFit="1"/>
      <protection locked="0"/>
    </xf>
    <xf numFmtId="0" fontId="87" fillId="84" borderId="128" xfId="57" applyFont="1" applyFill="1" applyBorder="1" applyAlignment="1" applyProtection="1">
      <alignment horizontal="center" vertical="center" shrinkToFit="1"/>
      <protection locked="0"/>
    </xf>
    <xf numFmtId="0" fontId="87" fillId="84" borderId="12" xfId="57" applyFont="1" applyFill="1" applyBorder="1" applyAlignment="1" applyProtection="1">
      <alignment horizontal="center" vertical="center" shrinkToFit="1"/>
      <protection locked="0"/>
    </xf>
    <xf numFmtId="0" fontId="13" fillId="60" borderId="159" xfId="0" applyFont="1" applyFill="1" applyBorder="1" applyAlignment="1">
      <alignment horizontal="left" wrapText="1"/>
    </xf>
    <xf numFmtId="0" fontId="13" fillId="60" borderId="160" xfId="0" applyFont="1" applyFill="1" applyBorder="1" applyAlignment="1">
      <alignment horizontal="center" wrapText="1"/>
    </xf>
    <xf numFmtId="0" fontId="13" fillId="60" borderId="157" xfId="0" applyFont="1" applyFill="1" applyBorder="1" applyAlignment="1">
      <alignment horizontal="center" wrapText="1"/>
    </xf>
    <xf numFmtId="0" fontId="13" fillId="60" borderId="146" xfId="0" applyFont="1" applyFill="1" applyBorder="1" applyAlignment="1">
      <alignment wrapText="1"/>
    </xf>
    <xf numFmtId="0" fontId="13" fillId="60" borderId="147" xfId="0" applyFont="1" applyFill="1" applyBorder="1" applyAlignment="1">
      <alignment horizontal="center" wrapText="1"/>
    </xf>
    <xf numFmtId="0" fontId="9" fillId="60" borderId="140" xfId="0" applyFont="1" applyFill="1" applyBorder="1" applyAlignment="1"/>
    <xf numFmtId="0" fontId="13" fillId="60" borderId="141" xfId="0" applyFont="1" applyFill="1" applyBorder="1" applyAlignment="1">
      <alignment horizontal="center" wrapText="1"/>
    </xf>
    <xf numFmtId="0" fontId="9" fillId="60" borderId="142" xfId="0" applyFont="1" applyFill="1" applyBorder="1" applyAlignment="1"/>
    <xf numFmtId="0" fontId="13" fillId="60" borderId="143" xfId="0" applyFont="1" applyFill="1" applyBorder="1" applyAlignment="1">
      <alignment horizontal="center" wrapText="1"/>
    </xf>
    <xf numFmtId="0" fontId="9" fillId="60" borderId="143" xfId="0" applyFont="1" applyFill="1" applyBorder="1" applyAlignment="1">
      <alignment horizontal="center" vertical="center"/>
    </xf>
    <xf numFmtId="0" fontId="9" fillId="60" borderId="142" xfId="0" applyFont="1" applyFill="1" applyBorder="1" applyAlignment="1">
      <alignment wrapText="1"/>
    </xf>
    <xf numFmtId="0" fontId="13" fillId="60" borderId="142" xfId="0" applyFont="1" applyFill="1" applyBorder="1" applyAlignment="1">
      <alignment horizontal="left" wrapText="1"/>
    </xf>
    <xf numFmtId="1" fontId="21" fillId="60" borderId="173" xfId="0" applyNumberFormat="1" applyFont="1" applyFill="1" applyBorder="1" applyAlignment="1">
      <alignment horizontal="right" wrapText="1"/>
    </xf>
    <xf numFmtId="1" fontId="21" fillId="60" borderId="157" xfId="0" applyNumberFormat="1" applyFont="1" applyFill="1" applyBorder="1" applyAlignment="1">
      <alignment horizontal="left" wrapText="1"/>
    </xf>
    <xf numFmtId="0" fontId="9" fillId="60" borderId="159" xfId="0" applyFont="1" applyFill="1" applyBorder="1" applyAlignment="1"/>
    <xf numFmtId="16" fontId="9" fillId="60" borderId="160" xfId="0" applyNumberFormat="1" applyFont="1" applyFill="1" applyBorder="1" applyAlignment="1">
      <alignment horizontal="center" vertical="center"/>
    </xf>
    <xf numFmtId="0" fontId="9" fillId="60" borderId="158" xfId="0" applyFont="1" applyFill="1" applyBorder="1" applyAlignment="1"/>
    <xf numFmtId="0" fontId="9" fillId="60" borderId="157" xfId="0" applyFont="1" applyFill="1" applyBorder="1" applyAlignment="1">
      <alignment horizontal="center" vertical="center"/>
    </xf>
    <xf numFmtId="0" fontId="9" fillId="60" borderId="154" xfId="0" applyFont="1" applyFill="1" applyBorder="1" applyAlignment="1">
      <alignment horizontal="center" vertical="center"/>
    </xf>
    <xf numFmtId="0" fontId="9" fillId="60" borderId="160" xfId="0" applyFont="1" applyFill="1" applyBorder="1" applyAlignment="1">
      <alignment horizontal="center" wrapText="1"/>
    </xf>
    <xf numFmtId="0" fontId="13" fillId="60" borderId="162" xfId="0" applyFont="1" applyFill="1" applyBorder="1" applyAlignment="1">
      <alignment horizontal="left" wrapText="1" indent="2"/>
    </xf>
    <xf numFmtId="0" fontId="13" fillId="60" borderId="163" xfId="0" applyFont="1" applyFill="1" applyBorder="1" applyAlignment="1">
      <alignment horizontal="center" wrapText="1"/>
    </xf>
    <xf numFmtId="0" fontId="9" fillId="60" borderId="140" xfId="0" applyFont="1" applyFill="1" applyBorder="1" applyAlignment="1">
      <alignment horizontal="left" wrapText="1"/>
    </xf>
    <xf numFmtId="0" fontId="9" fillId="60" borderId="141" xfId="0" applyFont="1" applyFill="1" applyBorder="1" applyAlignment="1">
      <alignment horizontal="center" wrapText="1"/>
    </xf>
    <xf numFmtId="0" fontId="9" fillId="60" borderId="142" xfId="0" applyFont="1" applyFill="1" applyBorder="1" applyAlignment="1">
      <alignment horizontal="left" wrapText="1" indent="2"/>
    </xf>
    <xf numFmtId="0" fontId="9" fillId="60" borderId="142" xfId="0" applyFont="1" applyFill="1" applyBorder="1" applyAlignment="1">
      <alignment horizontal="left" wrapText="1" indent="4"/>
    </xf>
    <xf numFmtId="0" fontId="9" fillId="60" borderId="162" xfId="0" applyFont="1" applyFill="1" applyBorder="1" applyAlignment="1">
      <alignment horizontal="left" wrapText="1" indent="4"/>
    </xf>
    <xf numFmtId="0" fontId="9" fillId="60" borderId="142" xfId="0" applyFont="1" applyFill="1" applyBorder="1" applyAlignment="1">
      <alignment horizontal="left" wrapText="1"/>
    </xf>
    <xf numFmtId="0" fontId="9" fillId="60" borderId="162" xfId="0" applyFont="1" applyFill="1" applyBorder="1" applyAlignment="1">
      <alignment horizontal="left" wrapText="1" indent="2"/>
    </xf>
    <xf numFmtId="0" fontId="13" fillId="60" borderId="162" xfId="0" applyFont="1" applyFill="1" applyBorder="1" applyAlignment="1">
      <alignment horizontal="left" wrapText="1"/>
    </xf>
    <xf numFmtId="0" fontId="13" fillId="60" borderId="140" xfId="0" applyFont="1" applyFill="1" applyBorder="1" applyAlignment="1">
      <alignment wrapText="1"/>
    </xf>
    <xf numFmtId="0" fontId="13" fillId="60" borderId="142" xfId="0" applyFont="1" applyFill="1" applyBorder="1" applyAlignment="1">
      <alignment wrapText="1"/>
    </xf>
    <xf numFmtId="0" fontId="13" fillId="60" borderId="153" xfId="0" applyFont="1" applyFill="1" applyBorder="1" applyAlignment="1">
      <alignment wrapText="1"/>
    </xf>
    <xf numFmtId="0" fontId="9" fillId="68" borderId="176" xfId="0" applyFont="1" applyFill="1" applyBorder="1" applyAlignment="1">
      <alignment wrapText="1"/>
    </xf>
    <xf numFmtId="0" fontId="9" fillId="68" borderId="170" xfId="0" applyFont="1" applyFill="1" applyBorder="1" applyAlignment="1">
      <alignment horizontal="center" vertical="center"/>
    </xf>
    <xf numFmtId="1" fontId="13" fillId="60" borderId="141" xfId="0" applyNumberFormat="1" applyFont="1" applyFill="1" applyBorder="1" applyAlignment="1">
      <alignment horizontal="center" wrapText="1"/>
    </xf>
    <xf numFmtId="0" fontId="9" fillId="60" borderId="162" xfId="0" applyFont="1" applyFill="1" applyBorder="1" applyAlignment="1"/>
    <xf numFmtId="0" fontId="9" fillId="60" borderId="163" xfId="0" applyFont="1" applyFill="1" applyBorder="1" applyAlignment="1">
      <alignment horizontal="center" vertical="center"/>
    </xf>
    <xf numFmtId="1" fontId="13" fillId="60" borderId="143" xfId="0" applyNumberFormat="1" applyFont="1" applyFill="1" applyBorder="1" applyAlignment="1">
      <alignment horizontal="center" wrapText="1"/>
    </xf>
    <xf numFmtId="0" fontId="9" fillId="68" borderId="180" xfId="0" applyFont="1" applyFill="1" applyBorder="1" applyAlignment="1">
      <alignment wrapText="1"/>
    </xf>
    <xf numFmtId="0" fontId="9" fillId="68" borderId="180" xfId="0" applyFont="1" applyFill="1" applyBorder="1"/>
    <xf numFmtId="1" fontId="13" fillId="60" borderId="154" xfId="0" applyNumberFormat="1" applyFont="1" applyFill="1" applyBorder="1" applyAlignment="1">
      <alignment horizontal="center" wrapText="1"/>
    </xf>
    <xf numFmtId="165" fontId="9" fillId="60" borderId="143" xfId="0" applyNumberFormat="1" applyFont="1" applyFill="1" applyBorder="1" applyAlignment="1">
      <alignment horizontal="center" vertical="center" wrapText="1"/>
    </xf>
    <xf numFmtId="169" fontId="9" fillId="60" borderId="141" xfId="0" applyNumberFormat="1" applyFont="1" applyFill="1" applyBorder="1" applyAlignment="1">
      <alignment horizontal="center" wrapText="1"/>
    </xf>
    <xf numFmtId="169" fontId="9" fillId="60" borderId="143" xfId="0" applyNumberFormat="1" applyFont="1" applyFill="1" applyBorder="1" applyAlignment="1">
      <alignment horizontal="center" wrapText="1"/>
    </xf>
    <xf numFmtId="0" fontId="9" fillId="68" borderId="181" xfId="0" applyFont="1" applyFill="1" applyBorder="1" applyAlignment="1">
      <alignment horizontal="center" wrapText="1"/>
    </xf>
    <xf numFmtId="2" fontId="9" fillId="60" borderId="143" xfId="0" applyNumberFormat="1" applyFont="1" applyFill="1" applyBorder="1" applyAlignment="1">
      <alignment horizontal="center" wrapText="1"/>
    </xf>
    <xf numFmtId="0" fontId="9" fillId="68" borderId="177" xfId="0" applyFont="1" applyFill="1" applyBorder="1" applyAlignment="1">
      <alignment horizontal="center" wrapText="1"/>
    </xf>
    <xf numFmtId="169" fontId="9" fillId="60" borderId="166" xfId="0" applyNumberFormat="1" applyFont="1" applyFill="1" applyBorder="1" applyAlignment="1">
      <alignment horizontal="center" wrapText="1"/>
    </xf>
    <xf numFmtId="171" fontId="9" fillId="60" borderId="166" xfId="0" applyNumberFormat="1" applyFont="1" applyFill="1" applyBorder="1" applyAlignment="1">
      <alignment horizontal="center" wrapText="1"/>
    </xf>
    <xf numFmtId="1" fontId="9" fillId="43" borderId="141" xfId="0" applyNumberFormat="1" applyFont="1" applyFill="1" applyBorder="1" applyAlignment="1">
      <alignment horizontal="center" wrapText="1"/>
    </xf>
    <xf numFmtId="3" fontId="9" fillId="60" borderId="143" xfId="0" applyNumberFormat="1" applyFont="1" applyFill="1" applyBorder="1" applyAlignment="1">
      <alignment horizontal="center" wrapText="1"/>
    </xf>
    <xf numFmtId="0" fontId="13" fillId="68" borderId="181" xfId="0" applyFont="1" applyFill="1" applyBorder="1" applyAlignment="1">
      <alignment horizontal="center" wrapText="1"/>
    </xf>
    <xf numFmtId="0" fontId="13" fillId="68" borderId="177" xfId="0" applyFont="1" applyFill="1" applyBorder="1" applyAlignment="1">
      <alignment horizontal="center" wrapText="1"/>
    </xf>
    <xf numFmtId="0" fontId="22" fillId="60" borderId="141" xfId="0" applyFont="1" applyFill="1" applyBorder="1" applyAlignment="1">
      <alignment horizontal="center" wrapText="1"/>
    </xf>
    <xf numFmtId="0" fontId="22" fillId="60" borderId="143" xfId="0" applyFont="1" applyFill="1" applyBorder="1" applyAlignment="1">
      <alignment horizontal="center" wrapText="1"/>
    </xf>
    <xf numFmtId="0" fontId="9" fillId="68" borderId="180" xfId="0" applyFont="1" applyFill="1" applyBorder="1" applyAlignment="1">
      <alignment horizontal="left"/>
    </xf>
    <xf numFmtId="0" fontId="9" fillId="68" borderId="176" xfId="0" applyFont="1" applyFill="1" applyBorder="1" applyAlignment="1">
      <alignment horizontal="left"/>
    </xf>
    <xf numFmtId="1" fontId="9" fillId="60" borderId="166" xfId="0" applyNumberFormat="1" applyFont="1" applyFill="1" applyBorder="1" applyAlignment="1">
      <alignment horizontal="center"/>
    </xf>
    <xf numFmtId="0" fontId="13" fillId="68" borderId="180" xfId="0" applyFont="1" applyFill="1" applyBorder="1" applyAlignment="1">
      <alignment wrapText="1"/>
    </xf>
    <xf numFmtId="165" fontId="9" fillId="60" borderId="141" xfId="0" applyNumberFormat="1" applyFont="1" applyFill="1" applyBorder="1" applyAlignment="1">
      <alignment horizontal="center" wrapText="1"/>
    </xf>
    <xf numFmtId="165" fontId="9" fillId="60" borderId="143" xfId="0" applyNumberFormat="1" applyFont="1" applyFill="1" applyBorder="1" applyAlignment="1">
      <alignment horizontal="center" wrapText="1"/>
    </xf>
    <xf numFmtId="1" fontId="9" fillId="60" borderId="141" xfId="0" applyNumberFormat="1" applyFont="1" applyFill="1" applyBorder="1" applyAlignment="1">
      <alignment horizontal="center"/>
    </xf>
    <xf numFmtId="2" fontId="9" fillId="60" borderId="143" xfId="0" applyNumberFormat="1" applyFont="1" applyFill="1" applyBorder="1" applyAlignment="1">
      <alignment horizontal="center"/>
    </xf>
    <xf numFmtId="2" fontId="9" fillId="60" borderId="163" xfId="0" applyNumberFormat="1" applyFont="1" applyFill="1" applyBorder="1" applyAlignment="1">
      <alignment horizontal="center"/>
    </xf>
    <xf numFmtId="165" fontId="9" fillId="60" borderId="141" xfId="0" applyNumberFormat="1" applyFont="1" applyFill="1" applyBorder="1" applyAlignment="1">
      <alignment horizontal="center"/>
    </xf>
    <xf numFmtId="166" fontId="13" fillId="60" borderId="143" xfId="0" applyNumberFormat="1" applyFont="1" applyFill="1" applyBorder="1" applyAlignment="1">
      <alignment horizontal="center" wrapText="1"/>
    </xf>
    <xf numFmtId="169" fontId="13" fillId="60" borderId="143" xfId="0" applyNumberFormat="1" applyFont="1" applyFill="1" applyBorder="1" applyAlignment="1">
      <alignment horizontal="center" wrapText="1"/>
    </xf>
    <xf numFmtId="1" fontId="9" fillId="60" borderId="143" xfId="0" applyNumberFormat="1" applyFont="1" applyFill="1" applyBorder="1" applyAlignment="1">
      <alignment horizontal="center"/>
    </xf>
    <xf numFmtId="1" fontId="9" fillId="60" borderId="163" xfId="0" applyNumberFormat="1" applyFont="1" applyFill="1" applyBorder="1" applyAlignment="1">
      <alignment horizontal="center"/>
    </xf>
    <xf numFmtId="165" fontId="9" fillId="60" borderId="143" xfId="0" applyNumberFormat="1" applyFont="1" applyFill="1" applyBorder="1" applyAlignment="1">
      <alignment horizontal="center"/>
    </xf>
    <xf numFmtId="0" fontId="53" fillId="68" borderId="180" xfId="0" applyFont="1" applyFill="1" applyBorder="1" applyAlignment="1">
      <alignment horizontal="left"/>
    </xf>
    <xf numFmtId="169" fontId="13" fillId="60" borderId="163" xfId="0" applyNumberFormat="1" applyFont="1" applyFill="1" applyBorder="1" applyAlignment="1">
      <alignment horizontal="center" wrapText="1"/>
    </xf>
    <xf numFmtId="3" fontId="13" fillId="60" borderId="141" xfId="0" applyNumberFormat="1" applyFont="1" applyFill="1" applyBorder="1" applyAlignment="1">
      <alignment horizontal="center" wrapText="1"/>
    </xf>
    <xf numFmtId="3" fontId="9" fillId="60" borderId="166" xfId="0" applyNumberFormat="1" applyFont="1" applyFill="1" applyBorder="1" applyAlignment="1">
      <alignment horizontal="center" wrapText="1"/>
    </xf>
    <xf numFmtId="3" fontId="9" fillId="60" borderId="167" xfId="0" applyNumberFormat="1" applyFont="1" applyFill="1" applyBorder="1" applyAlignment="1">
      <alignment horizontal="center" wrapText="1"/>
    </xf>
    <xf numFmtId="2" fontId="13" fillId="60" borderId="141" xfId="0" applyNumberFormat="1" applyFont="1" applyFill="1" applyBorder="1" applyAlignment="1">
      <alignment horizontal="center" wrapText="1"/>
    </xf>
    <xf numFmtId="3" fontId="13" fillId="60" borderId="170" xfId="0" applyNumberFormat="1" applyFont="1" applyFill="1" applyBorder="1" applyAlignment="1">
      <alignment horizontal="center" wrapText="1"/>
    </xf>
    <xf numFmtId="3" fontId="9" fillId="60" borderId="157" xfId="0" applyNumberFormat="1" applyFont="1" applyFill="1" applyBorder="1" applyAlignment="1">
      <alignment horizontal="center" wrapText="1"/>
    </xf>
    <xf numFmtId="3" fontId="9" fillId="60" borderId="163" xfId="0" applyNumberFormat="1" applyFont="1" applyFill="1" applyBorder="1" applyAlignment="1">
      <alignment horizontal="center" wrapText="1"/>
    </xf>
    <xf numFmtId="0" fontId="13" fillId="60" borderId="142" xfId="0" applyFont="1" applyFill="1" applyBorder="1" applyAlignment="1">
      <alignment vertical="center" wrapText="1"/>
    </xf>
    <xf numFmtId="0" fontId="13" fillId="60" borderId="143" xfId="0" applyFont="1" applyFill="1" applyBorder="1" applyAlignment="1">
      <alignment horizontal="center" vertical="center" wrapText="1"/>
    </xf>
    <xf numFmtId="0" fontId="9" fillId="60" borderId="141" xfId="0" applyFont="1" applyFill="1" applyBorder="1" applyAlignment="1">
      <alignment horizontal="center" vertical="center"/>
    </xf>
    <xf numFmtId="0" fontId="9" fillId="60" borderId="142" xfId="0" applyFont="1" applyFill="1" applyBorder="1" applyAlignment="1">
      <alignment vertical="center"/>
    </xf>
    <xf numFmtId="0" fontId="9" fillId="60" borderId="143" xfId="0" applyFont="1" applyFill="1" applyBorder="1" applyAlignment="1">
      <alignment horizontal="center" vertical="center" wrapText="1"/>
    </xf>
    <xf numFmtId="0" fontId="13" fillId="60" borderId="162" xfId="0" applyFont="1" applyFill="1" applyBorder="1" applyAlignment="1">
      <alignment vertical="center" wrapText="1"/>
    </xf>
    <xf numFmtId="0" fontId="9" fillId="60" borderId="163" xfId="0" applyFont="1" applyFill="1" applyBorder="1" applyAlignment="1">
      <alignment horizontal="center" vertical="center" wrapText="1"/>
    </xf>
    <xf numFmtId="0" fontId="9" fillId="60" borderId="142" xfId="0" applyFont="1" applyFill="1" applyBorder="1" applyAlignment="1">
      <alignment horizontal="left" vertical="center" wrapText="1"/>
    </xf>
    <xf numFmtId="0" fontId="13" fillId="60" borderId="163" xfId="0" applyFont="1" applyFill="1" applyBorder="1" applyAlignment="1">
      <alignment horizontal="center" vertical="center" wrapText="1"/>
    </xf>
    <xf numFmtId="0" fontId="21" fillId="60" borderId="139" xfId="0" applyFont="1" applyFill="1" applyBorder="1" applyAlignment="1">
      <alignment vertical="center" wrapText="1"/>
    </xf>
    <xf numFmtId="0" fontId="13" fillId="60" borderId="141" xfId="0" applyFont="1" applyFill="1" applyBorder="1" applyAlignment="1">
      <alignment horizontal="center" vertical="center" wrapText="1"/>
    </xf>
    <xf numFmtId="0" fontId="9" fillId="60" borderId="142" xfId="0" applyFont="1" applyFill="1" applyBorder="1" applyAlignment="1">
      <alignment horizontal="left" vertical="center" wrapText="1" indent="2"/>
    </xf>
    <xf numFmtId="0" fontId="9" fillId="60" borderId="162" xfId="0" applyFont="1" applyFill="1" applyBorder="1" applyAlignment="1">
      <alignment horizontal="left" vertical="center" wrapText="1" indent="2"/>
    </xf>
    <xf numFmtId="0" fontId="9" fillId="60" borderId="170" xfId="0" applyFont="1" applyFill="1" applyBorder="1" applyAlignment="1">
      <alignment horizontal="center" vertical="center"/>
    </xf>
    <xf numFmtId="0" fontId="13" fillId="60" borderId="158" xfId="0" applyFont="1" applyFill="1" applyBorder="1" applyAlignment="1">
      <alignment horizontal="left" wrapText="1" indent="2"/>
    </xf>
    <xf numFmtId="0" fontId="13" fillId="60" borderId="142" xfId="0" applyFont="1" applyFill="1" applyBorder="1" applyAlignment="1">
      <alignment horizontal="left" wrapText="1" indent="2"/>
    </xf>
    <xf numFmtId="0" fontId="13" fillId="60" borderId="142" xfId="0" applyFont="1" applyFill="1" applyBorder="1" applyAlignment="1">
      <alignment horizontal="left" vertical="center" wrapText="1" indent="2"/>
    </xf>
    <xf numFmtId="0" fontId="13" fillId="60" borderId="162" xfId="0" applyFont="1" applyFill="1" applyBorder="1" applyAlignment="1">
      <alignment horizontal="left" vertical="center" wrapText="1" indent="2"/>
    </xf>
    <xf numFmtId="0" fontId="13" fillId="60" borderId="182" xfId="0" applyFont="1" applyFill="1" applyBorder="1" applyAlignment="1">
      <alignment horizontal="left" vertical="center" wrapText="1" indent="2"/>
    </xf>
    <xf numFmtId="0" fontId="13" fillId="60" borderId="183" xfId="0" applyFont="1" applyFill="1" applyBorder="1" applyAlignment="1">
      <alignment horizontal="center" wrapText="1"/>
    </xf>
    <xf numFmtId="0" fontId="13" fillId="60" borderId="184" xfId="0" applyFont="1" applyFill="1" applyBorder="1" applyAlignment="1">
      <alignment horizontal="left" wrapText="1" indent="2"/>
    </xf>
    <xf numFmtId="0" fontId="13" fillId="60" borderId="185" xfId="0" applyFont="1" applyFill="1" applyBorder="1" applyAlignment="1">
      <alignment horizontal="center" wrapText="1"/>
    </xf>
    <xf numFmtId="0" fontId="13" fillId="60" borderId="10" xfId="0" applyFont="1" applyFill="1" applyBorder="1" applyAlignment="1">
      <alignment horizontal="left" wrapText="1" indent="2"/>
    </xf>
    <xf numFmtId="0" fontId="13" fillId="60" borderId="12" xfId="0" applyFont="1" applyFill="1" applyBorder="1" applyAlignment="1">
      <alignment horizontal="center" wrapText="1"/>
    </xf>
    <xf numFmtId="0" fontId="13" fillId="60" borderId="182" xfId="0" applyFont="1" applyFill="1" applyBorder="1" applyAlignment="1">
      <alignment horizontal="left" wrapText="1" indent="2"/>
    </xf>
    <xf numFmtId="0" fontId="9" fillId="60" borderId="139" xfId="0" applyFont="1" applyFill="1" applyBorder="1" applyAlignment="1"/>
    <xf numFmtId="0" fontId="9" fillId="60" borderId="180" xfId="0" applyFont="1" applyFill="1" applyBorder="1" applyAlignment="1">
      <alignment wrapText="1"/>
    </xf>
    <xf numFmtId="0" fontId="9" fillId="60" borderId="181" xfId="0" applyFont="1" applyFill="1" applyBorder="1" applyAlignment="1">
      <alignment horizontal="center" vertical="center"/>
    </xf>
    <xf numFmtId="0" fontId="9" fillId="60" borderId="180" xfId="0" applyFont="1" applyFill="1" applyBorder="1" applyAlignment="1"/>
    <xf numFmtId="0" fontId="9" fillId="60" borderId="180" xfId="0" applyFont="1" applyFill="1" applyBorder="1"/>
    <xf numFmtId="0" fontId="9" fillId="60" borderId="176" xfId="0" applyFont="1" applyFill="1" applyBorder="1" applyAlignment="1">
      <alignment wrapText="1"/>
    </xf>
    <xf numFmtId="0" fontId="9" fillId="60" borderId="177" xfId="0" applyFont="1" applyFill="1" applyBorder="1" applyAlignment="1">
      <alignment horizontal="center" vertical="center"/>
    </xf>
    <xf numFmtId="0" fontId="9" fillId="60" borderId="178" xfId="0" applyFont="1" applyFill="1" applyBorder="1" applyAlignment="1">
      <alignment wrapText="1"/>
    </xf>
    <xf numFmtId="0" fontId="9" fillId="60" borderId="179" xfId="0" applyFont="1" applyFill="1" applyBorder="1" applyAlignment="1">
      <alignment horizontal="center" vertical="center"/>
    </xf>
    <xf numFmtId="0" fontId="9" fillId="60" borderId="180" xfId="0" applyFont="1" applyFill="1" applyBorder="1" applyAlignment="1">
      <alignment horizontal="left"/>
    </xf>
    <xf numFmtId="0" fontId="13" fillId="60" borderId="162" xfId="0" applyFont="1" applyFill="1" applyBorder="1" applyAlignment="1">
      <alignment wrapText="1"/>
    </xf>
    <xf numFmtId="0" fontId="9" fillId="60" borderId="142" xfId="0" applyFont="1" applyFill="1" applyBorder="1" applyAlignment="1">
      <alignment vertical="center" wrapText="1"/>
    </xf>
    <xf numFmtId="0" fontId="9" fillId="60" borderId="140" xfId="0" applyFont="1" applyFill="1" applyBorder="1" applyAlignment="1">
      <alignment horizontal="left" vertical="center" wrapText="1"/>
    </xf>
    <xf numFmtId="0" fontId="9" fillId="60" borderId="142" xfId="0" applyFont="1" applyFill="1" applyBorder="1" applyAlignment="1">
      <alignment horizontal="left"/>
    </xf>
    <xf numFmtId="0" fontId="9" fillId="60" borderId="143" xfId="0" applyFont="1" applyFill="1" applyBorder="1" applyAlignment="1">
      <alignment horizontal="center"/>
    </xf>
    <xf numFmtId="0" fontId="9" fillId="60" borderId="162" xfId="0" applyFont="1" applyFill="1" applyBorder="1" applyAlignment="1">
      <alignment vertical="center" wrapText="1"/>
    </xf>
    <xf numFmtId="0" fontId="9" fillId="60" borderId="142" xfId="0" applyFont="1" applyFill="1" applyBorder="1" applyAlignment="1">
      <alignment horizontal="left" vertical="center"/>
    </xf>
    <xf numFmtId="0" fontId="9" fillId="60" borderId="146" xfId="0" applyFont="1" applyFill="1" applyBorder="1" applyAlignment="1">
      <alignment wrapText="1"/>
    </xf>
    <xf numFmtId="0" fontId="9" fillId="60" borderId="147" xfId="0" applyFont="1" applyFill="1" applyBorder="1" applyAlignment="1">
      <alignment horizontal="center" vertical="center" wrapText="1"/>
    </xf>
    <xf numFmtId="0" fontId="9" fillId="60" borderId="10" xfId="0" applyFont="1" applyFill="1" applyBorder="1" applyAlignment="1">
      <alignment horizontal="left" vertical="center"/>
    </xf>
    <xf numFmtId="0" fontId="9" fillId="60" borderId="139" xfId="0" applyFont="1" applyFill="1" applyBorder="1" applyAlignment="1">
      <alignment wrapText="1"/>
    </xf>
    <xf numFmtId="0" fontId="9" fillId="60" borderId="170" xfId="0" applyFont="1" applyFill="1" applyBorder="1" applyAlignment="1">
      <alignment horizontal="center" wrapText="1"/>
    </xf>
    <xf numFmtId="0" fontId="9" fillId="60" borderId="181" xfId="0" applyFont="1" applyFill="1" applyBorder="1" applyAlignment="1">
      <alignment horizontal="center" wrapText="1"/>
    </xf>
    <xf numFmtId="0" fontId="9" fillId="60" borderId="177" xfId="0" applyFont="1" applyFill="1" applyBorder="1" applyAlignment="1">
      <alignment horizontal="center" wrapText="1"/>
    </xf>
    <xf numFmtId="0" fontId="9" fillId="60" borderId="142" xfId="0" applyFont="1" applyFill="1" applyBorder="1" applyAlignment="1" applyProtection="1">
      <protection locked="0"/>
    </xf>
    <xf numFmtId="0" fontId="13" fillId="60" borderId="139" xfId="0" applyFont="1" applyFill="1" applyBorder="1" applyAlignment="1">
      <alignment wrapText="1"/>
    </xf>
    <xf numFmtId="0" fontId="13" fillId="60" borderId="170" xfId="0" applyFont="1" applyFill="1" applyBorder="1" applyAlignment="1">
      <alignment horizontal="center" wrapText="1"/>
    </xf>
    <xf numFmtId="0" fontId="13" fillId="60" borderId="180" xfId="0" applyFont="1" applyFill="1" applyBorder="1" applyAlignment="1">
      <alignment horizontal="left" wrapText="1" indent="2"/>
    </xf>
    <xf numFmtId="0" fontId="13" fillId="60" borderId="181" xfId="0" applyFont="1" applyFill="1" applyBorder="1" applyAlignment="1">
      <alignment horizontal="center" wrapText="1"/>
    </xf>
    <xf numFmtId="0" fontId="13" fillId="60" borderId="176" xfId="0" applyFont="1" applyFill="1" applyBorder="1" applyAlignment="1">
      <alignment horizontal="left" wrapText="1" indent="2"/>
    </xf>
    <xf numFmtId="0" fontId="13" fillId="60" borderId="177" xfId="0" applyFont="1" applyFill="1" applyBorder="1" applyAlignment="1">
      <alignment horizontal="center" wrapText="1"/>
    </xf>
    <xf numFmtId="0" fontId="9" fillId="60" borderId="162" xfId="0" applyFont="1" applyFill="1" applyBorder="1" applyAlignment="1">
      <alignment wrapText="1"/>
    </xf>
    <xf numFmtId="0" fontId="13" fillId="60" borderId="176" xfId="0" applyFont="1" applyFill="1" applyBorder="1" applyAlignment="1">
      <alignment wrapText="1"/>
    </xf>
    <xf numFmtId="0" fontId="9" fillId="60" borderId="162" xfId="0" applyFont="1" applyFill="1" applyBorder="1" applyAlignment="1">
      <alignment horizontal="left"/>
    </xf>
    <xf numFmtId="0" fontId="9" fillId="60" borderId="167" xfId="0" applyFont="1" applyFill="1" applyBorder="1" applyAlignment="1">
      <alignment horizontal="center" vertical="center"/>
    </xf>
    <xf numFmtId="0" fontId="9" fillId="60" borderId="182" xfId="0" applyFont="1" applyFill="1" applyBorder="1" applyAlignment="1"/>
    <xf numFmtId="0" fontId="9" fillId="60" borderId="183" xfId="0" applyFont="1" applyFill="1" applyBorder="1" applyAlignment="1">
      <alignment horizontal="center" vertical="center"/>
    </xf>
    <xf numFmtId="0" fontId="9" fillId="60" borderId="184" xfId="0" applyFont="1" applyFill="1" applyBorder="1" applyAlignment="1"/>
    <xf numFmtId="0" fontId="9" fillId="60" borderId="185" xfId="0" applyFont="1" applyFill="1" applyBorder="1" applyAlignment="1">
      <alignment horizontal="center" vertical="center"/>
    </xf>
    <xf numFmtId="0" fontId="9" fillId="60" borderId="173" xfId="0" applyFont="1" applyFill="1" applyBorder="1" applyAlignment="1">
      <alignment horizontal="center" vertical="center"/>
    </xf>
    <xf numFmtId="0" fontId="9" fillId="60" borderId="166" xfId="0" applyFont="1" applyFill="1" applyBorder="1" applyAlignment="1">
      <alignment horizontal="center" vertical="center"/>
    </xf>
    <xf numFmtId="0" fontId="13" fillId="60" borderId="154" xfId="0" applyFont="1" applyFill="1" applyBorder="1" applyAlignment="1">
      <alignment horizontal="center" wrapText="1"/>
    </xf>
    <xf numFmtId="0" fontId="13" fillId="60" borderId="180" xfId="0" applyFont="1" applyFill="1" applyBorder="1" applyAlignment="1">
      <alignment wrapText="1"/>
    </xf>
    <xf numFmtId="0" fontId="9" fillId="60" borderId="166" xfId="0" applyFont="1" applyFill="1" applyBorder="1" applyAlignment="1" applyProtection="1">
      <alignment horizontal="center" vertical="center"/>
      <protection locked="0"/>
    </xf>
    <xf numFmtId="0" fontId="9" fillId="60" borderId="162" xfId="0" applyFont="1" applyFill="1" applyBorder="1" applyAlignment="1" applyProtection="1">
      <protection locked="0"/>
    </xf>
    <xf numFmtId="0" fontId="9" fillId="60" borderId="167" xfId="0" applyFont="1" applyFill="1" applyBorder="1" applyAlignment="1" applyProtection="1">
      <alignment horizontal="center" vertical="center"/>
      <protection locked="0"/>
    </xf>
    <xf numFmtId="0" fontId="9" fillId="60" borderId="180" xfId="0" applyFont="1" applyFill="1" applyBorder="1" applyAlignment="1" applyProtection="1">
      <protection locked="0"/>
    </xf>
    <xf numFmtId="0" fontId="9" fillId="60" borderId="181" xfId="0" applyFont="1" applyFill="1" applyBorder="1" applyAlignment="1" applyProtection="1">
      <alignment horizontal="center" vertical="center"/>
      <protection locked="0"/>
    </xf>
    <xf numFmtId="0" fontId="53" fillId="60" borderId="140" xfId="0" applyFont="1" applyFill="1" applyBorder="1" applyAlignment="1">
      <alignment horizontal="left"/>
    </xf>
    <xf numFmtId="0" fontId="53" fillId="60" borderId="142" xfId="0" applyFont="1" applyFill="1" applyBorder="1" applyAlignment="1">
      <alignment horizontal="left"/>
    </xf>
    <xf numFmtId="0" fontId="53" fillId="60" borderId="162" xfId="0" applyFont="1" applyFill="1" applyBorder="1" applyAlignment="1">
      <alignment horizontal="left"/>
    </xf>
    <xf numFmtId="0" fontId="13" fillId="60" borderId="174" xfId="0" applyFont="1" applyFill="1" applyBorder="1" applyAlignment="1">
      <alignment wrapText="1"/>
    </xf>
    <xf numFmtId="0" fontId="13" fillId="60" borderId="175" xfId="0" applyFont="1" applyFill="1" applyBorder="1" applyAlignment="1">
      <alignment horizontal="center" wrapText="1"/>
    </xf>
    <xf numFmtId="0" fontId="9" fillId="60" borderId="139" xfId="0" applyFont="1" applyFill="1" applyBorder="1" applyAlignment="1">
      <alignment horizontal="left" vertical="center"/>
    </xf>
    <xf numFmtId="0" fontId="9" fillId="60" borderId="181" xfId="0" applyFont="1" applyFill="1" applyBorder="1" applyAlignment="1">
      <alignment horizontal="center"/>
    </xf>
    <xf numFmtId="0" fontId="9" fillId="60" borderId="180" xfId="0" applyFont="1" applyFill="1" applyBorder="1" applyAlignment="1">
      <alignment horizontal="left" vertical="center"/>
    </xf>
    <xf numFmtId="0" fontId="9" fillId="60" borderId="140" xfId="0" applyFont="1" applyFill="1" applyBorder="1" applyAlignment="1">
      <alignment wrapText="1"/>
    </xf>
    <xf numFmtId="3" fontId="13" fillId="60" borderId="163" xfId="0" applyNumberFormat="1" applyFont="1" applyFill="1" applyBorder="1" applyAlignment="1">
      <alignment horizontal="center" wrapText="1"/>
    </xf>
    <xf numFmtId="165" fontId="9" fillId="60" borderId="164" xfId="0" applyNumberFormat="1" applyFont="1" applyFill="1" applyBorder="1" applyAlignment="1">
      <alignment horizontal="center"/>
    </xf>
    <xf numFmtId="169" fontId="9" fillId="60" borderId="163" xfId="0" applyNumberFormat="1" applyFont="1" applyFill="1" applyBorder="1" applyAlignment="1">
      <alignment horizontal="center" wrapText="1"/>
    </xf>
    <xf numFmtId="2" fontId="13" fillId="60" borderId="162" xfId="0" applyNumberFormat="1" applyFont="1" applyFill="1" applyBorder="1" applyAlignment="1">
      <alignment horizontal="center" wrapText="1"/>
    </xf>
    <xf numFmtId="1" fontId="9" fillId="60" borderId="167" xfId="0" applyNumberFormat="1" applyFont="1" applyFill="1" applyBorder="1" applyAlignment="1">
      <alignment horizontal="center"/>
    </xf>
    <xf numFmtId="1" fontId="9" fillId="60" borderId="163" xfId="0" applyNumberFormat="1" applyFont="1" applyFill="1" applyBorder="1" applyAlignment="1">
      <alignment horizontal="center" wrapText="1"/>
    </xf>
    <xf numFmtId="171" fontId="9" fillId="60" borderId="167" xfId="0" applyNumberFormat="1" applyFont="1" applyFill="1" applyBorder="1" applyAlignment="1">
      <alignment horizontal="center" wrapText="1"/>
    </xf>
    <xf numFmtId="171" fontId="9" fillId="60" borderId="164" xfId="0" applyNumberFormat="1" applyFont="1" applyFill="1" applyBorder="1" applyAlignment="1">
      <alignment horizontal="center" wrapText="1"/>
    </xf>
    <xf numFmtId="2" fontId="9" fillId="60" borderId="164" xfId="0" applyNumberFormat="1" applyFont="1" applyFill="1" applyBorder="1" applyAlignment="1">
      <alignment horizontal="center" wrapText="1"/>
    </xf>
    <xf numFmtId="0" fontId="9" fillId="60" borderId="158" xfId="0" applyFont="1" applyFill="1" applyBorder="1" applyAlignment="1">
      <alignment wrapText="1"/>
    </xf>
    <xf numFmtId="0" fontId="9" fillId="60" borderId="157" xfId="0" applyFont="1" applyFill="1" applyBorder="1" applyAlignment="1">
      <alignment horizontal="center" wrapText="1"/>
    </xf>
    <xf numFmtId="165" fontId="13" fillId="60" borderId="152" xfId="0" applyNumberFormat="1" applyFont="1" applyFill="1" applyBorder="1" applyAlignment="1">
      <alignment horizontal="center" wrapText="1"/>
    </xf>
    <xf numFmtId="0" fontId="13" fillId="60" borderId="158" xfId="0" applyFont="1" applyFill="1" applyBorder="1" applyAlignment="1">
      <alignment wrapText="1"/>
    </xf>
    <xf numFmtId="3" fontId="13" fillId="60" borderId="152" xfId="0" applyNumberFormat="1" applyFont="1" applyFill="1" applyBorder="1" applyAlignment="1">
      <alignment horizontal="center" wrapText="1"/>
    </xf>
    <xf numFmtId="0" fontId="13" fillId="68" borderId="12" xfId="0" applyFont="1" applyFill="1" applyBorder="1" applyAlignment="1">
      <alignment horizontal="center" wrapText="1"/>
    </xf>
    <xf numFmtId="1" fontId="9" fillId="60" borderId="157" xfId="0" applyNumberFormat="1" applyFont="1" applyFill="1" applyBorder="1" applyAlignment="1">
      <alignment horizontal="center"/>
    </xf>
    <xf numFmtId="1" fontId="9" fillId="60" borderId="152" xfId="0" applyNumberFormat="1" applyFont="1" applyFill="1" applyBorder="1" applyAlignment="1">
      <alignment horizontal="center"/>
    </xf>
    <xf numFmtId="0" fontId="9" fillId="60" borderId="10" xfId="0" applyFont="1" applyFill="1" applyBorder="1" applyAlignment="1" applyProtection="1">
      <protection locked="0"/>
    </xf>
    <xf numFmtId="0" fontId="9" fillId="60" borderId="0" xfId="0" applyFont="1" applyFill="1" applyBorder="1" applyAlignment="1">
      <alignment horizontal="center" vertical="center"/>
    </xf>
    <xf numFmtId="165" fontId="13" fillId="60" borderId="16" xfId="0" applyNumberFormat="1" applyFont="1" applyFill="1" applyBorder="1" applyAlignment="1">
      <alignment horizontal="center" wrapText="1"/>
    </xf>
    <xf numFmtId="0" fontId="9" fillId="60" borderId="158" xfId="0" applyFont="1" applyFill="1" applyBorder="1" applyAlignment="1">
      <alignment horizontal="left"/>
    </xf>
    <xf numFmtId="165" fontId="13" fillId="60" borderId="157" xfId="0" applyNumberFormat="1" applyFont="1" applyFill="1" applyBorder="1" applyAlignment="1">
      <alignment horizontal="center" wrapText="1"/>
    </xf>
    <xf numFmtId="0" fontId="22" fillId="60" borderId="152" xfId="0" applyFont="1" applyFill="1" applyBorder="1" applyAlignment="1">
      <alignment horizontal="center" wrapText="1"/>
    </xf>
    <xf numFmtId="0" fontId="9" fillId="60" borderId="157" xfId="0" applyFont="1" applyFill="1" applyBorder="1" applyAlignment="1">
      <alignment horizontal="center"/>
    </xf>
    <xf numFmtId="0" fontId="9" fillId="60" borderId="158" xfId="0" applyFont="1" applyFill="1" applyBorder="1" applyAlignment="1">
      <alignment vertical="center"/>
    </xf>
    <xf numFmtId="1" fontId="13" fillId="60" borderId="152" xfId="0" applyNumberFormat="1" applyFont="1" applyFill="1" applyBorder="1" applyAlignment="1">
      <alignment horizontal="center" vertical="center" wrapText="1"/>
    </xf>
    <xf numFmtId="0" fontId="9" fillId="60" borderId="158" xfId="0" applyFont="1" applyFill="1" applyBorder="1" applyAlignment="1">
      <alignment horizontal="left" wrapText="1"/>
    </xf>
    <xf numFmtId="0" fontId="9" fillId="60" borderId="145" xfId="0" applyFont="1" applyFill="1" applyBorder="1" applyAlignment="1" applyProtection="1">
      <alignment horizontal="center" vertical="top" wrapText="1"/>
    </xf>
    <xf numFmtId="0" fontId="87" fillId="84" borderId="12" xfId="57" applyFont="1" applyFill="1" applyBorder="1" applyAlignment="1" applyProtection="1">
      <alignment horizontal="center" vertical="center" wrapText="1"/>
    </xf>
    <xf numFmtId="0" fontId="14" fillId="60" borderId="140" xfId="0" applyFont="1" applyFill="1" applyBorder="1" applyAlignment="1">
      <alignment vertical="center"/>
    </xf>
    <xf numFmtId="1" fontId="9" fillId="60" borderId="144" xfId="0" applyNumberFormat="1" applyFont="1" applyFill="1" applyBorder="1" applyAlignment="1">
      <alignment horizontal="center" vertical="center" shrinkToFit="1"/>
    </xf>
    <xf numFmtId="0" fontId="9" fillId="60" borderId="142" xfId="0" applyFont="1" applyFill="1" applyBorder="1" applyAlignment="1">
      <alignment horizontal="left" vertical="center" indent="2"/>
    </xf>
    <xf numFmtId="1" fontId="9" fillId="60" borderId="145" xfId="0" applyNumberFormat="1" applyFont="1" applyFill="1" applyBorder="1" applyAlignment="1">
      <alignment horizontal="center" vertical="center" shrinkToFit="1"/>
    </xf>
    <xf numFmtId="0" fontId="9" fillId="60" borderId="146" xfId="0" applyFont="1" applyFill="1" applyBorder="1" applyAlignment="1">
      <alignment horizontal="left" vertical="center" indent="2"/>
    </xf>
    <xf numFmtId="0" fontId="9" fillId="60" borderId="147" xfId="0" applyFont="1" applyFill="1" applyBorder="1" applyAlignment="1">
      <alignment horizontal="center" vertical="center"/>
    </xf>
    <xf numFmtId="1" fontId="9" fillId="60" borderId="148" xfId="0" applyNumberFormat="1" applyFont="1" applyFill="1" applyBorder="1" applyAlignment="1">
      <alignment horizontal="center" vertical="center" shrinkToFit="1"/>
    </xf>
    <xf numFmtId="0" fontId="87" fillId="84" borderId="141" xfId="57" applyFont="1" applyFill="1" applyBorder="1" applyAlignment="1" applyProtection="1">
      <alignment horizontal="center" vertical="center" wrapText="1"/>
    </xf>
    <xf numFmtId="0" fontId="9" fillId="60" borderId="152" xfId="0" applyFont="1" applyFill="1" applyBorder="1" applyAlignment="1" applyProtection="1">
      <alignment horizontal="center" vertical="center"/>
    </xf>
    <xf numFmtId="1" fontId="13" fillId="60" borderId="143" xfId="0" applyNumberFormat="1" applyFont="1" applyFill="1" applyBorder="1" applyAlignment="1">
      <alignment horizontal="center" wrapText="1"/>
    </xf>
    <xf numFmtId="1" fontId="14" fillId="63" borderId="0" xfId="0" applyNumberFormat="1" applyFont="1" applyFill="1" applyBorder="1" applyAlignment="1">
      <alignment horizontal="left" vertical="center" wrapText="1"/>
    </xf>
    <xf numFmtId="0" fontId="24" fillId="44" borderId="22" xfId="0" applyFont="1" applyFill="1" applyBorder="1" applyAlignment="1">
      <alignment horizontal="left" wrapText="1"/>
    </xf>
    <xf numFmtId="0" fontId="24" fillId="44" borderId="21" xfId="0" applyFont="1" applyFill="1" applyBorder="1" applyAlignment="1">
      <alignment horizontal="left" wrapText="1"/>
    </xf>
    <xf numFmtId="0" fontId="24" fillId="44" borderId="23" xfId="0" applyFont="1" applyFill="1" applyBorder="1" applyAlignment="1">
      <alignment horizontal="left" wrapText="1"/>
    </xf>
    <xf numFmtId="0" fontId="8" fillId="46" borderId="21" xfId="0" applyFont="1" applyFill="1" applyBorder="1" applyAlignment="1">
      <alignment horizontal="left"/>
    </xf>
    <xf numFmtId="0" fontId="8" fillId="46" borderId="23" xfId="0" applyFont="1" applyFill="1" applyBorder="1" applyAlignment="1">
      <alignment horizontal="left"/>
    </xf>
    <xf numFmtId="0" fontId="9" fillId="67" borderId="17" xfId="0" applyFont="1" applyFill="1" applyBorder="1" applyAlignment="1">
      <alignment horizontal="center"/>
    </xf>
    <xf numFmtId="0" fontId="9" fillId="67" borderId="15" xfId="0" applyFont="1" applyFill="1" applyBorder="1" applyAlignment="1">
      <alignment horizontal="center"/>
    </xf>
    <xf numFmtId="0" fontId="9" fillId="67" borderId="13" xfId="0" applyFont="1" applyFill="1" applyBorder="1" applyAlignment="1">
      <alignment horizontal="center"/>
    </xf>
    <xf numFmtId="169" fontId="6" fillId="0" borderId="0" xfId="70" applyNumberFormat="1" applyFont="1"/>
    <xf numFmtId="0" fontId="6" fillId="63" borderId="33" xfId="70" applyFont="1" applyFill="1" applyBorder="1" applyAlignment="1">
      <alignment horizontal="center"/>
    </xf>
    <xf numFmtId="165" fontId="6" fillId="63" borderId="33" xfId="70" applyNumberFormat="1" applyFont="1" applyFill="1" applyBorder="1" applyAlignment="1">
      <alignment horizontal="center"/>
    </xf>
    <xf numFmtId="2" fontId="4" fillId="63" borderId="33" xfId="71" applyNumberFormat="1" applyFont="1" applyFill="1" applyBorder="1" applyAlignment="1">
      <alignment horizontal="center"/>
    </xf>
    <xf numFmtId="1" fontId="4" fillId="63" borderId="33" xfId="71" applyNumberFormat="1" applyFont="1" applyFill="1" applyBorder="1" applyAlignment="1">
      <alignment horizontal="center"/>
    </xf>
    <xf numFmtId="165" fontId="4" fillId="63" borderId="33" xfId="71" applyNumberFormat="1" applyFont="1" applyFill="1" applyBorder="1" applyAlignment="1">
      <alignment horizontal="center"/>
    </xf>
    <xf numFmtId="0" fontId="4" fillId="0" borderId="0" xfId="72" applyFont="1"/>
    <xf numFmtId="0" fontId="6" fillId="42" borderId="33" xfId="70" applyFont="1" applyFill="1" applyBorder="1" applyAlignment="1">
      <alignment horizontal="center"/>
    </xf>
    <xf numFmtId="1" fontId="6" fillId="42" borderId="33" xfId="70" applyNumberFormat="1" applyFont="1" applyFill="1" applyBorder="1" applyAlignment="1">
      <alignment horizontal="center"/>
    </xf>
    <xf numFmtId="1" fontId="9" fillId="60" borderId="143" xfId="0" applyNumberFormat="1" applyFont="1" applyFill="1" applyBorder="1" applyAlignment="1">
      <alignment horizontal="center" vertical="center"/>
    </xf>
    <xf numFmtId="1" fontId="9" fillId="60" borderId="163" xfId="0" applyNumberFormat="1" applyFont="1" applyFill="1" applyBorder="1" applyAlignment="1">
      <alignment horizontal="center" vertical="center"/>
    </xf>
    <xf numFmtId="2" fontId="9" fillId="60" borderId="157" xfId="0" applyNumberFormat="1" applyFont="1" applyFill="1" applyBorder="1" applyAlignment="1">
      <alignment horizontal="center" vertical="center"/>
    </xf>
    <xf numFmtId="2" fontId="9" fillId="60" borderId="163" xfId="0" applyNumberFormat="1" applyFont="1" applyFill="1" applyBorder="1" applyAlignment="1">
      <alignment horizontal="center" vertical="center"/>
    </xf>
    <xf numFmtId="0" fontId="87" fillId="84" borderId="123" xfId="57" applyFont="1" applyFill="1" applyBorder="1" applyAlignment="1" applyProtection="1">
      <alignment horizontal="center" vertical="center" shrinkToFit="1"/>
    </xf>
    <xf numFmtId="0" fontId="14" fillId="60" borderId="142" xfId="0" applyFont="1" applyFill="1" applyBorder="1" applyAlignment="1" applyProtection="1">
      <alignment horizontal="left" indent="2"/>
      <protection locked="0"/>
    </xf>
    <xf numFmtId="16" fontId="9" fillId="60" borderId="143" xfId="0" applyNumberFormat="1" applyFont="1" applyFill="1" applyBorder="1" applyAlignment="1">
      <alignment horizontal="center" vertical="center"/>
    </xf>
    <xf numFmtId="0" fontId="9" fillId="60" borderId="142" xfId="0" applyFont="1" applyFill="1" applyBorder="1" applyAlignment="1" applyProtection="1">
      <alignment horizontal="left" indent="4"/>
      <protection locked="0"/>
    </xf>
    <xf numFmtId="0" fontId="9" fillId="60" borderId="142" xfId="0" applyFont="1" applyFill="1" applyBorder="1" applyAlignment="1" applyProtection="1">
      <alignment horizontal="left" indent="12"/>
      <protection locked="0"/>
    </xf>
    <xf numFmtId="0" fontId="9" fillId="60" borderId="142" xfId="0" applyFont="1" applyFill="1" applyBorder="1" applyAlignment="1">
      <alignment horizontal="left" indent="12"/>
    </xf>
    <xf numFmtId="0" fontId="9" fillId="60" borderId="142" xfId="0" applyFont="1" applyFill="1" applyBorder="1" applyAlignment="1">
      <alignment horizontal="left" indent="4"/>
    </xf>
    <xf numFmtId="0" fontId="101" fillId="42" borderId="0" xfId="0" applyFont="1" applyFill="1" applyBorder="1"/>
    <xf numFmtId="0" fontId="101" fillId="86" borderId="0" xfId="57" applyFont="1" applyFill="1" applyBorder="1" applyAlignment="1" applyProtection="1">
      <alignment horizontal="center" vertical="center" shrinkToFit="1"/>
      <protection locked="0"/>
    </xf>
    <xf numFmtId="0" fontId="9" fillId="60" borderId="159" xfId="0" applyFont="1" applyFill="1" applyBorder="1" applyAlignment="1" applyProtection="1">
      <alignment horizontal="left"/>
      <protection locked="0"/>
    </xf>
    <xf numFmtId="0" fontId="9" fillId="60" borderId="188" xfId="0" applyFont="1" applyFill="1" applyBorder="1" applyAlignment="1">
      <alignment horizontal="left" vertical="center" indent="4"/>
    </xf>
    <xf numFmtId="0" fontId="9" fillId="60" borderId="187" xfId="0" applyFont="1" applyFill="1" applyBorder="1" applyAlignment="1">
      <alignment horizontal="center" vertical="center"/>
    </xf>
    <xf numFmtId="0" fontId="9" fillId="84" borderId="145" xfId="57" applyFont="1" applyFill="1" applyBorder="1" applyAlignment="1" applyProtection="1">
      <alignment horizontal="center" vertical="center" wrapText="1"/>
      <protection locked="0"/>
    </xf>
    <xf numFmtId="0" fontId="9" fillId="84" borderId="166" xfId="57" applyFont="1" applyFill="1" applyBorder="1" applyAlignment="1" applyProtection="1">
      <alignment horizontal="center" vertical="center" wrapText="1"/>
    </xf>
    <xf numFmtId="1" fontId="6" fillId="60" borderId="19" xfId="70" applyNumberFormat="1" applyFont="1" applyFill="1" applyBorder="1" applyAlignment="1">
      <alignment horizontal="center"/>
    </xf>
    <xf numFmtId="165" fontId="13" fillId="60" borderId="164" xfId="0" applyNumberFormat="1" applyFont="1" applyFill="1" applyBorder="1" applyAlignment="1">
      <alignment horizontal="center" shrinkToFit="1"/>
    </xf>
    <xf numFmtId="0" fontId="8" fillId="63" borderId="0" xfId="0" applyFont="1" applyFill="1"/>
    <xf numFmtId="169" fontId="0" fillId="63" borderId="0" xfId="0" applyNumberFormat="1" applyFill="1"/>
    <xf numFmtId="3" fontId="9" fillId="44" borderId="14" xfId="0" applyNumberFormat="1" applyFont="1" applyFill="1" applyBorder="1" applyAlignment="1">
      <alignment horizontal="center" wrapText="1"/>
    </xf>
    <xf numFmtId="1" fontId="9" fillId="44" borderId="14" xfId="0" applyNumberFormat="1" applyFont="1" applyFill="1" applyBorder="1" applyAlignment="1">
      <alignment horizontal="center" wrapText="1"/>
    </xf>
    <xf numFmtId="0" fontId="9" fillId="67" borderId="18" xfId="0" applyFont="1" applyFill="1" applyBorder="1" applyAlignment="1">
      <alignment horizontal="center"/>
    </xf>
    <xf numFmtId="0" fontId="9" fillId="67" borderId="14" xfId="0" applyFont="1" applyFill="1" applyBorder="1" applyAlignment="1">
      <alignment horizontal="center"/>
    </xf>
    <xf numFmtId="3" fontId="9" fillId="44" borderId="15" xfId="0" applyNumberFormat="1" applyFont="1" applyFill="1" applyBorder="1" applyAlignment="1">
      <alignment horizontal="center" wrapText="1"/>
    </xf>
    <xf numFmtId="1" fontId="9" fillId="44" borderId="15" xfId="0" applyNumberFormat="1" applyFont="1" applyFill="1" applyBorder="1" applyAlignment="1">
      <alignment horizontal="center" wrapText="1"/>
    </xf>
    <xf numFmtId="0" fontId="9" fillId="67" borderId="11" xfId="0" applyFont="1" applyFill="1" applyBorder="1" applyAlignment="1">
      <alignment horizontal="center"/>
    </xf>
    <xf numFmtId="3" fontId="9" fillId="44" borderId="18" xfId="0" applyNumberFormat="1" applyFont="1" applyFill="1" applyBorder="1" applyAlignment="1">
      <alignment horizontal="center" wrapText="1"/>
    </xf>
    <xf numFmtId="3" fontId="9" fillId="44" borderId="17" xfId="0" applyNumberFormat="1" applyFont="1" applyFill="1" applyBorder="1" applyAlignment="1">
      <alignment horizontal="center" wrapText="1"/>
    </xf>
    <xf numFmtId="0" fontId="8" fillId="63" borderId="0" xfId="0" applyFont="1" applyFill="1" applyBorder="1" applyAlignment="1">
      <alignment horizontal="left"/>
    </xf>
    <xf numFmtId="0" fontId="9" fillId="61" borderId="0" xfId="0" applyFont="1" applyFill="1" applyBorder="1"/>
    <xf numFmtId="0" fontId="9" fillId="70" borderId="0" xfId="0" applyFont="1" applyFill="1" applyBorder="1" applyAlignment="1">
      <alignment horizontal="center" wrapText="1"/>
    </xf>
    <xf numFmtId="2" fontId="9" fillId="44" borderId="14" xfId="0" applyNumberFormat="1" applyFont="1" applyFill="1" applyBorder="1" applyAlignment="1">
      <alignment horizontal="center" wrapText="1"/>
    </xf>
    <xf numFmtId="2" fontId="9" fillId="61" borderId="14" xfId="0" applyNumberFormat="1" applyFont="1" applyFill="1" applyBorder="1" applyAlignment="1">
      <alignment horizontal="center" wrapText="1"/>
    </xf>
    <xf numFmtId="3" fontId="9" fillId="70" borderId="14" xfId="0" applyNumberFormat="1" applyFont="1" applyFill="1" applyBorder="1" applyAlignment="1">
      <alignment horizontal="center" wrapText="1"/>
    </xf>
    <xf numFmtId="0" fontId="9" fillId="44" borderId="11" xfId="0" applyFont="1" applyFill="1" applyBorder="1" applyAlignment="1">
      <alignment horizontal="center" wrapText="1"/>
    </xf>
    <xf numFmtId="2" fontId="9" fillId="61" borderId="15" xfId="0" applyNumberFormat="1" applyFont="1" applyFill="1" applyBorder="1" applyAlignment="1">
      <alignment horizontal="center" wrapText="1"/>
    </xf>
    <xf numFmtId="3" fontId="9" fillId="70" borderId="15" xfId="0" applyNumberFormat="1" applyFont="1" applyFill="1" applyBorder="1" applyAlignment="1">
      <alignment horizontal="center" wrapText="1"/>
    </xf>
    <xf numFmtId="3" fontId="9" fillId="61" borderId="14" xfId="0" applyNumberFormat="1" applyFont="1" applyFill="1" applyBorder="1" applyAlignment="1">
      <alignment horizontal="center" wrapText="1"/>
    </xf>
    <xf numFmtId="3" fontId="9" fillId="61" borderId="15" xfId="0" applyNumberFormat="1" applyFont="1" applyFill="1" applyBorder="1" applyAlignment="1">
      <alignment horizontal="center" wrapText="1"/>
    </xf>
    <xf numFmtId="0" fontId="8" fillId="43" borderId="19" xfId="0" applyFont="1" applyFill="1" applyBorder="1" applyAlignment="1" applyProtection="1">
      <alignment horizontal="left"/>
      <protection locked="0"/>
    </xf>
    <xf numFmtId="0" fontId="9" fillId="60" borderId="19" xfId="0" applyFont="1" applyFill="1" applyBorder="1"/>
    <xf numFmtId="0" fontId="9" fillId="60" borderId="16" xfId="0" applyFont="1" applyFill="1" applyBorder="1"/>
    <xf numFmtId="0" fontId="9" fillId="60" borderId="20" xfId="0" applyFont="1" applyFill="1" applyBorder="1" applyAlignment="1">
      <alignment wrapText="1"/>
    </xf>
    <xf numFmtId="0" fontId="68" fillId="42" borderId="76" xfId="0" applyFont="1" applyFill="1" applyBorder="1" applyAlignment="1" applyProtection="1">
      <protection locked="0"/>
    </xf>
    <xf numFmtId="0" fontId="106" fillId="42" borderId="0" xfId="86" applyFont="1" applyFill="1" applyAlignment="1" applyProtection="1">
      <alignment vertical="center"/>
    </xf>
    <xf numFmtId="0" fontId="9" fillId="42" borderId="0" xfId="0" applyFont="1" applyFill="1" applyAlignment="1">
      <alignment vertical="top"/>
    </xf>
    <xf numFmtId="0" fontId="106" fillId="42" borderId="0" xfId="86" applyFont="1" applyFill="1" applyAlignment="1" applyProtection="1">
      <alignment vertical="top"/>
    </xf>
    <xf numFmtId="1" fontId="13" fillId="60" borderId="143" xfId="0" applyNumberFormat="1" applyFont="1" applyFill="1" applyBorder="1" applyAlignment="1">
      <alignment horizontal="center" wrapText="1"/>
    </xf>
    <xf numFmtId="0" fontId="9" fillId="43" borderId="160" xfId="0" applyFont="1" applyFill="1" applyBorder="1" applyAlignment="1" applyProtection="1">
      <alignment horizontal="center" wrapText="1"/>
      <protection locked="0"/>
    </xf>
    <xf numFmtId="2" fontId="13" fillId="60" borderId="163" xfId="0" applyNumberFormat="1" applyFont="1" applyFill="1" applyBorder="1" applyAlignment="1" applyProtection="1">
      <alignment horizontal="center" wrapText="1"/>
      <protection locked="0"/>
    </xf>
    <xf numFmtId="0" fontId="9" fillId="43" borderId="141" xfId="0" applyFont="1" applyFill="1" applyBorder="1" applyAlignment="1" applyProtection="1">
      <alignment horizontal="center" wrapText="1"/>
      <protection locked="0"/>
    </xf>
    <xf numFmtId="0" fontId="9" fillId="60" borderId="143" xfId="0" applyFont="1" applyFill="1" applyBorder="1" applyAlignment="1" applyProtection="1">
      <alignment horizontal="center" wrapText="1"/>
      <protection locked="0"/>
    </xf>
    <xf numFmtId="0" fontId="9" fillId="60" borderId="163" xfId="0" applyFont="1" applyFill="1" applyBorder="1" applyAlignment="1" applyProtection="1">
      <alignment horizontal="center" wrapText="1"/>
      <protection locked="0"/>
    </xf>
    <xf numFmtId="0" fontId="9" fillId="43" borderId="143" xfId="0" applyFont="1" applyFill="1" applyBorder="1" applyAlignment="1" applyProtection="1">
      <alignment horizontal="center" wrapText="1"/>
      <protection locked="0"/>
    </xf>
    <xf numFmtId="2" fontId="13" fillId="60" borderId="143" xfId="0" applyNumberFormat="1" applyFont="1" applyFill="1" applyBorder="1" applyAlignment="1" applyProtection="1">
      <alignment horizontal="center" wrapText="1"/>
      <protection locked="0"/>
    </xf>
    <xf numFmtId="0" fontId="9" fillId="43" borderId="163" xfId="0" applyFont="1" applyFill="1" applyBorder="1" applyAlignment="1" applyProtection="1">
      <alignment horizontal="center" wrapText="1"/>
      <protection locked="0"/>
    </xf>
    <xf numFmtId="1" fontId="13" fillId="43" borderId="143" xfId="0" applyNumberFormat="1" applyFont="1" applyFill="1" applyBorder="1" applyAlignment="1" applyProtection="1">
      <alignment horizontal="center" wrapText="1"/>
      <protection locked="0"/>
    </xf>
    <xf numFmtId="1" fontId="9" fillId="60" borderId="163" xfId="0" applyNumberFormat="1" applyFont="1" applyFill="1" applyBorder="1" applyAlignment="1" applyProtection="1">
      <alignment horizontal="center" wrapText="1"/>
      <protection locked="0"/>
    </xf>
    <xf numFmtId="1" fontId="9" fillId="60" borderId="145" xfId="0" applyNumberFormat="1" applyFont="1" applyFill="1" applyBorder="1" applyAlignment="1" applyProtection="1">
      <alignment horizontal="center" wrapText="1"/>
      <protection locked="0"/>
    </xf>
    <xf numFmtId="1" fontId="9" fillId="60" borderId="164" xfId="0" applyNumberFormat="1" applyFont="1" applyFill="1" applyBorder="1" applyAlignment="1" applyProtection="1">
      <alignment horizontal="center" wrapText="1"/>
      <protection locked="0"/>
    </xf>
    <xf numFmtId="2" fontId="9" fillId="60" borderId="141" xfId="0" applyNumberFormat="1" applyFont="1" applyFill="1" applyBorder="1" applyAlignment="1">
      <alignment horizontal="center"/>
    </xf>
    <xf numFmtId="3" fontId="13" fillId="60" borderId="143" xfId="0" applyNumberFormat="1" applyFont="1" applyFill="1" applyBorder="1" applyAlignment="1">
      <alignment horizontal="center" wrapText="1"/>
    </xf>
    <xf numFmtId="1" fontId="9" fillId="60" borderId="141" xfId="0" applyNumberFormat="1" applyFont="1" applyFill="1" applyBorder="1" applyAlignment="1">
      <alignment horizontal="center" wrapText="1"/>
    </xf>
    <xf numFmtId="0" fontId="103" fillId="42" borderId="0" xfId="0" applyFont="1" applyFill="1" applyBorder="1" applyAlignment="1"/>
    <xf numFmtId="0" fontId="6" fillId="42" borderId="0" xfId="0" applyFont="1" applyFill="1" applyBorder="1" applyAlignment="1">
      <alignment vertical="top" wrapText="1"/>
    </xf>
    <xf numFmtId="0" fontId="67" fillId="42" borderId="0" xfId="0" applyFont="1" applyFill="1" applyBorder="1" applyAlignment="1">
      <alignment vertical="top" wrapText="1"/>
    </xf>
    <xf numFmtId="0" fontId="67" fillId="42" borderId="15" xfId="0" applyFont="1" applyFill="1" applyBorder="1" applyAlignment="1">
      <alignment vertical="top" wrapText="1"/>
    </xf>
    <xf numFmtId="44" fontId="0" fillId="63" borderId="0" xfId="93" applyFont="1" applyFill="1"/>
    <xf numFmtId="0" fontId="13" fillId="63" borderId="0" xfId="0" applyFont="1" applyFill="1" applyBorder="1" applyAlignment="1">
      <alignment wrapText="1"/>
    </xf>
    <xf numFmtId="1" fontId="9" fillId="60" borderId="152" xfId="0" applyNumberFormat="1" applyFont="1" applyFill="1" applyBorder="1" applyAlignment="1">
      <alignment horizontal="center" vertical="center" wrapText="1"/>
    </xf>
    <xf numFmtId="2" fontId="13" fillId="60" borderId="142" xfId="64" applyNumberFormat="1" applyFont="1" applyFill="1" applyBorder="1" applyAlignment="1">
      <alignment horizontal="center" vertical="center" wrapText="1"/>
    </xf>
    <xf numFmtId="2" fontId="13" fillId="60" borderId="150" xfId="0" applyNumberFormat="1" applyFont="1" applyFill="1" applyBorder="1" applyAlignment="1" applyProtection="1">
      <alignment horizontal="center" vertical="center" wrapText="1"/>
      <protection locked="0"/>
    </xf>
    <xf numFmtId="2" fontId="13" fillId="60" borderId="142" xfId="0" applyNumberFormat="1" applyFont="1" applyFill="1" applyBorder="1" applyAlignment="1">
      <alignment horizontal="center" vertical="center" wrapText="1"/>
    </xf>
    <xf numFmtId="2" fontId="13" fillId="60" borderId="151" xfId="0" applyNumberFormat="1" applyFont="1" applyFill="1" applyBorder="1" applyAlignment="1" applyProtection="1">
      <alignment horizontal="center" vertical="center" wrapText="1"/>
      <protection locked="0"/>
    </xf>
    <xf numFmtId="0" fontId="13" fillId="60" borderId="164" xfId="0" applyFont="1" applyFill="1" applyBorder="1" applyAlignment="1">
      <alignment horizontal="center" vertical="center" wrapText="1"/>
    </xf>
    <xf numFmtId="0" fontId="87" fillId="84" borderId="127" xfId="57" applyFont="1" applyFill="1" applyBorder="1" applyAlignment="1" applyProtection="1">
      <alignment horizontal="center" vertical="center" shrinkToFit="1"/>
      <protection locked="0"/>
    </xf>
    <xf numFmtId="0" fontId="87" fillId="84" borderId="123" xfId="57" applyFont="1" applyFill="1" applyBorder="1" applyAlignment="1" applyProtection="1">
      <alignment horizontal="center" vertical="center" wrapText="1"/>
      <protection locked="0"/>
    </xf>
    <xf numFmtId="1" fontId="13" fillId="60" borderId="145" xfId="0" applyNumberFormat="1" applyFont="1" applyFill="1" applyBorder="1" applyAlignment="1">
      <alignment horizontal="center" vertical="center" wrapText="1"/>
    </xf>
    <xf numFmtId="165" fontId="87" fillId="84" borderId="165" xfId="57" applyNumberFormat="1" applyFont="1" applyFill="1" applyBorder="1" applyAlignment="1" applyProtection="1">
      <alignment horizontal="center" vertical="center" shrinkToFit="1"/>
      <protection locked="0"/>
    </xf>
    <xf numFmtId="165" fontId="13" fillId="60" borderId="142" xfId="0" applyNumberFormat="1" applyFont="1" applyFill="1" applyBorder="1" applyAlignment="1">
      <alignment horizontal="center" vertical="center" wrapText="1"/>
    </xf>
    <xf numFmtId="165" fontId="9" fillId="60" borderId="150" xfId="0" applyNumberFormat="1" applyFont="1" applyFill="1" applyBorder="1" applyAlignment="1">
      <alignment horizontal="center" vertical="center" wrapText="1"/>
    </xf>
    <xf numFmtId="165" fontId="9" fillId="60" borderId="142" xfId="0" applyNumberFormat="1" applyFont="1" applyFill="1" applyBorder="1" applyAlignment="1">
      <alignment horizontal="center" vertical="center" wrapText="1"/>
    </xf>
    <xf numFmtId="165" fontId="9" fillId="60" borderId="145" xfId="0" applyNumberFormat="1" applyFont="1" applyFill="1" applyBorder="1" applyAlignment="1">
      <alignment horizontal="center" vertical="center" wrapText="1"/>
    </xf>
    <xf numFmtId="0" fontId="13" fillId="60" borderId="145" xfId="0" applyFont="1" applyFill="1" applyBorder="1" applyAlignment="1" applyProtection="1">
      <alignment horizontal="center" vertical="center" wrapText="1"/>
      <protection locked="0"/>
    </xf>
    <xf numFmtId="0" fontId="13" fillId="60" borderId="164" xfId="0" applyFont="1" applyFill="1" applyBorder="1" applyAlignment="1" applyProtection="1">
      <alignment horizontal="center" vertical="center" wrapText="1"/>
      <protection locked="0"/>
    </xf>
    <xf numFmtId="171" fontId="13" fillId="60" borderId="12" xfId="0" applyNumberFormat="1" applyFont="1" applyFill="1" applyBorder="1" applyAlignment="1" applyProtection="1">
      <alignment horizontal="center" wrapText="1"/>
      <protection locked="0"/>
    </xf>
    <xf numFmtId="0" fontId="13" fillId="60" borderId="145" xfId="0" applyFont="1" applyFill="1" applyBorder="1" applyAlignment="1">
      <alignment horizontal="center" vertical="center" wrapText="1"/>
    </xf>
    <xf numFmtId="1" fontId="13" fillId="60" borderId="142" xfId="0" applyNumberFormat="1" applyFont="1" applyFill="1" applyBorder="1" applyAlignment="1">
      <alignment horizontal="center" vertical="center" wrapText="1"/>
    </xf>
    <xf numFmtId="1" fontId="13" fillId="60" borderId="150" xfId="0" applyNumberFormat="1" applyFont="1" applyFill="1" applyBorder="1" applyAlignment="1" applyProtection="1">
      <alignment horizontal="center" vertical="center" wrapText="1"/>
      <protection locked="0"/>
    </xf>
    <xf numFmtId="1" fontId="13" fillId="60" borderId="145" xfId="0" applyNumberFormat="1" applyFont="1" applyFill="1" applyBorder="1" applyAlignment="1" applyProtection="1">
      <alignment horizontal="center" vertical="center" wrapText="1"/>
      <protection locked="0"/>
    </xf>
    <xf numFmtId="1" fontId="13" fillId="60" borderId="164" xfId="0" applyNumberFormat="1" applyFont="1" applyFill="1" applyBorder="1" applyAlignment="1" applyProtection="1">
      <alignment horizontal="center" vertical="center" wrapText="1"/>
      <protection locked="0"/>
    </xf>
    <xf numFmtId="1" fontId="13" fillId="60" borderId="144" xfId="0" applyNumberFormat="1" applyFont="1" applyFill="1" applyBorder="1" applyAlignment="1">
      <alignment horizontal="center" vertical="center" wrapText="1"/>
    </xf>
    <xf numFmtId="1" fontId="13" fillId="60" borderId="141" xfId="0" applyNumberFormat="1" applyFont="1" applyFill="1" applyBorder="1" applyAlignment="1" applyProtection="1">
      <alignment horizontal="center" vertical="center" wrapText="1"/>
      <protection locked="0"/>
    </xf>
    <xf numFmtId="1" fontId="13" fillId="60" borderId="143" xfId="0" applyNumberFormat="1" applyFont="1" applyFill="1" applyBorder="1" applyAlignment="1" applyProtection="1">
      <alignment horizontal="center" vertical="center" wrapText="1"/>
      <protection locked="0"/>
    </xf>
    <xf numFmtId="9" fontId="108" fillId="43" borderId="164" xfId="0" applyNumberFormat="1" applyFont="1" applyFill="1" applyBorder="1" applyAlignment="1">
      <alignment horizontal="center" wrapText="1"/>
    </xf>
    <xf numFmtId="9" fontId="108" fillId="60" borderId="145" xfId="0" applyNumberFormat="1" applyFont="1" applyFill="1" applyBorder="1" applyAlignment="1">
      <alignment horizontal="center" wrapText="1"/>
    </xf>
    <xf numFmtId="9" fontId="108" fillId="43" borderId="145" xfId="0" applyNumberFormat="1" applyFont="1" applyFill="1" applyBorder="1" applyAlignment="1">
      <alignment horizontal="center" wrapText="1"/>
    </xf>
    <xf numFmtId="1" fontId="108" fillId="43" borderId="145" xfId="0" applyNumberFormat="1" applyFont="1" applyFill="1" applyBorder="1" applyAlignment="1">
      <alignment horizontal="center" wrapText="1"/>
    </xf>
    <xf numFmtId="1" fontId="109" fillId="60" borderId="164" xfId="0" applyNumberFormat="1" applyFont="1" applyFill="1" applyBorder="1" applyAlignment="1">
      <alignment horizontal="center" wrapText="1"/>
    </xf>
    <xf numFmtId="1" fontId="108" fillId="60" borderId="142" xfId="0" applyNumberFormat="1" applyFont="1" applyFill="1" applyBorder="1" applyAlignment="1">
      <alignment horizontal="center" vertical="center" wrapText="1"/>
    </xf>
    <xf numFmtId="165" fontId="108" fillId="60" borderId="162" xfId="0" applyNumberFormat="1" applyFont="1" applyFill="1" applyBorder="1" applyAlignment="1">
      <alignment horizontal="center" vertical="center" wrapText="1"/>
    </xf>
    <xf numFmtId="169" fontId="108" fillId="60" borderId="152" xfId="0" applyNumberFormat="1" applyFont="1" applyFill="1" applyBorder="1" applyAlignment="1">
      <alignment horizontal="center" vertical="center" wrapText="1"/>
    </xf>
    <xf numFmtId="169" fontId="108" fillId="60" borderId="142" xfId="0" applyNumberFormat="1" applyFont="1" applyFill="1" applyBorder="1" applyAlignment="1">
      <alignment horizontal="center" vertical="center" wrapText="1"/>
    </xf>
    <xf numFmtId="169" fontId="108" fillId="60" borderId="162" xfId="0" applyNumberFormat="1" applyFont="1" applyFill="1" applyBorder="1" applyAlignment="1">
      <alignment horizontal="center" vertical="center" wrapText="1"/>
    </xf>
    <xf numFmtId="0" fontId="108" fillId="60" borderId="119" xfId="0" applyFont="1" applyFill="1" applyBorder="1" applyAlignment="1">
      <alignment horizontal="center" wrapText="1"/>
    </xf>
    <xf numFmtId="0" fontId="108" fillId="60" borderId="145" xfId="0" applyFont="1" applyFill="1" applyBorder="1" applyAlignment="1">
      <alignment horizontal="center" vertical="center" wrapText="1"/>
    </xf>
    <xf numFmtId="169" fontId="108" fillId="60" borderId="152" xfId="0" applyNumberFormat="1" applyFont="1" applyFill="1" applyBorder="1" applyAlignment="1">
      <alignment horizontal="center" wrapText="1"/>
    </xf>
    <xf numFmtId="0" fontId="108" fillId="60" borderId="145" xfId="0" applyNumberFormat="1" applyFont="1" applyFill="1" applyBorder="1" applyAlignment="1">
      <alignment horizontal="center" wrapText="1"/>
    </xf>
    <xf numFmtId="169" fontId="108" fillId="60" borderId="145" xfId="0" applyNumberFormat="1" applyFont="1" applyFill="1" applyBorder="1" applyAlignment="1">
      <alignment horizontal="center" wrapText="1"/>
    </xf>
    <xf numFmtId="169" fontId="108" fillId="60" borderId="145" xfId="0" applyNumberFormat="1" applyFont="1" applyFill="1" applyBorder="1" applyAlignment="1">
      <alignment horizontal="center" vertical="center" wrapText="1"/>
    </xf>
    <xf numFmtId="1" fontId="108" fillId="60" borderId="152" xfId="0" applyNumberFormat="1" applyFont="1" applyFill="1" applyBorder="1" applyAlignment="1">
      <alignment horizontal="center" wrapText="1"/>
    </xf>
    <xf numFmtId="1" fontId="108" fillId="60" borderId="152" xfId="64" applyNumberFormat="1" applyFont="1" applyFill="1" applyBorder="1" applyAlignment="1">
      <alignment horizontal="center" wrapText="1"/>
    </xf>
    <xf numFmtId="0" fontId="108" fillId="43" borderId="145" xfId="0" applyFont="1" applyFill="1" applyBorder="1" applyAlignment="1">
      <alignment horizontal="center" wrapText="1"/>
    </xf>
    <xf numFmtId="1" fontId="108" fillId="60" borderId="145" xfId="64" applyNumberFormat="1" applyFont="1" applyFill="1" applyBorder="1" applyAlignment="1">
      <alignment horizontal="center" wrapText="1"/>
    </xf>
    <xf numFmtId="165" fontId="108" fillId="43" borderId="144" xfId="0" applyNumberFormat="1" applyFont="1" applyFill="1" applyBorder="1" applyAlignment="1">
      <alignment horizontal="center" wrapText="1"/>
    </xf>
    <xf numFmtId="165" fontId="108" fillId="60" borderId="144" xfId="64" applyNumberFormat="1" applyFont="1" applyFill="1" applyBorder="1" applyAlignment="1">
      <alignment horizontal="center" wrapText="1"/>
    </xf>
    <xf numFmtId="0" fontId="108" fillId="43" borderId="145" xfId="0" applyFont="1" applyFill="1" applyBorder="1" applyAlignment="1">
      <alignment horizontal="center" vertical="center" wrapText="1"/>
    </xf>
    <xf numFmtId="1" fontId="108" fillId="60" borderId="145" xfId="64" applyNumberFormat="1" applyFont="1" applyFill="1" applyBorder="1" applyAlignment="1">
      <alignment horizontal="center" vertical="center" wrapText="1"/>
    </xf>
    <xf numFmtId="0" fontId="108" fillId="43" borderId="145" xfId="0" applyNumberFormat="1" applyFont="1" applyFill="1" applyBorder="1" applyAlignment="1">
      <alignment horizontal="center" wrapText="1"/>
    </xf>
    <xf numFmtId="1" fontId="108" fillId="43" borderId="155" xfId="0" applyNumberFormat="1" applyFont="1" applyFill="1" applyBorder="1" applyAlignment="1">
      <alignment horizontal="center" wrapText="1"/>
    </xf>
    <xf numFmtId="0" fontId="108" fillId="43" borderId="155" xfId="0" applyNumberFormat="1" applyFont="1" applyFill="1" applyBorder="1" applyAlignment="1">
      <alignment horizontal="center" wrapText="1"/>
    </xf>
    <xf numFmtId="44" fontId="0" fillId="72" borderId="0" xfId="93" applyFont="1" applyFill="1"/>
    <xf numFmtId="44" fontId="8" fillId="46" borderId="33" xfId="93" applyFont="1" applyFill="1" applyBorder="1" applyAlignment="1">
      <alignment vertical="center"/>
    </xf>
    <xf numFmtId="44" fontId="8" fillId="44" borderId="33" xfId="93" applyFont="1" applyFill="1" applyBorder="1" applyAlignment="1">
      <alignment horizontal="left" vertical="center"/>
    </xf>
    <xf numFmtId="44" fontId="9" fillId="68" borderId="33" xfId="93" applyFont="1" applyFill="1" applyBorder="1" applyAlignment="1">
      <alignment horizontal="center" vertical="center"/>
    </xf>
    <xf numFmtId="44" fontId="86" fillId="31" borderId="191" xfId="93" applyFont="1" applyFill="1" applyBorder="1" applyAlignment="1">
      <alignment horizontal="center" vertical="center"/>
    </xf>
    <xf numFmtId="44" fontId="87" fillId="31" borderId="192" xfId="93" applyFont="1" applyFill="1" applyBorder="1" applyAlignment="1">
      <alignment horizontal="center" vertical="center"/>
    </xf>
    <xf numFmtId="44" fontId="9" fillId="43" borderId="33" xfId="93" applyFont="1" applyFill="1" applyBorder="1" applyAlignment="1">
      <alignment horizontal="center" vertical="center"/>
    </xf>
    <xf numFmtId="44" fontId="108" fillId="43" borderId="33" xfId="93" applyFont="1" applyFill="1" applyBorder="1" applyAlignment="1">
      <alignment horizontal="center" vertical="center"/>
    </xf>
    <xf numFmtId="44" fontId="9" fillId="87" borderId="20" xfId="93" applyFont="1" applyFill="1" applyBorder="1" applyAlignment="1">
      <alignment horizontal="center" vertical="center"/>
    </xf>
    <xf numFmtId="44" fontId="0" fillId="72" borderId="0" xfId="93" applyFont="1" applyFill="1" applyBorder="1"/>
    <xf numFmtId="44" fontId="6" fillId="72" borderId="10" xfId="93" applyFont="1" applyFill="1" applyBorder="1" applyAlignment="1">
      <alignment vertical="center"/>
    </xf>
    <xf numFmtId="44" fontId="6" fillId="72" borderId="10" xfId="93" applyFont="1" applyFill="1" applyBorder="1" applyAlignment="1">
      <alignment vertical="center" wrapText="1"/>
    </xf>
    <xf numFmtId="0" fontId="101" fillId="42" borderId="0" xfId="0" applyFont="1" applyFill="1" applyBorder="1" applyAlignment="1">
      <alignment horizontal="center" wrapText="1"/>
    </xf>
    <xf numFmtId="0" fontId="102" fillId="42" borderId="0" xfId="0" applyFont="1" applyFill="1" applyAlignment="1">
      <alignment wrapText="1"/>
    </xf>
    <xf numFmtId="0" fontId="101" fillId="42" borderId="0" xfId="0" applyFont="1" applyFill="1" applyAlignment="1"/>
    <xf numFmtId="0" fontId="101" fillId="42" borderId="0" xfId="0" applyFont="1" applyFill="1" applyAlignment="1">
      <alignment horizontal="right" wrapText="1"/>
    </xf>
    <xf numFmtId="0" fontId="101" fillId="42" borderId="0" xfId="0" applyFont="1" applyFill="1" applyBorder="1" applyAlignment="1">
      <alignment wrapText="1"/>
    </xf>
    <xf numFmtId="0" fontId="9" fillId="60" borderId="162" xfId="0" applyFont="1" applyFill="1" applyBorder="1" applyAlignment="1">
      <alignment horizontal="left" vertical="center"/>
    </xf>
    <xf numFmtId="0" fontId="9" fillId="60" borderId="140" xfId="0" applyFont="1" applyFill="1" applyBorder="1" applyAlignment="1">
      <alignment vertical="center"/>
    </xf>
    <xf numFmtId="0" fontId="9" fillId="60" borderId="162" xfId="0" applyFont="1" applyFill="1" applyBorder="1" applyAlignment="1">
      <alignment vertical="center"/>
    </xf>
    <xf numFmtId="0" fontId="13" fillId="60" borderId="158" xfId="0" applyFont="1" applyFill="1" applyBorder="1" applyAlignment="1">
      <alignment vertical="center" wrapText="1"/>
    </xf>
    <xf numFmtId="0" fontId="13" fillId="60" borderId="157" xfId="0" applyFont="1" applyFill="1" applyBorder="1" applyAlignment="1">
      <alignment horizontal="center" vertical="center" wrapText="1"/>
    </xf>
    <xf numFmtId="0" fontId="13" fillId="60" borderId="140" xfId="0" applyFont="1" applyFill="1" applyBorder="1" applyAlignment="1">
      <alignment vertical="center" wrapText="1"/>
    </xf>
    <xf numFmtId="0" fontId="9" fillId="60" borderId="141" xfId="0" applyFont="1" applyFill="1" applyBorder="1" applyAlignment="1">
      <alignment horizontal="center" vertical="center" wrapText="1"/>
    </xf>
    <xf numFmtId="0" fontId="6" fillId="42" borderId="0" xfId="0" applyFont="1" applyFill="1"/>
    <xf numFmtId="0" fontId="6" fillId="42" borderId="0" xfId="0" applyFont="1" applyFill="1" applyAlignment="1">
      <alignment horizontal="left"/>
    </xf>
    <xf numFmtId="166" fontId="9" fillId="45" borderId="16" xfId="0" applyNumberFormat="1" applyFont="1" applyFill="1" applyBorder="1" applyAlignment="1">
      <alignment horizontal="center" vertical="center"/>
    </xf>
    <xf numFmtId="165" fontId="0" fillId="63" borderId="0" xfId="0" applyNumberFormat="1" applyFill="1"/>
    <xf numFmtId="165" fontId="0" fillId="63" borderId="0" xfId="0" applyNumberFormat="1" applyFill="1" applyBorder="1"/>
    <xf numFmtId="2" fontId="9" fillId="63" borderId="0" xfId="0" applyNumberFormat="1" applyFont="1" applyFill="1" applyBorder="1" applyAlignment="1">
      <alignment horizontal="center" vertical="center"/>
    </xf>
    <xf numFmtId="177" fontId="0" fillId="63" borderId="0" xfId="0" applyNumberFormat="1" applyFill="1"/>
    <xf numFmtId="0" fontId="24" fillId="44" borderId="22" xfId="0" applyFont="1" applyFill="1" applyBorder="1" applyAlignment="1">
      <alignment horizontal="left" wrapText="1"/>
    </xf>
    <xf numFmtId="0" fontId="24" fillId="44" borderId="21" xfId="0" applyFont="1" applyFill="1" applyBorder="1" applyAlignment="1">
      <alignment horizontal="left" wrapText="1"/>
    </xf>
    <xf numFmtId="0" fontId="24" fillId="44" borderId="23" xfId="0" applyFont="1" applyFill="1" applyBorder="1" applyAlignment="1">
      <alignment horizontal="left" wrapText="1"/>
    </xf>
    <xf numFmtId="0" fontId="0" fillId="0" borderId="21" xfId="0" applyBorder="1"/>
    <xf numFmtId="0" fontId="0" fillId="0" borderId="23" xfId="0" applyBorder="1"/>
    <xf numFmtId="1" fontId="94" fillId="60" borderId="162" xfId="0" applyNumberFormat="1" applyFont="1" applyFill="1" applyBorder="1" applyAlignment="1">
      <alignment horizontal="center" vertical="center" wrapText="1"/>
    </xf>
    <xf numFmtId="1" fontId="94" fillId="60" borderId="163" xfId="0" applyNumberFormat="1" applyFont="1" applyFill="1" applyBorder="1" applyAlignment="1">
      <alignment horizontal="center" vertical="center" wrapText="1"/>
    </xf>
    <xf numFmtId="0" fontId="9" fillId="63" borderId="0" xfId="0" applyFont="1" applyFill="1" applyBorder="1" applyAlignment="1">
      <alignment horizontal="left" vertical="center" wrapText="1"/>
    </xf>
    <xf numFmtId="0" fontId="9" fillId="63" borderId="0" xfId="0" applyFont="1" applyFill="1" applyAlignment="1">
      <alignment horizontal="left" vertical="center" wrapText="1"/>
    </xf>
    <xf numFmtId="0" fontId="14" fillId="63" borderId="10" xfId="0" applyFont="1" applyFill="1" applyBorder="1" applyAlignment="1">
      <alignment horizontal="left" vertical="center" wrapText="1"/>
    </xf>
    <xf numFmtId="0" fontId="9" fillId="42" borderId="10" xfId="0" applyFont="1" applyFill="1" applyBorder="1" applyAlignment="1">
      <alignment horizontal="left" vertical="center" wrapText="1"/>
    </xf>
    <xf numFmtId="0" fontId="9" fillId="42" borderId="0" xfId="0" applyFont="1" applyFill="1" applyBorder="1" applyAlignment="1">
      <alignment horizontal="left" vertical="center" wrapText="1"/>
    </xf>
    <xf numFmtId="1" fontId="14" fillId="63" borderId="10" xfId="0" applyNumberFormat="1" applyFont="1" applyFill="1" applyBorder="1" applyAlignment="1">
      <alignment horizontal="left" vertical="center" wrapText="1"/>
    </xf>
    <xf numFmtId="1" fontId="14" fillId="63" borderId="0" xfId="0" applyNumberFormat="1" applyFont="1" applyFill="1" applyBorder="1" applyAlignment="1">
      <alignment horizontal="left" vertical="center" wrapText="1"/>
    </xf>
    <xf numFmtId="0" fontId="9" fillId="60" borderId="142" xfId="0" applyFont="1" applyFill="1" applyBorder="1" applyAlignment="1">
      <alignment horizontal="left" vertical="center"/>
    </xf>
    <xf numFmtId="0" fontId="52" fillId="42" borderId="0" xfId="0" applyFont="1" applyFill="1" applyAlignment="1">
      <alignment horizontal="left" vertical="center" wrapText="1"/>
    </xf>
    <xf numFmtId="0" fontId="14" fillId="42" borderId="0" xfId="0" applyFont="1" applyFill="1" applyAlignment="1">
      <alignment horizontal="left" vertical="top" wrapText="1"/>
    </xf>
    <xf numFmtId="0" fontId="89" fillId="84" borderId="169" xfId="57" applyFont="1" applyFill="1" applyBorder="1" applyAlignment="1" applyProtection="1">
      <alignment horizontal="center" vertical="center" shrinkToFit="1"/>
      <protection locked="0"/>
    </xf>
    <xf numFmtId="0" fontId="89" fillId="84" borderId="125" xfId="57" applyFont="1" applyFill="1" applyBorder="1" applyAlignment="1" applyProtection="1">
      <alignment horizontal="center" vertical="center" shrinkToFit="1"/>
      <protection locked="0"/>
    </xf>
    <xf numFmtId="1" fontId="13" fillId="60" borderId="146" xfId="0" applyNumberFormat="1" applyFont="1" applyFill="1" applyBorder="1" applyAlignment="1">
      <alignment horizontal="center" wrapText="1"/>
    </xf>
    <xf numFmtId="1" fontId="13" fillId="60" borderId="147" xfId="0" applyNumberFormat="1" applyFont="1" applyFill="1" applyBorder="1" applyAlignment="1">
      <alignment horizontal="center" wrapText="1"/>
    </xf>
    <xf numFmtId="1" fontId="13" fillId="60" borderId="142" xfId="0" applyNumberFormat="1" applyFont="1" applyFill="1" applyBorder="1" applyAlignment="1">
      <alignment horizontal="center" wrapText="1"/>
    </xf>
    <xf numFmtId="1" fontId="13" fillId="60" borderId="143" xfId="0" applyNumberFormat="1" applyFont="1" applyFill="1" applyBorder="1" applyAlignment="1">
      <alignment horizontal="center" wrapText="1"/>
    </xf>
    <xf numFmtId="0" fontId="6" fillId="42" borderId="0" xfId="0" applyFont="1" applyFill="1" applyBorder="1" applyAlignment="1">
      <alignment horizontal="left" vertical="top" wrapText="1"/>
    </xf>
    <xf numFmtId="0" fontId="6" fillId="42" borderId="15" xfId="0" applyFont="1" applyFill="1" applyBorder="1" applyAlignment="1">
      <alignment horizontal="left" vertical="top" wrapText="1"/>
    </xf>
    <xf numFmtId="0" fontId="103" fillId="42" borderId="0" xfId="0" applyFont="1" applyFill="1" applyBorder="1" applyAlignment="1">
      <alignment horizontal="left"/>
    </xf>
    <xf numFmtId="0" fontId="9" fillId="42" borderId="0" xfId="0" applyFont="1" applyFill="1" applyBorder="1" applyAlignment="1">
      <alignment horizontal="left" vertical="center"/>
    </xf>
    <xf numFmtId="0" fontId="105" fillId="46" borderId="22" xfId="0" applyFont="1" applyFill="1" applyBorder="1" applyAlignment="1">
      <alignment horizontal="left" wrapText="1"/>
    </xf>
    <xf numFmtId="0" fontId="105" fillId="46" borderId="14" xfId="0" applyFont="1" applyFill="1" applyBorder="1" applyAlignment="1">
      <alignment horizontal="left" wrapText="1"/>
    </xf>
    <xf numFmtId="0" fontId="105" fillId="46" borderId="11" xfId="0" applyFont="1" applyFill="1" applyBorder="1" applyAlignment="1">
      <alignment horizontal="left" wrapText="1"/>
    </xf>
    <xf numFmtId="0" fontId="8" fillId="44" borderId="22" xfId="0" applyFont="1" applyFill="1" applyBorder="1" applyAlignment="1">
      <alignment horizontal="left" wrapText="1"/>
    </xf>
    <xf numFmtId="0" fontId="8" fillId="44" borderId="21" xfId="0" applyFont="1" applyFill="1" applyBorder="1" applyAlignment="1">
      <alignment horizontal="left" wrapText="1"/>
    </xf>
    <xf numFmtId="0" fontId="8" fillId="44" borderId="23" xfId="0" applyFont="1" applyFill="1" applyBorder="1" applyAlignment="1">
      <alignment horizontal="left" wrapText="1"/>
    </xf>
    <xf numFmtId="1" fontId="9" fillId="60" borderId="165" xfId="0" applyNumberFormat="1" applyFont="1" applyFill="1" applyBorder="1" applyAlignment="1">
      <alignment horizontal="center" vertical="center" wrapText="1"/>
    </xf>
    <xf numFmtId="1" fontId="9" fillId="60" borderId="127" xfId="0" applyNumberFormat="1" applyFont="1" applyFill="1" applyBorder="1" applyAlignment="1">
      <alignment horizontal="center" vertical="center" wrapText="1"/>
    </xf>
    <xf numFmtId="0" fontId="6" fillId="60" borderId="17" xfId="86" applyFont="1" applyFill="1" applyBorder="1" applyAlignment="1" applyProtection="1">
      <alignment horizontal="left"/>
    </xf>
    <xf numFmtId="0" fontId="6" fillId="60" borderId="15" xfId="86" applyFont="1" applyFill="1" applyBorder="1" applyAlignment="1" applyProtection="1">
      <alignment horizontal="left"/>
    </xf>
    <xf numFmtId="0" fontId="24" fillId="44" borderId="22" xfId="0" applyFont="1" applyFill="1" applyBorder="1" applyAlignment="1">
      <alignment horizontal="left" vertical="top" wrapText="1"/>
    </xf>
    <xf numFmtId="0" fontId="24" fillId="44" borderId="21" xfId="0" applyFont="1" applyFill="1" applyBorder="1" applyAlignment="1">
      <alignment horizontal="left" vertical="top" wrapText="1"/>
    </xf>
    <xf numFmtId="0" fontId="24" fillId="44" borderId="23" xfId="0" applyFont="1" applyFill="1" applyBorder="1" applyAlignment="1">
      <alignment horizontal="left" vertical="top" wrapText="1"/>
    </xf>
    <xf numFmtId="1" fontId="9" fillId="60" borderId="145" xfId="0" applyNumberFormat="1" applyFont="1" applyFill="1" applyBorder="1" applyAlignment="1">
      <alignment horizontal="center" vertical="center" wrapText="1"/>
    </xf>
    <xf numFmtId="1" fontId="9" fillId="60" borderId="148" xfId="0" applyNumberFormat="1" applyFont="1" applyFill="1" applyBorder="1" applyAlignment="1">
      <alignment horizontal="center" vertical="center" wrapText="1"/>
    </xf>
    <xf numFmtId="1" fontId="9" fillId="60" borderId="124" xfId="0" applyNumberFormat="1" applyFont="1" applyFill="1" applyBorder="1" applyAlignment="1">
      <alignment horizontal="center" vertical="center" wrapText="1"/>
    </xf>
    <xf numFmtId="1" fontId="9" fillId="60" borderId="129" xfId="0" applyNumberFormat="1" applyFont="1" applyFill="1" applyBorder="1" applyAlignment="1">
      <alignment horizontal="center" vertical="center" wrapText="1"/>
    </xf>
    <xf numFmtId="0" fontId="9" fillId="67" borderId="17" xfId="0" applyFont="1" applyFill="1" applyBorder="1" applyAlignment="1">
      <alignment horizontal="center"/>
    </xf>
    <xf numFmtId="0" fontId="9" fillId="67" borderId="15" xfId="0" applyFont="1" applyFill="1" applyBorder="1" applyAlignment="1">
      <alignment horizontal="center"/>
    </xf>
    <xf numFmtId="0" fontId="9" fillId="67" borderId="13" xfId="0" applyFont="1" applyFill="1" applyBorder="1" applyAlignment="1">
      <alignment horizontal="center"/>
    </xf>
    <xf numFmtId="169" fontId="9" fillId="69" borderId="0" xfId="0" applyNumberFormat="1" applyFont="1" applyFill="1" applyBorder="1" applyAlignment="1">
      <alignment horizontal="center" vertical="center" wrapText="1"/>
    </xf>
    <xf numFmtId="169" fontId="9" fillId="69" borderId="15" xfId="0" applyNumberFormat="1" applyFont="1" applyFill="1" applyBorder="1" applyAlignment="1">
      <alignment horizontal="center" vertical="center" wrapText="1"/>
    </xf>
    <xf numFmtId="0" fontId="14" fillId="44" borderId="14" xfId="0" applyFont="1" applyFill="1" applyBorder="1" applyAlignment="1">
      <alignment horizontal="center" wrapText="1"/>
    </xf>
    <xf numFmtId="0" fontId="14" fillId="44" borderId="0" xfId="0" applyFont="1" applyFill="1" applyBorder="1" applyAlignment="1">
      <alignment horizontal="center" wrapText="1"/>
    </xf>
    <xf numFmtId="0" fontId="14" fillId="44" borderId="15" xfId="0" applyFont="1" applyFill="1" applyBorder="1" applyAlignment="1">
      <alignment horizontal="center" wrapText="1"/>
    </xf>
    <xf numFmtId="0" fontId="14" fillId="70" borderId="0" xfId="0" applyFont="1" applyFill="1" applyBorder="1" applyAlignment="1">
      <alignment horizontal="left"/>
    </xf>
    <xf numFmtId="0" fontId="8" fillId="46" borderId="22" xfId="0" applyFont="1" applyFill="1" applyBorder="1" applyAlignment="1">
      <alignment horizontal="left"/>
    </xf>
    <xf numFmtId="0" fontId="8" fillId="46" borderId="21" xfId="0" applyFont="1" applyFill="1" applyBorder="1" applyAlignment="1">
      <alignment horizontal="left"/>
    </xf>
    <xf numFmtId="0" fontId="9" fillId="66" borderId="10" xfId="0" applyFont="1" applyFill="1" applyBorder="1" applyAlignment="1">
      <alignment horizontal="center" wrapText="1"/>
    </xf>
    <xf numFmtId="0" fontId="9" fillId="66" borderId="0" xfId="0" applyFont="1" applyFill="1" applyBorder="1" applyAlignment="1">
      <alignment horizontal="center" wrapText="1"/>
    </xf>
    <xf numFmtId="0" fontId="9" fillId="67" borderId="0" xfId="0" applyFont="1" applyFill="1" applyBorder="1" applyAlignment="1">
      <alignment horizontal="center" wrapText="1"/>
    </xf>
    <xf numFmtId="0" fontId="14" fillId="70" borderId="14" xfId="0" applyFont="1" applyFill="1" applyBorder="1" applyAlignment="1">
      <alignment horizontal="left"/>
    </xf>
    <xf numFmtId="0" fontId="14" fillId="70" borderId="189" xfId="0" applyFont="1" applyFill="1" applyBorder="1" applyAlignment="1">
      <alignment horizontal="center" vertical="center"/>
    </xf>
    <xf numFmtId="0" fontId="14" fillId="70" borderId="186" xfId="0" applyFont="1" applyFill="1" applyBorder="1" applyAlignment="1">
      <alignment horizontal="center" vertical="center"/>
    </xf>
    <xf numFmtId="0" fontId="14" fillId="70" borderId="190" xfId="0" applyFont="1" applyFill="1" applyBorder="1" applyAlignment="1">
      <alignment horizontal="center" vertical="center"/>
    </xf>
    <xf numFmtId="0" fontId="9" fillId="67" borderId="0" xfId="0" applyFont="1" applyFill="1" applyBorder="1" applyAlignment="1">
      <alignment horizontal="center"/>
    </xf>
    <xf numFmtId="0" fontId="14" fillId="85" borderId="189" xfId="57" applyFont="1" applyFill="1" applyBorder="1" applyAlignment="1" applyProtection="1">
      <alignment horizontal="center" vertical="center" wrapText="1" shrinkToFit="1"/>
      <protection locked="0"/>
    </xf>
    <xf numFmtId="0" fontId="14" fillId="85" borderId="186" xfId="57" applyFont="1" applyFill="1" applyBorder="1" applyAlignment="1" applyProtection="1">
      <alignment horizontal="center" vertical="center" wrapText="1" shrinkToFit="1"/>
      <protection locked="0"/>
    </xf>
    <xf numFmtId="0" fontId="14" fillId="85" borderId="190" xfId="57" applyFont="1" applyFill="1" applyBorder="1" applyAlignment="1" applyProtection="1">
      <alignment horizontal="center" vertical="center" wrapText="1" shrinkToFit="1"/>
      <protection locked="0"/>
    </xf>
    <xf numFmtId="0" fontId="9" fillId="44" borderId="22" xfId="0" applyFont="1" applyFill="1" applyBorder="1" applyAlignment="1">
      <alignment horizontal="center" wrapText="1"/>
    </xf>
    <xf numFmtId="0" fontId="9" fillId="44" borderId="21" xfId="0" applyFont="1" applyFill="1" applyBorder="1" applyAlignment="1">
      <alignment horizontal="center" wrapText="1"/>
    </xf>
    <xf numFmtId="0" fontId="9" fillId="44" borderId="23" xfId="0" applyFont="1" applyFill="1" applyBorder="1" applyAlignment="1">
      <alignment horizontal="center" wrapText="1"/>
    </xf>
    <xf numFmtId="0" fontId="9" fillId="55" borderId="19" xfId="0" applyFont="1" applyFill="1" applyBorder="1" applyAlignment="1">
      <alignment horizontal="center" wrapText="1"/>
    </xf>
    <xf numFmtId="0" fontId="9" fillId="55" borderId="16" xfId="0" applyFont="1" applyFill="1" applyBorder="1" applyAlignment="1">
      <alignment horizontal="center" wrapText="1"/>
    </xf>
    <xf numFmtId="0" fontId="9" fillId="55" borderId="20" xfId="0" applyFont="1" applyFill="1" applyBorder="1" applyAlignment="1">
      <alignment horizontal="center" wrapText="1"/>
    </xf>
    <xf numFmtId="0" fontId="9" fillId="55" borderId="42" xfId="0" applyFont="1" applyFill="1" applyBorder="1" applyAlignment="1">
      <alignment horizontal="center" wrapText="1"/>
    </xf>
    <xf numFmtId="0" fontId="9" fillId="55" borderId="102" xfId="0" applyFont="1" applyFill="1" applyBorder="1" applyAlignment="1">
      <alignment horizontal="center" wrapText="1"/>
    </xf>
    <xf numFmtId="0" fontId="9" fillId="55" borderId="32" xfId="0" applyFont="1" applyFill="1" applyBorder="1" applyAlignment="1">
      <alignment horizontal="center" wrapText="1"/>
    </xf>
    <xf numFmtId="0" fontId="8" fillId="46" borderId="23" xfId="0" applyFont="1" applyFill="1" applyBorder="1" applyAlignment="1">
      <alignment horizontal="left"/>
    </xf>
    <xf numFmtId="0" fontId="9" fillId="55" borderId="38" xfId="0" applyFont="1" applyFill="1" applyBorder="1" applyAlignment="1">
      <alignment horizontal="center" wrapText="1"/>
    </xf>
    <xf numFmtId="0" fontId="9" fillId="55" borderId="70" xfId="0" applyFont="1" applyFill="1" applyBorder="1" applyAlignment="1">
      <alignment horizontal="center" wrapText="1"/>
    </xf>
    <xf numFmtId="0" fontId="9" fillId="55" borderId="28" xfId="0" applyFont="1" applyFill="1" applyBorder="1" applyAlignment="1">
      <alignment horizontal="center" wrapText="1"/>
    </xf>
    <xf numFmtId="0" fontId="75" fillId="0" borderId="76" xfId="70" applyFont="1" applyBorder="1" applyAlignment="1">
      <alignment horizontal="center"/>
    </xf>
    <xf numFmtId="0" fontId="75" fillId="0" borderId="74" xfId="70" applyFont="1" applyBorder="1" applyAlignment="1">
      <alignment horizontal="center"/>
    </xf>
    <xf numFmtId="0" fontId="75" fillId="0" borderId="60" xfId="70" applyFont="1" applyBorder="1" applyAlignment="1">
      <alignment horizontal="center"/>
    </xf>
    <xf numFmtId="170" fontId="75" fillId="0" borderId="50" xfId="64" applyNumberFormat="1" applyFont="1" applyBorder="1" applyAlignment="1">
      <alignment horizontal="center"/>
    </xf>
    <xf numFmtId="170" fontId="75" fillId="0" borderId="80" xfId="64" applyNumberFormat="1" applyFont="1" applyBorder="1" applyAlignment="1">
      <alignment horizontal="center"/>
    </xf>
    <xf numFmtId="170" fontId="75" fillId="0" borderId="51" xfId="64" applyNumberFormat="1" applyFont="1" applyBorder="1" applyAlignment="1">
      <alignment horizontal="center"/>
    </xf>
    <xf numFmtId="170" fontId="75" fillId="0" borderId="50" xfId="70" applyNumberFormat="1" applyFont="1" applyBorder="1" applyAlignment="1">
      <alignment horizontal="center"/>
    </xf>
    <xf numFmtId="170" fontId="75" fillId="0" borderId="80" xfId="70" applyNumberFormat="1" applyFont="1" applyBorder="1" applyAlignment="1">
      <alignment horizontal="center"/>
    </xf>
    <xf numFmtId="170" fontId="75" fillId="0" borderId="51" xfId="70" applyNumberFormat="1" applyFont="1" applyBorder="1" applyAlignment="1">
      <alignment horizontal="center"/>
    </xf>
    <xf numFmtId="0" fontId="6" fillId="60" borderId="77" xfId="70" applyFont="1" applyFill="1" applyBorder="1" applyAlignment="1">
      <alignment horizontal="center"/>
    </xf>
    <xf numFmtId="0" fontId="66" fillId="60" borderId="78" xfId="70" applyFill="1" applyBorder="1" applyAlignment="1">
      <alignment horizontal="center"/>
    </xf>
    <xf numFmtId="0" fontId="66" fillId="60" borderId="79" xfId="70" applyFill="1" applyBorder="1" applyAlignment="1">
      <alignment horizontal="center"/>
    </xf>
    <xf numFmtId="1" fontId="4" fillId="4" borderId="77" xfId="71" applyNumberFormat="1" applyFont="1" applyFill="1" applyBorder="1" applyAlignment="1">
      <alignment horizontal="center"/>
    </xf>
    <xf numFmtId="1" fontId="5" fillId="4" borderId="79" xfId="71" applyNumberFormat="1" applyFont="1" applyFill="1" applyBorder="1" applyAlignment="1">
      <alignment horizontal="center"/>
    </xf>
    <xf numFmtId="1" fontId="5" fillId="4" borderId="78" xfId="71" applyNumberFormat="1" applyFont="1" applyFill="1" applyBorder="1" applyAlignment="1">
      <alignment horizontal="center"/>
    </xf>
    <xf numFmtId="0" fontId="66" fillId="0" borderId="0" xfId="70" applyAlignment="1">
      <alignment horizontal="center"/>
    </xf>
    <xf numFmtId="0" fontId="11" fillId="4" borderId="33" xfId="70" applyFont="1" applyFill="1" applyBorder="1" applyAlignment="1">
      <alignment horizontal="left"/>
    </xf>
    <xf numFmtId="0" fontId="11" fillId="63" borderId="33" xfId="70" applyFont="1" applyFill="1" applyBorder="1" applyAlignment="1">
      <alignment horizontal="left"/>
    </xf>
    <xf numFmtId="0" fontId="75" fillId="63" borderId="33" xfId="70" applyFont="1" applyFill="1" applyBorder="1" applyAlignment="1">
      <alignment horizontal="left"/>
    </xf>
    <xf numFmtId="1" fontId="6" fillId="42" borderId="17" xfId="70" applyNumberFormat="1" applyFont="1" applyFill="1" applyBorder="1" applyAlignment="1">
      <alignment horizontal="center"/>
    </xf>
    <xf numFmtId="1" fontId="66" fillId="42" borderId="15" xfId="70" applyNumberFormat="1" applyFill="1" applyBorder="1" applyAlignment="1">
      <alignment horizontal="center"/>
    </xf>
    <xf numFmtId="1" fontId="66" fillId="42" borderId="13" xfId="70" applyNumberFormat="1" applyFill="1" applyBorder="1" applyAlignment="1">
      <alignment horizontal="center"/>
    </xf>
    <xf numFmtId="0" fontId="6" fillId="42" borderId="17" xfId="70" applyFont="1" applyFill="1" applyBorder="1" applyAlignment="1">
      <alignment horizontal="center"/>
    </xf>
    <xf numFmtId="0" fontId="6" fillId="42" borderId="15" xfId="70" applyFont="1" applyFill="1" applyBorder="1" applyAlignment="1">
      <alignment horizontal="center"/>
    </xf>
    <xf numFmtId="0" fontId="66" fillId="42" borderId="15" xfId="70" applyFill="1" applyBorder="1" applyAlignment="1">
      <alignment horizontal="center"/>
    </xf>
    <xf numFmtId="0" fontId="66" fillId="42" borderId="13" xfId="70" applyFill="1" applyBorder="1" applyAlignment="1">
      <alignment horizontal="center"/>
    </xf>
    <xf numFmtId="1" fontId="6" fillId="42" borderId="15" xfId="70" applyNumberFormat="1" applyFont="1" applyFill="1" applyBorder="1" applyAlignment="1">
      <alignment horizontal="center"/>
    </xf>
    <xf numFmtId="1" fontId="6" fillId="42" borderId="13" xfId="70" applyNumberFormat="1" applyFont="1" applyFill="1" applyBorder="1" applyAlignment="1">
      <alignment horizontal="center"/>
    </xf>
    <xf numFmtId="0" fontId="6" fillId="14" borderId="71" xfId="76" applyFont="1" applyFill="1" applyBorder="1" applyAlignment="1">
      <alignment horizontal="center" wrapText="1"/>
    </xf>
    <xf numFmtId="0" fontId="6" fillId="14" borderId="72" xfId="76" applyFont="1" applyFill="1" applyBorder="1" applyAlignment="1">
      <alignment horizontal="center" wrapText="1"/>
    </xf>
    <xf numFmtId="0" fontId="6" fillId="14" borderId="67" xfId="76" applyFont="1" applyFill="1" applyBorder="1" applyAlignment="1">
      <alignment horizontal="center" wrapText="1"/>
    </xf>
    <xf numFmtId="0" fontId="6" fillId="14" borderId="68" xfId="76" applyFont="1" applyFill="1" applyBorder="1" applyAlignment="1">
      <alignment horizontal="center"/>
    </xf>
    <xf numFmtId="0" fontId="6" fillId="14" borderId="69" xfId="76" applyFont="1" applyFill="1" applyBorder="1" applyAlignment="1">
      <alignment horizontal="center" wrapText="1"/>
    </xf>
    <xf numFmtId="0" fontId="6" fillId="14" borderId="70" xfId="76" applyFont="1" applyFill="1" applyBorder="1" applyAlignment="1">
      <alignment horizontal="center"/>
    </xf>
    <xf numFmtId="0" fontId="6" fillId="14" borderId="73" xfId="76" applyFont="1" applyFill="1" applyBorder="1" applyAlignment="1">
      <alignment horizontal="center"/>
    </xf>
    <xf numFmtId="0" fontId="6" fillId="14" borderId="74" xfId="76" applyFont="1" applyFill="1" applyBorder="1" applyAlignment="1">
      <alignment horizontal="center"/>
    </xf>
    <xf numFmtId="0" fontId="6" fillId="14" borderId="75" xfId="76" applyFont="1" applyFill="1" applyBorder="1" applyAlignment="1">
      <alignment horizontal="center"/>
    </xf>
    <xf numFmtId="0" fontId="6" fillId="14" borderId="72" xfId="76" applyFont="1" applyFill="1" applyBorder="1" applyAlignment="1">
      <alignment horizontal="center"/>
    </xf>
    <xf numFmtId="0" fontId="8" fillId="75" borderId="44" xfId="0" applyFont="1" applyFill="1" applyBorder="1" applyAlignment="1">
      <alignment horizontal="center" wrapText="1"/>
    </xf>
    <xf numFmtId="0" fontId="8" fillId="75" borderId="48" xfId="0" applyFont="1" applyFill="1" applyBorder="1" applyAlignment="1">
      <alignment horizontal="center" wrapText="1"/>
    </xf>
    <xf numFmtId="0" fontId="6" fillId="0" borderId="44" xfId="0" applyFont="1" applyBorder="1" applyAlignment="1">
      <alignment horizontal="center" wrapText="1"/>
    </xf>
    <xf numFmtId="0" fontId="6" fillId="0" borderId="48" xfId="0" applyFont="1" applyBorder="1" applyAlignment="1">
      <alignment horizontal="center" wrapText="1"/>
    </xf>
    <xf numFmtId="0" fontId="8" fillId="75" borderId="82" xfId="0" applyFont="1" applyFill="1" applyBorder="1" applyAlignment="1">
      <alignment horizontal="center" wrapText="1"/>
    </xf>
    <xf numFmtId="0" fontId="8" fillId="75" borderId="83" xfId="0" applyFont="1" applyFill="1" applyBorder="1" applyAlignment="1">
      <alignment horizontal="center" wrapText="1"/>
    </xf>
    <xf numFmtId="0" fontId="6" fillId="0" borderId="96" xfId="0" applyFont="1" applyBorder="1" applyAlignment="1">
      <alignment horizontal="center" wrapText="1"/>
    </xf>
    <xf numFmtId="0" fontId="6" fillId="0" borderId="90" xfId="0" applyFont="1" applyBorder="1" applyAlignment="1">
      <alignment horizontal="center" wrapText="1"/>
    </xf>
    <xf numFmtId="0" fontId="6" fillId="0" borderId="97" xfId="0" applyFont="1" applyBorder="1" applyAlignment="1">
      <alignment horizontal="center" wrapText="1"/>
    </xf>
    <xf numFmtId="0" fontId="6" fillId="0" borderId="84" xfId="0" applyFont="1" applyBorder="1" applyAlignment="1">
      <alignment horizontal="center" wrapText="1"/>
    </xf>
    <xf numFmtId="0" fontId="8" fillId="75" borderId="96" xfId="0" applyFont="1" applyFill="1" applyBorder="1" applyAlignment="1">
      <alignment horizontal="center" wrapText="1"/>
    </xf>
    <xf numFmtId="0" fontId="8" fillId="75" borderId="90" xfId="0" applyFont="1" applyFill="1" applyBorder="1" applyAlignment="1">
      <alignment horizontal="center" wrapText="1"/>
    </xf>
    <xf numFmtId="0" fontId="8" fillId="75" borderId="62" xfId="0" applyFont="1" applyFill="1" applyBorder="1" applyAlignment="1">
      <alignment horizontal="center" wrapText="1"/>
    </xf>
    <xf numFmtId="0" fontId="8" fillId="75" borderId="31" xfId="0" applyFont="1" applyFill="1" applyBorder="1" applyAlignment="1">
      <alignment horizontal="center" wrapText="1"/>
    </xf>
    <xf numFmtId="0" fontId="8" fillId="75" borderId="64" xfId="0" applyFont="1" applyFill="1" applyBorder="1" applyAlignment="1">
      <alignment horizontal="center" wrapText="1"/>
    </xf>
    <xf numFmtId="0" fontId="8" fillId="75" borderId="61" xfId="0" applyFont="1" applyFill="1" applyBorder="1" applyAlignment="1">
      <alignment horizontal="center" wrapText="1"/>
    </xf>
    <xf numFmtId="0" fontId="6" fillId="0" borderId="91" xfId="0" applyFont="1" applyBorder="1" applyAlignment="1">
      <alignment horizontal="center" wrapText="1"/>
    </xf>
    <xf numFmtId="0" fontId="6" fillId="0" borderId="82" xfId="0" applyFont="1" applyBorder="1" applyAlignment="1">
      <alignment vertical="center" wrapText="1"/>
    </xf>
    <xf numFmtId="0" fontId="6" fillId="0" borderId="93" xfId="0" applyFont="1" applyBorder="1" applyAlignment="1">
      <alignment vertical="center" wrapText="1"/>
    </xf>
    <xf numFmtId="0" fontId="6" fillId="0" borderId="98" xfId="0" applyFont="1" applyBorder="1" applyAlignment="1">
      <alignment horizontal="center" wrapText="1"/>
    </xf>
    <xf numFmtId="0" fontId="6" fillId="0" borderId="85" xfId="0" applyFont="1" applyBorder="1" applyAlignment="1">
      <alignment horizontal="center" wrapText="1"/>
    </xf>
    <xf numFmtId="0" fontId="6" fillId="0" borderId="82" xfId="0" applyFont="1" applyBorder="1" applyAlignment="1">
      <alignment horizontal="center" wrapText="1"/>
    </xf>
    <xf numFmtId="0" fontId="6" fillId="0" borderId="83" xfId="0" applyFont="1" applyBorder="1" applyAlignment="1">
      <alignment horizontal="center" wrapText="1"/>
    </xf>
    <xf numFmtId="0" fontId="8" fillId="75" borderId="93" xfId="0" applyFont="1" applyFill="1" applyBorder="1" applyAlignment="1">
      <alignment horizontal="center" vertical="center" wrapText="1"/>
    </xf>
    <xf numFmtId="0" fontId="8" fillId="75" borderId="83" xfId="0" applyFont="1" applyFill="1" applyBorder="1" applyAlignment="1">
      <alignment horizontal="center" vertical="center" wrapText="1"/>
    </xf>
    <xf numFmtId="0" fontId="8" fillId="75" borderId="93" xfId="0" applyFont="1" applyFill="1" applyBorder="1" applyAlignment="1">
      <alignment horizontal="center" wrapText="1"/>
    </xf>
    <xf numFmtId="0" fontId="8" fillId="75" borderId="98" xfId="0" applyFont="1" applyFill="1" applyBorder="1" applyAlignment="1">
      <alignment horizontal="center" wrapText="1"/>
    </xf>
    <xf numFmtId="0" fontId="8" fillId="75" borderId="92" xfId="0" applyFont="1" applyFill="1" applyBorder="1" applyAlignment="1">
      <alignment horizontal="center" wrapText="1"/>
    </xf>
    <xf numFmtId="0" fontId="8" fillId="75" borderId="85" xfId="0" applyFont="1" applyFill="1" applyBorder="1" applyAlignment="1">
      <alignment horizontal="center" wrapText="1"/>
    </xf>
    <xf numFmtId="0" fontId="6" fillId="0" borderId="83" xfId="0" applyFont="1" applyBorder="1" applyAlignment="1">
      <alignment vertical="center" wrapText="1"/>
    </xf>
    <xf numFmtId="0" fontId="6" fillId="0" borderId="95" xfId="0" applyFont="1" applyBorder="1" applyAlignment="1">
      <alignment horizontal="center" wrapText="1"/>
    </xf>
    <xf numFmtId="0" fontId="6" fillId="0" borderId="92" xfId="0" applyFont="1" applyBorder="1" applyAlignment="1">
      <alignment horizontal="center" wrapText="1"/>
    </xf>
    <xf numFmtId="0" fontId="0" fillId="64" borderId="52" xfId="0" applyFill="1" applyBorder="1" applyAlignment="1">
      <alignment horizontal="center" vertical="center" wrapText="1"/>
    </xf>
    <xf numFmtId="0" fontId="0" fillId="64" borderId="65" xfId="0" applyFill="1" applyBorder="1" applyAlignment="1">
      <alignment horizontal="center" vertical="center" wrapText="1"/>
    </xf>
    <xf numFmtId="0" fontId="0" fillId="64" borderId="25" xfId="0" applyFill="1" applyBorder="1" applyAlignment="1">
      <alignment horizontal="center" vertical="center" wrapText="1"/>
    </xf>
    <xf numFmtId="0" fontId="8" fillId="75" borderId="89" xfId="0" applyFont="1" applyFill="1" applyBorder="1" applyAlignment="1">
      <alignment horizontal="center" wrapText="1"/>
    </xf>
    <xf numFmtId="0" fontId="6" fillId="0" borderId="89" xfId="0" applyFont="1" applyBorder="1" applyAlignment="1">
      <alignment horizontal="center" vertical="center" wrapText="1"/>
    </xf>
    <xf numFmtId="0" fontId="0" fillId="64" borderId="52" xfId="0" applyFill="1" applyBorder="1" applyAlignment="1">
      <alignment horizontal="center" vertical="center"/>
    </xf>
    <xf numFmtId="0" fontId="0" fillId="64" borderId="65" xfId="0" applyFill="1" applyBorder="1" applyAlignment="1">
      <alignment horizontal="center" vertical="center"/>
    </xf>
    <xf numFmtId="0" fontId="0" fillId="64" borderId="25" xfId="0" applyFill="1" applyBorder="1" applyAlignment="1">
      <alignment horizontal="center" vertical="center"/>
    </xf>
    <xf numFmtId="0" fontId="8" fillId="75" borderId="66" xfId="0" applyFont="1" applyFill="1" applyBorder="1" applyAlignment="1">
      <alignment horizontal="center" wrapText="1"/>
    </xf>
    <xf numFmtId="0" fontId="8" fillId="44" borderId="22" xfId="0" applyFont="1" applyFill="1" applyBorder="1" applyProtection="1">
      <protection locked="0"/>
    </xf>
    <xf numFmtId="0" fontId="8" fillId="44" borderId="21" xfId="0" applyFont="1" applyFill="1" applyBorder="1" applyProtection="1">
      <protection locked="0"/>
    </xf>
    <xf numFmtId="0" fontId="8" fillId="46" borderId="22" xfId="0" applyFont="1" applyFill="1" applyBorder="1" applyProtection="1">
      <protection locked="0"/>
    </xf>
    <xf numFmtId="0" fontId="8" fillId="46" borderId="14" xfId="0" applyFont="1" applyFill="1" applyBorder="1" applyProtection="1">
      <protection locked="0"/>
    </xf>
    <xf numFmtId="0" fontId="16" fillId="42" borderId="0" xfId="0" applyFont="1" applyFill="1" applyBorder="1" applyProtection="1">
      <protection locked="0"/>
    </xf>
    <xf numFmtId="0" fontId="11" fillId="42" borderId="0" xfId="0" applyFont="1" applyFill="1" applyBorder="1" applyProtection="1">
      <protection locked="0"/>
    </xf>
    <xf numFmtId="0" fontId="8" fillId="46" borderId="22" xfId="0" applyFont="1" applyFill="1" applyBorder="1" applyAlignment="1" applyProtection="1">
      <alignment horizontal="left"/>
      <protection locked="0"/>
    </xf>
    <xf numFmtId="0" fontId="8" fillId="46" borderId="21" xfId="0" applyFont="1" applyFill="1" applyBorder="1" applyAlignment="1" applyProtection="1">
      <alignment horizontal="left"/>
      <protection locked="0"/>
    </xf>
    <xf numFmtId="2" fontId="10" fillId="64" borderId="33" xfId="0" applyNumberFormat="1" applyFont="1" applyFill="1" applyBorder="1" applyAlignment="1" applyProtection="1">
      <alignment horizontal="center" vertical="center"/>
      <protection locked="0"/>
    </xf>
    <xf numFmtId="0" fontId="10" fillId="64" borderId="33" xfId="0" applyFont="1" applyFill="1" applyBorder="1" applyAlignment="1" applyProtection="1">
      <alignment horizontal="center" vertical="center"/>
      <protection locked="0"/>
    </xf>
    <xf numFmtId="0" fontId="100" fillId="42" borderId="101" xfId="0" applyFont="1" applyFill="1" applyBorder="1" applyAlignment="1" applyProtection="1">
      <alignment horizontal="center" vertical="top"/>
      <protection locked="0"/>
    </xf>
    <xf numFmtId="165" fontId="10" fillId="64" borderId="33" xfId="0" applyNumberFormat="1" applyFont="1" applyFill="1" applyBorder="1" applyAlignment="1" applyProtection="1">
      <alignment horizontal="center" vertical="center"/>
      <protection locked="0"/>
    </xf>
    <xf numFmtId="0" fontId="9" fillId="42" borderId="0" xfId="0" applyNumberFormat="1" applyFont="1" applyFill="1" applyBorder="1" applyAlignment="1" applyProtection="1">
      <alignment horizontal="left" vertical="top" wrapText="1"/>
      <protection locked="0"/>
    </xf>
    <xf numFmtId="0" fontId="9" fillId="42" borderId="14" xfId="0" applyNumberFormat="1" applyFont="1" applyFill="1" applyBorder="1" applyAlignment="1" applyProtection="1">
      <alignment horizontal="left" vertical="center" wrapText="1"/>
      <protection locked="0"/>
    </xf>
    <xf numFmtId="0" fontId="9" fillId="42" borderId="0" xfId="0" applyNumberFormat="1" applyFont="1" applyFill="1" applyBorder="1" applyAlignment="1" applyProtection="1">
      <alignment horizontal="left" vertical="center" wrapText="1"/>
      <protection locked="0"/>
    </xf>
    <xf numFmtId="0" fontId="9" fillId="64" borderId="23" xfId="0" applyFont="1" applyFill="1" applyBorder="1" applyAlignment="1" applyProtection="1">
      <alignment horizontal="center" vertical="center" wrapText="1"/>
      <protection locked="0"/>
    </xf>
    <xf numFmtId="0" fontId="9" fillId="64" borderId="21" xfId="0" applyFont="1" applyFill="1" applyBorder="1" applyAlignment="1" applyProtection="1">
      <alignment horizontal="center" vertical="center" wrapText="1"/>
      <protection locked="0"/>
    </xf>
    <xf numFmtId="0" fontId="9" fillId="64" borderId="22" xfId="0" applyFont="1" applyFill="1" applyBorder="1" applyAlignment="1" applyProtection="1">
      <alignment horizontal="center" vertical="center" wrapText="1"/>
      <protection locked="0"/>
    </xf>
    <xf numFmtId="0" fontId="9" fillId="64" borderId="33" xfId="0" applyFont="1" applyFill="1" applyBorder="1" applyAlignment="1" applyProtection="1">
      <alignment horizontal="left" vertical="center" wrapText="1"/>
      <protection locked="0"/>
    </xf>
    <xf numFmtId="0" fontId="14" fillId="72" borderId="22" xfId="0" applyFont="1" applyFill="1" applyBorder="1" applyAlignment="1" applyProtection="1">
      <alignment horizontal="center" vertical="center" wrapText="1"/>
      <protection locked="0"/>
    </xf>
    <xf numFmtId="0" fontId="14" fillId="72" borderId="23" xfId="0" applyFont="1" applyFill="1" applyBorder="1" applyAlignment="1" applyProtection="1">
      <alignment horizontal="center" vertical="center" wrapText="1"/>
      <protection locked="0"/>
    </xf>
    <xf numFmtId="0" fontId="9" fillId="72" borderId="17" xfId="0" applyFont="1" applyFill="1" applyBorder="1" applyAlignment="1" applyProtection="1">
      <alignment horizontal="center" vertical="center" wrapText="1"/>
      <protection locked="0"/>
    </xf>
    <xf numFmtId="0" fontId="9" fillId="72" borderId="15" xfId="0" applyFont="1" applyFill="1" applyBorder="1" applyAlignment="1" applyProtection="1">
      <alignment horizontal="center" vertical="center" wrapText="1"/>
      <protection locked="0"/>
    </xf>
    <xf numFmtId="0" fontId="9" fillId="72" borderId="13" xfId="0" applyFont="1" applyFill="1" applyBorder="1" applyAlignment="1" applyProtection="1">
      <alignment horizontal="center" vertical="center" wrapText="1"/>
      <protection locked="0"/>
    </xf>
    <xf numFmtId="0" fontId="14" fillId="72" borderId="21" xfId="0" applyFont="1" applyFill="1" applyBorder="1" applyAlignment="1" applyProtection="1">
      <alignment horizontal="center" vertical="center" wrapText="1"/>
      <protection locked="0"/>
    </xf>
    <xf numFmtId="0" fontId="14" fillId="72" borderId="18" xfId="0" applyFont="1" applyFill="1" applyBorder="1" applyAlignment="1" applyProtection="1">
      <alignment horizontal="center" vertical="center" wrapText="1"/>
      <protection locked="0"/>
    </xf>
    <xf numFmtId="0" fontId="14" fillId="72" borderId="17" xfId="0" applyFont="1" applyFill="1" applyBorder="1" applyAlignment="1" applyProtection="1">
      <alignment horizontal="center" vertical="center" wrapText="1"/>
      <protection locked="0"/>
    </xf>
    <xf numFmtId="0" fontId="14" fillId="72" borderId="11" xfId="0" applyFont="1" applyFill="1" applyBorder="1" applyAlignment="1" applyProtection="1">
      <alignment horizontal="center" vertical="center" wrapText="1"/>
      <protection locked="0"/>
    </xf>
    <xf numFmtId="0" fontId="14" fillId="72" borderId="13" xfId="0" applyFont="1" applyFill="1" applyBorder="1" applyAlignment="1" applyProtection="1">
      <alignment horizontal="center" vertical="center" wrapText="1"/>
      <protection locked="0"/>
    </xf>
    <xf numFmtId="0" fontId="14" fillId="42" borderId="15" xfId="0" applyFont="1" applyFill="1" applyBorder="1" applyAlignment="1" applyProtection="1">
      <alignment horizontal="center" vertical="center" wrapText="1"/>
      <protection locked="0"/>
    </xf>
    <xf numFmtId="0" fontId="14" fillId="72" borderId="14" xfId="0" applyFont="1" applyFill="1" applyBorder="1" applyAlignment="1" applyProtection="1">
      <alignment horizontal="center" vertical="center" wrapText="1"/>
      <protection locked="0"/>
    </xf>
    <xf numFmtId="0" fontId="8" fillId="44" borderId="18" xfId="0" applyFont="1" applyFill="1" applyBorder="1" applyProtection="1">
      <protection locked="0"/>
    </xf>
    <xf numFmtId="0" fontId="8" fillId="44" borderId="14" xfId="0" applyFont="1" applyFill="1" applyBorder="1" applyProtection="1">
      <protection locked="0"/>
    </xf>
    <xf numFmtId="0" fontId="8" fillId="44" borderId="10" xfId="0" applyFont="1" applyFill="1" applyBorder="1" applyProtection="1">
      <protection locked="0"/>
    </xf>
    <xf numFmtId="0" fontId="8" fillId="44" borderId="0" xfId="0" applyFont="1" applyFill="1" applyBorder="1" applyProtection="1">
      <protection locked="0"/>
    </xf>
    <xf numFmtId="0" fontId="8" fillId="44" borderId="17" xfId="0" applyFont="1" applyFill="1" applyBorder="1" applyProtection="1">
      <protection locked="0"/>
    </xf>
    <xf numFmtId="0" fontId="8" fillId="44" borderId="15" xfId="0" applyFont="1" applyFill="1" applyBorder="1" applyProtection="1">
      <protection locked="0"/>
    </xf>
    <xf numFmtId="0" fontId="9" fillId="42" borderId="0" xfId="0" applyFont="1" applyFill="1" applyBorder="1" applyAlignment="1" applyProtection="1">
      <alignment horizontal="center" vertical="center" wrapText="1"/>
      <protection locked="0"/>
    </xf>
    <xf numFmtId="0" fontId="8" fillId="0" borderId="117" xfId="0" applyFont="1" applyBorder="1" applyAlignment="1">
      <alignment horizontal="center" wrapText="1"/>
    </xf>
    <xf numFmtId="0" fontId="8" fillId="0" borderId="85" xfId="0" applyFont="1" applyBorder="1" applyAlignment="1">
      <alignment horizontal="center" wrapText="1"/>
    </xf>
    <xf numFmtId="0" fontId="82" fillId="42" borderId="0" xfId="0" applyFont="1" applyFill="1" applyBorder="1" applyAlignment="1" applyProtection="1">
      <alignment horizontal="left" vertical="center" wrapText="1"/>
      <protection locked="0"/>
    </xf>
    <xf numFmtId="0" fontId="8" fillId="0" borderId="106" xfId="0" applyFont="1" applyBorder="1" applyAlignment="1">
      <alignment horizontal="center" wrapText="1"/>
    </xf>
    <xf numFmtId="0" fontId="8" fillId="0" borderId="105" xfId="0" applyFont="1" applyBorder="1" applyAlignment="1">
      <alignment horizontal="center" wrapText="1"/>
    </xf>
    <xf numFmtId="0" fontId="8" fillId="0" borderId="107" xfId="0" applyFont="1" applyBorder="1" applyAlignment="1">
      <alignment horizontal="center" wrapText="1"/>
    </xf>
    <xf numFmtId="0" fontId="8" fillId="0" borderId="82" xfId="0" applyFont="1" applyBorder="1" applyAlignment="1">
      <alignment horizontal="center" wrapText="1"/>
    </xf>
    <xf numFmtId="0" fontId="8" fillId="0" borderId="83" xfId="0" applyFont="1" applyBorder="1" applyAlignment="1">
      <alignment horizontal="center" wrapText="1"/>
    </xf>
    <xf numFmtId="0" fontId="8" fillId="0" borderId="109" xfId="0" applyFont="1" applyBorder="1" applyAlignment="1">
      <alignment horizontal="center" wrapText="1"/>
    </xf>
    <xf numFmtId="0" fontId="8" fillId="0" borderId="111" xfId="0" applyFont="1" applyBorder="1" applyAlignment="1">
      <alignment horizontal="center" wrapText="1"/>
    </xf>
    <xf numFmtId="3" fontId="9" fillId="64" borderId="23" xfId="0" applyNumberFormat="1" applyFont="1" applyFill="1" applyBorder="1" applyAlignment="1" applyProtection="1">
      <alignment horizontal="center" vertical="center" wrapText="1"/>
      <protection locked="0"/>
    </xf>
    <xf numFmtId="0" fontId="14" fillId="75" borderId="44" xfId="0" applyFont="1" applyFill="1" applyBorder="1" applyAlignment="1">
      <alignment horizontal="center" wrapText="1"/>
    </xf>
    <xf numFmtId="0" fontId="14" fillId="75" borderId="66" xfId="0" applyFont="1" applyFill="1" applyBorder="1" applyAlignment="1">
      <alignment horizontal="center" wrapText="1"/>
    </xf>
    <xf numFmtId="0" fontId="14" fillId="75" borderId="48" xfId="0" applyFont="1" applyFill="1" applyBorder="1" applyAlignment="1">
      <alignment horizontal="center" wrapText="1"/>
    </xf>
    <xf numFmtId="0" fontId="14" fillId="45" borderId="21" xfId="0" applyFont="1" applyFill="1" applyBorder="1" applyAlignment="1">
      <alignment horizontal="center" wrapText="1"/>
    </xf>
    <xf numFmtId="0" fontId="24" fillId="43" borderId="60" xfId="60" applyFont="1" applyFill="1" applyBorder="1" applyAlignment="1">
      <alignment horizontal="center" wrapText="1"/>
    </xf>
    <xf numFmtId="0" fontId="63" fillId="43" borderId="49" xfId="60" applyFill="1" applyBorder="1" applyAlignment="1">
      <alignment horizontal="center" wrapText="1"/>
    </xf>
    <xf numFmtId="0" fontId="63" fillId="43" borderId="51" xfId="60" applyFill="1" applyBorder="1" applyAlignment="1">
      <alignment horizontal="center" wrapText="1"/>
    </xf>
    <xf numFmtId="0" fontId="24" fillId="43" borderId="52" xfId="60" applyFont="1" applyFill="1" applyBorder="1" applyAlignment="1">
      <alignment horizontal="center" wrapText="1"/>
    </xf>
    <xf numFmtId="0" fontId="63" fillId="43" borderId="65" xfId="60" applyFill="1" applyBorder="1" applyAlignment="1">
      <alignment horizontal="center" wrapText="1"/>
    </xf>
    <xf numFmtId="0" fontId="63" fillId="43" borderId="25" xfId="60" applyFill="1" applyBorder="1" applyAlignment="1">
      <alignment horizontal="center" wrapText="1"/>
    </xf>
    <xf numFmtId="0" fontId="58" fillId="56" borderId="44" xfId="60" applyFont="1" applyFill="1" applyBorder="1" applyAlignment="1">
      <alignment horizontal="center" vertical="center"/>
    </xf>
    <xf numFmtId="0" fontId="58" fillId="56" borderId="66" xfId="60" applyFont="1" applyFill="1" applyBorder="1" applyAlignment="1">
      <alignment horizontal="center" vertical="center"/>
    </xf>
    <xf numFmtId="0" fontId="58" fillId="56" borderId="48" xfId="60" applyFont="1" applyFill="1" applyBorder="1" applyAlignment="1">
      <alignment horizontal="center" vertical="center"/>
    </xf>
    <xf numFmtId="0" fontId="24" fillId="43" borderId="44" xfId="60" applyFont="1" applyFill="1" applyBorder="1" applyAlignment="1">
      <alignment horizontal="center" wrapText="1"/>
    </xf>
    <xf numFmtId="0" fontId="24" fillId="43" borderId="66" xfId="60" applyFont="1" applyFill="1" applyBorder="1" applyAlignment="1">
      <alignment horizontal="center" wrapText="1"/>
    </xf>
    <xf numFmtId="0" fontId="24" fillId="43" borderId="48" xfId="60" applyFont="1" applyFill="1" applyBorder="1" applyAlignment="1">
      <alignment horizontal="center" wrapText="1"/>
    </xf>
    <xf numFmtId="0" fontId="24" fillId="43" borderId="65" xfId="60" applyFont="1" applyFill="1" applyBorder="1" applyAlignment="1">
      <alignment horizontal="center" wrapText="1"/>
    </xf>
    <xf numFmtId="0" fontId="24" fillId="43" borderId="25" xfId="60" applyFont="1" applyFill="1" applyBorder="1" applyAlignment="1">
      <alignment horizontal="center" wrapText="1"/>
    </xf>
  </cellXfs>
  <cellStyles count="9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1 - 20%" xfId="20"/>
    <cellStyle name="Accent1 - 40%" xfId="21"/>
    <cellStyle name="Accent1 - 60%" xfId="22"/>
    <cellStyle name="Accent2" xfId="23" builtinId="33" customBuiltin="1"/>
    <cellStyle name="Accent2 - 20%" xfId="24"/>
    <cellStyle name="Accent2 - 40%" xfId="25"/>
    <cellStyle name="Accent2 - 60%" xfId="26"/>
    <cellStyle name="Accent3" xfId="27" builtinId="37" customBuiltin="1"/>
    <cellStyle name="Accent3 - 20%" xfId="28"/>
    <cellStyle name="Accent3 - 40%" xfId="29"/>
    <cellStyle name="Accent3 - 60%" xfId="30"/>
    <cellStyle name="Accent4" xfId="31" builtinId="41" customBuiltin="1"/>
    <cellStyle name="Accent4 - 20%" xfId="32"/>
    <cellStyle name="Accent4 - 40%" xfId="33"/>
    <cellStyle name="Accent4 - 60%" xfId="34"/>
    <cellStyle name="Accent5" xfId="35" builtinId="45" customBuiltin="1"/>
    <cellStyle name="Accent5 - 20%" xfId="36"/>
    <cellStyle name="Accent5 - 40%" xfId="37"/>
    <cellStyle name="Accent5 - 60%" xfId="38"/>
    <cellStyle name="Accent6" xfId="39" builtinId="49" customBuiltin="1"/>
    <cellStyle name="Accent6 - 20%" xfId="40"/>
    <cellStyle name="Accent6 - 40%" xfId="41"/>
    <cellStyle name="Accent6 - 60%" xfId="42"/>
    <cellStyle name="Bad" xfId="43" builtinId="27" customBuiltin="1"/>
    <cellStyle name="Calculation" xfId="44" builtinId="22" customBuiltin="1"/>
    <cellStyle name="Check Cell" xfId="45" builtinId="23" customBuiltin="1"/>
    <cellStyle name="Comma" xfId="92" builtinId="3"/>
    <cellStyle name="Comma 2" xfId="46"/>
    <cellStyle name="Comma 2 2" xfId="75"/>
    <cellStyle name="Comma 2 2 2" xfId="83"/>
    <cellStyle name="Comma 2 3" xfId="78"/>
    <cellStyle name="Comma 3" xfId="73"/>
    <cellStyle name="Currency" xfId="93" builtinId="4"/>
    <cellStyle name="Currency 2" xfId="47"/>
    <cellStyle name="Emphasis 1" xfId="48"/>
    <cellStyle name="Emphasis 2" xfId="49"/>
    <cellStyle name="Emphasis 3" xfId="50"/>
    <cellStyle name="Explanatory Text" xfId="51" builtinId="53" customBuiltin="1"/>
    <cellStyle name="Good" xfId="52" builtinId="26" customBuiltin="1"/>
    <cellStyle name="Heading 1" xfId="53" builtinId="16" customBuiltin="1"/>
    <cellStyle name="Heading 2" xfId="54" builtinId="17" customBuiltin="1"/>
    <cellStyle name="Heading 3" xfId="55" builtinId="18" customBuiltin="1"/>
    <cellStyle name="Heading 4" xfId="56" builtinId="19" customBuiltin="1"/>
    <cellStyle name="Hyperlink" xfId="86" builtinId="8"/>
    <cellStyle name="Hyperlink 2" xfId="91"/>
    <cellStyle name="Input" xfId="57" builtinId="20" customBuiltin="1"/>
    <cellStyle name="Linked Cell" xfId="58" builtinId="24" customBuiltin="1"/>
    <cellStyle name="Neutral" xfId="59" builtinId="28" customBuiltin="1"/>
    <cellStyle name="Normal" xfId="0" builtinId="0"/>
    <cellStyle name="Normal 2" xfId="60"/>
    <cellStyle name="Normal 2 2" xfId="70"/>
    <cellStyle name="Normal 2 2 2" xfId="80"/>
    <cellStyle name="Normal 2 3" xfId="79"/>
    <cellStyle name="Normal 2 3 2" xfId="85"/>
    <cellStyle name="Normal 2 3 2 2" xfId="90"/>
    <cellStyle name="Normal 2 3 3" xfId="88"/>
    <cellStyle name="Normal 2 4" xfId="84"/>
    <cellStyle name="Normal 2 4 2" xfId="89"/>
    <cellStyle name="Normal 2 5" xfId="87"/>
    <cellStyle name="Normal 3" xfId="61"/>
    <cellStyle name="Normal 3 2" xfId="76"/>
    <cellStyle name="Normal 4" xfId="72"/>
    <cellStyle name="Normal 4 2" xfId="82"/>
    <cellStyle name="Note" xfId="62" builtinId="10" customBuiltin="1"/>
    <cellStyle name="Output" xfId="63" builtinId="21" customBuiltin="1"/>
    <cellStyle name="Percent" xfId="64" builtinId="5"/>
    <cellStyle name="Percent 2" xfId="65"/>
    <cellStyle name="Percent 2 2" xfId="71"/>
    <cellStyle name="Percent 2 2 2" xfId="81"/>
    <cellStyle name="Percent 2 3" xfId="77"/>
    <cellStyle name="Percent 3" xfId="74"/>
    <cellStyle name="Sheet Title" xfId="66"/>
    <cellStyle name="Title" xfId="67" builtinId="15" customBuiltin="1"/>
    <cellStyle name="Total" xfId="68" builtinId="25" customBuiltin="1"/>
    <cellStyle name="Warning Text" xfId="69" builtinId="11" customBuiltin="1"/>
  </cellStyles>
  <dxfs count="2241">
    <dxf>
      <fill>
        <patternFill>
          <bgColor rgb="FF7030A0"/>
        </patternFill>
      </fill>
    </dxf>
    <dxf>
      <fill>
        <patternFill>
          <bgColor rgb="FFFFFF00"/>
        </patternFill>
      </fill>
    </dxf>
    <dxf>
      <fill>
        <patternFill>
          <bgColor theme="5" tint="0.39994506668294322"/>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39994506668294322"/>
        </patternFill>
      </fill>
    </dxf>
    <dxf>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0" tint="-4.9989318521683403E-2"/>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fgColor indexed="64"/>
          <bgColor theme="9" tint="0.39991454817346722"/>
        </patternFill>
      </fill>
      <border>
        <top style="thin">
          <color theme="0" tint="-0.499984740745262"/>
        </top>
        <bottom style="thin">
          <color theme="0" tint="-0.499984740745262"/>
        </bottom>
      </border>
    </dxf>
    <dxf>
      <font>
        <color rgb="FFFF0000"/>
      </font>
      <fill>
        <patternFill>
          <fgColor indexed="64"/>
          <bgColor theme="9" tint="0.39991454817346722"/>
        </patternFill>
      </fill>
      <border>
        <top style="thin">
          <color theme="0" tint="-0.499984740745262"/>
        </top>
        <bottom style="thin">
          <color theme="0" tint="-0.499984740745262"/>
        </bottom>
      </border>
    </dxf>
    <dxf>
      <fill>
        <patternFill>
          <bgColor theme="7" tint="0.59996337778862885"/>
        </patternFill>
      </fill>
    </dxf>
    <dxf>
      <fill>
        <patternFill>
          <bgColor theme="7" tint="0.59996337778862885"/>
        </patternFill>
      </fill>
    </dxf>
  </dxfs>
  <tableStyles count="0" defaultTableStyle="TableStyleMedium9" defaultPivotStyle="PivotStyleLight16"/>
  <colors>
    <mruColors>
      <color rgb="FFCCFFCC"/>
      <color rgb="FFCCECFF"/>
      <color rgb="FFBEB0D0"/>
      <color rgb="FFB6A6CA"/>
      <color rgb="FFD0BAFC"/>
      <color rgb="FFFFFFCC"/>
      <color rgb="FF99FFCC"/>
      <color rgb="FF66FFFF"/>
      <color rgb="FFCCFFFF"/>
      <color rgb="FF96969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9947206136334001E-2"/>
          <c:y val="4.4198895027624314E-2"/>
          <c:w val="0.88227627195490033"/>
          <c:h val="0.81280642868703079"/>
        </c:manualLayout>
      </c:layout>
      <c:lineChart>
        <c:grouping val="standard"/>
        <c:ser>
          <c:idx val="0"/>
          <c:order val="0"/>
          <c:tx>
            <c:strRef>
              <c:f>'Detailed Lighting'!$BD$10</c:f>
              <c:strCache>
                <c:ptCount val="1"/>
                <c:pt idx="0">
                  <c:v>Jan</c:v>
                </c:pt>
              </c:strCache>
            </c:strRef>
          </c:tx>
          <c:marker>
            <c:symbol val="none"/>
          </c:marker>
          <c:val>
            <c:numRef>
              <c:f>'Detailed Lighting'!$BD$11:$BD$34</c:f>
              <c:numCache>
                <c:formatCode>0.000</c:formatCode>
                <c:ptCount val="24"/>
                <c:pt idx="0">
                  <c:v>2.2958931029971312E-2</c:v>
                </c:pt>
                <c:pt idx="1">
                  <c:v>1.3775358617982788E-2</c:v>
                </c:pt>
                <c:pt idx="2">
                  <c:v>9.1835724119885241E-3</c:v>
                </c:pt>
                <c:pt idx="3">
                  <c:v>9.1835724119885241E-3</c:v>
                </c:pt>
                <c:pt idx="4">
                  <c:v>9.1835724119885241E-3</c:v>
                </c:pt>
                <c:pt idx="5">
                  <c:v>1.0056501252779244E-2</c:v>
                </c:pt>
                <c:pt idx="6">
                  <c:v>2.1705332777767396E-2</c:v>
                </c:pt>
                <c:pt idx="7">
                  <c:v>4.5394122115626587E-2</c:v>
                </c:pt>
                <c:pt idx="8">
                  <c:v>4.3367632299515992E-2</c:v>
                </c:pt>
                <c:pt idx="9">
                  <c:v>2.2227285844653537E-2</c:v>
                </c:pt>
                <c:pt idx="10">
                  <c:v>1.8096795502270439E-2</c:v>
                </c:pt>
                <c:pt idx="11">
                  <c:v>1.7930184243351865E-2</c:v>
                </c:pt>
                <c:pt idx="12">
                  <c:v>1.794860437380736E-2</c:v>
                </c:pt>
                <c:pt idx="13">
                  <c:v>1.819451331049126E-2</c:v>
                </c:pt>
                <c:pt idx="14">
                  <c:v>1.9820666841575029E-2</c:v>
                </c:pt>
                <c:pt idx="15">
                  <c:v>2.7055276508471848E-2</c:v>
                </c:pt>
                <c:pt idx="16">
                  <c:v>4.7783179391746228E-2</c:v>
                </c:pt>
                <c:pt idx="17">
                  <c:v>8.4187280463387332E-2</c:v>
                </c:pt>
                <c:pt idx="18">
                  <c:v>0.11773734557773614</c:v>
                </c:pt>
                <c:pt idx="19">
                  <c:v>0.11999318647125856</c:v>
                </c:pt>
                <c:pt idx="20">
                  <c:v>0.10319840540118846</c:v>
                </c:pt>
                <c:pt idx="21">
                  <c:v>8.8216285795950117E-2</c:v>
                </c:pt>
                <c:pt idx="22">
                  <c:v>6.6564816516497149E-2</c:v>
                </c:pt>
                <c:pt idx="23">
                  <c:v>4.6237578428005952E-2</c:v>
                </c:pt>
              </c:numCache>
            </c:numRef>
          </c:val>
        </c:ser>
        <c:ser>
          <c:idx val="1"/>
          <c:order val="1"/>
          <c:tx>
            <c:strRef>
              <c:f>'Detailed Lighting'!$BE$10</c:f>
              <c:strCache>
                <c:ptCount val="1"/>
                <c:pt idx="0">
                  <c:v>Feb</c:v>
                </c:pt>
              </c:strCache>
            </c:strRef>
          </c:tx>
          <c:marker>
            <c:symbol val="none"/>
          </c:marker>
          <c:val>
            <c:numRef>
              <c:f>'Detailed Lighting'!$BE$11:$BE$34</c:f>
              <c:numCache>
                <c:formatCode>0.000</c:formatCode>
                <c:ptCount val="24"/>
                <c:pt idx="0">
                  <c:v>2.6195190778883642E-2</c:v>
                </c:pt>
                <c:pt idx="1">
                  <c:v>1.5717114467330186E-2</c:v>
                </c:pt>
                <c:pt idx="2">
                  <c:v>1.0478076311553456E-2</c:v>
                </c:pt>
                <c:pt idx="3">
                  <c:v>1.0478076311553456E-2</c:v>
                </c:pt>
                <c:pt idx="4">
                  <c:v>1.0478076311553456E-2</c:v>
                </c:pt>
                <c:pt idx="5">
                  <c:v>1.1273574969145769E-2</c:v>
                </c:pt>
                <c:pt idx="6">
                  <c:v>2.1889136521967379E-2</c:v>
                </c:pt>
                <c:pt idx="7">
                  <c:v>4.3476692388702609E-2</c:v>
                </c:pt>
                <c:pt idx="8">
                  <c:v>3.8774107887683019E-2</c:v>
                </c:pt>
                <c:pt idx="9">
                  <c:v>1.9508943947577486E-2</c:v>
                </c:pt>
                <c:pt idx="10">
                  <c:v>1.574483469946579E-2</c:v>
                </c:pt>
                <c:pt idx="11">
                  <c:v>1.5593002125473352E-2</c:v>
                </c:pt>
                <c:pt idx="12">
                  <c:v>1.5601516492816382E-2</c:v>
                </c:pt>
                <c:pt idx="13">
                  <c:v>1.5727286556300995E-2</c:v>
                </c:pt>
                <c:pt idx="14">
                  <c:v>1.6617283432253698E-2</c:v>
                </c:pt>
                <c:pt idx="15">
                  <c:v>2.1003993007894385E-2</c:v>
                </c:pt>
                <c:pt idx="16">
                  <c:v>3.5532044314113352E-2</c:v>
                </c:pt>
                <c:pt idx="17">
                  <c:v>6.6904219690388095E-2</c:v>
                </c:pt>
                <c:pt idx="18">
                  <c:v>0.10784945819448277</c:v>
                </c:pt>
                <c:pt idx="19">
                  <c:v>0.13151430539915016</c:v>
                </c:pt>
                <c:pt idx="20">
                  <c:v>0.12028906511728614</c:v>
                </c:pt>
                <c:pt idx="21">
                  <c:v>0.10065113367921137</c:v>
                </c:pt>
                <c:pt idx="22">
                  <c:v>7.5947702684187476E-2</c:v>
                </c:pt>
                <c:pt idx="23">
                  <c:v>5.2755164711025489E-2</c:v>
                </c:pt>
              </c:numCache>
            </c:numRef>
          </c:val>
        </c:ser>
        <c:ser>
          <c:idx val="2"/>
          <c:order val="2"/>
          <c:tx>
            <c:strRef>
              <c:f>'Detailed Lighting'!$BF$10</c:f>
              <c:strCache>
                <c:ptCount val="1"/>
                <c:pt idx="0">
                  <c:v>Mar</c:v>
                </c:pt>
              </c:strCache>
            </c:strRef>
          </c:tx>
          <c:marker>
            <c:symbol val="none"/>
          </c:marker>
          <c:val>
            <c:numRef>
              <c:f>'Detailed Lighting'!$BF$11:$BF$34</c:f>
              <c:numCache>
                <c:formatCode>0.000</c:formatCode>
                <c:ptCount val="24"/>
                <c:pt idx="0">
                  <c:v>3.1239455903513302E-2</c:v>
                </c:pt>
                <c:pt idx="1">
                  <c:v>1.8743673542107982E-2</c:v>
                </c:pt>
                <c:pt idx="2">
                  <c:v>1.2495782361405321E-2</c:v>
                </c:pt>
                <c:pt idx="3">
                  <c:v>1.2495782361405321E-2</c:v>
                </c:pt>
                <c:pt idx="4">
                  <c:v>1.2495782361405321E-2</c:v>
                </c:pt>
                <c:pt idx="5">
                  <c:v>1.3082381025789739E-2</c:v>
                </c:pt>
                <c:pt idx="6">
                  <c:v>2.0910268815598026E-2</c:v>
                </c:pt>
                <c:pt idx="7">
                  <c:v>3.6828876996632495E-2</c:v>
                </c:pt>
                <c:pt idx="8">
                  <c:v>2.9657300856219388E-2</c:v>
                </c:pt>
                <c:pt idx="9">
                  <c:v>1.5451218509560763E-2</c:v>
                </c:pt>
                <c:pt idx="10">
                  <c:v>1.2675574029880253E-2</c:v>
                </c:pt>
                <c:pt idx="11">
                  <c:v>1.2563613080274654E-2</c:v>
                </c:pt>
                <c:pt idx="12">
                  <c:v>1.2568449028167838E-2</c:v>
                </c:pt>
                <c:pt idx="13">
                  <c:v>1.2642825872089224E-2</c:v>
                </c:pt>
                <c:pt idx="14">
                  <c:v>1.3185701910018314E-2</c:v>
                </c:pt>
                <c:pt idx="15">
                  <c:v>1.6037325404124208E-2</c:v>
                </c:pt>
                <c:pt idx="16">
                  <c:v>2.6476830301252099E-2</c:v>
                </c:pt>
                <c:pt idx="17">
                  <c:v>5.2586365910286939E-2</c:v>
                </c:pt>
                <c:pt idx="18">
                  <c:v>9.5284735139678084E-2</c:v>
                </c:pt>
                <c:pt idx="19">
                  <c:v>0.1354371160380459</c:v>
                </c:pt>
                <c:pt idx="20">
                  <c:v>0.14041864713277744</c:v>
                </c:pt>
                <c:pt idx="21">
                  <c:v>0.11323581628024801</c:v>
                </c:pt>
                <c:pt idx="22">
                  <c:v>9.0572537875478115E-2</c:v>
                </c:pt>
                <c:pt idx="23">
                  <c:v>6.291393926404136E-2</c:v>
                </c:pt>
              </c:numCache>
            </c:numRef>
          </c:val>
        </c:ser>
        <c:ser>
          <c:idx val="3"/>
          <c:order val="3"/>
          <c:tx>
            <c:strRef>
              <c:f>'Detailed Lighting'!$BG$10</c:f>
              <c:strCache>
                <c:ptCount val="1"/>
                <c:pt idx="0">
                  <c:v>Apr</c:v>
                </c:pt>
              </c:strCache>
            </c:strRef>
          </c:tx>
          <c:marker>
            <c:symbol val="none"/>
          </c:marker>
          <c:val>
            <c:numRef>
              <c:f>'Detailed Lighting'!$BG$11:$BG$34</c:f>
              <c:numCache>
                <c:formatCode>0.000</c:formatCode>
                <c:ptCount val="24"/>
                <c:pt idx="0">
                  <c:v>3.8111576244204547E-2</c:v>
                </c:pt>
                <c:pt idx="1">
                  <c:v>2.2866945746522729E-2</c:v>
                </c:pt>
                <c:pt idx="2">
                  <c:v>1.5244630497681818E-2</c:v>
                </c:pt>
                <c:pt idx="3">
                  <c:v>1.5244630497681818E-2</c:v>
                </c:pt>
                <c:pt idx="4">
                  <c:v>1.5244630497681818E-2</c:v>
                </c:pt>
                <c:pt idx="5">
                  <c:v>1.6060537322136074E-2</c:v>
                </c:pt>
                <c:pt idx="6">
                  <c:v>2.6948436420012642E-2</c:v>
                </c:pt>
                <c:pt idx="7">
                  <c:v>4.908981150198486E-2</c:v>
                </c:pt>
                <c:pt idx="8">
                  <c:v>3.8734295206579769E-2</c:v>
                </c:pt>
                <c:pt idx="9">
                  <c:v>1.8974891990819972E-2</c:v>
                </c:pt>
                <c:pt idx="10">
                  <c:v>1.5114216181735633E-2</c:v>
                </c:pt>
                <c:pt idx="11">
                  <c:v>1.4958488410088813E-2</c:v>
                </c:pt>
                <c:pt idx="12">
                  <c:v>1.4957442947170732E-2</c:v>
                </c:pt>
                <c:pt idx="13">
                  <c:v>1.4962720815938427E-2</c:v>
                </c:pt>
                <c:pt idx="14">
                  <c:v>1.5015397596374741E-2</c:v>
                </c:pt>
                <c:pt idx="15">
                  <c:v>1.5404447874753414E-2</c:v>
                </c:pt>
                <c:pt idx="16">
                  <c:v>1.7489702210209731E-2</c:v>
                </c:pt>
                <c:pt idx="17">
                  <c:v>2.5535851497704896E-2</c:v>
                </c:pt>
                <c:pt idx="18">
                  <c:v>4.7567539508267913E-2</c:v>
                </c:pt>
                <c:pt idx="19">
                  <c:v>8.9162326462543046E-2</c:v>
                </c:pt>
                <c:pt idx="20">
                  <c:v>0.13962265300436791</c:v>
                </c:pt>
                <c:pt idx="21">
                  <c:v>0.14643807665539613</c:v>
                </c:pt>
                <c:pt idx="22">
                  <c:v>0.11049687272191509</c:v>
                </c:pt>
                <c:pt idx="23">
                  <c:v>7.675387818822757E-2</c:v>
                </c:pt>
              </c:numCache>
            </c:numRef>
          </c:val>
        </c:ser>
        <c:ser>
          <c:idx val="4"/>
          <c:order val="4"/>
          <c:tx>
            <c:strRef>
              <c:f>'Detailed Lighting'!$BH$10</c:f>
              <c:strCache>
                <c:ptCount val="1"/>
                <c:pt idx="0">
                  <c:v>May</c:v>
                </c:pt>
              </c:strCache>
            </c:strRef>
          </c:tx>
          <c:marker>
            <c:symbol val="none"/>
          </c:marker>
          <c:val>
            <c:numRef>
              <c:f>'Detailed Lighting'!$BH$11:$BH$34</c:f>
              <c:numCache>
                <c:formatCode>0.000</c:formatCode>
                <c:ptCount val="24"/>
                <c:pt idx="0">
                  <c:v>4.3720973085609134E-2</c:v>
                </c:pt>
                <c:pt idx="1">
                  <c:v>2.6232583851365482E-2</c:v>
                </c:pt>
                <c:pt idx="2">
                  <c:v>1.7488389234243652E-2</c:v>
                </c:pt>
                <c:pt idx="3">
                  <c:v>1.7488389234243652E-2</c:v>
                </c:pt>
                <c:pt idx="4">
                  <c:v>1.7488389234243652E-2</c:v>
                </c:pt>
                <c:pt idx="5">
                  <c:v>1.8061055359325381E-2</c:v>
                </c:pt>
                <c:pt idx="6">
                  <c:v>2.5703019857946163E-2</c:v>
                </c:pt>
                <c:pt idx="7">
                  <c:v>4.1243538814452432E-2</c:v>
                </c:pt>
                <c:pt idx="8">
                  <c:v>3.0934413909181422E-2</c:v>
                </c:pt>
                <c:pt idx="9">
                  <c:v>1.7065745901574818E-2</c:v>
                </c:pt>
                <c:pt idx="10">
                  <c:v>1.4356026863173695E-2</c:v>
                </c:pt>
                <c:pt idx="11">
                  <c:v>1.4246725142825606E-2</c:v>
                </c:pt>
                <c:pt idx="12">
                  <c:v>1.4246048069974822E-2</c:v>
                </c:pt>
                <c:pt idx="13">
                  <c:v>1.4250322900245983E-2</c:v>
                </c:pt>
                <c:pt idx="14">
                  <c:v>1.4290358098614085E-2</c:v>
                </c:pt>
                <c:pt idx="15">
                  <c:v>1.4576102569874981E-2</c:v>
                </c:pt>
                <c:pt idx="16">
                  <c:v>1.6098414055920655E-2</c:v>
                </c:pt>
                <c:pt idx="17">
                  <c:v>2.2113742908472799E-2</c:v>
                </c:pt>
                <c:pt idx="18">
                  <c:v>3.9553892938662003E-2</c:v>
                </c:pt>
                <c:pt idx="19">
                  <c:v>7.5914360473199965E-2</c:v>
                </c:pt>
                <c:pt idx="20">
                  <c:v>0.12809747653899098</c:v>
                </c:pt>
                <c:pt idx="21">
                  <c:v>0.16201905099878697</c:v>
                </c:pt>
                <c:pt idx="22">
                  <c:v>0.12676019399888927</c:v>
                </c:pt>
                <c:pt idx="23">
                  <c:v>8.8050785960182204E-2</c:v>
                </c:pt>
              </c:numCache>
            </c:numRef>
          </c:val>
        </c:ser>
        <c:ser>
          <c:idx val="5"/>
          <c:order val="5"/>
          <c:tx>
            <c:strRef>
              <c:f>'Detailed Lighting'!$BI$10</c:f>
              <c:strCache>
                <c:ptCount val="1"/>
                <c:pt idx="0">
                  <c:v>Jun</c:v>
                </c:pt>
              </c:strCache>
            </c:strRef>
          </c:tx>
          <c:spPr>
            <a:ln w="25400"/>
          </c:spPr>
          <c:marker>
            <c:symbol val="none"/>
          </c:marker>
          <c:val>
            <c:numRef>
              <c:f>'Detailed Lighting'!$BI$11:$BI$34</c:f>
              <c:numCache>
                <c:formatCode>0.000</c:formatCode>
                <c:ptCount val="24"/>
                <c:pt idx="0">
                  <c:v>4.6795012448272444E-2</c:v>
                </c:pt>
                <c:pt idx="1">
                  <c:v>2.8077007468963466E-2</c:v>
                </c:pt>
                <c:pt idx="2">
                  <c:v>1.8718004979308978E-2</c:v>
                </c:pt>
                <c:pt idx="3">
                  <c:v>1.8718004979308978E-2</c:v>
                </c:pt>
                <c:pt idx="4">
                  <c:v>1.8718004979308978E-2</c:v>
                </c:pt>
                <c:pt idx="5">
                  <c:v>1.9213029365548376E-2</c:v>
                </c:pt>
                <c:pt idx="6">
                  <c:v>2.5818900779809372E-2</c:v>
                </c:pt>
                <c:pt idx="7">
                  <c:v>3.9252445250749245E-2</c:v>
                </c:pt>
                <c:pt idx="8">
                  <c:v>2.9126140749211816E-2</c:v>
                </c:pt>
                <c:pt idx="9">
                  <c:v>1.7137778651761724E-2</c:v>
                </c:pt>
                <c:pt idx="10">
                  <c:v>1.4795441738304013E-2</c:v>
                </c:pt>
                <c:pt idx="11">
                  <c:v>1.4700959081376298E-2</c:v>
                </c:pt>
                <c:pt idx="12">
                  <c:v>1.4700497554475549E-2</c:v>
                </c:pt>
                <c:pt idx="13">
                  <c:v>1.4705397476779701E-2</c:v>
                </c:pt>
                <c:pt idx="14">
                  <c:v>1.474620156654716E-2</c:v>
                </c:pt>
                <c:pt idx="15">
                  <c:v>1.5012910285142388E-2</c:v>
                </c:pt>
                <c:pt idx="16">
                  <c:v>1.6348462120007179E-2</c:v>
                </c:pt>
                <c:pt idx="17">
                  <c:v>2.1444161842061316E-2</c:v>
                </c:pt>
                <c:pt idx="18">
                  <c:v>3.6125706193047176E-2</c:v>
                </c:pt>
                <c:pt idx="19">
                  <c:v>6.7562087250796876E-2</c:v>
                </c:pt>
                <c:pt idx="20">
                  <c:v>0.11599809010774424</c:v>
                </c:pt>
                <c:pt idx="21">
                  <c:v>0.16237132798623327</c:v>
                </c:pt>
                <c:pt idx="22">
                  <c:v>0.13567275468706119</c:v>
                </c:pt>
                <c:pt idx="23">
                  <c:v>9.424167245818045E-2</c:v>
                </c:pt>
              </c:numCache>
            </c:numRef>
          </c:val>
        </c:ser>
        <c:ser>
          <c:idx val="6"/>
          <c:order val="6"/>
          <c:tx>
            <c:strRef>
              <c:f>'Detailed Lighting'!$BJ$10</c:f>
              <c:strCache>
                <c:ptCount val="1"/>
                <c:pt idx="0">
                  <c:v>Jul</c:v>
                </c:pt>
              </c:strCache>
            </c:strRef>
          </c:tx>
          <c:marker>
            <c:symbol val="none"/>
          </c:marker>
          <c:val>
            <c:numRef>
              <c:f>'Detailed Lighting'!$BJ$11:$BJ$34</c:f>
              <c:numCache>
                <c:formatCode>0.000</c:formatCode>
                <c:ptCount val="24"/>
                <c:pt idx="0">
                  <c:v>4.5987762031717699E-2</c:v>
                </c:pt>
                <c:pt idx="1">
                  <c:v>2.759265721903062E-2</c:v>
                </c:pt>
                <c:pt idx="2">
                  <c:v>1.839510481268708E-2</c:v>
                </c:pt>
                <c:pt idx="3">
                  <c:v>1.839510481268708E-2</c:v>
                </c:pt>
                <c:pt idx="4">
                  <c:v>1.839510481268708E-2</c:v>
                </c:pt>
                <c:pt idx="5">
                  <c:v>1.8981429545294651E-2</c:v>
                </c:pt>
                <c:pt idx="6">
                  <c:v>2.6805661842273856E-2</c:v>
                </c:pt>
                <c:pt idx="7">
                  <c:v>4.2716836299216049E-2</c:v>
                </c:pt>
                <c:pt idx="8">
                  <c:v>3.1993551859968022E-2</c:v>
                </c:pt>
                <c:pt idx="9">
                  <c:v>1.7794103516445614E-2</c:v>
                </c:pt>
                <c:pt idx="10">
                  <c:v>1.5019755216368592E-2</c:v>
                </c:pt>
                <c:pt idx="11">
                  <c:v>1.4907846550656098E-2</c:v>
                </c:pt>
                <c:pt idx="12">
                  <c:v>1.4907237960308621E-2</c:v>
                </c:pt>
                <c:pt idx="13">
                  <c:v>1.4912197875032524E-2</c:v>
                </c:pt>
                <c:pt idx="14">
                  <c:v>1.4953357281752861E-2</c:v>
                </c:pt>
                <c:pt idx="15">
                  <c:v>1.5221466099055272E-2</c:v>
                </c:pt>
                <c:pt idx="16">
                  <c:v>1.6559350999131979E-2</c:v>
                </c:pt>
                <c:pt idx="17">
                  <c:v>2.1645711935460003E-2</c:v>
                </c:pt>
                <c:pt idx="18">
                  <c:v>3.6245773682684945E-2</c:v>
                </c:pt>
                <c:pt idx="19">
                  <c:v>6.738245740769036E-2</c:v>
                </c:pt>
                <c:pt idx="20">
                  <c:v>0.11513503038478512</c:v>
                </c:pt>
                <c:pt idx="21">
                  <c:v>0.16010427367408481</c:v>
                </c:pt>
                <c:pt idx="22">
                  <c:v>0.13333229398396113</c:v>
                </c:pt>
                <c:pt idx="23">
                  <c:v>9.261593019702008E-2</c:v>
                </c:pt>
              </c:numCache>
            </c:numRef>
          </c:val>
        </c:ser>
        <c:ser>
          <c:idx val="7"/>
          <c:order val="7"/>
          <c:tx>
            <c:strRef>
              <c:f>'Detailed Lighting'!$BK$10</c:f>
              <c:strCache>
                <c:ptCount val="1"/>
                <c:pt idx="0">
                  <c:v>Aug</c:v>
                </c:pt>
              </c:strCache>
            </c:strRef>
          </c:tx>
          <c:marker>
            <c:symbol val="none"/>
          </c:marker>
          <c:val>
            <c:numRef>
              <c:f>'Detailed Lighting'!$BK$11:$BK$34</c:f>
              <c:numCache>
                <c:formatCode>0.000</c:formatCode>
                <c:ptCount val="24"/>
                <c:pt idx="0">
                  <c:v>4.1059124582624729E-2</c:v>
                </c:pt>
                <c:pt idx="1">
                  <c:v>2.4635474749574837E-2</c:v>
                </c:pt>
                <c:pt idx="2">
                  <c:v>1.6423649833049891E-2</c:v>
                </c:pt>
                <c:pt idx="3">
                  <c:v>1.6423649833049891E-2</c:v>
                </c:pt>
                <c:pt idx="4">
                  <c:v>1.6423649833049891E-2</c:v>
                </c:pt>
                <c:pt idx="5">
                  <c:v>1.7178168054488772E-2</c:v>
                </c:pt>
                <c:pt idx="6">
                  <c:v>2.7246864646199187E-2</c:v>
                </c:pt>
                <c:pt idx="7">
                  <c:v>4.7722328812386562E-2</c:v>
                </c:pt>
                <c:pt idx="8">
                  <c:v>3.7055454529747178E-2</c:v>
                </c:pt>
                <c:pt idx="9">
                  <c:v>1.878274332767943E-2</c:v>
                </c:pt>
                <c:pt idx="10">
                  <c:v>1.5212543694932339E-2</c:v>
                </c:pt>
                <c:pt idx="11">
                  <c:v>1.5068532837601675E-2</c:v>
                </c:pt>
                <c:pt idx="12">
                  <c:v>1.5067633413133743E-2</c:v>
                </c:pt>
                <c:pt idx="13">
                  <c:v>1.5072979905924653E-2</c:v>
                </c:pt>
                <c:pt idx="14">
                  <c:v>1.5121313762620566E-2</c:v>
                </c:pt>
                <c:pt idx="15">
                  <c:v>1.5454470779700583E-2</c:v>
                </c:pt>
                <c:pt idx="16">
                  <c:v>1.7167528284221814E-2</c:v>
                </c:pt>
                <c:pt idx="17">
                  <c:v>2.3694162451726623E-2</c:v>
                </c:pt>
                <c:pt idx="18">
                  <c:v>4.1906692963341027E-2</c:v>
                </c:pt>
                <c:pt idx="19">
                  <c:v>7.8324139487000302E-2</c:v>
                </c:pt>
                <c:pt idx="20">
                  <c:v>0.12802610429743469</c:v>
                </c:pt>
                <c:pt idx="21">
                  <c:v>0.15520007069248687</c:v>
                </c:pt>
                <c:pt idx="22">
                  <c:v>0.1190426980508172</c:v>
                </c:pt>
                <c:pt idx="23">
                  <c:v>8.2690021177207668E-2</c:v>
                </c:pt>
              </c:numCache>
            </c:numRef>
          </c:val>
        </c:ser>
        <c:ser>
          <c:idx val="8"/>
          <c:order val="8"/>
          <c:tx>
            <c:strRef>
              <c:f>'Detailed Lighting'!$BL$10</c:f>
              <c:strCache>
                <c:ptCount val="1"/>
                <c:pt idx="0">
                  <c:v>Sep</c:v>
                </c:pt>
              </c:strCache>
            </c:strRef>
          </c:tx>
          <c:marker>
            <c:symbol val="none"/>
          </c:marker>
          <c:val>
            <c:numRef>
              <c:f>'Detailed Lighting'!$BL$11:$BL$34</c:f>
              <c:numCache>
                <c:formatCode>0.000</c:formatCode>
                <c:ptCount val="24"/>
                <c:pt idx="0">
                  <c:v>3.4259434721744648E-2</c:v>
                </c:pt>
                <c:pt idx="1">
                  <c:v>2.0555660833046788E-2</c:v>
                </c:pt>
                <c:pt idx="2">
                  <c:v>1.3703773888697857E-2</c:v>
                </c:pt>
                <c:pt idx="3">
                  <c:v>1.3703773888697857E-2</c:v>
                </c:pt>
                <c:pt idx="4">
                  <c:v>1.3703773888697857E-2</c:v>
                </c:pt>
                <c:pt idx="5">
                  <c:v>1.4586507251847092E-2</c:v>
                </c:pt>
                <c:pt idx="6">
                  <c:v>2.6366175591705357E-2</c:v>
                </c:pt>
                <c:pt idx="7">
                  <c:v>5.032103159371417E-2</c:v>
                </c:pt>
                <c:pt idx="8">
                  <c:v>4.169673085616836E-2</c:v>
                </c:pt>
                <c:pt idx="9">
                  <c:v>2.0318941221749948E-2</c:v>
                </c:pt>
                <c:pt idx="10">
                  <c:v>1.6142058226241953E-2</c:v>
                </c:pt>
                <c:pt idx="11">
                  <c:v>1.5973575630581011E-2</c:v>
                </c:pt>
                <c:pt idx="12">
                  <c:v>1.5972952096993613E-2</c:v>
                </c:pt>
                <c:pt idx="13">
                  <c:v>1.5985488160429832E-2</c:v>
                </c:pt>
                <c:pt idx="14">
                  <c:v>1.6095414277396199E-2</c:v>
                </c:pt>
                <c:pt idx="15">
                  <c:v>1.6809602812864307E-2</c:v>
                </c:pt>
                <c:pt idx="16">
                  <c:v>2.0167816782794456E-2</c:v>
                </c:pt>
                <c:pt idx="17">
                  <c:v>3.1481929402994234E-2</c:v>
                </c:pt>
                <c:pt idx="18">
                  <c:v>5.8288052797964028E-2</c:v>
                </c:pt>
                <c:pt idx="19">
                  <c:v>0.10120183680223285</c:v>
                </c:pt>
                <c:pt idx="20">
                  <c:v>0.14270436212569823</c:v>
                </c:pt>
                <c:pt idx="21">
                  <c:v>0.13163679444290308</c:v>
                </c:pt>
                <c:pt idx="22">
                  <c:v>9.9328360855949371E-2</c:v>
                </c:pt>
                <c:pt idx="23">
                  <c:v>6.8995951848887002E-2</c:v>
                </c:pt>
              </c:numCache>
            </c:numRef>
          </c:val>
        </c:ser>
        <c:ser>
          <c:idx val="9"/>
          <c:order val="9"/>
          <c:tx>
            <c:strRef>
              <c:f>'Detailed Lighting'!$BM$10</c:f>
              <c:strCache>
                <c:ptCount val="1"/>
                <c:pt idx="0">
                  <c:v>Oct</c:v>
                </c:pt>
              </c:strCache>
            </c:strRef>
          </c:tx>
          <c:marker>
            <c:symbol val="none"/>
          </c:marker>
          <c:val>
            <c:numRef>
              <c:f>'Detailed Lighting'!$BM$11:$BM$34</c:f>
              <c:numCache>
                <c:formatCode>0.000</c:formatCode>
                <c:ptCount val="24"/>
                <c:pt idx="0">
                  <c:v>2.8290361094131959E-2</c:v>
                </c:pt>
                <c:pt idx="1">
                  <c:v>1.6974216656479177E-2</c:v>
                </c:pt>
                <c:pt idx="2">
                  <c:v>1.1316144437652784E-2</c:v>
                </c:pt>
                <c:pt idx="3">
                  <c:v>1.1316144437652784E-2</c:v>
                </c:pt>
                <c:pt idx="4">
                  <c:v>1.1316144437652784E-2</c:v>
                </c:pt>
                <c:pt idx="5">
                  <c:v>1.2300374905524349E-2</c:v>
                </c:pt>
                <c:pt idx="6">
                  <c:v>2.543447515086706E-2</c:v>
                </c:pt>
                <c:pt idx="7">
                  <c:v>5.2143671964885244E-2</c:v>
                </c:pt>
                <c:pt idx="8">
                  <c:v>4.6708329597991302E-2</c:v>
                </c:pt>
                <c:pt idx="9">
                  <c:v>2.2872511476334564E-2</c:v>
                </c:pt>
                <c:pt idx="10">
                  <c:v>1.8215368474231206E-2</c:v>
                </c:pt>
                <c:pt idx="11">
                  <c:v>1.8027513669056531E-2</c:v>
                </c:pt>
                <c:pt idx="12">
                  <c:v>1.8028482896186786E-2</c:v>
                </c:pt>
                <c:pt idx="13">
                  <c:v>1.8064976620279893E-2</c:v>
                </c:pt>
                <c:pt idx="14">
                  <c:v>1.8358619210167182E-2</c:v>
                </c:pt>
                <c:pt idx="15">
                  <c:v>2.0057729161237232E-2</c:v>
                </c:pt>
                <c:pt idx="16">
                  <c:v>2.6933927962713815E-2</c:v>
                </c:pt>
                <c:pt idx="17">
                  <c:v>4.6076964265967399E-2</c:v>
                </c:pt>
                <c:pt idx="18">
                  <c:v>8.1490187135324008E-2</c:v>
                </c:pt>
                <c:pt idx="19">
                  <c:v>0.12121270952568716</c:v>
                </c:pt>
                <c:pt idx="20">
                  <c:v>0.12716272152771424</c:v>
                </c:pt>
                <c:pt idx="21">
                  <c:v>0.10870151473048313</c:v>
                </c:pt>
                <c:pt idx="22">
                  <c:v>8.2022228864141344E-2</c:v>
                </c:pt>
                <c:pt idx="23">
                  <c:v>5.697468179763808E-2</c:v>
                </c:pt>
              </c:numCache>
            </c:numRef>
          </c:val>
        </c:ser>
        <c:ser>
          <c:idx val="10"/>
          <c:order val="10"/>
          <c:tx>
            <c:strRef>
              <c:f>'Detailed Lighting'!$BN$10</c:f>
              <c:strCache>
                <c:ptCount val="1"/>
                <c:pt idx="0">
                  <c:v>Nov</c:v>
                </c:pt>
              </c:strCache>
            </c:strRef>
          </c:tx>
          <c:marker>
            <c:symbol val="none"/>
          </c:marker>
          <c:val>
            <c:numRef>
              <c:f>'Detailed Lighting'!$BN$11:$BN$34</c:f>
              <c:numCache>
                <c:formatCode>0.000</c:formatCode>
                <c:ptCount val="24"/>
                <c:pt idx="0">
                  <c:v>2.3890754548899936E-2</c:v>
                </c:pt>
                <c:pt idx="1">
                  <c:v>1.4334452729339961E-2</c:v>
                </c:pt>
                <c:pt idx="2">
                  <c:v>9.5563018195599734E-3</c:v>
                </c:pt>
                <c:pt idx="3">
                  <c:v>9.5563018195599734E-3</c:v>
                </c:pt>
                <c:pt idx="4">
                  <c:v>9.5563018195599734E-3</c:v>
                </c:pt>
                <c:pt idx="5">
                  <c:v>1.0189967114268252E-2</c:v>
                </c:pt>
                <c:pt idx="6">
                  <c:v>1.8645937310650354E-2</c:v>
                </c:pt>
                <c:pt idx="7">
                  <c:v>3.5841799075808402E-2</c:v>
                </c:pt>
                <c:pt idx="8">
                  <c:v>3.4554226629035546E-2</c:v>
                </c:pt>
                <c:pt idx="9">
                  <c:v>1.9208297796599216E-2</c:v>
                </c:pt>
                <c:pt idx="10">
                  <c:v>1.6209945287447354E-2</c:v>
                </c:pt>
                <c:pt idx="11">
                  <c:v>1.6089000981851124E-2</c:v>
                </c:pt>
                <c:pt idx="12">
                  <c:v>1.6145857338623823E-2</c:v>
                </c:pt>
                <c:pt idx="13">
                  <c:v>1.670935915289613E-2</c:v>
                </c:pt>
                <c:pt idx="14">
                  <c:v>1.9633765206504249E-2</c:v>
                </c:pt>
                <c:pt idx="15">
                  <c:v>3.0211801103251529E-2</c:v>
                </c:pt>
                <c:pt idx="16">
                  <c:v>5.5378838096215209E-2</c:v>
                </c:pt>
                <c:pt idx="17">
                  <c:v>9.2452438147088964E-2</c:v>
                </c:pt>
                <c:pt idx="18">
                  <c:v>0.11980748321655216</c:v>
                </c:pt>
                <c:pt idx="19">
                  <c:v>0.11546296644051569</c:v>
                </c:pt>
                <c:pt idx="20">
                  <c:v>0.10738687136866859</c:v>
                </c:pt>
                <c:pt idx="21">
                  <c:v>9.1796679401814713E-2</c:v>
                </c:pt>
                <c:pt idx="22">
                  <c:v>6.9266451949012223E-2</c:v>
                </c:pt>
                <c:pt idx="23">
                  <c:v>4.8114201646276777E-2</c:v>
                </c:pt>
              </c:numCache>
            </c:numRef>
          </c:val>
        </c:ser>
        <c:ser>
          <c:idx val="11"/>
          <c:order val="11"/>
          <c:tx>
            <c:strRef>
              <c:f>'Detailed Lighting'!$BO$10</c:f>
              <c:strCache>
                <c:ptCount val="1"/>
                <c:pt idx="0">
                  <c:v>Dec</c:v>
                </c:pt>
              </c:strCache>
            </c:strRef>
          </c:tx>
          <c:spPr>
            <a:ln>
              <a:prstDash val="sysDash"/>
            </a:ln>
          </c:spPr>
          <c:marker>
            <c:symbol val="none"/>
          </c:marker>
          <c:val>
            <c:numRef>
              <c:f>'Detailed Lighting'!$BO$11:$BO$34</c:f>
              <c:numCache>
                <c:formatCode>0.000</c:formatCode>
                <c:ptCount val="24"/>
                <c:pt idx="0">
                  <c:v>2.2116829887083123E-2</c:v>
                </c:pt>
                <c:pt idx="1">
                  <c:v>1.3270097932249874E-2</c:v>
                </c:pt>
                <c:pt idx="2">
                  <c:v>8.846731954833249E-3</c:v>
                </c:pt>
                <c:pt idx="3">
                  <c:v>8.846731954833249E-3</c:v>
                </c:pt>
                <c:pt idx="4">
                  <c:v>8.846731954833249E-3</c:v>
                </c:pt>
                <c:pt idx="5">
                  <c:v>9.6298917355566588E-3</c:v>
                </c:pt>
                <c:pt idx="6">
                  <c:v>2.008079668507114E-2</c:v>
                </c:pt>
                <c:pt idx="7">
                  <c:v>4.1333510762699643E-2</c:v>
                </c:pt>
                <c:pt idx="8">
                  <c:v>4.0942437834119293E-2</c:v>
                </c:pt>
                <c:pt idx="9">
                  <c:v>2.1976093362088861E-2</c:v>
                </c:pt>
                <c:pt idx="10">
                  <c:v>1.8270368726056994E-2</c:v>
                </c:pt>
                <c:pt idx="11">
                  <c:v>1.8120891207497148E-2</c:v>
                </c:pt>
                <c:pt idx="12">
                  <c:v>1.8168186054587903E-2</c:v>
                </c:pt>
                <c:pt idx="13">
                  <c:v>1.8688607482635292E-2</c:v>
                </c:pt>
                <c:pt idx="14">
                  <c:v>2.1608394832259906E-2</c:v>
                </c:pt>
                <c:pt idx="15">
                  <c:v>3.2619371115137422E-2</c:v>
                </c:pt>
                <c:pt idx="16">
                  <c:v>5.89931805366887E-2</c:v>
                </c:pt>
                <c:pt idx="17">
                  <c:v>9.6304900655428086E-2</c:v>
                </c:pt>
                <c:pt idx="18">
                  <c:v>0.1196377248016227</c:v>
                </c:pt>
                <c:pt idx="19">
                  <c:v>0.10863968716024415</c:v>
                </c:pt>
                <c:pt idx="20">
                  <c:v>9.9413233738834803E-2</c:v>
                </c:pt>
                <c:pt idx="21">
                  <c:v>8.4980637106856355E-2</c:v>
                </c:pt>
                <c:pt idx="22">
                  <c:v>6.4123313121086017E-2</c:v>
                </c:pt>
                <c:pt idx="23">
                  <c:v>4.4541649397696267E-2</c:v>
                </c:pt>
              </c:numCache>
            </c:numRef>
          </c:val>
        </c:ser>
        <c:marker val="1"/>
        <c:axId val="93733248"/>
        <c:axId val="93735168"/>
      </c:lineChart>
      <c:catAx>
        <c:axId val="93733248"/>
        <c:scaling>
          <c:orientation val="minMax"/>
        </c:scaling>
        <c:axPos val="b"/>
        <c:title>
          <c:tx>
            <c:rich>
              <a:bodyPr/>
              <a:lstStyle/>
              <a:p>
                <a:pPr>
                  <a:defRPr sz="1600"/>
                </a:pPr>
                <a:r>
                  <a:rPr lang="en-US" sz="1600"/>
                  <a:t>Hour of Day</a:t>
                </a:r>
              </a:p>
            </c:rich>
          </c:tx>
          <c:spPr>
            <a:noFill/>
            <a:ln w="25400">
              <a:noFill/>
            </a:ln>
          </c:spPr>
        </c:title>
        <c:numFmt formatCode="General" sourceLinked="1"/>
        <c:tickLblPos val="nextTo"/>
        <c:crossAx val="93735168"/>
        <c:crosses val="autoZero"/>
        <c:auto val="1"/>
        <c:lblAlgn val="ctr"/>
        <c:lblOffset val="100"/>
      </c:catAx>
      <c:valAx>
        <c:axId val="93735168"/>
        <c:scaling>
          <c:orientation val="minMax"/>
        </c:scaling>
        <c:axPos val="l"/>
        <c:majorGridlines/>
        <c:title>
          <c:tx>
            <c:rich>
              <a:bodyPr rot="-5400000" vert="horz"/>
              <a:lstStyle/>
              <a:p>
                <a:pPr>
                  <a:defRPr sz="1600"/>
                </a:pPr>
                <a:r>
                  <a:rPr lang="en-US" sz="1600"/>
                  <a:t>Fraction of Daily Energy</a:t>
                </a:r>
              </a:p>
            </c:rich>
          </c:tx>
          <c:spPr>
            <a:noFill/>
            <a:ln w="25400">
              <a:noFill/>
            </a:ln>
          </c:spPr>
        </c:title>
        <c:numFmt formatCode="0.00" sourceLinked="0"/>
        <c:tickLblPos val="nextTo"/>
        <c:crossAx val="93733248"/>
        <c:crosses val="autoZero"/>
        <c:crossBetween val="between"/>
      </c:valAx>
    </c:plotArea>
    <c:legend>
      <c:legendPos val="r"/>
      <c:layout>
        <c:manualLayout>
          <c:xMode val="edge"/>
          <c:yMode val="edge"/>
          <c:x val="0.18121720895999896"/>
          <c:y val="6.6115991699384688E-2"/>
          <c:w val="0.1283070171784082"/>
          <c:h val="0.6308557298106332"/>
        </c:manualLayout>
      </c:layout>
      <c:txPr>
        <a:bodyPr/>
        <a:lstStyle/>
        <a:p>
          <a:pPr>
            <a:defRPr sz="11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RLW 2007</a:t>
            </a:r>
          </a:p>
          <a:p>
            <a:pPr>
              <a:defRPr/>
            </a:pPr>
            <a:r>
              <a:rPr lang="en-US"/>
              <a:t>(New England, Biased Sample)</a:t>
            </a:r>
          </a:p>
        </c:rich>
      </c:tx>
      <c:spPr>
        <a:noFill/>
        <a:ln w="25400">
          <a:noFill/>
        </a:ln>
      </c:spPr>
    </c:title>
    <c:plotArea>
      <c:layout>
        <c:manualLayout>
          <c:layoutTarget val="inner"/>
          <c:xMode val="edge"/>
          <c:yMode val="edge"/>
          <c:x val="0.15280796150481191"/>
          <c:y val="0.18442096795720844"/>
          <c:w val="0.78741443230120001"/>
          <c:h val="0.6652046897378916"/>
        </c:manualLayout>
      </c:layout>
      <c:lineChart>
        <c:grouping val="standard"/>
        <c:ser>
          <c:idx val="1"/>
          <c:order val="0"/>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2"/>
          <c:order val="1"/>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ser>
          <c:idx val="0"/>
          <c:order val="2"/>
          <c:tx>
            <c:strRef>
              <c:f>Lighting!$P$4</c:f>
              <c:strCache>
                <c:ptCount val="1"/>
                <c:pt idx="0">
                  <c:v>% On - Winter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Lighting!$P$5:$P$28</c:f>
              <c:numCache>
                <c:formatCode>General</c:formatCode>
                <c:ptCount val="24"/>
                <c:pt idx="0">
                  <c:v>0.05</c:v>
                </c:pt>
                <c:pt idx="1">
                  <c:v>0.03</c:v>
                </c:pt>
                <c:pt idx="2">
                  <c:v>0.03</c:v>
                </c:pt>
                <c:pt idx="3">
                  <c:v>0.02</c:v>
                </c:pt>
                <c:pt idx="4">
                  <c:v>0.03</c:v>
                </c:pt>
                <c:pt idx="5">
                  <c:v>0.05</c:v>
                </c:pt>
                <c:pt idx="6">
                  <c:v>0.09</c:v>
                </c:pt>
                <c:pt idx="7">
                  <c:v>0.11</c:v>
                </c:pt>
                <c:pt idx="8">
                  <c:v>0.13</c:v>
                </c:pt>
                <c:pt idx="9">
                  <c:v>0.16</c:v>
                </c:pt>
                <c:pt idx="10">
                  <c:v>0.17</c:v>
                </c:pt>
                <c:pt idx="11">
                  <c:v>0.18</c:v>
                </c:pt>
                <c:pt idx="12">
                  <c:v>0.15</c:v>
                </c:pt>
                <c:pt idx="13">
                  <c:v>0.14000000000000001</c:v>
                </c:pt>
                <c:pt idx="14">
                  <c:v>0.14000000000000001</c:v>
                </c:pt>
                <c:pt idx="15">
                  <c:v>0.17</c:v>
                </c:pt>
                <c:pt idx="16">
                  <c:v>0.24</c:v>
                </c:pt>
                <c:pt idx="17">
                  <c:v>0.28999999999999998</c:v>
                </c:pt>
                <c:pt idx="18">
                  <c:v>0.31</c:v>
                </c:pt>
                <c:pt idx="19">
                  <c:v>0.3</c:v>
                </c:pt>
                <c:pt idx="20">
                  <c:v>0.28999999999999998</c:v>
                </c:pt>
                <c:pt idx="21">
                  <c:v>0.25</c:v>
                </c:pt>
                <c:pt idx="22">
                  <c:v>0.18</c:v>
                </c:pt>
                <c:pt idx="23">
                  <c:v>0.1</c:v>
                </c:pt>
              </c:numCache>
            </c:numRef>
          </c:val>
        </c:ser>
        <c:ser>
          <c:idx val="3"/>
          <c:order val="3"/>
          <c:tx>
            <c:strRef>
              <c:f>Lighting!$Q$4</c:f>
              <c:strCache>
                <c:ptCount val="1"/>
                <c:pt idx="0">
                  <c:v>% On - Summer</c:v>
                </c:pt>
              </c:strCache>
            </c:strRef>
          </c:tx>
          <c:cat>
            <c:numRef>
              <c:f>Lighting!$O$5:$O$28</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Lighting!$Q$5:$Q$28</c:f>
              <c:numCache>
                <c:formatCode>General</c:formatCode>
                <c:ptCount val="24"/>
                <c:pt idx="0">
                  <c:v>0.08</c:v>
                </c:pt>
                <c:pt idx="1">
                  <c:v>0.06</c:v>
                </c:pt>
                <c:pt idx="2">
                  <c:v>0.04</c:v>
                </c:pt>
                <c:pt idx="3">
                  <c:v>0.04</c:v>
                </c:pt>
                <c:pt idx="4">
                  <c:v>0.04</c:v>
                </c:pt>
                <c:pt idx="5">
                  <c:v>0.04</c:v>
                </c:pt>
                <c:pt idx="6">
                  <c:v>0.05</c:v>
                </c:pt>
                <c:pt idx="7">
                  <c:v>0.08</c:v>
                </c:pt>
                <c:pt idx="8">
                  <c:v>0.08</c:v>
                </c:pt>
                <c:pt idx="9">
                  <c:v>0.08</c:v>
                </c:pt>
                <c:pt idx="10">
                  <c:v>0.08</c:v>
                </c:pt>
                <c:pt idx="11">
                  <c:v>7.0000000000000007E-2</c:v>
                </c:pt>
                <c:pt idx="12">
                  <c:v>7.0000000000000007E-2</c:v>
                </c:pt>
                <c:pt idx="13">
                  <c:v>7.0000000000000007E-2</c:v>
                </c:pt>
                <c:pt idx="14">
                  <c:v>7.0000000000000007E-2</c:v>
                </c:pt>
                <c:pt idx="15">
                  <c:v>0.08</c:v>
                </c:pt>
                <c:pt idx="16">
                  <c:v>0.09</c:v>
                </c:pt>
                <c:pt idx="17">
                  <c:v>0.11</c:v>
                </c:pt>
                <c:pt idx="18">
                  <c:v>0.13</c:v>
                </c:pt>
                <c:pt idx="19">
                  <c:v>0.17</c:v>
                </c:pt>
                <c:pt idx="20">
                  <c:v>0.23</c:v>
                </c:pt>
                <c:pt idx="21">
                  <c:v>0.26</c:v>
                </c:pt>
                <c:pt idx="22">
                  <c:v>0.22</c:v>
                </c:pt>
                <c:pt idx="23">
                  <c:v>0.15</c:v>
                </c:pt>
              </c:numCache>
            </c:numRef>
          </c:val>
        </c:ser>
        <c:marker val="1"/>
        <c:axId val="94381952"/>
        <c:axId val="94383488"/>
      </c:lineChart>
      <c:catAx>
        <c:axId val="94381952"/>
        <c:scaling>
          <c:orientation val="minMax"/>
        </c:scaling>
        <c:axPos val="b"/>
        <c:numFmt formatCode="General" sourceLinked="1"/>
        <c:tickLblPos val="nextTo"/>
        <c:crossAx val="94383488"/>
        <c:crosses val="autoZero"/>
        <c:auto val="1"/>
        <c:lblAlgn val="ctr"/>
        <c:lblOffset val="100"/>
      </c:catAx>
      <c:valAx>
        <c:axId val="94383488"/>
        <c:scaling>
          <c:orientation val="minMax"/>
        </c:scaling>
        <c:axPos val="l"/>
        <c:majorGridlines/>
        <c:title>
          <c:tx>
            <c:rich>
              <a:bodyPr rot="-5400000" vert="horz"/>
              <a:lstStyle/>
              <a:p>
                <a:pPr>
                  <a:defRPr/>
                </a:pPr>
                <a:r>
                  <a:rPr lang="en-US"/>
                  <a:t>% of Total Lighting On</a:t>
                </a:r>
              </a:p>
            </c:rich>
          </c:tx>
          <c:spPr>
            <a:noFill/>
            <a:ln w="25400">
              <a:noFill/>
            </a:ln>
          </c:spPr>
        </c:title>
        <c:numFmt formatCode="General" sourceLinked="1"/>
        <c:tickLblPos val="nextTo"/>
        <c:crossAx val="94381952"/>
        <c:crosses val="autoZero"/>
        <c:crossBetween val="between"/>
      </c:valAx>
    </c:plotArea>
    <c:legend>
      <c:legendPos val="r"/>
      <c:legendEntry>
        <c:idx val="0"/>
        <c:delete val="1"/>
      </c:legendEntry>
      <c:legendEntry>
        <c:idx val="1"/>
        <c:delete val="1"/>
      </c:legendEntry>
      <c:layout>
        <c:manualLayout>
          <c:xMode val="edge"/>
          <c:yMode val="edge"/>
          <c:x val="0.17749620441661076"/>
          <c:y val="0.20979069923951812"/>
          <c:w val="0.25356593500297431"/>
          <c:h val="0.1678326572814762"/>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09"/>
          <c:y val="5.2431544456476804E-2"/>
          <c:w val="0.83669112853783933"/>
          <c:h val="0.79030710842059615"/>
        </c:manualLayout>
      </c:layout>
      <c:scatterChart>
        <c:scatterStyle val="smoothMarker"/>
        <c:ser>
          <c:idx val="0"/>
          <c:order val="0"/>
          <c:tx>
            <c:strRef>
              <c:f>Lighting!$W$20</c:f>
              <c:strCache>
                <c:ptCount val="1"/>
                <c:pt idx="0">
                  <c:v>Jan- 1/2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Lighting!$W$21:$W$68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2.3802131900876267E-2</c:v>
                </c:pt>
                <c:pt idx="12">
                  <c:v>3.4920698886871618E-2</c:v>
                </c:pt>
                <c:pt idx="13">
                  <c:v>5.9619124197367687E-2</c:v>
                </c:pt>
                <c:pt idx="14">
                  <c:v>9.1182673277745485E-2</c:v>
                </c:pt>
                <c:pt idx="15">
                  <c:v>0.10653612319569516</c:v>
                </c:pt>
                <c:pt idx="16">
                  <c:v>0.11022787972449063</c:v>
                </c:pt>
                <c:pt idx="17">
                  <c:v>7.8664330644112851E-2</c:v>
                </c:pt>
                <c:pt idx="18">
                  <c:v>5.3965905333616768E-2</c:v>
                </c:pt>
                <c:pt idx="19">
                  <c:v>4.2847338347621423E-2</c:v>
                </c:pt>
                <c:pt idx="20">
                  <c:v>3.9700776203352481E-2</c:v>
                </c:pt>
                <c:pt idx="21">
                  <c:v>3.9121689348925681E-2</c:v>
                </c:pt>
                <c:pt idx="22">
                  <c:v>3.90512440354727E-2</c:v>
                </c:pt>
                <c:pt idx="23">
                  <c:v>3.9045528936863159E-2</c:v>
                </c:pt>
                <c:pt idx="24">
                  <c:v>3.9045206446745154E-2</c:v>
                </c:pt>
                <c:pt idx="25">
                  <c:v>3.9131797309991986E-2</c:v>
                </c:pt>
                <c:pt idx="26">
                  <c:v>3.933353748023577E-2</c:v>
                </c:pt>
                <c:pt idx="27">
                  <c:v>3.9914548098049951E-2</c:v>
                </c:pt>
                <c:pt idx="28">
                  <c:v>4.1418597858603301E-2</c:v>
                </c:pt>
                <c:pt idx="29">
                  <c:v>4.4912367706389719E-2</c:v>
                </c:pt>
                <c:pt idx="30">
                  <c:v>5.2178282619188526E-2</c:v>
                </c:pt>
                <c:pt idx="31">
                  <c:v>6.5663774021658725E-2</c:v>
                </c:pt>
                <c:pt idx="32">
                  <c:v>8.7897243592358315E-2</c:v>
                </c:pt>
                <c:pt idx="33">
                  <c:v>0.12022733907818749</c:v>
                </c:pt>
                <c:pt idx="34">
                  <c:v>0.16120210922601835</c:v>
                </c:pt>
                <c:pt idx="35">
                  <c:v>0.20548430293091791</c:v>
                </c:pt>
                <c:pt idx="36">
                  <c:v>0.24438469024567766</c:v>
                </c:pt>
                <c:pt idx="37">
                  <c:v>0.26843250243649952</c:v>
                </c:pt>
                <c:pt idx="38">
                  <c:v>0.27107622033249568</c:v>
                </c:pt>
                <c:pt idx="39">
                  <c:v>0.25156652080652198</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
          <c:order val="1"/>
          <c:tx>
            <c:strRef>
              <c:f>Lighting!$X$20</c:f>
              <c:strCache>
                <c:ptCount val="1"/>
                <c:pt idx="0">
                  <c:v>Feb- 1/2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Lighting!$X$21:$X$68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2.3036811849576518E-2</c:v>
                </c:pt>
                <c:pt idx="12">
                  <c:v>3.1917354885340005E-2</c:v>
                </c:pt>
                <c:pt idx="13">
                  <c:v>5.1644306133798515E-2</c:v>
                </c:pt>
                <c:pt idx="14">
                  <c:v>7.6854520392775239E-2</c:v>
                </c:pt>
                <c:pt idx="15">
                  <c:v>8.9117519115140334E-2</c:v>
                </c:pt>
                <c:pt idx="16">
                  <c:v>8.6615081355252449E-2</c:v>
                </c:pt>
                <c:pt idx="17">
                  <c:v>6.1404867096275718E-2</c:v>
                </c:pt>
                <c:pt idx="18">
                  <c:v>4.1677915847817208E-2</c:v>
                </c:pt>
                <c:pt idx="19">
                  <c:v>3.2797372812053721E-2</c:v>
                </c:pt>
                <c:pt idx="20">
                  <c:v>3.0284172993040981E-2</c:v>
                </c:pt>
                <c:pt idx="21">
                  <c:v>2.9821648844141256E-2</c:v>
                </c:pt>
                <c:pt idx="22">
                  <c:v>2.9765383262562707E-2</c:v>
                </c:pt>
                <c:pt idx="23">
                  <c:v>2.9760818539499065E-2</c:v>
                </c:pt>
                <c:pt idx="24">
                  <c:v>2.9760560962477207E-2</c:v>
                </c:pt>
                <c:pt idx="25">
                  <c:v>2.9798144391152106E-2</c:v>
                </c:pt>
                <c:pt idx="26">
                  <c:v>2.9887441273207617E-2</c:v>
                </c:pt>
                <c:pt idx="27">
                  <c:v>3.0151390621763766E-2</c:v>
                </c:pt>
                <c:pt idx="28">
                  <c:v>3.0859000708324771E-2</c:v>
                </c:pt>
                <c:pt idx="29">
                  <c:v>3.2577389476888756E-2</c:v>
                </c:pt>
                <c:pt idx="30">
                  <c:v>3.6351389633354173E-2</c:v>
                </c:pt>
                <c:pt idx="31">
                  <c:v>4.3831240778431334E-2</c:v>
                </c:pt>
                <c:pt idx="32">
                  <c:v>5.7169080847751158E-2</c:v>
                </c:pt>
                <c:pt idx="33">
                  <c:v>7.8474307337672175E-2</c:v>
                </c:pt>
                <c:pt idx="34">
                  <c:v>0.10875798362356792</c:v>
                </c:pt>
                <c:pt idx="35">
                  <c:v>0.14664851543625435</c:v>
                </c:pt>
                <c:pt idx="36">
                  <c:v>0.18756602594800451</c:v>
                </c:pt>
                <c:pt idx="37">
                  <c:v>0.22414870102173354</c:v>
                </c:pt>
                <c:pt idx="38">
                  <c:v>0.24824118820587049</c:v>
                </c:pt>
                <c:pt idx="39">
                  <c:v>0.25381396576982007</c:v>
                </c:pt>
                <c:pt idx="40">
                  <c:v>0.2394060907658645</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2"/>
          <c:order val="2"/>
          <c:tx>
            <c:strRef>
              <c:f>Lighting!$Y$20</c:f>
              <c:strCache>
                <c:ptCount val="1"/>
                <c:pt idx="0">
                  <c:v>Mar- 1/2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mooth val="1"/>
        </c:ser>
        <c:ser>
          <c:idx val="3"/>
          <c:order val="3"/>
          <c:tx>
            <c:strRef>
              <c:f>Lighting!$Z$20</c:f>
              <c:strCache>
                <c:ptCount val="1"/>
                <c:pt idx="0">
                  <c:v>Apr- 1/2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Lighting!$Z$21:$Z$68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2.2140837259593343E-2</c:v>
                </c:pt>
                <c:pt idx="12">
                  <c:v>2.8401283529597143E-2</c:v>
                </c:pt>
                <c:pt idx="13">
                  <c:v>4.2308036513576272E-2</c:v>
                </c:pt>
                <c:pt idx="14">
                  <c:v>6.0080282105766991E-2</c:v>
                </c:pt>
                <c:pt idx="15">
                  <c:v>6.8725231440657703E-2</c:v>
                </c:pt>
                <c:pt idx="16">
                  <c:v>5.9703091055798227E-2</c:v>
                </c:pt>
                <c:pt idx="17">
                  <c:v>4.1930845463607515E-2</c:v>
                </c:pt>
                <c:pt idx="18">
                  <c:v>2.8024092479628386E-2</c:v>
                </c:pt>
                <c:pt idx="19">
                  <c:v>2.1763646209624583E-2</c:v>
                </c:pt>
                <c:pt idx="20">
                  <c:v>1.9991935586822576E-2</c:v>
                </c:pt>
                <c:pt idx="21">
                  <c:v>1.9665873591389993E-2</c:v>
                </c:pt>
                <c:pt idx="22">
                  <c:v>1.962620848882763E-2</c:v>
                </c:pt>
                <c:pt idx="23">
                  <c:v>1.9622990532069548E-2</c:v>
                </c:pt>
                <c:pt idx="24">
                  <c:v>1.962280895003124E-2</c:v>
                </c:pt>
                <c:pt idx="25">
                  <c:v>1.9623646907184166E-2</c:v>
                </c:pt>
                <c:pt idx="26">
                  <c:v>1.9626030605492829E-2</c:v>
                </c:pt>
                <c:pt idx="27">
                  <c:v>1.9634273717957292E-2</c:v>
                </c:pt>
                <c:pt idx="28">
                  <c:v>1.9660573154213625E-2</c:v>
                </c:pt>
                <c:pt idx="29">
                  <c:v>1.9737948439754991E-2</c:v>
                </c:pt>
                <c:pt idx="30">
                  <c:v>1.9947744447249487E-2</c:v>
                </c:pt>
                <c:pt idx="31">
                  <c:v>2.0471596322199533E-2</c:v>
                </c:pt>
                <c:pt idx="32">
                  <c:v>2.1675055601494769E-2</c:v>
                </c:pt>
                <c:pt idx="33">
                  <c:v>2.421573122438286E-2</c:v>
                </c:pt>
                <c:pt idx="34">
                  <c:v>2.9137124047672103E-2</c:v>
                </c:pt>
                <c:pt idx="35">
                  <c:v>3.7865750181619362E-2</c:v>
                </c:pt>
                <c:pt idx="36">
                  <c:v>5.2000142695468154E-2</c:v>
                </c:pt>
                <c:pt idx="37">
                  <c:v>7.2811119907456312E-2</c:v>
                </c:pt>
                <c:pt idx="38">
                  <c:v>0.10049891079612205</c:v>
                </c:pt>
                <c:pt idx="39">
                  <c:v>0.13345186020118499</c:v>
                </c:pt>
                <c:pt idx="40">
                  <c:v>0.16791385062346142</c:v>
                </c:pt>
                <c:pt idx="41">
                  <c:v>0.19843849363466853</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4"/>
          <c:order val="4"/>
          <c:tx>
            <c:strRef>
              <c:f>Lighting!$AA$20</c:f>
              <c:strCache>
                <c:ptCount val="1"/>
                <c:pt idx="0">
                  <c:v>May- 1/2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Lighting!$AA$21:$AA$68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2.1309820172484277E-2</c:v>
                </c:pt>
                <c:pt idx="12">
                  <c:v>2.5140124777124125E-2</c:v>
                </c:pt>
                <c:pt idx="13">
                  <c:v>3.3648639616608855E-2</c:v>
                </c:pt>
                <c:pt idx="14">
                  <c:v>4.4522163833679879E-2</c:v>
                </c:pt>
                <c:pt idx="15">
                  <c:v>4.9811369717127227E-2</c:v>
                </c:pt>
                <c:pt idx="16">
                  <c:v>4.081384972345363E-2</c:v>
                </c:pt>
                <c:pt idx="17">
                  <c:v>2.9940325506382606E-2</c:v>
                </c:pt>
                <c:pt idx="18">
                  <c:v>2.1431810666897876E-2</c:v>
                </c:pt>
                <c:pt idx="19">
                  <c:v>1.7601506062258028E-2</c:v>
                </c:pt>
                <c:pt idx="20">
                  <c:v>1.6517527210922287E-2</c:v>
                </c:pt>
                <c:pt idx="21">
                  <c:v>1.6318033962575515E-2</c:v>
                </c:pt>
                <c:pt idx="22">
                  <c:v>1.629376581643455E-2</c:v>
                </c:pt>
                <c:pt idx="23">
                  <c:v>1.6291796986409271E-2</c:v>
                </c:pt>
                <c:pt idx="24">
                  <c:v>1.6291685889773751E-2</c:v>
                </c:pt>
                <c:pt idx="25">
                  <c:v>1.6292328290514347E-2</c:v>
                </c:pt>
                <c:pt idx="26">
                  <c:v>1.6294043441457531E-2</c:v>
                </c:pt>
                <c:pt idx="27">
                  <c:v>1.6299748266569467E-2</c:v>
                </c:pt>
                <c:pt idx="28">
                  <c:v>1.6317378701767436E-2</c:v>
                </c:pt>
                <c:pt idx="29">
                  <c:v>1.6367982785115372E-2</c:v>
                </c:pt>
                <c:pt idx="30">
                  <c:v>1.6502815318422102E-2</c:v>
                </c:pt>
                <c:pt idx="31">
                  <c:v>1.6836110010009668E-2</c:v>
                </c:pt>
                <c:pt idx="32">
                  <c:v>1.7599881305114973E-2</c:v>
                </c:pt>
                <c:pt idx="33">
                  <c:v>1.9220923264807763E-2</c:v>
                </c:pt>
                <c:pt idx="34">
                  <c:v>2.2403683700842288E-2</c:v>
                </c:pt>
                <c:pt idx="35">
                  <c:v>2.8175572312449864E-2</c:v>
                </c:pt>
                <c:pt idx="36">
                  <c:v>3.7823492681545084E-2</c:v>
                </c:pt>
                <c:pt idx="37">
                  <c:v>5.2645429090192125E-2</c:v>
                </c:pt>
                <c:pt idx="38">
                  <c:v>7.3487530184420127E-2</c:v>
                </c:pt>
                <c:pt idx="39">
                  <c:v>0.10014620922150214</c:v>
                </c:pt>
                <c:pt idx="40">
                  <c:v>0.13085226309337258</c:v>
                </c:pt>
                <c:pt idx="41">
                  <c:v>0.16213635883909439</c:v>
                </c:pt>
                <c:pt idx="42">
                  <c:v>0.18931021991206154</c:v>
                </c:pt>
                <c:pt idx="43">
                  <c:v>0.18126490585547528</c:v>
                </c:pt>
                <c:pt idx="44">
                  <c:v>0.15710075431902629</c:v>
                </c:pt>
                <c:pt idx="45">
                  <c:v>0.13282919246116717</c:v>
                </c:pt>
                <c:pt idx="46">
                  <c:v>0.11037346318242089</c:v>
                </c:pt>
                <c:pt idx="47">
                  <c:v>9.1019094544443471E-2</c:v>
                </c:pt>
              </c:numCache>
            </c:numRef>
          </c:yVal>
          <c:smooth val="1"/>
        </c:ser>
        <c:ser>
          <c:idx val="5"/>
          <c:order val="5"/>
          <c:tx>
            <c:strRef>
              <c:f>Lighting!$AB$20</c:f>
              <c:strCache>
                <c:ptCount val="1"/>
                <c:pt idx="0">
                  <c:v>Jun- 1/2 hr</c:v>
                </c:pt>
              </c:strCache>
            </c:strRef>
          </c:tx>
          <c:spPr>
            <a:ln w="25400"/>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2.105785715258993E-2</c:v>
                </c:pt>
                <c:pt idx="12">
                  <c:v>2.4151346784018732E-2</c:v>
                </c:pt>
                <c:pt idx="13">
                  <c:v>3.1023124658530365E-2</c:v>
                </c:pt>
                <c:pt idx="14">
                  <c:v>3.9804967852372655E-2</c:v>
                </c:pt>
                <c:pt idx="15">
                  <c:v>4.4076717816883652E-2</c:v>
                </c:pt>
                <c:pt idx="16">
                  <c:v>3.5511909951618209E-2</c:v>
                </c:pt>
                <c:pt idx="17">
                  <c:v>2.6730066757775919E-2</c:v>
                </c:pt>
                <c:pt idx="18">
                  <c:v>1.9858288883264286E-2</c:v>
                </c:pt>
                <c:pt idx="19">
                  <c:v>1.6764799251835483E-2</c:v>
                </c:pt>
                <c:pt idx="20">
                  <c:v>1.5889339547342732E-2</c:v>
                </c:pt>
                <c:pt idx="21">
                  <c:v>1.5728221735836767E-2</c:v>
                </c:pt>
                <c:pt idx="22">
                  <c:v>1.5708621921667904E-2</c:v>
                </c:pt>
                <c:pt idx="23">
                  <c:v>1.570703182482238E-2</c:v>
                </c:pt>
                <c:pt idx="24">
                  <c:v>1.5706942099245554E-2</c:v>
                </c:pt>
                <c:pt idx="25">
                  <c:v>1.5707725373544611E-2</c:v>
                </c:pt>
                <c:pt idx="26">
                  <c:v>1.5709618663084034E-2</c:v>
                </c:pt>
                <c:pt idx="27">
                  <c:v>1.5715519845074629E-2</c:v>
                </c:pt>
                <c:pt idx="28">
                  <c:v>1.573272314787854E-2</c:v>
                </c:pt>
                <c:pt idx="29">
                  <c:v>1.5779612879059639E-2</c:v>
                </c:pt>
                <c:pt idx="30">
                  <c:v>1.5899052510003658E-2</c:v>
                </c:pt>
                <c:pt idx="31">
                  <c:v>1.6183234681901189E-2</c:v>
                </c:pt>
                <c:pt idx="32">
                  <c:v>1.6814403436811589E-2</c:v>
                </c:pt>
                <c:pt idx="33">
                  <c:v>1.8121931152433129E-2</c:v>
                </c:pt>
                <c:pt idx="34">
                  <c:v>2.0645880357285953E-2</c:v>
                </c:pt>
                <c:pt idx="35">
                  <c:v>2.5179862003111654E-2</c:v>
                </c:pt>
                <c:pt idx="36">
                  <c:v>3.2746800089917594E-2</c:v>
                </c:pt>
                <c:pt idx="37">
                  <c:v>4.4453107128786119E-2</c:v>
                </c:pt>
                <c:pt idx="38">
                  <c:v>6.1187490797078636E-2</c:v>
                </c:pt>
                <c:pt idx="39">
                  <c:v>8.3191330184068685E-2</c:v>
                </c:pt>
                <c:pt idx="40">
                  <c:v>0.10961714320969329</c:v>
                </c:pt>
                <c:pt idx="41">
                  <c:v>0.13826844125503873</c:v>
                </c:pt>
                <c:pt idx="42">
                  <c:v>0.16571935484051187</c:v>
                </c:pt>
                <c:pt idx="43">
                  <c:v>0.18126490585547528</c:v>
                </c:pt>
                <c:pt idx="44">
                  <c:v>0.15710075431902629</c:v>
                </c:pt>
                <c:pt idx="45">
                  <c:v>0.13282919246116717</c:v>
                </c:pt>
                <c:pt idx="46">
                  <c:v>0.11037346318242089</c:v>
                </c:pt>
                <c:pt idx="47">
                  <c:v>9.1019094544443471E-2</c:v>
                </c:pt>
              </c:numCache>
            </c:numRef>
          </c:yVal>
          <c:smooth val="1"/>
        </c:ser>
        <c:ser>
          <c:idx val="6"/>
          <c:order val="6"/>
          <c:tx>
            <c:strRef>
              <c:f>Lighting!$AC$20</c:f>
              <c:strCache>
                <c:ptCount val="1"/>
                <c:pt idx="0">
                  <c:v>Jul- 1/2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Lighting!$AC$21:$AC$68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2.1274958177358548E-2</c:v>
                </c:pt>
                <c:pt idx="12">
                  <c:v>2.5003315916877402E-2</c:v>
                </c:pt>
                <c:pt idx="13">
                  <c:v>3.32853692854728E-2</c:v>
                </c:pt>
                <c:pt idx="14">
                  <c:v>4.3869485264513675E-2</c:v>
                </c:pt>
                <c:pt idx="15">
                  <c:v>4.9017914365314594E-2</c:v>
                </c:pt>
                <c:pt idx="16">
                  <c:v>4.0076912096904609E-2</c:v>
                </c:pt>
                <c:pt idx="17">
                  <c:v>2.9492796117863734E-2</c:v>
                </c:pt>
                <c:pt idx="18">
                  <c:v>2.1210742749268336E-2</c:v>
                </c:pt>
                <c:pt idx="19">
                  <c:v>1.7482385009749482E-2</c:v>
                </c:pt>
                <c:pt idx="20">
                  <c:v>1.6427257191727714E-2</c:v>
                </c:pt>
                <c:pt idx="21">
                  <c:v>1.6233073628479387E-2</c:v>
                </c:pt>
                <c:pt idx="22">
                  <c:v>1.6209451400007312E-2</c:v>
                </c:pt>
                <c:pt idx="23">
                  <c:v>1.6207534972093551E-2</c:v>
                </c:pt>
                <c:pt idx="24">
                  <c:v>1.6207426832390934E-2</c:v>
                </c:pt>
                <c:pt idx="25">
                  <c:v>1.6208236165141145E-2</c:v>
                </c:pt>
                <c:pt idx="26">
                  <c:v>1.6210187836357977E-2</c:v>
                </c:pt>
                <c:pt idx="27">
                  <c:v>1.6216260453836277E-2</c:v>
                </c:pt>
                <c:pt idx="28">
                  <c:v>1.6233932721411215E-2</c:v>
                </c:pt>
                <c:pt idx="29">
                  <c:v>1.6282016350951889E-2</c:v>
                </c:pt>
                <c:pt idx="30">
                  <c:v>1.640428120700332E-2</c:v>
                </c:pt>
                <c:pt idx="31">
                  <c:v>1.6694668223406119E-2</c:v>
                </c:pt>
                <c:pt idx="32">
                  <c:v>1.7338459414536527E-2</c:v>
                </c:pt>
                <c:pt idx="33">
                  <c:v>1.8669709427667661E-2</c:v>
                </c:pt>
                <c:pt idx="34">
                  <c:v>2.1234700323859879E-2</c:v>
                </c:pt>
                <c:pt idx="35">
                  <c:v>2.5833717401123099E-2</c:v>
                </c:pt>
                <c:pt idx="36">
                  <c:v>3.3494332369029357E-2</c:v>
                </c:pt>
                <c:pt idx="37">
                  <c:v>4.5321796273382696E-2</c:v>
                </c:pt>
                <c:pt idx="38">
                  <c:v>6.2193820839878733E-2</c:v>
                </c:pt>
                <c:pt idx="39">
                  <c:v>8.4328763497269005E-2</c:v>
                </c:pt>
                <c:pt idx="40">
                  <c:v>0.11084613504437482</c:v>
                </c:pt>
                <c:pt idx="41">
                  <c:v>0.13951401578309242</c:v>
                </c:pt>
                <c:pt idx="42">
                  <c:v>0.16688048457178908</c:v>
                </c:pt>
                <c:pt idx="43">
                  <c:v>0.18126490585547528</c:v>
                </c:pt>
                <c:pt idx="44">
                  <c:v>0.15710075431902629</c:v>
                </c:pt>
                <c:pt idx="45">
                  <c:v>0.13282919246116717</c:v>
                </c:pt>
                <c:pt idx="46">
                  <c:v>0.11037346318242089</c:v>
                </c:pt>
                <c:pt idx="47">
                  <c:v>9.1019094544443471E-2</c:v>
                </c:pt>
              </c:numCache>
            </c:numRef>
          </c:yVal>
          <c:smooth val="1"/>
        </c:ser>
        <c:ser>
          <c:idx val="7"/>
          <c:order val="7"/>
          <c:tx>
            <c:strRef>
              <c:f>Lighting!$AD$20</c:f>
              <c:strCache>
                <c:ptCount val="1"/>
                <c:pt idx="0">
                  <c:v>Aug- 1/2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Lighting!$AD$21:$AD$68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2.1837638354710993E-2</c:v>
                </c:pt>
                <c:pt idx="12">
                  <c:v>2.7211440651832661E-2</c:v>
                </c:pt>
                <c:pt idx="13">
                  <c:v>3.9148631373983084E-2</c:v>
                </c:pt>
                <c:pt idx="14">
                  <c:v>5.4403859207488137E-2</c:v>
                </c:pt>
                <c:pt idx="15">
                  <c:v>6.182445617306323E-2</c:v>
                </c:pt>
                <c:pt idx="16">
                  <c:v>5.275212023103009E-2</c:v>
                </c:pt>
                <c:pt idx="17">
                  <c:v>3.7496892397525045E-2</c:v>
                </c:pt>
                <c:pt idx="18">
                  <c:v>2.5559701675374615E-2</c:v>
                </c:pt>
                <c:pt idx="19">
                  <c:v>2.018589937825295E-2</c:v>
                </c:pt>
                <c:pt idx="20">
                  <c:v>1.8665109612790672E-2</c:v>
                </c:pt>
                <c:pt idx="21">
                  <c:v>1.8385226578180962E-2</c:v>
                </c:pt>
                <c:pt idx="22">
                  <c:v>1.8351179098165606E-2</c:v>
                </c:pt>
                <c:pt idx="23">
                  <c:v>1.8348416888784226E-2</c:v>
                </c:pt>
                <c:pt idx="24">
                  <c:v>1.8348261023541958E-2</c:v>
                </c:pt>
                <c:pt idx="25">
                  <c:v>1.8349144404117883E-2</c:v>
                </c:pt>
                <c:pt idx="26">
                  <c:v>1.8351448483124113E-2</c:v>
                </c:pt>
                <c:pt idx="27">
                  <c:v>1.8358978393105956E-2</c:v>
                </c:pt>
                <c:pt idx="28">
                  <c:v>1.8381840846799568E-2</c:v>
                </c:pt>
                <c:pt idx="29">
                  <c:v>1.8446303728449256E-2</c:v>
                </c:pt>
                <c:pt idx="30">
                  <c:v>1.861500759269492E-2</c:v>
                </c:pt>
                <c:pt idx="31">
                  <c:v>1.9024544971561551E-2</c:v>
                </c:pt>
                <c:pt idx="32">
                  <c:v>1.9946000609688482E-2</c:v>
                </c:pt>
                <c:pt idx="33">
                  <c:v>2.1865724454432141E-2</c:v>
                </c:pt>
                <c:pt idx="34">
                  <c:v>2.5564316538601375E-2</c:v>
                </c:pt>
                <c:pt idx="35">
                  <c:v>3.214310584943815E-2</c:v>
                </c:pt>
                <c:pt idx="36">
                  <c:v>4.2922521241067282E-2</c:v>
                </c:pt>
                <c:pt idx="37">
                  <c:v>5.9141741914399422E-2</c:v>
                </c:pt>
                <c:pt idx="38">
                  <c:v>8.1450934094940169E-2</c:v>
                </c:pt>
                <c:pt idx="39">
                  <c:v>0.10930846538856773</c:v>
                </c:pt>
                <c:pt idx="40">
                  <c:v>0.14052872709077083</c:v>
                </c:pt>
                <c:pt idx="41">
                  <c:v>0.17128041545391068</c:v>
                </c:pt>
                <c:pt idx="42">
                  <c:v>0.19672676413293932</c:v>
                </c:pt>
                <c:pt idx="43">
                  <c:v>0.18126490585547528</c:v>
                </c:pt>
                <c:pt idx="44">
                  <c:v>0.15710075431902629</c:v>
                </c:pt>
                <c:pt idx="45">
                  <c:v>0.13282919246116717</c:v>
                </c:pt>
                <c:pt idx="46">
                  <c:v>0.11037346318242089</c:v>
                </c:pt>
                <c:pt idx="47">
                  <c:v>9.1019094544443471E-2</c:v>
                </c:pt>
              </c:numCache>
            </c:numRef>
          </c:yVal>
          <c:smooth val="1"/>
        </c:ser>
        <c:ser>
          <c:idx val="8"/>
          <c:order val="8"/>
          <c:tx>
            <c:strRef>
              <c:f>Lighting!$AE$20</c:f>
              <c:strCache>
                <c:ptCount val="1"/>
                <c:pt idx="0">
                  <c:v>Sep- 1/2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2.2576613917651589E-2</c:v>
                </c:pt>
                <c:pt idx="12">
                  <c:v>3.0111401028497124E-2</c:v>
                </c:pt>
                <c:pt idx="13">
                  <c:v>4.6848933565029047E-2</c:v>
                </c:pt>
                <c:pt idx="14">
                  <c:v>6.8238796402832549E-2</c:v>
                </c:pt>
                <c:pt idx="15">
                  <c:v>7.8643462462271094E-2</c:v>
                </c:pt>
                <c:pt idx="16">
                  <c:v>7.1549308023229119E-2</c:v>
                </c:pt>
                <c:pt idx="17">
                  <c:v>5.0159445185425616E-2</c:v>
                </c:pt>
                <c:pt idx="18">
                  <c:v>3.3421912648893694E-2</c:v>
                </c:pt>
                <c:pt idx="19">
                  <c:v>2.5887125538048165E-2</c:v>
                </c:pt>
                <c:pt idx="20">
                  <c:v>2.3754775576225306E-2</c:v>
                </c:pt>
                <c:pt idx="21">
                  <c:v>2.3362342255250485E-2</c:v>
                </c:pt>
                <c:pt idx="22">
                  <c:v>2.3314603149977877E-2</c:v>
                </c:pt>
                <c:pt idx="23">
                  <c:v>2.3310730164241979E-2</c:v>
                </c:pt>
                <c:pt idx="24">
                  <c:v>2.3310511620396573E-2</c:v>
                </c:pt>
                <c:pt idx="25">
                  <c:v>2.3313001659159949E-2</c:v>
                </c:pt>
                <c:pt idx="26">
                  <c:v>2.3319507954278347E-2</c:v>
                </c:pt>
                <c:pt idx="27">
                  <c:v>2.334059689060328E-2</c:v>
                </c:pt>
                <c:pt idx="28">
                  <c:v>2.3403637665997314E-2</c:v>
                </c:pt>
                <c:pt idx="29">
                  <c:v>2.3577330958042333E-2</c:v>
                </c:pt>
                <c:pt idx="30">
                  <c:v>2.4018118971080121E-2</c:v>
                </c:pt>
                <c:pt idx="31">
                  <c:v>2.5047497404064457E-2</c:v>
                </c:pt>
                <c:pt idx="32">
                  <c:v>2.7257165916976536E-2</c:v>
                </c:pt>
                <c:pt idx="33">
                  <c:v>3.1610754545219055E-2</c:v>
                </c:pt>
                <c:pt idx="34">
                  <c:v>3.946828133200983E-2</c:v>
                </c:pt>
                <c:pt idx="35">
                  <c:v>5.2424447367954645E-2</c:v>
                </c:pt>
                <c:pt idx="36">
                  <c:v>7.1867228944097042E-2</c:v>
                </c:pt>
                <c:pt idx="37">
                  <c:v>9.8269999738687663E-2</c:v>
                </c:pt>
                <c:pt idx="38">
                  <c:v>0.13042119742855376</c:v>
                </c:pt>
                <c:pt idx="39">
                  <c:v>0.16497724572789302</c:v>
                </c:pt>
                <c:pt idx="40">
                  <c:v>0.19674356029565787</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9"/>
          <c:order val="9"/>
          <c:tx>
            <c:strRef>
              <c:f>Lighting!$AF$20</c:f>
              <c:strCache>
                <c:ptCount val="1"/>
                <c:pt idx="0">
                  <c:v>Oct- 1/2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2.3479031125112487E-2</c:v>
                </c:pt>
                <c:pt idx="12">
                  <c:v>3.3652755135584356E-2</c:v>
                </c:pt>
                <c:pt idx="13">
                  <c:v>5.6252336800985972E-2</c:v>
                </c:pt>
                <c:pt idx="14">
                  <c:v>8.5133651950610886E-2</c:v>
                </c:pt>
                <c:pt idx="15">
                  <c:v>9.9182383434674407E-2</c:v>
                </c:pt>
                <c:pt idx="16">
                  <c:v>9.6992324982973666E-2</c:v>
                </c:pt>
                <c:pt idx="17">
                  <c:v>6.8111009833348751E-2</c:v>
                </c:pt>
                <c:pt idx="18">
                  <c:v>4.5511428167947135E-2</c:v>
                </c:pt>
                <c:pt idx="19">
                  <c:v>3.533770415747526E-2</c:v>
                </c:pt>
                <c:pt idx="20">
                  <c:v>3.245853322853158E-2</c:v>
                </c:pt>
                <c:pt idx="21">
                  <c:v>3.1928656505888157E-2</c:v>
                </c:pt>
                <c:pt idx="22">
                  <c:v>3.1864197553776383E-2</c:v>
                </c:pt>
                <c:pt idx="23">
                  <c:v>3.1858968117643174E-2</c:v>
                </c:pt>
                <c:pt idx="24">
                  <c:v>3.1858673032362776E-2</c:v>
                </c:pt>
                <c:pt idx="25">
                  <c:v>3.1867918636791587E-2</c:v>
                </c:pt>
                <c:pt idx="26">
                  <c:v>3.189127175864942E-2</c:v>
                </c:pt>
                <c:pt idx="27">
                  <c:v>3.1964316935221899E-2</c:v>
                </c:pt>
                <c:pt idx="28">
                  <c:v>3.2173351281874978E-2</c:v>
                </c:pt>
                <c:pt idx="29">
                  <c:v>3.2720197263092742E-2</c:v>
                </c:pt>
                <c:pt idx="30">
                  <c:v>3.4026610495921997E-2</c:v>
                </c:pt>
                <c:pt idx="31">
                  <c:v>3.6872905754500293E-2</c:v>
                </c:pt>
                <c:pt idx="32">
                  <c:v>4.2518268062623578E-2</c:v>
                </c:pt>
                <c:pt idx="33">
                  <c:v>5.2687048946569726E-2</c:v>
                </c:pt>
                <c:pt idx="34">
                  <c:v>6.926530368814221E-2</c:v>
                </c:pt>
                <c:pt idx="35">
                  <c:v>9.3606298101079122E-2</c:v>
                </c:pt>
                <c:pt idx="36">
                  <c:v>0.12554374785995032</c:v>
                </c:pt>
                <c:pt idx="37">
                  <c:v>0.16250555226802463</c:v>
                </c:pt>
                <c:pt idx="38">
                  <c:v>0.1993167713630597</c:v>
                </c:pt>
                <c:pt idx="39">
                  <c:v>0.22914262200548002</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0"/>
          <c:order val="10"/>
          <c:tx>
            <c:strRef>
              <c:f>Lighting!$AG$20</c:f>
              <c:strCache>
                <c:ptCount val="1"/>
                <c:pt idx="0">
                  <c:v>Nov- 1/2 hr</c:v>
                </c:pt>
              </c:strCache>
            </c:strRef>
          </c:tx>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2.2652345255196035E-2</c:v>
                </c:pt>
                <c:pt idx="12">
                  <c:v>3.0408593370388329E-2</c:v>
                </c:pt>
                <c:pt idx="13">
                  <c:v>4.7638072223557593E-2</c:v>
                </c:pt>
                <c:pt idx="14">
                  <c:v>6.9656621769719596E-2</c:v>
                </c:pt>
                <c:pt idx="15">
                  <c:v>8.0367099760075097E-2</c:v>
                </c:pt>
                <c:pt idx="16">
                  <c:v>8.3326426913063578E-2</c:v>
                </c:pt>
                <c:pt idx="17">
                  <c:v>6.1307877366901575E-2</c:v>
                </c:pt>
                <c:pt idx="18">
                  <c:v>4.4078398513732304E-2</c:v>
                </c:pt>
                <c:pt idx="19">
                  <c:v>3.6322150398540011E-2</c:v>
                </c:pt>
                <c:pt idx="20">
                  <c:v>3.4127126819371773E-2</c:v>
                </c:pt>
                <c:pt idx="21">
                  <c:v>3.3723159174185308E-2</c:v>
                </c:pt>
                <c:pt idx="22">
                  <c:v>3.3674016930370788E-2</c:v>
                </c:pt>
                <c:pt idx="23">
                  <c:v>3.3670030110587792E-2</c:v>
                </c:pt>
                <c:pt idx="24">
                  <c:v>3.366980514334398E-2</c:v>
                </c:pt>
                <c:pt idx="25">
                  <c:v>3.3912226665556197E-2</c:v>
                </c:pt>
                <c:pt idx="26">
                  <c:v>3.4378821120814029E-2</c:v>
                </c:pt>
                <c:pt idx="27">
                  <c:v>3.5561871286766376E-2</c:v>
                </c:pt>
                <c:pt idx="28">
                  <c:v>3.8276739790795919E-2</c:v>
                </c:pt>
                <c:pt idx="29">
                  <c:v>4.3904696405861574E-2</c:v>
                </c:pt>
                <c:pt idx="30">
                  <c:v>5.4416544883495975E-2</c:v>
                </c:pt>
                <c:pt idx="31">
                  <c:v>7.2041583684245944E-2</c:v>
                </c:pt>
                <c:pt idx="32">
                  <c:v>9.8424229077204411E-2</c:v>
                </c:pt>
                <c:pt idx="33">
                  <c:v>0.13337605995454224</c:v>
                </c:pt>
                <c:pt idx="34">
                  <c:v>0.17374808733968303</c:v>
                </c:pt>
                <c:pt idx="35">
                  <c:v>0.21323189672844681</c:v>
                </c:pt>
                <c:pt idx="36">
                  <c:v>0.24368656227116786</c:v>
                </c:pt>
                <c:pt idx="37">
                  <c:v>0.25779397059073278</c:v>
                </c:pt>
                <c:pt idx="38">
                  <c:v>0.25190202336409734</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ser>
          <c:idx val="11"/>
          <c:order val="11"/>
          <c:tx>
            <c:strRef>
              <c:f>Lighting!$AH$20</c:f>
              <c:strCache>
                <c:ptCount val="1"/>
                <c:pt idx="0">
                  <c:v>Dec- 1/2 hr</c:v>
                </c:pt>
              </c:strCache>
            </c:strRef>
          </c:tx>
          <c:spPr>
            <a:ln>
              <a:prstDash val="sysDash"/>
            </a:ln>
          </c:spPr>
          <c:marker>
            <c:symbol val="none"/>
          </c:marker>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mooth val="1"/>
        </c:ser>
        <c:axId val="94716672"/>
        <c:axId val="94718592"/>
      </c:scatterChart>
      <c:valAx>
        <c:axId val="94716672"/>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94718592"/>
        <c:crosses val="autoZero"/>
        <c:crossBetween val="midCat"/>
        <c:majorUnit val="2"/>
      </c:valAx>
      <c:valAx>
        <c:axId val="94718592"/>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94716672"/>
        <c:crosses val="autoZero"/>
        <c:crossBetween val="midCat"/>
      </c:valAx>
      <c:spPr>
        <a:ln>
          <a:solidFill>
            <a:prstClr val="black"/>
          </a:solidFill>
        </a:ln>
      </c:spPr>
    </c:plotArea>
    <c:legend>
      <c:legendPos val="r"/>
      <c:layout>
        <c:manualLayout>
          <c:xMode val="edge"/>
          <c:yMode val="edge"/>
          <c:x val="0.18435177917872805"/>
          <c:y val="9.0643428343387247E-2"/>
          <c:w val="8.8960455505765243E-2"/>
          <c:h val="0.55263234639529724"/>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0.15396216980738081"/>
          <c:w val="0.78892591918854771"/>
          <c:h val="0.73515769220278948"/>
        </c:manualLayout>
      </c:layout>
      <c:lineChart>
        <c:grouping val="standard"/>
        <c:ser>
          <c:idx val="0"/>
          <c:order val="0"/>
          <c:tx>
            <c:strRef>
              <c:f>Lighting!$L$31</c:f>
              <c:strCache>
                <c:ptCount val="1"/>
                <c:pt idx="0">
                  <c:v>kW - March</c:v>
                </c:pt>
              </c:strCache>
            </c:strRef>
          </c:tx>
          <c:spPr>
            <a:ln>
              <a:noFill/>
            </a:ln>
          </c:spPr>
          <c:marker>
            <c:spPr>
              <a:ln>
                <a:solidFill>
                  <a:srgbClr val="1F497D">
                    <a:lumMod val="60000"/>
                    <a:lumOff val="40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Lighting!$L$33:$L$80</c:f>
              <c:numCache>
                <c:formatCode>General</c:formatCode>
                <c:ptCount val="48"/>
                <c:pt idx="0">
                  <c:v>0.06</c:v>
                </c:pt>
                <c:pt idx="1">
                  <c:v>0.04</c:v>
                </c:pt>
                <c:pt idx="2">
                  <c:v>0.03</c:v>
                </c:pt>
                <c:pt idx="3">
                  <c:v>2.5000000000000001E-2</c:v>
                </c:pt>
                <c:pt idx="4">
                  <c:v>0.02</c:v>
                </c:pt>
                <c:pt idx="5">
                  <c:v>0.02</c:v>
                </c:pt>
                <c:pt idx="6">
                  <c:v>0.02</c:v>
                </c:pt>
                <c:pt idx="7">
                  <c:v>0.02</c:v>
                </c:pt>
                <c:pt idx="8">
                  <c:v>0.02</c:v>
                </c:pt>
                <c:pt idx="9">
                  <c:v>0.02</c:v>
                </c:pt>
                <c:pt idx="10">
                  <c:v>0.02</c:v>
                </c:pt>
                <c:pt idx="11">
                  <c:v>2.5000000000000001E-2</c:v>
                </c:pt>
                <c:pt idx="12">
                  <c:v>3.5000000000000003E-2</c:v>
                </c:pt>
                <c:pt idx="13">
                  <c:v>0.05</c:v>
                </c:pt>
                <c:pt idx="14">
                  <c:v>6.5000000000000002E-2</c:v>
                </c:pt>
                <c:pt idx="15">
                  <c:v>0.06</c:v>
                </c:pt>
                <c:pt idx="16">
                  <c:v>4.4999999999999998E-2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3.5000000000000003E-2</c:v>
                </c:pt>
                <c:pt idx="33">
                  <c:v>0.05</c:v>
                </c:pt>
                <c:pt idx="34">
                  <c:v>7.4999999999999997E-2</c:v>
                </c:pt>
                <c:pt idx="35">
                  <c:v>0.12</c:v>
                </c:pt>
                <c:pt idx="36">
                  <c:v>0.18</c:v>
                </c:pt>
                <c:pt idx="37">
                  <c:v>0.22</c:v>
                </c:pt>
                <c:pt idx="38">
                  <c:v>0.23</c:v>
                </c:pt>
                <c:pt idx="39">
                  <c:v>0.22500000000000001</c:v>
                </c:pt>
                <c:pt idx="40">
                  <c:v>0.22</c:v>
                </c:pt>
                <c:pt idx="41">
                  <c:v>0.215</c:v>
                </c:pt>
                <c:pt idx="42">
                  <c:v>0.2</c:v>
                </c:pt>
                <c:pt idx="43">
                  <c:v>0.19</c:v>
                </c:pt>
                <c:pt idx="44">
                  <c:v>0.17</c:v>
                </c:pt>
                <c:pt idx="45">
                  <c:v>0.14000000000000001</c:v>
                </c:pt>
                <c:pt idx="46">
                  <c:v>0.105</c:v>
                </c:pt>
                <c:pt idx="47">
                  <c:v>0.08</c:v>
                </c:pt>
              </c:numCache>
            </c:numRef>
          </c:val>
        </c:ser>
        <c:ser>
          <c:idx val="3"/>
          <c:order val="1"/>
          <c:tx>
            <c:strRef>
              <c:f>Lighting!$M$31</c:f>
              <c:strCache>
                <c:ptCount val="1"/>
                <c:pt idx="0">
                  <c:v>kW - Sept</c:v>
                </c:pt>
              </c:strCache>
            </c:strRef>
          </c:tx>
          <c:spPr>
            <a:ln>
              <a:noFill/>
            </a:ln>
          </c:spPr>
          <c:marker>
            <c:spPr>
              <a:ln>
                <a:solidFill>
                  <a:schemeClr val="accent6">
                    <a:lumMod val="75000"/>
                  </a:scheme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Lighting!$M$33:$M$80</c:f>
              <c:numCache>
                <c:formatCode>General</c:formatCode>
                <c:ptCount val="48"/>
                <c:pt idx="0">
                  <c:v>0.06</c:v>
                </c:pt>
                <c:pt idx="1">
                  <c:v>4.4999999999999998E-2</c:v>
                </c:pt>
                <c:pt idx="2">
                  <c:v>3.5000000000000003E-2</c:v>
                </c:pt>
                <c:pt idx="3">
                  <c:v>0.03</c:v>
                </c:pt>
                <c:pt idx="4">
                  <c:v>2.5000000000000001E-2</c:v>
                </c:pt>
                <c:pt idx="5">
                  <c:v>2.5000000000000001E-2</c:v>
                </c:pt>
                <c:pt idx="6">
                  <c:v>2.5000000000000001E-2</c:v>
                </c:pt>
                <c:pt idx="7">
                  <c:v>2.5000000000000001E-2</c:v>
                </c:pt>
                <c:pt idx="8">
                  <c:v>2.5000000000000001E-2</c:v>
                </c:pt>
                <c:pt idx="9">
                  <c:v>2.5000000000000001E-2</c:v>
                </c:pt>
                <c:pt idx="10">
                  <c:v>0.03</c:v>
                </c:pt>
                <c:pt idx="11">
                  <c:v>3.5000000000000003E-2</c:v>
                </c:pt>
                <c:pt idx="12">
                  <c:v>0.04</c:v>
                </c:pt>
                <c:pt idx="13">
                  <c:v>5.5E-2</c:v>
                </c:pt>
                <c:pt idx="14">
                  <c:v>6.5000000000000002E-2</c:v>
                </c:pt>
                <c:pt idx="15">
                  <c:v>5.5E-2</c:v>
                </c:pt>
                <c:pt idx="16">
                  <c:v>3.5000000000000003E-2</c:v>
                </c:pt>
                <c:pt idx="17">
                  <c:v>2.5000000000000001E-2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2.5000000000000001E-2</c:v>
                </c:pt>
                <c:pt idx="32">
                  <c:v>0.03</c:v>
                </c:pt>
                <c:pt idx="33">
                  <c:v>3.5000000000000003E-2</c:v>
                </c:pt>
                <c:pt idx="34">
                  <c:v>0.04</c:v>
                </c:pt>
                <c:pt idx="35">
                  <c:v>0.05</c:v>
                </c:pt>
                <c:pt idx="36">
                  <c:v>0.06</c:v>
                </c:pt>
                <c:pt idx="37">
                  <c:v>0.09</c:v>
                </c:pt>
                <c:pt idx="38">
                  <c:v>0.125</c:v>
                </c:pt>
                <c:pt idx="39">
                  <c:v>0.155</c:v>
                </c:pt>
                <c:pt idx="40">
                  <c:v>0.185</c:v>
                </c:pt>
                <c:pt idx="41">
                  <c:v>0.19500000000000001</c:v>
                </c:pt>
                <c:pt idx="42">
                  <c:v>0.185</c:v>
                </c:pt>
                <c:pt idx="43">
                  <c:v>0.17499999999999999</c:v>
                </c:pt>
                <c:pt idx="44">
                  <c:v>0.155</c:v>
                </c:pt>
                <c:pt idx="45">
                  <c:v>0.125</c:v>
                </c:pt>
                <c:pt idx="46">
                  <c:v>9.5000000000000001E-2</c:v>
                </c:pt>
                <c:pt idx="47">
                  <c:v>7.4999999999999997E-2</c:v>
                </c:pt>
              </c:numCache>
            </c:numRef>
          </c:val>
        </c:ser>
        <c:ser>
          <c:idx val="4"/>
          <c:order val="2"/>
          <c:tx>
            <c:strRef>
              <c:f>Lighting!$N$31</c:f>
              <c:strCache>
                <c:ptCount val="1"/>
                <c:pt idx="0">
                  <c:v>kW - December</c:v>
                </c:pt>
              </c:strCache>
            </c:strRef>
          </c:tx>
          <c:spPr>
            <a:ln>
              <a:noFill/>
            </a:ln>
          </c:spPr>
          <c:marker>
            <c:spPr>
              <a:ln>
                <a:solidFill>
                  <a:srgbClr val="9BBB59">
                    <a:lumMod val="75000"/>
                  </a:srgbClr>
                </a:solidFill>
              </a:ln>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Lighting!$N$33:$N$80</c:f>
              <c:numCache>
                <c:formatCode>General</c:formatCode>
                <c:ptCount val="48"/>
                <c:pt idx="0">
                  <c:v>7.4999999999999997E-2</c:v>
                </c:pt>
                <c:pt idx="1">
                  <c:v>5.5E-2</c:v>
                </c:pt>
                <c:pt idx="2">
                  <c:v>0.04</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4.4999999999999998E-2</c:v>
                </c:pt>
                <c:pt idx="13">
                  <c:v>7.4999999999999997E-2</c:v>
                </c:pt>
                <c:pt idx="14">
                  <c:v>0.13</c:v>
                </c:pt>
                <c:pt idx="15">
                  <c:v>0.16</c:v>
                </c:pt>
                <c:pt idx="16">
                  <c:v>0.14000000000000001</c:v>
                </c:pt>
                <c:pt idx="17">
                  <c:v>0.1</c:v>
                </c:pt>
                <c:pt idx="18">
                  <c:v>7.4999999999999997E-2</c:v>
                </c:pt>
                <c:pt idx="19">
                  <c:v>6.5000000000000002E-2</c:v>
                </c:pt>
                <c:pt idx="20">
                  <c:v>0.06</c:v>
                </c:pt>
                <c:pt idx="21">
                  <c:v>0.05</c:v>
                </c:pt>
                <c:pt idx="22">
                  <c:v>4.4999999999999998E-2</c:v>
                </c:pt>
                <c:pt idx="23">
                  <c:v>4.4999999999999998E-2</c:v>
                </c:pt>
                <c:pt idx="24">
                  <c:v>4.4999999999999998E-2</c:v>
                </c:pt>
                <c:pt idx="25">
                  <c:v>4.4999999999999998E-2</c:v>
                </c:pt>
                <c:pt idx="26">
                  <c:v>4.4999999999999998E-2</c:v>
                </c:pt>
                <c:pt idx="27">
                  <c:v>4.4999999999999998E-2</c:v>
                </c:pt>
                <c:pt idx="28">
                  <c:v>0.05</c:v>
                </c:pt>
                <c:pt idx="29">
                  <c:v>0.06</c:v>
                </c:pt>
                <c:pt idx="30">
                  <c:v>0.08</c:v>
                </c:pt>
                <c:pt idx="31">
                  <c:v>0.13</c:v>
                </c:pt>
                <c:pt idx="32">
                  <c:v>0.19</c:v>
                </c:pt>
                <c:pt idx="33">
                  <c:v>0.23</c:v>
                </c:pt>
                <c:pt idx="34">
                  <c:v>0.25</c:v>
                </c:pt>
                <c:pt idx="35">
                  <c:v>0.26</c:v>
                </c:pt>
                <c:pt idx="36">
                  <c:v>0.26</c:v>
                </c:pt>
                <c:pt idx="37">
                  <c:v>0.25</c:v>
                </c:pt>
                <c:pt idx="38">
                  <c:v>0.24</c:v>
                </c:pt>
                <c:pt idx="39">
                  <c:v>0.22500000000000001</c:v>
                </c:pt>
                <c:pt idx="40">
                  <c:v>0.22500000000000001</c:v>
                </c:pt>
                <c:pt idx="41">
                  <c:v>0.22</c:v>
                </c:pt>
                <c:pt idx="42">
                  <c:v>0.21</c:v>
                </c:pt>
                <c:pt idx="43">
                  <c:v>0.2</c:v>
                </c:pt>
                <c:pt idx="44">
                  <c:v>0.18</c:v>
                </c:pt>
                <c:pt idx="45">
                  <c:v>0.155</c:v>
                </c:pt>
                <c:pt idx="46">
                  <c:v>0.125</c:v>
                </c:pt>
                <c:pt idx="47">
                  <c:v>0.1</c:v>
                </c:pt>
              </c:numCache>
            </c:numRef>
          </c:val>
        </c:ser>
        <c:ser>
          <c:idx val="1"/>
          <c:order val="3"/>
          <c:tx>
            <c:strRef>
              <c:f>Lighting!$O$31</c:f>
              <c:strCache>
                <c:ptCount val="1"/>
                <c:pt idx="0">
                  <c:v>kW - June</c:v>
                </c:pt>
              </c:strCache>
            </c:strRef>
          </c:tx>
          <c:spPr>
            <a:ln>
              <a:noFill/>
            </a:ln>
          </c:spP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Lighting!$O$33:$O$80</c:f>
              <c:numCache>
                <c:formatCode>General</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0.02</c:v>
                </c:pt>
                <c:pt idx="12">
                  <c:v>0.02</c:v>
                </c:pt>
                <c:pt idx="13">
                  <c:v>2.5000000000000001E-2</c:v>
                </c:pt>
                <c:pt idx="14">
                  <c:v>0.03</c:v>
                </c:pt>
                <c:pt idx="15">
                  <c:v>0.03</c:v>
                </c:pt>
                <c:pt idx="16">
                  <c:v>2.5000000000000001E-2</c:v>
                </c:pt>
                <c:pt idx="17">
                  <c:v>0.02</c:v>
                </c:pt>
                <c:pt idx="18">
                  <c:v>1.4999999999999999E-2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0.02</c:v>
                </c:pt>
                <c:pt idx="33">
                  <c:v>0.02</c:v>
                </c:pt>
                <c:pt idx="34">
                  <c:v>0.02</c:v>
                </c:pt>
                <c:pt idx="35">
                  <c:v>2.5000000000000001E-2</c:v>
                </c:pt>
                <c:pt idx="36">
                  <c:v>2.5000000000000001E-2</c:v>
                </c:pt>
                <c:pt idx="37">
                  <c:v>0.03</c:v>
                </c:pt>
                <c:pt idx="38">
                  <c:v>0.03</c:v>
                </c:pt>
                <c:pt idx="39">
                  <c:v>3.5000000000000003E-2</c:v>
                </c:pt>
                <c:pt idx="40">
                  <c:v>4.4999999999999998E-2</c:v>
                </c:pt>
                <c:pt idx="41">
                  <c:v>0.06</c:v>
                </c:pt>
                <c:pt idx="42">
                  <c:v>8.5000000000000006E-2</c:v>
                </c:pt>
                <c:pt idx="43">
                  <c:v>0.125</c:v>
                </c:pt>
                <c:pt idx="44">
                  <c:v>0.14499999999999999</c:v>
                </c:pt>
                <c:pt idx="45">
                  <c:v>0.13</c:v>
                </c:pt>
                <c:pt idx="46">
                  <c:v>0.105</c:v>
                </c:pt>
                <c:pt idx="47">
                  <c:v>0.08</c:v>
                </c:pt>
              </c:numCache>
            </c:numRef>
          </c:val>
        </c:ser>
        <c:ser>
          <c:idx val="2"/>
          <c:order val="4"/>
          <c:tx>
            <c:v>Calculated - March</c:v>
          </c:tx>
          <c:spPr>
            <a:ln>
              <a:solidFill>
                <a:srgbClr val="1F497D">
                  <a:lumMod val="60000"/>
                  <a:lumOff val="40000"/>
                </a:srgbClr>
              </a:solidFill>
            </a:ln>
          </c:spPr>
          <c:marker>
            <c:symbol val="circle"/>
            <c:size val="4"/>
            <c:spPr>
              <a:solidFill>
                <a:schemeClr val="tx1"/>
              </a:solidFill>
            </c:spPr>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val>
        </c:ser>
        <c:ser>
          <c:idx val="5"/>
          <c:order val="5"/>
          <c:tx>
            <c:v>Calculated - Sept</c:v>
          </c:tx>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Lighting!$AE$21:$AE$68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2.2576613917651589E-2</c:v>
                </c:pt>
                <c:pt idx="12">
                  <c:v>3.0111401028497124E-2</c:v>
                </c:pt>
                <c:pt idx="13">
                  <c:v>4.6848933565029047E-2</c:v>
                </c:pt>
                <c:pt idx="14">
                  <c:v>6.8238796402832549E-2</c:v>
                </c:pt>
                <c:pt idx="15">
                  <c:v>7.8643462462271094E-2</c:v>
                </c:pt>
                <c:pt idx="16">
                  <c:v>7.1549308023229119E-2</c:v>
                </c:pt>
                <c:pt idx="17">
                  <c:v>5.0159445185425616E-2</c:v>
                </c:pt>
                <c:pt idx="18">
                  <c:v>3.3421912648893694E-2</c:v>
                </c:pt>
                <c:pt idx="19">
                  <c:v>2.5887125538048165E-2</c:v>
                </c:pt>
                <c:pt idx="20">
                  <c:v>2.3754775576225306E-2</c:v>
                </c:pt>
                <c:pt idx="21">
                  <c:v>2.3362342255250485E-2</c:v>
                </c:pt>
                <c:pt idx="22">
                  <c:v>2.3314603149977877E-2</c:v>
                </c:pt>
                <c:pt idx="23">
                  <c:v>2.3310730164241979E-2</c:v>
                </c:pt>
                <c:pt idx="24">
                  <c:v>2.3310511620396573E-2</c:v>
                </c:pt>
                <c:pt idx="25">
                  <c:v>2.3313001659159949E-2</c:v>
                </c:pt>
                <c:pt idx="26">
                  <c:v>2.3319507954278347E-2</c:v>
                </c:pt>
                <c:pt idx="27">
                  <c:v>2.334059689060328E-2</c:v>
                </c:pt>
                <c:pt idx="28">
                  <c:v>2.3403637665997314E-2</c:v>
                </c:pt>
                <c:pt idx="29">
                  <c:v>2.3577330958042333E-2</c:v>
                </c:pt>
                <c:pt idx="30">
                  <c:v>2.4018118971080121E-2</c:v>
                </c:pt>
                <c:pt idx="31">
                  <c:v>2.5047497404064457E-2</c:v>
                </c:pt>
                <c:pt idx="32">
                  <c:v>2.7257165916976536E-2</c:v>
                </c:pt>
                <c:pt idx="33">
                  <c:v>3.1610754545219055E-2</c:v>
                </c:pt>
                <c:pt idx="34">
                  <c:v>3.946828133200983E-2</c:v>
                </c:pt>
                <c:pt idx="35">
                  <c:v>5.2424447367954645E-2</c:v>
                </c:pt>
                <c:pt idx="36">
                  <c:v>7.1867228944097042E-2</c:v>
                </c:pt>
                <c:pt idx="37">
                  <c:v>9.8269999738687663E-2</c:v>
                </c:pt>
                <c:pt idx="38">
                  <c:v>0.13042119742855376</c:v>
                </c:pt>
                <c:pt idx="39">
                  <c:v>0.16497724572789302</c:v>
                </c:pt>
                <c:pt idx="40">
                  <c:v>0.19674356029565787</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val>
        </c:ser>
        <c:ser>
          <c:idx val="6"/>
          <c:order val="6"/>
          <c:tx>
            <c:v>Calculated - Dec</c:v>
          </c:tx>
          <c:spPr>
            <a:ln>
              <a:solidFill>
                <a:schemeClr val="accent3">
                  <a:lumMod val="75000"/>
                </a:schemeClr>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val>
        </c:ser>
        <c:ser>
          <c:idx val="7"/>
          <c:order val="7"/>
          <c:tx>
            <c:v>Calculated - June</c:v>
          </c:tx>
          <c:spPr>
            <a:ln>
              <a:solidFill>
                <a:srgbClr val="C00000"/>
              </a:solidFill>
            </a:ln>
          </c:spPr>
          <c:marker>
            <c:symbol val="none"/>
          </c:marker>
          <c:cat>
            <c:numRef>
              <c:f>Lighting!$K$33:$K$80</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cat>
          <c:val>
            <c:numRef>
              <c:f>Lighting!$AB$21:$AB$68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2.105785715258993E-2</c:v>
                </c:pt>
                <c:pt idx="12">
                  <c:v>2.4151346784018732E-2</c:v>
                </c:pt>
                <c:pt idx="13">
                  <c:v>3.1023124658530365E-2</c:v>
                </c:pt>
                <c:pt idx="14">
                  <c:v>3.9804967852372655E-2</c:v>
                </c:pt>
                <c:pt idx="15">
                  <c:v>4.4076717816883652E-2</c:v>
                </c:pt>
                <c:pt idx="16">
                  <c:v>3.5511909951618209E-2</c:v>
                </c:pt>
                <c:pt idx="17">
                  <c:v>2.6730066757775919E-2</c:v>
                </c:pt>
                <c:pt idx="18">
                  <c:v>1.9858288883264286E-2</c:v>
                </c:pt>
                <c:pt idx="19">
                  <c:v>1.6764799251835483E-2</c:v>
                </c:pt>
                <c:pt idx="20">
                  <c:v>1.5889339547342732E-2</c:v>
                </c:pt>
                <c:pt idx="21">
                  <c:v>1.5728221735836767E-2</c:v>
                </c:pt>
                <c:pt idx="22">
                  <c:v>1.5708621921667904E-2</c:v>
                </c:pt>
                <c:pt idx="23">
                  <c:v>1.570703182482238E-2</c:v>
                </c:pt>
                <c:pt idx="24">
                  <c:v>1.5706942099245554E-2</c:v>
                </c:pt>
                <c:pt idx="25">
                  <c:v>1.5707725373544611E-2</c:v>
                </c:pt>
                <c:pt idx="26">
                  <c:v>1.5709618663084034E-2</c:v>
                </c:pt>
                <c:pt idx="27">
                  <c:v>1.5715519845074629E-2</c:v>
                </c:pt>
                <c:pt idx="28">
                  <c:v>1.573272314787854E-2</c:v>
                </c:pt>
                <c:pt idx="29">
                  <c:v>1.5779612879059639E-2</c:v>
                </c:pt>
                <c:pt idx="30">
                  <c:v>1.5899052510003658E-2</c:v>
                </c:pt>
                <c:pt idx="31">
                  <c:v>1.6183234681901189E-2</c:v>
                </c:pt>
                <c:pt idx="32">
                  <c:v>1.6814403436811589E-2</c:v>
                </c:pt>
                <c:pt idx="33">
                  <c:v>1.8121931152433129E-2</c:v>
                </c:pt>
                <c:pt idx="34">
                  <c:v>2.0645880357285953E-2</c:v>
                </c:pt>
                <c:pt idx="35">
                  <c:v>2.5179862003111654E-2</c:v>
                </c:pt>
                <c:pt idx="36">
                  <c:v>3.2746800089917594E-2</c:v>
                </c:pt>
                <c:pt idx="37">
                  <c:v>4.4453107128786119E-2</c:v>
                </c:pt>
                <c:pt idx="38">
                  <c:v>6.1187490797078636E-2</c:v>
                </c:pt>
                <c:pt idx="39">
                  <c:v>8.3191330184068685E-2</c:v>
                </c:pt>
                <c:pt idx="40">
                  <c:v>0.10961714320969329</c:v>
                </c:pt>
                <c:pt idx="41">
                  <c:v>0.13826844125503873</c:v>
                </c:pt>
                <c:pt idx="42">
                  <c:v>0.16571935484051187</c:v>
                </c:pt>
                <c:pt idx="43">
                  <c:v>0.18126490585547528</c:v>
                </c:pt>
                <c:pt idx="44">
                  <c:v>0.15710075431902629</c:v>
                </c:pt>
                <c:pt idx="45">
                  <c:v>0.13282919246116717</c:v>
                </c:pt>
                <c:pt idx="46">
                  <c:v>0.11037346318242089</c:v>
                </c:pt>
                <c:pt idx="47">
                  <c:v>9.1019094544443471E-2</c:v>
                </c:pt>
              </c:numCache>
            </c:numRef>
          </c:val>
        </c:ser>
        <c:marker val="1"/>
        <c:axId val="94869760"/>
        <c:axId val="94875648"/>
      </c:lineChart>
      <c:catAx>
        <c:axId val="94869760"/>
        <c:scaling>
          <c:orientation val="minMax"/>
        </c:scaling>
        <c:axPos val="b"/>
        <c:numFmt formatCode="General" sourceLinked="1"/>
        <c:tickLblPos val="nextTo"/>
        <c:txPr>
          <a:bodyPr rot="0" vert="horz"/>
          <a:lstStyle/>
          <a:p>
            <a:pPr>
              <a:defRPr sz="1600"/>
            </a:pPr>
            <a:endParaRPr lang="en-US"/>
          </a:p>
        </c:txPr>
        <c:crossAx val="94875648"/>
        <c:crosses val="autoZero"/>
        <c:auto val="1"/>
        <c:lblAlgn val="ctr"/>
        <c:lblOffset val="100"/>
        <c:tickLblSkip val="4"/>
        <c:tickMarkSkip val="2"/>
      </c:catAx>
      <c:valAx>
        <c:axId val="94875648"/>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800"/>
            </a:pPr>
            <a:endParaRPr lang="en-US"/>
          </a:p>
        </c:txPr>
        <c:crossAx val="94869760"/>
        <c:crossesAt val="1"/>
        <c:crossBetween val="midCat"/>
      </c:valAx>
      <c:spPr>
        <a:ln>
          <a:solidFill>
            <a:srgbClr val="4F81BD"/>
          </a:solidFill>
        </a:ln>
      </c:spPr>
    </c:plotArea>
    <c:legend>
      <c:legendPos val="r"/>
      <c:layout>
        <c:manualLayout>
          <c:xMode val="edge"/>
          <c:yMode val="edge"/>
          <c:x val="0.15835155219182906"/>
          <c:y val="5.3291532719851611E-2"/>
          <c:w val="0.7733193274918968"/>
          <c:h val="8.4967491808622245E-2"/>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5280796150481191"/>
          <c:y val="6.7433109351271531E-2"/>
          <c:w val="0.79275126048167865"/>
          <c:h val="0.73119252321269645"/>
        </c:manualLayout>
      </c:layout>
      <c:lineChart>
        <c:grouping val="standard"/>
        <c:ser>
          <c:idx val="0"/>
          <c:order val="0"/>
          <c:tx>
            <c:strRef>
              <c:f>Lighting!$L$31</c:f>
              <c:strCache>
                <c:ptCount val="1"/>
                <c:pt idx="0">
                  <c:v>kW - March</c:v>
                </c:pt>
              </c:strCache>
            </c:strRef>
          </c:tx>
          <c:spPr>
            <a:ln>
              <a:solidFill>
                <a:schemeClr val="tx2">
                  <a:lumMod val="60000"/>
                  <a:lumOff val="40000"/>
                </a:schemeClr>
              </a:solidFill>
            </a:ln>
          </c:spPr>
          <c:marker>
            <c:spPr>
              <a:ln>
                <a:solidFill>
                  <a:srgbClr val="1F497D">
                    <a:lumMod val="60000"/>
                    <a:lumOff val="40000"/>
                  </a:srgb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Lighting!$L$32:$L$80</c:f>
              <c:numCache>
                <c:formatCode>General</c:formatCode>
                <c:ptCount val="49"/>
                <c:pt idx="0">
                  <c:v>0.08</c:v>
                </c:pt>
                <c:pt idx="1">
                  <c:v>0.06</c:v>
                </c:pt>
                <c:pt idx="2">
                  <c:v>0.04</c:v>
                </c:pt>
                <c:pt idx="3">
                  <c:v>0.03</c:v>
                </c:pt>
                <c:pt idx="4">
                  <c:v>2.5000000000000001E-2</c:v>
                </c:pt>
                <c:pt idx="5">
                  <c:v>0.02</c:v>
                </c:pt>
                <c:pt idx="6">
                  <c:v>0.02</c:v>
                </c:pt>
                <c:pt idx="7">
                  <c:v>0.02</c:v>
                </c:pt>
                <c:pt idx="8">
                  <c:v>0.02</c:v>
                </c:pt>
                <c:pt idx="9">
                  <c:v>0.02</c:v>
                </c:pt>
                <c:pt idx="10">
                  <c:v>0.02</c:v>
                </c:pt>
                <c:pt idx="11">
                  <c:v>0.02</c:v>
                </c:pt>
                <c:pt idx="12">
                  <c:v>2.5000000000000001E-2</c:v>
                </c:pt>
                <c:pt idx="13">
                  <c:v>3.5000000000000003E-2</c:v>
                </c:pt>
                <c:pt idx="14">
                  <c:v>0.05</c:v>
                </c:pt>
                <c:pt idx="15">
                  <c:v>6.5000000000000002E-2</c:v>
                </c:pt>
                <c:pt idx="16">
                  <c:v>0.06</c:v>
                </c:pt>
                <c:pt idx="17">
                  <c:v>4.4999999999999998E-2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3.5000000000000003E-2</c:v>
                </c:pt>
                <c:pt idx="34">
                  <c:v>0.05</c:v>
                </c:pt>
                <c:pt idx="35">
                  <c:v>7.4999999999999997E-2</c:v>
                </c:pt>
                <c:pt idx="36">
                  <c:v>0.12</c:v>
                </c:pt>
                <c:pt idx="37">
                  <c:v>0.18</c:v>
                </c:pt>
                <c:pt idx="38">
                  <c:v>0.22</c:v>
                </c:pt>
                <c:pt idx="39">
                  <c:v>0.23</c:v>
                </c:pt>
                <c:pt idx="40">
                  <c:v>0.22500000000000001</c:v>
                </c:pt>
                <c:pt idx="41">
                  <c:v>0.22</c:v>
                </c:pt>
                <c:pt idx="42">
                  <c:v>0.215</c:v>
                </c:pt>
                <c:pt idx="43">
                  <c:v>0.2</c:v>
                </c:pt>
                <c:pt idx="44">
                  <c:v>0.19</c:v>
                </c:pt>
                <c:pt idx="45">
                  <c:v>0.17</c:v>
                </c:pt>
                <c:pt idx="46">
                  <c:v>0.14000000000000001</c:v>
                </c:pt>
                <c:pt idx="47">
                  <c:v>0.105</c:v>
                </c:pt>
                <c:pt idx="48">
                  <c:v>0.08</c:v>
                </c:pt>
              </c:numCache>
            </c:numRef>
          </c:val>
        </c:ser>
        <c:ser>
          <c:idx val="3"/>
          <c:order val="1"/>
          <c:tx>
            <c:strRef>
              <c:f>Lighting!$M$31</c:f>
              <c:strCache>
                <c:ptCount val="1"/>
                <c:pt idx="0">
                  <c:v>kW - Sept</c:v>
                </c:pt>
              </c:strCache>
            </c:strRef>
          </c:tx>
          <c:spPr>
            <a:ln>
              <a:solidFill>
                <a:srgbClr val="F79646">
                  <a:lumMod val="60000"/>
                  <a:lumOff val="40000"/>
                </a:srgbClr>
              </a:solidFill>
            </a:ln>
          </c:spPr>
          <c:marker>
            <c:spPr>
              <a:ln>
                <a:solidFill>
                  <a:schemeClr val="accent6">
                    <a:lumMod val="60000"/>
                    <a:lumOff val="40000"/>
                  </a:schemeClr>
                </a:solidFill>
              </a:ln>
            </c:spPr>
          </c:marker>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Lighting!$M$32:$M$80</c:f>
              <c:numCache>
                <c:formatCode>General</c:formatCode>
                <c:ptCount val="49"/>
                <c:pt idx="0">
                  <c:v>7.4999999999999997E-2</c:v>
                </c:pt>
                <c:pt idx="1">
                  <c:v>0.06</c:v>
                </c:pt>
                <c:pt idx="2">
                  <c:v>4.4999999999999998E-2</c:v>
                </c:pt>
                <c:pt idx="3">
                  <c:v>3.5000000000000003E-2</c:v>
                </c:pt>
                <c:pt idx="4">
                  <c:v>0.03</c:v>
                </c:pt>
                <c:pt idx="5">
                  <c:v>2.5000000000000001E-2</c:v>
                </c:pt>
                <c:pt idx="6">
                  <c:v>2.5000000000000001E-2</c:v>
                </c:pt>
                <c:pt idx="7">
                  <c:v>2.5000000000000001E-2</c:v>
                </c:pt>
                <c:pt idx="8">
                  <c:v>2.5000000000000001E-2</c:v>
                </c:pt>
                <c:pt idx="9">
                  <c:v>2.5000000000000001E-2</c:v>
                </c:pt>
                <c:pt idx="10">
                  <c:v>2.5000000000000001E-2</c:v>
                </c:pt>
                <c:pt idx="11">
                  <c:v>0.03</c:v>
                </c:pt>
                <c:pt idx="12">
                  <c:v>3.5000000000000003E-2</c:v>
                </c:pt>
                <c:pt idx="13">
                  <c:v>0.04</c:v>
                </c:pt>
                <c:pt idx="14">
                  <c:v>5.5E-2</c:v>
                </c:pt>
                <c:pt idx="15">
                  <c:v>6.5000000000000002E-2</c:v>
                </c:pt>
                <c:pt idx="16">
                  <c:v>5.5E-2</c:v>
                </c:pt>
                <c:pt idx="17">
                  <c:v>3.5000000000000003E-2</c:v>
                </c:pt>
                <c:pt idx="18">
                  <c:v>2.5000000000000001E-2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2.5000000000000001E-2</c:v>
                </c:pt>
                <c:pt idx="33">
                  <c:v>0.03</c:v>
                </c:pt>
                <c:pt idx="34">
                  <c:v>3.5000000000000003E-2</c:v>
                </c:pt>
                <c:pt idx="35">
                  <c:v>0.04</c:v>
                </c:pt>
                <c:pt idx="36">
                  <c:v>0.05</c:v>
                </c:pt>
                <c:pt idx="37">
                  <c:v>0.06</c:v>
                </c:pt>
                <c:pt idx="38">
                  <c:v>0.09</c:v>
                </c:pt>
                <c:pt idx="39">
                  <c:v>0.125</c:v>
                </c:pt>
                <c:pt idx="40">
                  <c:v>0.155</c:v>
                </c:pt>
                <c:pt idx="41">
                  <c:v>0.185</c:v>
                </c:pt>
                <c:pt idx="42">
                  <c:v>0.19500000000000001</c:v>
                </c:pt>
                <c:pt idx="43">
                  <c:v>0.185</c:v>
                </c:pt>
                <c:pt idx="44">
                  <c:v>0.17499999999999999</c:v>
                </c:pt>
                <c:pt idx="45">
                  <c:v>0.155</c:v>
                </c:pt>
                <c:pt idx="46">
                  <c:v>0.125</c:v>
                </c:pt>
                <c:pt idx="47">
                  <c:v>9.5000000000000001E-2</c:v>
                </c:pt>
                <c:pt idx="48">
                  <c:v>7.4999999999999997E-2</c:v>
                </c:pt>
              </c:numCache>
            </c:numRef>
          </c:val>
        </c:ser>
        <c:ser>
          <c:idx val="4"/>
          <c:order val="2"/>
          <c:tx>
            <c:strRef>
              <c:f>Lighting!$N$31</c:f>
              <c:strCache>
                <c:ptCount val="1"/>
                <c:pt idx="0">
                  <c:v>kW - December</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Lighting!$N$32:$N$80</c:f>
              <c:numCache>
                <c:formatCode>General</c:formatCode>
                <c:ptCount val="49"/>
                <c:pt idx="0">
                  <c:v>0.1</c:v>
                </c:pt>
                <c:pt idx="1">
                  <c:v>7.4999999999999997E-2</c:v>
                </c:pt>
                <c:pt idx="2">
                  <c:v>5.5E-2</c:v>
                </c:pt>
                <c:pt idx="3">
                  <c:v>0.04</c:v>
                </c:pt>
                <c:pt idx="4">
                  <c:v>3.5000000000000003E-2</c:v>
                </c:pt>
                <c:pt idx="5">
                  <c:v>0.03</c:v>
                </c:pt>
                <c:pt idx="6">
                  <c:v>2.5000000000000001E-2</c:v>
                </c:pt>
                <c:pt idx="7">
                  <c:v>2.5000000000000001E-2</c:v>
                </c:pt>
                <c:pt idx="8">
                  <c:v>2.5000000000000001E-2</c:v>
                </c:pt>
                <c:pt idx="9">
                  <c:v>2.5000000000000001E-2</c:v>
                </c:pt>
                <c:pt idx="10">
                  <c:v>2.5000000000000001E-2</c:v>
                </c:pt>
                <c:pt idx="11">
                  <c:v>2.5000000000000001E-2</c:v>
                </c:pt>
                <c:pt idx="12">
                  <c:v>0.03</c:v>
                </c:pt>
                <c:pt idx="13">
                  <c:v>4.4999999999999998E-2</c:v>
                </c:pt>
                <c:pt idx="14">
                  <c:v>7.4999999999999997E-2</c:v>
                </c:pt>
                <c:pt idx="15">
                  <c:v>0.13</c:v>
                </c:pt>
                <c:pt idx="16">
                  <c:v>0.16</c:v>
                </c:pt>
                <c:pt idx="17">
                  <c:v>0.14000000000000001</c:v>
                </c:pt>
                <c:pt idx="18">
                  <c:v>0.1</c:v>
                </c:pt>
                <c:pt idx="19">
                  <c:v>7.4999999999999997E-2</c:v>
                </c:pt>
                <c:pt idx="20">
                  <c:v>6.5000000000000002E-2</c:v>
                </c:pt>
                <c:pt idx="21">
                  <c:v>0.06</c:v>
                </c:pt>
                <c:pt idx="22">
                  <c:v>0.05</c:v>
                </c:pt>
                <c:pt idx="23">
                  <c:v>4.4999999999999998E-2</c:v>
                </c:pt>
                <c:pt idx="24">
                  <c:v>4.4999999999999998E-2</c:v>
                </c:pt>
                <c:pt idx="25">
                  <c:v>4.4999999999999998E-2</c:v>
                </c:pt>
                <c:pt idx="26">
                  <c:v>4.4999999999999998E-2</c:v>
                </c:pt>
                <c:pt idx="27">
                  <c:v>4.4999999999999998E-2</c:v>
                </c:pt>
                <c:pt idx="28">
                  <c:v>4.4999999999999998E-2</c:v>
                </c:pt>
                <c:pt idx="29">
                  <c:v>0.05</c:v>
                </c:pt>
                <c:pt idx="30">
                  <c:v>0.06</c:v>
                </c:pt>
                <c:pt idx="31">
                  <c:v>0.08</c:v>
                </c:pt>
                <c:pt idx="32">
                  <c:v>0.13</c:v>
                </c:pt>
                <c:pt idx="33">
                  <c:v>0.19</c:v>
                </c:pt>
                <c:pt idx="34">
                  <c:v>0.23</c:v>
                </c:pt>
                <c:pt idx="35">
                  <c:v>0.25</c:v>
                </c:pt>
                <c:pt idx="36">
                  <c:v>0.26</c:v>
                </c:pt>
                <c:pt idx="37">
                  <c:v>0.26</c:v>
                </c:pt>
                <c:pt idx="38">
                  <c:v>0.25</c:v>
                </c:pt>
                <c:pt idx="39">
                  <c:v>0.24</c:v>
                </c:pt>
                <c:pt idx="40">
                  <c:v>0.22500000000000001</c:v>
                </c:pt>
                <c:pt idx="41">
                  <c:v>0.22500000000000001</c:v>
                </c:pt>
                <c:pt idx="42">
                  <c:v>0.22</c:v>
                </c:pt>
                <c:pt idx="43">
                  <c:v>0.21</c:v>
                </c:pt>
                <c:pt idx="44">
                  <c:v>0.2</c:v>
                </c:pt>
                <c:pt idx="45">
                  <c:v>0.18</c:v>
                </c:pt>
                <c:pt idx="46">
                  <c:v>0.155</c:v>
                </c:pt>
                <c:pt idx="47">
                  <c:v>0.125</c:v>
                </c:pt>
                <c:pt idx="48">
                  <c:v>0.1</c:v>
                </c:pt>
              </c:numCache>
            </c:numRef>
          </c:val>
        </c:ser>
        <c:ser>
          <c:idx val="1"/>
          <c:order val="3"/>
          <c:tx>
            <c:strRef>
              <c:f>Lighting!$O$31</c:f>
              <c:strCache>
                <c:ptCount val="1"/>
                <c:pt idx="0">
                  <c:v>kW - June</c:v>
                </c:pt>
              </c:strCache>
            </c:strRef>
          </c:tx>
          <c:cat>
            <c:numRef>
              <c:f>Lighting!$K$32:$K$80</c:f>
              <c:numCache>
                <c:formatCode>General</c:formatCode>
                <c:ptCount val="49"/>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numCache>
            </c:numRef>
          </c:cat>
          <c:val>
            <c:numRef>
              <c:f>Lighting!$O$32:$O$80</c:f>
              <c:numCache>
                <c:formatCode>General</c:formatCode>
                <c:ptCount val="49"/>
                <c:pt idx="0">
                  <c:v>0.08</c:v>
                </c:pt>
                <c:pt idx="1">
                  <c:v>0.06</c:v>
                </c:pt>
                <c:pt idx="2">
                  <c:v>0.04</c:v>
                </c:pt>
                <c:pt idx="3">
                  <c:v>3.5000000000000003E-2</c:v>
                </c:pt>
                <c:pt idx="4">
                  <c:v>2.5000000000000001E-2</c:v>
                </c:pt>
                <c:pt idx="5">
                  <c:v>0.02</c:v>
                </c:pt>
                <c:pt idx="6">
                  <c:v>0.02</c:v>
                </c:pt>
                <c:pt idx="7">
                  <c:v>0.02</c:v>
                </c:pt>
                <c:pt idx="8">
                  <c:v>0.02</c:v>
                </c:pt>
                <c:pt idx="9">
                  <c:v>0.02</c:v>
                </c:pt>
                <c:pt idx="10">
                  <c:v>0.02</c:v>
                </c:pt>
                <c:pt idx="11">
                  <c:v>0.02</c:v>
                </c:pt>
                <c:pt idx="12">
                  <c:v>0.02</c:v>
                </c:pt>
                <c:pt idx="13">
                  <c:v>0.02</c:v>
                </c:pt>
                <c:pt idx="14">
                  <c:v>2.5000000000000001E-2</c:v>
                </c:pt>
                <c:pt idx="15">
                  <c:v>0.03</c:v>
                </c:pt>
                <c:pt idx="16">
                  <c:v>0.03</c:v>
                </c:pt>
                <c:pt idx="17">
                  <c:v>2.5000000000000001E-2</c:v>
                </c:pt>
                <c:pt idx="18">
                  <c:v>0.02</c:v>
                </c:pt>
                <c:pt idx="19">
                  <c:v>1.4999999999999999E-2</c:v>
                </c:pt>
                <c:pt idx="20">
                  <c:v>1.4999999999999999E-2</c:v>
                </c:pt>
                <c:pt idx="21">
                  <c:v>1.4999999999999999E-2</c:v>
                </c:pt>
                <c:pt idx="22">
                  <c:v>1.4999999999999999E-2</c:v>
                </c:pt>
                <c:pt idx="23">
                  <c:v>1.4999999999999999E-2</c:v>
                </c:pt>
                <c:pt idx="24">
                  <c:v>1.4999999999999999E-2</c:v>
                </c:pt>
                <c:pt idx="25">
                  <c:v>1.4999999999999999E-2</c:v>
                </c:pt>
                <c:pt idx="26">
                  <c:v>1.4999999999999999E-2</c:v>
                </c:pt>
                <c:pt idx="27">
                  <c:v>1.4999999999999999E-2</c:v>
                </c:pt>
                <c:pt idx="28">
                  <c:v>1.4999999999999999E-2</c:v>
                </c:pt>
                <c:pt idx="29">
                  <c:v>1.4999999999999999E-2</c:v>
                </c:pt>
                <c:pt idx="30">
                  <c:v>1.4999999999999999E-2</c:v>
                </c:pt>
                <c:pt idx="31">
                  <c:v>1.4999999999999999E-2</c:v>
                </c:pt>
                <c:pt idx="32">
                  <c:v>1.4999999999999999E-2</c:v>
                </c:pt>
                <c:pt idx="33">
                  <c:v>0.02</c:v>
                </c:pt>
                <c:pt idx="34">
                  <c:v>0.02</c:v>
                </c:pt>
                <c:pt idx="35">
                  <c:v>0.02</c:v>
                </c:pt>
                <c:pt idx="36">
                  <c:v>2.5000000000000001E-2</c:v>
                </c:pt>
                <c:pt idx="37">
                  <c:v>2.5000000000000001E-2</c:v>
                </c:pt>
                <c:pt idx="38">
                  <c:v>0.03</c:v>
                </c:pt>
                <c:pt idx="39">
                  <c:v>0.03</c:v>
                </c:pt>
                <c:pt idx="40">
                  <c:v>3.5000000000000003E-2</c:v>
                </c:pt>
                <c:pt idx="41">
                  <c:v>4.4999999999999998E-2</c:v>
                </c:pt>
                <c:pt idx="42">
                  <c:v>0.06</c:v>
                </c:pt>
                <c:pt idx="43">
                  <c:v>8.5000000000000006E-2</c:v>
                </c:pt>
                <c:pt idx="44">
                  <c:v>0.125</c:v>
                </c:pt>
                <c:pt idx="45">
                  <c:v>0.14499999999999999</c:v>
                </c:pt>
                <c:pt idx="46">
                  <c:v>0.13</c:v>
                </c:pt>
                <c:pt idx="47">
                  <c:v>0.105</c:v>
                </c:pt>
                <c:pt idx="48">
                  <c:v>0.08</c:v>
                </c:pt>
              </c:numCache>
            </c:numRef>
          </c:val>
        </c:ser>
        <c:marker val="1"/>
        <c:axId val="95442432"/>
        <c:axId val="95444352"/>
      </c:lineChart>
      <c:catAx>
        <c:axId val="95442432"/>
        <c:scaling>
          <c:orientation val="minMax"/>
        </c:scaling>
        <c:axPos val="b"/>
        <c:title>
          <c:tx>
            <c:rich>
              <a:bodyPr/>
              <a:lstStyle/>
              <a:p>
                <a:pPr>
                  <a:defRPr sz="1800"/>
                </a:pPr>
                <a:r>
                  <a:rPr lang="en-US" sz="1800"/>
                  <a:t>Hour of Day</a:t>
                </a:r>
              </a:p>
            </c:rich>
          </c:tx>
          <c:spPr>
            <a:noFill/>
            <a:ln w="25400">
              <a:noFill/>
            </a:ln>
          </c:spPr>
        </c:title>
        <c:numFmt formatCode="General" sourceLinked="1"/>
        <c:tickLblPos val="nextTo"/>
        <c:txPr>
          <a:bodyPr rot="0" vert="horz"/>
          <a:lstStyle/>
          <a:p>
            <a:pPr>
              <a:defRPr sz="1600"/>
            </a:pPr>
            <a:endParaRPr lang="en-US"/>
          </a:p>
        </c:txPr>
        <c:crossAx val="95444352"/>
        <c:crosses val="autoZero"/>
        <c:auto val="1"/>
        <c:lblAlgn val="ctr"/>
        <c:lblOffset val="100"/>
        <c:tickLblSkip val="2"/>
        <c:tickMarkSkip val="2"/>
      </c:catAx>
      <c:valAx>
        <c:axId val="95444352"/>
        <c:scaling>
          <c:orientation val="minMax"/>
        </c:scaling>
        <c:axPos val="l"/>
        <c:majorGridlines/>
        <c:title>
          <c:tx>
            <c:rich>
              <a:bodyPr rot="-5400000" vert="horz"/>
              <a:lstStyle/>
              <a:p>
                <a:pPr>
                  <a:defRPr sz="2000"/>
                </a:pPr>
                <a:r>
                  <a:rPr lang="en-US" sz="2000"/>
                  <a:t>Lighting</a:t>
                </a:r>
                <a:r>
                  <a:rPr lang="en-US" sz="2000" baseline="0"/>
                  <a:t> Demand  (kW)</a:t>
                </a:r>
                <a:endParaRPr lang="en-US" sz="2000"/>
              </a:p>
            </c:rich>
          </c:tx>
          <c:spPr>
            <a:noFill/>
            <a:ln w="25400">
              <a:noFill/>
            </a:ln>
          </c:spPr>
        </c:title>
        <c:numFmt formatCode="General" sourceLinked="1"/>
        <c:tickLblPos val="nextTo"/>
        <c:txPr>
          <a:bodyPr/>
          <a:lstStyle/>
          <a:p>
            <a:pPr>
              <a:defRPr sz="1600"/>
            </a:pPr>
            <a:endParaRPr lang="en-US"/>
          </a:p>
        </c:txPr>
        <c:crossAx val="95442432"/>
        <c:crosses val="autoZero"/>
        <c:crossBetween val="between"/>
      </c:valAx>
      <c:spPr>
        <a:ln>
          <a:solidFill>
            <a:srgbClr val="4F81BD"/>
          </a:solidFill>
        </a:ln>
      </c:spPr>
    </c:plotArea>
    <c:legend>
      <c:legendPos val="r"/>
      <c:layout>
        <c:manualLayout>
          <c:xMode val="edge"/>
          <c:yMode val="edge"/>
          <c:x val="0.18380476219392891"/>
          <c:y val="0.10927835051546392"/>
          <c:w val="0.23778933802941238"/>
          <c:h val="0.22268041237113406"/>
        </c:manualLayout>
      </c:layout>
      <c:spPr>
        <a:solidFill>
          <a:schemeClr val="bg1"/>
        </a:solidFill>
        <a:ln>
          <a:solidFill>
            <a:schemeClr val="accent1"/>
          </a:solidFill>
        </a:ln>
      </c:spPr>
      <c:txPr>
        <a:bodyPr/>
        <a:lstStyle/>
        <a:p>
          <a:pPr>
            <a:defRPr sz="12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3884898463804329"/>
          <c:y val="8.3554989514937852E-2"/>
          <c:w val="0.80401536328867795"/>
          <c:h val="0.75064539164826583"/>
        </c:manualLayout>
      </c:layout>
      <c:barChart>
        <c:barDir val="col"/>
        <c:grouping val="clustered"/>
        <c:ser>
          <c:idx val="0"/>
          <c:order val="0"/>
          <c:tx>
            <c:strRef>
              <c:f>Lighting!$V$74</c:f>
              <c:strCache>
                <c:ptCount val="1"/>
                <c:pt idx="0">
                  <c:v>Simulated kWh/day:</c:v>
                </c:pt>
              </c:strCache>
            </c:strRef>
          </c:tx>
          <c:val>
            <c:numRef>
              <c:f>Lighting!$W$74:$AH$74</c:f>
              <c:numCache>
                <c:formatCode>General</c:formatCode>
                <c:ptCount val="12"/>
                <c:pt idx="2" formatCode="0.000">
                  <c:v>1.6005400399555878</c:v>
                </c:pt>
                <c:pt idx="5" formatCode="0.000">
                  <c:v>1.0684899390778104</c:v>
                </c:pt>
                <c:pt idx="8" formatCode="0.000">
                  <c:v>1.4594519847189638</c:v>
                </c:pt>
                <c:pt idx="11" formatCode="0.000">
                  <c:v>2.2607218238451736</c:v>
                </c:pt>
              </c:numCache>
            </c:numRef>
          </c:val>
        </c:ser>
        <c:ser>
          <c:idx val="1"/>
          <c:order val="1"/>
          <c:tx>
            <c:strRef>
              <c:f>Lighting!$V$75</c:f>
              <c:strCache>
                <c:ptCount val="1"/>
                <c:pt idx="0">
                  <c:v>Stokes kWh/day:</c:v>
                </c:pt>
              </c:strCache>
            </c:strRef>
          </c:tx>
          <c:val>
            <c:numRef>
              <c:f>Lighting!$W$75:$AH$75</c:f>
              <c:numCache>
                <c:formatCode>General</c:formatCode>
                <c:ptCount val="12"/>
                <c:pt idx="2">
                  <c:v>1.6700000000000004</c:v>
                </c:pt>
                <c:pt idx="5">
                  <c:v>0.83000000000000029</c:v>
                </c:pt>
                <c:pt idx="8">
                  <c:v>1.3600000000000003</c:v>
                </c:pt>
                <c:pt idx="11">
                  <c:v>2.6124999999999998</c:v>
                </c:pt>
              </c:numCache>
            </c:numRef>
          </c:val>
        </c:ser>
        <c:axId val="95355264"/>
        <c:axId val="95357184"/>
      </c:barChart>
      <c:catAx>
        <c:axId val="95355264"/>
        <c:scaling>
          <c:orientation val="minMax"/>
        </c:scaling>
        <c:axPos val="b"/>
        <c:title>
          <c:tx>
            <c:rich>
              <a:bodyPr/>
              <a:lstStyle/>
              <a:p>
                <a:pPr>
                  <a:defRPr sz="1600"/>
                </a:pPr>
                <a:r>
                  <a:rPr lang="en-US" sz="1600"/>
                  <a:t>Month</a:t>
                </a:r>
              </a:p>
            </c:rich>
          </c:tx>
          <c:spPr>
            <a:noFill/>
            <a:ln w="25400">
              <a:noFill/>
            </a:ln>
          </c:spPr>
        </c:title>
        <c:numFmt formatCode="General" sourceLinked="1"/>
        <c:tickLblPos val="nextTo"/>
        <c:txPr>
          <a:bodyPr/>
          <a:lstStyle/>
          <a:p>
            <a:pPr>
              <a:defRPr sz="1400"/>
            </a:pPr>
            <a:endParaRPr lang="en-US"/>
          </a:p>
        </c:txPr>
        <c:crossAx val="95357184"/>
        <c:crosses val="autoZero"/>
        <c:auto val="1"/>
        <c:lblAlgn val="ctr"/>
        <c:lblOffset val="100"/>
      </c:catAx>
      <c:valAx>
        <c:axId val="95357184"/>
        <c:scaling>
          <c:orientation val="minMax"/>
        </c:scaling>
        <c:axPos val="l"/>
        <c:majorGridlines/>
        <c:title>
          <c:tx>
            <c:rich>
              <a:bodyPr rot="-5400000" vert="horz"/>
              <a:lstStyle/>
              <a:p>
                <a:pPr>
                  <a:defRPr sz="1600"/>
                </a:pPr>
                <a:r>
                  <a:rPr lang="en-US" sz="1600"/>
                  <a:t>Total Lighting Energy (kWh)</a:t>
                </a:r>
              </a:p>
            </c:rich>
          </c:tx>
          <c:spPr>
            <a:noFill/>
            <a:ln w="25400">
              <a:noFill/>
            </a:ln>
          </c:spPr>
        </c:title>
        <c:numFmt formatCode="General" sourceLinked="1"/>
        <c:tickLblPos val="nextTo"/>
        <c:txPr>
          <a:bodyPr/>
          <a:lstStyle/>
          <a:p>
            <a:pPr>
              <a:defRPr sz="1800"/>
            </a:pPr>
            <a:endParaRPr lang="en-US"/>
          </a:p>
        </c:txPr>
        <c:crossAx val="95355264"/>
        <c:crosses val="autoZero"/>
        <c:crossBetween val="between"/>
      </c:valAx>
    </c:plotArea>
    <c:legend>
      <c:legendPos val="r"/>
      <c:layout>
        <c:manualLayout>
          <c:xMode val="edge"/>
          <c:yMode val="edge"/>
          <c:x val="0.19635343618513931"/>
          <c:y val="7.7064220183486534E-2"/>
          <c:w val="0.29172510518935335"/>
          <c:h val="0.12660550458715597"/>
        </c:manualLayout>
      </c:layout>
      <c:spPr>
        <a:solidFill>
          <a:schemeClr val="accent1">
            <a:lumMod val="20000"/>
            <a:lumOff val="80000"/>
          </a:schemeClr>
        </a:solidFill>
      </c:spPr>
      <c:txPr>
        <a:bodyPr/>
        <a:lstStyle/>
        <a:p>
          <a:pPr>
            <a:defRPr sz="1600"/>
          </a:pPr>
          <a:endParaRPr lang="en-US"/>
        </a:p>
      </c:txPr>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867437441155394"/>
          <c:y val="3.0689896920411092E-2"/>
          <c:w val="0.82530702655514065"/>
          <c:h val="0.84359061477085961"/>
        </c:manualLayout>
      </c:layout>
      <c:lineChart>
        <c:grouping val="standard"/>
        <c:ser>
          <c:idx val="0"/>
          <c:order val="0"/>
          <c:tx>
            <c:strRef>
              <c:f>Lighting!$J$4</c:f>
              <c:strCache>
                <c:ptCount val="1"/>
                <c:pt idx="0">
                  <c:v>RLW 2005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Lighting!$J$5:$J$16</c:f>
              <c:numCache>
                <c:formatCode>0.00%</c:formatCode>
                <c:ptCount val="12"/>
                <c:pt idx="0">
                  <c:v>9.7600000000000006E-2</c:v>
                </c:pt>
                <c:pt idx="1">
                  <c:v>8.0100000000000005E-2</c:v>
                </c:pt>
                <c:pt idx="2">
                  <c:v>8.7300000000000003E-2</c:v>
                </c:pt>
                <c:pt idx="3">
                  <c:v>7.6899999999999996E-2</c:v>
                </c:pt>
                <c:pt idx="4">
                  <c:v>7.4899999999999994E-2</c:v>
                </c:pt>
                <c:pt idx="5">
                  <c:v>7.1800000000000003E-2</c:v>
                </c:pt>
                <c:pt idx="6">
                  <c:v>6.9599999999999995E-2</c:v>
                </c:pt>
                <c:pt idx="7">
                  <c:v>7.3700000000000002E-2</c:v>
                </c:pt>
                <c:pt idx="8">
                  <c:v>8.0100000000000005E-2</c:v>
                </c:pt>
                <c:pt idx="9">
                  <c:v>9.2700000000000005E-2</c:v>
                </c:pt>
                <c:pt idx="10">
                  <c:v>9.7100000000000006E-2</c:v>
                </c:pt>
                <c:pt idx="11">
                  <c:v>9.8199999999999996E-2</c:v>
                </c:pt>
              </c:numCache>
            </c:numRef>
          </c:val>
        </c:ser>
        <c:ser>
          <c:idx val="1"/>
          <c:order val="1"/>
          <c:tx>
            <c:strRef>
              <c:f>Lighting!$K$4</c:f>
              <c:strCache>
                <c:ptCount val="1"/>
                <c:pt idx="0">
                  <c:v>NEES 1994 (New England)</c:v>
                </c:pt>
              </c:strCache>
            </c:strRef>
          </c:tx>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Lighting!$K$5:$K$16</c:f>
              <c:numCache>
                <c:formatCode>0.00%</c:formatCode>
                <c:ptCount val="12"/>
                <c:pt idx="0">
                  <c:v>0.11360000000000001</c:v>
                </c:pt>
                <c:pt idx="1">
                  <c:v>0.11409999999999999</c:v>
                </c:pt>
                <c:pt idx="2">
                  <c:v>8.8900000000000007E-2</c:v>
                </c:pt>
                <c:pt idx="3">
                  <c:v>8.0500000000000002E-2</c:v>
                </c:pt>
                <c:pt idx="4">
                  <c:v>8.1000000000000003E-2</c:v>
                </c:pt>
                <c:pt idx="5">
                  <c:v>7.0499999999999993E-2</c:v>
                </c:pt>
                <c:pt idx="6">
                  <c:v>5.8900000000000001E-2</c:v>
                </c:pt>
                <c:pt idx="7">
                  <c:v>5.1400000000000001E-2</c:v>
                </c:pt>
                <c:pt idx="8">
                  <c:v>5.67E-2</c:v>
                </c:pt>
                <c:pt idx="9">
                  <c:v>6.9199999999999998E-2</c:v>
                </c:pt>
                <c:pt idx="10">
                  <c:v>0.10879999999999999</c:v>
                </c:pt>
                <c:pt idx="11">
                  <c:v>0.10639999999999999</c:v>
                </c:pt>
              </c:numCache>
            </c:numRef>
          </c:val>
        </c:ser>
        <c:ser>
          <c:idx val="3"/>
          <c:order val="2"/>
          <c:tx>
            <c:strRef>
              <c:f>Lighting!$L$4</c:f>
              <c:strCache>
                <c:ptCount val="1"/>
                <c:pt idx="0">
                  <c:v>Stokes 2003 (UK)</c:v>
                </c:pt>
              </c:strCache>
            </c:strRef>
          </c:tx>
          <c:val>
            <c:numRef>
              <c:f>Lighting!$L$5:$L$16</c:f>
              <c:numCache>
                <c:formatCode>0.00%</c:formatCode>
                <c:ptCount val="12"/>
                <c:pt idx="0">
                  <c:v>0.12796833773087071</c:v>
                </c:pt>
                <c:pt idx="1">
                  <c:v>0.10158311345646438</c:v>
                </c:pt>
                <c:pt idx="2">
                  <c:v>8.7071240105540904E-2</c:v>
                </c:pt>
                <c:pt idx="3">
                  <c:v>6.7282321899736153E-2</c:v>
                </c:pt>
                <c:pt idx="4">
                  <c:v>5.4089709762532981E-2</c:v>
                </c:pt>
                <c:pt idx="5">
                  <c:v>4.221635883905013E-2</c:v>
                </c:pt>
                <c:pt idx="6">
                  <c:v>4.4854881266490766E-2</c:v>
                </c:pt>
                <c:pt idx="7">
                  <c:v>5.4089709762532981E-2</c:v>
                </c:pt>
                <c:pt idx="8">
                  <c:v>6.860158311345646E-2</c:v>
                </c:pt>
                <c:pt idx="9">
                  <c:v>9.894459102902374E-2</c:v>
                </c:pt>
                <c:pt idx="10">
                  <c:v>0.11741424802110818</c:v>
                </c:pt>
                <c:pt idx="11">
                  <c:v>0.13852242744063326</c:v>
                </c:pt>
              </c:numCache>
            </c:numRef>
          </c:val>
        </c:ser>
        <c:ser>
          <c:idx val="2"/>
          <c:order val="3"/>
          <c:tx>
            <c:strRef>
              <c:f>Lighting!$M$4</c:f>
              <c:strCache>
                <c:ptCount val="1"/>
                <c:pt idx="0">
                  <c:v>Bench 2010 (London)</c:v>
                </c:pt>
              </c:strCache>
            </c:strRef>
          </c:tx>
          <c:spPr>
            <a:ln w="47625">
              <a:solidFill>
                <a:schemeClr val="tx1"/>
              </a:solidFill>
            </a:ln>
          </c:spPr>
          <c:marker>
            <c:symbol val="none"/>
          </c:marker>
          <c:cat>
            <c:strRef>
              <c:f>Lighting!$I$5:$I$16</c:f>
              <c:strCache>
                <c:ptCount val="12"/>
                <c:pt idx="0">
                  <c:v>Jan</c:v>
                </c:pt>
                <c:pt idx="1">
                  <c:v>Feb</c:v>
                </c:pt>
                <c:pt idx="2">
                  <c:v>Mar</c:v>
                </c:pt>
                <c:pt idx="3">
                  <c:v>Apr</c:v>
                </c:pt>
                <c:pt idx="4">
                  <c:v>May</c:v>
                </c:pt>
                <c:pt idx="5">
                  <c:v>Jun</c:v>
                </c:pt>
                <c:pt idx="6">
                  <c:v>Jul</c:v>
                </c:pt>
                <c:pt idx="7">
                  <c:v>Aug </c:v>
                </c:pt>
                <c:pt idx="8">
                  <c:v>Sep</c:v>
                </c:pt>
                <c:pt idx="9">
                  <c:v>Oct</c:v>
                </c:pt>
                <c:pt idx="10">
                  <c:v>Nov</c:v>
                </c:pt>
                <c:pt idx="11">
                  <c:v>Dec</c:v>
                </c:pt>
              </c:strCache>
            </c:strRef>
          </c:cat>
          <c:val>
            <c:numRef>
              <c:f>Lighting!$M$5:$M$16</c:f>
              <c:numCache>
                <c:formatCode>0.00%</c:formatCode>
                <c:ptCount val="12"/>
                <c:pt idx="0">
                  <c:v>0.11591771923020547</c:v>
                </c:pt>
                <c:pt idx="1">
                  <c:v>9.1738914940510063E-2</c:v>
                </c:pt>
                <c:pt idx="2">
                  <c:v>8.5802989807230556E-2</c:v>
                </c:pt>
                <c:pt idx="3">
                  <c:v>6.7960689257294551E-2</c:v>
                </c:pt>
                <c:pt idx="4">
                  <c:v>6.1138912853048594E-2</c:v>
                </c:pt>
                <c:pt idx="5">
                  <c:v>5.533498570442362E-2</c:v>
                </c:pt>
                <c:pt idx="6">
                  <c:v>5.824959230155409E-2</c:v>
                </c:pt>
                <c:pt idx="7">
                  <c:v>6.5473480080343288E-2</c:v>
                </c:pt>
                <c:pt idx="8">
                  <c:v>7.5633588935449761E-2</c:v>
                </c:pt>
                <c:pt idx="9">
                  <c:v>9.4449084525061053E-2</c:v>
                </c:pt>
                <c:pt idx="10">
                  <c:v>0.10789130895095179</c:v>
                </c:pt>
                <c:pt idx="11">
                  <c:v>0.12040873341392722</c:v>
                </c:pt>
              </c:numCache>
            </c:numRef>
          </c:val>
        </c:ser>
        <c:marker val="1"/>
        <c:axId val="95383936"/>
        <c:axId val="95385472"/>
      </c:lineChart>
      <c:catAx>
        <c:axId val="95383936"/>
        <c:scaling>
          <c:orientation val="minMax"/>
        </c:scaling>
        <c:axPos val="b"/>
        <c:numFmt formatCode="General" sourceLinked="1"/>
        <c:tickLblPos val="nextTo"/>
        <c:txPr>
          <a:bodyPr/>
          <a:lstStyle/>
          <a:p>
            <a:pPr>
              <a:defRPr sz="1600"/>
            </a:pPr>
            <a:endParaRPr lang="en-US"/>
          </a:p>
        </c:txPr>
        <c:crossAx val="95385472"/>
        <c:crosses val="autoZero"/>
        <c:auto val="1"/>
        <c:lblAlgn val="ctr"/>
        <c:lblOffset val="100"/>
      </c:catAx>
      <c:valAx>
        <c:axId val="95385472"/>
        <c:scaling>
          <c:orientation val="minMax"/>
        </c:scaling>
        <c:axPos val="l"/>
        <c:majorGridlines/>
        <c:title>
          <c:tx>
            <c:rich>
              <a:bodyPr rot="-5400000" vert="horz"/>
              <a:lstStyle/>
              <a:p>
                <a:pPr>
                  <a:defRPr sz="1600"/>
                </a:pPr>
                <a:r>
                  <a:rPr lang="en-US" sz="1600"/>
                  <a:t>Percent of Annual Lighting Energy</a:t>
                </a:r>
              </a:p>
            </c:rich>
          </c:tx>
          <c:spPr>
            <a:noFill/>
            <a:ln w="25400">
              <a:noFill/>
            </a:ln>
          </c:spPr>
        </c:title>
        <c:numFmt formatCode="0%" sourceLinked="0"/>
        <c:tickLblPos val="nextTo"/>
        <c:txPr>
          <a:bodyPr/>
          <a:lstStyle/>
          <a:p>
            <a:pPr>
              <a:defRPr sz="1400"/>
            </a:pPr>
            <a:endParaRPr lang="en-US"/>
          </a:p>
        </c:txPr>
        <c:crossAx val="95383936"/>
        <c:crosses val="autoZero"/>
        <c:crossBetween val="between"/>
      </c:valAx>
    </c:plotArea>
    <c:legend>
      <c:legendPos val="r"/>
      <c:layout>
        <c:manualLayout>
          <c:xMode val="edge"/>
          <c:yMode val="edge"/>
          <c:x val="0.50196619917920271"/>
          <c:y val="6.841046277665995E-2"/>
          <c:w val="0.30930551112305066"/>
          <c:h val="0.25352112676056326"/>
        </c:manualLayout>
      </c:layout>
      <c:txPr>
        <a:bodyPr/>
        <a:lstStyle/>
        <a:p>
          <a:pPr>
            <a:defRPr sz="1400"/>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tx>
            <c:strRef>
              <c:f>Lighting!$H$157</c:f>
              <c:strCache>
                <c:ptCount val="1"/>
                <c:pt idx="0">
                  <c:v>Stokes 2003</c:v>
                </c:pt>
              </c:strCache>
            </c:strRef>
          </c:tx>
          <c:marker>
            <c:symbol val="none"/>
          </c:marker>
          <c:cat>
            <c:strRef>
              <c:f>Lighting!$G$158:$G$169</c:f>
              <c:strCache>
                <c:ptCount val="12"/>
                <c:pt idx="0">
                  <c:v>Apr</c:v>
                </c:pt>
                <c:pt idx="1">
                  <c:v>May</c:v>
                </c:pt>
                <c:pt idx="2">
                  <c:v>Jun</c:v>
                </c:pt>
                <c:pt idx="3">
                  <c:v>Jul</c:v>
                </c:pt>
                <c:pt idx="4">
                  <c:v>Aug </c:v>
                </c:pt>
                <c:pt idx="5">
                  <c:v>Sep</c:v>
                </c:pt>
                <c:pt idx="6">
                  <c:v>Oct</c:v>
                </c:pt>
                <c:pt idx="7">
                  <c:v>Nov</c:v>
                </c:pt>
                <c:pt idx="8">
                  <c:v>Dec</c:v>
                </c:pt>
                <c:pt idx="9">
                  <c:v>Jan</c:v>
                </c:pt>
                <c:pt idx="10">
                  <c:v>Feb</c:v>
                </c:pt>
                <c:pt idx="11">
                  <c:v>Mar</c:v>
                </c:pt>
              </c:strCache>
            </c:strRef>
          </c:cat>
          <c:val>
            <c:numRef>
              <c:f>Lighting!$H$158:$H$169</c:f>
              <c:numCache>
                <c:formatCode>General</c:formatCode>
                <c:ptCount val="12"/>
                <c:pt idx="0">
                  <c:v>6.7282321899736153E-2</c:v>
                </c:pt>
                <c:pt idx="1">
                  <c:v>5.4089709762532981E-2</c:v>
                </c:pt>
                <c:pt idx="2">
                  <c:v>4.221635883905013E-2</c:v>
                </c:pt>
                <c:pt idx="3">
                  <c:v>4.4854881266490766E-2</c:v>
                </c:pt>
                <c:pt idx="4">
                  <c:v>5.4089709762532981E-2</c:v>
                </c:pt>
                <c:pt idx="5">
                  <c:v>6.860158311345646E-2</c:v>
                </c:pt>
                <c:pt idx="6">
                  <c:v>9.894459102902374E-2</c:v>
                </c:pt>
                <c:pt idx="7">
                  <c:v>0.11741424802110818</c:v>
                </c:pt>
                <c:pt idx="8">
                  <c:v>0.13852242744063326</c:v>
                </c:pt>
                <c:pt idx="9">
                  <c:v>0.12796833773087071</c:v>
                </c:pt>
                <c:pt idx="10">
                  <c:v>0.10158311345646438</c:v>
                </c:pt>
                <c:pt idx="11">
                  <c:v>8.7071240105540904E-2</c:v>
                </c:pt>
              </c:numCache>
            </c:numRef>
          </c:val>
        </c:ser>
        <c:ser>
          <c:idx val="1"/>
          <c:order val="1"/>
          <c:tx>
            <c:strRef>
              <c:f>Lighting!$I$157</c:f>
              <c:strCache>
                <c:ptCount val="1"/>
                <c:pt idx="0">
                  <c:v>RLW 2005</c:v>
                </c:pt>
              </c:strCache>
            </c:strRef>
          </c:tx>
          <c:marker>
            <c:symbol val="none"/>
          </c:marker>
          <c:val>
            <c:numRef>
              <c:f>Lighting!$I$158:$I$169</c:f>
              <c:numCache>
                <c:formatCode>General</c:formatCode>
                <c:ptCount val="12"/>
                <c:pt idx="0">
                  <c:v>7.6899999999999996E-2</c:v>
                </c:pt>
                <c:pt idx="1">
                  <c:v>7.4899999999999994E-2</c:v>
                </c:pt>
                <c:pt idx="2">
                  <c:v>7.1800000000000003E-2</c:v>
                </c:pt>
                <c:pt idx="3">
                  <c:v>6.9599999999999995E-2</c:v>
                </c:pt>
                <c:pt idx="4">
                  <c:v>7.3700000000000002E-2</c:v>
                </c:pt>
                <c:pt idx="5">
                  <c:v>8.0100000000000005E-2</c:v>
                </c:pt>
                <c:pt idx="6">
                  <c:v>9.2700000000000005E-2</c:v>
                </c:pt>
                <c:pt idx="7">
                  <c:v>9.7100000000000006E-2</c:v>
                </c:pt>
                <c:pt idx="8">
                  <c:v>9.8199999999999996E-2</c:v>
                </c:pt>
                <c:pt idx="9">
                  <c:v>9.7600000000000006E-2</c:v>
                </c:pt>
                <c:pt idx="10">
                  <c:v>8.0100000000000005E-2</c:v>
                </c:pt>
                <c:pt idx="11">
                  <c:v>8.7300000000000003E-2</c:v>
                </c:pt>
              </c:numCache>
            </c:numRef>
          </c:val>
        </c:ser>
        <c:ser>
          <c:idx val="2"/>
          <c:order val="2"/>
          <c:tx>
            <c:strRef>
              <c:f>Lighting!$J$157</c:f>
              <c:strCache>
                <c:ptCount val="1"/>
                <c:pt idx="0">
                  <c:v>NEES 1994</c:v>
                </c:pt>
              </c:strCache>
            </c:strRef>
          </c:tx>
          <c:marker>
            <c:symbol val="none"/>
          </c:marker>
          <c:val>
            <c:numRef>
              <c:f>Lighting!$J$158:$J$169</c:f>
              <c:numCache>
                <c:formatCode>0.00%</c:formatCode>
                <c:ptCount val="12"/>
                <c:pt idx="0">
                  <c:v>8.0500000000000002E-2</c:v>
                </c:pt>
                <c:pt idx="1">
                  <c:v>8.1000000000000003E-2</c:v>
                </c:pt>
                <c:pt idx="2">
                  <c:v>7.0499999999999993E-2</c:v>
                </c:pt>
                <c:pt idx="3">
                  <c:v>5.8900000000000001E-2</c:v>
                </c:pt>
                <c:pt idx="4">
                  <c:v>5.1400000000000001E-2</c:v>
                </c:pt>
                <c:pt idx="5">
                  <c:v>5.67E-2</c:v>
                </c:pt>
                <c:pt idx="6">
                  <c:v>6.9199999999999998E-2</c:v>
                </c:pt>
                <c:pt idx="7">
                  <c:v>0.10879999999999999</c:v>
                </c:pt>
                <c:pt idx="8">
                  <c:v>0.10639999999999999</c:v>
                </c:pt>
                <c:pt idx="9">
                  <c:v>0.11360000000000001</c:v>
                </c:pt>
                <c:pt idx="10">
                  <c:v>0.11409999999999999</c:v>
                </c:pt>
                <c:pt idx="11">
                  <c:v>8.8900000000000007E-2</c:v>
                </c:pt>
              </c:numCache>
            </c:numRef>
          </c:val>
        </c:ser>
        <c:marker val="1"/>
        <c:axId val="95417856"/>
        <c:axId val="95419392"/>
      </c:lineChart>
      <c:catAx>
        <c:axId val="95417856"/>
        <c:scaling>
          <c:orientation val="minMax"/>
        </c:scaling>
        <c:axPos val="b"/>
        <c:numFmt formatCode="General" sourceLinked="1"/>
        <c:tickLblPos val="nextTo"/>
        <c:crossAx val="95419392"/>
        <c:crosses val="autoZero"/>
        <c:auto val="1"/>
        <c:lblAlgn val="ctr"/>
        <c:lblOffset val="100"/>
      </c:catAx>
      <c:valAx>
        <c:axId val="95419392"/>
        <c:scaling>
          <c:orientation val="minMax"/>
        </c:scaling>
        <c:axPos val="l"/>
        <c:majorGridlines/>
        <c:numFmt formatCode="General" sourceLinked="1"/>
        <c:tickLblPos val="nextTo"/>
        <c:crossAx val="95417856"/>
        <c:crosses val="autoZero"/>
        <c:crossBetween val="between"/>
      </c:valAx>
    </c:plotArea>
    <c:legend>
      <c:legendPos val="r"/>
      <c:layout>
        <c:manualLayout>
          <c:xMode val="edge"/>
          <c:yMode val="edge"/>
          <c:x val="0.75833486439195097"/>
          <c:y val="0.37248392608642888"/>
          <c:w val="0.21875043744533126"/>
          <c:h val="0.24161109055998944"/>
        </c:manualLayout>
      </c:layout>
    </c:legend>
    <c:plotVisOnly val="1"/>
    <c:dispBlanksAs val="gap"/>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033"/>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3.0000000000000002E-2</c:v>
                </c:pt>
                <c:pt idx="2">
                  <c:v>0.02</c:v>
                </c:pt>
                <c:pt idx="3">
                  <c:v>0.02</c:v>
                </c:pt>
                <c:pt idx="4">
                  <c:v>0.02</c:v>
                </c:pt>
                <c:pt idx="5">
                  <c:v>2.0938874649731733E-2</c:v>
                </c:pt>
                <c:pt idx="6">
                  <c:v>3.3467722485599344E-2</c:v>
                </c:pt>
                <c:pt idx="7">
                  <c:v>5.89460922597096E-2</c:v>
                </c:pt>
                <c:pt idx="8">
                  <c:v>4.7467697497388266E-2</c:v>
                </c:pt>
                <c:pt idx="9">
                  <c:v>2.4730293890654901E-2</c:v>
                </c:pt>
                <c:pt idx="10">
                  <c:v>2.028776376424455E-2</c:v>
                </c:pt>
                <c:pt idx="11">
                  <c:v>2.010856578148934E-2</c:v>
                </c:pt>
                <c:pt idx="12">
                  <c:v>2.011630590972352E-2</c:v>
                </c:pt>
                <c:pt idx="13">
                  <c:v>2.0235349026465226E-2</c:v>
                </c:pt>
                <c:pt idx="14">
                  <c:v>2.1104243861903182E-2</c:v>
                </c:pt>
                <c:pt idx="15">
                  <c:v>2.5668381443097722E-2</c:v>
                </c:pt>
                <c:pt idx="16">
                  <c:v>4.2377227028263353E-2</c:v>
                </c:pt>
                <c:pt idx="17">
                  <c:v>8.4166584195169813E-2</c:v>
                </c:pt>
                <c:pt idx="18">
                  <c:v>0.15250703378761796</c:v>
                </c:pt>
                <c:pt idx="19">
                  <c:v>0.21677252711500355</c:v>
                </c:pt>
                <c:pt idx="20">
                  <c:v>0.22474566709240518</c:v>
                </c:pt>
                <c:pt idx="21">
                  <c:v>0.18123845791359175</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er>
        <c:axId val="95577984"/>
        <c:axId val="95600640"/>
      </c:scatterChart>
      <c:valAx>
        <c:axId val="95577984"/>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95600640"/>
        <c:crosses val="autoZero"/>
        <c:crossBetween val="midCat"/>
        <c:majorUnit val="2"/>
      </c:valAx>
      <c:valAx>
        <c:axId val="95600640"/>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95577984"/>
        <c:crosses val="autoZero"/>
        <c:crossBetween val="midCat"/>
      </c:valAx>
      <c:spPr>
        <a:ln>
          <a:solidFill>
            <a:prstClr val="black"/>
          </a:solidFill>
        </a:ln>
      </c:spPr>
    </c:plotArea>
    <c:legend>
      <c:legendPos val="r"/>
      <c:layout>
        <c:manualLayout>
          <c:xMode val="edge"/>
          <c:yMode val="edge"/>
          <c:x val="0.24092285605280023"/>
          <c:y val="0.21424574166695931"/>
          <c:w val="0.18397921927976191"/>
          <c:h val="0.14281721368688541"/>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1465" l="0.70000000000000095" r="0.70000000000000095"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2900703036422617"/>
          <c:y val="5.2431544456476804E-2"/>
          <c:w val="0.83669112853783956"/>
          <c:h val="0.79030710842059615"/>
        </c:manualLayout>
      </c:layout>
      <c:scatterChart>
        <c:scatterStyle val="lineMarker"/>
        <c:ser>
          <c:idx val="0"/>
          <c:order val="0"/>
          <c:tx>
            <c:strRef>
              <c:f>Lighting!$AF$20</c:f>
              <c:strCache>
                <c:ptCount val="1"/>
                <c:pt idx="0">
                  <c:v>Oct- 1/2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Lighting!$AF$21:$AF$68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2.3479031125112487E-2</c:v>
                </c:pt>
                <c:pt idx="12">
                  <c:v>3.3652755135584356E-2</c:v>
                </c:pt>
                <c:pt idx="13">
                  <c:v>5.6252336800985972E-2</c:v>
                </c:pt>
                <c:pt idx="14">
                  <c:v>8.5133651950610886E-2</c:v>
                </c:pt>
                <c:pt idx="15">
                  <c:v>9.9182383434674407E-2</c:v>
                </c:pt>
                <c:pt idx="16">
                  <c:v>9.6992324982973666E-2</c:v>
                </c:pt>
                <c:pt idx="17">
                  <c:v>6.8111009833348751E-2</c:v>
                </c:pt>
                <c:pt idx="18">
                  <c:v>4.5511428167947135E-2</c:v>
                </c:pt>
                <c:pt idx="19">
                  <c:v>3.533770415747526E-2</c:v>
                </c:pt>
                <c:pt idx="20">
                  <c:v>3.245853322853158E-2</c:v>
                </c:pt>
                <c:pt idx="21">
                  <c:v>3.1928656505888157E-2</c:v>
                </c:pt>
                <c:pt idx="22">
                  <c:v>3.1864197553776383E-2</c:v>
                </c:pt>
                <c:pt idx="23">
                  <c:v>3.1858968117643174E-2</c:v>
                </c:pt>
                <c:pt idx="24">
                  <c:v>3.1858673032362776E-2</c:v>
                </c:pt>
                <c:pt idx="25">
                  <c:v>3.1867918636791587E-2</c:v>
                </c:pt>
                <c:pt idx="26">
                  <c:v>3.189127175864942E-2</c:v>
                </c:pt>
                <c:pt idx="27">
                  <c:v>3.1964316935221899E-2</c:v>
                </c:pt>
                <c:pt idx="28">
                  <c:v>3.2173351281874978E-2</c:v>
                </c:pt>
                <c:pt idx="29">
                  <c:v>3.2720197263092742E-2</c:v>
                </c:pt>
                <c:pt idx="30">
                  <c:v>3.4026610495921997E-2</c:v>
                </c:pt>
                <c:pt idx="31">
                  <c:v>3.6872905754500293E-2</c:v>
                </c:pt>
                <c:pt idx="32">
                  <c:v>4.2518268062623578E-2</c:v>
                </c:pt>
                <c:pt idx="33">
                  <c:v>5.2687048946569726E-2</c:v>
                </c:pt>
                <c:pt idx="34">
                  <c:v>6.926530368814221E-2</c:v>
                </c:pt>
                <c:pt idx="35">
                  <c:v>9.3606298101079122E-2</c:v>
                </c:pt>
                <c:pt idx="36">
                  <c:v>0.12554374785995032</c:v>
                </c:pt>
                <c:pt idx="37">
                  <c:v>0.16250555226802463</c:v>
                </c:pt>
                <c:pt idx="38">
                  <c:v>0.1993167713630597</c:v>
                </c:pt>
                <c:pt idx="39">
                  <c:v>0.22914262200548002</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1"/>
          <c:order val="1"/>
          <c:tx>
            <c:strRef>
              <c:f>Lighting!$AG$20</c:f>
              <c:strCache>
                <c:ptCount val="1"/>
                <c:pt idx="0">
                  <c:v>Nov- 1/2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Lighting!$AG$21:$AG$68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2.2652345255196035E-2</c:v>
                </c:pt>
                <c:pt idx="12">
                  <c:v>3.0408593370388329E-2</c:v>
                </c:pt>
                <c:pt idx="13">
                  <c:v>4.7638072223557593E-2</c:v>
                </c:pt>
                <c:pt idx="14">
                  <c:v>6.9656621769719596E-2</c:v>
                </c:pt>
                <c:pt idx="15">
                  <c:v>8.0367099760075097E-2</c:v>
                </c:pt>
                <c:pt idx="16">
                  <c:v>8.3326426913063578E-2</c:v>
                </c:pt>
                <c:pt idx="17">
                  <c:v>6.1307877366901575E-2</c:v>
                </c:pt>
                <c:pt idx="18">
                  <c:v>4.4078398513732304E-2</c:v>
                </c:pt>
                <c:pt idx="19">
                  <c:v>3.6322150398540011E-2</c:v>
                </c:pt>
                <c:pt idx="20">
                  <c:v>3.4127126819371773E-2</c:v>
                </c:pt>
                <c:pt idx="21">
                  <c:v>3.3723159174185308E-2</c:v>
                </c:pt>
                <c:pt idx="22">
                  <c:v>3.3674016930370788E-2</c:v>
                </c:pt>
                <c:pt idx="23">
                  <c:v>3.3670030110587792E-2</c:v>
                </c:pt>
                <c:pt idx="24">
                  <c:v>3.366980514334398E-2</c:v>
                </c:pt>
                <c:pt idx="25">
                  <c:v>3.3912226665556197E-2</c:v>
                </c:pt>
                <c:pt idx="26">
                  <c:v>3.4378821120814029E-2</c:v>
                </c:pt>
                <c:pt idx="27">
                  <c:v>3.5561871286766376E-2</c:v>
                </c:pt>
                <c:pt idx="28">
                  <c:v>3.8276739790795919E-2</c:v>
                </c:pt>
                <c:pt idx="29">
                  <c:v>4.3904696405861574E-2</c:v>
                </c:pt>
                <c:pt idx="30">
                  <c:v>5.4416544883495975E-2</c:v>
                </c:pt>
                <c:pt idx="31">
                  <c:v>7.2041583684245944E-2</c:v>
                </c:pt>
                <c:pt idx="32">
                  <c:v>9.8424229077204411E-2</c:v>
                </c:pt>
                <c:pt idx="33">
                  <c:v>0.13337605995454224</c:v>
                </c:pt>
                <c:pt idx="34">
                  <c:v>0.17374808733968303</c:v>
                </c:pt>
                <c:pt idx="35">
                  <c:v>0.21323189672844681</c:v>
                </c:pt>
                <c:pt idx="36">
                  <c:v>0.24368656227116786</c:v>
                </c:pt>
                <c:pt idx="37">
                  <c:v>0.25779397059073278</c:v>
                </c:pt>
                <c:pt idx="38">
                  <c:v>0.25190202336409734</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ser>
          <c:idx val="2"/>
          <c:order val="2"/>
          <c:tx>
            <c:strRef>
              <c:f>Lighting!$AH$20</c:f>
              <c:strCache>
                <c:ptCount val="1"/>
                <c:pt idx="0">
                  <c:v>Dec- 1/2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Lighting!$AH$21:$AH$68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2.3541012815678428E-2</c:v>
                </c:pt>
                <c:pt idx="12">
                  <c:v>3.3895989764351583E-2</c:v>
                </c:pt>
                <c:pt idx="13">
                  <c:v>5.6898200847924699E-2</c:v>
                </c:pt>
                <c:pt idx="14">
                  <c:v>8.6294059465074235E-2</c:v>
                </c:pt>
                <c:pt idx="15">
                  <c:v>0.10059308020967465</c:v>
                </c:pt>
                <c:pt idx="16">
                  <c:v>0.10725739204159257</c:v>
                </c:pt>
                <c:pt idx="17">
                  <c:v>7.7861533424443047E-2</c:v>
                </c:pt>
                <c:pt idx="18">
                  <c:v>5.4859322340869918E-2</c:v>
                </c:pt>
                <c:pt idx="19">
                  <c:v>4.4504345392196762E-2</c:v>
                </c:pt>
                <c:pt idx="20">
                  <c:v>4.1573879756426201E-2</c:v>
                </c:pt>
                <c:pt idx="21">
                  <c:v>4.1034562860964574E-2</c:v>
                </c:pt>
                <c:pt idx="22">
                  <c:v>4.0968955521649489E-2</c:v>
                </c:pt>
                <c:pt idx="23">
                  <c:v>4.0963632918976346E-2</c:v>
                </c:pt>
                <c:pt idx="24">
                  <c:v>4.0963332576518338E-2</c:v>
                </c:pt>
                <c:pt idx="25">
                  <c:v>4.1183096850054494E-2</c:v>
                </c:pt>
                <c:pt idx="26">
                  <c:v>4.164145572856804E-2</c:v>
                </c:pt>
                <c:pt idx="27">
                  <c:v>4.2858029857971595E-2</c:v>
                </c:pt>
                <c:pt idx="28">
                  <c:v>4.5756812046052718E-2</c:v>
                </c:pt>
                <c:pt idx="29">
                  <c:v>5.1944327505053768E-2</c:v>
                </c:pt>
                <c:pt idx="30">
                  <c:v>6.3741159570895795E-2</c:v>
                </c:pt>
                <c:pt idx="31">
                  <c:v>8.3745488749296298E-2</c:v>
                </c:pt>
                <c:pt idx="32">
                  <c:v>0.11372335549259754</c:v>
                </c:pt>
                <c:pt idx="33">
                  <c:v>0.15301098590206341</c:v>
                </c:pt>
                <c:pt idx="34">
                  <c:v>0.19720342354008924</c:v>
                </c:pt>
                <c:pt idx="35">
                  <c:v>0.23823375776984607</c:v>
                </c:pt>
                <c:pt idx="36">
                  <c:v>0.26649693550230541</c:v>
                </c:pt>
                <c:pt idx="37">
                  <c:v>0.27443829532611747</c:v>
                </c:pt>
                <c:pt idx="38">
                  <c:v>0.2598146429993799</c:v>
                </c:pt>
                <c:pt idx="39">
                  <c:v>0.23139358039837257</c:v>
                </c:pt>
                <c:pt idx="40">
                  <c:v>0.22969456541566022</c:v>
                </c:pt>
                <c:pt idx="41">
                  <c:v>0.21979676876915014</c:v>
                </c:pt>
                <c:pt idx="42">
                  <c:v>0.20297025596799903</c:v>
                </c:pt>
                <c:pt idx="43">
                  <c:v>0.18126490585547528</c:v>
                </c:pt>
                <c:pt idx="44">
                  <c:v>0.15710075431902629</c:v>
                </c:pt>
                <c:pt idx="45">
                  <c:v>0.13282919246116717</c:v>
                </c:pt>
                <c:pt idx="46">
                  <c:v>0.11037346318242089</c:v>
                </c:pt>
                <c:pt idx="47">
                  <c:v>9.1019094544443471E-2</c:v>
                </c:pt>
              </c:numCache>
            </c:numRef>
          </c:yVal>
        </c:ser>
        <c:axId val="95718400"/>
        <c:axId val="95724672"/>
      </c:scatterChart>
      <c:valAx>
        <c:axId val="95718400"/>
        <c:scaling>
          <c:orientation val="minMax"/>
          <c:max val="24"/>
        </c:scaling>
        <c:axPos val="b"/>
        <c:title>
          <c:tx>
            <c:rich>
              <a:bodyPr/>
              <a:lstStyle/>
              <a:p>
                <a:pPr>
                  <a:defRPr sz="2000"/>
                </a:pPr>
                <a:r>
                  <a:rPr lang="en-US" sz="2000"/>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95724672"/>
        <c:crosses val="autoZero"/>
        <c:crossBetween val="midCat"/>
        <c:majorUnit val="2"/>
      </c:valAx>
      <c:valAx>
        <c:axId val="95724672"/>
        <c:scaling>
          <c:orientation val="minMax"/>
        </c:scaling>
        <c:axPos val="l"/>
        <c:majorGridlines/>
        <c:title>
          <c:tx>
            <c:rich>
              <a:bodyPr rot="-5400000" vert="horz"/>
              <a:lstStyle/>
              <a:p>
                <a:pPr>
                  <a:defRPr sz="2000"/>
                </a:pPr>
                <a:r>
                  <a:rPr lang="en-US" sz="2000"/>
                  <a:t>Hourly</a:t>
                </a:r>
                <a:r>
                  <a:rPr lang="en-US" sz="2000" baseline="0"/>
                  <a:t> Average Power (kW)</a:t>
                </a:r>
                <a:endParaRPr lang="en-US" sz="2000"/>
              </a:p>
            </c:rich>
          </c:tx>
          <c:spPr>
            <a:noFill/>
            <a:ln w="25400">
              <a:noFill/>
            </a:ln>
          </c:spPr>
        </c:title>
        <c:numFmt formatCode="0.00" sourceLinked="0"/>
        <c:tickLblPos val="nextTo"/>
        <c:txPr>
          <a:bodyPr/>
          <a:lstStyle/>
          <a:p>
            <a:pPr>
              <a:defRPr sz="1600"/>
            </a:pPr>
            <a:endParaRPr lang="en-US"/>
          </a:p>
        </c:txPr>
        <c:crossAx val="95718400"/>
        <c:crosses val="autoZero"/>
        <c:crossBetween val="midCat"/>
      </c:valAx>
      <c:spPr>
        <a:ln>
          <a:solidFill>
            <a:prstClr val="black"/>
          </a:solidFill>
        </a:ln>
      </c:spPr>
    </c:plotArea>
    <c:legend>
      <c:legendPos val="r"/>
      <c:layout>
        <c:manualLayout>
          <c:xMode val="edge"/>
          <c:yMode val="edge"/>
          <c:x val="0.18435177917872805"/>
          <c:y val="9.0643428343387247E-2"/>
          <c:w val="0.17926059792208748"/>
          <c:h val="0.1919942129627869"/>
        </c:manualLayout>
      </c:layout>
      <c:spPr>
        <a:solidFill>
          <a:schemeClr val="bg1"/>
        </a:solidFill>
        <a:ln>
          <a:solidFill>
            <a:prstClr val="black"/>
          </a:solidFill>
        </a:ln>
      </c:spPr>
      <c:txPr>
        <a:bodyPr/>
        <a:lstStyle/>
        <a:p>
          <a:pPr>
            <a:defRPr sz="1400"/>
          </a:pPr>
          <a:endParaRPr lang="en-US"/>
        </a:p>
      </c:txPr>
    </c:legend>
    <c:plotVisOnly val="1"/>
    <c:dispBlanksAs val="gap"/>
  </c:chart>
  <c:printSettings>
    <c:headerFooter/>
    <c:pageMargins b="0.75000000000000511" l="0.70000000000000062" r="0.70000000000000062" t="0.7500000000000051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2900699364867738"/>
          <c:y val="4.6637661897252554E-2"/>
          <c:w val="0.83669112853784056"/>
          <c:h val="0.79030710842059615"/>
        </c:manualLayout>
      </c:layout>
      <c:scatterChart>
        <c:scatterStyle val="lineMarker"/>
        <c:ser>
          <c:idx val="2"/>
          <c:order val="0"/>
          <c:tx>
            <c:strRef>
              <c:f>Lighting!$AW$62</c:f>
              <c:strCache>
                <c:ptCount val="1"/>
                <c:pt idx="0">
                  <c:v>Mar- 1 hr</c:v>
                </c:pt>
              </c:strCache>
            </c:strRef>
          </c:tx>
          <c:xVal>
            <c:numRef>
              <c:f>Lighting!$AS$63:$AS$86</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Lighting!$AW$63:$AW$86</c:f>
              <c:numCache>
                <c:formatCode>General</c:formatCode>
                <c:ptCount val="24"/>
                <c:pt idx="0">
                  <c:v>0.05</c:v>
                </c:pt>
                <c:pt idx="1">
                  <c:v>3.0000000000000002E-2</c:v>
                </c:pt>
                <c:pt idx="2">
                  <c:v>0.02</c:v>
                </c:pt>
                <c:pt idx="3">
                  <c:v>0.02</c:v>
                </c:pt>
                <c:pt idx="4">
                  <c:v>0.02</c:v>
                </c:pt>
                <c:pt idx="5">
                  <c:v>2.0938874649731733E-2</c:v>
                </c:pt>
                <c:pt idx="6">
                  <c:v>3.3467722485599344E-2</c:v>
                </c:pt>
                <c:pt idx="7">
                  <c:v>5.89460922597096E-2</c:v>
                </c:pt>
                <c:pt idx="8">
                  <c:v>4.7467697497388266E-2</c:v>
                </c:pt>
                <c:pt idx="9">
                  <c:v>2.4730293890654901E-2</c:v>
                </c:pt>
                <c:pt idx="10">
                  <c:v>2.028776376424455E-2</c:v>
                </c:pt>
                <c:pt idx="11">
                  <c:v>2.010856578148934E-2</c:v>
                </c:pt>
                <c:pt idx="12">
                  <c:v>2.011630590972352E-2</c:v>
                </c:pt>
                <c:pt idx="13">
                  <c:v>2.0235349026465226E-2</c:v>
                </c:pt>
                <c:pt idx="14">
                  <c:v>2.1104243861903182E-2</c:v>
                </c:pt>
                <c:pt idx="15">
                  <c:v>2.5668381443097722E-2</c:v>
                </c:pt>
                <c:pt idx="16">
                  <c:v>4.2377227028263353E-2</c:v>
                </c:pt>
                <c:pt idx="17">
                  <c:v>8.4166584195169813E-2</c:v>
                </c:pt>
                <c:pt idx="18">
                  <c:v>0.15250703378761796</c:v>
                </c:pt>
                <c:pt idx="19">
                  <c:v>0.21677252711500355</c:v>
                </c:pt>
                <c:pt idx="20">
                  <c:v>0.22474566709240518</c:v>
                </c:pt>
                <c:pt idx="21">
                  <c:v>0.18123845791359175</c:v>
                </c:pt>
                <c:pt idx="22">
                  <c:v>0.14496497339009673</c:v>
                </c:pt>
                <c:pt idx="23">
                  <c:v>0.10069627886343219</c:v>
                </c:pt>
              </c:numCache>
            </c:numRef>
          </c:yVal>
        </c:ser>
        <c:ser>
          <c:idx val="3"/>
          <c:order val="1"/>
          <c:tx>
            <c:strRef>
              <c:f>Lighting!$Y$20</c:f>
              <c:strCache>
                <c:ptCount val="1"/>
                <c:pt idx="0">
                  <c:v>Mar- 1/2 hr</c:v>
                </c:pt>
              </c:strCache>
            </c:strRef>
          </c:tx>
          <c:xVal>
            <c:numRef>
              <c:f>Lighting!$V$21:$V$68</c:f>
              <c:numCache>
                <c:formatCode>General</c:formatCode>
                <c:ptCount val="48"/>
                <c:pt idx="0">
                  <c:v>0.5</c:v>
                </c:pt>
                <c:pt idx="1">
                  <c:v>1</c:v>
                </c:pt>
                <c:pt idx="2">
                  <c:v>1.5</c:v>
                </c:pt>
                <c:pt idx="3">
                  <c:v>2</c:v>
                </c:pt>
                <c:pt idx="4">
                  <c:v>2.5</c:v>
                </c:pt>
                <c:pt idx="5">
                  <c:v>3</c:v>
                </c:pt>
                <c:pt idx="6">
                  <c:v>3.5</c:v>
                </c:pt>
                <c:pt idx="7">
                  <c:v>4</c:v>
                </c:pt>
                <c:pt idx="8">
                  <c:v>4.5</c:v>
                </c:pt>
                <c:pt idx="9">
                  <c:v>5</c:v>
                </c:pt>
                <c:pt idx="10">
                  <c:v>5.5</c:v>
                </c:pt>
                <c:pt idx="11">
                  <c:v>6</c:v>
                </c:pt>
                <c:pt idx="12">
                  <c:v>6.5</c:v>
                </c:pt>
                <c:pt idx="13">
                  <c:v>7</c:v>
                </c:pt>
                <c:pt idx="14">
                  <c:v>7.5</c:v>
                </c:pt>
                <c:pt idx="15">
                  <c:v>8</c:v>
                </c:pt>
                <c:pt idx="16">
                  <c:v>8.5</c:v>
                </c:pt>
                <c:pt idx="17">
                  <c:v>9</c:v>
                </c:pt>
                <c:pt idx="18">
                  <c:v>9.5</c:v>
                </c:pt>
                <c:pt idx="19">
                  <c:v>10</c:v>
                </c:pt>
                <c:pt idx="20">
                  <c:v>10.5</c:v>
                </c:pt>
                <c:pt idx="21">
                  <c:v>11</c:v>
                </c:pt>
                <c:pt idx="22">
                  <c:v>11.5</c:v>
                </c:pt>
                <c:pt idx="23">
                  <c:v>12</c:v>
                </c:pt>
                <c:pt idx="24">
                  <c:v>12.5</c:v>
                </c:pt>
                <c:pt idx="25">
                  <c:v>13</c:v>
                </c:pt>
                <c:pt idx="26">
                  <c:v>13.5</c:v>
                </c:pt>
                <c:pt idx="27">
                  <c:v>14</c:v>
                </c:pt>
                <c:pt idx="28">
                  <c:v>14.5</c:v>
                </c:pt>
                <c:pt idx="29">
                  <c:v>15</c:v>
                </c:pt>
                <c:pt idx="30">
                  <c:v>15.5</c:v>
                </c:pt>
                <c:pt idx="31">
                  <c:v>16</c:v>
                </c:pt>
                <c:pt idx="32">
                  <c:v>16.5</c:v>
                </c:pt>
                <c:pt idx="33">
                  <c:v>17</c:v>
                </c:pt>
                <c:pt idx="34">
                  <c:v>17.5</c:v>
                </c:pt>
                <c:pt idx="35">
                  <c:v>18</c:v>
                </c:pt>
                <c:pt idx="36">
                  <c:v>18.5</c:v>
                </c:pt>
                <c:pt idx="37">
                  <c:v>19</c:v>
                </c:pt>
                <c:pt idx="38">
                  <c:v>19.5</c:v>
                </c:pt>
                <c:pt idx="39">
                  <c:v>20</c:v>
                </c:pt>
                <c:pt idx="40">
                  <c:v>20.5</c:v>
                </c:pt>
                <c:pt idx="41">
                  <c:v>21</c:v>
                </c:pt>
                <c:pt idx="42">
                  <c:v>21.5</c:v>
                </c:pt>
                <c:pt idx="43">
                  <c:v>22</c:v>
                </c:pt>
                <c:pt idx="44">
                  <c:v>22.5</c:v>
                </c:pt>
                <c:pt idx="45">
                  <c:v>23</c:v>
                </c:pt>
                <c:pt idx="46">
                  <c:v>23.5</c:v>
                </c:pt>
                <c:pt idx="47">
                  <c:v>24</c:v>
                </c:pt>
              </c:numCache>
            </c:numRef>
          </c:xVal>
          <c:yVal>
            <c:numRef>
              <c:f>Lighting!$Y$21:$Y$68</c:f>
              <c:numCache>
                <c:formatCode>0.000</c:formatCode>
                <c:ptCount val="48"/>
                <c:pt idx="0">
                  <c:v>0.06</c:v>
                </c:pt>
                <c:pt idx="1">
                  <c:v>0.04</c:v>
                </c:pt>
                <c:pt idx="2">
                  <c:v>3.5000000000000003E-2</c:v>
                </c:pt>
                <c:pt idx="3">
                  <c:v>2.5000000000000001E-2</c:v>
                </c:pt>
                <c:pt idx="4">
                  <c:v>0.02</c:v>
                </c:pt>
                <c:pt idx="5">
                  <c:v>0.02</c:v>
                </c:pt>
                <c:pt idx="6">
                  <c:v>0.02</c:v>
                </c:pt>
                <c:pt idx="7">
                  <c:v>0.02</c:v>
                </c:pt>
                <c:pt idx="8">
                  <c:v>0.02</c:v>
                </c:pt>
                <c:pt idx="9">
                  <c:v>0.02</c:v>
                </c:pt>
                <c:pt idx="10">
                  <c:v>0.02</c:v>
                </c:pt>
                <c:pt idx="11">
                  <c:v>2.1877749299463466E-2</c:v>
                </c:pt>
                <c:pt idx="12">
                  <c:v>2.7368847954977949E-2</c:v>
                </c:pt>
                <c:pt idx="13">
                  <c:v>3.9566597016220742E-2</c:v>
                </c:pt>
                <c:pt idx="14">
                  <c:v>5.515480745168741E-2</c:v>
                </c:pt>
                <c:pt idx="15">
                  <c:v>6.2737377067731789E-2</c:v>
                </c:pt>
                <c:pt idx="16">
                  <c:v>5.52618027151216E-2</c:v>
                </c:pt>
                <c:pt idx="17">
                  <c:v>3.9673592279654932E-2</c:v>
                </c:pt>
                <c:pt idx="18">
                  <c:v>2.7475843218412142E-2</c:v>
                </c:pt>
                <c:pt idx="19">
                  <c:v>2.198474456289766E-2</c:v>
                </c:pt>
                <c:pt idx="20">
                  <c:v>2.0430759846913043E-2</c:v>
                </c:pt>
                <c:pt idx="21">
                  <c:v>2.0144767681576057E-2</c:v>
                </c:pt>
                <c:pt idx="22">
                  <c:v>2.0109977032162676E-2</c:v>
                </c:pt>
                <c:pt idx="23">
                  <c:v>2.0107154530816008E-2</c:v>
                </c:pt>
                <c:pt idx="24">
                  <c:v>2.0106995263434194E-2</c:v>
                </c:pt>
                <c:pt idx="25">
                  <c:v>2.0125616556012842E-2</c:v>
                </c:pt>
                <c:pt idx="26">
                  <c:v>2.0169689971252406E-2</c:v>
                </c:pt>
                <c:pt idx="27">
                  <c:v>2.0301008081678049E-2</c:v>
                </c:pt>
                <c:pt idx="28">
                  <c:v>2.0658829255143483E-2</c:v>
                </c:pt>
                <c:pt idx="29">
                  <c:v>2.1549658468662882E-2</c:v>
                </c:pt>
                <c:pt idx="30">
                  <c:v>2.3573565028558525E-2</c:v>
                </c:pt>
                <c:pt idx="31">
                  <c:v>2.776319785763692E-2</c:v>
                </c:pt>
                <c:pt idx="32">
                  <c:v>3.5648940407047004E-2</c:v>
                </c:pt>
                <c:pt idx="33">
                  <c:v>4.9105513649479703E-2</c:v>
                </c:pt>
                <c:pt idx="34">
                  <c:v>6.9837713229945864E-2</c:v>
                </c:pt>
                <c:pt idx="35">
                  <c:v>9.8495455160393777E-2</c:v>
                </c:pt>
                <c:pt idx="36">
                  <c:v>0.13367552861743526</c:v>
                </c:pt>
                <c:pt idx="37">
                  <c:v>0.17133853895780066</c:v>
                </c:pt>
                <c:pt idx="38">
                  <c:v>0.20520649110395983</c:v>
                </c:pt>
                <c:pt idx="39">
                  <c:v>0.22833856312604728</c:v>
                </c:pt>
                <c:pt idx="40">
                  <c:v>0.22969456541566022</c:v>
                </c:pt>
                <c:pt idx="41">
                  <c:v>0.21979676876915014</c:v>
                </c:pt>
                <c:pt idx="42">
                  <c:v>0.19885510785024457</c:v>
                </c:pt>
                <c:pt idx="43">
                  <c:v>0.16362180797693893</c:v>
                </c:pt>
                <c:pt idx="44">
                  <c:v>0.15710075431902629</c:v>
                </c:pt>
                <c:pt idx="45">
                  <c:v>0.13282919246116717</c:v>
                </c:pt>
                <c:pt idx="46">
                  <c:v>0.11037346318242089</c:v>
                </c:pt>
                <c:pt idx="47">
                  <c:v>9.1019094544443471E-2</c:v>
                </c:pt>
              </c:numCache>
            </c:numRef>
          </c:yVal>
        </c:ser>
        <c:axId val="95738880"/>
        <c:axId val="95618176"/>
      </c:scatterChart>
      <c:valAx>
        <c:axId val="95738880"/>
        <c:scaling>
          <c:orientation val="minMax"/>
          <c:max val="24"/>
        </c:scaling>
        <c:axPos val="b"/>
        <c:title>
          <c:tx>
            <c:rich>
              <a:bodyPr/>
              <a:lstStyle/>
              <a:p>
                <a:pPr>
                  <a:defRPr/>
                </a:pPr>
                <a:r>
                  <a:rPr lang="en-US"/>
                  <a:t>Hour of Day</a:t>
                </a:r>
              </a:p>
            </c:rich>
          </c:tx>
          <c:layout>
            <c:manualLayout>
              <c:xMode val="edge"/>
              <c:yMode val="edge"/>
              <c:x val="0.47324674447848364"/>
              <c:y val="0.92803748215683568"/>
            </c:manualLayout>
          </c:layout>
          <c:spPr>
            <a:noFill/>
            <a:ln w="25400">
              <a:noFill/>
            </a:ln>
          </c:spPr>
        </c:title>
        <c:numFmt formatCode="General" sourceLinked="1"/>
        <c:tickLblPos val="nextTo"/>
        <c:txPr>
          <a:bodyPr rot="0" vert="horz"/>
          <a:lstStyle/>
          <a:p>
            <a:pPr>
              <a:defRPr/>
            </a:pPr>
            <a:endParaRPr lang="en-US"/>
          </a:p>
        </c:txPr>
        <c:crossAx val="95618176"/>
        <c:crosses val="autoZero"/>
        <c:crossBetween val="midCat"/>
        <c:majorUnit val="2"/>
      </c:valAx>
      <c:valAx>
        <c:axId val="95618176"/>
        <c:scaling>
          <c:orientation val="minMax"/>
        </c:scaling>
        <c:axPos val="l"/>
        <c:majorGridlines/>
        <c:title>
          <c:tx>
            <c:rich>
              <a:bodyPr rot="-5400000" vert="horz"/>
              <a:lstStyle/>
              <a:p>
                <a:pPr>
                  <a:defRPr/>
                </a:pPr>
                <a:r>
                  <a:rPr lang="en-US"/>
                  <a:t>Hourly Average Power (kW)</a:t>
                </a:r>
              </a:p>
            </c:rich>
          </c:tx>
          <c:spPr>
            <a:noFill/>
            <a:ln w="25400">
              <a:noFill/>
            </a:ln>
          </c:spPr>
        </c:title>
        <c:numFmt formatCode="0.00" sourceLinked="0"/>
        <c:tickLblPos val="nextTo"/>
        <c:crossAx val="95738880"/>
        <c:crosses val="autoZero"/>
        <c:crossBetween val="midCat"/>
      </c:valAx>
      <c:spPr>
        <a:ln>
          <a:solidFill>
            <a:prstClr val="black"/>
          </a:solidFill>
        </a:ln>
      </c:spPr>
    </c:plotArea>
    <c:legend>
      <c:legendPos val="r"/>
      <c:layout>
        <c:manualLayout>
          <c:xMode val="edge"/>
          <c:yMode val="edge"/>
          <c:x val="0.24092285605280028"/>
          <c:y val="0.21424574166695937"/>
          <c:w val="0.18397921927976191"/>
          <c:h val="0.14281721368688541"/>
        </c:manualLayout>
      </c:layout>
      <c:spPr>
        <a:solidFill>
          <a:schemeClr val="bg1"/>
        </a:solidFill>
        <a:ln>
          <a:solidFill>
            <a:prstClr val="black"/>
          </a:solidFill>
        </a:ln>
      </c:spPr>
    </c:legend>
    <c:plotVisOnly val="1"/>
    <c:dispBlanksAs val="gap"/>
  </c:chart>
  <c:txPr>
    <a:bodyPr/>
    <a:lstStyle/>
    <a:p>
      <a:pPr>
        <a:defRPr sz="1200"/>
      </a:pPr>
      <a:endParaRPr lang="en-US"/>
    </a:p>
  </c:txPr>
  <c:printSettings>
    <c:headerFooter/>
    <c:pageMargins b="0.75000000000001465" l="0.70000000000000095" r="0.70000000000000095" t="0.75000000000001465"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1"/>
          <c:xVal>
            <c:numRef>
              <c:f>Lighting!$X$143:$X$170</c:f>
              <c:numCache>
                <c:formatCode>General</c:formatCode>
                <c:ptCount val="28"/>
                <c:pt idx="0">
                  <c:v>10.5</c:v>
                </c:pt>
                <c:pt idx="1">
                  <c:v>11</c:v>
                </c:pt>
                <c:pt idx="2">
                  <c:v>11.5</c:v>
                </c:pt>
                <c:pt idx="3">
                  <c:v>12</c:v>
                </c:pt>
                <c:pt idx="4">
                  <c:v>12.5</c:v>
                </c:pt>
                <c:pt idx="5">
                  <c:v>13</c:v>
                </c:pt>
                <c:pt idx="6">
                  <c:v>13.5</c:v>
                </c:pt>
                <c:pt idx="7">
                  <c:v>14</c:v>
                </c:pt>
                <c:pt idx="8">
                  <c:v>14.5</c:v>
                </c:pt>
                <c:pt idx="9">
                  <c:v>15</c:v>
                </c:pt>
                <c:pt idx="10">
                  <c:v>15.5</c:v>
                </c:pt>
                <c:pt idx="11">
                  <c:v>16</c:v>
                </c:pt>
                <c:pt idx="12">
                  <c:v>16.5</c:v>
                </c:pt>
                <c:pt idx="13">
                  <c:v>17</c:v>
                </c:pt>
                <c:pt idx="14">
                  <c:v>17.5</c:v>
                </c:pt>
                <c:pt idx="15">
                  <c:v>18</c:v>
                </c:pt>
                <c:pt idx="16">
                  <c:v>18.5</c:v>
                </c:pt>
                <c:pt idx="17">
                  <c:v>19</c:v>
                </c:pt>
                <c:pt idx="18">
                  <c:v>19.5</c:v>
                </c:pt>
                <c:pt idx="19">
                  <c:v>20</c:v>
                </c:pt>
                <c:pt idx="20">
                  <c:v>20.5</c:v>
                </c:pt>
                <c:pt idx="21">
                  <c:v>21</c:v>
                </c:pt>
                <c:pt idx="22">
                  <c:v>21.5</c:v>
                </c:pt>
                <c:pt idx="23">
                  <c:v>22</c:v>
                </c:pt>
                <c:pt idx="24">
                  <c:v>22.5</c:v>
                </c:pt>
                <c:pt idx="25">
                  <c:v>23</c:v>
                </c:pt>
                <c:pt idx="26">
                  <c:v>23.5</c:v>
                </c:pt>
                <c:pt idx="27">
                  <c:v>24</c:v>
                </c:pt>
              </c:numCache>
            </c:numRef>
          </c:xVal>
          <c:yVal>
            <c:numRef>
              <c:f>Lighting!$Z$143:$Z$170</c:f>
              <c:numCache>
                <c:formatCode>0.000</c:formatCode>
                <c:ptCount val="28"/>
                <c:pt idx="0">
                  <c:v>2.0107007413587809E-2</c:v>
                </c:pt>
                <c:pt idx="1">
                  <c:v>2.0107057624052779E-2</c:v>
                </c:pt>
                <c:pt idx="2">
                  <c:v>2.0107289446414156E-2</c:v>
                </c:pt>
                <c:pt idx="3">
                  <c:v>2.0108270830078042E-2</c:v>
                </c:pt>
                <c:pt idx="4">
                  <c:v>2.0112078815167168E-2</c:v>
                </c:pt>
                <c:pt idx="5">
                  <c:v>2.0125616556012842E-2</c:v>
                </c:pt>
                <c:pt idx="6">
                  <c:v>2.0169689971252406E-2</c:v>
                </c:pt>
                <c:pt idx="7">
                  <c:v>2.0301008081678049E-2</c:v>
                </c:pt>
                <c:pt idx="8">
                  <c:v>2.0658829255143483E-2</c:v>
                </c:pt>
                <c:pt idx="9">
                  <c:v>2.1549658468662882E-2</c:v>
                </c:pt>
                <c:pt idx="10">
                  <c:v>2.3573565028558525E-2</c:v>
                </c:pt>
                <c:pt idx="11">
                  <c:v>2.776319785763692E-2</c:v>
                </c:pt>
                <c:pt idx="12">
                  <c:v>3.5648940407047004E-2</c:v>
                </c:pt>
                <c:pt idx="13">
                  <c:v>4.9105513649479703E-2</c:v>
                </c:pt>
                <c:pt idx="14">
                  <c:v>6.9837713229945864E-2</c:v>
                </c:pt>
                <c:pt idx="15">
                  <c:v>9.8495455160393777E-2</c:v>
                </c:pt>
                <c:pt idx="16">
                  <c:v>0.13367552861743526</c:v>
                </c:pt>
                <c:pt idx="17">
                  <c:v>0.17133853895780066</c:v>
                </c:pt>
                <c:pt idx="18">
                  <c:v>0.20520649110395983</c:v>
                </c:pt>
                <c:pt idx="19">
                  <c:v>0.22833856312604728</c:v>
                </c:pt>
                <c:pt idx="20">
                  <c:v>0.22969456541566022</c:v>
                </c:pt>
                <c:pt idx="21">
                  <c:v>0.21979676876915014</c:v>
                </c:pt>
                <c:pt idx="22">
                  <c:v>0.19885510785024457</c:v>
                </c:pt>
                <c:pt idx="23">
                  <c:v>0.16362180797693893</c:v>
                </c:pt>
                <c:pt idx="24">
                  <c:v>0.15710075431902629</c:v>
                </c:pt>
                <c:pt idx="25">
                  <c:v>0.13282919246116717</c:v>
                </c:pt>
                <c:pt idx="26">
                  <c:v>0.11037346318242089</c:v>
                </c:pt>
                <c:pt idx="27">
                  <c:v>9.1019094544443471E-2</c:v>
                </c:pt>
              </c:numCache>
            </c:numRef>
          </c:yVal>
        </c:ser>
        <c:ser>
          <c:idx val="1"/>
          <c:order val="2"/>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Lighting!$AA$134:$AA$170</c:f>
              <c:numCache>
                <c:formatCode>General</c:formatCode>
                <c:ptCount val="37"/>
                <c:pt idx="0">
                  <c:v>4.0000003263940251E-2</c:v>
                </c:pt>
                <c:pt idx="1">
                  <c:v>4.0000011300158067E-2</c:v>
                </c:pt>
                <c:pt idx="2">
                  <c:v>4.0000037413325175E-2</c:v>
                </c:pt>
                <c:pt idx="3">
                  <c:v>4.0000118458865842E-2</c:v>
                </c:pt>
                <c:pt idx="4">
                  <c:v>4.000035868094351E-2</c:v>
                </c:pt>
                <c:pt idx="5">
                  <c:v>4.0001038600454425E-2</c:v>
                </c:pt>
                <c:pt idx="6">
                  <c:v>4.0002875995383651E-2</c:v>
                </c:pt>
                <c:pt idx="7">
                  <c:v>4.0007616006964133E-2</c:v>
                </c:pt>
                <c:pt idx="8">
                  <c:v>4.0019287056465465E-2</c:v>
                </c:pt>
                <c:pt idx="9">
                  <c:v>4.0046709373572895E-2</c:v>
                </c:pt>
                <c:pt idx="10">
                  <c:v>4.01081786619698E-2</c:v>
                </c:pt>
                <c:pt idx="11">
                  <c:v>4.0239595490374189E-2</c:v>
                </c:pt>
                <c:pt idx="12">
                  <c:v>4.050747557605814E-2</c:v>
                </c:pt>
                <c:pt idx="13">
                  <c:v>4.1027900606793455E-2</c:v>
                </c:pt>
                <c:pt idx="14">
                  <c:v>4.19910701944552E-2</c:v>
                </c:pt>
                <c:pt idx="15">
                  <c:v>4.3688259685007953E-2</c:v>
                </c:pt>
                <c:pt idx="16">
                  <c:v>4.653365025953022E-2</c:v>
                </c:pt>
                <c:pt idx="17">
                  <c:v>5.1068524909726229E-2</c:v>
                </c:pt>
                <c:pt idx="18">
                  <c:v>5.793176677757654E-2</c:v>
                </c:pt>
                <c:pt idx="19">
                  <c:v>6.7781512632594687E-2</c:v>
                </c:pt>
                <c:pt idx="20">
                  <c:v>8.1161213154725048E-2</c:v>
                </c:pt>
                <c:pt idx="21">
                  <c:v>9.8320322378705888E-2</c:v>
                </c:pt>
                <c:pt idx="22">
                  <c:v>0.11902256768990446</c:v>
                </c:pt>
                <c:pt idx="23">
                  <c:v>0.14239572607918785</c:v>
                </c:pt>
                <c:pt idx="24">
                  <c:v>0.16688549964842619</c:v>
                </c:pt>
                <c:pt idx="25">
                  <c:v>0.1903632243427455</c:v>
                </c:pt>
                <c:pt idx="26">
                  <c:v>0.21040045003065522</c:v>
                </c:pt>
                <c:pt idx="27">
                  <c:v>0.22467126169907212</c:v>
                </c:pt>
                <c:pt idx="28">
                  <c:v>0.23139358039837257</c:v>
                </c:pt>
                <c:pt idx="29">
                  <c:v>0.22969456541566022</c:v>
                </c:pt>
                <c:pt idx="30">
                  <c:v>0.21979676876915014</c:v>
                </c:pt>
                <c:pt idx="31">
                  <c:v>0.20297025596799903</c:v>
                </c:pt>
                <c:pt idx="32">
                  <c:v>0.18126490585547528</c:v>
                </c:pt>
                <c:pt idx="33">
                  <c:v>0.15710075431902629</c:v>
                </c:pt>
                <c:pt idx="34">
                  <c:v>0.13282919246116717</c:v>
                </c:pt>
                <c:pt idx="35">
                  <c:v>0.11037346318242089</c:v>
                </c:pt>
                <c:pt idx="36">
                  <c:v>9.1019094544443471E-2</c:v>
                </c:pt>
              </c:numCache>
            </c:numRef>
          </c:yVal>
        </c:ser>
        <c:ser>
          <c:idx val="3"/>
          <c:order val="3"/>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Lighting!$AB$134:$AB$170</c:f>
              <c:numCache>
                <c:formatCode>General</c:formatCode>
                <c:ptCount val="37"/>
                <c:pt idx="0">
                  <c:v>2.0106995263434305E-2</c:v>
                </c:pt>
                <c:pt idx="1">
                  <c:v>2.0106995263435404E-2</c:v>
                </c:pt>
                <c:pt idx="2">
                  <c:v>2.010699526344641E-2</c:v>
                </c:pt>
                <c:pt idx="3">
                  <c:v>2.0106995263547318E-2</c:v>
                </c:pt>
                <c:pt idx="4">
                  <c:v>2.010699526439717E-2</c:v>
                </c:pt>
                <c:pt idx="5">
                  <c:v>2.0106995270968653E-2</c:v>
                </c:pt>
                <c:pt idx="6">
                  <c:v>2.0106995317617653E-2</c:v>
                </c:pt>
                <c:pt idx="7">
                  <c:v>2.0106995621580047E-2</c:v>
                </c:pt>
                <c:pt idx="8">
                  <c:v>2.0106997439297489E-2</c:v>
                </c:pt>
                <c:pt idx="9">
                  <c:v>2.0107007413587809E-2</c:v>
                </c:pt>
                <c:pt idx="10">
                  <c:v>2.0107057624052779E-2</c:v>
                </c:pt>
                <c:pt idx="11">
                  <c:v>2.0107289446414156E-2</c:v>
                </c:pt>
                <c:pt idx="12">
                  <c:v>2.0108270830078042E-2</c:v>
                </c:pt>
                <c:pt idx="13">
                  <c:v>2.0112078815167168E-2</c:v>
                </c:pt>
                <c:pt idx="14">
                  <c:v>2.0125616556012842E-2</c:v>
                </c:pt>
                <c:pt idx="15">
                  <c:v>2.0169689971252406E-2</c:v>
                </c:pt>
                <c:pt idx="16">
                  <c:v>2.0301008081678049E-2</c:v>
                </c:pt>
                <c:pt idx="17">
                  <c:v>2.0658829255143483E-2</c:v>
                </c:pt>
                <c:pt idx="18">
                  <c:v>2.1549658468662882E-2</c:v>
                </c:pt>
                <c:pt idx="19">
                  <c:v>2.3573565028558525E-2</c:v>
                </c:pt>
                <c:pt idx="20">
                  <c:v>2.776319785763692E-2</c:v>
                </c:pt>
                <c:pt idx="21">
                  <c:v>3.5648940407047004E-2</c:v>
                </c:pt>
                <c:pt idx="22">
                  <c:v>4.9105513649479703E-2</c:v>
                </c:pt>
                <c:pt idx="23">
                  <c:v>6.9837713229945864E-2</c:v>
                </c:pt>
                <c:pt idx="24">
                  <c:v>9.8495455160393777E-2</c:v>
                </c:pt>
                <c:pt idx="25">
                  <c:v>0.13367552861743526</c:v>
                </c:pt>
                <c:pt idx="26">
                  <c:v>0.17133853895780066</c:v>
                </c:pt>
                <c:pt idx="27">
                  <c:v>0.20520649110395983</c:v>
                </c:pt>
                <c:pt idx="28">
                  <c:v>0.22833856312604728</c:v>
                </c:pt>
                <c:pt idx="29">
                  <c:v>0.23541807806191423</c:v>
                </c:pt>
                <c:pt idx="30">
                  <c:v>0.22473481811056567</c:v>
                </c:pt>
                <c:pt idx="31">
                  <c:v>0.19885510785024457</c:v>
                </c:pt>
                <c:pt idx="32">
                  <c:v>0.16362180797693893</c:v>
                </c:pt>
                <c:pt idx="33">
                  <c:v>0.12601541185103859</c:v>
                </c:pt>
                <c:pt idx="34">
                  <c:v>9.1943088285958957E-2</c:v>
                </c:pt>
                <c:pt idx="35">
                  <c:v>6.489208161312901E-2</c:v>
                </c:pt>
                <c:pt idx="36">
                  <c:v>4.5769710820516327E-2</c:v>
                </c:pt>
              </c:numCache>
            </c:numRef>
          </c:yVal>
        </c:ser>
        <c:ser>
          <c:idx val="2"/>
          <c:order val="0"/>
          <c:xVal>
            <c:numRef>
              <c:f>Lighting!$X$134:$X$170</c:f>
              <c:numCache>
                <c:formatCode>General</c:formatCode>
                <c:ptCount val="37"/>
                <c:pt idx="0">
                  <c:v>6</c:v>
                </c:pt>
                <c:pt idx="1">
                  <c:v>6.5</c:v>
                </c:pt>
                <c:pt idx="2">
                  <c:v>7</c:v>
                </c:pt>
                <c:pt idx="3">
                  <c:v>7.5</c:v>
                </c:pt>
                <c:pt idx="4">
                  <c:v>8</c:v>
                </c:pt>
                <c:pt idx="5">
                  <c:v>8.5</c:v>
                </c:pt>
                <c:pt idx="6">
                  <c:v>9</c:v>
                </c:pt>
                <c:pt idx="7">
                  <c:v>9.5</c:v>
                </c:pt>
                <c:pt idx="8">
                  <c:v>10</c:v>
                </c:pt>
                <c:pt idx="9">
                  <c:v>10.5</c:v>
                </c:pt>
                <c:pt idx="10">
                  <c:v>11</c:v>
                </c:pt>
                <c:pt idx="11">
                  <c:v>11.5</c:v>
                </c:pt>
                <c:pt idx="12">
                  <c:v>12</c:v>
                </c:pt>
                <c:pt idx="13">
                  <c:v>12.5</c:v>
                </c:pt>
                <c:pt idx="14">
                  <c:v>13</c:v>
                </c:pt>
                <c:pt idx="15">
                  <c:v>13.5</c:v>
                </c:pt>
                <c:pt idx="16">
                  <c:v>14</c:v>
                </c:pt>
                <c:pt idx="17">
                  <c:v>14.5</c:v>
                </c:pt>
                <c:pt idx="18">
                  <c:v>15</c:v>
                </c:pt>
                <c:pt idx="19">
                  <c:v>15.5</c:v>
                </c:pt>
                <c:pt idx="20">
                  <c:v>16</c:v>
                </c:pt>
                <c:pt idx="21">
                  <c:v>16.5</c:v>
                </c:pt>
                <c:pt idx="22">
                  <c:v>17</c:v>
                </c:pt>
                <c:pt idx="23">
                  <c:v>17.5</c:v>
                </c:pt>
                <c:pt idx="24">
                  <c:v>18</c:v>
                </c:pt>
                <c:pt idx="25">
                  <c:v>18.5</c:v>
                </c:pt>
                <c:pt idx="26">
                  <c:v>19</c:v>
                </c:pt>
                <c:pt idx="27">
                  <c:v>19.5</c:v>
                </c:pt>
                <c:pt idx="28">
                  <c:v>20</c:v>
                </c:pt>
                <c:pt idx="29">
                  <c:v>20.5</c:v>
                </c:pt>
                <c:pt idx="30">
                  <c:v>21</c:v>
                </c:pt>
                <c:pt idx="31">
                  <c:v>21.5</c:v>
                </c:pt>
                <c:pt idx="32">
                  <c:v>22</c:v>
                </c:pt>
                <c:pt idx="33">
                  <c:v>22.5</c:v>
                </c:pt>
                <c:pt idx="34">
                  <c:v>23</c:v>
                </c:pt>
                <c:pt idx="35">
                  <c:v>23.5</c:v>
                </c:pt>
                <c:pt idx="36">
                  <c:v>24</c:v>
                </c:pt>
              </c:numCache>
            </c:numRef>
          </c:xVal>
          <c:yVal>
            <c:numRef>
              <c:f>Lighting!$AC$134:$AC$170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er>
        <c:axId val="95663232"/>
        <c:axId val="95664768"/>
      </c:scatterChart>
      <c:valAx>
        <c:axId val="95663232"/>
        <c:scaling>
          <c:orientation val="minMax"/>
        </c:scaling>
        <c:axPos val="b"/>
        <c:numFmt formatCode="General" sourceLinked="1"/>
        <c:tickLblPos val="nextTo"/>
        <c:crossAx val="95664768"/>
        <c:crosses val="autoZero"/>
        <c:crossBetween val="midCat"/>
      </c:valAx>
      <c:valAx>
        <c:axId val="95664768"/>
        <c:scaling>
          <c:orientation val="minMax"/>
          <c:max val="0.25"/>
          <c:min val="0"/>
        </c:scaling>
        <c:axPos val="l"/>
        <c:majorGridlines/>
        <c:numFmt formatCode="0.000" sourceLinked="1"/>
        <c:tickLblPos val="nextTo"/>
        <c:crossAx val="95663232"/>
        <c:crosses val="autoZero"/>
        <c:crossBetween val="midCat"/>
      </c:valAx>
    </c:plotArea>
    <c:legend>
      <c:legendPos val="r"/>
    </c:legend>
    <c:plotVisOnly val="1"/>
  </c:chart>
  <c:printSettings>
    <c:headerFooter/>
    <c:pageMargins b="0.75000000000000533" l="0.70000000000000062" r="0.70000000000000062" t="0.75000000000000533"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'Sunrise Calc'!$F$2:$F$13</c:f>
              <c:numCache>
                <c:formatCode>General</c:formatCode>
                <c:ptCount val="12"/>
                <c:pt idx="0">
                  <c:v>16.857544678185238</c:v>
                </c:pt>
                <c:pt idx="1">
                  <c:v>17.437241741007117</c:v>
                </c:pt>
                <c:pt idx="2">
                  <c:v>17.998079287185259</c:v>
                </c:pt>
                <c:pt idx="3">
                  <c:v>19.510561799828615</c:v>
                </c:pt>
                <c:pt idx="4">
                  <c:v>20.010180572514365</c:v>
                </c:pt>
                <c:pt idx="5">
                  <c:v>20.374629931868736</c:v>
                </c:pt>
                <c:pt idx="6">
                  <c:v>20.361643541494157</c:v>
                </c:pt>
                <c:pt idx="7">
                  <c:v>19.890155264174677</c:v>
                </c:pt>
                <c:pt idx="8">
                  <c:v>19.108462689420406</c:v>
                </c:pt>
                <c:pt idx="9">
                  <c:v>18.27174714218971</c:v>
                </c:pt>
                <c:pt idx="10">
                  <c:v>16.654504851910414</c:v>
                </c:pt>
                <c:pt idx="11">
                  <c:v>16.474106943976963</c:v>
                </c:pt>
              </c:numCache>
            </c:numRef>
          </c:val>
        </c:ser>
        <c:ser>
          <c:idx val="1"/>
          <c:order val="1"/>
          <c:marker>
            <c:symbol val="none"/>
          </c:marker>
          <c:val>
            <c:numRef>
              <c:f>'Sunrise Calc'!$G$2:$G$13</c:f>
              <c:numCache>
                <c:formatCode>General</c:formatCode>
                <c:ptCount val="12"/>
                <c:pt idx="0">
                  <c:v>7.3836552964700273</c:v>
                </c:pt>
                <c:pt idx="1">
                  <c:v>6.9917731953053037</c:v>
                </c:pt>
                <c:pt idx="2">
                  <c:v>6.2671876260428778</c:v>
                </c:pt>
                <c:pt idx="3">
                  <c:v>6.4506554332670714</c:v>
                </c:pt>
                <c:pt idx="4">
                  <c:v>5.8118788368786358</c:v>
                </c:pt>
                <c:pt idx="5">
                  <c:v>5.5723871601683106</c:v>
                </c:pt>
                <c:pt idx="6">
                  <c:v>5.7804497233468162</c:v>
                </c:pt>
                <c:pt idx="7">
                  <c:v>6.237924799934734</c:v>
                </c:pt>
                <c:pt idx="8">
                  <c:v>6.7275971166147936</c:v>
                </c:pt>
                <c:pt idx="9">
                  <c:v>7.2244097492547761</c:v>
                </c:pt>
                <c:pt idx="10">
                  <c:v>6.7728620705623177</c:v>
                </c:pt>
                <c:pt idx="11">
                  <c:v>7.2556071483876323</c:v>
                </c:pt>
              </c:numCache>
            </c:numRef>
          </c:val>
        </c:ser>
        <c:marker val="1"/>
        <c:axId val="96058368"/>
        <c:axId val="96072448"/>
      </c:lineChart>
      <c:catAx>
        <c:axId val="96058368"/>
        <c:scaling>
          <c:orientation val="minMax"/>
        </c:scaling>
        <c:axPos val="b"/>
        <c:numFmt formatCode="General" sourceLinked="1"/>
        <c:tickLblPos val="nextTo"/>
        <c:crossAx val="96072448"/>
        <c:crosses val="autoZero"/>
        <c:auto val="1"/>
        <c:lblAlgn val="ctr"/>
        <c:lblOffset val="100"/>
      </c:catAx>
      <c:valAx>
        <c:axId val="96072448"/>
        <c:scaling>
          <c:orientation val="minMax"/>
        </c:scaling>
        <c:axPos val="l"/>
        <c:majorGridlines/>
        <c:numFmt formatCode="General" sourceLinked="1"/>
        <c:tickLblPos val="nextTo"/>
        <c:crossAx val="96058368"/>
        <c:crosses val="autoZero"/>
        <c:crossBetween val="between"/>
      </c:valAx>
    </c:plotArea>
    <c:legend>
      <c:legendPos val="r"/>
      <c:layout>
        <c:manualLayout>
          <c:xMode val="edge"/>
          <c:yMode val="edge"/>
          <c:x val="0.8456140350877196"/>
          <c:y val="0.41319444444444442"/>
          <c:w val="0.13859649122807041"/>
          <c:h val="0.16666666666666663"/>
        </c:manualLayout>
      </c:layout>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trendline>
            <c:trendlineType val="log"/>
          </c:trendline>
          <c:trendline>
            <c:trendlineType val="power"/>
          </c:trendline>
          <c:trendline>
            <c:trendlineType val="log"/>
            <c:dispRSqr val="1"/>
            <c:dispEq val="1"/>
            <c:trendlineLbl>
              <c:layout>
                <c:manualLayout>
                  <c:x val="9.0562011202940107E-2"/>
                  <c:y val="0.18492979798535344"/>
                </c:manualLayout>
              </c:layout>
              <c:numFmt formatCode="General" sourceLinked="0"/>
              <c:txPr>
                <a:bodyPr/>
                <a:lstStyle/>
                <a:p>
                  <a:pPr>
                    <a:defRPr sz="1800"/>
                  </a:pPr>
                  <a:endParaRPr lang="en-US"/>
                </a:p>
              </c:txPr>
            </c:trendlineLbl>
          </c:trendline>
          <c:trendline>
            <c:trendlineType val="power"/>
            <c:dispRSqr val="1"/>
            <c:dispEq val="1"/>
            <c:trendlineLbl>
              <c:numFmt formatCode="General" sourceLinked="0"/>
            </c:trendlineLbl>
          </c:trendline>
          <c:trendline>
            <c:trendlineType val="poly"/>
            <c:order val="2"/>
            <c:intercept val="75"/>
            <c:dispRSqr val="1"/>
            <c:dispEq val="1"/>
            <c:trendlineLbl>
              <c:layout>
                <c:manualLayout>
                  <c:x val="0.22624790277765491"/>
                  <c:y val="3.6890938757780406E-2"/>
                </c:manualLayout>
              </c:layout>
              <c:numFmt formatCode="General" sourceLinked="0"/>
              <c:txPr>
                <a:bodyPr/>
                <a:lstStyle/>
                <a:p>
                  <a:pPr>
                    <a:defRPr sz="1400"/>
                  </a:pPr>
                  <a:endParaRPr lang="en-US"/>
                </a:p>
              </c:txPr>
            </c:trendlineLbl>
          </c:trendline>
          <c:xVal>
            <c:numRef>
              <c:f>Locations!#REF!</c:f>
            </c:numRef>
          </c:xVal>
          <c:yVal>
            <c:numRef>
              <c:f>Locations!#REF!</c:f>
              <c:numCache>
                <c:formatCode>General</c:formatCode>
                <c:ptCount val="1"/>
                <c:pt idx="0">
                  <c:v>1</c:v>
                </c:pt>
              </c:numCache>
            </c:numRef>
          </c:yVal>
        </c:ser>
        <c:axId val="140298112"/>
        <c:axId val="140299648"/>
      </c:scatterChart>
      <c:valAx>
        <c:axId val="140298112"/>
        <c:scaling>
          <c:orientation val="minMax"/>
        </c:scaling>
        <c:axPos val="b"/>
        <c:numFmt formatCode="General" sourceLinked="1"/>
        <c:tickLblPos val="nextTo"/>
        <c:crossAx val="140299648"/>
        <c:crosses val="autoZero"/>
        <c:crossBetween val="midCat"/>
      </c:valAx>
      <c:valAx>
        <c:axId val="140299648"/>
        <c:scaling>
          <c:orientation val="minMax"/>
        </c:scaling>
        <c:axPos val="l"/>
        <c:majorGridlines/>
        <c:numFmt formatCode="General" sourceLinked="1"/>
        <c:tickLblPos val="nextTo"/>
        <c:crossAx val="140298112"/>
        <c:crosses val="autoZero"/>
        <c:crossBetween val="midCat"/>
      </c:valAx>
    </c:plotArea>
    <c:legend>
      <c:legendPos val="r"/>
    </c:legend>
    <c:plotVisOnly val="1"/>
  </c:chart>
  <c:printSettings>
    <c:headerFooter/>
    <c:pageMargins b="0.75000000000000766" l="0.70000000000000062" r="0.70000000000000062" t="0.750000000000007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spPr>
            <a:ln w="28575">
              <a:noFill/>
            </a:ln>
          </c:spPr>
          <c:trendline>
            <c:trendlineType val="log"/>
          </c:trendline>
          <c:trendline>
            <c:trendlineType val="power"/>
          </c:trendline>
          <c:trendline>
            <c:trendlineType val="linear"/>
          </c:trendline>
          <c:trendline>
            <c:trendlineType val="linear"/>
          </c:trendline>
          <c:trendline>
            <c:trendlineType val="log"/>
          </c:trendline>
          <c:trendline>
            <c:trendlineType val="log"/>
          </c:trendline>
          <c:xVal>
            <c:numRef>
              <c:f>Locations!#REF!</c:f>
            </c:numRef>
          </c:xVal>
          <c:yVal>
            <c:numRef>
              <c:f>Locations!#REF!</c:f>
              <c:numCache>
                <c:formatCode>General</c:formatCode>
                <c:ptCount val="1"/>
                <c:pt idx="0">
                  <c:v>1</c:v>
                </c:pt>
              </c:numCache>
            </c:numRef>
          </c:yVal>
        </c:ser>
        <c:axId val="140409088"/>
        <c:axId val="140414976"/>
      </c:scatterChart>
      <c:valAx>
        <c:axId val="140409088"/>
        <c:scaling>
          <c:orientation val="minMax"/>
        </c:scaling>
        <c:axPos val="b"/>
        <c:numFmt formatCode="General" sourceLinked="1"/>
        <c:tickLblPos val="nextTo"/>
        <c:crossAx val="140414976"/>
        <c:crosses val="autoZero"/>
        <c:crossBetween val="midCat"/>
      </c:valAx>
      <c:valAx>
        <c:axId val="140414976"/>
        <c:scaling>
          <c:orientation val="minMax"/>
        </c:scaling>
        <c:axPos val="l"/>
        <c:majorGridlines/>
        <c:numFmt formatCode="General" sourceLinked="1"/>
        <c:tickLblPos val="nextTo"/>
        <c:crossAx val="140409088"/>
        <c:crosses val="autoZero"/>
        <c:crossBetween val="midCat"/>
      </c:valAx>
    </c:plotArea>
    <c:legend>
      <c:legendPos val="r"/>
    </c:legend>
    <c:plotVisOnly val="1"/>
  </c:chart>
  <c:printSettings>
    <c:headerFooter/>
    <c:pageMargins b="0.75000000000000788" l="0.70000000000000062" r="0.70000000000000062" t="0.75000000000000788"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45</xdr:col>
      <xdr:colOff>685798</xdr:colOff>
      <xdr:row>50</xdr:row>
      <xdr:rowOff>130969</xdr:rowOff>
    </xdr:from>
    <xdr:to>
      <xdr:col>55</xdr:col>
      <xdr:colOff>190499</xdr:colOff>
      <xdr:row>77</xdr:row>
      <xdr:rowOff>47625</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1104900</xdr:colOff>
      <xdr:row>52</xdr:row>
      <xdr:rowOff>0</xdr:rowOff>
    </xdr:from>
    <xdr:to>
      <xdr:col>68</xdr:col>
      <xdr:colOff>28575</xdr:colOff>
      <xdr:row>53</xdr:row>
      <xdr:rowOff>19050</xdr:rowOff>
    </xdr:to>
    <xdr:pic>
      <xdr:nvPicPr>
        <xdr:cNvPr id="439300" name="Picture 4"/>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0693300" y="10982325"/>
          <a:ext cx="5924550" cy="4095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xdr:colOff>
      <xdr:row>18</xdr:row>
      <xdr:rowOff>76200</xdr:rowOff>
    </xdr:from>
    <xdr:to>
      <xdr:col>9</xdr:col>
      <xdr:colOff>495300</xdr:colOff>
      <xdr:row>43</xdr:row>
      <xdr:rowOff>114300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413955</xdr:colOff>
      <xdr:row>98</xdr:row>
      <xdr:rowOff>63517</xdr:rowOff>
    </xdr:from>
    <xdr:to>
      <xdr:col>49</xdr:col>
      <xdr:colOff>161262</xdr:colOff>
      <xdr:row>138</xdr:row>
      <xdr:rowOff>102635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566135</xdr:colOff>
      <xdr:row>29</xdr:row>
      <xdr:rowOff>155143</xdr:rowOff>
    </xdr:from>
    <xdr:to>
      <xdr:col>36</xdr:col>
      <xdr:colOff>227216</xdr:colOff>
      <xdr:row>65</xdr:row>
      <xdr:rowOff>155143</xdr:rowOff>
    </xdr:to>
    <xdr:graphicFrame macro="">
      <xdr:nvGraphicFramePr>
        <xdr:cNvPr id="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1233207</xdr:colOff>
      <xdr:row>132</xdr:row>
      <xdr:rowOff>79562</xdr:rowOff>
    </xdr:from>
    <xdr:to>
      <xdr:col>28</xdr:col>
      <xdr:colOff>291913</xdr:colOff>
      <xdr:row>161</xdr:row>
      <xdr:rowOff>8405</xdr:rowOff>
    </xdr:to>
    <xdr:graphicFrame macro="">
      <xdr:nvGraphicFramePr>
        <xdr:cNvPr id="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371475</xdr:colOff>
      <xdr:row>76</xdr:row>
      <xdr:rowOff>104775</xdr:rowOff>
    </xdr:from>
    <xdr:to>
      <xdr:col>34</xdr:col>
      <xdr:colOff>314325</xdr:colOff>
      <xdr:row>108</xdr:row>
      <xdr:rowOff>114300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237564</xdr:colOff>
      <xdr:row>101</xdr:row>
      <xdr:rowOff>70597</xdr:rowOff>
    </xdr:from>
    <xdr:to>
      <xdr:col>28</xdr:col>
      <xdr:colOff>472889</xdr:colOff>
      <xdr:row>130</xdr:row>
      <xdr:rowOff>113740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152400</xdr:colOff>
      <xdr:row>148</xdr:row>
      <xdr:rowOff>133350</xdr:rowOff>
    </xdr:from>
    <xdr:to>
      <xdr:col>18</xdr:col>
      <xdr:colOff>257175</xdr:colOff>
      <xdr:row>166</xdr:row>
      <xdr:rowOff>57150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367540</xdr:colOff>
      <xdr:row>77</xdr:row>
      <xdr:rowOff>45336</xdr:rowOff>
    </xdr:from>
    <xdr:to>
      <xdr:col>50</xdr:col>
      <xdr:colOff>162580</xdr:colOff>
      <xdr:row>117</xdr:row>
      <xdr:rowOff>89837</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369795</xdr:colOff>
      <xdr:row>71</xdr:row>
      <xdr:rowOff>78440</xdr:rowOff>
    </xdr:from>
    <xdr:to>
      <xdr:col>34</xdr:col>
      <xdr:colOff>430867</xdr:colOff>
      <xdr:row>111</xdr:row>
      <xdr:rowOff>117558</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51</xdr:col>
      <xdr:colOff>258535</xdr:colOff>
      <xdr:row>80</xdr:row>
      <xdr:rowOff>68035</xdr:rowOff>
    </xdr:from>
    <xdr:to>
      <xdr:col>66</xdr:col>
      <xdr:colOff>312111</xdr:colOff>
      <xdr:row>120</xdr:row>
      <xdr:rowOff>112537</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616324</xdr:colOff>
      <xdr:row>57</xdr:row>
      <xdr:rowOff>100854</xdr:rowOff>
    </xdr:from>
    <xdr:to>
      <xdr:col>47</xdr:col>
      <xdr:colOff>425824</xdr:colOff>
      <xdr:row>77</xdr:row>
      <xdr:rowOff>33618</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981075</xdr:colOff>
      <xdr:row>33</xdr:row>
      <xdr:rowOff>47625</xdr:rowOff>
    </xdr:from>
    <xdr:to>
      <xdr:col>6</xdr:col>
      <xdr:colOff>114300</xdr:colOff>
      <xdr:row>50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114</xdr:col>
      <xdr:colOff>419100</xdr:colOff>
      <xdr:row>3</xdr:row>
      <xdr:rowOff>133350</xdr:rowOff>
    </xdr:from>
    <xdr:to>
      <xdr:col>117</xdr:col>
      <xdr:colOff>323850</xdr:colOff>
      <xdr:row>44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113</xdr:col>
      <xdr:colOff>114300</xdr:colOff>
      <xdr:row>21</xdr:row>
      <xdr:rowOff>28575</xdr:rowOff>
    </xdr:from>
    <xdr:to>
      <xdr:col>134</xdr:col>
      <xdr:colOff>0</xdr:colOff>
      <xdr:row>61</xdr:row>
      <xdr:rowOff>133351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500/5500%20BLDGAMER/Benchmark/2010%20Update/MELs2006updat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puts"/>
      <sheetName val="Benchmark Outputs"/>
      <sheetName val="Prototype Outputs"/>
      <sheetName val="Options"/>
      <sheetName val="Adv Lighting"/>
      <sheetName val="Lighting"/>
      <sheetName val="Sunrise Calc"/>
      <sheetName val="Neutral Cost"/>
      <sheetName val="Detailed MEL Analysis"/>
      <sheetName val="Locations"/>
      <sheetName val="2006 Estimated MELs"/>
      <sheetName val="Sheet1"/>
    </sheetNames>
    <sheetDataSet>
      <sheetData sheetId="0">
        <row r="7">
          <cell r="I7">
            <v>2</v>
          </cell>
        </row>
      </sheetData>
      <sheetData sheetId="1"/>
      <sheetData sheetId="2"/>
      <sheetData sheetId="3"/>
      <sheetData sheetId="4"/>
      <sheetData sheetId="5"/>
      <sheetData sheetId="6"/>
      <sheetData sheetId="7"/>
      <sheetData sheetId="8"/>
      <sheetData sheetId="9">
        <row r="2">
          <cell r="CU2">
            <v>1</v>
          </cell>
        </row>
      </sheetData>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http://www.ftc.gov/bcp/conline/edcams/eande/appliances/data/archive/clwasher/index.htm" TargetMode="Externa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hyperlink" Target="http://www.appliances.energy.ca.gov/" TargetMode="External"/><Relationship Id="rId17" Type="http://schemas.openxmlformats.org/officeDocument/2006/relationships/comments" Target="../comments1.xml"/><Relationship Id="rId2" Type="http://schemas.openxmlformats.org/officeDocument/2006/relationships/printerSettings" Target="../printerSettings/printerSettings2.bin"/><Relationship Id="rId16"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2.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hyperlink" Target="http://www.appliances.energy.ca.gov/" TargetMode="Externa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3.xml.rels><?xml version="1.0" encoding="UTF-8" standalone="yes"?>
<Relationships xmlns="http://schemas.openxmlformats.org/package/2006/relationships"><Relationship Id="rId1" Type="http://schemas.openxmlformats.org/officeDocument/2006/relationships/hyperlink" Target="http://apps1.eere.energy.gov/buildings/publications/pdfs/building_america/44816.pdf"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17.bin"/><Relationship Id="rId1" Type="http://schemas.openxmlformats.org/officeDocument/2006/relationships/hyperlink" Target="http://ecfr.gpoaccess.gov/cgi/t/text/text-idx?c=ecfr&amp;sid=02725affade99683ebf0d57ba76072ff&amp;rgn=div9&amp;view=text&amp;node=10:3.0.1.4.16.2.9.6.11&amp;idno=10" TargetMode="Externa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8.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sheetPr codeName="BenchmarkOutputs">
    <tabColor theme="6" tint="0.39997558519241921"/>
  </sheetPr>
  <dimension ref="A1:CE453"/>
  <sheetViews>
    <sheetView topLeftCell="B1" zoomScaleNormal="100" workbookViewId="0">
      <pane ySplit="5" topLeftCell="A6" activePane="bottomLeft" state="frozen"/>
      <selection activeCell="B1" sqref="B1"/>
      <selection pane="bottomLeft" activeCell="E9" sqref="E9:F9"/>
    </sheetView>
  </sheetViews>
  <sheetFormatPr defaultRowHeight="11.25"/>
  <cols>
    <col min="1" max="1" width="2.5703125" style="1308" hidden="1" customWidth="1"/>
    <col min="2" max="2" width="3" style="13" customWidth="1"/>
    <col min="3" max="3" width="56.85546875" style="16" customWidth="1"/>
    <col min="4" max="4" width="15.7109375" style="11" customWidth="1"/>
    <col min="5" max="6" width="20.7109375" style="30" customWidth="1"/>
    <col min="7" max="7" width="39.140625" style="1118" customWidth="1"/>
    <col min="8" max="8" width="4.140625" style="1217" customWidth="1"/>
    <col min="9" max="9" width="43.140625" style="16" customWidth="1"/>
    <col min="10" max="10" width="2.85546875" style="13" customWidth="1"/>
    <col min="11" max="11" width="11.5703125" style="13" bestFit="1" customWidth="1"/>
    <col min="12" max="12" width="15.7109375" style="13" customWidth="1"/>
    <col min="13" max="13" width="12.85546875" style="13" bestFit="1" customWidth="1"/>
    <col min="14" max="14" width="13.140625" style="13" bestFit="1" customWidth="1"/>
    <col min="15" max="15" width="13.42578125" style="13" bestFit="1" customWidth="1"/>
    <col min="16" max="16" width="16" style="13" bestFit="1" customWidth="1"/>
    <col min="17" max="17" width="16.85546875" style="13" bestFit="1" customWidth="1"/>
    <col min="18" max="18" width="15.7109375" style="13" bestFit="1" customWidth="1"/>
    <col min="19" max="19" width="14" style="13" bestFit="1" customWidth="1"/>
    <col min="20" max="23" width="12.7109375" style="13" customWidth="1"/>
    <col min="24" max="25" width="9.140625" style="13"/>
    <col min="26" max="26" width="6.7109375" style="13" customWidth="1"/>
    <col min="27" max="27" width="9.140625" style="13"/>
    <col min="28" max="28" width="10.7109375" style="13" customWidth="1"/>
    <col min="29" max="29" width="9" style="13" customWidth="1"/>
    <col min="30" max="30" width="8.28515625" style="13" customWidth="1"/>
    <col min="31" max="31" width="10.5703125" style="13" customWidth="1"/>
    <col min="32" max="32" width="12" style="13" customWidth="1"/>
    <col min="33" max="33" width="9.7109375" style="13" customWidth="1"/>
    <col min="34" max="34" width="12.28515625" style="13" customWidth="1"/>
    <col min="35" max="35" width="12" style="13" customWidth="1"/>
    <col min="36" max="36" width="9.140625" style="13"/>
    <col min="37" max="37" width="11.42578125" style="13" customWidth="1"/>
    <col min="38" max="38" width="9.140625" style="13"/>
    <col min="39" max="39" width="12.85546875" style="13" customWidth="1"/>
    <col min="40" max="40" width="12.28515625" style="13" customWidth="1"/>
    <col min="41" max="41" width="13.5703125" style="13" customWidth="1"/>
    <col min="42" max="42" width="11.7109375" style="13" customWidth="1"/>
    <col min="43" max="43" width="16.28515625" style="13" customWidth="1"/>
    <col min="44" max="44" width="14.5703125" style="13" customWidth="1"/>
    <col min="45" max="45" width="13.140625" style="13" customWidth="1"/>
    <col min="46" max="46" width="12.85546875" style="13" customWidth="1"/>
    <col min="47" max="47" width="9.140625" style="13" customWidth="1"/>
    <col min="48" max="48" width="12" style="13" customWidth="1"/>
    <col min="49" max="54" width="9.140625" style="13" customWidth="1"/>
    <col min="55" max="55" width="10.85546875" style="13" customWidth="1"/>
    <col min="56" max="56" width="16.85546875" style="13" customWidth="1"/>
    <col min="57" max="57" width="17.5703125" style="13" customWidth="1"/>
    <col min="58" max="58" width="17.7109375" style="13" customWidth="1"/>
    <col min="59" max="59" width="15.28515625" style="13" customWidth="1"/>
    <col min="60" max="60" width="14.42578125" style="13" customWidth="1"/>
    <col min="61" max="61" width="12.7109375" style="13" customWidth="1"/>
    <col min="62" max="62" width="10.7109375" style="13" customWidth="1"/>
    <col min="63" max="63" width="10.140625" style="13" customWidth="1"/>
    <col min="64" max="64" width="9.140625" style="13" customWidth="1"/>
    <col min="65" max="65" width="10.7109375" style="13" customWidth="1"/>
    <col min="66" max="66" width="10.140625" style="13" customWidth="1"/>
    <col min="67" max="68" width="9.140625" style="13" customWidth="1"/>
    <col min="69" max="69" width="10.140625" style="13" customWidth="1"/>
    <col min="70" max="70" width="9.140625" style="13" hidden="1" customWidth="1"/>
    <col min="71" max="16384" width="9.140625" style="13"/>
  </cols>
  <sheetData>
    <row r="1" spans="1:27" ht="13.5" customHeight="1">
      <c r="B1" s="2167" t="s">
        <v>6394</v>
      </c>
      <c r="C1" s="2167"/>
      <c r="D1" s="2167"/>
      <c r="E1" s="2167"/>
      <c r="F1" s="2053"/>
      <c r="Q1" s="1333"/>
      <c r="R1" s="1333"/>
      <c r="S1" s="1333"/>
      <c r="T1" s="1333"/>
      <c r="U1" s="1333"/>
      <c r="V1" s="1333"/>
      <c r="W1" s="1333"/>
      <c r="X1" s="1333"/>
      <c r="Y1" s="1333"/>
      <c r="Z1" s="1333"/>
      <c r="AA1" s="1308"/>
    </row>
    <row r="2" spans="1:27" ht="13.5" customHeight="1">
      <c r="B2" s="2167"/>
      <c r="C2" s="2167"/>
      <c r="D2" s="2167"/>
      <c r="E2" s="2167"/>
      <c r="F2" s="2053"/>
      <c r="H2" s="2157"/>
      <c r="I2" s="2157"/>
      <c r="J2" s="2157"/>
      <c r="Q2" s="1309"/>
      <c r="R2" s="1309"/>
      <c r="S2" s="1309"/>
      <c r="T2" s="1309"/>
      <c r="U2" s="1309"/>
      <c r="V2" s="1309"/>
      <c r="W2" s="1309"/>
      <c r="X2" s="1309"/>
      <c r="Y2" s="1309"/>
      <c r="Z2" s="1309"/>
      <c r="AA2" s="1308"/>
    </row>
    <row r="3" spans="1:27" ht="13.5" customHeight="1">
      <c r="C3" s="2165" t="s">
        <v>6513</v>
      </c>
      <c r="D3" s="2165"/>
      <c r="E3" s="2165"/>
      <c r="F3" s="2055"/>
      <c r="H3" s="2054"/>
      <c r="I3" s="2054"/>
      <c r="J3" s="2054"/>
      <c r="Q3" s="2135"/>
      <c r="R3" s="2135"/>
      <c r="S3" s="2135"/>
      <c r="T3" s="2135"/>
      <c r="U3" s="2135"/>
      <c r="V3" s="2135"/>
      <c r="W3" s="2135"/>
      <c r="X3" s="2135"/>
      <c r="Y3" s="2135"/>
      <c r="Z3" s="2135"/>
    </row>
    <row r="4" spans="1:27" ht="13.5" customHeight="1">
      <c r="C4" s="2166"/>
      <c r="D4" s="2166"/>
      <c r="E4" s="2166"/>
      <c r="F4" s="2056"/>
      <c r="H4" s="2054"/>
      <c r="I4" s="2054"/>
      <c r="J4" s="2054"/>
      <c r="Q4" s="2135"/>
      <c r="R4" s="2135"/>
      <c r="S4" s="2135"/>
      <c r="T4" s="2135"/>
      <c r="U4" s="2135"/>
      <c r="V4" s="2135"/>
      <c r="W4" s="2135"/>
      <c r="X4" s="2135"/>
      <c r="Y4" s="2135"/>
      <c r="Z4" s="2135"/>
    </row>
    <row r="5" spans="1:27" ht="32.25" customHeight="1">
      <c r="A5" s="1309"/>
      <c r="B5" s="2169" t="s">
        <v>6448</v>
      </c>
      <c r="C5" s="2170"/>
      <c r="D5" s="2171"/>
      <c r="E5" s="1629" t="s">
        <v>4744</v>
      </c>
      <c r="F5" s="1077" t="s">
        <v>4781</v>
      </c>
      <c r="H5" s="2054"/>
      <c r="I5" s="2054"/>
      <c r="J5" s="2054"/>
      <c r="K5" s="1"/>
      <c r="L5" s="1"/>
      <c r="Q5" s="2135"/>
      <c r="R5" s="2135"/>
      <c r="S5" s="2135"/>
      <c r="T5" s="2135"/>
      <c r="U5" s="2135"/>
      <c r="V5" s="2135"/>
      <c r="W5" s="2135"/>
      <c r="X5" s="2135"/>
      <c r="Y5" s="2135"/>
      <c r="Z5" s="2135"/>
    </row>
    <row r="6" spans="1:27" ht="15" customHeight="1">
      <c r="A6" s="1310" t="s">
        <v>362</v>
      </c>
      <c r="B6" s="2123"/>
      <c r="C6" s="93" t="s">
        <v>4875</v>
      </c>
      <c r="D6" s="78"/>
      <c r="E6" s="1292"/>
      <c r="F6" s="1293"/>
      <c r="G6" s="1326"/>
      <c r="H6" s="2054"/>
      <c r="I6" s="2054"/>
      <c r="J6" s="2054"/>
      <c r="K6" s="1"/>
      <c r="L6" s="1"/>
      <c r="Q6" s="13" t="s">
        <v>1199</v>
      </c>
    </row>
    <row r="7" spans="1:27" ht="12.75" customHeight="1">
      <c r="A7" s="1310" t="s">
        <v>1340</v>
      </c>
      <c r="B7" s="2123"/>
      <c r="C7" s="1768" t="s">
        <v>227</v>
      </c>
      <c r="D7" s="1769"/>
      <c r="E7" s="2159" t="s">
        <v>3224</v>
      </c>
      <c r="F7" s="2160"/>
      <c r="G7" s="1326"/>
      <c r="H7" s="2058"/>
      <c r="J7" s="1"/>
      <c r="K7" s="1"/>
      <c r="L7" s="1"/>
      <c r="Q7" s="2136" t="s">
        <v>567</v>
      </c>
      <c r="R7" s="2136" t="s">
        <v>671</v>
      </c>
      <c r="S7" s="2136"/>
      <c r="T7" s="2135"/>
      <c r="U7" s="2135"/>
      <c r="V7" s="2135"/>
      <c r="W7" s="2135"/>
      <c r="X7" s="2135"/>
      <c r="Y7" s="2135"/>
      <c r="Z7" s="2135"/>
    </row>
    <row r="8" spans="1:27" ht="11.25" customHeight="1">
      <c r="A8" s="1310"/>
      <c r="B8" s="2123"/>
      <c r="C8" s="1779" t="s">
        <v>6509</v>
      </c>
      <c r="D8" s="1776"/>
      <c r="E8" s="1780" t="str">
        <f>Locations!$CZ$2</f>
        <v>5B</v>
      </c>
      <c r="F8" s="1781" t="str">
        <f>",  " &amp; Locations!$CY$2</f>
        <v>,  Cold</v>
      </c>
      <c r="G8" s="1326"/>
      <c r="H8" s="2058"/>
      <c r="J8" s="1"/>
      <c r="K8" s="1"/>
      <c r="L8" s="1"/>
      <c r="Q8" s="9">
        <v>0</v>
      </c>
      <c r="R8" s="9">
        <v>1</v>
      </c>
      <c r="S8" s="9">
        <v>2</v>
      </c>
      <c r="T8" s="13">
        <v>3</v>
      </c>
    </row>
    <row r="9" spans="1:27" ht="12.75">
      <c r="B9" s="2123"/>
      <c r="C9" s="1779" t="s">
        <v>148</v>
      </c>
      <c r="D9" s="1776" t="s">
        <v>646</v>
      </c>
      <c r="E9" s="2163">
        <f>Locations!L2</f>
        <v>5632.2</v>
      </c>
      <c r="F9" s="2164"/>
      <c r="G9" s="1326"/>
      <c r="H9" s="2058"/>
      <c r="J9" s="1"/>
      <c r="K9" s="1"/>
      <c r="L9" s="1"/>
      <c r="Q9" s="13" t="s">
        <v>464</v>
      </c>
      <c r="R9" s="13" t="s">
        <v>1151</v>
      </c>
      <c r="S9" s="13" t="s">
        <v>1037</v>
      </c>
    </row>
    <row r="10" spans="1:27" ht="12.75">
      <c r="B10" s="1308"/>
      <c r="C10" s="1771" t="s">
        <v>149</v>
      </c>
      <c r="D10" s="1772" t="s">
        <v>646</v>
      </c>
      <c r="E10" s="2161">
        <f>Locations!M2</f>
        <v>952.2</v>
      </c>
      <c r="F10" s="2162"/>
      <c r="G10" s="1326"/>
      <c r="Q10" s="13" t="s">
        <v>6204</v>
      </c>
      <c r="R10" s="13" t="s">
        <v>1140</v>
      </c>
      <c r="S10" s="13" t="s">
        <v>239</v>
      </c>
      <c r="T10" s="13" t="s">
        <v>6205</v>
      </c>
    </row>
    <row r="11" spans="1:27" ht="12.75">
      <c r="A11" s="1310">
        <v>0</v>
      </c>
      <c r="B11" s="2123"/>
      <c r="C11" s="1773" t="s">
        <v>1341</v>
      </c>
      <c r="D11" s="1774"/>
      <c r="E11" s="1686">
        <f>HomeType</f>
        <v>0</v>
      </c>
      <c r="F11" s="1732">
        <v>0</v>
      </c>
      <c r="G11" s="1326"/>
      <c r="Q11" s="13" t="s">
        <v>423</v>
      </c>
      <c r="R11" s="13" t="s">
        <v>1150</v>
      </c>
    </row>
    <row r="12" spans="1:27">
      <c r="A12" s="1310">
        <v>1800</v>
      </c>
      <c r="B12" s="2123"/>
      <c r="C12" s="1775" t="s">
        <v>4867</v>
      </c>
      <c r="D12" s="1776" t="s">
        <v>6470</v>
      </c>
      <c r="E12" s="1648">
        <f>FFA</f>
        <v>2296</v>
      </c>
      <c r="F12" s="1733">
        <v>2296</v>
      </c>
      <c r="G12" s="9" t="str">
        <f>IF(HomeType=2,"for the unit being modeled, not entire building","")</f>
        <v/>
      </c>
    </row>
    <row r="13" spans="1:27">
      <c r="A13" s="1310">
        <v>2</v>
      </c>
      <c r="B13" s="1333"/>
      <c r="C13" s="1775" t="s">
        <v>6207</v>
      </c>
      <c r="D13" s="1777" t="s">
        <v>569</v>
      </c>
      <c r="E13" s="1648">
        <f t="shared" ref="E13:E25" si="0">F13</f>
        <v>2</v>
      </c>
      <c r="F13" s="1733">
        <v>2</v>
      </c>
      <c r="G13" s="9" t="str">
        <f>IF(HomeType=2,"for the unit being modeled, not entire building","")</f>
        <v/>
      </c>
      <c r="Q13" s="13" t="s">
        <v>464</v>
      </c>
      <c r="R13" s="13" t="s">
        <v>1151</v>
      </c>
      <c r="S13" s="13" t="s">
        <v>773</v>
      </c>
    </row>
    <row r="14" spans="1:27">
      <c r="A14" s="1310">
        <v>1</v>
      </c>
      <c r="B14" s="1333"/>
      <c r="C14" s="1775" t="s">
        <v>144</v>
      </c>
      <c r="D14" s="1777" t="s">
        <v>243</v>
      </c>
      <c r="E14" s="1648">
        <f t="shared" si="0"/>
        <v>1</v>
      </c>
      <c r="F14" s="1733">
        <v>1</v>
      </c>
      <c r="G14" s="9"/>
      <c r="Q14" s="13" t="s">
        <v>563</v>
      </c>
      <c r="R14" s="13" t="s">
        <v>1056</v>
      </c>
      <c r="S14" s="13" t="s">
        <v>4745</v>
      </c>
    </row>
    <row r="15" spans="1:27">
      <c r="A15" s="1310">
        <v>1</v>
      </c>
      <c r="B15" s="1333"/>
      <c r="C15" s="1775" t="s">
        <v>6206</v>
      </c>
      <c r="D15" s="1777" t="s">
        <v>6203</v>
      </c>
      <c r="E15" s="1648" t="str">
        <f>FndType&amp;" - "&amp;HLOOKUP(FndType,$Q$8:$T$10,3)</f>
        <v>1 - Basement</v>
      </c>
      <c r="F15" s="1733">
        <v>1</v>
      </c>
      <c r="G15" s="9"/>
    </row>
    <row r="16" spans="1:27">
      <c r="A16" s="1310">
        <v>900</v>
      </c>
      <c r="B16" s="1333"/>
      <c r="C16" s="1775" t="s">
        <v>786</v>
      </c>
      <c r="D16" s="1777" t="s">
        <v>299</v>
      </c>
      <c r="E16" s="1648">
        <f t="shared" si="0"/>
        <v>900</v>
      </c>
      <c r="F16" s="1733">
        <v>900</v>
      </c>
      <c r="G16" s="9"/>
      <c r="Q16" s="13" t="s">
        <v>940</v>
      </c>
      <c r="R16" s="13" t="s">
        <v>941</v>
      </c>
    </row>
    <row r="17" spans="1:83" s="43" customFormat="1" ht="12.75">
      <c r="A17" s="1310" t="s">
        <v>671</v>
      </c>
      <c r="B17" s="1333"/>
      <c r="C17" s="1775" t="s">
        <v>769</v>
      </c>
      <c r="D17" s="1777" t="s">
        <v>999</v>
      </c>
      <c r="E17" s="1648" t="str">
        <f t="shared" si="0"/>
        <v>NO</v>
      </c>
      <c r="F17" s="1733" t="s">
        <v>671</v>
      </c>
      <c r="G17" s="9"/>
      <c r="Q17" s="13">
        <v>13</v>
      </c>
      <c r="R17" s="13">
        <v>14</v>
      </c>
      <c r="S17" s="13">
        <v>15</v>
      </c>
      <c r="T17" s="13">
        <v>16</v>
      </c>
      <c r="U17" s="13">
        <v>17</v>
      </c>
      <c r="V17" s="13">
        <v>18</v>
      </c>
      <c r="W17" s="13">
        <v>19</v>
      </c>
      <c r="X17" s="13">
        <v>20</v>
      </c>
      <c r="Y17" s="13">
        <v>21</v>
      </c>
      <c r="Z17" s="13" t="s">
        <v>773</v>
      </c>
      <c r="AA17" s="2135"/>
      <c r="AB17" s="2135"/>
      <c r="BT17" s="752"/>
      <c r="BU17" s="752"/>
      <c r="BV17" s="752"/>
      <c r="BW17" s="752"/>
      <c r="BX17" s="752"/>
      <c r="BY17" s="752"/>
      <c r="BZ17" s="752"/>
      <c r="CA17" s="752"/>
      <c r="CB17" s="752"/>
      <c r="CC17" s="752"/>
      <c r="CD17" s="752"/>
      <c r="CE17" s="752"/>
    </row>
    <row r="18" spans="1:83" s="29" customFormat="1">
      <c r="A18" s="1308"/>
      <c r="B18" s="1308"/>
      <c r="C18" s="1778" t="s">
        <v>790</v>
      </c>
      <c r="D18" s="1745" t="s">
        <v>6470</v>
      </c>
      <c r="E18" s="1655">
        <f>FFA+IF(NewConst!F15=1,IF(OR(NewConst!F21="yes", NewConst!F22="yes",NewConst!F23="yes"),NewConst!F16,0),0)</f>
        <v>2296</v>
      </c>
      <c r="F18" s="1734">
        <f>E18</f>
        <v>2296</v>
      </c>
      <c r="G18" s="9"/>
      <c r="H18" s="1201"/>
      <c r="I18" s="13"/>
      <c r="J18" s="13"/>
      <c r="Q18" s="13" t="s">
        <v>1342</v>
      </c>
      <c r="R18" s="13" t="s">
        <v>1343</v>
      </c>
      <c r="S18" s="13"/>
      <c r="T18" s="13"/>
      <c r="U18" s="13"/>
      <c r="V18" s="13"/>
      <c r="W18" s="13"/>
      <c r="X18" s="13"/>
      <c r="Y18" s="13"/>
      <c r="Z18" s="13"/>
    </row>
    <row r="19" spans="1:83" s="29" customFormat="1" ht="15" customHeight="1">
      <c r="A19" s="1308"/>
      <c r="B19" s="1308"/>
      <c r="C19" s="1778" t="s">
        <v>791</v>
      </c>
      <c r="D19" s="1745" t="s">
        <v>6470</v>
      </c>
      <c r="E19" s="1637">
        <f>IntCalc!E8</f>
        <v>3196</v>
      </c>
      <c r="F19" s="1735">
        <f>E19</f>
        <v>3196</v>
      </c>
      <c r="G19" s="9"/>
      <c r="H19" s="1201"/>
      <c r="I19" s="13"/>
      <c r="J19" s="13"/>
      <c r="Q19" s="13" t="s">
        <v>1344</v>
      </c>
      <c r="R19" s="13" t="s">
        <v>1343</v>
      </c>
      <c r="S19" s="13" t="s">
        <v>1345</v>
      </c>
      <c r="T19" s="13"/>
      <c r="U19" s="13"/>
      <c r="V19" s="13"/>
      <c r="W19" s="13"/>
      <c r="X19" s="13"/>
      <c r="Y19" s="13"/>
      <c r="Z19" s="13"/>
    </row>
    <row r="20" spans="1:83" s="29" customFormat="1" ht="15" customHeight="1">
      <c r="A20" s="1310">
        <v>2</v>
      </c>
      <c r="B20" s="1333"/>
      <c r="C20" s="1775" t="s">
        <v>115</v>
      </c>
      <c r="D20" s="1777" t="s">
        <v>298</v>
      </c>
      <c r="E20" s="1648">
        <f t="shared" si="0"/>
        <v>2</v>
      </c>
      <c r="F20" s="1733">
        <v>2</v>
      </c>
      <c r="G20" s="9"/>
      <c r="H20" s="1217"/>
      <c r="I20" s="16"/>
      <c r="J20" s="13"/>
      <c r="Q20" s="13"/>
      <c r="R20" s="13"/>
      <c r="S20" s="13"/>
      <c r="T20" s="13"/>
      <c r="U20" s="13"/>
      <c r="V20" s="13"/>
      <c r="W20" s="13"/>
      <c r="X20" s="13"/>
      <c r="Y20" s="13"/>
      <c r="Z20" s="13"/>
    </row>
    <row r="21" spans="1:83" ht="12.75" customHeight="1">
      <c r="A21" s="1310" t="s">
        <v>671</v>
      </c>
      <c r="B21" s="1333"/>
      <c r="C21" s="1775" t="s">
        <v>588</v>
      </c>
      <c r="D21" s="1777" t="s">
        <v>999</v>
      </c>
      <c r="E21" s="1648" t="str">
        <f t="shared" si="0"/>
        <v>NO</v>
      </c>
      <c r="F21" s="1733" t="s">
        <v>671</v>
      </c>
      <c r="G21" s="9"/>
    </row>
    <row r="22" spans="1:83">
      <c r="A22" s="1310" t="s">
        <v>671</v>
      </c>
      <c r="B22" s="1333"/>
      <c r="C22" s="1775" t="s">
        <v>112</v>
      </c>
      <c r="D22" s="1777" t="s">
        <v>999</v>
      </c>
      <c r="E22" s="1648" t="str">
        <f t="shared" si="0"/>
        <v>NO</v>
      </c>
      <c r="F22" s="1733" t="s">
        <v>671</v>
      </c>
      <c r="G22" s="9"/>
    </row>
    <row r="23" spans="1:83" s="29" customFormat="1">
      <c r="A23" s="1310" t="s">
        <v>671</v>
      </c>
      <c r="B23" s="1333"/>
      <c r="C23" s="1775" t="s">
        <v>111</v>
      </c>
      <c r="D23" s="1777" t="s">
        <v>999</v>
      </c>
      <c r="E23" s="1648" t="str">
        <f t="shared" si="0"/>
        <v>NO</v>
      </c>
      <c r="F23" s="1733" t="s">
        <v>671</v>
      </c>
      <c r="G23" s="9"/>
      <c r="H23" s="1217"/>
      <c r="I23" s="16"/>
      <c r="J23" s="13"/>
      <c r="Q23" s="13"/>
      <c r="R23" s="13"/>
      <c r="S23" s="13"/>
      <c r="T23" s="13"/>
      <c r="U23" s="13"/>
      <c r="V23" s="13"/>
      <c r="W23" s="13"/>
      <c r="X23" s="13"/>
      <c r="Y23" s="13"/>
      <c r="Z23" s="13"/>
    </row>
    <row r="24" spans="1:83" s="29" customFormat="1">
      <c r="A24" s="1310" t="s">
        <v>940</v>
      </c>
      <c r="B24" s="1333"/>
      <c r="C24" s="1775" t="s">
        <v>1262</v>
      </c>
      <c r="D24" s="1777" t="s">
        <v>938</v>
      </c>
      <c r="E24" s="1648" t="str">
        <f t="shared" si="0"/>
        <v>Vented</v>
      </c>
      <c r="F24" s="1733" t="s">
        <v>940</v>
      </c>
      <c r="G24" s="9"/>
      <c r="H24" s="1217"/>
      <c r="I24" s="16"/>
      <c r="J24" s="13"/>
      <c r="Q24" s="13"/>
      <c r="R24" s="13"/>
      <c r="S24" s="13"/>
      <c r="T24" s="13"/>
      <c r="U24" s="13"/>
      <c r="V24" s="13"/>
      <c r="W24" s="13"/>
      <c r="X24" s="13"/>
      <c r="Y24" s="13"/>
      <c r="Z24" s="13"/>
    </row>
    <row r="25" spans="1:83">
      <c r="A25" s="1310" t="s">
        <v>940</v>
      </c>
      <c r="B25" s="1333"/>
      <c r="C25" s="1775" t="s">
        <v>939</v>
      </c>
      <c r="D25" s="1777" t="s">
        <v>938</v>
      </c>
      <c r="E25" s="1648" t="str">
        <f t="shared" si="0"/>
        <v>Vented</v>
      </c>
      <c r="F25" s="1733" t="s">
        <v>940</v>
      </c>
      <c r="G25" s="9"/>
    </row>
    <row r="26" spans="1:83">
      <c r="A26" s="1310">
        <v>3</v>
      </c>
      <c r="B26" s="1333"/>
      <c r="C26" s="1775" t="s">
        <v>592</v>
      </c>
      <c r="D26" s="1777" t="s">
        <v>569</v>
      </c>
      <c r="E26" s="1648">
        <f t="shared" ref="E26:E34" si="1">F26</f>
        <v>3</v>
      </c>
      <c r="F26" s="1733">
        <v>3</v>
      </c>
      <c r="G26" s="9"/>
    </row>
    <row r="27" spans="1:83">
      <c r="A27" s="1310">
        <v>2</v>
      </c>
      <c r="B27" s="1333"/>
      <c r="C27" s="1775" t="s">
        <v>521</v>
      </c>
      <c r="D27" s="1777" t="s">
        <v>569</v>
      </c>
      <c r="E27" s="1648">
        <f t="shared" si="1"/>
        <v>2</v>
      </c>
      <c r="F27" s="1733">
        <v>2</v>
      </c>
      <c r="G27" s="9"/>
    </row>
    <row r="28" spans="1:83">
      <c r="A28" s="1310">
        <v>2</v>
      </c>
      <c r="B28" s="1333"/>
      <c r="C28" s="1775" t="s">
        <v>921</v>
      </c>
      <c r="D28" s="1777" t="s">
        <v>448</v>
      </c>
      <c r="E28" s="1648">
        <f t="shared" si="1"/>
        <v>2</v>
      </c>
      <c r="F28" s="1733">
        <v>2</v>
      </c>
      <c r="G28" s="9"/>
    </row>
    <row r="29" spans="1:83">
      <c r="A29" s="1310">
        <v>20</v>
      </c>
      <c r="B29" s="1333"/>
      <c r="C29" s="1775" t="s">
        <v>495</v>
      </c>
      <c r="D29" s="1777" t="s">
        <v>298</v>
      </c>
      <c r="E29" s="1648">
        <f t="shared" si="1"/>
        <v>20</v>
      </c>
      <c r="F29" s="1733">
        <v>20</v>
      </c>
      <c r="G29" s="9"/>
    </row>
    <row r="30" spans="1:83">
      <c r="A30" s="1310">
        <v>10</v>
      </c>
      <c r="B30" s="1333"/>
      <c r="C30" s="1775" t="s">
        <v>1048</v>
      </c>
      <c r="D30" s="1777" t="s">
        <v>298</v>
      </c>
      <c r="E30" s="1648">
        <f t="shared" si="1"/>
        <v>10</v>
      </c>
      <c r="F30" s="1733">
        <v>10</v>
      </c>
      <c r="G30" s="9"/>
    </row>
    <row r="31" spans="1:83">
      <c r="A31" s="1310">
        <v>400</v>
      </c>
      <c r="B31" s="1333"/>
      <c r="C31" s="1775" t="s">
        <v>4694</v>
      </c>
      <c r="D31" s="1777" t="s">
        <v>299</v>
      </c>
      <c r="E31" s="1648">
        <f t="shared" si="1"/>
        <v>400</v>
      </c>
      <c r="F31" s="1733">
        <v>400</v>
      </c>
      <c r="G31" s="9"/>
      <c r="H31" s="1201"/>
    </row>
    <row r="32" spans="1:83">
      <c r="A32" s="1310">
        <v>8</v>
      </c>
      <c r="B32" s="1333"/>
      <c r="C32" s="1775" t="s">
        <v>120</v>
      </c>
      <c r="D32" s="1777" t="s">
        <v>298</v>
      </c>
      <c r="E32" s="1648">
        <f t="shared" si="1"/>
        <v>8</v>
      </c>
      <c r="F32" s="1733">
        <v>8</v>
      </c>
      <c r="G32" s="9"/>
      <c r="H32" s="1201"/>
    </row>
    <row r="33" spans="1:25">
      <c r="A33" s="1310">
        <v>4</v>
      </c>
      <c r="B33" s="1333"/>
      <c r="C33" s="1775" t="s">
        <v>121</v>
      </c>
      <c r="D33" s="1777" t="s">
        <v>298</v>
      </c>
      <c r="E33" s="1648">
        <f t="shared" si="1"/>
        <v>4</v>
      </c>
      <c r="F33" s="1733">
        <v>4</v>
      </c>
      <c r="G33" s="9"/>
      <c r="H33" s="1201"/>
    </row>
    <row r="34" spans="1:25">
      <c r="A34" s="1310">
        <v>8</v>
      </c>
      <c r="B34" s="1333"/>
      <c r="C34" s="1775" t="s">
        <v>559</v>
      </c>
      <c r="D34" s="1777" t="s">
        <v>298</v>
      </c>
      <c r="E34" s="1719">
        <f t="shared" si="1"/>
        <v>8</v>
      </c>
      <c r="F34" s="1733">
        <v>8</v>
      </c>
      <c r="G34" s="9"/>
    </row>
    <row r="35" spans="1:25" hidden="1">
      <c r="A35" s="1310">
        <v>0</v>
      </c>
      <c r="B35" s="1333" t="s">
        <v>6393</v>
      </c>
      <c r="C35" s="1804" t="s">
        <v>6201</v>
      </c>
      <c r="D35" s="1805" t="s">
        <v>298</v>
      </c>
      <c r="E35" s="1686">
        <f>F35</f>
        <v>0</v>
      </c>
      <c r="F35" s="1736">
        <v>0</v>
      </c>
      <c r="G35" s="9"/>
    </row>
    <row r="36" spans="1:25" hidden="1">
      <c r="A36" s="1310">
        <v>0</v>
      </c>
      <c r="B36" s="1333" t="s">
        <v>6393</v>
      </c>
      <c r="C36" s="1882" t="s">
        <v>4870</v>
      </c>
      <c r="D36" s="1875" t="s">
        <v>298</v>
      </c>
      <c r="E36" s="1741">
        <v>0</v>
      </c>
      <c r="F36" s="1737">
        <v>0</v>
      </c>
      <c r="G36" s="9"/>
    </row>
    <row r="37" spans="1:25" ht="22.5" hidden="1">
      <c r="A37" s="1310">
        <v>1</v>
      </c>
      <c r="B37" s="1333" t="s">
        <v>6393</v>
      </c>
      <c r="C37" s="1874" t="s">
        <v>6208</v>
      </c>
      <c r="D37" s="1875" t="s">
        <v>6203</v>
      </c>
      <c r="E37" s="1649">
        <f>F37</f>
        <v>1</v>
      </c>
      <c r="F37" s="1738">
        <v>1</v>
      </c>
      <c r="G37" s="9"/>
    </row>
    <row r="38" spans="1:25" ht="12.75" hidden="1">
      <c r="A38" s="1310">
        <v>200</v>
      </c>
      <c r="B38" s="1333" t="s">
        <v>6393</v>
      </c>
      <c r="C38" s="1876" t="s">
        <v>1356</v>
      </c>
      <c r="D38" s="1875" t="s">
        <v>569</v>
      </c>
      <c r="E38" s="1806">
        <f t="shared" ref="E38:E48" si="2">F38</f>
        <v>200</v>
      </c>
      <c r="F38" s="1738">
        <v>200</v>
      </c>
      <c r="G38" s="43"/>
      <c r="H38" s="1221"/>
      <c r="I38" s="43"/>
      <c r="J38" s="43"/>
    </row>
    <row r="39" spans="1:25" ht="12.75" hidden="1">
      <c r="A39" s="1310">
        <v>50</v>
      </c>
      <c r="B39" s="1333" t="s">
        <v>6393</v>
      </c>
      <c r="C39" s="1876" t="s">
        <v>4695</v>
      </c>
      <c r="D39" s="1875" t="s">
        <v>569</v>
      </c>
      <c r="E39" s="1806">
        <f t="shared" si="2"/>
        <v>50</v>
      </c>
      <c r="F39" s="1738">
        <v>50</v>
      </c>
      <c r="G39" s="43"/>
      <c r="H39" s="1221"/>
      <c r="I39" s="43"/>
      <c r="J39" s="43"/>
    </row>
    <row r="40" spans="1:25" hidden="1">
      <c r="A40" s="1310"/>
      <c r="B40" s="1333" t="s">
        <v>6393</v>
      </c>
      <c r="C40" s="1876" t="s">
        <v>1370</v>
      </c>
      <c r="D40" s="1875"/>
      <c r="E40" s="1806"/>
      <c r="F40" s="1700"/>
      <c r="G40" s="13"/>
      <c r="H40" s="633"/>
      <c r="I40" s="13"/>
    </row>
    <row r="41" spans="1:25" hidden="1">
      <c r="A41" s="1310">
        <v>250</v>
      </c>
      <c r="B41" s="1333" t="s">
        <v>6393</v>
      </c>
      <c r="C41" s="1874" t="s">
        <v>1363</v>
      </c>
      <c r="D41" s="1875" t="s">
        <v>299</v>
      </c>
      <c r="E41" s="1806">
        <f t="shared" si="2"/>
        <v>250</v>
      </c>
      <c r="F41" s="1738">
        <v>250</v>
      </c>
      <c r="G41" s="13"/>
      <c r="H41" s="633"/>
      <c r="I41" s="13"/>
    </row>
    <row r="42" spans="1:25" hidden="1">
      <c r="A42" s="1310">
        <v>1200</v>
      </c>
      <c r="B42" s="1333" t="s">
        <v>6393</v>
      </c>
      <c r="C42" s="1874" t="s">
        <v>1364</v>
      </c>
      <c r="D42" s="1875" t="s">
        <v>299</v>
      </c>
      <c r="E42" s="1806">
        <f t="shared" si="2"/>
        <v>1200</v>
      </c>
      <c r="F42" s="1738">
        <v>1200</v>
      </c>
      <c r="G42" s="13"/>
      <c r="H42" s="633"/>
      <c r="I42" s="13"/>
      <c r="Y42" s="1"/>
    </row>
    <row r="43" spans="1:25" hidden="1">
      <c r="A43" s="1310">
        <v>3000</v>
      </c>
      <c r="B43" s="1333" t="s">
        <v>6393</v>
      </c>
      <c r="C43" s="1874" t="s">
        <v>1365</v>
      </c>
      <c r="D43" s="1875" t="s">
        <v>299</v>
      </c>
      <c r="E43" s="1806">
        <f t="shared" si="2"/>
        <v>3000</v>
      </c>
      <c r="F43" s="1738">
        <v>3000</v>
      </c>
      <c r="G43" s="13"/>
      <c r="H43" s="633"/>
      <c r="I43" s="13"/>
      <c r="Y43" s="1"/>
    </row>
    <row r="44" spans="1:25" hidden="1">
      <c r="A44" s="1310">
        <v>225</v>
      </c>
      <c r="B44" s="1333" t="s">
        <v>6393</v>
      </c>
      <c r="C44" s="1877" t="s">
        <v>1367</v>
      </c>
      <c r="D44" s="1875" t="s">
        <v>299</v>
      </c>
      <c r="E44" s="1806">
        <f t="shared" si="2"/>
        <v>225</v>
      </c>
      <c r="F44" s="1738">
        <v>225</v>
      </c>
      <c r="G44" s="13"/>
      <c r="H44" s="633"/>
      <c r="I44" s="13"/>
      <c r="Y44" s="1"/>
    </row>
    <row r="45" spans="1:25" hidden="1">
      <c r="A45" s="1310">
        <v>50</v>
      </c>
      <c r="B45" s="1333" t="s">
        <v>6393</v>
      </c>
      <c r="C45" s="1874" t="s">
        <v>1366</v>
      </c>
      <c r="D45" s="1875" t="s">
        <v>299</v>
      </c>
      <c r="E45" s="1806">
        <f t="shared" si="2"/>
        <v>50</v>
      </c>
      <c r="F45" s="1738">
        <v>50</v>
      </c>
      <c r="G45" s="13"/>
      <c r="H45" s="633"/>
      <c r="I45" s="13"/>
      <c r="Y45" s="1"/>
    </row>
    <row r="46" spans="1:25" ht="12" hidden="1" customHeight="1">
      <c r="A46" s="1310">
        <v>400</v>
      </c>
      <c r="B46" s="1333" t="s">
        <v>6393</v>
      </c>
      <c r="C46" s="1878" t="s">
        <v>6487</v>
      </c>
      <c r="D46" s="1879" t="s">
        <v>299</v>
      </c>
      <c r="E46" s="1968">
        <f>F46</f>
        <v>200</v>
      </c>
      <c r="F46" s="1738">
        <v>200</v>
      </c>
      <c r="G46" s="13"/>
      <c r="H46" s="633"/>
      <c r="I46" s="13"/>
      <c r="Y46" s="1"/>
    </row>
    <row r="47" spans="1:25" ht="12" hidden="1" customHeight="1">
      <c r="A47" s="1310">
        <v>400</v>
      </c>
      <c r="B47" s="1333" t="s">
        <v>6393</v>
      </c>
      <c r="C47" s="1878" t="s">
        <v>1368</v>
      </c>
      <c r="D47" s="1879" t="s">
        <v>299</v>
      </c>
      <c r="E47" s="1806">
        <f t="shared" si="2"/>
        <v>400</v>
      </c>
      <c r="F47" s="1738">
        <v>400</v>
      </c>
      <c r="G47" s="13"/>
      <c r="H47" s="633"/>
      <c r="I47" s="13"/>
      <c r="Y47" s="1"/>
    </row>
    <row r="48" spans="1:25" hidden="1">
      <c r="A48" s="1310">
        <v>0</v>
      </c>
      <c r="B48" s="1333" t="s">
        <v>6393</v>
      </c>
      <c r="C48" s="1880" t="s">
        <v>4711</v>
      </c>
      <c r="D48" s="1881" t="s">
        <v>569</v>
      </c>
      <c r="E48" s="1809">
        <f t="shared" si="2"/>
        <v>1</v>
      </c>
      <c r="F48" s="1738">
        <v>1</v>
      </c>
      <c r="G48" s="13"/>
      <c r="H48" s="633"/>
      <c r="I48" s="13"/>
    </row>
    <row r="49" spans="1:20" ht="12.75">
      <c r="A49" s="1310"/>
      <c r="B49" s="1333"/>
      <c r="C49" s="1970" t="s">
        <v>6079</v>
      </c>
      <c r="D49" s="1971"/>
      <c r="E49" s="1971"/>
      <c r="F49" s="1972"/>
      <c r="G49" s="9"/>
    </row>
    <row r="50" spans="1:20">
      <c r="A50" s="1310">
        <v>2</v>
      </c>
      <c r="B50" s="1333"/>
      <c r="C50" s="1782" t="s">
        <v>4872</v>
      </c>
      <c r="D50" s="1783" t="s">
        <v>1346</v>
      </c>
      <c r="E50" s="1739">
        <v>1</v>
      </c>
      <c r="F50" s="1740"/>
      <c r="G50" s="2158" t="str">
        <f>IF($E$50=1,"Note: Four rotations cases for the Benchmark must be modeled.","")</f>
        <v>Note: Four rotations cases for the Benchmark must be modeled.</v>
      </c>
      <c r="H50" s="2158"/>
    </row>
    <row r="51" spans="1:20" ht="11.25" customHeight="1">
      <c r="A51" s="1310">
        <v>100</v>
      </c>
      <c r="B51" s="1333"/>
      <c r="C51" s="1775" t="s">
        <v>916</v>
      </c>
      <c r="D51" s="1777" t="s">
        <v>570</v>
      </c>
      <c r="E51" s="1741">
        <f>IF($E$50=1,$F51/$F$55*$E$55,IF($E$50=2,$E$55/4,"error"))</f>
        <v>135.4757352919014</v>
      </c>
      <c r="F51" s="1733">
        <v>150</v>
      </c>
      <c r="G51" s="2158"/>
      <c r="H51" s="2158"/>
      <c r="K51" s="43"/>
      <c r="L51" s="43"/>
      <c r="M51" s="43"/>
      <c r="N51" s="43"/>
      <c r="O51" s="43"/>
      <c r="P51" s="43"/>
      <c r="Q51" s="43"/>
      <c r="R51" s="43"/>
      <c r="S51" s="43"/>
      <c r="T51" s="43"/>
    </row>
    <row r="52" spans="1:20" ht="11.25" customHeight="1">
      <c r="A52" s="1310">
        <v>100</v>
      </c>
      <c r="B52" s="1333"/>
      <c r="C52" s="1784" t="s">
        <v>915</v>
      </c>
      <c r="D52" s="1785" t="s">
        <v>570</v>
      </c>
      <c r="E52" s="1648">
        <f>IF($E$50=1,$F52/$F$55*$E$55,IF($E$50=2,$E$55/4,"error"))</f>
        <v>45.158578430633796</v>
      </c>
      <c r="F52" s="1733">
        <v>50</v>
      </c>
      <c r="G52" s="2158"/>
      <c r="H52" s="2158"/>
      <c r="K52" s="43"/>
      <c r="L52" s="43"/>
      <c r="M52" s="43"/>
      <c r="N52" s="43"/>
      <c r="O52" s="43"/>
      <c r="P52" s="43"/>
      <c r="Q52" s="43"/>
    </row>
    <row r="53" spans="1:20" ht="11.25" customHeight="1">
      <c r="A53" s="1310">
        <v>100</v>
      </c>
      <c r="B53" s="1333"/>
      <c r="C53" s="1775" t="s">
        <v>572</v>
      </c>
      <c r="D53" s="1777" t="s">
        <v>570</v>
      </c>
      <c r="E53" s="1648">
        <f>IF($E$50=1,$F53/$F$55*$E$55,IF($E$50=2,$E$55/4,"error"))</f>
        <v>90.317156861267591</v>
      </c>
      <c r="F53" s="1733">
        <v>100</v>
      </c>
      <c r="G53" s="2158"/>
      <c r="H53" s="2158"/>
    </row>
    <row r="54" spans="1:20" ht="11.25" customHeight="1">
      <c r="A54" s="1310">
        <v>100</v>
      </c>
      <c r="B54" s="1333"/>
      <c r="C54" s="1775" t="s">
        <v>571</v>
      </c>
      <c r="D54" s="1777" t="s">
        <v>570</v>
      </c>
      <c r="E54" s="1648">
        <f>IF($E$50=1,$F54/$F$55*$E$55,IF($E$50=2,$E$55/4,"error"))</f>
        <v>90.317156861267591</v>
      </c>
      <c r="F54" s="1742">
        <v>100</v>
      </c>
      <c r="G54" s="2158"/>
      <c r="H54" s="2158"/>
    </row>
    <row r="55" spans="1:20" ht="11.25" customHeight="1">
      <c r="A55" s="1310">
        <v>400</v>
      </c>
      <c r="B55" s="1333"/>
      <c r="C55" s="1775" t="s">
        <v>4873</v>
      </c>
      <c r="D55" s="1777" t="s">
        <v>570</v>
      </c>
      <c r="E55" s="1743">
        <f>IF(HomeType=2,0.3,0.15)*(A_ExWaLiv*E13+A_ExWaBsm)</f>
        <v>361.26862744507036</v>
      </c>
      <c r="F55" s="1734">
        <f>SUM(F51:F54)</f>
        <v>400</v>
      </c>
      <c r="G55" s="2158"/>
      <c r="H55" s="2158"/>
    </row>
    <row r="56" spans="1:20" ht="11.25" customHeight="1">
      <c r="A56" s="1310" t="s">
        <v>4877</v>
      </c>
      <c r="B56" s="1333"/>
      <c r="C56" s="1804" t="s">
        <v>4874</v>
      </c>
      <c r="D56" s="1786" t="s">
        <v>877</v>
      </c>
      <c r="E56" s="1744">
        <v>33</v>
      </c>
      <c r="F56" s="1633"/>
      <c r="G56" s="9"/>
    </row>
    <row r="57" spans="1:20" ht="11.25" customHeight="1">
      <c r="B57" s="1308"/>
      <c r="C57" s="1729" t="s">
        <v>4876</v>
      </c>
      <c r="D57" s="1632"/>
      <c r="E57" s="1632"/>
      <c r="F57" s="1634"/>
      <c r="G57" s="9"/>
    </row>
    <row r="58" spans="1:20">
      <c r="B58" s="1308" t="s">
        <v>6510</v>
      </c>
      <c r="C58" s="1956" t="s">
        <v>6457</v>
      </c>
      <c r="D58" s="1787" t="s">
        <v>6467</v>
      </c>
      <c r="E58" s="1635">
        <f>VLOOKUP(ClimateZone,LookupTables!$H$5:$Q$24,2)</f>
        <v>38</v>
      </c>
      <c r="F58" s="2038"/>
      <c r="G58" s="9"/>
    </row>
    <row r="59" spans="1:20" s="43" customFormat="1" ht="12.75">
      <c r="A59" s="1308"/>
      <c r="B59" s="1308" t="s">
        <v>6510</v>
      </c>
      <c r="C59" s="1788" t="s">
        <v>6458</v>
      </c>
      <c r="D59" s="1789" t="s">
        <v>877</v>
      </c>
      <c r="E59" s="2084">
        <v>0.11</v>
      </c>
      <c r="F59" s="2039"/>
      <c r="G59" s="9"/>
      <c r="H59" s="1217"/>
      <c r="I59" s="16"/>
      <c r="J59" s="13"/>
      <c r="K59" s="13"/>
      <c r="L59" s="13"/>
      <c r="M59" s="13"/>
      <c r="N59" s="13"/>
      <c r="O59" s="13"/>
      <c r="P59" s="13"/>
      <c r="Q59" s="13"/>
      <c r="R59" s="13"/>
      <c r="S59" s="13"/>
      <c r="T59" s="13"/>
    </row>
    <row r="60" spans="1:20" s="43" customFormat="1" ht="12.75">
      <c r="A60" s="1308"/>
      <c r="B60" s="1308" t="s">
        <v>6510</v>
      </c>
      <c r="C60" s="1790" t="s">
        <v>6459</v>
      </c>
      <c r="D60" s="1791" t="s">
        <v>6467</v>
      </c>
      <c r="E60" s="1636">
        <f>IF(HomeType=0,VLOOKUP(ClimateZone,LookupTables!$H$5:$Q$24,3),VLOOKUP(ClimateZone,LookupTables!$H$5:$Q$24,5))</f>
        <v>13</v>
      </c>
      <c r="F60" s="2040"/>
      <c r="G60" s="9"/>
      <c r="H60" s="1217"/>
      <c r="I60" s="16"/>
      <c r="J60" s="13"/>
      <c r="K60" s="13"/>
      <c r="L60" s="13"/>
      <c r="M60" s="13"/>
      <c r="N60" s="13"/>
      <c r="O60" s="13"/>
      <c r="P60" s="13"/>
      <c r="Q60" s="13"/>
      <c r="R60" s="13"/>
      <c r="S60" s="13"/>
      <c r="T60" s="13"/>
    </row>
    <row r="61" spans="1:20">
      <c r="B61" s="1308" t="s">
        <v>6510</v>
      </c>
      <c r="C61" s="1792" t="s">
        <v>1141</v>
      </c>
      <c r="D61" s="1745" t="s">
        <v>6467</v>
      </c>
      <c r="E61" s="1637">
        <f>IF(HomeType=0,VLOOKUP(ClimateZone,LookupTables!$H$5:$Q$24,4),0)</f>
        <v>5</v>
      </c>
      <c r="F61" s="2041"/>
      <c r="G61" s="9"/>
    </row>
    <row r="62" spans="1:20" ht="12.75" customHeight="1">
      <c r="B62" s="1308" t="s">
        <v>6510</v>
      </c>
      <c r="C62" s="1792" t="s">
        <v>4801</v>
      </c>
      <c r="D62" s="1745" t="s">
        <v>333</v>
      </c>
      <c r="E62" s="1637" t="str">
        <f>IF(E60&gt;=19,"2x6","2x4")&amp;", 16"" o.c"</f>
        <v>2x4, 16" o.c</v>
      </c>
      <c r="F62" s="2041"/>
      <c r="G62" s="9"/>
      <c r="I62" s="1200"/>
      <c r="J62" s="633"/>
    </row>
    <row r="63" spans="1:20">
      <c r="B63" s="1308" t="s">
        <v>6510</v>
      </c>
      <c r="C63" s="1792" t="s">
        <v>1047</v>
      </c>
      <c r="D63" s="1745" t="s">
        <v>877</v>
      </c>
      <c r="E63" s="2085">
        <v>0.23</v>
      </c>
      <c r="F63" s="2041"/>
      <c r="G63" s="9"/>
      <c r="I63" s="1200"/>
      <c r="J63" s="633"/>
    </row>
    <row r="64" spans="1:20">
      <c r="B64" s="1308" t="s">
        <v>6510</v>
      </c>
      <c r="C64" s="1792" t="s">
        <v>4800</v>
      </c>
      <c r="D64" s="1745" t="s">
        <v>6467</v>
      </c>
      <c r="E64" s="1957">
        <f>IF(NewConst!$E$62="2x4",4.38,6.88)</f>
        <v>6.88</v>
      </c>
      <c r="F64" s="2041"/>
      <c r="G64" s="9"/>
      <c r="I64" s="1200"/>
      <c r="J64" s="633"/>
    </row>
    <row r="65" spans="2:26">
      <c r="B65" s="1308"/>
      <c r="C65" s="1792" t="s">
        <v>4799</v>
      </c>
      <c r="D65" s="1745"/>
      <c r="E65" s="1637"/>
      <c r="F65" s="1745"/>
      <c r="G65" s="9"/>
      <c r="I65" s="1200"/>
      <c r="J65" s="633"/>
    </row>
    <row r="66" spans="2:26">
      <c r="B66" s="1308" t="s">
        <v>6510</v>
      </c>
      <c r="C66" s="1793" t="s">
        <v>4802</v>
      </c>
      <c r="D66" s="1745" t="s">
        <v>6467</v>
      </c>
      <c r="E66" s="1637">
        <v>0.45</v>
      </c>
      <c r="F66" s="2041"/>
      <c r="G66" s="9"/>
      <c r="I66" s="1200"/>
      <c r="J66" s="633"/>
    </row>
    <row r="67" spans="2:26">
      <c r="B67" s="1308" t="s">
        <v>6510</v>
      </c>
      <c r="C67" s="1793" t="s">
        <v>4803</v>
      </c>
      <c r="D67" s="1745" t="s">
        <v>6467</v>
      </c>
      <c r="E67" s="1637">
        <v>0.62</v>
      </c>
      <c r="F67" s="2041"/>
      <c r="G67" s="9"/>
      <c r="I67" s="1200"/>
      <c r="J67" s="633"/>
    </row>
    <row r="68" spans="2:26">
      <c r="B68" s="1308" t="s">
        <v>6510</v>
      </c>
      <c r="C68" s="1794" t="s">
        <v>4804</v>
      </c>
      <c r="D68" s="1746" t="s">
        <v>6467</v>
      </c>
      <c r="E68" s="1638">
        <v>0.2</v>
      </c>
      <c r="F68" s="2042"/>
      <c r="G68" s="9"/>
      <c r="I68" s="1200"/>
      <c r="J68" s="633"/>
    </row>
    <row r="69" spans="2:26" ht="11.25" customHeight="1">
      <c r="B69" s="1308" t="s">
        <v>6510</v>
      </c>
      <c r="C69" s="1790" t="s">
        <v>6460</v>
      </c>
      <c r="D69" s="1791" t="s">
        <v>6467</v>
      </c>
      <c r="E69" s="1636">
        <f>VLOOKUP(ClimateZone,LookupTables!$H$5:$Q$24,6)</f>
        <v>30</v>
      </c>
      <c r="F69" s="2040"/>
      <c r="G69" s="9"/>
      <c r="H69" s="1084"/>
      <c r="I69" s="1200"/>
      <c r="J69" s="633"/>
      <c r="Y69" s="1"/>
    </row>
    <row r="70" spans="2:26">
      <c r="B70" s="1308" t="s">
        <v>6510</v>
      </c>
      <c r="C70" s="1778" t="s">
        <v>6461</v>
      </c>
      <c r="D70" s="1745" t="s">
        <v>6467</v>
      </c>
      <c r="E70" s="1631">
        <f>VLOOKUP(ClimateZone,LookupTables!$H$5:$Q$24,7)</f>
        <v>10</v>
      </c>
      <c r="F70" s="2043"/>
      <c r="G70" s="9"/>
      <c r="H70" s="1084"/>
      <c r="I70" s="1084"/>
      <c r="J70" s="1084"/>
    </row>
    <row r="71" spans="2:26">
      <c r="B71" s="1308" t="s">
        <v>6510</v>
      </c>
      <c r="C71" s="1795" t="s">
        <v>6462</v>
      </c>
      <c r="D71" s="1745" t="s">
        <v>6467</v>
      </c>
      <c r="E71" s="1631">
        <f>VLOOKUP(ClimateZone,LookupTables!$H$5:$Q$24,8)</f>
        <v>10</v>
      </c>
      <c r="F71" s="2043"/>
      <c r="G71" s="9"/>
      <c r="H71" s="1084"/>
      <c r="I71" s="1200"/>
      <c r="J71" s="633"/>
      <c r="Z71" s="1"/>
    </row>
    <row r="72" spans="2:26">
      <c r="B72" s="1308" t="s">
        <v>6510</v>
      </c>
      <c r="C72" s="1779" t="s">
        <v>6463</v>
      </c>
      <c r="D72" s="1776" t="s">
        <v>877</v>
      </c>
      <c r="E72" s="2086">
        <v>0.13</v>
      </c>
      <c r="F72" s="2044"/>
      <c r="G72" s="9"/>
      <c r="I72" s="1200"/>
      <c r="J72" s="633"/>
    </row>
    <row r="73" spans="2:26">
      <c r="B73" s="1308" t="s">
        <v>6510</v>
      </c>
      <c r="C73" s="1778" t="s">
        <v>6464</v>
      </c>
      <c r="D73" s="1745"/>
      <c r="E73" s="1631">
        <f>VLOOKUP(ClimateZone,LookupTables!$H$5:$Q$24,9)</f>
        <v>10</v>
      </c>
      <c r="F73" s="2043"/>
      <c r="G73" s="9"/>
      <c r="H73" s="1084"/>
      <c r="I73" s="1084"/>
      <c r="J73" s="1084"/>
    </row>
    <row r="74" spans="2:26">
      <c r="B74" s="1308" t="s">
        <v>6510</v>
      </c>
      <c r="C74" s="1796" t="s">
        <v>334</v>
      </c>
      <c r="D74" s="1746" t="s">
        <v>298</v>
      </c>
      <c r="E74" s="1640">
        <f>VLOOKUP(ClimateZone,LookupTables!$H$5:$Q$24,10)</f>
        <v>2</v>
      </c>
      <c r="F74" s="2045"/>
      <c r="G74" s="9"/>
      <c r="H74" s="1201"/>
      <c r="I74" s="1084"/>
      <c r="J74" s="1084"/>
      <c r="K74" s="633"/>
      <c r="L74" s="633"/>
      <c r="M74" s="633"/>
      <c r="N74" s="633"/>
      <c r="O74" s="633"/>
      <c r="P74" s="633"/>
      <c r="Q74" s="633"/>
      <c r="R74" s="633"/>
    </row>
    <row r="75" spans="2:26">
      <c r="B75" s="1308" t="s">
        <v>6510</v>
      </c>
      <c r="C75" s="1790" t="s">
        <v>6465</v>
      </c>
      <c r="D75" s="1791" t="s">
        <v>6468</v>
      </c>
      <c r="E75" s="1641">
        <f>VLOOKUP(ClimateZone,LookupTables!$H$5:$T$24,12)</f>
        <v>0.35</v>
      </c>
      <c r="F75" s="2040"/>
      <c r="G75" s="9"/>
      <c r="I75" s="1200"/>
      <c r="J75" s="633"/>
      <c r="K75" s="633"/>
      <c r="L75" s="633"/>
      <c r="M75" s="633"/>
      <c r="N75" s="633"/>
      <c r="O75" s="633"/>
      <c r="P75" s="633"/>
      <c r="Q75" s="633"/>
      <c r="R75" s="633"/>
    </row>
    <row r="76" spans="2:26">
      <c r="B76" s="1308" t="s">
        <v>6510</v>
      </c>
      <c r="C76" s="1792" t="s">
        <v>6077</v>
      </c>
      <c r="D76" s="1745"/>
      <c r="E76" s="1642">
        <f>VLOOKUP(ClimateZone,LookupTables!$H$5:$T$24,13)</f>
        <v>0.35</v>
      </c>
      <c r="F76" s="2043"/>
      <c r="G76" s="9"/>
      <c r="I76" s="1200"/>
      <c r="J76" s="633"/>
      <c r="K76" s="633"/>
      <c r="L76" s="633"/>
      <c r="M76" s="633"/>
      <c r="N76" s="633"/>
      <c r="O76" s="633"/>
      <c r="P76" s="633"/>
      <c r="Q76" s="633"/>
      <c r="R76" s="633"/>
    </row>
    <row r="77" spans="2:26">
      <c r="B77" s="1308" t="s">
        <v>6510</v>
      </c>
      <c r="C77" s="1797" t="s">
        <v>871</v>
      </c>
      <c r="D77" s="1789" t="s">
        <v>6468</v>
      </c>
      <c r="E77" s="1643">
        <v>0.2</v>
      </c>
      <c r="F77" s="2039"/>
      <c r="G77" s="9"/>
      <c r="I77" s="1200"/>
      <c r="J77" s="633"/>
      <c r="K77" s="633"/>
      <c r="L77" s="633"/>
      <c r="M77" s="633"/>
      <c r="N77" s="633"/>
      <c r="O77" s="633"/>
      <c r="P77" s="633"/>
      <c r="Q77" s="633"/>
      <c r="R77" s="633"/>
    </row>
    <row r="78" spans="2:26" ht="13.5" customHeight="1">
      <c r="B78" s="1308" t="s">
        <v>6510</v>
      </c>
      <c r="C78" s="1798" t="s">
        <v>81</v>
      </c>
      <c r="D78" s="1774"/>
      <c r="E78" s="1644">
        <v>0.5</v>
      </c>
      <c r="F78" s="2040"/>
      <c r="G78" s="9"/>
      <c r="I78" s="1200"/>
      <c r="J78" s="633"/>
      <c r="K78" s="633"/>
      <c r="L78" s="633"/>
      <c r="M78" s="633"/>
      <c r="N78" s="633"/>
      <c r="O78" s="633"/>
      <c r="P78" s="633"/>
      <c r="Q78" s="633"/>
      <c r="R78" s="633"/>
    </row>
    <row r="79" spans="2:26" ht="13.5" customHeight="1">
      <c r="B79" s="1308" t="s">
        <v>6510</v>
      </c>
      <c r="C79" s="1799" t="s">
        <v>209</v>
      </c>
      <c r="D79" s="1776"/>
      <c r="E79" s="1645">
        <v>0.75</v>
      </c>
      <c r="F79" s="2044"/>
      <c r="G79" s="9"/>
      <c r="I79" s="1200"/>
      <c r="J79" s="633"/>
      <c r="K79" s="633"/>
      <c r="L79" s="633"/>
      <c r="M79" s="633"/>
      <c r="N79" s="633"/>
      <c r="O79" s="633"/>
      <c r="P79" s="633"/>
      <c r="Q79" s="633"/>
      <c r="R79" s="633"/>
    </row>
    <row r="80" spans="2:26">
      <c r="B80" s="1308" t="s">
        <v>6510</v>
      </c>
      <c r="C80" s="1799" t="s">
        <v>1167</v>
      </c>
      <c r="D80" s="1776"/>
      <c r="E80" s="1645">
        <v>0.9</v>
      </c>
      <c r="F80" s="2046"/>
      <c r="G80" s="9"/>
      <c r="I80" s="1200"/>
      <c r="J80" s="633"/>
      <c r="K80" s="633"/>
      <c r="L80" s="633"/>
      <c r="M80" s="633"/>
      <c r="N80" s="633"/>
      <c r="O80" s="633"/>
      <c r="P80" s="633"/>
      <c r="Q80" s="633"/>
      <c r="R80" s="633"/>
    </row>
    <row r="81" spans="1:28">
      <c r="A81" s="1310"/>
      <c r="B81" s="1308" t="s">
        <v>6510</v>
      </c>
      <c r="C81" s="1775" t="s">
        <v>323</v>
      </c>
      <c r="D81" s="1777" t="s">
        <v>877</v>
      </c>
      <c r="E81" s="2087">
        <v>80</v>
      </c>
      <c r="F81" s="2043"/>
      <c r="G81" s="9"/>
      <c r="I81" s="633"/>
      <c r="J81" s="633"/>
      <c r="K81" s="633"/>
      <c r="L81" s="633"/>
      <c r="M81" s="633"/>
      <c r="N81" s="633"/>
      <c r="O81" s="633"/>
      <c r="P81" s="633"/>
      <c r="Q81" s="633"/>
      <c r="R81" s="633"/>
    </row>
    <row r="82" spans="1:28" ht="11.25" customHeight="1">
      <c r="B82" s="1308" t="s">
        <v>6510</v>
      </c>
      <c r="C82" s="1799" t="s">
        <v>461</v>
      </c>
      <c r="D82" s="1745" t="s">
        <v>6467</v>
      </c>
      <c r="E82" s="2087">
        <v>2</v>
      </c>
      <c r="F82" s="2043"/>
      <c r="G82" s="9"/>
      <c r="H82" s="1201"/>
      <c r="I82" s="1200"/>
      <c r="J82" s="633"/>
      <c r="K82" s="633"/>
      <c r="L82" s="633"/>
      <c r="M82" s="633"/>
      <c r="N82" s="633"/>
      <c r="O82" s="633"/>
      <c r="P82" s="633"/>
      <c r="Q82" s="633"/>
      <c r="R82" s="633"/>
    </row>
    <row r="83" spans="1:28" ht="11.25" customHeight="1">
      <c r="B83" s="1308" t="s">
        <v>6510</v>
      </c>
      <c r="C83" s="1883" t="s">
        <v>6466</v>
      </c>
      <c r="D83" s="1805" t="s">
        <v>570</v>
      </c>
      <c r="E83" s="2088" t="s">
        <v>6469</v>
      </c>
      <c r="F83" s="2047"/>
      <c r="G83" s="9"/>
      <c r="H83" s="1201"/>
      <c r="I83" s="1201"/>
      <c r="J83" s="633"/>
      <c r="K83" s="633"/>
      <c r="L83" s="633"/>
      <c r="M83" s="633"/>
      <c r="N83" s="633"/>
      <c r="O83" s="633"/>
      <c r="P83" s="633"/>
      <c r="Q83" s="633"/>
      <c r="R83" s="633"/>
    </row>
    <row r="84" spans="1:28" ht="12.75">
      <c r="B84" s="1308"/>
      <c r="C84" s="2142" t="s">
        <v>6159</v>
      </c>
      <c r="D84" s="2143"/>
      <c r="E84" s="2143"/>
      <c r="F84" s="2144"/>
      <c r="G84" s="9"/>
      <c r="H84" s="1200"/>
      <c r="I84" s="633"/>
      <c r="J84" s="633"/>
      <c r="K84" s="633"/>
      <c r="L84" s="633"/>
      <c r="M84" s="633"/>
      <c r="N84" s="633"/>
      <c r="O84" s="633"/>
      <c r="P84" s="633"/>
      <c r="Q84" s="633"/>
      <c r="R84" s="633"/>
      <c r="AB84" s="1"/>
    </row>
    <row r="85" spans="1:28" ht="23.25" customHeight="1">
      <c r="A85" s="1311" t="s">
        <v>6082</v>
      </c>
      <c r="B85" s="1333"/>
      <c r="C85" s="1954" t="s">
        <v>66</v>
      </c>
      <c r="D85" s="1785"/>
      <c r="E85" s="2059" t="str">
        <f>VLOOKUP(NewConst!F85,LookupTables!B4:F15,3,FALSE)</f>
        <v>78% AFUE gas furnace</v>
      </c>
      <c r="F85" s="1767" t="s">
        <v>6082</v>
      </c>
      <c r="G85" s="13"/>
      <c r="H85" s="1221"/>
      <c r="I85" s="1221"/>
      <c r="J85" s="1221"/>
      <c r="K85" s="633"/>
      <c r="L85" s="633"/>
      <c r="M85" s="633"/>
      <c r="N85" s="633"/>
      <c r="O85" s="633"/>
      <c r="P85" s="633"/>
      <c r="Q85" s="633"/>
      <c r="R85" s="633"/>
    </row>
    <row r="86" spans="1:28">
      <c r="B86" s="1308" t="s">
        <v>6510</v>
      </c>
      <c r="C86" s="1848" t="str">
        <f>"Heating System Efficiency"&amp;" "&amp;IF(E86&lt;1,"(AFUE)","(HSPF)")</f>
        <v>Heating System Efficiency (AFUE)</v>
      </c>
      <c r="D86" s="1849"/>
      <c r="E86" s="2060">
        <f>VLOOKUP(NewConst!F85,LookupTables!B4:F15,5,FALSE)</f>
        <v>0.78</v>
      </c>
      <c r="F86" s="2061"/>
      <c r="G86" s="9"/>
      <c r="H86" s="1201"/>
      <c r="I86" s="1200"/>
      <c r="J86" s="633"/>
      <c r="K86" s="633"/>
      <c r="L86" s="633"/>
      <c r="M86" s="633"/>
      <c r="N86" s="633"/>
      <c r="O86" s="633"/>
      <c r="P86" s="633"/>
      <c r="Q86" s="633"/>
      <c r="R86" s="633"/>
    </row>
    <row r="87" spans="1:28">
      <c r="B87" s="1308" t="s">
        <v>6510</v>
      </c>
      <c r="C87" s="1848" t="s">
        <v>1039</v>
      </c>
      <c r="D87" s="1849"/>
      <c r="E87" s="2062" t="str">
        <f>VLOOKUP(NewConst!F85,LookupTables!B4:F15,4,FALSE)</f>
        <v>Gas</v>
      </c>
      <c r="F87" s="2063"/>
      <c r="G87" s="9"/>
      <c r="H87" s="633"/>
      <c r="I87" s="1200"/>
      <c r="J87" s="633"/>
      <c r="K87" s="633"/>
      <c r="L87" s="633"/>
      <c r="M87" s="633"/>
      <c r="N87" s="633"/>
      <c r="O87" s="633"/>
      <c r="P87" s="633"/>
      <c r="Q87" s="633"/>
      <c r="R87" s="633"/>
    </row>
    <row r="88" spans="1:28">
      <c r="A88" s="1310" t="s">
        <v>567</v>
      </c>
      <c r="B88" s="1333"/>
      <c r="C88" s="2128" t="s">
        <v>4780</v>
      </c>
      <c r="D88" s="1805" t="s">
        <v>999</v>
      </c>
      <c r="E88" s="2064"/>
      <c r="F88" s="2065" t="s">
        <v>567</v>
      </c>
      <c r="G88" s="13"/>
      <c r="H88" s="633"/>
      <c r="I88" s="633"/>
      <c r="J88" s="633"/>
      <c r="K88" s="633"/>
      <c r="L88" s="633"/>
      <c r="M88" s="633"/>
      <c r="N88" s="633"/>
      <c r="O88" s="633"/>
      <c r="P88" s="633"/>
      <c r="Q88" s="633"/>
      <c r="R88" s="633"/>
    </row>
    <row r="89" spans="1:28" ht="11.25" customHeight="1">
      <c r="A89" s="1311" t="s">
        <v>6108</v>
      </c>
      <c r="B89" s="1333"/>
      <c r="C89" s="2129" t="s">
        <v>67</v>
      </c>
      <c r="D89" s="1850"/>
      <c r="E89" s="1960" t="str">
        <f>IF(NewConst!F85="Other Electric or No System",LookupTables!D17,VLOOKUP(NewConst!F89,LookupTables!B16:F23,3,FALSE))</f>
        <v>13 SEER air conditioner</v>
      </c>
      <c r="F89" s="2066" t="s">
        <v>6108</v>
      </c>
      <c r="G89" s="2154" t="str">
        <f>IF(F89="No cooling system",IF(NewConst!F88="YES","If cooling load is non-zero, model the NCTH with a 13 SEER split system","If cooling load is non-zero, model the NCTH with a 9 EER room A/C"),"")</f>
        <v/>
      </c>
      <c r="H89" s="2155"/>
      <c r="I89" s="2155"/>
      <c r="J89" s="1221"/>
      <c r="K89" s="633"/>
      <c r="L89" s="633"/>
      <c r="M89" s="633"/>
      <c r="N89" s="633"/>
      <c r="O89" s="633"/>
      <c r="P89" s="633"/>
      <c r="Q89" s="633"/>
      <c r="R89" s="633"/>
      <c r="Y89" s="1"/>
    </row>
    <row r="90" spans="1:28" ht="12.75">
      <c r="A90" s="1310">
        <v>13</v>
      </c>
      <c r="B90" s="1333"/>
      <c r="C90" s="2156" t="s">
        <v>496</v>
      </c>
      <c r="D90" s="1805"/>
      <c r="E90" s="2067"/>
      <c r="F90" s="2068">
        <v>13</v>
      </c>
      <c r="G90" s="13" t="s">
        <v>6447</v>
      </c>
      <c r="H90" s="1168"/>
      <c r="I90" s="1221"/>
      <c r="J90" s="1221"/>
      <c r="K90" s="633"/>
      <c r="L90" s="633"/>
      <c r="M90" s="633"/>
      <c r="N90" s="633"/>
      <c r="O90" s="633"/>
      <c r="P90" s="633"/>
      <c r="Q90" s="633"/>
      <c r="R90" s="633"/>
      <c r="AB90" s="1"/>
    </row>
    <row r="91" spans="1:28" ht="11.25" customHeight="1">
      <c r="A91" s="1310"/>
      <c r="B91" s="1333"/>
      <c r="C91" s="2156"/>
      <c r="D91" s="1785"/>
      <c r="E91" s="2069">
        <f>IF(NewConst!F85="Other Electric or No System",LookupTables!F17,VLOOKUP(NewConst!F89,LookupTables!B16:F23,5,FALSE))</f>
        <v>13</v>
      </c>
      <c r="F91" s="2070">
        <f>IF(F89="No cooling system",IF(NewConst!F88="YES",13,9.7229),NewConst!$F$90)</f>
        <v>13</v>
      </c>
      <c r="G91" s="2168" t="s">
        <v>6109</v>
      </c>
      <c r="H91" s="1168"/>
      <c r="I91" s="1221"/>
      <c r="J91" s="1221"/>
      <c r="K91" s="633"/>
      <c r="L91" s="633"/>
      <c r="M91" s="633"/>
      <c r="N91" s="633"/>
      <c r="O91" s="633"/>
      <c r="P91" s="633"/>
      <c r="Q91" s="633"/>
      <c r="R91" s="633"/>
      <c r="AB91" s="1"/>
    </row>
    <row r="92" spans="1:28">
      <c r="B92" s="1308"/>
      <c r="C92" s="1848" t="s">
        <v>4746</v>
      </c>
      <c r="D92" s="1849"/>
      <c r="E92" s="2071">
        <f>-0.02*E91^2+1.12*E91</f>
        <v>11.180000000000003</v>
      </c>
      <c r="F92" s="2072">
        <f>IF(NewConst!$F$90="NA",NA(),-0.02*F91^2+1.12*F91)</f>
        <v>11.180000000000003</v>
      </c>
      <c r="G92" s="2168"/>
      <c r="H92" s="1201"/>
      <c r="I92" s="1200"/>
      <c r="J92" s="633"/>
      <c r="K92" s="633"/>
      <c r="L92" s="633"/>
      <c r="M92" s="633"/>
      <c r="N92" s="633"/>
      <c r="O92" s="633"/>
      <c r="P92" s="633"/>
      <c r="Q92" s="633"/>
      <c r="R92" s="633"/>
    </row>
    <row r="93" spans="1:28" ht="12.75">
      <c r="B93" s="1308" t="s">
        <v>6510</v>
      </c>
      <c r="C93" s="1851" t="s">
        <v>6111</v>
      </c>
      <c r="D93" s="1777" t="s">
        <v>999</v>
      </c>
      <c r="E93" s="2089" t="s">
        <v>567</v>
      </c>
      <c r="F93" s="2073"/>
      <c r="G93" s="43"/>
      <c r="H93" s="633"/>
      <c r="I93" s="633"/>
      <c r="J93" s="633"/>
      <c r="K93" s="633"/>
      <c r="L93" s="633"/>
      <c r="M93" s="633"/>
      <c r="N93" s="633"/>
      <c r="O93" s="633"/>
      <c r="P93" s="633"/>
      <c r="Q93" s="633"/>
      <c r="R93" s="633"/>
    </row>
    <row r="94" spans="1:28" ht="12.75">
      <c r="B94" s="1308" t="s">
        <v>6510</v>
      </c>
      <c r="C94" s="2130" t="s">
        <v>6112</v>
      </c>
      <c r="D94" s="1805" t="s">
        <v>215</v>
      </c>
      <c r="E94" s="2090">
        <v>1.2</v>
      </c>
      <c r="F94" s="2074"/>
      <c r="G94" s="43"/>
      <c r="H94" s="633"/>
      <c r="I94" s="633"/>
      <c r="J94" s="633"/>
      <c r="K94" s="633"/>
      <c r="L94" s="633"/>
      <c r="M94" s="633"/>
      <c r="N94" s="633"/>
      <c r="O94" s="633"/>
      <c r="P94" s="633"/>
      <c r="Q94" s="633"/>
      <c r="R94" s="633"/>
    </row>
    <row r="95" spans="1:28" ht="12.75">
      <c r="B95" s="1309"/>
      <c r="C95" s="2142" t="s">
        <v>6160</v>
      </c>
      <c r="D95" s="2143"/>
      <c r="E95" s="2143"/>
      <c r="F95" s="2144"/>
      <c r="G95" s="43"/>
      <c r="H95" s="633"/>
      <c r="I95" s="633"/>
      <c r="J95" s="633"/>
      <c r="K95" s="633"/>
      <c r="L95" s="633"/>
      <c r="M95" s="633"/>
      <c r="N95" s="633"/>
      <c r="O95" s="633"/>
      <c r="P95" s="633"/>
      <c r="Q95" s="633"/>
      <c r="R95" s="633"/>
    </row>
    <row r="96" spans="1:28">
      <c r="B96" s="1308" t="s">
        <v>6510</v>
      </c>
      <c r="C96" s="2131" t="s">
        <v>648</v>
      </c>
      <c r="D96" s="2132" t="s">
        <v>457</v>
      </c>
      <c r="E96" s="2091">
        <v>0.36399999999999999</v>
      </c>
      <c r="F96" s="2075"/>
      <c r="G96" s="9"/>
      <c r="H96" s="1201"/>
      <c r="I96" s="1200"/>
      <c r="J96" s="633"/>
      <c r="K96" s="633"/>
      <c r="L96" s="633"/>
      <c r="M96" s="633"/>
      <c r="N96" s="633"/>
      <c r="O96" s="633"/>
      <c r="P96" s="633"/>
      <c r="Q96" s="633"/>
      <c r="R96" s="633"/>
    </row>
    <row r="97" spans="1:31" ht="14.25" customHeight="1">
      <c r="A97" s="1310">
        <v>4</v>
      </c>
      <c r="B97" s="1308"/>
      <c r="C97" s="1851" t="s">
        <v>159</v>
      </c>
      <c r="D97" s="1777" t="s">
        <v>569</v>
      </c>
      <c r="E97" s="2076">
        <f>Nreturns</f>
        <v>4</v>
      </c>
      <c r="F97" s="1747">
        <v>4</v>
      </c>
      <c r="G97" s="13"/>
      <c r="H97" s="1221"/>
      <c r="I97" s="1221"/>
      <c r="J97" s="1221"/>
      <c r="K97" s="633"/>
      <c r="L97" s="633"/>
      <c r="M97" s="633"/>
      <c r="N97" s="633"/>
      <c r="O97" s="633"/>
      <c r="P97" s="633"/>
      <c r="Q97" s="633"/>
      <c r="R97" s="633"/>
    </row>
    <row r="98" spans="1:31">
      <c r="B98" s="1308" t="s">
        <v>6510</v>
      </c>
      <c r="C98" s="1848" t="s">
        <v>541</v>
      </c>
      <c r="D98" s="1852" t="s">
        <v>6470</v>
      </c>
      <c r="E98" s="2077">
        <f>LookupTables!AF5</f>
        <v>459.20000000000005</v>
      </c>
      <c r="F98" s="2078"/>
      <c r="G98" s="9"/>
      <c r="H98" s="1201"/>
      <c r="I98" s="1200"/>
      <c r="J98" s="633"/>
      <c r="K98" s="633"/>
      <c r="L98" s="633"/>
      <c r="M98" s="633"/>
      <c r="N98" s="633"/>
      <c r="O98" s="633"/>
      <c r="P98" s="633"/>
      <c r="Q98" s="633"/>
      <c r="R98" s="633"/>
    </row>
    <row r="99" spans="1:31">
      <c r="B99" s="1308" t="s">
        <v>6510</v>
      </c>
      <c r="C99" s="1848" t="s">
        <v>1308</v>
      </c>
      <c r="D99" s="1852" t="s">
        <v>6470</v>
      </c>
      <c r="E99" s="2077">
        <f>LookupTables!AF6</f>
        <v>367.36</v>
      </c>
      <c r="F99" s="2079"/>
      <c r="G99" s="9"/>
      <c r="H99" s="1201"/>
      <c r="I99" s="1200"/>
      <c r="J99" s="633"/>
      <c r="K99" s="633"/>
      <c r="L99" s="633"/>
      <c r="M99" s="633"/>
      <c r="N99" s="633"/>
      <c r="O99" s="633"/>
      <c r="P99" s="633"/>
      <c r="Q99" s="633"/>
      <c r="R99" s="633"/>
      <c r="S99" s="817"/>
      <c r="T99" s="817"/>
      <c r="U99" s="817"/>
      <c r="V99" s="817"/>
      <c r="W99" s="817"/>
      <c r="X99" s="817"/>
      <c r="Y99" s="817"/>
      <c r="Z99" s="817"/>
      <c r="AA99" s="817"/>
      <c r="AB99" s="817"/>
      <c r="AC99" s="817"/>
      <c r="AD99" s="817"/>
      <c r="AE99" s="817"/>
    </row>
    <row r="100" spans="1:31" ht="12.75">
      <c r="B100" s="1308" t="s">
        <v>6510</v>
      </c>
      <c r="C100" s="1848" t="s">
        <v>6158</v>
      </c>
      <c r="D100" s="1852" t="s">
        <v>6467</v>
      </c>
      <c r="E100" s="2092" t="str">
        <f>LookupTables!AF8</f>
        <v>None</v>
      </c>
      <c r="F100" s="2079"/>
      <c r="G100" s="9"/>
      <c r="H100" s="1201"/>
      <c r="I100" s="1200"/>
      <c r="J100" s="633"/>
      <c r="K100" s="633"/>
      <c r="L100" s="633"/>
      <c r="M100" s="633"/>
      <c r="N100" s="633"/>
      <c r="O100" s="633"/>
      <c r="P100" s="633"/>
      <c r="Q100" s="633"/>
      <c r="R100" s="1221"/>
      <c r="S100" s="43"/>
      <c r="T100" s="43"/>
    </row>
    <row r="101" spans="1:31" ht="24.75" customHeight="1">
      <c r="B101" s="1308" t="s">
        <v>6510</v>
      </c>
      <c r="C101" s="1848" t="s">
        <v>6124</v>
      </c>
      <c r="D101" s="1852" t="s">
        <v>6467</v>
      </c>
      <c r="E101" s="2092" t="str">
        <f>LookupTables!AF9</f>
        <v>R-8</v>
      </c>
      <c r="F101" s="2079"/>
      <c r="G101" s="9"/>
      <c r="H101" s="1201"/>
      <c r="I101" s="1200"/>
      <c r="J101" s="633"/>
      <c r="K101" s="633"/>
      <c r="L101" s="633"/>
      <c r="M101" s="633"/>
      <c r="N101" s="633"/>
      <c r="O101" s="633"/>
      <c r="P101" s="633"/>
      <c r="Q101" s="633"/>
      <c r="R101" s="633"/>
    </row>
    <row r="102" spans="1:31">
      <c r="B102" s="1308" t="s">
        <v>6510</v>
      </c>
      <c r="C102" s="1853" t="s">
        <v>6157</v>
      </c>
      <c r="D102" s="1854" t="s">
        <v>6467</v>
      </c>
      <c r="E102" s="2093" t="str">
        <f>LookupTables!AF10</f>
        <v>R-6</v>
      </c>
      <c r="F102" s="2080"/>
      <c r="G102" s="9"/>
      <c r="H102" s="1201"/>
      <c r="I102" s="1200"/>
      <c r="J102" s="633"/>
      <c r="K102" s="633"/>
      <c r="L102" s="633"/>
      <c r="M102" s="633"/>
      <c r="N102" s="633"/>
      <c r="O102" s="633"/>
      <c r="P102" s="633"/>
      <c r="Q102" s="633"/>
      <c r="R102" s="633"/>
    </row>
    <row r="103" spans="1:31" ht="12.75" customHeight="1">
      <c r="B103" s="1308" t="s">
        <v>6510</v>
      </c>
      <c r="C103" s="2133" t="s">
        <v>6129</v>
      </c>
      <c r="D103" s="2134"/>
      <c r="E103" s="2081" t="str">
        <f>LookupTables!AF12</f>
        <v>Sheet metal</v>
      </c>
      <c r="F103" s="2082"/>
      <c r="G103" s="9"/>
      <c r="H103" s="1201"/>
      <c r="I103" s="1200"/>
      <c r="J103" s="633"/>
      <c r="K103" s="633"/>
      <c r="L103" s="633"/>
      <c r="M103" s="633"/>
      <c r="N103" s="633"/>
      <c r="O103" s="633"/>
      <c r="P103" s="633"/>
      <c r="Q103" s="633"/>
      <c r="R103" s="633"/>
    </row>
    <row r="104" spans="1:31" ht="22.5">
      <c r="B104" s="1308" t="s">
        <v>6510</v>
      </c>
      <c r="C104" s="1848" t="s">
        <v>6131</v>
      </c>
      <c r="D104" s="1852"/>
      <c r="E104" s="2067" t="str">
        <f>LookupTables!AF13</f>
        <v>10% of air handler flow (9% supply, 1% return)</v>
      </c>
      <c r="F104" s="2083"/>
      <c r="G104" s="9"/>
      <c r="H104" s="1201"/>
      <c r="I104" s="1200"/>
      <c r="J104" s="633"/>
      <c r="K104" s="633"/>
      <c r="L104" s="633"/>
      <c r="M104" s="633"/>
      <c r="N104" s="633"/>
      <c r="O104" s="633"/>
      <c r="P104" s="633"/>
      <c r="Q104" s="633"/>
      <c r="R104" s="633"/>
    </row>
    <row r="105" spans="1:31" ht="22.5">
      <c r="B105" s="1308" t="s">
        <v>6510</v>
      </c>
      <c r="C105" s="1848" t="s">
        <v>6133</v>
      </c>
      <c r="D105" s="1852"/>
      <c r="E105" s="2067" t="str">
        <f>LookupTables!AF14</f>
        <v>5% of air handler flow (1% supply, 4% return)</v>
      </c>
      <c r="F105" s="2083"/>
      <c r="G105" s="9"/>
      <c r="H105" s="1201"/>
      <c r="I105" s="1200"/>
      <c r="J105" s="633"/>
      <c r="K105" s="633"/>
      <c r="L105" s="633"/>
      <c r="M105" s="633"/>
      <c r="N105" s="633"/>
      <c r="O105" s="633"/>
      <c r="P105" s="633"/>
      <c r="Q105" s="633"/>
      <c r="R105" s="633"/>
    </row>
    <row r="106" spans="1:31" ht="22.5">
      <c r="B106" s="1308" t="s">
        <v>6510</v>
      </c>
      <c r="C106" s="1848" t="s">
        <v>6135</v>
      </c>
      <c r="D106" s="1852" t="s">
        <v>877</v>
      </c>
      <c r="E106" s="2067" t="str">
        <f>LookupTables!AF15</f>
        <v>0% OA</v>
      </c>
      <c r="F106" s="2083"/>
      <c r="G106" s="9"/>
      <c r="H106" s="1201"/>
      <c r="I106" s="1200"/>
      <c r="J106" s="633"/>
      <c r="K106" s="633"/>
      <c r="L106" s="633"/>
      <c r="M106" s="633"/>
      <c r="N106" s="633"/>
      <c r="O106" s="633"/>
      <c r="P106" s="633"/>
      <c r="Q106" s="633"/>
      <c r="R106" s="633"/>
    </row>
    <row r="107" spans="1:31" ht="33.75">
      <c r="B107" s="1308" t="s">
        <v>6510</v>
      </c>
      <c r="C107" s="1848" t="s">
        <v>6139</v>
      </c>
      <c r="D107" s="1852"/>
      <c r="E107" s="2067" t="str">
        <f>LookupTables!AF18</f>
        <v>65% crawlspace, 35% above-grade conditioned space</v>
      </c>
      <c r="F107" s="2083"/>
      <c r="G107" s="9"/>
      <c r="H107" s="1201"/>
      <c r="I107" s="1200"/>
      <c r="J107" s="633"/>
      <c r="K107" s="633"/>
      <c r="L107" s="633"/>
      <c r="M107" s="633"/>
      <c r="N107" s="633"/>
      <c r="O107" s="633"/>
      <c r="P107" s="633"/>
      <c r="Q107" s="633"/>
      <c r="R107" s="633"/>
    </row>
    <row r="108" spans="1:31">
      <c r="B108" s="1308" t="s">
        <v>6510</v>
      </c>
      <c r="C108" s="1848" t="s">
        <v>6143</v>
      </c>
      <c r="D108" s="1852"/>
      <c r="E108" s="2067" t="str">
        <f>LookupTables!AF25</f>
        <v>100% crawlspace</v>
      </c>
      <c r="F108" s="2079"/>
      <c r="G108" s="9"/>
      <c r="H108" s="1201"/>
      <c r="I108" s="1200"/>
      <c r="J108" s="633"/>
      <c r="K108" s="633"/>
      <c r="L108" s="633"/>
      <c r="M108" s="633"/>
      <c r="N108" s="633"/>
      <c r="O108" s="633"/>
      <c r="P108" s="633"/>
      <c r="Q108" s="633"/>
      <c r="R108" s="633"/>
    </row>
    <row r="109" spans="1:31" ht="12.75">
      <c r="B109" s="1308"/>
      <c r="C109" s="1853"/>
      <c r="D109" s="1854"/>
      <c r="E109" s="2147" t="s">
        <v>6161</v>
      </c>
      <c r="F109" s="2148"/>
      <c r="G109" s="9"/>
      <c r="H109" s="1201"/>
      <c r="I109" s="1200"/>
      <c r="J109" s="633"/>
      <c r="K109" s="1221"/>
      <c r="L109" s="1221"/>
      <c r="M109" s="1221"/>
      <c r="N109" s="1221"/>
      <c r="O109" s="1221"/>
      <c r="P109" s="1221"/>
      <c r="Q109" s="1221"/>
      <c r="R109" s="633"/>
    </row>
    <row r="110" spans="1:31" ht="12.75">
      <c r="B110" s="1308"/>
      <c r="C110" s="2142" t="s">
        <v>6187</v>
      </c>
      <c r="D110" s="2145"/>
      <c r="E110" s="2145"/>
      <c r="F110" s="2146"/>
      <c r="G110" s="9"/>
      <c r="H110" s="1201"/>
      <c r="I110" s="1201"/>
      <c r="J110" s="633"/>
      <c r="K110" s="633"/>
      <c r="L110" s="633"/>
      <c r="M110" s="633"/>
      <c r="N110" s="633"/>
      <c r="O110" s="633"/>
      <c r="P110" s="633"/>
      <c r="Q110" s="633"/>
      <c r="R110" s="633"/>
    </row>
    <row r="111" spans="1:31">
      <c r="A111" s="1310" t="s">
        <v>464</v>
      </c>
      <c r="B111" s="1333"/>
      <c r="C111" s="1954" t="s">
        <v>530</v>
      </c>
      <c r="D111" s="1785" t="s">
        <v>950</v>
      </c>
      <c r="E111" s="1955" t="str">
        <f>IF(NewConst!F111="Gas","Gas",IF(NewConst!F111="Electric","Electric",NewConst!E87))</f>
        <v>Gas</v>
      </c>
      <c r="F111" s="1737" t="s">
        <v>464</v>
      </c>
      <c r="G111" s="13"/>
      <c r="H111" s="633"/>
      <c r="I111" s="633"/>
      <c r="J111" s="633"/>
      <c r="K111" s="633"/>
      <c r="L111" s="633"/>
      <c r="M111" s="633"/>
      <c r="N111" s="633"/>
      <c r="O111" s="633"/>
      <c r="P111" s="633"/>
      <c r="Q111" s="633"/>
      <c r="R111" s="633"/>
    </row>
    <row r="112" spans="1:31" ht="12.75">
      <c r="A112" s="1310"/>
      <c r="B112" s="1333"/>
      <c r="C112" s="1851" t="s">
        <v>102</v>
      </c>
      <c r="D112" s="1777" t="s">
        <v>454</v>
      </c>
      <c r="E112" s="2095">
        <v>130</v>
      </c>
      <c r="F112" s="2094">
        <v>130</v>
      </c>
      <c r="G112" s="13"/>
      <c r="I112" s="633"/>
      <c r="J112" s="1221"/>
      <c r="K112" s="633"/>
      <c r="L112" s="633"/>
      <c r="M112" s="633"/>
      <c r="N112" s="633"/>
      <c r="O112" s="633"/>
      <c r="P112" s="633"/>
      <c r="Q112" s="633"/>
      <c r="R112" s="633"/>
    </row>
    <row r="113" spans="1:25">
      <c r="A113" s="1308">
        <v>40</v>
      </c>
      <c r="B113" s="1308"/>
      <c r="C113" s="1848" t="s">
        <v>6392</v>
      </c>
      <c r="D113" s="1849" t="s">
        <v>453</v>
      </c>
      <c r="E113" s="1748">
        <f>HLOOKUP(Nbath,LookupTables!$AJ$12:$AV$14,2)</f>
        <v>30</v>
      </c>
      <c r="F113" s="1738">
        <v>40</v>
      </c>
      <c r="G113" s="9"/>
      <c r="H113" s="1201"/>
      <c r="I113" s="1200"/>
      <c r="J113" s="633"/>
      <c r="K113" s="633"/>
      <c r="L113" s="633"/>
      <c r="M113" s="633"/>
      <c r="N113" s="633"/>
      <c r="O113" s="633"/>
      <c r="P113" s="633"/>
      <c r="Q113" s="633"/>
      <c r="R113" s="633"/>
    </row>
    <row r="114" spans="1:25">
      <c r="A114" s="1308">
        <v>45</v>
      </c>
      <c r="B114" s="1308"/>
      <c r="C114" s="1855" t="s">
        <v>6431</v>
      </c>
      <c r="D114" s="1852" t="s">
        <v>210</v>
      </c>
      <c r="E114" s="1651"/>
      <c r="F114" s="1738">
        <v>45</v>
      </c>
      <c r="G114" s="9"/>
      <c r="H114" s="1201"/>
      <c r="I114" s="1200"/>
      <c r="J114" s="633"/>
      <c r="K114" s="633"/>
      <c r="L114" s="633"/>
      <c r="M114" s="633"/>
      <c r="N114" s="633"/>
      <c r="O114" s="633"/>
      <c r="P114" s="633"/>
      <c r="Q114" s="633"/>
      <c r="R114" s="633"/>
    </row>
    <row r="115" spans="1:25">
      <c r="A115" s="1308">
        <v>0.54</v>
      </c>
      <c r="B115" s="1308"/>
      <c r="C115" s="1848" t="s">
        <v>245</v>
      </c>
      <c r="D115" s="1849"/>
      <c r="E115" s="1748">
        <f>IF(E111="Gas",0.67-(0.0019*V),IF(E111="Electric",0.97-(0.00132*V),"Fuel Type Not Defined"))</f>
        <v>0.61299999999999999</v>
      </c>
      <c r="F115" s="1738">
        <v>0.54</v>
      </c>
      <c r="G115" s="9"/>
      <c r="H115" s="1201"/>
      <c r="I115" s="1200"/>
      <c r="J115" s="633"/>
      <c r="K115" s="633"/>
      <c r="L115" s="633"/>
      <c r="M115" s="633"/>
      <c r="N115" s="633"/>
      <c r="O115" s="633"/>
      <c r="P115" s="633"/>
      <c r="Q115" s="633"/>
      <c r="R115" s="633"/>
    </row>
    <row r="116" spans="1:25">
      <c r="A116" s="1308">
        <v>0.76</v>
      </c>
      <c r="B116" s="1308"/>
      <c r="C116" s="1848" t="s">
        <v>246</v>
      </c>
      <c r="D116" s="1849"/>
      <c r="E116" s="1748">
        <f>IF(E111="Gas",0.78,IF(E111="Electric",1,"Fuel Type Not Defined"))</f>
        <v>0.78</v>
      </c>
      <c r="F116" s="1738">
        <v>0.76</v>
      </c>
      <c r="G116" s="9"/>
      <c r="H116" s="1201"/>
      <c r="I116" s="1200"/>
      <c r="J116" s="633"/>
      <c r="K116" s="633"/>
      <c r="L116" s="633"/>
      <c r="M116" s="633"/>
      <c r="N116" s="633"/>
      <c r="O116" s="633"/>
      <c r="P116" s="633"/>
      <c r="Q116" s="633"/>
      <c r="R116" s="633"/>
    </row>
    <row r="117" spans="1:25">
      <c r="A117" s="1308">
        <v>36</v>
      </c>
      <c r="B117" s="1308"/>
      <c r="C117" s="1848" t="s">
        <v>6378</v>
      </c>
      <c r="D117" s="1849" t="str">
        <f>LookupTables!AK14</f>
        <v>kBtu/h</v>
      </c>
      <c r="E117" s="1748">
        <f>HLOOKUP(Nbath,LookupTables!$AJ$12:$AV$14,3)</f>
        <v>36</v>
      </c>
      <c r="F117" s="1738">
        <v>36</v>
      </c>
      <c r="G117" s="9"/>
      <c r="H117" s="1201"/>
      <c r="I117" s="1200"/>
      <c r="J117" s="633"/>
      <c r="K117" s="633"/>
      <c r="L117" s="633"/>
      <c r="M117" s="633"/>
      <c r="N117" s="633"/>
      <c r="O117" s="633"/>
      <c r="P117" s="633"/>
      <c r="Q117" s="633"/>
      <c r="R117" s="633"/>
    </row>
    <row r="118" spans="1:25">
      <c r="B118" s="1308"/>
      <c r="C118" s="1853" t="s">
        <v>857</v>
      </c>
      <c r="D118" s="1856" t="s">
        <v>991</v>
      </c>
      <c r="E118" s="1666">
        <f>IF(E111="Gas",DHW!$K$50,IF(E111="Electric",DHW!$J$50,"Fuel Type Not Defined"))</f>
        <v>11.030961713529027</v>
      </c>
      <c r="F118" s="1294">
        <f>DHW!N50</f>
        <v>11.326496604965174</v>
      </c>
      <c r="G118" s="9"/>
      <c r="H118" s="1201"/>
      <c r="I118" s="1200"/>
      <c r="J118" s="633"/>
      <c r="K118" s="633"/>
      <c r="L118" s="633"/>
      <c r="M118" s="633"/>
      <c r="N118" s="633"/>
      <c r="O118" s="633"/>
      <c r="P118" s="633"/>
      <c r="Q118" s="633"/>
      <c r="R118" s="633"/>
    </row>
    <row r="119" spans="1:25">
      <c r="B119" s="1308"/>
      <c r="C119" s="1857" t="s">
        <v>6379</v>
      </c>
      <c r="D119" s="1858"/>
      <c r="E119" s="1652"/>
      <c r="F119" s="1749"/>
      <c r="G119" s="9"/>
      <c r="H119" s="1201"/>
      <c r="I119" s="1200"/>
      <c r="J119" s="633"/>
      <c r="K119" s="633"/>
      <c r="L119" s="633"/>
      <c r="M119" s="633"/>
      <c r="N119" s="633"/>
      <c r="O119" s="633"/>
      <c r="P119" s="633"/>
      <c r="Q119" s="633"/>
      <c r="R119" s="633"/>
    </row>
    <row r="120" spans="1:25" ht="11.25" customHeight="1">
      <c r="B120" s="1308"/>
      <c r="C120" s="1859" t="s">
        <v>177</v>
      </c>
      <c r="D120" s="1852" t="s">
        <v>178</v>
      </c>
      <c r="E120" s="1653"/>
      <c r="F120" s="1750">
        <f>F114*2.54/100</f>
        <v>1.143</v>
      </c>
      <c r="G120" s="13"/>
      <c r="H120" s="13"/>
      <c r="I120" s="13"/>
      <c r="K120" s="633"/>
      <c r="L120" s="633"/>
      <c r="M120" s="633"/>
      <c r="N120" s="633"/>
      <c r="O120" s="633"/>
      <c r="P120" s="633"/>
      <c r="Q120" s="633"/>
      <c r="R120" s="633"/>
    </row>
    <row r="121" spans="1:25" ht="11.25" customHeight="1">
      <c r="B121" s="1308"/>
      <c r="C121" s="1859" t="s">
        <v>179</v>
      </c>
      <c r="D121" s="1852" t="s">
        <v>164</v>
      </c>
      <c r="E121" s="1653"/>
      <c r="F121" s="1750">
        <f>IF(F111="Electric",0.9*(F113/264.172),0.95*(F113/264.172))</f>
        <v>0.14384567630180334</v>
      </c>
      <c r="G121" s="13"/>
      <c r="H121" s="13"/>
      <c r="I121" s="13"/>
      <c r="K121" s="633"/>
      <c r="L121" s="633"/>
      <c r="M121" s="633"/>
      <c r="N121" s="633"/>
      <c r="O121" s="633"/>
      <c r="P121" s="633"/>
      <c r="Q121" s="633"/>
      <c r="R121" s="633"/>
    </row>
    <row r="122" spans="1:25">
      <c r="B122" s="1308"/>
      <c r="C122" s="1859" t="s">
        <v>14</v>
      </c>
      <c r="D122" s="1852" t="s">
        <v>6484</v>
      </c>
      <c r="E122" s="1653"/>
      <c r="F122" s="1810">
        <f>DHW!N47*5.678*3.6</f>
        <v>12.73307259334336</v>
      </c>
      <c r="G122" s="13"/>
      <c r="H122" s="13"/>
      <c r="I122" s="13"/>
      <c r="K122" s="633"/>
      <c r="L122" s="633"/>
      <c r="M122" s="633"/>
      <c r="N122" s="633"/>
      <c r="O122" s="633"/>
      <c r="P122" s="633"/>
      <c r="Q122" s="633"/>
      <c r="R122" s="633"/>
    </row>
    <row r="123" spans="1:25" ht="12.75">
      <c r="B123" s="1308"/>
      <c r="C123" s="1860" t="s">
        <v>180</v>
      </c>
      <c r="D123" s="1854" t="s">
        <v>524</v>
      </c>
      <c r="E123" s="1654"/>
      <c r="F123" s="1751">
        <f>IF(F111="Electric",F117*3600,F117*1055)</f>
        <v>37980</v>
      </c>
      <c r="G123" s="13"/>
      <c r="H123" s="13"/>
      <c r="I123" s="13"/>
      <c r="K123" s="1221"/>
      <c r="L123" s="1221"/>
      <c r="M123" s="1221"/>
      <c r="N123" s="1221"/>
      <c r="O123" s="1221"/>
      <c r="P123" s="1221"/>
      <c r="Q123" s="1221"/>
      <c r="R123" s="633"/>
    </row>
    <row r="124" spans="1:25" ht="11.25" customHeight="1">
      <c r="A124" s="1311" t="s">
        <v>6108</v>
      </c>
      <c r="B124" s="1333"/>
      <c r="C124" s="1959" t="s">
        <v>6454</v>
      </c>
      <c r="D124" s="1850"/>
      <c r="E124" s="1960"/>
      <c r="F124" s="1958"/>
      <c r="G124" s="2154" t="str">
        <f>IF(F124="No cooling system",IF(NewConst!F123="YES","If cooling load is non-zero, model the NCTH with a 13 SEER split system","If cooling load is non-zero, model the NCTH with a 9 EER room A/C"),"")</f>
        <v/>
      </c>
      <c r="H124" s="2155"/>
      <c r="I124" s="2155"/>
      <c r="J124" s="1221"/>
      <c r="K124" s="633"/>
      <c r="L124" s="633"/>
      <c r="M124" s="633"/>
      <c r="N124" s="633"/>
      <c r="O124" s="633"/>
      <c r="P124" s="633"/>
      <c r="Q124" s="633"/>
      <c r="R124" s="633"/>
      <c r="Y124" s="1"/>
    </row>
    <row r="125" spans="1:25" ht="11.25" customHeight="1">
      <c r="A125" s="1311" t="s">
        <v>671</v>
      </c>
      <c r="B125" s="1333"/>
      <c r="C125" s="1961" t="s">
        <v>6455</v>
      </c>
      <c r="D125" s="1777"/>
      <c r="E125" s="1962" t="s">
        <v>671</v>
      </c>
      <c r="F125" s="1728" t="s">
        <v>671</v>
      </c>
      <c r="G125" s="1722"/>
      <c r="H125" s="1722"/>
      <c r="I125" s="1722"/>
      <c r="J125" s="1221"/>
      <c r="K125" s="633"/>
      <c r="L125" s="633"/>
      <c r="M125" s="633"/>
      <c r="N125" s="633"/>
      <c r="O125" s="633"/>
      <c r="P125" s="633"/>
      <c r="Q125" s="633"/>
      <c r="R125" s="633"/>
      <c r="Y125" s="1"/>
    </row>
    <row r="126" spans="1:25" ht="11.25" hidden="1" customHeight="1">
      <c r="A126" s="1311" t="s">
        <v>671</v>
      </c>
      <c r="B126" s="1333" t="s">
        <v>6393</v>
      </c>
      <c r="C126" s="2001" t="s">
        <v>6496</v>
      </c>
      <c r="D126" s="2002"/>
      <c r="E126" s="2004" t="s">
        <v>671</v>
      </c>
      <c r="F126" s="2003" t="s">
        <v>671</v>
      </c>
      <c r="G126" s="1969"/>
      <c r="H126" s="1184"/>
      <c r="I126" s="633"/>
      <c r="J126" s="633"/>
      <c r="K126" s="633"/>
      <c r="L126" s="633"/>
      <c r="M126" s="633"/>
      <c r="N126" s="633"/>
      <c r="O126" s="633"/>
      <c r="P126" s="633"/>
      <c r="W126" s="1"/>
    </row>
    <row r="127" spans="1:25" ht="11.25" customHeight="1">
      <c r="A127" s="1311" t="s">
        <v>671</v>
      </c>
      <c r="B127" s="1333"/>
      <c r="C127" s="1963" t="s">
        <v>6456</v>
      </c>
      <c r="D127" s="1964"/>
      <c r="E127" s="1965" t="s">
        <v>671</v>
      </c>
      <c r="F127" s="1752" t="s">
        <v>671</v>
      </c>
      <c r="G127" s="1722"/>
      <c r="H127" s="1722"/>
      <c r="I127" s="1722"/>
      <c r="J127" s="1221"/>
      <c r="K127" s="633"/>
      <c r="L127" s="633"/>
      <c r="M127" s="633"/>
      <c r="N127" s="633"/>
      <c r="O127" s="633"/>
      <c r="P127" s="633"/>
      <c r="Q127" s="633"/>
      <c r="R127" s="633"/>
      <c r="Y127" s="1"/>
    </row>
    <row r="128" spans="1:25" ht="11.25" customHeight="1">
      <c r="A128" s="1311" t="s">
        <v>6108</v>
      </c>
      <c r="B128" s="1333"/>
      <c r="C128" s="1959" t="s">
        <v>6453</v>
      </c>
      <c r="D128" s="1850"/>
      <c r="E128" s="1960"/>
      <c r="F128" s="1966"/>
      <c r="G128" s="2154"/>
      <c r="H128" s="2155"/>
      <c r="I128" s="2155"/>
      <c r="J128" s="1221"/>
      <c r="K128" s="633"/>
      <c r="L128" s="633"/>
      <c r="M128" s="633"/>
      <c r="N128" s="633"/>
      <c r="O128" s="633"/>
      <c r="P128" s="633"/>
      <c r="Q128" s="633"/>
      <c r="R128" s="633"/>
      <c r="Y128" s="1"/>
    </row>
    <row r="129" spans="1:20" ht="12" customHeight="1">
      <c r="B129" s="1308"/>
      <c r="C129" s="1863" t="s">
        <v>6179</v>
      </c>
      <c r="D129" s="1776" t="s">
        <v>6184</v>
      </c>
      <c r="E129" s="1650">
        <f>2.35+0.78*N_br</f>
        <v>4.6899999999999995</v>
      </c>
      <c r="F129" s="1753">
        <f>E129</f>
        <v>4.6899999999999995</v>
      </c>
      <c r="G129" s="9"/>
      <c r="H129" s="1199"/>
      <c r="I129" s="1200"/>
      <c r="J129" s="633"/>
      <c r="K129" s="1221"/>
      <c r="L129" s="1221"/>
      <c r="M129" s="1221"/>
      <c r="N129" s="1221"/>
      <c r="O129" s="1221"/>
      <c r="P129" s="1221"/>
      <c r="Q129" s="1221"/>
      <c r="R129" s="1221"/>
      <c r="S129" s="43"/>
      <c r="T129" s="43"/>
    </row>
    <row r="130" spans="1:20" hidden="1">
      <c r="B130" s="1333" t="s">
        <v>6393</v>
      </c>
      <c r="C130" s="1863" t="s">
        <v>6173</v>
      </c>
      <c r="D130" s="1776" t="s">
        <v>6174</v>
      </c>
      <c r="E130" s="1650">
        <f>2.47*Nunits</f>
        <v>494.00000000000006</v>
      </c>
      <c r="F130" s="1753">
        <f t="shared" ref="F130:F144" si="3">E130</f>
        <v>494.00000000000006</v>
      </c>
      <c r="G130" s="9"/>
      <c r="H130" s="1084"/>
      <c r="I130" s="1200"/>
      <c r="J130" s="633"/>
      <c r="K130" s="633"/>
      <c r="L130" s="633"/>
      <c r="M130" s="633"/>
      <c r="N130" s="633"/>
      <c r="O130" s="633"/>
      <c r="P130" s="633"/>
      <c r="Q130" s="633"/>
      <c r="R130" s="633"/>
    </row>
    <row r="131" spans="1:20">
      <c r="B131" s="1308"/>
      <c r="C131" s="1863" t="s">
        <v>6178</v>
      </c>
      <c r="D131" s="1776" t="s">
        <v>6184</v>
      </c>
      <c r="E131" s="1650">
        <f>2.26+0.75*N_br</f>
        <v>4.51</v>
      </c>
      <c r="F131" s="1753">
        <f t="shared" si="3"/>
        <v>4.51</v>
      </c>
      <c r="G131" s="9"/>
      <c r="H131" s="1199"/>
      <c r="I131" s="1200"/>
      <c r="J131" s="633"/>
      <c r="K131" s="633"/>
      <c r="L131" s="633"/>
      <c r="M131" s="633"/>
      <c r="N131" s="633"/>
      <c r="O131" s="633"/>
      <c r="P131" s="633"/>
      <c r="Q131" s="633"/>
      <c r="R131" s="633"/>
    </row>
    <row r="132" spans="1:20" s="1446" customFormat="1" ht="12.75" customHeight="1">
      <c r="A132" s="1723"/>
      <c r="B132" s="1723"/>
      <c r="C132" s="1864" t="s">
        <v>6183</v>
      </c>
      <c r="D132" s="1849" t="s">
        <v>6177</v>
      </c>
      <c r="E132" s="1651">
        <f>14+4.67*N_br</f>
        <v>28.009999999999998</v>
      </c>
      <c r="F132" s="1753">
        <f>E132*IF($F$127="YES",0.66,1)</f>
        <v>28.009999999999998</v>
      </c>
      <c r="G132" s="1724"/>
      <c r="H132" s="1725"/>
      <c r="I132" s="1726"/>
      <c r="J132" s="1727"/>
      <c r="K132" s="1727"/>
      <c r="L132" s="1727"/>
      <c r="M132" s="1727"/>
      <c r="N132" s="1727"/>
      <c r="O132" s="1727"/>
      <c r="P132" s="1727"/>
      <c r="Q132" s="1727"/>
      <c r="R132" s="1727"/>
    </row>
    <row r="133" spans="1:20" s="1446" customFormat="1" ht="12.75" customHeight="1">
      <c r="A133" s="1723"/>
      <c r="B133" s="1723"/>
      <c r="C133" s="1864" t="s">
        <v>6182</v>
      </c>
      <c r="D133" s="1849" t="s">
        <v>6177</v>
      </c>
      <c r="E133" s="1651">
        <f>3.5+1.17*N_br</f>
        <v>7.01</v>
      </c>
      <c r="F133" s="1753">
        <f t="shared" si="3"/>
        <v>7.01</v>
      </c>
      <c r="G133" s="1724"/>
      <c r="H133" s="1725"/>
      <c r="I133" s="1726"/>
      <c r="J133" s="1727"/>
      <c r="K133" s="1727"/>
      <c r="L133" s="1727"/>
      <c r="M133" s="1727"/>
      <c r="N133" s="1727"/>
      <c r="O133" s="1727"/>
      <c r="P133" s="1727"/>
      <c r="Q133" s="1727"/>
      <c r="R133" s="1727"/>
    </row>
    <row r="134" spans="1:20" s="1446" customFormat="1" ht="12.75" customHeight="1">
      <c r="A134" s="1723"/>
      <c r="B134" s="1723"/>
      <c r="C134" s="1865" t="s">
        <v>6181</v>
      </c>
      <c r="D134" s="1856" t="s">
        <v>6177</v>
      </c>
      <c r="E134" s="1651">
        <f>12.5+4.16*N_br</f>
        <v>24.98</v>
      </c>
      <c r="F134" s="1753">
        <f>E134*IF($F$125="YES",0.44,1)</f>
        <v>24.98</v>
      </c>
      <c r="G134" s="1724"/>
      <c r="H134" s="1725"/>
      <c r="I134" s="1726"/>
      <c r="J134" s="1727"/>
      <c r="K134" s="1727"/>
      <c r="L134" s="1727"/>
      <c r="M134" s="1727"/>
      <c r="N134" s="1727"/>
      <c r="O134" s="1727"/>
      <c r="P134" s="1727"/>
      <c r="Q134" s="1727"/>
      <c r="R134" s="1727"/>
    </row>
    <row r="135" spans="1:20" ht="11.25" hidden="1" customHeight="1">
      <c r="A135" s="1310">
        <v>2</v>
      </c>
      <c r="B135" s="1333" t="s">
        <v>6393</v>
      </c>
      <c r="C135" s="1866" t="s">
        <v>1355</v>
      </c>
      <c r="D135" s="1867" t="s">
        <v>569</v>
      </c>
      <c r="E135" s="1754">
        <v>2</v>
      </c>
      <c r="F135" s="1754">
        <f t="shared" si="3"/>
        <v>2</v>
      </c>
      <c r="G135" s="43"/>
      <c r="I135" s="633"/>
      <c r="J135" s="633"/>
      <c r="K135" s="633"/>
      <c r="L135" s="633"/>
      <c r="M135" s="633"/>
      <c r="N135" s="633"/>
      <c r="O135" s="633"/>
      <c r="P135" s="633"/>
      <c r="Q135" s="633"/>
      <c r="R135" s="633"/>
    </row>
    <row r="136" spans="1:20" ht="11.25" hidden="1" customHeight="1">
      <c r="B136" s="1333" t="s">
        <v>6393</v>
      </c>
      <c r="C136" s="1868" t="s">
        <v>6180</v>
      </c>
      <c r="D136" s="1869" t="s">
        <v>6177</v>
      </c>
      <c r="E136" s="1810">
        <f>0.028*Nunits</f>
        <v>5.6000000000000005</v>
      </c>
      <c r="F136" s="1755">
        <f>E136*IF($F$126="YES",0.44,1)</f>
        <v>5.6000000000000005</v>
      </c>
      <c r="G136" s="9"/>
      <c r="H136" s="1084"/>
      <c r="I136" s="1200"/>
      <c r="J136" s="633"/>
      <c r="K136" s="633"/>
      <c r="L136" s="633"/>
      <c r="M136" s="633"/>
      <c r="N136" s="633"/>
      <c r="O136" s="633"/>
      <c r="P136" s="633"/>
      <c r="Q136" s="633"/>
      <c r="R136" s="633"/>
    </row>
    <row r="137" spans="1:20">
      <c r="B137" s="1308"/>
      <c r="C137" s="1862" t="s">
        <v>181</v>
      </c>
      <c r="D137" s="1770" t="s">
        <v>854</v>
      </c>
      <c r="E137" s="1655">
        <f>741+247*N_br</f>
        <v>1482</v>
      </c>
      <c r="F137" s="1987">
        <f>E137*IF($F$127="YES",0.66,1)</f>
        <v>1482</v>
      </c>
      <c r="G137" s="9"/>
      <c r="H137" s="1201"/>
      <c r="I137" s="1199"/>
      <c r="J137" s="1199"/>
    </row>
    <row r="138" spans="1:20">
      <c r="B138" s="1308"/>
      <c r="C138" s="1863" t="s">
        <v>182</v>
      </c>
      <c r="D138" s="1776" t="s">
        <v>854</v>
      </c>
      <c r="E138" s="1655">
        <f>185+62*N_br</f>
        <v>371</v>
      </c>
      <c r="F138" s="1987">
        <f t="shared" si="3"/>
        <v>371</v>
      </c>
      <c r="G138" s="9"/>
      <c r="H138" s="1201"/>
      <c r="I138" s="1200"/>
      <c r="J138" s="633"/>
    </row>
    <row r="139" spans="1:20">
      <c r="B139" s="1308"/>
      <c r="C139" s="1863" t="s">
        <v>183</v>
      </c>
      <c r="D139" s="1776" t="s">
        <v>854</v>
      </c>
      <c r="E139" s="1655">
        <f>310+103*N_br</f>
        <v>619</v>
      </c>
      <c r="F139" s="1987">
        <f>E139*IF($F$125="YES",0.44,1)</f>
        <v>619</v>
      </c>
      <c r="G139" s="9"/>
      <c r="H139" s="1201"/>
      <c r="I139" s="1200"/>
      <c r="J139" s="633"/>
    </row>
    <row r="140" spans="1:20" hidden="1">
      <c r="B140" s="1333" t="s">
        <v>6393</v>
      </c>
      <c r="C140" s="1863" t="s">
        <v>6175</v>
      </c>
      <c r="D140" s="1776" t="s">
        <v>854</v>
      </c>
      <c r="E140" s="1655" t="str">
        <f>IF(HomeType=2, (0.69*Nunits), "N/A")</f>
        <v>N/A</v>
      </c>
      <c r="F140" s="1987" t="e">
        <f>E140*IF($F$126="YES",0.44,1)</f>
        <v>#VALUE!</v>
      </c>
      <c r="G140" s="9"/>
      <c r="H140" s="1201"/>
      <c r="I140" s="1200"/>
      <c r="J140" s="633"/>
    </row>
    <row r="141" spans="1:20">
      <c r="B141" s="1308"/>
      <c r="C141" s="1788" t="s">
        <v>288</v>
      </c>
      <c r="D141" s="1789" t="s">
        <v>854</v>
      </c>
      <c r="E141" s="1657">
        <f>703+235*N_br</f>
        <v>1408</v>
      </c>
      <c r="F141" s="1988">
        <f>E141*IF($F$127="YES",0.66,1)</f>
        <v>1408</v>
      </c>
      <c r="G141" s="9"/>
      <c r="H141" s="1201"/>
      <c r="I141" s="1084"/>
      <c r="J141" s="633"/>
      <c r="K141" s="633"/>
      <c r="L141" s="633"/>
      <c r="M141" s="633"/>
      <c r="N141" s="633"/>
      <c r="O141" s="633"/>
      <c r="P141" s="633"/>
      <c r="Q141" s="633"/>
      <c r="R141" s="633"/>
    </row>
    <row r="142" spans="1:20">
      <c r="B142" s="1308"/>
      <c r="C142" s="1862"/>
      <c r="D142" s="1770" t="s">
        <v>6185</v>
      </c>
      <c r="E142" s="1656">
        <f>0.7+0.23*N_br</f>
        <v>1.3900000000000001</v>
      </c>
      <c r="F142" s="1989">
        <f>E142*IF($F$127="YES",0.66,1)</f>
        <v>1.3900000000000001</v>
      </c>
      <c r="G142" s="9"/>
      <c r="H142" s="1201"/>
      <c r="I142" s="1084"/>
      <c r="K142" s="633"/>
      <c r="L142" s="633"/>
      <c r="M142" s="633"/>
      <c r="N142" s="633"/>
      <c r="O142" s="633"/>
      <c r="P142" s="633"/>
      <c r="Q142" s="633"/>
      <c r="R142" s="633"/>
    </row>
    <row r="143" spans="1:20">
      <c r="B143" s="1308"/>
      <c r="C143" s="1788" t="s">
        <v>657</v>
      </c>
      <c r="D143" s="1789" t="s">
        <v>854</v>
      </c>
      <c r="E143" s="1657" t="s">
        <v>6186</v>
      </c>
      <c r="F143" s="1990" t="str">
        <f t="shared" si="3"/>
        <v>negligible</v>
      </c>
      <c r="G143" s="9"/>
      <c r="H143" s="1201"/>
      <c r="K143" s="633"/>
      <c r="L143" s="633"/>
      <c r="M143" s="633"/>
      <c r="N143" s="633"/>
      <c r="O143" s="633"/>
      <c r="P143" s="633"/>
      <c r="Q143" s="633"/>
      <c r="R143" s="633"/>
    </row>
    <row r="144" spans="1:20">
      <c r="B144" s="1308"/>
      <c r="C144" s="1862"/>
      <c r="D144" s="1770" t="s">
        <v>6185</v>
      </c>
      <c r="E144" s="1658" t="s">
        <v>6186</v>
      </c>
      <c r="F144" s="1989" t="str">
        <f t="shared" si="3"/>
        <v>negligible</v>
      </c>
      <c r="G144" s="9"/>
      <c r="H144" s="1201"/>
      <c r="K144" s="633"/>
      <c r="L144" s="633"/>
      <c r="M144" s="633"/>
      <c r="N144" s="633"/>
      <c r="O144" s="633"/>
      <c r="P144" s="633"/>
      <c r="Q144" s="633"/>
      <c r="R144" s="633"/>
    </row>
    <row r="145" spans="1:18">
      <c r="B145" s="1308"/>
      <c r="C145" s="1788" t="s">
        <v>184</v>
      </c>
      <c r="D145" s="1789" t="s">
        <v>854</v>
      </c>
      <c r="E145" s="1657">
        <f>140+47*N_br</f>
        <v>281</v>
      </c>
      <c r="F145" s="1988">
        <f>E145*IF($F$125="YES",0.44,1)</f>
        <v>281</v>
      </c>
      <c r="G145" s="9"/>
      <c r="H145" s="1201"/>
      <c r="K145" s="633"/>
      <c r="L145" s="633"/>
      <c r="M145" s="633"/>
      <c r="N145" s="633"/>
      <c r="O145" s="633"/>
      <c r="P145" s="633"/>
      <c r="Q145" s="633"/>
      <c r="R145" s="633"/>
    </row>
    <row r="146" spans="1:18">
      <c r="B146" s="1308"/>
      <c r="C146" s="1870"/>
      <c r="D146" s="1871" t="s">
        <v>6185</v>
      </c>
      <c r="E146" s="1656">
        <f>0.14+0.05*N_br</f>
        <v>0.29000000000000004</v>
      </c>
      <c r="F146" s="1989">
        <f>E146*IF($F$125="YES",0.44,1)</f>
        <v>0.29000000000000004</v>
      </c>
      <c r="G146" s="9"/>
      <c r="H146" s="1201"/>
      <c r="K146" s="633"/>
      <c r="L146" s="633"/>
      <c r="M146" s="633"/>
      <c r="N146" s="633"/>
      <c r="O146" s="633"/>
      <c r="P146" s="633"/>
      <c r="Q146" s="633"/>
      <c r="R146" s="633"/>
    </row>
    <row r="147" spans="1:18" ht="12" hidden="1" customHeight="1">
      <c r="B147" s="1333" t="s">
        <v>6393</v>
      </c>
      <c r="C147" s="1872" t="s">
        <v>6176</v>
      </c>
      <c r="D147" s="1867" t="s">
        <v>854</v>
      </c>
      <c r="E147" s="1671" t="str">
        <f>IF(HomeType=2, (0.314*Nunits), "N/A")</f>
        <v>N/A</v>
      </c>
      <c r="F147" s="1987" t="e">
        <f>E147*IF($F$126="YES",0.44,1)</f>
        <v>#VALUE!</v>
      </c>
      <c r="G147" s="9"/>
      <c r="H147" s="1320"/>
      <c r="K147" s="633"/>
      <c r="L147" s="633"/>
      <c r="M147" s="633"/>
      <c r="N147" s="633"/>
      <c r="O147" s="633"/>
      <c r="P147" s="633"/>
      <c r="Q147" s="633"/>
      <c r="R147" s="633"/>
    </row>
    <row r="148" spans="1:18" hidden="1">
      <c r="B148" s="1333" t="s">
        <v>6393</v>
      </c>
      <c r="C148" s="1868"/>
      <c r="D148" s="1869" t="s">
        <v>6185</v>
      </c>
      <c r="E148" s="1671" t="str">
        <f>IF(HomeType=2, (0.000314*Nunits), "N/A")</f>
        <v>N/A</v>
      </c>
      <c r="F148" s="1987" t="e">
        <f>E148*IF($F$126="YES",0.44,1)</f>
        <v>#VALUE!</v>
      </c>
      <c r="G148" s="9"/>
      <c r="H148" s="1320"/>
      <c r="K148" s="633"/>
      <c r="L148" s="633"/>
      <c r="M148" s="633"/>
      <c r="N148" s="633"/>
      <c r="O148" s="633"/>
      <c r="P148" s="633"/>
      <c r="Q148" s="633"/>
      <c r="R148" s="633"/>
    </row>
    <row r="149" spans="1:18" ht="12.75">
      <c r="A149" s="1310"/>
      <c r="B149" s="2124"/>
      <c r="C149" s="2177" t="s">
        <v>6488</v>
      </c>
      <c r="D149" s="2178"/>
      <c r="E149" s="1938"/>
      <c r="F149" s="1938"/>
      <c r="G149" s="43"/>
      <c r="H149" s="1322"/>
      <c r="I149" s="13"/>
      <c r="K149" s="1199"/>
      <c r="L149" s="1199"/>
      <c r="M149" s="1199"/>
      <c r="N149" s="1199"/>
      <c r="O149" s="633"/>
      <c r="P149" s="633"/>
      <c r="Q149" s="633"/>
      <c r="R149" s="633"/>
    </row>
    <row r="150" spans="1:18" ht="12.75">
      <c r="B150" s="1308"/>
      <c r="C150" s="2142" t="s">
        <v>6188</v>
      </c>
      <c r="D150" s="2143"/>
      <c r="E150" s="2143"/>
      <c r="F150" s="2144"/>
      <c r="G150" s="9"/>
      <c r="H150" s="1320"/>
      <c r="I150" s="15"/>
      <c r="K150" s="633"/>
      <c r="L150" s="633"/>
      <c r="M150" s="633"/>
      <c r="N150" s="633"/>
      <c r="O150" s="633"/>
      <c r="P150" s="633"/>
      <c r="Q150" s="633"/>
      <c r="R150" s="633"/>
    </row>
    <row r="151" spans="1:18" ht="12.75">
      <c r="A151" s="1310" t="s">
        <v>946</v>
      </c>
      <c r="B151" s="1333"/>
      <c r="C151" s="1784" t="s">
        <v>945</v>
      </c>
      <c r="D151" s="1785"/>
      <c r="E151" s="2096" t="s">
        <v>946</v>
      </c>
      <c r="F151" s="1737" t="s">
        <v>946</v>
      </c>
      <c r="G151" s="13"/>
      <c r="H151" s="1321" t="s">
        <v>946</v>
      </c>
      <c r="I151" s="13"/>
      <c r="J151" s="43"/>
      <c r="K151" s="633"/>
      <c r="L151" s="633"/>
      <c r="M151" s="633"/>
      <c r="N151" s="633"/>
      <c r="O151" s="633"/>
      <c r="P151" s="633"/>
      <c r="Q151" s="633"/>
      <c r="R151" s="633"/>
    </row>
    <row r="152" spans="1:18" ht="12.75">
      <c r="A152" s="1310">
        <v>0</v>
      </c>
      <c r="B152" s="1333"/>
      <c r="C152" s="1775" t="s">
        <v>943</v>
      </c>
      <c r="D152" s="1777"/>
      <c r="E152" s="2097">
        <v>0</v>
      </c>
      <c r="F152" s="1738">
        <v>0</v>
      </c>
      <c r="G152" s="13"/>
      <c r="H152" s="1322" t="s">
        <v>1337</v>
      </c>
      <c r="I152" s="13"/>
      <c r="J152" s="43"/>
      <c r="K152" s="633"/>
      <c r="L152" s="633"/>
      <c r="M152" s="633"/>
      <c r="N152" s="633"/>
      <c r="O152" s="633"/>
      <c r="P152" s="633"/>
      <c r="Q152" s="633"/>
      <c r="R152" s="633"/>
    </row>
    <row r="153" spans="1:18" ht="12.75">
      <c r="A153" s="1310" t="s">
        <v>944</v>
      </c>
      <c r="B153" s="1333"/>
      <c r="C153" s="1775" t="s">
        <v>6195</v>
      </c>
      <c r="D153" s="1777"/>
      <c r="E153" s="2098" t="s">
        <v>6189</v>
      </c>
      <c r="F153" s="1738" t="s">
        <v>944</v>
      </c>
      <c r="G153" s="13"/>
      <c r="H153" s="1322" t="s">
        <v>944</v>
      </c>
      <c r="I153" s="1308" t="s">
        <v>6449</v>
      </c>
      <c r="J153" s="43"/>
      <c r="K153" s="633"/>
      <c r="L153" s="633"/>
      <c r="M153" s="633"/>
      <c r="N153" s="633"/>
      <c r="O153" s="633"/>
      <c r="P153" s="633"/>
      <c r="Q153" s="633"/>
      <c r="R153" s="633"/>
    </row>
    <row r="154" spans="1:18" ht="12.75">
      <c r="A154" s="1310" t="s">
        <v>562</v>
      </c>
      <c r="B154" s="1333"/>
      <c r="C154" s="1775" t="s">
        <v>1217</v>
      </c>
      <c r="D154" s="1777"/>
      <c r="E154" s="2098" t="s">
        <v>562</v>
      </c>
      <c r="F154" s="1738" t="s">
        <v>562</v>
      </c>
      <c r="G154" s="13"/>
      <c r="H154" s="1308" t="s">
        <v>1218</v>
      </c>
      <c r="I154" s="43"/>
      <c r="J154" s="43"/>
    </row>
    <row r="155" spans="1:18">
      <c r="B155" s="1308"/>
      <c r="C155" s="1778" t="s">
        <v>599</v>
      </c>
      <c r="D155" s="1745" t="s">
        <v>1222</v>
      </c>
      <c r="E155" s="2098"/>
      <c r="F155" s="743">
        <f>IF(NewConst!F154="Demand control",-0.13+0.72*N_br+(0.13-0.17*N_br)*NewConst!F152/2,IF(NewConst!F154="Timer control",193,0))</f>
        <v>0</v>
      </c>
      <c r="G155" s="13"/>
      <c r="H155" s="1308" t="s">
        <v>1219</v>
      </c>
      <c r="I155" s="13"/>
    </row>
    <row r="156" spans="1:18" ht="22.5">
      <c r="A156" s="1310" t="s">
        <v>1215</v>
      </c>
      <c r="B156" s="1333"/>
      <c r="C156" s="1851" t="s">
        <v>1214</v>
      </c>
      <c r="D156" s="1777"/>
      <c r="E156" s="2099" t="s">
        <v>6190</v>
      </c>
      <c r="F156" s="1738" t="s">
        <v>1215</v>
      </c>
      <c r="G156" s="13"/>
      <c r="H156" s="1308" t="s">
        <v>562</v>
      </c>
      <c r="I156" s="13"/>
      <c r="J156" s="43"/>
    </row>
    <row r="157" spans="1:18" ht="12.75">
      <c r="A157" s="1310"/>
      <c r="B157" s="1333"/>
      <c r="C157" s="1804" t="s">
        <v>6192</v>
      </c>
      <c r="D157" s="1805"/>
      <c r="E157" s="1938" t="s">
        <v>6191</v>
      </c>
      <c r="F157" s="1294" t="s">
        <v>6191</v>
      </c>
      <c r="G157" s="13"/>
      <c r="H157" s="1308" t="s">
        <v>1215</v>
      </c>
      <c r="I157" s="13"/>
      <c r="J157" s="43"/>
    </row>
    <row r="158" spans="1:18" ht="12.75">
      <c r="B158" s="1308"/>
      <c r="C158" s="2142" t="s">
        <v>772</v>
      </c>
      <c r="D158" s="2143"/>
      <c r="E158" s="2143"/>
      <c r="F158" s="2144"/>
      <c r="H158" s="1308" t="s">
        <v>1216</v>
      </c>
    </row>
    <row r="159" spans="1:18" ht="12.75">
      <c r="A159" s="1310"/>
      <c r="B159" s="1333"/>
      <c r="C159" s="1939" t="s">
        <v>6212</v>
      </c>
      <c r="D159" s="1912" t="s">
        <v>999</v>
      </c>
      <c r="E159" s="1656"/>
      <c r="F159" s="1756" t="s">
        <v>6213</v>
      </c>
      <c r="G159" s="43"/>
      <c r="H159" s="1309"/>
      <c r="I159" s="43"/>
      <c r="J159" s="43"/>
    </row>
    <row r="160" spans="1:18" ht="12.75">
      <c r="A160" s="1310">
        <v>100</v>
      </c>
      <c r="B160" s="2124"/>
      <c r="C160" s="1775" t="s">
        <v>6214</v>
      </c>
      <c r="D160" s="1777" t="s">
        <v>948</v>
      </c>
      <c r="E160" s="1650">
        <f>$E$163*CFA_total/CONVERT(1,"in","ft")^2</f>
        <v>119.02464000000002</v>
      </c>
      <c r="F160" s="1747">
        <v>100</v>
      </c>
      <c r="G160" s="13"/>
      <c r="H160" s="1308"/>
      <c r="I160" s="13"/>
    </row>
    <row r="161" spans="1:17" ht="12" customHeight="1">
      <c r="B161" s="1308"/>
      <c r="C161" s="1799" t="s">
        <v>1371</v>
      </c>
      <c r="D161" s="1776"/>
      <c r="E161" s="1660">
        <f>IF(HomeType=2,0.00006+0.0009*T,0.00036)</f>
        <v>3.6000000000000002E-4</v>
      </c>
      <c r="F161" s="1661"/>
      <c r="G161" s="1201"/>
      <c r="H161" s="1320"/>
    </row>
    <row r="162" spans="1:17">
      <c r="B162" s="1308"/>
      <c r="C162" s="1799" t="s">
        <v>4805</v>
      </c>
      <c r="D162" s="1776"/>
      <c r="E162" s="1660">
        <f>IF(IntCalc!E33=0,0,0.00036*(IntCalc!$E$34/IntCalc!$E$33))</f>
        <v>9.0000000000000006E-5</v>
      </c>
      <c r="F162" s="1659"/>
      <c r="G162" s="1201"/>
      <c r="H162" s="1320"/>
    </row>
    <row r="163" spans="1:17">
      <c r="B163" s="1308"/>
      <c r="C163" s="1883" t="s">
        <v>6446</v>
      </c>
      <c r="D163" s="1789"/>
      <c r="E163" s="1697">
        <f>((CFA_bsmt*SLA_bsmt)+(CFA_ag*SLA_ag))/CFA_total</f>
        <v>3.6000000000000002E-4</v>
      </c>
      <c r="F163" s="1662">
        <f>F160/CFA_total*CONVERT(1,"in","ft")^2</f>
        <v>3.0245838172667444E-4</v>
      </c>
      <c r="G163" s="1201"/>
      <c r="H163" s="1201"/>
    </row>
    <row r="164" spans="1:17" ht="12.75" hidden="1">
      <c r="A164" s="1310" t="s">
        <v>567</v>
      </c>
      <c r="B164" s="1333" t="s">
        <v>6393</v>
      </c>
      <c r="C164" s="1696" t="s">
        <v>6215</v>
      </c>
      <c r="D164" s="1802" t="s">
        <v>999</v>
      </c>
      <c r="E164" s="1811"/>
      <c r="F164" s="1737" t="s">
        <v>567</v>
      </c>
      <c r="G164" s="43"/>
      <c r="H164" s="43"/>
      <c r="I164" s="43"/>
      <c r="J164" s="43"/>
      <c r="K164" s="43"/>
      <c r="L164" s="43"/>
      <c r="M164" s="43"/>
      <c r="N164" s="43"/>
      <c r="O164" s="43"/>
      <c r="P164" s="43"/>
      <c r="Q164" s="43"/>
    </row>
    <row r="165" spans="1:17" ht="12.75" hidden="1">
      <c r="B165" s="1333" t="s">
        <v>6393</v>
      </c>
      <c r="C165" s="1807" t="s">
        <v>1373</v>
      </c>
      <c r="D165" s="1813"/>
      <c r="E165" s="1812"/>
      <c r="F165" s="1249" t="str">
        <f>IF(MultifamBlowerDoor="NO","(using Benchmark values)",IF(MultifamBlowerDoor="YES","(enter below)","Error"))</f>
        <v>(enter below)</v>
      </c>
      <c r="H165" s="1201"/>
      <c r="K165" s="43"/>
      <c r="L165" s="43"/>
      <c r="M165" s="43"/>
      <c r="N165" s="43"/>
      <c r="O165" s="43"/>
      <c r="P165" s="43"/>
      <c r="Q165" s="43"/>
    </row>
    <row r="166" spans="1:17" hidden="1">
      <c r="A166" s="1308">
        <v>50</v>
      </c>
      <c r="B166" s="1333" t="s">
        <v>6393</v>
      </c>
      <c r="C166" s="1807" t="s">
        <v>1363</v>
      </c>
      <c r="D166" s="1813" t="s">
        <v>948</v>
      </c>
      <c r="E166" s="1814">
        <f>IF(F41=0,"N/A",E173*NewConst!F41/CONVERT(1,"in","ft")^2)</f>
        <v>6.8400000000000007</v>
      </c>
      <c r="F166" s="1738">
        <v>6.8400000000000007</v>
      </c>
      <c r="G166" s="1201"/>
      <c r="H166" s="1201"/>
    </row>
    <row r="167" spans="1:17" hidden="1">
      <c r="A167" s="1308">
        <v>50</v>
      </c>
      <c r="B167" s="1333" t="s">
        <v>6393</v>
      </c>
      <c r="C167" s="1807" t="s">
        <v>1364</v>
      </c>
      <c r="D167" s="1813" t="s">
        <v>948</v>
      </c>
      <c r="E167" s="1814">
        <f>IF(F42=0,"N/A",E174*NewConst!F42/CONVERT(1,"in","ft")^2)</f>
        <v>62.208000000000013</v>
      </c>
      <c r="F167" s="1738">
        <v>62.208000000000013</v>
      </c>
      <c r="G167" s="1201"/>
      <c r="H167" s="1201"/>
      <c r="I167" s="13"/>
    </row>
    <row r="168" spans="1:17" hidden="1">
      <c r="A168" s="1308">
        <v>50</v>
      </c>
      <c r="B168" s="1333" t="s">
        <v>6393</v>
      </c>
      <c r="C168" s="1807" t="s">
        <v>1365</v>
      </c>
      <c r="D168" s="1813" t="s">
        <v>948</v>
      </c>
      <c r="E168" s="1814">
        <f>IF(F43=0,"N/A",E175*NewConst!F43/CONVERT(1,"in","ft")^2)</f>
        <v>30.240000000000002</v>
      </c>
      <c r="F168" s="1738">
        <v>30.240000000000002</v>
      </c>
      <c r="G168" s="1201"/>
      <c r="H168" s="1201"/>
      <c r="I168" s="13"/>
    </row>
    <row r="169" spans="1:17" hidden="1">
      <c r="A169" s="1308">
        <v>50</v>
      </c>
      <c r="B169" s="1333" t="s">
        <v>6393</v>
      </c>
      <c r="C169" s="1808" t="s">
        <v>1367</v>
      </c>
      <c r="D169" s="1813" t="s">
        <v>948</v>
      </c>
      <c r="E169" s="1814">
        <f>IF(F44=0,"N/A",E176*NewConst!F44/CONVERT(1,"in","ft")^2)</f>
        <v>6.1560000000000006</v>
      </c>
      <c r="F169" s="1738">
        <v>6.1560000000000006</v>
      </c>
      <c r="G169" s="1201"/>
      <c r="H169" s="1201"/>
      <c r="I169" s="13"/>
    </row>
    <row r="170" spans="1:17" hidden="1">
      <c r="A170" s="1308">
        <v>50</v>
      </c>
      <c r="B170" s="1333" t="s">
        <v>6393</v>
      </c>
      <c r="C170" s="1807" t="s">
        <v>1366</v>
      </c>
      <c r="D170" s="1813" t="s">
        <v>948</v>
      </c>
      <c r="E170" s="1814">
        <f>IF(F45=0,"N/A",E177*NewConst!F45/CONVERT(1,"in","ft")^2)</f>
        <v>1.3680000000000001</v>
      </c>
      <c r="F170" s="1738">
        <v>1.3680000000000001</v>
      </c>
      <c r="G170" s="1201"/>
      <c r="H170" s="1201"/>
      <c r="I170" s="13"/>
    </row>
    <row r="171" spans="1:17" ht="12.75" hidden="1">
      <c r="A171" s="1308">
        <v>50</v>
      </c>
      <c r="B171" s="1333" t="s">
        <v>6393</v>
      </c>
      <c r="C171" s="1807" t="s">
        <v>1368</v>
      </c>
      <c r="D171" s="1813" t="s">
        <v>948</v>
      </c>
      <c r="E171" s="1814">
        <f>IF(F47=0,"N/A",E178*NewConst!F47/CONVERT(1,"in","ft")^2)</f>
        <v>15.552000000000001</v>
      </c>
      <c r="F171" s="1747">
        <v>15.552000000000001</v>
      </c>
      <c r="G171" s="1201"/>
      <c r="H171" s="1201"/>
      <c r="I171" s="13"/>
      <c r="K171" s="43"/>
      <c r="L171" s="43"/>
      <c r="M171" s="43"/>
      <c r="N171" s="43"/>
      <c r="O171" s="43"/>
      <c r="P171" s="43"/>
      <c r="Q171" s="43"/>
    </row>
    <row r="172" spans="1:17" hidden="1">
      <c r="B172" s="1333" t="s">
        <v>6393</v>
      </c>
      <c r="C172" s="1807" t="s">
        <v>1372</v>
      </c>
      <c r="D172" s="1813"/>
      <c r="E172" s="1816"/>
      <c r="F172" s="1699"/>
      <c r="G172" s="1201"/>
      <c r="H172" s="1201"/>
    </row>
    <row r="173" spans="1:17" hidden="1">
      <c r="B173" s="1333" t="s">
        <v>6393</v>
      </c>
      <c r="C173" s="1807" t="s">
        <v>1363</v>
      </c>
      <c r="D173" s="1813"/>
      <c r="E173" s="1817">
        <f>IF(E41=0,"N/A",0.00019)</f>
        <v>1.9000000000000001E-4</v>
      </c>
      <c r="F173" s="1698">
        <f>IF(F41=0,"N/A",F166/F41*CONVERT(1,"in","ft")^2)</f>
        <v>1.9000000000000001E-4</v>
      </c>
      <c r="G173" s="1201"/>
      <c r="H173" s="1201"/>
    </row>
    <row r="174" spans="1:17" hidden="1">
      <c r="B174" s="1333" t="s">
        <v>6393</v>
      </c>
      <c r="C174" s="1807" t="s">
        <v>1364</v>
      </c>
      <c r="D174" s="1813"/>
      <c r="E174" s="1817">
        <f>IF(E42=0,"N/A",0.00036)</f>
        <v>3.6000000000000002E-4</v>
      </c>
      <c r="F174" s="1698">
        <f>IF(F42=0,"N/A",F167/F42*CONVERT(1,"in","ft")^2)</f>
        <v>3.6000000000000008E-4</v>
      </c>
      <c r="G174" s="1201"/>
      <c r="H174" s="1201"/>
    </row>
    <row r="175" spans="1:17" hidden="1">
      <c r="B175" s="1333" t="s">
        <v>6393</v>
      </c>
      <c r="C175" s="1807" t="s">
        <v>1365</v>
      </c>
      <c r="D175" s="1813"/>
      <c r="E175" s="1817">
        <f>IF(E43=0,"N/A",0.00007)</f>
        <v>6.9999999999999994E-5</v>
      </c>
      <c r="F175" s="1698">
        <f>IF(F43=0,"N/A",F168/F43*CONVERT(1,"in","ft")^2)</f>
        <v>6.9999999999999994E-5</v>
      </c>
      <c r="G175" s="1201"/>
      <c r="H175" s="1084"/>
    </row>
    <row r="176" spans="1:17" hidden="1">
      <c r="B176" s="1333" t="s">
        <v>6393</v>
      </c>
      <c r="C176" s="1808" t="s">
        <v>1367</v>
      </c>
      <c r="D176" s="1813"/>
      <c r="E176" s="1817">
        <f>IF(E44=0,"N/A",0.00019)</f>
        <v>1.9000000000000001E-4</v>
      </c>
      <c r="F176" s="1698">
        <f>IF(F44=0,"N/A",F169/F44*CONVERT(1,"in","ft")^2)</f>
        <v>1.9000000000000001E-4</v>
      </c>
      <c r="G176" s="1201"/>
      <c r="H176" s="1201"/>
    </row>
    <row r="177" spans="1:31" ht="11.25" hidden="1" customHeight="1">
      <c r="B177" s="1333" t="s">
        <v>6393</v>
      </c>
      <c r="C177" s="1801" t="s">
        <v>1366</v>
      </c>
      <c r="D177" s="1815"/>
      <c r="E177" s="1817">
        <f>IF(E45=0,"N/A",0.00019)</f>
        <v>1.9000000000000001E-4</v>
      </c>
      <c r="F177" s="1698">
        <f>IF(F45=0,"N/A",F170/F45*CONVERT(1,"in","ft")^2)</f>
        <v>1.9000000000000001E-4</v>
      </c>
      <c r="G177" s="1201"/>
      <c r="H177" s="1201"/>
      <c r="I177" s="1084"/>
    </row>
    <row r="178" spans="1:31" hidden="1">
      <c r="B178" s="1333" t="s">
        <v>6393</v>
      </c>
      <c r="C178" s="1807" t="s">
        <v>1368</v>
      </c>
      <c r="D178" s="1813"/>
      <c r="E178" s="1936">
        <f>IF(E47=0,"N/A",0.00027)</f>
        <v>2.7E-4</v>
      </c>
      <c r="F178" s="1937">
        <f>IF(F47=0,"N/A",F171/F47*CONVERT(1,"in","ft")^2)</f>
        <v>2.7E-4</v>
      </c>
      <c r="G178" s="1201"/>
      <c r="H178" s="1201"/>
    </row>
    <row r="179" spans="1:31" ht="12.75">
      <c r="B179" s="1308"/>
      <c r="C179" s="2142" t="s">
        <v>6377</v>
      </c>
      <c r="D179" s="2143"/>
      <c r="E179" s="2143"/>
      <c r="F179" s="2144"/>
      <c r="G179" s="1201"/>
      <c r="H179" s="817"/>
      <c r="I179" s="1200"/>
      <c r="J179" s="817"/>
    </row>
    <row r="180" spans="1:31">
      <c r="A180" s="1310" t="s">
        <v>567</v>
      </c>
      <c r="B180" s="1333"/>
      <c r="C180" s="1950" t="s">
        <v>6216</v>
      </c>
      <c r="D180" s="1953" t="s">
        <v>999</v>
      </c>
      <c r="E180" s="1952"/>
      <c r="F180" s="1737" t="s">
        <v>567</v>
      </c>
      <c r="G180" s="1201"/>
      <c r="H180" s="1290"/>
      <c r="I180" s="1290"/>
      <c r="J180" s="1290"/>
    </row>
    <row r="181" spans="1:31">
      <c r="A181" s="1310">
        <v>55</v>
      </c>
      <c r="B181" s="1333"/>
      <c r="C181" s="1775" t="s">
        <v>986</v>
      </c>
      <c r="D181" s="1777" t="s">
        <v>949</v>
      </c>
      <c r="E181" s="1730">
        <f>IF(NewConst!F180="NO",0,MIN(NewConst!F181,NewConst!G181))</f>
        <v>55</v>
      </c>
      <c r="F181" s="1747">
        <v>55</v>
      </c>
      <c r="G181" s="1516" t="str">
        <f>"ASHRAE 62.2 continuous vent rate: " &amp; 0.01*IntCalc!$E$9+7.5*(N_br+1) &amp; " cfm"</f>
        <v>ASHRAE 62.2 continuous vent rate: 52.96 cfm</v>
      </c>
      <c r="H181" s="1290"/>
      <c r="I181" s="1290"/>
      <c r="J181" s="1290"/>
    </row>
    <row r="182" spans="1:31">
      <c r="B182" s="1308"/>
      <c r="C182" s="1884" t="s">
        <v>6397</v>
      </c>
      <c r="D182" s="1852" t="s">
        <v>1207</v>
      </c>
      <c r="E182" s="1663">
        <f>$E$181*60/Volume</f>
        <v>0.17966027874564461</v>
      </c>
      <c r="F182" s="1664">
        <f>IF(F180="NO",0,F181*60/Volume)</f>
        <v>0.17966027874564461</v>
      </c>
      <c r="G182" s="2149" t="s">
        <v>6396</v>
      </c>
      <c r="H182" s="2150"/>
      <c r="I182" s="2150"/>
      <c r="J182" s="817"/>
    </row>
    <row r="183" spans="1:31">
      <c r="A183" s="1310"/>
      <c r="B183" s="1333"/>
      <c r="C183" s="1848" t="s">
        <v>6222</v>
      </c>
      <c r="D183" s="1777" t="s">
        <v>457</v>
      </c>
      <c r="E183" s="1663">
        <v>0.5</v>
      </c>
      <c r="F183" s="2182" t="s">
        <v>6360</v>
      </c>
      <c r="G183" s="1201"/>
      <c r="H183" s="1290"/>
      <c r="I183" s="1290"/>
      <c r="J183" s="1290"/>
    </row>
    <row r="184" spans="1:31">
      <c r="B184" s="1308"/>
      <c r="C184" s="1853" t="s">
        <v>387</v>
      </c>
      <c r="D184" s="1856" t="s">
        <v>1222</v>
      </c>
      <c r="E184" s="1665">
        <f>E181*E183*8760/1000</f>
        <v>240.9</v>
      </c>
      <c r="F184" s="2183"/>
      <c r="G184" s="1201"/>
      <c r="H184" s="1200"/>
      <c r="I184" s="1200"/>
      <c r="J184" s="817"/>
    </row>
    <row r="185" spans="1:31" ht="12.75">
      <c r="A185" s="1310">
        <v>100</v>
      </c>
      <c r="B185" s="1309"/>
      <c r="C185" s="1885" t="s">
        <v>6398</v>
      </c>
      <c r="D185" s="1850" t="s">
        <v>949</v>
      </c>
      <c r="E185" s="1647">
        <f>F185</f>
        <v>100</v>
      </c>
      <c r="F185" s="1737">
        <v>100</v>
      </c>
      <c r="G185" s="2151" t="s">
        <v>6406</v>
      </c>
      <c r="H185" s="2150"/>
      <c r="I185" s="2150"/>
    </row>
    <row r="186" spans="1:31" ht="12.75">
      <c r="A186" s="1310"/>
      <c r="B186" s="1309"/>
      <c r="C186" s="1886" t="s">
        <v>6224</v>
      </c>
      <c r="D186" s="1887" t="s">
        <v>457</v>
      </c>
      <c r="E186" s="1651">
        <v>0.5</v>
      </c>
      <c r="F186" s="2175" t="s">
        <v>6360</v>
      </c>
      <c r="G186" s="43" t="s">
        <v>6395</v>
      </c>
      <c r="H186" s="43"/>
      <c r="I186" s="13"/>
    </row>
    <row r="187" spans="1:31">
      <c r="B187" s="1308"/>
      <c r="C187" s="1888" t="s">
        <v>883</v>
      </c>
      <c r="D187" s="1854" t="s">
        <v>1222</v>
      </c>
      <c r="E187" s="1666">
        <f>NewConst!F185*E186*30/60*365/1000</f>
        <v>9.125</v>
      </c>
      <c r="F187" s="2176"/>
      <c r="G187" s="9"/>
      <c r="H187" s="1201"/>
    </row>
    <row r="188" spans="1:31" ht="11.25" customHeight="1">
      <c r="A188" s="1310">
        <v>50</v>
      </c>
      <c r="B188" s="1333"/>
      <c r="C188" s="1885" t="s">
        <v>6399</v>
      </c>
      <c r="D188" s="1850" t="s">
        <v>949</v>
      </c>
      <c r="E188" s="1647">
        <f>F188</f>
        <v>50</v>
      </c>
      <c r="F188" s="1737">
        <v>50</v>
      </c>
      <c r="G188" s="2152" t="s">
        <v>6405</v>
      </c>
      <c r="H188" s="2153"/>
      <c r="I188" s="2153"/>
    </row>
    <row r="189" spans="1:31">
      <c r="A189" s="1310">
        <v>2</v>
      </c>
      <c r="B189" s="1333"/>
      <c r="C189" s="1889" t="s">
        <v>1208</v>
      </c>
      <c r="D189" s="1777" t="s">
        <v>569</v>
      </c>
      <c r="E189" s="1730">
        <f>Nbath</f>
        <v>2</v>
      </c>
      <c r="F189" s="1738">
        <v>2</v>
      </c>
      <c r="G189" s="2152"/>
      <c r="H189" s="2153"/>
      <c r="I189" s="2153"/>
    </row>
    <row r="190" spans="1:31">
      <c r="A190" s="1310"/>
      <c r="B190" s="1333"/>
      <c r="C190" s="1889" t="s">
        <v>6223</v>
      </c>
      <c r="D190" s="1887" t="s">
        <v>457</v>
      </c>
      <c r="E190" s="1651">
        <v>0.5</v>
      </c>
      <c r="F190" s="2184" t="s">
        <v>6360</v>
      </c>
      <c r="G190" s="13"/>
      <c r="H190" s="13"/>
      <c r="I190" s="13"/>
    </row>
    <row r="191" spans="1:31">
      <c r="B191" s="1308"/>
      <c r="C191" s="1890" t="s">
        <v>6225</v>
      </c>
      <c r="D191" s="1891" t="s">
        <v>1222</v>
      </c>
      <c r="E191" s="1667">
        <f>NewConst!F189*E190*NewConst!F188*60/60*365/1000</f>
        <v>18.25</v>
      </c>
      <c r="F191" s="2185"/>
      <c r="G191" s="9"/>
      <c r="H191" s="1201"/>
      <c r="K191" s="817"/>
      <c r="L191" s="817"/>
      <c r="M191" s="817"/>
      <c r="N191" s="817"/>
      <c r="S191" s="817"/>
      <c r="T191" s="817"/>
      <c r="U191" s="817"/>
      <c r="V191" s="817"/>
      <c r="W191" s="817"/>
      <c r="X191" s="817"/>
      <c r="Y191" s="817"/>
      <c r="Z191" s="817"/>
      <c r="AA191" s="817"/>
      <c r="AB191" s="817"/>
      <c r="AC191" s="817"/>
      <c r="AD191" s="817"/>
      <c r="AE191" s="817"/>
    </row>
    <row r="192" spans="1:31" s="43" customFormat="1" ht="12.75">
      <c r="A192" s="1313" t="s">
        <v>567</v>
      </c>
      <c r="B192" s="1333"/>
      <c r="C192" s="1886" t="s">
        <v>6219</v>
      </c>
      <c r="D192" s="1777" t="s">
        <v>999</v>
      </c>
      <c r="E192" s="1675"/>
      <c r="F192" s="1738" t="s">
        <v>567</v>
      </c>
      <c r="G192" s="13"/>
      <c r="J192" s="13"/>
      <c r="M192" s="13"/>
      <c r="Q192" s="13"/>
      <c r="R192" s="13"/>
      <c r="S192" s="13"/>
      <c r="T192" s="13"/>
    </row>
    <row r="193" spans="1:31" ht="11.25" customHeight="1">
      <c r="A193" s="1310"/>
      <c r="B193" s="1333"/>
      <c r="C193" s="1892" t="s">
        <v>6221</v>
      </c>
      <c r="D193" s="1756" t="s">
        <v>949</v>
      </c>
      <c r="E193" s="1694">
        <f>IF(AND($F$270="no",$F$249="yes",$F$250&gt;0),0,100)</f>
        <v>100</v>
      </c>
      <c r="F193" s="1694" t="str">
        <f>IF($F$270="yes",IF($F$192="yes","Use known spec.",100),IF($F$249="yes","N/A",100))</f>
        <v>Use known spec.</v>
      </c>
      <c r="G193" s="2152" t="s">
        <v>6395</v>
      </c>
      <c r="H193" s="2153"/>
      <c r="I193" s="2153"/>
      <c r="K193" s="1290"/>
      <c r="L193" s="817"/>
      <c r="M193" s="817"/>
      <c r="N193" s="817"/>
    </row>
    <row r="194" spans="1:31" s="43" customFormat="1" ht="12.75" hidden="1">
      <c r="A194" s="1308"/>
      <c r="B194" s="1333" t="s">
        <v>6393</v>
      </c>
      <c r="C194" s="1893" t="s">
        <v>1369</v>
      </c>
      <c r="D194" s="1894"/>
      <c r="E194" s="1811"/>
      <c r="F194" s="1695"/>
      <c r="G194" s="1693"/>
      <c r="H194" s="1201"/>
      <c r="I194" s="16"/>
      <c r="J194" s="13"/>
      <c r="K194" s="1290"/>
      <c r="L194" s="817"/>
      <c r="M194" s="817"/>
      <c r="N194" s="817"/>
      <c r="O194" s="13"/>
      <c r="P194" s="13"/>
      <c r="Q194" s="13"/>
      <c r="R194" s="13"/>
      <c r="S194" s="13"/>
      <c r="T194" s="13"/>
    </row>
    <row r="195" spans="1:31" s="43" customFormat="1" ht="12.75" hidden="1" customHeight="1">
      <c r="A195" s="1308"/>
      <c r="B195" s="1333" t="s">
        <v>6511</v>
      </c>
      <c r="C195" s="1874" t="s">
        <v>1363</v>
      </c>
      <c r="D195" s="1895" t="s">
        <v>949</v>
      </c>
      <c r="E195" s="1671" t="str">
        <f>IF(HomeType=2, 0.12*NewConst!F41, "N/A")</f>
        <v>N/A</v>
      </c>
      <c r="F195" s="2048"/>
      <c r="G195" s="9"/>
      <c r="H195" s="1201"/>
      <c r="I195" s="16"/>
      <c r="J195" s="13"/>
      <c r="K195" s="1290"/>
      <c r="L195" s="817"/>
      <c r="M195" s="817"/>
      <c r="N195" s="817"/>
      <c r="O195" s="13"/>
      <c r="P195" s="13"/>
      <c r="Q195" s="13"/>
      <c r="R195" s="13"/>
      <c r="S195" s="13"/>
      <c r="T195" s="13"/>
    </row>
    <row r="196" spans="1:31" ht="12.75" hidden="1" customHeight="1">
      <c r="B196" s="1333" t="s">
        <v>6511</v>
      </c>
      <c r="C196" s="1874" t="s">
        <v>1364</v>
      </c>
      <c r="D196" s="1895" t="s">
        <v>949</v>
      </c>
      <c r="E196" s="1671" t="str">
        <f>IF(HomeType=2, 0.08*NewConst!F42, "N/A")</f>
        <v>N/A</v>
      </c>
      <c r="F196" s="2048"/>
      <c r="G196" s="9"/>
      <c r="H196" s="1201"/>
      <c r="K196" s="817"/>
      <c r="L196" s="817"/>
      <c r="M196" s="817"/>
      <c r="N196" s="817"/>
      <c r="S196" s="817"/>
      <c r="T196" s="817"/>
      <c r="U196" s="817"/>
      <c r="V196" s="817"/>
      <c r="W196" s="817"/>
      <c r="X196" s="817"/>
      <c r="Y196" s="817"/>
      <c r="Z196" s="817"/>
      <c r="AA196" s="817"/>
      <c r="AB196" s="817"/>
      <c r="AC196" s="817"/>
      <c r="AD196" s="817"/>
      <c r="AE196" s="817"/>
    </row>
    <row r="197" spans="1:31" ht="12.75" hidden="1" customHeight="1">
      <c r="B197" s="1333" t="s">
        <v>6511</v>
      </c>
      <c r="C197" s="1874" t="s">
        <v>1365</v>
      </c>
      <c r="D197" s="1895" t="s">
        <v>949</v>
      </c>
      <c r="E197" s="1671" t="str">
        <f>IF(HomeType=2, 0.05*NewConst!F43, "N/A")</f>
        <v>N/A</v>
      </c>
      <c r="F197" s="2048"/>
      <c r="G197" s="9"/>
      <c r="H197" s="1201"/>
      <c r="I197" s="15"/>
      <c r="K197" s="817"/>
      <c r="L197" s="817"/>
      <c r="M197" s="817"/>
      <c r="N197" s="817"/>
      <c r="S197" s="817"/>
      <c r="T197" s="816"/>
      <c r="U197" s="816"/>
      <c r="V197" s="816"/>
      <c r="W197" s="816"/>
      <c r="X197" s="816"/>
      <c r="Y197" s="816"/>
      <c r="Z197" s="816"/>
      <c r="AA197" s="816"/>
      <c r="AB197" s="816"/>
      <c r="AC197" s="816"/>
      <c r="AD197" s="816"/>
      <c r="AE197" s="817"/>
    </row>
    <row r="198" spans="1:31" ht="12.75" hidden="1" customHeight="1">
      <c r="B198" s="1333" t="s">
        <v>6511</v>
      </c>
      <c r="C198" s="1877" t="s">
        <v>1367</v>
      </c>
      <c r="D198" s="1895" t="s">
        <v>949</v>
      </c>
      <c r="E198" s="1671" t="str">
        <f>IF(HomeType=2, 0.06*NewConst!F44, "N/A")</f>
        <v>N/A</v>
      </c>
      <c r="F198" s="2048"/>
      <c r="G198" s="9"/>
      <c r="H198" s="1201"/>
      <c r="I198" s="15"/>
      <c r="L198" s="43"/>
      <c r="M198" s="43"/>
      <c r="N198" s="43"/>
      <c r="O198" s="43"/>
      <c r="P198" s="43"/>
      <c r="Q198" s="43"/>
    </row>
    <row r="199" spans="1:31" ht="12.75" hidden="1" customHeight="1">
      <c r="B199" s="1333" t="s">
        <v>6511</v>
      </c>
      <c r="C199" s="1878" t="s">
        <v>6487</v>
      </c>
      <c r="D199" s="1896" t="s">
        <v>949</v>
      </c>
      <c r="E199" s="1671" t="str">
        <f>IF(HomeType=2, 0.06*E46, "N/A")</f>
        <v>N/A</v>
      </c>
      <c r="F199" s="2048"/>
      <c r="G199" s="9"/>
      <c r="H199" s="1084"/>
      <c r="I199" s="15"/>
      <c r="L199" s="43"/>
      <c r="M199" s="43"/>
      <c r="N199" s="43"/>
      <c r="O199" s="43"/>
      <c r="P199" s="43"/>
      <c r="Q199" s="43"/>
    </row>
    <row r="200" spans="1:31" ht="12.75" hidden="1" customHeight="1">
      <c r="B200" s="1333" t="s">
        <v>6511</v>
      </c>
      <c r="C200" s="1878" t="s">
        <v>1368</v>
      </c>
      <c r="D200" s="1896" t="s">
        <v>949</v>
      </c>
      <c r="E200" s="1671" t="str">
        <f>IF(HomeType=2, 0.06*NewConst!F47, "N/A")</f>
        <v>N/A</v>
      </c>
      <c r="F200" s="2048"/>
      <c r="G200" s="9"/>
      <c r="H200" s="1084"/>
      <c r="I200" s="15"/>
      <c r="L200" s="43"/>
      <c r="M200" s="43"/>
      <c r="N200" s="43"/>
      <c r="O200" s="43"/>
      <c r="P200" s="43"/>
      <c r="Q200" s="43"/>
    </row>
    <row r="201" spans="1:31" ht="12.75" hidden="1" customHeight="1">
      <c r="B201" s="1333" t="s">
        <v>6511</v>
      </c>
      <c r="C201" s="1874" t="s">
        <v>4798</v>
      </c>
      <c r="D201" s="1895" t="s">
        <v>4698</v>
      </c>
      <c r="E201" s="1935" t="str">
        <f>IF(HomeType=2, 50, "N/A")</f>
        <v>N/A</v>
      </c>
      <c r="F201" s="2049"/>
      <c r="G201" s="9"/>
      <c r="H201" s="1320"/>
      <c r="I201" s="1333"/>
      <c r="S201" s="817"/>
      <c r="T201" s="817"/>
      <c r="U201" s="817"/>
      <c r="V201" s="817"/>
      <c r="W201" s="817"/>
      <c r="X201" s="817"/>
      <c r="Y201" s="817"/>
      <c r="Z201" s="817"/>
      <c r="AA201" s="817"/>
      <c r="AB201" s="817"/>
      <c r="AC201" s="817"/>
      <c r="AD201" s="817"/>
      <c r="AE201" s="817"/>
    </row>
    <row r="202" spans="1:31" ht="12.75">
      <c r="A202" s="1998"/>
      <c r="B202" s="1308"/>
      <c r="C202" s="2142" t="s">
        <v>1046</v>
      </c>
      <c r="D202" s="2143"/>
      <c r="E202" s="2143"/>
      <c r="F202" s="2144"/>
      <c r="G202" s="9"/>
      <c r="H202" s="1320"/>
      <c r="I202" s="1308"/>
    </row>
    <row r="203" spans="1:31" s="43" customFormat="1" ht="12.75">
      <c r="A203" s="1999" t="s">
        <v>6485</v>
      </c>
      <c r="B203" s="1333"/>
      <c r="C203" s="2000" t="str">
        <f>IF(HomeType=2,"Lighting Analysis Method (Option 2- REQUIRED FOR MULTIFAMILY)","Lighting Analysis Method")</f>
        <v>Lighting Analysis Method</v>
      </c>
      <c r="D203" s="1785" t="s">
        <v>999</v>
      </c>
      <c r="E203" s="1967" t="str">
        <f>NewConst!F203</f>
        <v>Option 1-Simplified</v>
      </c>
      <c r="F203" s="1737" t="s">
        <v>6485</v>
      </c>
      <c r="G203" s="13" t="str">
        <f>IF(methLightingNCTH=I203,"Complete Detailed Lighting sheet.","")</f>
        <v/>
      </c>
      <c r="H203" s="1308" t="s">
        <v>6485</v>
      </c>
      <c r="I203" s="1308" t="s">
        <v>6486</v>
      </c>
      <c r="J203" s="13"/>
      <c r="K203" s="13"/>
      <c r="L203" s="13"/>
      <c r="M203" s="13"/>
      <c r="N203" s="13"/>
      <c r="O203" s="13"/>
      <c r="P203" s="13"/>
      <c r="Q203" s="13"/>
      <c r="R203" s="13"/>
      <c r="S203" s="13"/>
      <c r="T203" s="13"/>
    </row>
    <row r="204" spans="1:31" s="43" customFormat="1" ht="12.75">
      <c r="A204" s="1313"/>
      <c r="B204" s="1333"/>
      <c r="C204" s="1992" t="s">
        <v>6489</v>
      </c>
      <c r="D204" s="1993"/>
      <c r="E204" s="1967"/>
      <c r="F204" s="1991"/>
      <c r="G204" s="13"/>
      <c r="H204" s="1308"/>
      <c r="I204" s="1308"/>
      <c r="J204" s="13"/>
      <c r="K204" s="13"/>
      <c r="L204" s="13"/>
      <c r="M204" s="13"/>
      <c r="N204" s="13"/>
      <c r="O204" s="13"/>
      <c r="P204" s="13"/>
      <c r="Q204" s="13"/>
      <c r="R204" s="13"/>
      <c r="S204" s="13"/>
      <c r="T204" s="13"/>
    </row>
    <row r="205" spans="1:31" s="43" customFormat="1" ht="12.75" customHeight="1">
      <c r="A205" s="1318">
        <v>0.86</v>
      </c>
      <c r="B205" s="1333"/>
      <c r="C205" s="1994" t="s">
        <v>6490</v>
      </c>
      <c r="D205" s="1777" t="s">
        <v>877</v>
      </c>
      <c r="E205" s="1668">
        <v>0.66</v>
      </c>
      <c r="F205" s="1757">
        <v>0.86</v>
      </c>
      <c r="G205" s="13"/>
      <c r="H205" s="1308" t="s">
        <v>1215</v>
      </c>
      <c r="I205" s="1308"/>
      <c r="J205" s="13"/>
      <c r="K205" s="13"/>
      <c r="L205" s="13"/>
      <c r="M205" s="13"/>
      <c r="N205" s="13"/>
      <c r="O205" s="13"/>
      <c r="P205" s="13"/>
      <c r="Q205" s="13"/>
      <c r="R205" s="13"/>
      <c r="S205" s="13"/>
      <c r="T205" s="13"/>
    </row>
    <row r="206" spans="1:31">
      <c r="A206" s="1312">
        <v>0.14000000000000001</v>
      </c>
      <c r="B206" s="1333"/>
      <c r="C206" s="1995" t="s">
        <v>6491</v>
      </c>
      <c r="D206" s="1777" t="s">
        <v>877</v>
      </c>
      <c r="E206" s="1668">
        <v>0.21</v>
      </c>
      <c r="F206" s="1757">
        <v>0.14000000000000001</v>
      </c>
      <c r="G206" s="13"/>
      <c r="H206" s="1308" t="s">
        <v>1216</v>
      </c>
      <c r="I206" s="13"/>
    </row>
    <row r="207" spans="1:31" s="43" customFormat="1" ht="12.75">
      <c r="A207" s="1312">
        <v>0</v>
      </c>
      <c r="B207" s="1333"/>
      <c r="C207" s="1995" t="s">
        <v>6492</v>
      </c>
      <c r="D207" s="1777" t="s">
        <v>877</v>
      </c>
      <c r="E207" s="1668">
        <v>0</v>
      </c>
      <c r="F207" s="1757">
        <v>0</v>
      </c>
      <c r="G207" s="13"/>
      <c r="H207" s="1308"/>
      <c r="I207" s="13"/>
      <c r="J207" s="13"/>
      <c r="K207" s="13"/>
      <c r="L207" s="13"/>
      <c r="M207" s="13"/>
      <c r="N207" s="13"/>
      <c r="O207" s="13"/>
      <c r="P207" s="13"/>
      <c r="Q207" s="13"/>
      <c r="R207" s="13"/>
      <c r="S207" s="13"/>
      <c r="T207" s="13"/>
    </row>
    <row r="208" spans="1:31">
      <c r="A208" s="1312">
        <v>0</v>
      </c>
      <c r="B208" s="1333"/>
      <c r="C208" s="1996" t="s">
        <v>6493</v>
      </c>
      <c r="D208" s="1777" t="s">
        <v>877</v>
      </c>
      <c r="E208" s="1668">
        <v>0.13</v>
      </c>
      <c r="F208" s="1757">
        <v>0</v>
      </c>
      <c r="G208" s="13"/>
      <c r="H208" s="1308"/>
      <c r="I208" s="13"/>
    </row>
    <row r="209" spans="1:10">
      <c r="A209" s="1312">
        <v>0.86</v>
      </c>
      <c r="B209" s="1333"/>
      <c r="C209" s="1997" t="s">
        <v>6494</v>
      </c>
      <c r="D209" s="1777" t="s">
        <v>877</v>
      </c>
      <c r="E209" s="1668">
        <v>0.66</v>
      </c>
      <c r="F209" s="1757">
        <v>0.66</v>
      </c>
      <c r="G209" s="13"/>
      <c r="H209" s="1308"/>
      <c r="I209" s="13"/>
    </row>
    <row r="210" spans="1:10">
      <c r="A210" s="1312">
        <v>0.14000000000000001</v>
      </c>
      <c r="B210" s="1333"/>
      <c r="C210" s="1995" t="s">
        <v>6491</v>
      </c>
      <c r="D210" s="1777" t="s">
        <v>877</v>
      </c>
      <c r="E210" s="1668">
        <v>0.21</v>
      </c>
      <c r="F210" s="1757">
        <v>0.21</v>
      </c>
      <c r="G210" s="13"/>
      <c r="H210" s="13"/>
      <c r="I210" s="13"/>
    </row>
    <row r="211" spans="1:10">
      <c r="A211" s="1312">
        <v>0</v>
      </c>
      <c r="B211" s="1333"/>
      <c r="C211" s="1995" t="s">
        <v>6492</v>
      </c>
      <c r="D211" s="1777" t="s">
        <v>877</v>
      </c>
      <c r="E211" s="1668">
        <v>0</v>
      </c>
      <c r="F211" s="1757">
        <v>0</v>
      </c>
      <c r="G211" s="13"/>
      <c r="H211" s="13"/>
      <c r="I211" s="13"/>
    </row>
    <row r="212" spans="1:10">
      <c r="A212" s="1312">
        <v>0</v>
      </c>
      <c r="B212" s="1333"/>
      <c r="C212" s="1996" t="s">
        <v>6493</v>
      </c>
      <c r="D212" s="1777" t="s">
        <v>877</v>
      </c>
      <c r="E212" s="1668">
        <v>0.13</v>
      </c>
      <c r="F212" s="1757">
        <v>0.13</v>
      </c>
      <c r="G212" s="13"/>
      <c r="H212" s="13"/>
      <c r="I212" s="13"/>
    </row>
    <row r="213" spans="1:10">
      <c r="A213" s="1312">
        <v>0.86</v>
      </c>
      <c r="B213" s="1333"/>
      <c r="C213" s="1997" t="s">
        <v>6495</v>
      </c>
      <c r="D213" s="1777" t="s">
        <v>877</v>
      </c>
      <c r="E213" s="1668">
        <v>0.66</v>
      </c>
      <c r="F213" s="1757">
        <v>0.66</v>
      </c>
      <c r="G213" s="13"/>
      <c r="H213" s="13"/>
      <c r="I213" s="13"/>
    </row>
    <row r="214" spans="1:10">
      <c r="A214" s="1312">
        <v>0.14000000000000001</v>
      </c>
      <c r="B214" s="1333"/>
      <c r="C214" s="1995" t="s">
        <v>6491</v>
      </c>
      <c r="D214" s="1777" t="s">
        <v>877</v>
      </c>
      <c r="E214" s="1668">
        <v>0.21</v>
      </c>
      <c r="F214" s="1757">
        <v>0.21</v>
      </c>
      <c r="G214" s="13"/>
      <c r="H214" s="13"/>
      <c r="I214" s="13"/>
    </row>
    <row r="215" spans="1:10" ht="12.75">
      <c r="A215" s="1312">
        <v>0</v>
      </c>
      <c r="B215" s="1333"/>
      <c r="C215" s="1995" t="s">
        <v>6492</v>
      </c>
      <c r="D215" s="1777" t="s">
        <v>877</v>
      </c>
      <c r="E215" s="1668">
        <v>0</v>
      </c>
      <c r="F215" s="1757">
        <v>0</v>
      </c>
      <c r="G215" s="13"/>
      <c r="H215" s="13"/>
      <c r="I215" s="13"/>
      <c r="J215" s="43"/>
    </row>
    <row r="216" spans="1:10" ht="12.75">
      <c r="A216" s="1312">
        <v>0</v>
      </c>
      <c r="B216" s="1333"/>
      <c r="C216" s="1996" t="s">
        <v>6493</v>
      </c>
      <c r="D216" s="1777" t="s">
        <v>877</v>
      </c>
      <c r="E216" s="1668">
        <v>0.13</v>
      </c>
      <c r="F216" s="1757">
        <v>0.13</v>
      </c>
      <c r="G216" s="13"/>
      <c r="H216" s="43"/>
      <c r="I216" s="43"/>
      <c r="J216" s="43"/>
    </row>
    <row r="217" spans="1:10">
      <c r="B217" s="1308"/>
      <c r="C217" s="1798" t="s">
        <v>840</v>
      </c>
      <c r="D217" s="1774" t="s">
        <v>1222</v>
      </c>
      <c r="E217" s="1670">
        <f>IF(NewConst!$F$203=NewConst!$H$203,0.2*(FFA*0.542+334),'Detailed Lighting'!$AT$25)</f>
        <v>315.68640000000005</v>
      </c>
      <c r="F217" s="1670">
        <f>IF(NewConst!$F$203=NewConst!$H$203,NewConst!$E$217*(SRF_NCTH*0.9+0.1),'Detailed Lighting'!$AL$25-'Detailed Lighting'!$AL$16)</f>
        <v>331.20424335164017</v>
      </c>
      <c r="G217" s="9"/>
      <c r="H217" s="1201"/>
      <c r="I217" s="13"/>
    </row>
    <row r="218" spans="1:10">
      <c r="B218" s="1308"/>
      <c r="C218" s="1799" t="s">
        <v>841</v>
      </c>
      <c r="D218" s="1776" t="s">
        <v>1222</v>
      </c>
      <c r="E218" s="1655">
        <f>E217</f>
        <v>315.68640000000005</v>
      </c>
      <c r="F218" s="1655">
        <f>F217</f>
        <v>331.20424335164017</v>
      </c>
      <c r="G218" s="9"/>
      <c r="H218" s="1201"/>
      <c r="I218" s="13"/>
    </row>
    <row r="219" spans="1:10">
      <c r="B219" s="1308"/>
      <c r="C219" s="1799" t="s">
        <v>843</v>
      </c>
      <c r="D219" s="1776" t="s">
        <v>1222</v>
      </c>
      <c r="E219" s="1655">
        <f>IF(NewConst!$F$203=NewConst!$H$203,0.8*(FFA*0.542+334),'Detailed Lighting'!$AS$25)</f>
        <v>1262.7456000000002</v>
      </c>
      <c r="F219" s="1655">
        <f>IF(NewConst!$F$203=NewConst!$H$203,(E219)*(((NewConst!$F$205+0.34)+(NewConst!$F$206-0.21)*0.27+(NewConst!$F$207*0.3)+((NewConst!$F$208-0.13)*0.17))*SRF_NCTH*0.9+0.1), 'Detailed Lighting'!$AI$25-'Detailed Lighting'!$AI$16-'Detailed Lighting'!$AI$22)</f>
        <v>1515.3852171382036</v>
      </c>
      <c r="G219" s="9"/>
      <c r="H219" s="1201"/>
      <c r="I219" s="13"/>
    </row>
    <row r="220" spans="1:10">
      <c r="B220" s="1308"/>
      <c r="C220" s="1799" t="s">
        <v>1070</v>
      </c>
      <c r="D220" s="1776" t="s">
        <v>1222</v>
      </c>
      <c r="E220" s="1655">
        <f>E219</f>
        <v>1262.7456000000002</v>
      </c>
      <c r="F220" s="1655">
        <f>F219</f>
        <v>1515.3852171382036</v>
      </c>
      <c r="G220" s="9"/>
      <c r="H220" s="1201"/>
      <c r="I220" s="13"/>
    </row>
    <row r="221" spans="1:10">
      <c r="B221" s="1308"/>
      <c r="C221" s="1799" t="s">
        <v>745</v>
      </c>
      <c r="D221" s="1776" t="s">
        <v>1222</v>
      </c>
      <c r="E221" s="1655">
        <f>IF(NewConst!$F$203=NewConst!$H$203,FFA*0.145,'Detailed Lighting'!$AI$22)</f>
        <v>332.91999999999996</v>
      </c>
      <c r="F221" s="1655">
        <f>IF(NewConst!$F$203=NewConst!$H$203,E221*(((NewConst!$F$209+0.34)+(NewConst!$F$210-0.21)*0.27+(NewConst!$F$211*0.3)+((NewConst!$F$212-0.13)*0.17))*SRF_NCTH_Ext*0.9+0.1), 'Detailed Lighting'!$AU$22)</f>
        <v>332.92000431464328</v>
      </c>
      <c r="G221" s="9"/>
      <c r="H221" s="1201"/>
      <c r="I221" s="13"/>
    </row>
    <row r="222" spans="1:10">
      <c r="B222" s="1308"/>
      <c r="C222" s="1799" t="s">
        <v>746</v>
      </c>
      <c r="D222" s="1776" t="s">
        <v>1222</v>
      </c>
      <c r="E222" s="1671">
        <f>IF(NewConst!$F$203=NewConst!$H$203,(NewConst!$F$31*0.08+8),'Detailed Lighting'!$AU$16)</f>
        <v>40</v>
      </c>
      <c r="F222" s="1655">
        <f>IF(NewConst!$F$203=NewConst!$H$203,E222*(((NewConst!$F$213+0.34)+(NewConst!$F$214-0.21)*0.27+(NewConst!$F$215*0.3)+((NewConst!$F$216-0.13)*0.17))*SRF_NCTH_Gar*0.9+0.1), 'Detailed Lighting'!$AU$16)</f>
        <v>40.000000518400014</v>
      </c>
      <c r="G222" s="9"/>
      <c r="H222" s="1201"/>
      <c r="I222" s="13"/>
    </row>
    <row r="223" spans="1:10">
      <c r="B223" s="1308"/>
      <c r="C223" s="1799" t="s">
        <v>2884</v>
      </c>
      <c r="D223" s="1776" t="s">
        <v>1222</v>
      </c>
      <c r="E223" s="1630">
        <f>SUM(E217,E219,E221,E222)</f>
        <v>1951.3520000000003</v>
      </c>
      <c r="F223" s="1630">
        <f>SUM(F217,F219,F221,F222)</f>
        <v>2219.5094653228871</v>
      </c>
      <c r="G223" s="9"/>
      <c r="H223" s="1201"/>
      <c r="I223" s="13"/>
    </row>
    <row r="224" spans="1:10">
      <c r="B224" s="1308"/>
      <c r="C224" s="1883" t="s">
        <v>2885</v>
      </c>
      <c r="D224" s="1789" t="s">
        <v>1222</v>
      </c>
      <c r="E224" s="1701">
        <f>SUM(E218,E220)</f>
        <v>1578.4320000000002</v>
      </c>
      <c r="F224" s="1701">
        <f>SUM(F218,F220)</f>
        <v>1846.5894604898438</v>
      </c>
      <c r="G224" s="9"/>
      <c r="H224" s="1201"/>
      <c r="I224" s="13"/>
    </row>
    <row r="225" spans="1:20" hidden="1">
      <c r="B225" s="1333" t="s">
        <v>6393</v>
      </c>
      <c r="C225" s="1898" t="s">
        <v>6227</v>
      </c>
      <c r="D225" s="1899"/>
      <c r="E225" s="1818"/>
      <c r="F225" s="1669"/>
      <c r="G225" s="9"/>
      <c r="H225" s="1201"/>
      <c r="I225" s="13"/>
    </row>
    <row r="226" spans="1:20" hidden="1">
      <c r="B226" s="1333" t="s">
        <v>6393</v>
      </c>
      <c r="C226" s="1900" t="s">
        <v>840</v>
      </c>
      <c r="D226" s="1901" t="s">
        <v>1222</v>
      </c>
      <c r="E226" s="1819">
        <f>'Detailed Lighting'!$AT$40</f>
        <v>3735.9194486265833</v>
      </c>
      <c r="F226" s="1691">
        <f>IF(HomeType=2,'Detailed Lighting'!$AL$40, 0)</f>
        <v>0</v>
      </c>
      <c r="G226" s="9"/>
      <c r="H226" s="1201"/>
      <c r="I226" s="13"/>
    </row>
    <row r="227" spans="1:20" hidden="1">
      <c r="B227" s="1333" t="s">
        <v>6393</v>
      </c>
      <c r="C227" s="1900" t="s">
        <v>841</v>
      </c>
      <c r="D227" s="1901" t="s">
        <v>1222</v>
      </c>
      <c r="E227" s="1819">
        <f>E226-SUM('Detailed Lighting'!AT38,'Detailed Lighting'!AT37,'Detailed Lighting'!AT36,'Detailed Lighting'!AT35)</f>
        <v>3735.9194486265833</v>
      </c>
      <c r="F227" s="1691">
        <f>F226-SUM('Detailed Lighting'!AL38,'Detailed Lighting'!AL37,'Detailed Lighting'!AL36,'Detailed Lighting'!AL35)</f>
        <v>0</v>
      </c>
      <c r="G227" s="9"/>
      <c r="H227" s="1201"/>
      <c r="I227" s="13"/>
    </row>
    <row r="228" spans="1:20" s="43" customFormat="1" ht="12.75" hidden="1">
      <c r="A228" s="1308"/>
      <c r="B228" s="1333" t="s">
        <v>6393</v>
      </c>
      <c r="C228" s="1900" t="s">
        <v>885</v>
      </c>
      <c r="D228" s="1901" t="s">
        <v>1222</v>
      </c>
      <c r="E228" s="1819">
        <f>IF(HomeType=2,'Detailed Lighting'!$AS$40-'Detailed Lighting'!$AS$29-'Detailed Lighting'!$AS$35-'Detailed Lighting'!$AS$36-'Detailed Lighting'!$AS$37-'Detailed Lighting'!$AS$38, 0)</f>
        <v>0</v>
      </c>
      <c r="F228" s="1691">
        <f>IF(HomeType=2,'Detailed Lighting'!$AI$40-'Detailed Lighting'!$AI$29-'Detailed Lighting'!$AI$35-'Detailed Lighting'!$AI$36-'Detailed Lighting'!$AI$37-'Detailed Lighting'!$AI$38, 0)</f>
        <v>0</v>
      </c>
      <c r="G228" s="13"/>
      <c r="H228" s="13"/>
      <c r="I228" s="13"/>
      <c r="J228" s="13"/>
      <c r="K228" s="13"/>
      <c r="L228" s="13"/>
      <c r="M228" s="13"/>
      <c r="N228" s="13"/>
      <c r="O228" s="13"/>
      <c r="P228" s="13"/>
      <c r="Q228" s="13"/>
      <c r="R228" s="13"/>
      <c r="S228" s="13"/>
      <c r="T228" s="13"/>
    </row>
    <row r="229" spans="1:20" hidden="1">
      <c r="B229" s="1333" t="s">
        <v>6393</v>
      </c>
      <c r="C229" s="1900" t="s">
        <v>561</v>
      </c>
      <c r="D229" s="1901" t="s">
        <v>1222</v>
      </c>
      <c r="E229" s="1819">
        <f>E228</f>
        <v>0</v>
      </c>
      <c r="F229" s="1691">
        <f>F228</f>
        <v>0</v>
      </c>
      <c r="G229" s="13"/>
      <c r="H229" s="13"/>
      <c r="I229" s="13"/>
    </row>
    <row r="230" spans="1:20" hidden="1">
      <c r="B230" s="1333" t="s">
        <v>6393</v>
      </c>
      <c r="C230" s="1900" t="s">
        <v>745</v>
      </c>
      <c r="D230" s="1901" t="s">
        <v>1222</v>
      </c>
      <c r="E230" s="1819">
        <f>IF(HomeType=2,'Detailed Lighting'!$AS$29+'Detailed Lighting'!$AS$35+'Detailed Lighting'!$AS$36+'Detailed Lighting'!$AS$37+'Detailed Lighting'!$AS$38, 0)</f>
        <v>0</v>
      </c>
      <c r="F230" s="1691">
        <f>IF(HomeType=2,'Detailed Lighting'!$AI$29+'Detailed Lighting'!$AI$35+'Detailed Lighting'!$AI$36+'Detailed Lighting'!$AI$37+'Detailed Lighting'!$AI$38, 0)</f>
        <v>0</v>
      </c>
      <c r="G230" s="13"/>
      <c r="H230" s="13"/>
      <c r="I230" s="13"/>
    </row>
    <row r="231" spans="1:20" hidden="1">
      <c r="B231" s="1333" t="s">
        <v>6393</v>
      </c>
      <c r="C231" s="1900" t="s">
        <v>4697</v>
      </c>
      <c r="D231" s="1901" t="s">
        <v>1222</v>
      </c>
      <c r="E231" s="1819">
        <f>IF(HomeType=2,'Detailed Lighting'!$AS$16*NewConst!$F$39,0)</f>
        <v>0</v>
      </c>
      <c r="F231" s="1691">
        <f>IF(HomeType=2,'Detailed Lighting'!$AI$16*NewConst!$F$39,0)</f>
        <v>0</v>
      </c>
      <c r="G231" s="13"/>
      <c r="H231" s="13"/>
      <c r="I231" s="13"/>
    </row>
    <row r="232" spans="1:20" hidden="1">
      <c r="B232" s="1333" t="s">
        <v>6393</v>
      </c>
      <c r="C232" s="1902" t="s">
        <v>2884</v>
      </c>
      <c r="D232" s="1903" t="s">
        <v>1222</v>
      </c>
      <c r="E232" s="1819">
        <f>SUM(E226,E230:E231,E228)</f>
        <v>3735.9194486265833</v>
      </c>
      <c r="F232" s="1691">
        <f>SUM(F226,F230:F231,F228)</f>
        <v>0</v>
      </c>
      <c r="G232" s="9"/>
      <c r="H232" s="1201"/>
      <c r="I232" s="13"/>
    </row>
    <row r="233" spans="1:20" hidden="1">
      <c r="B233" s="1333" t="s">
        <v>6393</v>
      </c>
      <c r="C233" s="1900" t="s">
        <v>2885</v>
      </c>
      <c r="D233" s="1901" t="s">
        <v>1222</v>
      </c>
      <c r="E233" s="1847">
        <f>SUM(E227,E229)</f>
        <v>3735.9194486265833</v>
      </c>
      <c r="F233" s="1715">
        <f>SUM(F227,F229)</f>
        <v>0</v>
      </c>
      <c r="G233" s="9"/>
      <c r="H233" s="1320"/>
      <c r="I233" s="13"/>
    </row>
    <row r="234" spans="1:20" ht="12.75">
      <c r="B234" s="1308"/>
      <c r="C234" s="2142" t="s">
        <v>1158</v>
      </c>
      <c r="D234" s="2143"/>
      <c r="E234" s="2143"/>
      <c r="F234" s="2144"/>
      <c r="G234" s="9"/>
      <c r="H234" s="1320"/>
    </row>
    <row r="235" spans="1:20">
      <c r="A235" s="1310" t="s">
        <v>567</v>
      </c>
      <c r="B235" s="1333"/>
      <c r="C235" s="1950" t="s">
        <v>516</v>
      </c>
      <c r="D235" s="1912" t="s">
        <v>999</v>
      </c>
      <c r="E235" s="1952"/>
      <c r="F235" s="1737" t="s">
        <v>567</v>
      </c>
      <c r="G235" s="13"/>
      <c r="H235" s="1308" t="s">
        <v>1219</v>
      </c>
      <c r="I235" s="13"/>
    </row>
    <row r="236" spans="1:20" ht="12.75">
      <c r="A236" s="1313">
        <v>434</v>
      </c>
      <c r="B236" s="1333"/>
      <c r="C236" s="1775" t="s">
        <v>6228</v>
      </c>
      <c r="D236" s="1777" t="s">
        <v>1222</v>
      </c>
      <c r="E236" s="1675"/>
      <c r="F236" s="1747">
        <v>671</v>
      </c>
      <c r="G236" s="43"/>
      <c r="H236" s="1308" t="s">
        <v>562</v>
      </c>
      <c r="I236" s="13"/>
    </row>
    <row r="237" spans="1:20">
      <c r="B237" s="1308"/>
      <c r="C237" s="1799" t="s">
        <v>1071</v>
      </c>
      <c r="D237" s="1776" t="s">
        <v>1222</v>
      </c>
      <c r="E237" s="1672">
        <f>Appliances!E4</f>
        <v>434</v>
      </c>
      <c r="F237" s="1704">
        <f>IF(NewConst!F235="yes", NewConst!F236, NewConst!E237)</f>
        <v>671</v>
      </c>
      <c r="G237" s="9"/>
      <c r="H237" s="1320"/>
    </row>
    <row r="238" spans="1:20">
      <c r="B238" s="1308"/>
      <c r="C238" s="1799" t="s">
        <v>1071</v>
      </c>
      <c r="D238" s="1776" t="s">
        <v>842</v>
      </c>
      <c r="E238" s="1673">
        <f>E237/365</f>
        <v>1.189041095890411</v>
      </c>
      <c r="F238" s="1646">
        <f>F237/365</f>
        <v>1.8383561643835618</v>
      </c>
      <c r="G238" s="9"/>
      <c r="H238" s="1320"/>
    </row>
    <row r="239" spans="1:20">
      <c r="B239" s="1308"/>
      <c r="C239" s="1778" t="s">
        <v>205</v>
      </c>
      <c r="D239" s="1776" t="s">
        <v>1222</v>
      </c>
      <c r="E239" s="1674">
        <f>Appliances!M4</f>
        <v>434</v>
      </c>
      <c r="F239" s="1655">
        <f>F237*1</f>
        <v>671</v>
      </c>
      <c r="G239" s="9"/>
      <c r="H239" s="1320"/>
    </row>
    <row r="240" spans="1:20">
      <c r="B240" s="1308"/>
      <c r="C240" s="1904" t="s">
        <v>205</v>
      </c>
      <c r="D240" s="1789" t="s">
        <v>842</v>
      </c>
      <c r="E240" s="1702">
        <f>E239/365</f>
        <v>1.189041095890411</v>
      </c>
      <c r="F240" s="1759">
        <f>F239/365</f>
        <v>1.8383561643835618</v>
      </c>
      <c r="G240" s="9"/>
      <c r="H240" s="1320"/>
    </row>
    <row r="241" spans="1:16" hidden="1">
      <c r="A241" s="1313" t="s">
        <v>567</v>
      </c>
      <c r="B241" s="1333" t="s">
        <v>6393</v>
      </c>
      <c r="C241" s="1873" t="s">
        <v>1360</v>
      </c>
      <c r="D241" s="1861" t="s">
        <v>999</v>
      </c>
      <c r="E241" s="1822"/>
      <c r="F241" s="1737" t="s">
        <v>567</v>
      </c>
      <c r="G241" s="13"/>
      <c r="H241" s="13"/>
      <c r="I241" s="13"/>
    </row>
    <row r="242" spans="1:16" hidden="1">
      <c r="A242" s="1310" t="s">
        <v>567</v>
      </c>
      <c r="B242" s="1333" t="s">
        <v>6393</v>
      </c>
      <c r="C242" s="1882" t="s">
        <v>516</v>
      </c>
      <c r="D242" s="1875" t="s">
        <v>999</v>
      </c>
      <c r="E242" s="1823"/>
      <c r="F242" s="1738" t="s">
        <v>567</v>
      </c>
      <c r="G242" s="13"/>
      <c r="H242" s="13"/>
      <c r="I242" s="13"/>
    </row>
    <row r="243" spans="1:16" hidden="1">
      <c r="A243" s="1313">
        <v>434</v>
      </c>
      <c r="B243" s="1333" t="s">
        <v>6393</v>
      </c>
      <c r="C243" s="1876" t="s">
        <v>6228</v>
      </c>
      <c r="D243" s="1875" t="s">
        <v>1222</v>
      </c>
      <c r="E243" s="1823"/>
      <c r="F243" s="1747">
        <v>434</v>
      </c>
      <c r="G243" s="13"/>
      <c r="H243" s="13"/>
      <c r="I243" s="13"/>
    </row>
    <row r="244" spans="1:16" hidden="1">
      <c r="B244" s="1333" t="s">
        <v>6393</v>
      </c>
      <c r="C244" s="1905" t="s">
        <v>1071</v>
      </c>
      <c r="D244" s="1903" t="s">
        <v>1222</v>
      </c>
      <c r="E244" s="1826" t="str">
        <f>IF(HomeType=2, IF(NewConst!$F$241="yes", Appliances!$E$21,"N/A"),"N/A")</f>
        <v>N/A</v>
      </c>
      <c r="F244" s="1704" t="str">
        <f>IF(HomeType=2, IF(NewConst!F241="yes", IF(NewConst!F242="yes", NewConst!F243, E244),"N/A"),"N/A")</f>
        <v>N/A</v>
      </c>
      <c r="G244" s="13"/>
      <c r="H244" s="13"/>
      <c r="I244" s="13"/>
    </row>
    <row r="245" spans="1:16" hidden="1">
      <c r="B245" s="1333" t="s">
        <v>6393</v>
      </c>
      <c r="C245" s="1874" t="s">
        <v>205</v>
      </c>
      <c r="D245" s="1895" t="s">
        <v>1222</v>
      </c>
      <c r="E245" s="1934">
        <f>IF(HomeType=2, IF(NewConst!$F$241="yes", Appliances!$M$21,0),0)</f>
        <v>0</v>
      </c>
      <c r="F245" s="1657">
        <f>IF(F244="N/A", 0, F244*Appliances!$I$4)</f>
        <v>0</v>
      </c>
      <c r="G245" s="13"/>
      <c r="H245" s="13"/>
      <c r="I245" s="13"/>
    </row>
    <row r="246" spans="1:16" ht="12.75">
      <c r="B246" s="1308"/>
      <c r="C246" s="2179" t="s">
        <v>6321</v>
      </c>
      <c r="D246" s="2180"/>
      <c r="E246" s="2180"/>
      <c r="F246" s="2181"/>
      <c r="G246" s="1290"/>
      <c r="H246" s="1201"/>
    </row>
    <row r="247" spans="1:16">
      <c r="A247" s="1313" t="s">
        <v>567</v>
      </c>
      <c r="B247" s="2125"/>
      <c r="C247" s="1950" t="s">
        <v>6218</v>
      </c>
      <c r="D247" s="1785" t="s">
        <v>999</v>
      </c>
      <c r="E247" s="1952"/>
      <c r="F247" s="1737" t="s">
        <v>567</v>
      </c>
      <c r="G247" s="8"/>
      <c r="H247" s="8"/>
      <c r="I247" s="8"/>
      <c r="J247" s="8"/>
    </row>
    <row r="248" spans="1:16">
      <c r="A248" s="1313" t="s">
        <v>567</v>
      </c>
      <c r="B248" s="2125"/>
      <c r="C248" s="1906" t="s">
        <v>6217</v>
      </c>
      <c r="D248" s="1907" t="s">
        <v>999</v>
      </c>
      <c r="E248" s="1675"/>
      <c r="F248" s="1738" t="s">
        <v>567</v>
      </c>
      <c r="G248" s="8"/>
      <c r="H248" s="8"/>
      <c r="I248" s="8"/>
      <c r="J248" s="8"/>
    </row>
    <row r="249" spans="1:16" hidden="1">
      <c r="A249" s="1313" t="s">
        <v>671</v>
      </c>
      <c r="B249" s="1333" t="s">
        <v>6393</v>
      </c>
      <c r="C249" s="1908" t="s">
        <v>1361</v>
      </c>
      <c r="D249" s="1909" t="s">
        <v>999</v>
      </c>
      <c r="E249" s="1823"/>
      <c r="F249" s="1738" t="s">
        <v>671</v>
      </c>
      <c r="G249" s="13"/>
      <c r="H249" s="13"/>
      <c r="I249" s="13"/>
    </row>
    <row r="250" spans="1:16" hidden="1">
      <c r="A250" s="1313">
        <v>10</v>
      </c>
      <c r="B250" s="1333" t="s">
        <v>6393</v>
      </c>
      <c r="C250" s="1910" t="s">
        <v>1357</v>
      </c>
      <c r="D250" s="1911" t="s">
        <v>569</v>
      </c>
      <c r="E250" s="1823"/>
      <c r="F250" s="1738">
        <v>10</v>
      </c>
      <c r="G250" s="13"/>
      <c r="H250" s="13"/>
      <c r="I250" s="13"/>
    </row>
    <row r="251" spans="1:16">
      <c r="A251" s="1313">
        <v>533</v>
      </c>
      <c r="B251" s="1333"/>
      <c r="C251" s="1784" t="s">
        <v>977</v>
      </c>
      <c r="D251" s="1912"/>
      <c r="E251" s="1675"/>
      <c r="F251" s="1738">
        <v>533</v>
      </c>
      <c r="G251" s="13"/>
      <c r="H251" s="13"/>
      <c r="I251" s="13"/>
    </row>
    <row r="252" spans="1:16">
      <c r="A252" s="1313">
        <v>43</v>
      </c>
      <c r="B252" s="1333"/>
      <c r="C252" s="1775" t="s">
        <v>206</v>
      </c>
      <c r="D252" s="1913"/>
      <c r="E252" s="1675"/>
      <c r="F252" s="1738">
        <v>43</v>
      </c>
      <c r="G252" s="13"/>
      <c r="H252" s="13"/>
      <c r="I252" s="13"/>
    </row>
    <row r="253" spans="1:16" ht="12.75">
      <c r="A253" s="1313">
        <v>20</v>
      </c>
      <c r="B253" s="1333"/>
      <c r="C253" s="1775" t="s">
        <v>207</v>
      </c>
      <c r="D253" s="1913"/>
      <c r="E253" s="1675"/>
      <c r="F253" s="1738">
        <v>20</v>
      </c>
      <c r="G253" s="13"/>
      <c r="H253" s="13"/>
      <c r="I253" s="13"/>
      <c r="K253" s="43"/>
      <c r="L253" s="43"/>
      <c r="N253" s="43"/>
      <c r="O253" s="43"/>
      <c r="P253" s="43"/>
    </row>
    <row r="254" spans="1:16" ht="12.75" customHeight="1">
      <c r="A254" s="1314">
        <v>8.0299999999999996E-2</v>
      </c>
      <c r="B254" s="1333"/>
      <c r="C254" s="1775" t="s">
        <v>208</v>
      </c>
      <c r="D254" s="1913"/>
      <c r="E254" s="1675"/>
      <c r="F254" s="1738">
        <v>8.0299999999999996E-2</v>
      </c>
      <c r="G254" s="13"/>
      <c r="H254" s="13"/>
      <c r="I254" s="13"/>
      <c r="M254" s="43"/>
    </row>
    <row r="255" spans="1:16">
      <c r="A255" s="1314">
        <v>0.68879999999999997</v>
      </c>
      <c r="B255" s="1333"/>
      <c r="C255" s="1775" t="s">
        <v>455</v>
      </c>
      <c r="D255" s="1913"/>
      <c r="E255" s="1675"/>
      <c r="F255" s="1738">
        <v>0.68879999999999997</v>
      </c>
      <c r="G255" s="2035" t="s">
        <v>6503</v>
      </c>
      <c r="H255" s="13"/>
      <c r="I255" s="13"/>
    </row>
    <row r="256" spans="1:16">
      <c r="A256" s="1313">
        <v>1.1599999999999999</v>
      </c>
      <c r="B256" s="2126"/>
      <c r="C256" s="1775" t="s">
        <v>757</v>
      </c>
      <c r="D256" s="1913"/>
      <c r="E256" s="1675"/>
      <c r="F256" s="1738">
        <v>1.1599999999999999</v>
      </c>
      <c r="G256" s="2036" t="s">
        <v>6504</v>
      </c>
      <c r="H256" s="13"/>
      <c r="I256" s="13"/>
    </row>
    <row r="257" spans="1:20" ht="56.25">
      <c r="A257" s="1313" t="s">
        <v>567</v>
      </c>
      <c r="B257" s="1333"/>
      <c r="C257" s="1884" t="s">
        <v>811</v>
      </c>
      <c r="D257" s="1913" t="s">
        <v>999</v>
      </c>
      <c r="E257" s="1675"/>
      <c r="F257" s="1738" t="s">
        <v>567</v>
      </c>
      <c r="G257" s="2036" t="s">
        <v>6505</v>
      </c>
      <c r="H257" s="13"/>
      <c r="I257" s="13"/>
    </row>
    <row r="258" spans="1:20" ht="47.25" customHeight="1">
      <c r="A258" s="1313" t="s">
        <v>671</v>
      </c>
      <c r="B258" s="1333"/>
      <c r="C258" s="1884" t="s">
        <v>201</v>
      </c>
      <c r="D258" s="1913" t="s">
        <v>999</v>
      </c>
      <c r="E258" s="1675"/>
      <c r="F258" s="1738" t="s">
        <v>671</v>
      </c>
      <c r="G258" s="1447" t="s">
        <v>4777</v>
      </c>
      <c r="H258" s="13"/>
      <c r="I258" s="13"/>
      <c r="J258" s="43"/>
    </row>
    <row r="259" spans="1:20" ht="33.75">
      <c r="A259" s="1313" t="s">
        <v>671</v>
      </c>
      <c r="B259" s="1333"/>
      <c r="C259" s="1884" t="s">
        <v>910</v>
      </c>
      <c r="D259" s="1913" t="s">
        <v>999</v>
      </c>
      <c r="E259" s="1675"/>
      <c r="F259" s="1738" t="s">
        <v>671</v>
      </c>
      <c r="G259" s="1446" t="s">
        <v>908</v>
      </c>
      <c r="H259" s="43"/>
      <c r="I259" s="43"/>
      <c r="K259" s="8"/>
      <c r="L259" s="8"/>
      <c r="M259" s="8"/>
      <c r="N259" s="8"/>
      <c r="O259" s="8"/>
      <c r="P259" s="8"/>
      <c r="Q259" s="8"/>
      <c r="R259" s="8"/>
      <c r="S259" s="8"/>
      <c r="T259" s="8"/>
    </row>
    <row r="260" spans="1:20" ht="22.5">
      <c r="A260" s="1313" t="s">
        <v>6403</v>
      </c>
      <c r="B260" s="1333"/>
      <c r="C260" s="1884" t="s">
        <v>951</v>
      </c>
      <c r="D260" s="1913" t="s">
        <v>662</v>
      </c>
      <c r="E260" s="1675"/>
      <c r="F260" s="1738" t="s">
        <v>6403</v>
      </c>
      <c r="G260" s="13"/>
      <c r="H260" s="1308" t="s">
        <v>6403</v>
      </c>
      <c r="I260" s="13"/>
      <c r="K260" s="8"/>
      <c r="L260" s="8"/>
      <c r="M260" s="8"/>
      <c r="N260" s="8"/>
      <c r="O260" s="8"/>
      <c r="P260" s="8"/>
      <c r="Q260" s="8"/>
      <c r="R260" s="8"/>
      <c r="S260" s="8"/>
      <c r="T260" s="8"/>
    </row>
    <row r="261" spans="1:20" ht="12.75">
      <c r="A261" s="1313" t="s">
        <v>671</v>
      </c>
      <c r="B261" s="1333"/>
      <c r="C261" s="1775" t="s">
        <v>1148</v>
      </c>
      <c r="D261" s="1913" t="s">
        <v>999</v>
      </c>
      <c r="E261" s="1675"/>
      <c r="F261" s="1738" t="s">
        <v>671</v>
      </c>
      <c r="G261" s="13"/>
      <c r="H261" s="1308" t="s">
        <v>6404</v>
      </c>
      <c r="I261" s="13"/>
      <c r="Q261" s="43"/>
    </row>
    <row r="262" spans="1:20" ht="12.75">
      <c r="A262" s="1313">
        <v>3.15</v>
      </c>
      <c r="B262" s="1333"/>
      <c r="C262" s="1775" t="s">
        <v>809</v>
      </c>
      <c r="D262" s="1913" t="s">
        <v>192</v>
      </c>
      <c r="E262" s="1675"/>
      <c r="F262" s="1747">
        <v>3.15</v>
      </c>
      <c r="G262" s="13"/>
      <c r="H262" s="1308"/>
      <c r="I262" s="13"/>
      <c r="Q262" s="43"/>
      <c r="R262" s="43"/>
      <c r="S262" s="43"/>
      <c r="T262" s="43"/>
    </row>
    <row r="263" spans="1:20" ht="12.75">
      <c r="B263" s="1308"/>
      <c r="C263" s="1799" t="s">
        <v>1071</v>
      </c>
      <c r="D263" s="1776" t="s">
        <v>1222</v>
      </c>
      <c r="E263" s="1677">
        <f>Appliances!E43</f>
        <v>77.5</v>
      </c>
      <c r="F263" s="1678">
        <f xml:space="preserve"> IF(AND(NewConst!F247="yes",F248="yes"), Appliances!AF313, NewConst!E263)</f>
        <v>67.372680886821499</v>
      </c>
      <c r="G263" s="9"/>
      <c r="H263" s="1201"/>
      <c r="M263" s="43"/>
      <c r="R263" s="43"/>
      <c r="S263" s="43"/>
      <c r="T263" s="43"/>
    </row>
    <row r="264" spans="1:20">
      <c r="B264" s="1308"/>
      <c r="C264" s="1799" t="s">
        <v>1071</v>
      </c>
      <c r="D264" s="1776" t="s">
        <v>842</v>
      </c>
      <c r="E264" s="1673">
        <f>E263/365</f>
        <v>0.21232876712328766</v>
      </c>
      <c r="F264" s="1646">
        <f>F263/365</f>
        <v>0.1845826873611548</v>
      </c>
      <c r="G264" s="1290"/>
      <c r="H264" s="1201"/>
      <c r="I264" s="15"/>
    </row>
    <row r="265" spans="1:20">
      <c r="B265" s="1308"/>
      <c r="C265" s="1799" t="s">
        <v>1072</v>
      </c>
      <c r="D265" s="1776" t="s">
        <v>1222</v>
      </c>
      <c r="E265" s="1677">
        <f>Appliances!M43</f>
        <v>62</v>
      </c>
      <c r="F265" s="1676">
        <f>IF(NewConst!F247="yes",F263*Appliances!$I$5,NewConst!E265)</f>
        <v>53.898144709457199</v>
      </c>
      <c r="G265" s="9"/>
      <c r="H265" s="1201"/>
      <c r="I265" s="15"/>
    </row>
    <row r="266" spans="1:20" s="43" customFormat="1" ht="12.75">
      <c r="A266" s="1308"/>
      <c r="B266" s="1308"/>
      <c r="C266" s="1799" t="s">
        <v>456</v>
      </c>
      <c r="D266" s="1776" t="s">
        <v>1222</v>
      </c>
      <c r="E266" s="1673">
        <f>Appliances!N43</f>
        <v>0</v>
      </c>
      <c r="F266" s="1646">
        <f>IF(NewConst!F247="yes",F263*Appliances!$J$5,NewConst!E266)</f>
        <v>0</v>
      </c>
      <c r="G266" s="1328"/>
      <c r="H266" s="1201"/>
      <c r="I266" s="15"/>
      <c r="J266" s="13"/>
      <c r="K266" s="13"/>
      <c r="L266" s="13"/>
      <c r="M266" s="13"/>
      <c r="N266" s="13"/>
      <c r="O266" s="13"/>
      <c r="P266" s="13"/>
      <c r="Q266" s="13"/>
      <c r="R266" s="13"/>
      <c r="S266" s="13"/>
      <c r="T266" s="13"/>
    </row>
    <row r="267" spans="1:20">
      <c r="B267" s="1308"/>
      <c r="C267" s="1799" t="s">
        <v>1072</v>
      </c>
      <c r="D267" s="1776" t="s">
        <v>842</v>
      </c>
      <c r="E267" s="1673">
        <f>E265/365</f>
        <v>0.16986301369863013</v>
      </c>
      <c r="F267" s="1646">
        <f>F265/365</f>
        <v>0.14766614988892382</v>
      </c>
      <c r="G267" s="9"/>
      <c r="H267" s="1201"/>
      <c r="I267" s="15"/>
    </row>
    <row r="268" spans="1:20" ht="12.75">
      <c r="B268" s="1308"/>
      <c r="C268" s="1883" t="s">
        <v>456</v>
      </c>
      <c r="D268" s="1789" t="s">
        <v>842</v>
      </c>
      <c r="E268" s="1933">
        <f>E266/365</f>
        <v>0</v>
      </c>
      <c r="F268" s="1709">
        <f>F266/365</f>
        <v>0</v>
      </c>
      <c r="G268" s="9"/>
      <c r="H268" s="1201"/>
      <c r="I268" s="15"/>
      <c r="Q268" s="43"/>
      <c r="R268" s="43"/>
      <c r="S268" s="43"/>
      <c r="T268" s="43"/>
    </row>
    <row r="269" spans="1:20" ht="12.75">
      <c r="B269" s="1308"/>
      <c r="C269" s="2142" t="str">
        <f>"Clothes Dryer (" &amp; NewConst!F271 &amp; ") -  Either residential unit OR common area total"</f>
        <v>Clothes Dryer (Gas) -  Either residential unit OR common area total</v>
      </c>
      <c r="D269" s="2143"/>
      <c r="E269" s="2143"/>
      <c r="F269" s="2144"/>
      <c r="G269" s="9"/>
      <c r="H269" s="1201"/>
      <c r="I269" s="15"/>
    </row>
    <row r="270" spans="1:20" ht="12.75">
      <c r="A270" s="1313" t="s">
        <v>567</v>
      </c>
      <c r="B270" s="1333"/>
      <c r="C270" s="1950" t="s">
        <v>6220</v>
      </c>
      <c r="D270" s="1785" t="s">
        <v>999</v>
      </c>
      <c r="E270" s="1952"/>
      <c r="F270" s="1737" t="s">
        <v>567</v>
      </c>
      <c r="G270" s="13"/>
      <c r="H270" s="43"/>
      <c r="I270" s="43"/>
    </row>
    <row r="271" spans="1:20" ht="12.75">
      <c r="A271" s="1313" t="s">
        <v>464</v>
      </c>
      <c r="B271" s="1333"/>
      <c r="C271" s="1775" t="s">
        <v>663</v>
      </c>
      <c r="D271" s="1913" t="s">
        <v>950</v>
      </c>
      <c r="E271" s="1675"/>
      <c r="F271" s="1738" t="s">
        <v>464</v>
      </c>
      <c r="G271" s="1446" t="s">
        <v>6506</v>
      </c>
      <c r="H271" s="13"/>
      <c r="I271" s="13"/>
      <c r="M271" s="43"/>
      <c r="Q271" s="43"/>
      <c r="R271" s="43"/>
      <c r="S271" s="43"/>
      <c r="T271" s="43"/>
    </row>
    <row r="272" spans="1:20" ht="12.75">
      <c r="A272" s="1313">
        <v>3.1</v>
      </c>
      <c r="B272" s="1333"/>
      <c r="C272" s="1851" t="s">
        <v>664</v>
      </c>
      <c r="D272" s="1913" t="s">
        <v>665</v>
      </c>
      <c r="E272" s="1675"/>
      <c r="F272" s="1738">
        <v>3.1</v>
      </c>
      <c r="G272" s="2034" t="s">
        <v>6504</v>
      </c>
      <c r="H272" s="13"/>
      <c r="I272" s="13"/>
      <c r="R272" s="43"/>
      <c r="S272" s="43"/>
      <c r="T272" s="43"/>
    </row>
    <row r="273" spans="1:20" s="43" customFormat="1" ht="12.75">
      <c r="A273" s="1313">
        <v>2.75</v>
      </c>
      <c r="B273" s="1333"/>
      <c r="C273" s="1851" t="s">
        <v>1319</v>
      </c>
      <c r="D273" s="1913" t="s">
        <v>665</v>
      </c>
      <c r="E273" s="1675"/>
      <c r="F273" s="1738">
        <v>2.75</v>
      </c>
      <c r="G273" s="1118"/>
      <c r="H273" s="13"/>
      <c r="I273" s="13"/>
      <c r="J273" s="13"/>
      <c r="M273" s="13"/>
      <c r="Q273" s="13"/>
      <c r="R273" s="13"/>
      <c r="S273" s="13"/>
      <c r="T273" s="13"/>
    </row>
    <row r="274" spans="1:20">
      <c r="A274" s="1313" t="s">
        <v>671</v>
      </c>
      <c r="B274" s="1333"/>
      <c r="C274" s="1851" t="s">
        <v>1320</v>
      </c>
      <c r="D274" s="1913" t="s">
        <v>999</v>
      </c>
      <c r="E274" s="1675"/>
      <c r="F274" s="1738" t="s">
        <v>671</v>
      </c>
      <c r="G274" s="1" t="s">
        <v>1245</v>
      </c>
      <c r="H274" s="13"/>
      <c r="I274" s="13"/>
    </row>
    <row r="275" spans="1:20">
      <c r="A275" s="1313">
        <v>5.7</v>
      </c>
      <c r="B275" s="1333"/>
      <c r="C275" s="1775" t="s">
        <v>1321</v>
      </c>
      <c r="D275" s="1913" t="s">
        <v>192</v>
      </c>
      <c r="E275" s="1675"/>
      <c r="F275" s="1738">
        <v>5.7</v>
      </c>
      <c r="G275" s="13"/>
      <c r="H275" s="13"/>
      <c r="I275" s="13"/>
    </row>
    <row r="276" spans="1:20" ht="12.75">
      <c r="A276" s="1315">
        <v>7.0000000000000007E-2</v>
      </c>
      <c r="B276" s="1333"/>
      <c r="C276" s="1804" t="s">
        <v>955</v>
      </c>
      <c r="D276" s="1805" t="s">
        <v>877</v>
      </c>
      <c r="E276" s="1679"/>
      <c r="F276" s="1758">
        <v>7.0000000000000007E-2</v>
      </c>
      <c r="G276" s="43"/>
      <c r="H276" s="13"/>
      <c r="I276" s="13"/>
    </row>
    <row r="277" spans="1:20">
      <c r="B277" s="1308"/>
      <c r="C277" s="1798" t="s">
        <v>1071</v>
      </c>
      <c r="D277" s="1774" t="s">
        <v>1222</v>
      </c>
      <c r="E277" s="1680">
        <f>IF(NewConst!$F$271="Gas",Appliances!$E$45, Appliances!$E$44)</f>
        <v>85.9</v>
      </c>
      <c r="F277" s="1680">
        <f>IF($F$270="NO",IF($F$249="NO",E277,IF(NewConst!$F$271="Gas",Appliances!AI410,Appliances!AH410)),IF(NewConst!$F$271="Gas",Appliances!AI410,Appliances!AH410))</f>
        <v>77.69524695378982</v>
      </c>
      <c r="G277" s="9"/>
      <c r="H277" s="1201"/>
      <c r="I277" s="15"/>
    </row>
    <row r="278" spans="1:20">
      <c r="B278" s="1308"/>
      <c r="C278" s="1799" t="s">
        <v>890</v>
      </c>
      <c r="D278" s="1776" t="s">
        <v>490</v>
      </c>
      <c r="E278" s="1676">
        <f>IF(NewConst!$F$271="Gas",Appliances!$H$45, Appliances!$H$44)</f>
        <v>39</v>
      </c>
      <c r="F278" s="1676">
        <f>IF($F$270="NO",IF($F$249="NO",E278,IF(NewConst!$F$271="Gas",Appliances!AI411,Appliances!AH411)),IF(NewConst!$F$271="Gas",Appliances!AI411,Appliances!AH411))</f>
        <v>35.219921403412513</v>
      </c>
      <c r="G278" s="1290"/>
      <c r="H278" s="1201"/>
      <c r="I278" s="15"/>
    </row>
    <row r="279" spans="1:20">
      <c r="B279" s="1308"/>
      <c r="C279" s="1799" t="s">
        <v>1071</v>
      </c>
      <c r="D279" s="1776" t="s">
        <v>842</v>
      </c>
      <c r="E279" s="1646">
        <f>E277/365</f>
        <v>0.23534246575342468</v>
      </c>
      <c r="F279" s="1646">
        <f>F277/365</f>
        <v>0.21286369028435567</v>
      </c>
      <c r="G279" s="1290"/>
      <c r="H279" s="1201"/>
      <c r="I279" s="15"/>
    </row>
    <row r="280" spans="1:20" ht="13.5" customHeight="1">
      <c r="B280" s="1308"/>
      <c r="C280" s="1799" t="s">
        <v>890</v>
      </c>
      <c r="D280" s="1776" t="s">
        <v>891</v>
      </c>
      <c r="E280" s="1646">
        <f>E278/365</f>
        <v>0.10684931506849316</v>
      </c>
      <c r="F280" s="1646">
        <f>IF(F278="NA", "NA", F278/365)</f>
        <v>9.6492935351815107E-2</v>
      </c>
      <c r="G280" s="9"/>
      <c r="H280" s="1201"/>
      <c r="I280" s="15"/>
    </row>
    <row r="281" spans="1:20" ht="12.75">
      <c r="B281" s="1308"/>
      <c r="C281" s="1799" t="s">
        <v>892</v>
      </c>
      <c r="D281" s="1776" t="s">
        <v>1222</v>
      </c>
      <c r="E281" s="1648">
        <f>IF(NewConst!$F$271="Electric",Appliances!$M$44, IF(NewConst!$F$271="Gas", Appliances!$M$45, "Dryer Error"))</f>
        <v>85.9</v>
      </c>
      <c r="F281" s="1648">
        <f>IF(NewConst!F270="yes", F277*IF(NewConst!F271="Electric", 0.15, IF(NewConst!F271="Gas", 1, "Dryer Error")), E281)</f>
        <v>77.69524695378982</v>
      </c>
      <c r="G281" s="9"/>
      <c r="H281" s="1201"/>
      <c r="Q281" s="43"/>
    </row>
    <row r="282" spans="1:20" ht="12.75">
      <c r="B282" s="1308"/>
      <c r="C282" s="1799" t="s">
        <v>1157</v>
      </c>
      <c r="D282" s="1776" t="s">
        <v>1222</v>
      </c>
      <c r="E282" s="1646">
        <f>IF(NewConst!$F$271="Electric",Appliances!$N$44, IF(NewConst!$F$271="Gas", Appliances!$N$45, "Dryer Error"))</f>
        <v>0</v>
      </c>
      <c r="F282" s="1646">
        <f>IF(NewConst!F270="yes", F277*IF(NewConst!F271="Electric", 0.05, IF(NewConst!F271="Gas", 0, "Dryer Error")), E282)</f>
        <v>0</v>
      </c>
      <c r="G282" s="9"/>
      <c r="H282" s="1201"/>
      <c r="I282" s="15"/>
      <c r="Q282" s="43"/>
    </row>
    <row r="283" spans="1:20">
      <c r="B283" s="1308"/>
      <c r="C283" s="1799" t="s">
        <v>980</v>
      </c>
      <c r="D283" s="1776" t="s">
        <v>490</v>
      </c>
      <c r="E283" s="1646">
        <f>IF(NewConst!$F$271="Gas", Appliances!$O$45,0)</f>
        <v>3.9000000000000004</v>
      </c>
      <c r="F283" s="1646">
        <f>IF(NewConst!F270="yes", IF(NewConst!F271="Gas", NewConst!F278*0.1,0), E283)</f>
        <v>3.5219921403412515</v>
      </c>
      <c r="G283" s="9"/>
      <c r="H283" s="1201"/>
      <c r="I283" s="15"/>
    </row>
    <row r="284" spans="1:20" ht="12.75">
      <c r="B284" s="1308"/>
      <c r="C284" s="1883" t="s">
        <v>622</v>
      </c>
      <c r="D284" s="1789" t="s">
        <v>490</v>
      </c>
      <c r="E284" s="1709">
        <f>IF(NewConst!$F$271="Gas", Appliances!P45,0)</f>
        <v>1.9500000000000002</v>
      </c>
      <c r="F284" s="1709">
        <f>IF(NewConst!F270="yes", IF(NewConst!F271="Gas", NewConst!F278*0.05,0), E284)</f>
        <v>1.7609960701706258</v>
      </c>
      <c r="G284" s="9"/>
      <c r="H284" s="1201"/>
      <c r="I284" s="15"/>
      <c r="K284" s="43"/>
      <c r="L284" s="43"/>
      <c r="N284" s="43"/>
      <c r="O284" s="43"/>
      <c r="P284" s="43"/>
    </row>
    <row r="285" spans="1:20" ht="12.75" customHeight="1">
      <c r="B285" s="1308"/>
      <c r="C285" s="2142" t="s">
        <v>526</v>
      </c>
      <c r="D285" s="2143"/>
      <c r="E285" s="2143"/>
      <c r="F285" s="2144"/>
      <c r="G285" s="9"/>
      <c r="H285" s="1201"/>
      <c r="I285" s="15"/>
      <c r="M285" s="43"/>
      <c r="Q285" s="43"/>
    </row>
    <row r="286" spans="1:20" ht="12.75">
      <c r="A286" s="1313" t="s">
        <v>567</v>
      </c>
      <c r="B286" s="1333"/>
      <c r="C286" s="1950" t="s">
        <v>1156</v>
      </c>
      <c r="D286" s="1785" t="s">
        <v>999</v>
      </c>
      <c r="E286" s="1951"/>
      <c r="F286" s="1737" t="s">
        <v>567</v>
      </c>
      <c r="G286" s="13" t="str">
        <f>IF(AND(F293="no", F294="no",F286="yes"), "Setpoint for DHW tank should be 140 F for selected Dishwasher.", "")</f>
        <v/>
      </c>
      <c r="H286" s="13"/>
      <c r="I286" s="13"/>
      <c r="Q286" s="43"/>
    </row>
    <row r="287" spans="1:20">
      <c r="A287" s="1313">
        <v>372</v>
      </c>
      <c r="B287" s="1333"/>
      <c r="C287" s="1775" t="s">
        <v>977</v>
      </c>
      <c r="D287" s="1777"/>
      <c r="E287" s="1681"/>
      <c r="F287" s="1738">
        <v>372</v>
      </c>
      <c r="G287" s="13"/>
      <c r="H287" s="13"/>
      <c r="I287" s="13"/>
    </row>
    <row r="288" spans="1:20" ht="12.75">
      <c r="A288" s="1316">
        <v>31</v>
      </c>
      <c r="B288" s="1333"/>
      <c r="C288" s="1775" t="s">
        <v>206</v>
      </c>
      <c r="D288" s="1777"/>
      <c r="E288" s="1681"/>
      <c r="F288" s="1760">
        <v>31</v>
      </c>
      <c r="G288" s="13"/>
      <c r="H288" s="13"/>
      <c r="I288" s="13"/>
      <c r="K288" s="43"/>
      <c r="L288" s="43"/>
      <c r="N288" s="43"/>
      <c r="O288" s="43"/>
      <c r="P288" s="43"/>
    </row>
    <row r="289" spans="1:20" ht="12.75">
      <c r="A289" s="1316">
        <v>21</v>
      </c>
      <c r="B289" s="1333"/>
      <c r="C289" s="1775" t="s">
        <v>207</v>
      </c>
      <c r="D289" s="1777"/>
      <c r="E289" s="1681"/>
      <c r="F289" s="1760">
        <v>21</v>
      </c>
      <c r="G289" s="13"/>
      <c r="H289" s="13"/>
      <c r="I289" s="13"/>
      <c r="J289" s="43"/>
    </row>
    <row r="290" spans="1:20" ht="12.75">
      <c r="A290" s="1314">
        <v>8.4000000000000005E-2</v>
      </c>
      <c r="B290" s="1333"/>
      <c r="C290" s="1775" t="s">
        <v>208</v>
      </c>
      <c r="D290" s="1777"/>
      <c r="E290" s="1681"/>
      <c r="F290" s="1761">
        <v>8.4000000000000005E-2</v>
      </c>
      <c r="G290" s="13"/>
      <c r="H290" s="43"/>
      <c r="I290" s="43"/>
    </row>
    <row r="291" spans="1:20">
      <c r="A291" s="1314">
        <v>0.82</v>
      </c>
      <c r="B291" s="1333"/>
      <c r="C291" s="1775" t="s">
        <v>455</v>
      </c>
      <c r="D291" s="1777"/>
      <c r="E291" s="1681"/>
      <c r="F291" s="1761">
        <v>0.82</v>
      </c>
      <c r="G291" s="13"/>
      <c r="H291" s="13"/>
      <c r="I291" s="13"/>
    </row>
    <row r="292" spans="1:20">
      <c r="A292" s="1313">
        <v>14</v>
      </c>
      <c r="B292" s="1333"/>
      <c r="C292" s="1775" t="s">
        <v>520</v>
      </c>
      <c r="D292" s="1777" t="s">
        <v>569</v>
      </c>
      <c r="E292" s="1681"/>
      <c r="F292" s="1738">
        <v>14</v>
      </c>
      <c r="G292" s="13"/>
      <c r="H292" s="13"/>
      <c r="I292" s="13"/>
    </row>
    <row r="293" spans="1:20">
      <c r="A293" s="1313" t="s">
        <v>567</v>
      </c>
      <c r="B293" s="1333"/>
      <c r="C293" s="1775" t="s">
        <v>770</v>
      </c>
      <c r="D293" s="1777" t="s">
        <v>999</v>
      </c>
      <c r="E293" s="1681"/>
      <c r="F293" s="1738" t="s">
        <v>567</v>
      </c>
      <c r="G293" s="13" t="s">
        <v>748</v>
      </c>
      <c r="H293" s="13"/>
      <c r="I293" s="13"/>
    </row>
    <row r="294" spans="1:20" ht="12.75">
      <c r="A294" s="1313" t="s">
        <v>671</v>
      </c>
      <c r="B294" s="1333"/>
      <c r="C294" s="1775" t="s">
        <v>826</v>
      </c>
      <c r="D294" s="1777" t="s">
        <v>999</v>
      </c>
      <c r="E294" s="1681"/>
      <c r="F294" s="1738" t="s">
        <v>671</v>
      </c>
      <c r="G294" s="13" t="s">
        <v>382</v>
      </c>
      <c r="H294" s="13"/>
      <c r="I294" s="13"/>
      <c r="J294" s="43"/>
    </row>
    <row r="295" spans="1:20">
      <c r="A295" s="1313">
        <v>5</v>
      </c>
      <c r="B295" s="1333"/>
      <c r="C295" s="1775" t="s">
        <v>36</v>
      </c>
      <c r="D295" s="1777" t="s">
        <v>779</v>
      </c>
      <c r="E295" s="1681"/>
      <c r="F295" s="1738">
        <v>5</v>
      </c>
      <c r="G295" s="13"/>
      <c r="H295" s="13"/>
      <c r="I295" s="13"/>
    </row>
    <row r="296" spans="1:20">
      <c r="A296" s="1317">
        <v>37622</v>
      </c>
      <c r="B296" s="1333"/>
      <c r="C296" s="1804" t="s">
        <v>352</v>
      </c>
      <c r="D296" s="1805" t="s">
        <v>4706</v>
      </c>
      <c r="E296" s="1682"/>
      <c r="F296" s="1738" t="s">
        <v>6403</v>
      </c>
      <c r="G296" s="13"/>
      <c r="H296" s="1308" t="s">
        <v>6403</v>
      </c>
      <c r="I296" s="13"/>
    </row>
    <row r="297" spans="1:20">
      <c r="B297" s="1308"/>
      <c r="C297" s="1798" t="s">
        <v>1071</v>
      </c>
      <c r="D297" s="1774" t="s">
        <v>1222</v>
      </c>
      <c r="E297" s="1680">
        <f>Appliances!$E$9</f>
        <v>175.2</v>
      </c>
      <c r="F297" s="1763">
        <f>IF(NewConst!F286="yes", Appliances!AF140, NewConst!E297)</f>
        <v>87.134641360199424</v>
      </c>
      <c r="G297" s="9"/>
      <c r="H297" s="1308" t="s">
        <v>6515</v>
      </c>
      <c r="I297" s="1201"/>
      <c r="J297" s="633"/>
    </row>
    <row r="298" spans="1:20" ht="12.75">
      <c r="B298" s="1308"/>
      <c r="C298" s="1799" t="s">
        <v>1071</v>
      </c>
      <c r="D298" s="1776" t="s">
        <v>842</v>
      </c>
      <c r="E298" s="1683">
        <f>E297/365</f>
        <v>0.48</v>
      </c>
      <c r="F298" s="1683">
        <f>F297/365</f>
        <v>0.23872504482246418</v>
      </c>
      <c r="G298" s="9"/>
      <c r="H298" s="1308" t="s">
        <v>6514</v>
      </c>
      <c r="I298" s="1201"/>
      <c r="J298" s="633"/>
      <c r="M298" s="43"/>
      <c r="R298" s="43"/>
      <c r="S298" s="43"/>
      <c r="T298" s="43"/>
    </row>
    <row r="299" spans="1:20">
      <c r="B299" s="1308"/>
      <c r="C299" s="1799" t="s">
        <v>623</v>
      </c>
      <c r="D299" s="1776" t="s">
        <v>1222</v>
      </c>
      <c r="E299" s="1676">
        <f>Appliances!$M$9</f>
        <v>105.11999999999999</v>
      </c>
      <c r="F299" s="1676">
        <f>IF(NewConst!F286="yes", NewConst!F297*0.6, NewConst!E299)</f>
        <v>52.280784816119656</v>
      </c>
      <c r="G299" s="9"/>
      <c r="H299" s="1201"/>
      <c r="I299" s="1084"/>
      <c r="J299" s="1084"/>
    </row>
    <row r="300" spans="1:20" s="43" customFormat="1" ht="12.75">
      <c r="A300" s="1308"/>
      <c r="B300" s="1308"/>
      <c r="C300" s="1799" t="s">
        <v>4</v>
      </c>
      <c r="D300" s="1776" t="s">
        <v>1222</v>
      </c>
      <c r="E300" s="1676">
        <f>Appliances!$N$9</f>
        <v>26.279999999999998</v>
      </c>
      <c r="F300" s="1676">
        <f>IF(NewConst!F286="yes", NewConst!F297*0.15, NewConst!E300)</f>
        <v>13.070196204029914</v>
      </c>
      <c r="G300" s="9"/>
      <c r="H300" s="1201"/>
      <c r="I300" s="1199"/>
      <c r="J300" s="1199"/>
      <c r="K300" s="13"/>
      <c r="L300" s="13"/>
      <c r="M300" s="13"/>
      <c r="N300" s="13"/>
      <c r="O300" s="13"/>
      <c r="P300" s="13"/>
      <c r="Q300" s="13"/>
      <c r="R300" s="13"/>
      <c r="S300" s="13"/>
      <c r="T300" s="13"/>
    </row>
    <row r="301" spans="1:20" s="43" customFormat="1" ht="12.75">
      <c r="A301" s="1308"/>
      <c r="B301" s="1308"/>
      <c r="C301" s="1799" t="s">
        <v>623</v>
      </c>
      <c r="D301" s="1776" t="s">
        <v>842</v>
      </c>
      <c r="E301" s="1683">
        <f>E299/365</f>
        <v>0.28799999999999998</v>
      </c>
      <c r="F301" s="1683">
        <f>F299/365</f>
        <v>0.1432350268934785</v>
      </c>
      <c r="G301" s="9"/>
      <c r="H301" s="1201"/>
      <c r="I301" s="1200"/>
      <c r="J301" s="633"/>
      <c r="K301" s="13"/>
      <c r="L301" s="13"/>
      <c r="M301" s="13"/>
      <c r="N301" s="13"/>
      <c r="O301" s="13"/>
      <c r="P301" s="13"/>
      <c r="Q301" s="13"/>
      <c r="R301" s="13"/>
      <c r="S301" s="13"/>
      <c r="T301" s="13"/>
    </row>
    <row r="302" spans="1:20" ht="12.75">
      <c r="B302" s="1308"/>
      <c r="C302" s="1883" t="s">
        <v>4</v>
      </c>
      <c r="D302" s="1789" t="s">
        <v>842</v>
      </c>
      <c r="E302" s="1705">
        <f>E300/365</f>
        <v>7.1999999999999995E-2</v>
      </c>
      <c r="F302" s="1764">
        <f>F300/365</f>
        <v>3.5808756723369625E-2</v>
      </c>
      <c r="G302" s="9"/>
      <c r="H302" s="1201"/>
      <c r="I302" s="1201"/>
      <c r="J302" s="633"/>
      <c r="R302" s="43"/>
      <c r="S302" s="43"/>
      <c r="T302" s="43"/>
    </row>
    <row r="303" spans="1:20" ht="12.75" hidden="1">
      <c r="A303" s="1313" t="s">
        <v>567</v>
      </c>
      <c r="B303" s="1333" t="s">
        <v>6393</v>
      </c>
      <c r="C303" s="1873" t="s">
        <v>1358</v>
      </c>
      <c r="D303" s="1861" t="s">
        <v>999</v>
      </c>
      <c r="E303" s="1763"/>
      <c r="F303" s="1737" t="s">
        <v>567</v>
      </c>
      <c r="G303" s="43"/>
      <c r="H303" s="633"/>
      <c r="I303" s="633"/>
      <c r="J303" s="633"/>
      <c r="R303" s="43"/>
      <c r="S303" s="43"/>
      <c r="T303" s="43"/>
    </row>
    <row r="304" spans="1:20" ht="12.75" hidden="1">
      <c r="A304" s="1313" t="s">
        <v>567</v>
      </c>
      <c r="B304" s="1333" t="s">
        <v>6393</v>
      </c>
      <c r="C304" s="1882" t="s">
        <v>1156</v>
      </c>
      <c r="D304" s="1875" t="s">
        <v>999</v>
      </c>
      <c r="E304" s="1681"/>
      <c r="F304" s="1738" t="s">
        <v>567</v>
      </c>
      <c r="G304" s="43"/>
      <c r="H304" s="633"/>
      <c r="I304" s="633"/>
      <c r="J304" s="633"/>
    </row>
    <row r="305" spans="1:20" s="43" customFormat="1" ht="12.75" hidden="1">
      <c r="A305" s="1313">
        <v>372</v>
      </c>
      <c r="B305" s="1333" t="s">
        <v>6393</v>
      </c>
      <c r="C305" s="1876" t="s">
        <v>977</v>
      </c>
      <c r="D305" s="1875"/>
      <c r="E305" s="1681"/>
      <c r="F305" s="1738">
        <v>372</v>
      </c>
      <c r="G305" s="13"/>
      <c r="H305" s="13"/>
      <c r="I305" s="13"/>
      <c r="J305" s="13"/>
      <c r="K305" s="13"/>
      <c r="L305" s="13"/>
      <c r="M305" s="13"/>
      <c r="N305" s="13"/>
      <c r="O305" s="13"/>
      <c r="P305" s="13"/>
      <c r="Q305" s="13"/>
      <c r="R305" s="13"/>
      <c r="S305" s="13"/>
      <c r="T305" s="13"/>
    </row>
    <row r="306" spans="1:20" s="43" customFormat="1" ht="12.75" hidden="1">
      <c r="A306" s="1313">
        <v>31</v>
      </c>
      <c r="B306" s="1333" t="s">
        <v>6393</v>
      </c>
      <c r="C306" s="1876" t="s">
        <v>206</v>
      </c>
      <c r="D306" s="1875"/>
      <c r="E306" s="1681"/>
      <c r="F306" s="1760">
        <v>31</v>
      </c>
      <c r="G306" s="13"/>
      <c r="H306" s="13"/>
      <c r="I306" s="13"/>
      <c r="J306" s="13"/>
      <c r="K306" s="13"/>
      <c r="L306" s="13"/>
      <c r="M306" s="13"/>
      <c r="N306" s="13"/>
      <c r="O306" s="13"/>
      <c r="P306" s="13"/>
      <c r="R306" s="13"/>
      <c r="S306" s="13"/>
      <c r="T306" s="13"/>
    </row>
    <row r="307" spans="1:20" ht="12.75" hidden="1">
      <c r="A307" s="1313">
        <v>21</v>
      </c>
      <c r="B307" s="1333" t="s">
        <v>6393</v>
      </c>
      <c r="C307" s="1876" t="s">
        <v>207</v>
      </c>
      <c r="D307" s="1875"/>
      <c r="E307" s="1681"/>
      <c r="F307" s="1760">
        <v>21</v>
      </c>
      <c r="G307" s="13"/>
      <c r="H307" s="13"/>
      <c r="I307" s="13"/>
      <c r="Q307" s="43"/>
    </row>
    <row r="308" spans="1:20" ht="12.75" hidden="1">
      <c r="A308" s="1313">
        <v>8.4000000000000005E-2</v>
      </c>
      <c r="B308" s="1333" t="s">
        <v>6393</v>
      </c>
      <c r="C308" s="1876" t="s">
        <v>208</v>
      </c>
      <c r="D308" s="1875"/>
      <c r="E308" s="1681"/>
      <c r="F308" s="1761">
        <v>8.4000000000000005E-2</v>
      </c>
      <c r="G308" s="13"/>
      <c r="H308" s="43"/>
      <c r="I308" s="43"/>
    </row>
    <row r="309" spans="1:20" hidden="1">
      <c r="A309" s="1313">
        <v>0.82</v>
      </c>
      <c r="B309" s="1333" t="s">
        <v>6393</v>
      </c>
      <c r="C309" s="1876" t="s">
        <v>455</v>
      </c>
      <c r="D309" s="1875"/>
      <c r="E309" s="1681"/>
      <c r="F309" s="1761">
        <v>0.82</v>
      </c>
      <c r="G309" s="13"/>
      <c r="H309" s="13"/>
      <c r="I309" s="13"/>
      <c r="K309" s="633"/>
      <c r="L309" s="633"/>
      <c r="M309" s="633"/>
      <c r="N309" s="633"/>
    </row>
    <row r="310" spans="1:20" hidden="1">
      <c r="A310" s="1313">
        <v>14</v>
      </c>
      <c r="B310" s="1333" t="s">
        <v>6393</v>
      </c>
      <c r="C310" s="1876" t="s">
        <v>520</v>
      </c>
      <c r="D310" s="1875" t="s">
        <v>569</v>
      </c>
      <c r="E310" s="1681"/>
      <c r="F310" s="1738">
        <v>14</v>
      </c>
      <c r="G310" s="13"/>
      <c r="H310" s="13"/>
      <c r="I310" s="13"/>
      <c r="K310" s="633"/>
      <c r="L310" s="633"/>
      <c r="M310" s="633"/>
      <c r="N310" s="633"/>
    </row>
    <row r="311" spans="1:20" ht="11.25" hidden="1" customHeight="1">
      <c r="A311" s="1313" t="s">
        <v>567</v>
      </c>
      <c r="B311" s="1333" t="s">
        <v>6393</v>
      </c>
      <c r="C311" s="1876" t="s">
        <v>770</v>
      </c>
      <c r="D311" s="1875" t="s">
        <v>999</v>
      </c>
      <c r="E311" s="1681"/>
      <c r="F311" s="1738" t="s">
        <v>567</v>
      </c>
      <c r="G311" s="13" t="s">
        <v>748</v>
      </c>
      <c r="H311" s="13"/>
      <c r="I311" s="13"/>
      <c r="K311" s="1084"/>
      <c r="L311" s="633"/>
      <c r="M311" s="633"/>
      <c r="N311" s="633"/>
    </row>
    <row r="312" spans="1:20" ht="11.25" hidden="1" customHeight="1">
      <c r="A312" s="1313" t="s">
        <v>671</v>
      </c>
      <c r="B312" s="1333" t="s">
        <v>6393</v>
      </c>
      <c r="C312" s="1876" t="s">
        <v>826</v>
      </c>
      <c r="D312" s="1875" t="s">
        <v>999</v>
      </c>
      <c r="E312" s="1681"/>
      <c r="F312" s="1738" t="s">
        <v>671</v>
      </c>
      <c r="G312" s="13" t="s">
        <v>382</v>
      </c>
      <c r="H312" s="43"/>
      <c r="I312" s="43"/>
      <c r="K312" s="1199"/>
      <c r="L312" s="1199"/>
      <c r="M312" s="633"/>
      <c r="N312" s="633"/>
    </row>
    <row r="313" spans="1:20" hidden="1">
      <c r="A313" s="1313">
        <v>5</v>
      </c>
      <c r="B313" s="1333" t="s">
        <v>6393</v>
      </c>
      <c r="C313" s="1876" t="s">
        <v>36</v>
      </c>
      <c r="D313" s="1875" t="s">
        <v>779</v>
      </c>
      <c r="E313" s="1681"/>
      <c r="F313" s="1738">
        <v>5</v>
      </c>
      <c r="G313" s="13"/>
      <c r="H313" s="13"/>
      <c r="I313" s="13"/>
      <c r="K313" s="633"/>
      <c r="L313" s="633"/>
      <c r="M313" s="633"/>
      <c r="N313" s="633"/>
    </row>
    <row r="314" spans="1:20" hidden="1">
      <c r="A314" s="1317">
        <v>37622</v>
      </c>
      <c r="B314" s="1333" t="s">
        <v>6393</v>
      </c>
      <c r="C314" s="1876" t="s">
        <v>352</v>
      </c>
      <c r="D314" s="1875" t="s">
        <v>4706</v>
      </c>
      <c r="E314" s="1682"/>
      <c r="F314" s="1762">
        <v>37622</v>
      </c>
      <c r="G314" s="13"/>
      <c r="H314" s="13"/>
      <c r="I314" s="13"/>
      <c r="K314" s="633"/>
      <c r="L314" s="633"/>
      <c r="M314" s="633"/>
      <c r="N314" s="633"/>
    </row>
    <row r="315" spans="1:20" ht="12.75" hidden="1">
      <c r="B315" s="1333" t="s">
        <v>6393</v>
      </c>
      <c r="C315" s="1915" t="s">
        <v>1071</v>
      </c>
      <c r="D315" s="1901" t="s">
        <v>1222</v>
      </c>
      <c r="E315" s="1828" t="str">
        <f>IF(HomeType=2, IF(F303="yes", Appliances!E22, "N/A"), "N/A")</f>
        <v>N/A</v>
      </c>
      <c r="F315" s="1680" t="str">
        <f>IF(HomeType=2, IF(NewConst!F303="yes", IF(NewConst!F304="yes", Appliances!AG140, E315),"N/A"),"N/A")</f>
        <v>N/A</v>
      </c>
      <c r="G315" s="633"/>
      <c r="H315" s="633"/>
      <c r="I315" s="633"/>
      <c r="J315" s="633"/>
      <c r="K315" s="1221"/>
      <c r="L315" s="1221"/>
      <c r="M315" s="633"/>
      <c r="N315" s="1221"/>
      <c r="O315" s="43"/>
      <c r="P315" s="43"/>
    </row>
    <row r="316" spans="1:20" ht="12.75" hidden="1">
      <c r="B316" s="1333" t="s">
        <v>6393</v>
      </c>
      <c r="C316" s="1915" t="s">
        <v>1071</v>
      </c>
      <c r="D316" s="1901" t="s">
        <v>842</v>
      </c>
      <c r="E316" s="1812">
        <f>IF(E315="N/A", 0, E315/365)</f>
        <v>0</v>
      </c>
      <c r="F316" s="1683">
        <f>IF(F315="N/A", 0, F315/365)</f>
        <v>0</v>
      </c>
      <c r="G316" s="633"/>
      <c r="H316" s="633"/>
      <c r="I316" s="633"/>
      <c r="J316" s="633"/>
      <c r="K316" s="1221"/>
      <c r="L316" s="1221"/>
      <c r="M316" s="1221"/>
      <c r="N316" s="1221"/>
      <c r="O316" s="43"/>
      <c r="P316" s="43"/>
    </row>
    <row r="317" spans="1:20" ht="12.75" hidden="1">
      <c r="B317" s="1333" t="s">
        <v>6393</v>
      </c>
      <c r="C317" s="1915" t="s">
        <v>623</v>
      </c>
      <c r="D317" s="1901" t="s">
        <v>1222</v>
      </c>
      <c r="E317" s="1829" t="str">
        <f>IF(HomeType=2, IF(F303="yes", Appliances!$M$22,"N/A"),"N/A")</f>
        <v>N/A</v>
      </c>
      <c r="F317" s="1676">
        <f>IF(F315="N/A", 0, IF(NewConst!F304="yes", NewConst!F315*0.6, E317))</f>
        <v>0</v>
      </c>
      <c r="G317" s="633"/>
      <c r="H317" s="633"/>
      <c r="I317" s="633"/>
      <c r="J317" s="633"/>
      <c r="K317" s="1"/>
      <c r="M317" s="43"/>
      <c r="N317" s="22"/>
      <c r="O317" s="23"/>
      <c r="Q317" s="43"/>
    </row>
    <row r="318" spans="1:20" ht="12.75" hidden="1">
      <c r="B318" s="1333" t="s">
        <v>6393</v>
      </c>
      <c r="C318" s="1915" t="s">
        <v>4</v>
      </c>
      <c r="D318" s="1901" t="s">
        <v>1222</v>
      </c>
      <c r="E318" s="1829" t="str">
        <f>IF(HomeType=2, IF(F303="yes", Appliances!$N$22,"N/A"),"N/A")</f>
        <v>N/A</v>
      </c>
      <c r="F318" s="1676">
        <f>IF(F315="N/A", 0, IF(NewConst!F304="yes", NewConst!F315*0.15, E318))</f>
        <v>0</v>
      </c>
      <c r="G318" s="633"/>
      <c r="H318" s="633"/>
      <c r="I318" s="633"/>
      <c r="J318" s="633"/>
      <c r="K318" s="1"/>
      <c r="N318" s="22"/>
      <c r="Q318" s="43"/>
    </row>
    <row r="319" spans="1:20" hidden="1">
      <c r="B319" s="1333" t="s">
        <v>6393</v>
      </c>
      <c r="C319" s="1905" t="s">
        <v>623</v>
      </c>
      <c r="D319" s="1903" t="s">
        <v>842</v>
      </c>
      <c r="E319" s="1812">
        <f>IF(E317="N/A", 0, E317/365)</f>
        <v>0</v>
      </c>
      <c r="F319" s="1683">
        <f>IF(F315="N/A", 0, F317/365)</f>
        <v>0</v>
      </c>
      <c r="G319" s="633"/>
      <c r="H319" s="633"/>
      <c r="I319" s="633"/>
      <c r="J319" s="633"/>
      <c r="K319" s="1"/>
      <c r="N319" s="22"/>
    </row>
    <row r="320" spans="1:20" ht="12.75" hidden="1">
      <c r="B320" s="1333" t="s">
        <v>6393</v>
      </c>
      <c r="C320" s="1915" t="s">
        <v>4</v>
      </c>
      <c r="D320" s="1901" t="s">
        <v>842</v>
      </c>
      <c r="E320" s="1932">
        <f>IF(E318="N/A", 0, E318/365)</f>
        <v>0</v>
      </c>
      <c r="F320" s="1705">
        <f>IF(F315="N/A", 0, F318/365)</f>
        <v>0</v>
      </c>
      <c r="G320" s="633"/>
      <c r="H320" s="633"/>
      <c r="I320" s="633"/>
      <c r="J320" s="633"/>
      <c r="K320" s="1"/>
      <c r="N320" s="22"/>
      <c r="O320" s="43"/>
      <c r="P320" s="43"/>
    </row>
    <row r="321" spans="1:20" ht="12.75">
      <c r="B321" s="1308"/>
      <c r="C321" s="2142" t="s">
        <v>60</v>
      </c>
      <c r="D321" s="2143"/>
      <c r="E321" s="2143"/>
      <c r="F321" s="2144"/>
      <c r="G321" s="9"/>
      <c r="H321" s="1201"/>
      <c r="I321" s="15"/>
      <c r="K321" s="1"/>
      <c r="N321" s="22"/>
      <c r="O321" s="43"/>
      <c r="P321" s="43"/>
    </row>
    <row r="322" spans="1:20">
      <c r="A322" s="1313" t="s">
        <v>567</v>
      </c>
      <c r="B322" s="1333"/>
      <c r="C322" s="1950" t="s">
        <v>554</v>
      </c>
      <c r="D322" s="1912" t="s">
        <v>999</v>
      </c>
      <c r="E322" s="1941"/>
      <c r="F322" s="1737" t="s">
        <v>567</v>
      </c>
      <c r="G322" s="13"/>
      <c r="H322" s="13"/>
      <c r="I322" s="13"/>
      <c r="K322" s="1"/>
      <c r="N322" s="22"/>
      <c r="O322" s="23"/>
    </row>
    <row r="323" spans="1:20">
      <c r="A323" s="1318">
        <f>IF($F$325="Electric",74%,40%)</f>
        <v>0.4</v>
      </c>
      <c r="B323" s="1333"/>
      <c r="C323" s="1775" t="s">
        <v>6335</v>
      </c>
      <c r="D323" s="1913" t="s">
        <v>877</v>
      </c>
      <c r="E323" s="1676"/>
      <c r="F323" s="1757">
        <v>0.4</v>
      </c>
      <c r="G323" s="13"/>
      <c r="H323" s="13"/>
      <c r="I323" s="13"/>
      <c r="K323" s="1"/>
      <c r="N323" s="22"/>
      <c r="O323" s="24"/>
    </row>
    <row r="324" spans="1:20">
      <c r="A324" s="1318">
        <f>IF($F$325="Electric",11%,5.8%)</f>
        <v>5.7999999999999996E-2</v>
      </c>
      <c r="B324" s="1333"/>
      <c r="C324" s="1775" t="s">
        <v>6336</v>
      </c>
      <c r="D324" s="1913" t="s">
        <v>877</v>
      </c>
      <c r="E324" s="1676"/>
      <c r="F324" s="1765">
        <v>5.8000000000000003E-2</v>
      </c>
      <c r="G324" s="13"/>
      <c r="H324" s="13"/>
      <c r="I324" s="13"/>
      <c r="K324" s="1"/>
      <c r="N324" s="22"/>
    </row>
    <row r="325" spans="1:20">
      <c r="A325" s="1313" t="s">
        <v>464</v>
      </c>
      <c r="B325" s="1333"/>
      <c r="C325" s="1897" t="s">
        <v>663</v>
      </c>
      <c r="D325" s="1916" t="s">
        <v>950</v>
      </c>
      <c r="E325" s="1676"/>
      <c r="F325" s="1738" t="s">
        <v>464</v>
      </c>
      <c r="G325" s="13"/>
      <c r="H325" s="1323"/>
      <c r="I325" s="13"/>
      <c r="K325" s="1"/>
      <c r="N325" s="22"/>
    </row>
    <row r="326" spans="1:20" ht="13.5" customHeight="1">
      <c r="A326" s="1319" t="s">
        <v>6338</v>
      </c>
      <c r="B326" s="1333"/>
      <c r="C326" s="1917" t="s">
        <v>6339</v>
      </c>
      <c r="D326" s="1918"/>
      <c r="E326" s="2006" t="s">
        <v>6338</v>
      </c>
      <c r="F326" s="1747" t="s">
        <v>6338</v>
      </c>
      <c r="G326" s="13"/>
      <c r="H326" s="1323" t="s">
        <v>6337</v>
      </c>
      <c r="I326" s="633"/>
      <c r="J326" s="633"/>
      <c r="K326" s="1"/>
      <c r="N326" s="22"/>
    </row>
    <row r="327" spans="1:20" ht="12.75" customHeight="1">
      <c r="B327" s="1308"/>
      <c r="C327" s="1798" t="s">
        <v>5</v>
      </c>
      <c r="D327" s="1774" t="s">
        <v>1222</v>
      </c>
      <c r="E327" s="1718">
        <f>IF(NewConst!F325="Electric",Appliances!$E$10,0)</f>
        <v>0</v>
      </c>
      <c r="F327" s="1718">
        <f>IF(NewConst!$F$322="yes", IF(NewConst!$F$325="Gas", 0, Appliances!$H$54), NewConst!$E$327)</f>
        <v>0</v>
      </c>
      <c r="G327" s="1290" t="s">
        <v>4700</v>
      </c>
      <c r="H327" s="1324" t="s">
        <v>6338</v>
      </c>
      <c r="I327" s="1201"/>
      <c r="J327" s="633"/>
      <c r="K327" s="633"/>
      <c r="L327" s="633"/>
    </row>
    <row r="328" spans="1:20">
      <c r="B328" s="1308"/>
      <c r="C328" s="1799" t="s">
        <v>5</v>
      </c>
      <c r="D328" s="1776" t="s">
        <v>842</v>
      </c>
      <c r="E328" s="1646">
        <f>E327/365</f>
        <v>0</v>
      </c>
      <c r="F328" s="1646">
        <f>F327/365</f>
        <v>0</v>
      </c>
      <c r="G328" s="9"/>
      <c r="H328" s="1325"/>
      <c r="I328" s="1201"/>
      <c r="J328" s="633"/>
      <c r="K328" s="633"/>
      <c r="L328" s="633"/>
    </row>
    <row r="329" spans="1:20">
      <c r="B329" s="1308"/>
      <c r="C329" s="1799" t="s">
        <v>6</v>
      </c>
      <c r="D329" s="1776" t="s">
        <v>1222</v>
      </c>
      <c r="E329" s="1646">
        <f>IF(NewConst!$F$325="Electric",Appliances!$M$10,0)</f>
        <v>0</v>
      </c>
      <c r="F329" s="1646">
        <f>IF(F327=0,0,Appliances!$M$54)</f>
        <v>0</v>
      </c>
      <c r="G329" s="9"/>
      <c r="H329" s="1291"/>
      <c r="I329" s="1084"/>
      <c r="J329" s="1084"/>
      <c r="K329" s="633"/>
      <c r="L329" s="633"/>
    </row>
    <row r="330" spans="1:20">
      <c r="B330" s="1308"/>
      <c r="C330" s="1883" t="s">
        <v>403</v>
      </c>
      <c r="D330" s="1789" t="s">
        <v>1222</v>
      </c>
      <c r="E330" s="1709">
        <f>IF(NewConst!$F$325="Electric",Appliances!$N$10,0)</f>
        <v>0</v>
      </c>
      <c r="F330" s="1709">
        <f>IF(F327=0,0,Appliances!$N$54)</f>
        <v>0</v>
      </c>
      <c r="G330" s="9"/>
      <c r="H330" s="1291"/>
      <c r="I330" s="1199"/>
      <c r="J330" s="1199"/>
      <c r="K330" s="633"/>
      <c r="L330" s="633"/>
    </row>
    <row r="331" spans="1:20">
      <c r="B331" s="1308"/>
      <c r="C331" s="1798" t="s">
        <v>404</v>
      </c>
      <c r="D331" s="1774" t="s">
        <v>490</v>
      </c>
      <c r="E331" s="1680">
        <f>IF(NewConst!$F$325="Gas",Appliances!H11,0)</f>
        <v>28.7</v>
      </c>
      <c r="F331" s="1680">
        <f>IF(NewConst!$F$322="yes", IF(NewConst!$F$325="Gas", Appliances!$H$56, 0), E331)</f>
        <v>28.544827586206893</v>
      </c>
      <c r="G331" s="9"/>
      <c r="H331" s="1201"/>
      <c r="I331" s="1200"/>
      <c r="J331" s="633"/>
      <c r="K331" s="633"/>
      <c r="L331" s="633"/>
    </row>
    <row r="332" spans="1:20">
      <c r="B332" s="1308"/>
      <c r="C332" s="1799" t="s">
        <v>404</v>
      </c>
      <c r="D332" s="1776" t="s">
        <v>891</v>
      </c>
      <c r="E332" s="1683">
        <f>E331/365</f>
        <v>7.8630136986301363E-2</v>
      </c>
      <c r="F332" s="1683">
        <f>F331/365</f>
        <v>7.8205007085498338E-2</v>
      </c>
      <c r="G332" s="9"/>
      <c r="H332" s="1201"/>
      <c r="I332" s="1201"/>
      <c r="J332" s="633"/>
      <c r="K332" s="633"/>
      <c r="L332" s="633"/>
    </row>
    <row r="333" spans="1:20">
      <c r="B333" s="1308"/>
      <c r="C333" s="1799" t="s">
        <v>6322</v>
      </c>
      <c r="D333" s="1776" t="s">
        <v>490</v>
      </c>
      <c r="E333" s="1676">
        <f>IF(NewConst!$F$325="Gas",Appliances!O11,0)</f>
        <v>8.61</v>
      </c>
      <c r="F333" s="1676">
        <f>F331*Appliances!$I$11</f>
        <v>8.5634482758620667</v>
      </c>
      <c r="G333" s="9"/>
      <c r="H333" s="1201"/>
      <c r="I333" s="1201"/>
      <c r="J333" s="633"/>
    </row>
    <row r="334" spans="1:20" ht="12.75">
      <c r="B334" s="1308"/>
      <c r="C334" s="1883" t="s">
        <v>6323</v>
      </c>
      <c r="D334" s="1789" t="s">
        <v>490</v>
      </c>
      <c r="E334" s="1685">
        <f>IF(NewConst!$F$325="Gas",Appliances!P11,0)</f>
        <v>5.74</v>
      </c>
      <c r="F334" s="1685">
        <f>F331*Appliances!$J$11</f>
        <v>5.7089655172413787</v>
      </c>
      <c r="G334" s="9"/>
      <c r="H334" s="1201"/>
      <c r="I334" s="1201"/>
      <c r="J334" s="633"/>
      <c r="K334" s="1"/>
      <c r="N334" s="22"/>
      <c r="T334" s="43"/>
    </row>
    <row r="335" spans="1:20" ht="12.75">
      <c r="B335" s="1308"/>
      <c r="C335" s="1798" t="s">
        <v>6344</v>
      </c>
      <c r="D335" s="1774" t="s">
        <v>1222</v>
      </c>
      <c r="E335" s="1680">
        <f>IF(NewConst!$F$325="Gas",Appliances!E11,0)</f>
        <v>79.900000000000006</v>
      </c>
      <c r="F335" s="1680">
        <f>IF(AND($F$325="Gas",$F$326=$H$327),Appliances!$H$58,0)</f>
        <v>79.900000000000006</v>
      </c>
      <c r="G335" s="9"/>
      <c r="H335" s="1201"/>
      <c r="I335" s="1201"/>
      <c r="J335" s="633"/>
      <c r="K335" s="1"/>
      <c r="N335" s="22"/>
      <c r="R335" s="43"/>
      <c r="S335" s="43"/>
      <c r="T335" s="43"/>
    </row>
    <row r="336" spans="1:20" ht="12.75">
      <c r="B336" s="1308"/>
      <c r="C336" s="1799" t="s">
        <v>6344</v>
      </c>
      <c r="D336" s="1776" t="s">
        <v>842</v>
      </c>
      <c r="E336" s="1683">
        <f>E335/365</f>
        <v>0.21890410958904111</v>
      </c>
      <c r="F336" s="1683">
        <f>F335/365</f>
        <v>0.21890410958904111</v>
      </c>
      <c r="G336" s="9"/>
      <c r="H336" s="1201"/>
      <c r="I336" s="15"/>
      <c r="K336" s="1"/>
      <c r="N336" s="22"/>
      <c r="R336" s="43"/>
      <c r="S336" s="43"/>
      <c r="T336" s="43"/>
    </row>
    <row r="337" spans="1:17" s="43" customFormat="1" ht="12.75">
      <c r="A337" s="1308"/>
      <c r="B337" s="1308"/>
      <c r="C337" s="1799" t="s">
        <v>6345</v>
      </c>
      <c r="D337" s="1776" t="s">
        <v>1222</v>
      </c>
      <c r="E337" s="1676">
        <f>IF(NewConst!$F$325="Gas",Appliances!M11,0)</f>
        <v>23.970000000000002</v>
      </c>
      <c r="F337" s="1676">
        <f>IF($F$335=0,0,Appliances!$M$58)</f>
        <v>23.970000000000002</v>
      </c>
      <c r="G337" s="9"/>
      <c r="H337" s="1201"/>
      <c r="I337" s="15"/>
      <c r="J337" s="13"/>
      <c r="K337" s="1"/>
      <c r="L337" s="13"/>
      <c r="M337" s="13"/>
      <c r="N337" s="22"/>
      <c r="O337" s="13"/>
      <c r="P337" s="13"/>
      <c r="Q337" s="13"/>
    </row>
    <row r="338" spans="1:17" s="43" customFormat="1" ht="12.75" customHeight="1">
      <c r="A338" s="1308"/>
      <c r="B338" s="1308"/>
      <c r="C338" s="1883" t="s">
        <v>6346</v>
      </c>
      <c r="D338" s="1789" t="s">
        <v>1222</v>
      </c>
      <c r="E338" s="1685">
        <f>IF(NewConst!$F$325="Gas",Appliances!N11,0)</f>
        <v>15.980000000000002</v>
      </c>
      <c r="F338" s="1684">
        <f>IF($F$335=0,0,Appliances!$N$58)</f>
        <v>15.980000000000002</v>
      </c>
      <c r="G338" s="9"/>
      <c r="H338" s="1201"/>
      <c r="I338" s="15"/>
      <c r="J338" s="13"/>
      <c r="K338" s="1"/>
      <c r="L338" s="633"/>
      <c r="M338" s="633"/>
      <c r="N338" s="22"/>
      <c r="O338" s="13"/>
      <c r="P338" s="13"/>
      <c r="Q338" s="13"/>
    </row>
    <row r="339" spans="1:17" hidden="1">
      <c r="A339" s="1313" t="s">
        <v>671</v>
      </c>
      <c r="B339" s="1333" t="s">
        <v>6393</v>
      </c>
      <c r="C339" s="1873" t="s">
        <v>1359</v>
      </c>
      <c r="D339" s="1861" t="s">
        <v>999</v>
      </c>
      <c r="E339" s="1763"/>
      <c r="F339" s="1737" t="s">
        <v>567</v>
      </c>
      <c r="G339" s="13"/>
      <c r="H339" s="13"/>
      <c r="I339" s="13"/>
      <c r="K339" s="633"/>
      <c r="L339" s="633"/>
      <c r="M339" s="633"/>
    </row>
    <row r="340" spans="1:17" hidden="1">
      <c r="A340" s="1313" t="s">
        <v>671</v>
      </c>
      <c r="B340" s="1333" t="s">
        <v>6393</v>
      </c>
      <c r="C340" s="1882" t="s">
        <v>554</v>
      </c>
      <c r="D340" s="1875" t="s">
        <v>999</v>
      </c>
      <c r="E340" s="1681"/>
      <c r="F340" s="1738" t="s">
        <v>671</v>
      </c>
      <c r="G340" s="13"/>
      <c r="H340" s="13"/>
      <c r="I340" s="13"/>
      <c r="K340" s="633"/>
      <c r="L340" s="633"/>
      <c r="M340" s="633"/>
    </row>
    <row r="341" spans="1:17" ht="11.25" hidden="1" customHeight="1">
      <c r="A341" s="1318">
        <f>IF($F$325="Electric",74%,40%)</f>
        <v>0.4</v>
      </c>
      <c r="B341" s="1333" t="s">
        <v>6393</v>
      </c>
      <c r="C341" s="1876" t="s">
        <v>6335</v>
      </c>
      <c r="D341" s="1875" t="s">
        <v>877</v>
      </c>
      <c r="E341" s="1681"/>
      <c r="F341" s="1757">
        <v>0.4</v>
      </c>
      <c r="G341" s="13"/>
      <c r="H341" s="13"/>
      <c r="I341" s="13"/>
      <c r="K341" s="1084"/>
      <c r="L341" s="1084"/>
      <c r="M341" s="633"/>
    </row>
    <row r="342" spans="1:17" ht="11.25" hidden="1" customHeight="1">
      <c r="A342" s="1318">
        <f>IF($F$325="Electric",11%,5.8%)</f>
        <v>5.7999999999999996E-2</v>
      </c>
      <c r="B342" s="1333" t="s">
        <v>6393</v>
      </c>
      <c r="C342" s="1876" t="s">
        <v>6336</v>
      </c>
      <c r="D342" s="1875" t="s">
        <v>877</v>
      </c>
      <c r="E342" s="1681"/>
      <c r="F342" s="1765">
        <v>5.8000000000000003E-2</v>
      </c>
      <c r="G342" s="13"/>
      <c r="H342" s="13"/>
      <c r="I342" s="13"/>
      <c r="K342" s="1199"/>
      <c r="L342" s="1199"/>
      <c r="M342" s="633"/>
    </row>
    <row r="343" spans="1:17" ht="12.75" hidden="1">
      <c r="A343" s="1313" t="s">
        <v>464</v>
      </c>
      <c r="B343" s="1333" t="s">
        <v>6393</v>
      </c>
      <c r="C343" s="1919" t="s">
        <v>663</v>
      </c>
      <c r="D343" s="1920" t="s">
        <v>950</v>
      </c>
      <c r="E343" s="1681"/>
      <c r="F343" s="1738" t="s">
        <v>464</v>
      </c>
      <c r="G343" s="43"/>
      <c r="H343" s="13"/>
      <c r="I343" s="13"/>
      <c r="K343" s="633"/>
      <c r="L343" s="633"/>
      <c r="M343" s="633"/>
    </row>
    <row r="344" spans="1:17" ht="15.75" hidden="1" customHeight="1">
      <c r="A344" s="1319" t="s">
        <v>6338</v>
      </c>
      <c r="B344" s="1333" t="s">
        <v>6393</v>
      </c>
      <c r="C344" s="1919" t="s">
        <v>6339</v>
      </c>
      <c r="D344" s="1920"/>
      <c r="E344" s="1682" t="s">
        <v>6338</v>
      </c>
      <c r="F344" s="1747" t="s">
        <v>6338</v>
      </c>
      <c r="G344" s="13"/>
      <c r="H344" s="13"/>
      <c r="I344" s="13"/>
      <c r="K344" s="633"/>
      <c r="L344" s="633"/>
      <c r="M344" s="633"/>
    </row>
    <row r="345" spans="1:17" hidden="1">
      <c r="B345" s="1333" t="s">
        <v>6393</v>
      </c>
      <c r="C345" s="1915" t="s">
        <v>5</v>
      </c>
      <c r="D345" s="1901" t="s">
        <v>1222</v>
      </c>
      <c r="E345" s="2050" t="str">
        <f>IF(HomeType=2, IF(NewConst!$F$339="YES", IF(NewConst!$F$343="Electric",Appliances!$E$23,0),"N/A"),"N/A")</f>
        <v>N/A</v>
      </c>
      <c r="F345" s="1718" t="str">
        <f>IF(HomeType=2, IF(NewConst!$F$339="yes", IF(NewConst!$F$340="yes", IF(NewConst!$F$343="Gas", 0, Appliances!H60),E345), "N/A"),"N/A")</f>
        <v>N/A</v>
      </c>
      <c r="G345" s="1290" t="s">
        <v>4699</v>
      </c>
      <c r="H345" s="633"/>
      <c r="I345" s="633"/>
      <c r="K345" s="633"/>
      <c r="L345" s="633"/>
      <c r="M345" s="633"/>
    </row>
    <row r="346" spans="1:17" hidden="1">
      <c r="B346" s="1333" t="s">
        <v>6393</v>
      </c>
      <c r="C346" s="1915" t="s">
        <v>5</v>
      </c>
      <c r="D346" s="1901" t="s">
        <v>842</v>
      </c>
      <c r="E346" s="1639">
        <f>IF(E345="N/A", 0, E345/365)</f>
        <v>0</v>
      </c>
      <c r="F346" s="1646">
        <f>IF(F345="N/A", 0, F345/365)</f>
        <v>0</v>
      </c>
      <c r="H346" s="633"/>
      <c r="I346" s="633"/>
      <c r="J346" s="633"/>
      <c r="K346" s="633"/>
      <c r="L346" s="633"/>
      <c r="M346" s="633"/>
    </row>
    <row r="347" spans="1:17" hidden="1">
      <c r="B347" s="1333" t="s">
        <v>6393</v>
      </c>
      <c r="C347" s="1915" t="s">
        <v>6</v>
      </c>
      <c r="D347" s="1901" t="s">
        <v>1222</v>
      </c>
      <c r="E347" s="1831">
        <f>IF(HomeType=2, IF(NewConst!$F$339="YES", IF(NewConst!$F$343="Electric",Appliances!$M$23,0),0),0)</f>
        <v>0</v>
      </c>
      <c r="F347" s="1646">
        <f>IF(OR($F$345="N/A",$F$345=0), 0,IF($F$340="no",E347,Appliances!M60))</f>
        <v>0</v>
      </c>
      <c r="G347" s="633"/>
      <c r="H347" s="633"/>
      <c r="I347" s="633"/>
      <c r="J347" s="633"/>
      <c r="K347" s="633"/>
      <c r="L347" s="633"/>
      <c r="M347" s="633"/>
    </row>
    <row r="348" spans="1:17" hidden="1">
      <c r="B348" s="1333" t="s">
        <v>6393</v>
      </c>
      <c r="C348" s="1915" t="s">
        <v>403</v>
      </c>
      <c r="D348" s="1901" t="s">
        <v>1222</v>
      </c>
      <c r="E348" s="1832">
        <f>IF(HomeType=2, IF(NewConst!$F$339="YES", IF(NewConst!$F$343="Electric",Appliances!$N$23,0),0),0)</f>
        <v>0</v>
      </c>
      <c r="F348" s="1709">
        <f>IF(OR($F$345="N/A",$F$345=0),  0, IF($F$340="no",E348,Appliances!N60))</f>
        <v>0</v>
      </c>
      <c r="G348" s="633"/>
      <c r="H348" s="633"/>
      <c r="I348" s="633"/>
      <c r="J348" s="633"/>
    </row>
    <row r="349" spans="1:17" hidden="1">
      <c r="B349" s="1333" t="s">
        <v>6393</v>
      </c>
      <c r="C349" s="1915" t="s">
        <v>404</v>
      </c>
      <c r="D349" s="1901" t="s">
        <v>490</v>
      </c>
      <c r="E349" s="1833" t="str">
        <f>IF(HomeType=2, IF(NewConst!$F$339="YES", IF(NewConst!$F$343="Electric",0,Appliances!$H$24),"N/A"),"N/A")</f>
        <v>N/A</v>
      </c>
      <c r="F349" s="1680" t="str">
        <f>IF(HomeType=2, IF(NewConst!$F$339="yes", IF(NewConst!$F$340="yes", IF(NewConst!$F$343="Gas",Appliances!$H$62, 0), E349),"N/A"),"N/A")</f>
        <v>N/A</v>
      </c>
      <c r="G349" s="13"/>
      <c r="H349" s="13"/>
      <c r="I349" s="13"/>
    </row>
    <row r="350" spans="1:17" hidden="1">
      <c r="B350" s="1333" t="s">
        <v>6393</v>
      </c>
      <c r="C350" s="1915" t="s">
        <v>404</v>
      </c>
      <c r="D350" s="1901" t="s">
        <v>891</v>
      </c>
      <c r="E350" s="1834">
        <f>IF(E349="N/A", 0, E349/365)</f>
        <v>0</v>
      </c>
      <c r="F350" s="1710">
        <f>IF(F349="N/A", 0, F349/365)</f>
        <v>0</v>
      </c>
      <c r="G350" s="13"/>
      <c r="H350" s="13"/>
      <c r="I350" s="13"/>
    </row>
    <row r="351" spans="1:17" s="43" customFormat="1" ht="12.75" hidden="1">
      <c r="A351" s="1308"/>
      <c r="B351" s="1333" t="s">
        <v>6393</v>
      </c>
      <c r="C351" s="1915" t="s">
        <v>1105</v>
      </c>
      <c r="D351" s="1901" t="s">
        <v>490</v>
      </c>
      <c r="E351" s="1831">
        <f>IF(HomeType=2, IF(NewConst!$F$339="YES", IF(NewConst!$F$343="Electric",0,Appliances!$O$24),0),0)</f>
        <v>0</v>
      </c>
      <c r="F351" s="1646">
        <f>IF(OR($F$349="N/A",$F$349=0), 0,IF($F$340="no",E351,Appliances!O62))</f>
        <v>0</v>
      </c>
      <c r="G351" s="13"/>
      <c r="H351" s="13"/>
      <c r="I351" s="13"/>
      <c r="J351" s="13"/>
      <c r="K351" s="1"/>
      <c r="L351" s="13"/>
      <c r="M351" s="13"/>
      <c r="N351" s="22"/>
      <c r="O351" s="13"/>
      <c r="P351" s="13"/>
      <c r="Q351" s="13"/>
    </row>
    <row r="352" spans="1:17" s="43" customFormat="1" ht="12.75" hidden="1">
      <c r="A352" s="1308"/>
      <c r="B352" s="1333" t="s">
        <v>6393</v>
      </c>
      <c r="C352" s="1915" t="s">
        <v>1106</v>
      </c>
      <c r="D352" s="1901" t="s">
        <v>490</v>
      </c>
      <c r="E352" s="1832">
        <f>IF(HomeType=2, IF(NewConst!$F$339="YES", IF(NewConst!$F$343="Electric",0,Appliances!$P$24),0),0)</f>
        <v>0</v>
      </c>
      <c r="F352" s="1709">
        <f>IF(OR($F$349="N/A",$F$349=0), 0, IF($F$340="no",E352,Appliances!P62))</f>
        <v>0</v>
      </c>
      <c r="G352" s="13"/>
      <c r="H352" s="13"/>
      <c r="I352" s="13"/>
      <c r="J352" s="13"/>
      <c r="K352" s="1"/>
      <c r="L352" s="13"/>
      <c r="M352" s="13"/>
      <c r="N352" s="22"/>
      <c r="O352" s="13"/>
      <c r="P352" s="13"/>
      <c r="Q352" s="13"/>
    </row>
    <row r="353" spans="1:20" ht="12.75" hidden="1">
      <c r="B353" s="1333" t="s">
        <v>6393</v>
      </c>
      <c r="C353" s="1915" t="s">
        <v>6344</v>
      </c>
      <c r="D353" s="1901" t="s">
        <v>1222</v>
      </c>
      <c r="E353" s="1763" t="str">
        <f>IF(HomeType=2,IF(NewConst!$F$339="YES",IF(NewConst!$F$343="Gas",Appliances!$E$11,0),"N/A"),"N/A")</f>
        <v>N/A</v>
      </c>
      <c r="F353" s="1680" t="str">
        <f>IF(HomeType=2,IF(NewConst!$F$339="YES",IF(F340="YES",IF(AND($F$343="Gas",$F$344=$H$327),Appliances!$H$58,0),E353),"N/A"),"N/A")</f>
        <v>N/A</v>
      </c>
      <c r="G353" s="9"/>
      <c r="H353" s="1201"/>
      <c r="I353" s="15"/>
      <c r="K353" s="1"/>
      <c r="N353" s="22"/>
      <c r="R353" s="43"/>
      <c r="S353" s="43"/>
      <c r="T353" s="43"/>
    </row>
    <row r="354" spans="1:20" ht="12.75" hidden="1">
      <c r="B354" s="1333" t="s">
        <v>6393</v>
      </c>
      <c r="C354" s="1915" t="s">
        <v>6344</v>
      </c>
      <c r="D354" s="1901" t="s">
        <v>842</v>
      </c>
      <c r="E354" s="1835">
        <f>IF(E353="N/A", 0, E353/365)</f>
        <v>0</v>
      </c>
      <c r="F354" s="1683">
        <f>IF(F353="N/A", 0, F353/365)</f>
        <v>0</v>
      </c>
      <c r="G354" s="9"/>
      <c r="H354" s="1201"/>
      <c r="I354" s="15"/>
      <c r="K354" s="1"/>
      <c r="N354" s="22"/>
      <c r="R354" s="43"/>
      <c r="S354" s="43"/>
      <c r="T354" s="43"/>
    </row>
    <row r="355" spans="1:20" s="43" customFormat="1" ht="12.75" hidden="1">
      <c r="A355" s="1308"/>
      <c r="B355" s="1333" t="s">
        <v>6393</v>
      </c>
      <c r="C355" s="1905" t="s">
        <v>6345</v>
      </c>
      <c r="D355" s="1903" t="s">
        <v>1222</v>
      </c>
      <c r="E355" s="1681">
        <f>IF(HomeType=2,IF(NewConst!$F$339="YES",IF(NewConst!$F$343="Gas",Appliances!M11,0),0),0)</f>
        <v>0</v>
      </c>
      <c r="F355" s="1676">
        <f>IF(HomeType=2,IF(NewConst!$F$339="YES",IF($F$353=0,0,Appliances!$M$64),0),0)</f>
        <v>0</v>
      </c>
      <c r="G355" s="9"/>
      <c r="H355" s="1201"/>
      <c r="I355" s="15"/>
      <c r="J355" s="13"/>
      <c r="K355" s="1"/>
      <c r="L355" s="13"/>
      <c r="M355" s="13"/>
      <c r="N355" s="22"/>
      <c r="O355" s="13"/>
      <c r="P355" s="13"/>
      <c r="Q355" s="13"/>
      <c r="R355" s="13"/>
      <c r="S355" s="13"/>
      <c r="T355" s="13"/>
    </row>
    <row r="356" spans="1:20" s="43" customFormat="1" ht="12.75" hidden="1" customHeight="1">
      <c r="A356" s="1308"/>
      <c r="B356" s="1333" t="s">
        <v>6393</v>
      </c>
      <c r="C356" s="1915" t="s">
        <v>6346</v>
      </c>
      <c r="D356" s="1901" t="s">
        <v>1222</v>
      </c>
      <c r="E356" s="1682">
        <f>IF(HomeType=2,IF(NewConst!$F$339="YES",IF(NewConst!$F$343="Gas",Appliances!N11,0),0),0)</f>
        <v>0</v>
      </c>
      <c r="F356" s="1685">
        <f>IF(HomeType=2,IF(NewConst!$F$339="YES",IF($F$353=0,0,Appliances!$N$64),0),0)</f>
        <v>0</v>
      </c>
      <c r="G356" s="9"/>
      <c r="H356" s="1320"/>
      <c r="I356" s="1333"/>
      <c r="J356" s="13"/>
      <c r="K356" s="1"/>
      <c r="L356" s="13"/>
      <c r="M356" s="13"/>
      <c r="N356" s="22"/>
      <c r="O356" s="13"/>
      <c r="P356" s="13"/>
      <c r="Q356" s="13"/>
    </row>
    <row r="357" spans="1:20" ht="12.75">
      <c r="B357" s="1308"/>
      <c r="C357" s="2142" t="s">
        <v>4856</v>
      </c>
      <c r="D357" s="2143"/>
      <c r="E357" s="2143"/>
      <c r="F357" s="2144"/>
      <c r="G357" s="9"/>
      <c r="H357" s="1320"/>
      <c r="I357" s="1333"/>
    </row>
    <row r="358" spans="1:20">
      <c r="A358" s="1313" t="s">
        <v>6485</v>
      </c>
      <c r="B358" s="1333"/>
      <c r="C358" s="1947" t="s">
        <v>212</v>
      </c>
      <c r="D358" s="1948"/>
      <c r="E358" s="1949"/>
      <c r="F358" s="1767" t="s">
        <v>6485</v>
      </c>
      <c r="G358" s="13"/>
      <c r="H358" s="1308" t="s">
        <v>6485</v>
      </c>
      <c r="I358" s="1308" t="s">
        <v>6486</v>
      </c>
      <c r="K358" s="633"/>
    </row>
    <row r="359" spans="1:20">
      <c r="B359" s="1308"/>
      <c r="C359" s="1921" t="s">
        <v>621</v>
      </c>
      <c r="D359" s="1774" t="s">
        <v>1222</v>
      </c>
      <c r="E359" s="1686">
        <f>'Detailed MEL'!E22</f>
        <v>3317.096</v>
      </c>
      <c r="F359" s="1686">
        <f>'Detailed MEL'!E9</f>
        <v>3317.096</v>
      </c>
      <c r="G359" s="9"/>
      <c r="H359" s="1320"/>
      <c r="I359" s="1333"/>
      <c r="K359" s="633"/>
    </row>
    <row r="360" spans="1:20">
      <c r="B360" s="1308"/>
      <c r="C360" s="1922" t="s">
        <v>621</v>
      </c>
      <c r="D360" s="1776" t="s">
        <v>842</v>
      </c>
      <c r="E360" s="1646">
        <f>E359/365</f>
        <v>9.0879342465753421</v>
      </c>
      <c r="F360" s="1646">
        <f>F359/365</f>
        <v>9.0879342465753421</v>
      </c>
      <c r="G360" s="9"/>
      <c r="H360" s="1320"/>
      <c r="I360" s="1333"/>
      <c r="K360" s="633"/>
    </row>
    <row r="361" spans="1:20">
      <c r="B361" s="1308"/>
      <c r="C361" s="1922" t="s">
        <v>1246</v>
      </c>
      <c r="D361" s="1776" t="s">
        <v>490</v>
      </c>
      <c r="E361" s="1676">
        <f>'Detailed MEL'!E23</f>
        <v>7.7960000000000003</v>
      </c>
      <c r="F361" s="1676">
        <f>'Detailed MEL'!E10</f>
        <v>7.7960000000000003</v>
      </c>
      <c r="G361" s="9"/>
      <c r="H361" s="1320"/>
      <c r="I361" s="1333"/>
    </row>
    <row r="362" spans="1:20">
      <c r="B362" s="1308"/>
      <c r="C362" s="1922" t="s">
        <v>1246</v>
      </c>
      <c r="D362" s="1776" t="s">
        <v>891</v>
      </c>
      <c r="E362" s="1683">
        <f>E361/365</f>
        <v>2.1358904109589041E-2</v>
      </c>
      <c r="F362" s="1683">
        <f>F361/365</f>
        <v>2.1358904109589041E-2</v>
      </c>
      <c r="G362" s="9"/>
      <c r="H362" s="1320"/>
      <c r="I362" s="1333"/>
    </row>
    <row r="363" spans="1:20">
      <c r="B363" s="1308"/>
      <c r="C363" s="1923" t="s">
        <v>451</v>
      </c>
      <c r="D363" s="1789" t="s">
        <v>877</v>
      </c>
      <c r="E363" s="1687"/>
      <c r="F363" s="1688">
        <f>'Detailed MEL'!E8</f>
        <v>0</v>
      </c>
      <c r="G363" s="13"/>
      <c r="H363" s="1308"/>
      <c r="I363" s="1308"/>
    </row>
    <row r="364" spans="1:20">
      <c r="B364" s="1308"/>
      <c r="C364" s="1798" t="s">
        <v>600</v>
      </c>
      <c r="D364" s="1774" t="s">
        <v>1222</v>
      </c>
      <c r="E364" s="1689">
        <f>'Detailed MEL'!E30</f>
        <v>2602.4584288300116</v>
      </c>
      <c r="F364" s="1686">
        <f>'Detailed MEL'!E18+F155</f>
        <v>2602.4584288300116</v>
      </c>
      <c r="G364" s="13"/>
      <c r="H364" s="13"/>
      <c r="I364" s="13"/>
    </row>
    <row r="365" spans="1:20">
      <c r="B365" s="1308"/>
      <c r="C365" s="1799" t="s">
        <v>600</v>
      </c>
      <c r="D365" s="1776" t="s">
        <v>842</v>
      </c>
      <c r="E365" s="1646">
        <f>E364/365</f>
        <v>7.1300230926849633</v>
      </c>
      <c r="F365" s="1646">
        <f>F364/365</f>
        <v>7.1300230926849633</v>
      </c>
      <c r="G365" s="13"/>
      <c r="H365" s="13"/>
      <c r="I365" s="13"/>
    </row>
    <row r="366" spans="1:20">
      <c r="B366" s="1308"/>
      <c r="C366" s="1799" t="s">
        <v>1016</v>
      </c>
      <c r="D366" s="1776" t="s">
        <v>1222</v>
      </c>
      <c r="E366" s="1690">
        <f>'Detailed MEL'!E31</f>
        <v>70.911673810082064</v>
      </c>
      <c r="F366" s="1648">
        <f>'Detailed MEL'!E19</f>
        <v>70.911673810082064</v>
      </c>
      <c r="G366" s="13"/>
      <c r="H366" s="13"/>
      <c r="I366" s="13"/>
    </row>
    <row r="367" spans="1:20">
      <c r="B367" s="1308"/>
      <c r="C367" s="1883" t="s">
        <v>1016</v>
      </c>
      <c r="D367" s="1789" t="s">
        <v>842</v>
      </c>
      <c r="E367" s="1709">
        <f>E366/365</f>
        <v>0.19427855838378646</v>
      </c>
      <c r="F367" s="1709">
        <f>F366/365</f>
        <v>0.19427855838378646</v>
      </c>
      <c r="G367" s="13"/>
      <c r="H367" s="13"/>
      <c r="I367" s="13"/>
    </row>
    <row r="368" spans="1:20" ht="12.75" hidden="1">
      <c r="B368" s="1333" t="s">
        <v>6393</v>
      </c>
      <c r="C368" s="2142" t="str">
        <f>Appliances!B14</f>
        <v>Multi-Family Common Space MELs</v>
      </c>
      <c r="D368" s="2143"/>
      <c r="E368" s="2143"/>
      <c r="F368" s="2144"/>
      <c r="G368" s="9"/>
      <c r="H368" s="1201"/>
      <c r="I368" s="15"/>
    </row>
    <row r="369" spans="2:19" ht="12.75" hidden="1" customHeight="1">
      <c r="B369" s="1333" t="s">
        <v>6393</v>
      </c>
      <c r="C369" s="632" t="s">
        <v>1350</v>
      </c>
      <c r="D369" s="1944" t="s">
        <v>1222</v>
      </c>
      <c r="E369" s="1945">
        <f>Appliances!E15</f>
        <v>3840</v>
      </c>
      <c r="F369" s="1946">
        <f>E369</f>
        <v>3840</v>
      </c>
      <c r="G369" s="9"/>
      <c r="H369" s="1201"/>
      <c r="I369" s="13"/>
    </row>
    <row r="370" spans="2:19" ht="12.75" hidden="1">
      <c r="B370" s="1333" t="s">
        <v>6393</v>
      </c>
      <c r="C370" s="1824" t="s">
        <v>4830</v>
      </c>
      <c r="D370" s="1820" t="s">
        <v>1222</v>
      </c>
      <c r="E370" s="1836">
        <f>Appliances!E16</f>
        <v>2205</v>
      </c>
      <c r="F370" s="1703">
        <f t="shared" ref="F370:F392" si="4">E370</f>
        <v>2205</v>
      </c>
      <c r="G370" s="9"/>
      <c r="H370" s="1201"/>
      <c r="I370" s="13"/>
      <c r="K370" s="43"/>
      <c r="L370" s="43"/>
      <c r="M370" s="43"/>
      <c r="N370" s="43"/>
      <c r="O370" s="43"/>
      <c r="P370" s="43"/>
      <c r="R370" s="43"/>
      <c r="S370" s="43"/>
    </row>
    <row r="371" spans="2:19" hidden="1">
      <c r="B371" s="1333" t="s">
        <v>6393</v>
      </c>
      <c r="C371" s="1824" t="s">
        <v>4832</v>
      </c>
      <c r="D371" s="1820" t="s">
        <v>1222</v>
      </c>
      <c r="E371" s="1836">
        <f>Appliances!E17</f>
        <v>0</v>
      </c>
      <c r="F371" s="1703">
        <f t="shared" si="4"/>
        <v>0</v>
      </c>
      <c r="G371" s="9"/>
      <c r="H371" s="1201"/>
      <c r="I371" s="13"/>
    </row>
    <row r="372" spans="2:19" hidden="1">
      <c r="B372" s="1333" t="s">
        <v>6393</v>
      </c>
      <c r="C372" s="1824" t="s">
        <v>2905</v>
      </c>
      <c r="D372" s="1820" t="s">
        <v>1222</v>
      </c>
      <c r="E372" s="1837">
        <f>Appliances!E18</f>
        <v>1900</v>
      </c>
      <c r="F372" s="1711">
        <f t="shared" si="4"/>
        <v>1900</v>
      </c>
      <c r="G372" s="9"/>
      <c r="H372" s="1201"/>
      <c r="I372" s="13"/>
    </row>
    <row r="373" spans="2:19" hidden="1">
      <c r="B373" s="1333" t="s">
        <v>6393</v>
      </c>
      <c r="C373" s="1824" t="str">
        <f>"Total " &amp; $C$368</f>
        <v>Total Multi-Family Common Space MELs</v>
      </c>
      <c r="D373" s="1820" t="s">
        <v>1222</v>
      </c>
      <c r="E373" s="1830">
        <f>SUM(E369:E372)</f>
        <v>7945</v>
      </c>
      <c r="F373" s="1706">
        <f t="shared" si="4"/>
        <v>7945</v>
      </c>
      <c r="G373" s="9"/>
      <c r="H373" s="1201"/>
      <c r="I373" s="13"/>
    </row>
    <row r="374" spans="2:19" hidden="1">
      <c r="B374" s="1333" t="s">
        <v>6393</v>
      </c>
      <c r="C374" s="1824" t="str">
        <f>"Total " &amp; $C$368</f>
        <v>Total Multi-Family Common Space MELs</v>
      </c>
      <c r="D374" s="1820" t="s">
        <v>842</v>
      </c>
      <c r="E374" s="1838">
        <f>E373/365</f>
        <v>21.767123287671232</v>
      </c>
      <c r="F374" s="1712">
        <f t="shared" si="4"/>
        <v>21.767123287671232</v>
      </c>
      <c r="G374" s="9"/>
      <c r="H374" s="1201"/>
      <c r="I374" s="13"/>
    </row>
    <row r="375" spans="2:19" hidden="1">
      <c r="B375" s="1333" t="s">
        <v>6393</v>
      </c>
      <c r="C375" s="1824" t="str">
        <f>"Total " &amp; $C$368 &amp; " Sensible Load"</f>
        <v>Total Multi-Family Common Space MELs Sensible Load</v>
      </c>
      <c r="D375" s="1820" t="s">
        <v>1222</v>
      </c>
      <c r="E375" s="1806">
        <f>E373*1</f>
        <v>7945</v>
      </c>
      <c r="F375" s="1703">
        <f t="shared" si="4"/>
        <v>7945</v>
      </c>
      <c r="G375" s="13"/>
      <c r="H375" s="1201"/>
      <c r="I375" s="13"/>
    </row>
    <row r="376" spans="2:19" hidden="1">
      <c r="B376" s="1333" t="s">
        <v>6393</v>
      </c>
      <c r="C376" s="1824" t="str">
        <f>"Total " &amp; $C$368 &amp; " Sensible Load"</f>
        <v>Total Multi-Family Common Space MELs Sensible Load</v>
      </c>
      <c r="D376" s="1820" t="s">
        <v>842</v>
      </c>
      <c r="E376" s="1682">
        <f>E375/365</f>
        <v>21.767123287671232</v>
      </c>
      <c r="F376" s="1931">
        <f t="shared" si="4"/>
        <v>21.767123287671232</v>
      </c>
      <c r="G376" s="13"/>
      <c r="H376" s="1201"/>
      <c r="I376" s="13"/>
    </row>
    <row r="377" spans="2:19" ht="12.75" hidden="1">
      <c r="B377" s="2127" t="s">
        <v>6393</v>
      </c>
      <c r="C377" s="2142" t="str">
        <f>Appliances!B19</f>
        <v>Multi-Purpose Room MELs</v>
      </c>
      <c r="D377" s="2143"/>
      <c r="E377" s="2143"/>
      <c r="F377" s="2144"/>
      <c r="G377" s="9"/>
      <c r="H377" s="1201"/>
      <c r="I377" s="13"/>
    </row>
    <row r="378" spans="2:19" hidden="1">
      <c r="B378" s="2127" t="s">
        <v>6393</v>
      </c>
      <c r="C378" s="632" t="s">
        <v>4833</v>
      </c>
      <c r="D378" s="1944" t="s">
        <v>1222</v>
      </c>
      <c r="E378" s="1945">
        <f>IF($E$47&gt;0,Appliances!$E$20)</f>
        <v>673</v>
      </c>
      <c r="F378" s="1946">
        <f t="shared" si="4"/>
        <v>673</v>
      </c>
      <c r="G378" s="9"/>
      <c r="H378" s="1201"/>
      <c r="I378" s="13"/>
    </row>
    <row r="379" spans="2:19" hidden="1">
      <c r="B379" s="2127" t="s">
        <v>6393</v>
      </c>
      <c r="C379" s="1824" t="s">
        <v>1158</v>
      </c>
      <c r="D379" s="1820" t="s">
        <v>1222</v>
      </c>
      <c r="E379" s="1836" t="str">
        <f>E244</f>
        <v>N/A</v>
      </c>
      <c r="F379" s="1703" t="str">
        <f t="shared" si="4"/>
        <v>N/A</v>
      </c>
      <c r="G379" s="9"/>
      <c r="H379" s="1201"/>
      <c r="I379" s="13"/>
    </row>
    <row r="380" spans="2:19" hidden="1">
      <c r="B380" s="2127" t="s">
        <v>6393</v>
      </c>
      <c r="C380" s="1824" t="s">
        <v>526</v>
      </c>
      <c r="D380" s="1820" t="s">
        <v>1222</v>
      </c>
      <c r="E380" s="1836" t="str">
        <f>E315</f>
        <v>N/A</v>
      </c>
      <c r="F380" s="1703" t="str">
        <f t="shared" si="4"/>
        <v>N/A</v>
      </c>
      <c r="G380" s="9"/>
      <c r="H380" s="1201"/>
      <c r="I380" s="13"/>
    </row>
    <row r="381" spans="2:19" hidden="1">
      <c r="B381" s="2127" t="s">
        <v>6393</v>
      </c>
      <c r="C381" s="1824" t="s">
        <v>4836</v>
      </c>
      <c r="D381" s="1820" t="s">
        <v>1222</v>
      </c>
      <c r="E381" s="1836" t="str">
        <f>E345</f>
        <v>N/A</v>
      </c>
      <c r="F381" s="1703" t="str">
        <f t="shared" si="4"/>
        <v>N/A</v>
      </c>
      <c r="G381" s="9"/>
      <c r="H381" s="1201"/>
      <c r="I381" s="13"/>
    </row>
    <row r="382" spans="2:19" hidden="1">
      <c r="B382" s="2127" t="s">
        <v>6393</v>
      </c>
      <c r="C382" s="1824" t="s">
        <v>4838</v>
      </c>
      <c r="D382" s="1820" t="s">
        <v>490</v>
      </c>
      <c r="E382" s="1838" t="str">
        <f>E349</f>
        <v>N/A</v>
      </c>
      <c r="F382" s="1712" t="str">
        <f t="shared" si="4"/>
        <v>N/A</v>
      </c>
      <c r="G382" s="9"/>
      <c r="H382" s="1201"/>
      <c r="I382" s="13"/>
    </row>
    <row r="383" spans="2:19" hidden="1">
      <c r="B383" s="2127" t="s">
        <v>6393</v>
      </c>
      <c r="C383" s="1827" t="s">
        <v>6356</v>
      </c>
      <c r="D383" s="1820" t="s">
        <v>1222</v>
      </c>
      <c r="E383" s="1836" t="str">
        <f>E353</f>
        <v>N/A</v>
      </c>
      <c r="F383" s="1703" t="str">
        <f t="shared" si="4"/>
        <v>N/A</v>
      </c>
      <c r="G383" s="9"/>
      <c r="H383" s="1201"/>
      <c r="I383" s="13"/>
    </row>
    <row r="384" spans="2:19" hidden="1">
      <c r="B384" s="1333" t="s">
        <v>6393</v>
      </c>
      <c r="C384" s="1827" t="s">
        <v>1009</v>
      </c>
      <c r="D384" s="1820" t="s">
        <v>1222</v>
      </c>
      <c r="E384" s="1837">
        <f>IF($E$47&gt;0,Appliances!$E$25)</f>
        <v>78</v>
      </c>
      <c r="F384" s="1711">
        <f t="shared" si="4"/>
        <v>78</v>
      </c>
      <c r="G384" s="9"/>
      <c r="H384" s="1201"/>
      <c r="I384" s="13"/>
    </row>
    <row r="385" spans="2:9" hidden="1">
      <c r="B385" s="1333" t="s">
        <v>6393</v>
      </c>
      <c r="C385" s="1824" t="s">
        <v>4858</v>
      </c>
      <c r="D385" s="1820" t="s">
        <v>1222</v>
      </c>
      <c r="E385" s="1803">
        <f>SUM(E378:E381,E383:E384)</f>
        <v>751</v>
      </c>
      <c r="F385" s="1686">
        <f t="shared" si="4"/>
        <v>751</v>
      </c>
      <c r="G385" s="9"/>
      <c r="H385" s="1201"/>
      <c r="I385" s="13"/>
    </row>
    <row r="386" spans="2:9" hidden="1">
      <c r="B386" s="1333" t="s">
        <v>6393</v>
      </c>
      <c r="C386" s="1824" t="s">
        <v>4858</v>
      </c>
      <c r="D386" s="1820" t="s">
        <v>842</v>
      </c>
      <c r="E386" s="1639">
        <f>E385/365</f>
        <v>2.0575342465753423</v>
      </c>
      <c r="F386" s="1646">
        <f t="shared" si="4"/>
        <v>2.0575342465753423</v>
      </c>
      <c r="G386" s="9"/>
      <c r="I386" s="13"/>
    </row>
    <row r="387" spans="2:9" hidden="1">
      <c r="B387" s="1333" t="s">
        <v>6393</v>
      </c>
      <c r="C387" s="1839" t="s">
        <v>1246</v>
      </c>
      <c r="D387" s="1820" t="s">
        <v>490</v>
      </c>
      <c r="E387" s="1681" t="str">
        <f>E382</f>
        <v>N/A</v>
      </c>
      <c r="F387" s="1676" t="str">
        <f t="shared" si="4"/>
        <v>N/A</v>
      </c>
      <c r="G387" s="9"/>
      <c r="H387" s="633"/>
      <c r="I387" s="13"/>
    </row>
    <row r="388" spans="2:9" hidden="1">
      <c r="B388" s="1333" t="s">
        <v>6393</v>
      </c>
      <c r="C388" s="1839" t="s">
        <v>1246</v>
      </c>
      <c r="D388" s="1820" t="s">
        <v>891</v>
      </c>
      <c r="E388" s="1840" t="e">
        <f>E387/365</f>
        <v>#VALUE!</v>
      </c>
      <c r="F388" s="1705" t="e">
        <f t="shared" si="4"/>
        <v>#VALUE!</v>
      </c>
      <c r="G388" s="9"/>
      <c r="H388" s="633"/>
      <c r="I388" s="13"/>
    </row>
    <row r="389" spans="2:9" hidden="1">
      <c r="B389" s="1333" t="s">
        <v>6393</v>
      </c>
      <c r="C389" s="1824" t="s">
        <v>1015</v>
      </c>
      <c r="D389" s="1820" t="s">
        <v>1222</v>
      </c>
      <c r="E389" s="1803">
        <f>SUM(Appliances!$M$20:$M$22,Appliances!$M$25)+E347+E351*Therms_to_kWh+E362</f>
        <v>1216.2213589041096</v>
      </c>
      <c r="F389" s="1686">
        <f t="shared" si="4"/>
        <v>1216.2213589041096</v>
      </c>
      <c r="G389" s="9"/>
      <c r="I389" s="13"/>
    </row>
    <row r="390" spans="2:9" hidden="1">
      <c r="B390" s="1333" t="s">
        <v>6393</v>
      </c>
      <c r="C390" s="1824" t="s">
        <v>1015</v>
      </c>
      <c r="D390" s="1820" t="s">
        <v>842</v>
      </c>
      <c r="E390" s="1831">
        <f>E389/365</f>
        <v>3.3321133120660535</v>
      </c>
      <c r="F390" s="1707">
        <f t="shared" si="4"/>
        <v>3.3321133120660535</v>
      </c>
      <c r="G390" s="9"/>
      <c r="I390" s="13"/>
    </row>
    <row r="391" spans="2:9" hidden="1">
      <c r="B391" s="1333" t="s">
        <v>6393</v>
      </c>
      <c r="C391" s="1825" t="s">
        <v>1016</v>
      </c>
      <c r="D391" s="1821" t="s">
        <v>1222</v>
      </c>
      <c r="E391" s="1806">
        <f>SUM(Appliances!$N$20:$N$22,Appliances!$N$25)+E348+E356+E352*Therms_to_kWh</f>
        <v>7.8</v>
      </c>
      <c r="F391" s="1648">
        <f t="shared" si="4"/>
        <v>7.8</v>
      </c>
      <c r="G391" s="9"/>
      <c r="H391" s="633"/>
      <c r="I391" s="13"/>
    </row>
    <row r="392" spans="2:9" hidden="1">
      <c r="B392" s="1333" t="s">
        <v>6393</v>
      </c>
      <c r="C392" s="1824" t="s">
        <v>1016</v>
      </c>
      <c r="D392" s="1820" t="s">
        <v>842</v>
      </c>
      <c r="E392" s="1832">
        <f>E391/365</f>
        <v>2.1369863013698628E-2</v>
      </c>
      <c r="F392" s="1708">
        <f t="shared" si="4"/>
        <v>2.1369863013698628E-2</v>
      </c>
      <c r="G392" s="9"/>
      <c r="H392" s="633"/>
      <c r="I392" s="13"/>
    </row>
    <row r="393" spans="2:9" ht="12.75">
      <c r="B393" s="1308"/>
      <c r="C393" s="2172" t="s">
        <v>20</v>
      </c>
      <c r="D393" s="2173"/>
      <c r="E393" s="2173"/>
      <c r="F393" s="2174"/>
      <c r="G393" s="9"/>
    </row>
    <row r="394" spans="2:9">
      <c r="B394" s="1308"/>
      <c r="C394" s="1942" t="s">
        <v>1086</v>
      </c>
      <c r="D394" s="1770" t="s">
        <v>854</v>
      </c>
      <c r="E394" s="1943">
        <f>'Hourly Profiles'!AF7</f>
        <v>41128.21683401362</v>
      </c>
      <c r="F394" s="1943">
        <f>((F$239+F$265+F$281+F$299+F$329+F$337+F$364)*3412.1416+(F$283+F$333)*100000)/365</f>
        <v>35855.456118862574</v>
      </c>
      <c r="G394" s="9"/>
    </row>
    <row r="395" spans="2:9">
      <c r="B395" s="1308"/>
      <c r="C395" s="1883" t="s">
        <v>1087</v>
      </c>
      <c r="D395" s="1789" t="s">
        <v>854</v>
      </c>
      <c r="E395" s="1713">
        <f>'Hourly Profiles'!AF8</f>
        <v>0</v>
      </c>
      <c r="F395" s="1713">
        <f>((F$266+F$282+F$300+F$330+F$338+F$366)*3412.1416+(F$284+F$334)*100000)/365</f>
        <v>2981.0416817264236</v>
      </c>
      <c r="G395" s="9"/>
    </row>
    <row r="396" spans="2:9" hidden="1">
      <c r="B396" s="1333" t="s">
        <v>6393</v>
      </c>
      <c r="C396" s="1924" t="s">
        <v>4859</v>
      </c>
      <c r="D396" s="1925" t="s">
        <v>854</v>
      </c>
      <c r="E396" s="1841">
        <f>((E$375+E$389)*3412.1416)/365</f>
        <v>85642.149330206143</v>
      </c>
      <c r="F396" s="1714">
        <f>((F$375+F$389)*3412.1416)/365</f>
        <v>85642.149330206143</v>
      </c>
      <c r="G396" s="9"/>
    </row>
    <row r="397" spans="2:9" hidden="1">
      <c r="B397" s="1333" t="s">
        <v>6393</v>
      </c>
      <c r="C397" s="1915" t="s">
        <v>4860</v>
      </c>
      <c r="D397" s="1901" t="s">
        <v>854</v>
      </c>
      <c r="E397" s="1930">
        <f>((E$391)*3412.1416)/365</f>
        <v>72.916998575342461</v>
      </c>
      <c r="F397" s="1713">
        <f>((F$391)*3412.1416)/365</f>
        <v>72.916998575342461</v>
      </c>
      <c r="G397" s="9"/>
    </row>
    <row r="398" spans="2:9" ht="12.75">
      <c r="B398" s="1308"/>
      <c r="C398" s="2172" t="s">
        <v>21</v>
      </c>
      <c r="D398" s="2173"/>
      <c r="E398" s="2173"/>
      <c r="F398" s="2174"/>
      <c r="G398" s="9"/>
    </row>
    <row r="399" spans="2:9">
      <c r="B399" s="1308"/>
      <c r="C399" s="1939" t="s">
        <v>22</v>
      </c>
      <c r="D399" s="1940" t="s">
        <v>569</v>
      </c>
      <c r="E399" s="1941">
        <f>IF(HomeType=2, 0.92*N_br+0.63, 0.59*N_br+0.87)</f>
        <v>2.64</v>
      </c>
      <c r="F399" s="1941">
        <f t="shared" ref="F399:F405" si="5">E399</f>
        <v>2.64</v>
      </c>
      <c r="G399" s="9"/>
    </row>
    <row r="400" spans="2:9">
      <c r="B400" s="1308"/>
      <c r="C400" s="1799" t="s">
        <v>6373</v>
      </c>
      <c r="D400" s="1776" t="s">
        <v>6372</v>
      </c>
      <c r="E400" s="1691">
        <v>220</v>
      </c>
      <c r="F400" s="1691">
        <f t="shared" si="5"/>
        <v>220</v>
      </c>
      <c r="G400" s="9"/>
    </row>
    <row r="401" spans="1:20">
      <c r="B401" s="1308"/>
      <c r="C401" s="1799" t="s">
        <v>6374</v>
      </c>
      <c r="D401" s="1776" t="s">
        <v>6372</v>
      </c>
      <c r="E401" s="1691">
        <v>164</v>
      </c>
      <c r="F401" s="1691">
        <f t="shared" si="5"/>
        <v>164</v>
      </c>
      <c r="G401" s="9"/>
    </row>
    <row r="402" spans="1:20">
      <c r="B402" s="1308"/>
      <c r="C402" s="1799" t="s">
        <v>1029</v>
      </c>
      <c r="D402" s="1776" t="s">
        <v>854</v>
      </c>
      <c r="E402" s="1691">
        <f>'Hourly Profiles'!AI33</f>
        <v>9597.0195741640055</v>
      </c>
      <c r="F402" s="1691">
        <f t="shared" si="5"/>
        <v>9597.0195741640055</v>
      </c>
      <c r="G402" s="9"/>
    </row>
    <row r="403" spans="1:20">
      <c r="B403" s="1308"/>
      <c r="C403" s="1799" t="s">
        <v>1030</v>
      </c>
      <c r="D403" s="1776" t="s">
        <v>854</v>
      </c>
      <c r="E403" s="1691">
        <f>'Hourly Profiles'!AJ33</f>
        <v>7154.1418643768075</v>
      </c>
      <c r="F403" s="1691">
        <f t="shared" si="5"/>
        <v>7154.1418643768075</v>
      </c>
      <c r="G403" s="9"/>
    </row>
    <row r="404" spans="1:20">
      <c r="B404" s="1308"/>
      <c r="C404" s="1799" t="s">
        <v>1029</v>
      </c>
      <c r="D404" s="1776" t="s">
        <v>150</v>
      </c>
      <c r="E404" s="1691">
        <f>E402*(365-$E$435)</f>
        <v>3368553.870531566</v>
      </c>
      <c r="F404" s="1691">
        <f t="shared" si="5"/>
        <v>3368553.870531566</v>
      </c>
      <c r="G404" s="9"/>
    </row>
    <row r="405" spans="1:20">
      <c r="B405" s="1308"/>
      <c r="C405" s="1883" t="s">
        <v>1030</v>
      </c>
      <c r="D405" s="1789" t="s">
        <v>150</v>
      </c>
      <c r="E405" s="1715">
        <f>E403*(365-$E$435)</f>
        <v>2511103.7943962594</v>
      </c>
      <c r="F405" s="1692">
        <f t="shared" si="5"/>
        <v>2511103.7943962594</v>
      </c>
      <c r="G405" s="9"/>
    </row>
    <row r="406" spans="1:20" hidden="1">
      <c r="A406" s="1313" t="s">
        <v>567</v>
      </c>
      <c r="B406" s="1333" t="s">
        <v>6393</v>
      </c>
      <c r="C406" s="1926" t="s">
        <v>2897</v>
      </c>
      <c r="D406" s="1861" t="s">
        <v>999</v>
      </c>
      <c r="E406" s="1841"/>
      <c r="F406" s="1737" t="s">
        <v>567</v>
      </c>
      <c r="G406" s="13"/>
      <c r="H406" s="13"/>
      <c r="I406" s="13"/>
    </row>
    <row r="407" spans="1:20" hidden="1">
      <c r="A407" s="1308">
        <v>3</v>
      </c>
      <c r="B407" s="1333" t="s">
        <v>6393</v>
      </c>
      <c r="C407" s="1874" t="s">
        <v>4861</v>
      </c>
      <c r="D407" s="1895" t="s">
        <v>569</v>
      </c>
      <c r="E407" s="2037">
        <f>IF(NewConst!$F$406="yes", NewConst!$F$407, 0)</f>
        <v>3</v>
      </c>
      <c r="F407" s="1766">
        <v>3</v>
      </c>
      <c r="G407" s="9"/>
      <c r="H407" s="633"/>
      <c r="I407" s="13"/>
    </row>
    <row r="408" spans="1:20" hidden="1">
      <c r="A408" s="1313">
        <v>21</v>
      </c>
      <c r="B408" s="1333" t="s">
        <v>6393</v>
      </c>
      <c r="C408" s="1877" t="s">
        <v>6402</v>
      </c>
      <c r="D408" s="1927" t="s">
        <v>569</v>
      </c>
      <c r="E408" s="2037">
        <f>IF(NewConst!$F$406="yes", NewConst!$F$408, 0)</f>
        <v>21</v>
      </c>
      <c r="F408" s="1767">
        <v>21</v>
      </c>
      <c r="G408" s="13"/>
      <c r="H408" s="13"/>
      <c r="I408" s="13"/>
    </row>
    <row r="409" spans="1:20" hidden="1">
      <c r="B409" s="1333" t="s">
        <v>6393</v>
      </c>
      <c r="C409" s="1915" t="s">
        <v>2893</v>
      </c>
      <c r="D409" s="1901" t="s">
        <v>854</v>
      </c>
      <c r="E409" s="1842">
        <f>'Hourly Profiles'!CB33</f>
        <v>6375</v>
      </c>
      <c r="F409" s="1716">
        <f>NewConst!E409</f>
        <v>6375</v>
      </c>
      <c r="G409" s="9"/>
      <c r="H409" s="633"/>
      <c r="I409" s="13"/>
    </row>
    <row r="410" spans="1:20" hidden="1">
      <c r="B410" s="1333" t="s">
        <v>6393</v>
      </c>
      <c r="C410" s="1915" t="s">
        <v>2894</v>
      </c>
      <c r="D410" s="1901" t="s">
        <v>854</v>
      </c>
      <c r="E410" s="1842">
        <f>'Hourly Profiles'!CC33</f>
        <v>5100</v>
      </c>
      <c r="F410" s="1717">
        <f>NewConst!E410</f>
        <v>5100</v>
      </c>
      <c r="G410" s="9"/>
      <c r="H410" s="633"/>
      <c r="I410" s="13"/>
    </row>
    <row r="411" spans="1:20" hidden="1">
      <c r="B411" s="1333" t="s">
        <v>6393</v>
      </c>
      <c r="C411" s="1915" t="s">
        <v>2893</v>
      </c>
      <c r="D411" s="1901" t="s">
        <v>150</v>
      </c>
      <c r="E411" s="1842">
        <f>E409*260</f>
        <v>1657500</v>
      </c>
      <c r="F411" s="1717">
        <f>NewConst!E411</f>
        <v>1657500</v>
      </c>
      <c r="G411" s="9"/>
      <c r="H411" s="633"/>
      <c r="I411" s="13"/>
    </row>
    <row r="412" spans="1:20" hidden="1">
      <c r="B412" s="1333" t="s">
        <v>6393</v>
      </c>
      <c r="C412" s="1915" t="s">
        <v>2894</v>
      </c>
      <c r="D412" s="1901" t="s">
        <v>150</v>
      </c>
      <c r="E412" s="1843">
        <f>E410*260</f>
        <v>1326000</v>
      </c>
      <c r="F412" s="1713">
        <f>NewConst!E412</f>
        <v>1326000</v>
      </c>
      <c r="G412" s="9"/>
      <c r="H412" s="633"/>
      <c r="I412" s="13"/>
    </row>
    <row r="413" spans="1:20" hidden="1">
      <c r="B413" s="1333" t="s">
        <v>6393</v>
      </c>
      <c r="C413" s="1874" t="s">
        <v>6401</v>
      </c>
      <c r="D413" s="1895" t="s">
        <v>569</v>
      </c>
      <c r="E413" s="1844">
        <v>0.33</v>
      </c>
      <c r="F413" s="1718">
        <v>0.33</v>
      </c>
      <c r="G413" s="9"/>
      <c r="H413" s="633"/>
      <c r="I413" s="13"/>
    </row>
    <row r="414" spans="1:20" ht="12.75" hidden="1">
      <c r="B414" s="1333" t="s">
        <v>6393</v>
      </c>
      <c r="C414" s="1915" t="s">
        <v>4862</v>
      </c>
      <c r="D414" s="1901" t="s">
        <v>854</v>
      </c>
      <c r="E414" s="1806">
        <f>'Hourly Profiles'!CH33</f>
        <v>565.95000000000005</v>
      </c>
      <c r="F414" s="1691">
        <f>E414</f>
        <v>565.95000000000005</v>
      </c>
      <c r="G414" s="9"/>
      <c r="H414" s="633"/>
      <c r="I414" s="13"/>
      <c r="K414" s="1"/>
      <c r="N414" s="22"/>
      <c r="Q414" s="43"/>
      <c r="T414" s="43"/>
    </row>
    <row r="415" spans="1:20" ht="12.75" hidden="1">
      <c r="B415" s="1333" t="s">
        <v>6393</v>
      </c>
      <c r="C415" s="1915" t="s">
        <v>4863</v>
      </c>
      <c r="D415" s="1901" t="s">
        <v>854</v>
      </c>
      <c r="E415" s="1806">
        <f>'Hourly Profiles'!CI33</f>
        <v>358.05</v>
      </c>
      <c r="F415" s="1691">
        <f>E415</f>
        <v>358.05</v>
      </c>
      <c r="G415" s="9"/>
      <c r="H415" s="633"/>
      <c r="I415" s="13"/>
      <c r="K415" s="1"/>
      <c r="N415" s="22"/>
      <c r="Q415" s="43"/>
      <c r="R415" s="43"/>
      <c r="S415" s="43"/>
      <c r="T415" s="43"/>
    </row>
    <row r="416" spans="1:20" ht="12.75" hidden="1">
      <c r="B416" s="1333" t="s">
        <v>6393</v>
      </c>
      <c r="C416" s="1915" t="s">
        <v>4862</v>
      </c>
      <c r="D416" s="1901" t="s">
        <v>150</v>
      </c>
      <c r="E416" s="2051">
        <f>E414*365</f>
        <v>206571.75000000003</v>
      </c>
      <c r="F416" s="1691">
        <f>E416</f>
        <v>206571.75000000003</v>
      </c>
      <c r="G416" s="9"/>
      <c r="H416" s="633"/>
      <c r="I416" s="13"/>
      <c r="K416" s="1"/>
      <c r="N416" s="22"/>
      <c r="Q416" s="43"/>
      <c r="R416" s="43"/>
      <c r="S416" s="43"/>
    </row>
    <row r="417" spans="1:20" s="43" customFormat="1" ht="12.75" hidden="1">
      <c r="A417" s="1308"/>
      <c r="B417" s="1333" t="s">
        <v>6393</v>
      </c>
      <c r="C417" s="1915" t="s">
        <v>4863</v>
      </c>
      <c r="D417" s="1901" t="s">
        <v>150</v>
      </c>
      <c r="E417" s="1930">
        <f>E415*365</f>
        <v>130688.25</v>
      </c>
      <c r="F417" s="1720">
        <f>E417</f>
        <v>130688.25</v>
      </c>
      <c r="G417" s="9"/>
      <c r="H417" s="633"/>
      <c r="I417" s="13"/>
      <c r="J417" s="13"/>
      <c r="K417" s="1"/>
      <c r="L417" s="13"/>
      <c r="M417" s="13"/>
      <c r="N417" s="22"/>
      <c r="R417" s="13"/>
      <c r="S417" s="13"/>
      <c r="T417" s="13"/>
    </row>
    <row r="418" spans="1:20" hidden="1">
      <c r="A418" s="1313" t="s">
        <v>567</v>
      </c>
      <c r="B418" s="1333" t="s">
        <v>6393</v>
      </c>
      <c r="C418" s="1928" t="s">
        <v>2898</v>
      </c>
      <c r="D418" s="1875" t="s">
        <v>999</v>
      </c>
      <c r="E418" s="1845"/>
      <c r="F418" s="1738" t="s">
        <v>567</v>
      </c>
      <c r="G418" s="13"/>
      <c r="H418" s="13"/>
      <c r="I418" s="13"/>
    </row>
    <row r="419" spans="1:20" s="43" customFormat="1" ht="12.75" hidden="1">
      <c r="A419" s="1308">
        <v>3</v>
      </c>
      <c r="B419" s="1333" t="s">
        <v>6393</v>
      </c>
      <c r="C419" s="1874" t="s">
        <v>2895</v>
      </c>
      <c r="D419" s="1895" t="s">
        <v>569</v>
      </c>
      <c r="E419" s="2037">
        <f>IF(NewConst!F418="yes", NewConst!F419, 0)</f>
        <v>3</v>
      </c>
      <c r="F419" s="1738">
        <v>3</v>
      </c>
      <c r="G419" s="9"/>
      <c r="H419" s="633"/>
      <c r="I419" s="13"/>
      <c r="J419" s="13"/>
      <c r="K419" s="1"/>
      <c r="L419" s="13"/>
      <c r="M419" s="13"/>
      <c r="N419" s="22"/>
      <c r="R419" s="13"/>
      <c r="S419" s="13"/>
      <c r="T419" s="13"/>
    </row>
    <row r="420" spans="1:20" hidden="1">
      <c r="B420" s="1333" t="s">
        <v>6393</v>
      </c>
      <c r="C420" s="1915" t="s">
        <v>4692</v>
      </c>
      <c r="D420" s="1901" t="s">
        <v>854</v>
      </c>
      <c r="E420" s="1819">
        <f>'Hourly Profiles'!CE33</f>
        <v>30885</v>
      </c>
      <c r="F420" s="1721">
        <f>NewConst!E420</f>
        <v>30885</v>
      </c>
      <c r="G420" s="9"/>
      <c r="H420" s="633"/>
      <c r="I420" s="13"/>
    </row>
    <row r="421" spans="1:20" hidden="1">
      <c r="B421" s="1333" t="s">
        <v>6393</v>
      </c>
      <c r="C421" s="1915" t="s">
        <v>4693</v>
      </c>
      <c r="D421" s="1901" t="s">
        <v>854</v>
      </c>
      <c r="E421" s="1846">
        <f>'Hourly Profiles'!CF33</f>
        <v>47415</v>
      </c>
      <c r="F421" s="1717">
        <f>NewConst!E421</f>
        <v>47415</v>
      </c>
      <c r="G421" s="9"/>
      <c r="H421" s="633"/>
      <c r="I421" s="13"/>
    </row>
    <row r="422" spans="1:20" hidden="1">
      <c r="B422" s="1333" t="s">
        <v>6393</v>
      </c>
      <c r="C422" s="1915" t="s">
        <v>4692</v>
      </c>
      <c r="D422" s="1901" t="s">
        <v>150</v>
      </c>
      <c r="E422" s="1819">
        <f>E420*365</f>
        <v>11273025</v>
      </c>
      <c r="F422" s="1717">
        <f>NewConst!E422</f>
        <v>11273025</v>
      </c>
      <c r="G422" s="9"/>
      <c r="H422" s="633"/>
      <c r="I422" s="13"/>
    </row>
    <row r="423" spans="1:20" hidden="1">
      <c r="B423" s="1333" t="s">
        <v>6393</v>
      </c>
      <c r="C423" s="1915" t="s">
        <v>4693</v>
      </c>
      <c r="D423" s="1901" t="s">
        <v>150</v>
      </c>
      <c r="E423" s="1847">
        <f>E421*365</f>
        <v>17306475</v>
      </c>
      <c r="F423" s="1713">
        <f>NewConst!E423</f>
        <v>17306475</v>
      </c>
      <c r="H423" s="633"/>
      <c r="I423" s="13"/>
    </row>
    <row r="424" spans="1:20" hidden="1">
      <c r="B424" s="1333" t="s">
        <v>6393</v>
      </c>
      <c r="C424" s="1874" t="s">
        <v>2896</v>
      </c>
      <c r="D424" s="1895" t="s">
        <v>569</v>
      </c>
      <c r="E424" s="2052">
        <f>IF(NewConst!F249="yes", 'Monthly Profiles'!D48, 0)</f>
        <v>0</v>
      </c>
      <c r="F424" s="1714">
        <f>NewConst!E424</f>
        <v>0</v>
      </c>
      <c r="H424" s="633"/>
      <c r="I424" s="13"/>
    </row>
    <row r="425" spans="1:20" hidden="1">
      <c r="B425" s="1333" t="s">
        <v>6393</v>
      </c>
      <c r="C425" s="1915" t="s">
        <v>4709</v>
      </c>
      <c r="D425" s="1901" t="s">
        <v>854</v>
      </c>
      <c r="E425" s="1819">
        <f>'Hourly Profiles'!BY33</f>
        <v>32341.343952377836</v>
      </c>
      <c r="F425" s="1717">
        <f>NewConst!E425</f>
        <v>32341.343952377836</v>
      </c>
      <c r="H425" s="633"/>
      <c r="I425" s="13"/>
    </row>
    <row r="426" spans="1:20" hidden="1">
      <c r="B426" s="1333" t="s">
        <v>6393</v>
      </c>
      <c r="C426" s="1915" t="s">
        <v>4710</v>
      </c>
      <c r="D426" s="1901" t="s">
        <v>854</v>
      </c>
      <c r="E426" s="1819">
        <f>'Hourly Profiles'!BZ33</f>
        <v>25873.07516190227</v>
      </c>
      <c r="F426" s="1717">
        <f>NewConst!E426</f>
        <v>25873.07516190227</v>
      </c>
      <c r="H426" s="633"/>
      <c r="I426" s="13"/>
    </row>
    <row r="427" spans="1:20" hidden="1">
      <c r="B427" s="1333" t="s">
        <v>6393</v>
      </c>
      <c r="C427" s="1905" t="s">
        <v>4709</v>
      </c>
      <c r="D427" s="1903" t="s">
        <v>150</v>
      </c>
      <c r="E427" s="1819">
        <f>E425*365</f>
        <v>11804590.54261791</v>
      </c>
      <c r="F427" s="1717">
        <f>NewConst!E427</f>
        <v>11804590.54261791</v>
      </c>
      <c r="H427" s="633"/>
      <c r="I427" s="13"/>
    </row>
    <row r="428" spans="1:20" hidden="1">
      <c r="B428" s="1333" t="s">
        <v>6393</v>
      </c>
      <c r="C428" s="1915" t="s">
        <v>4710</v>
      </c>
      <c r="D428" s="1901" t="s">
        <v>150</v>
      </c>
      <c r="E428" s="1847">
        <f>E426*365</f>
        <v>9443672.4340943284</v>
      </c>
      <c r="F428" s="1713">
        <f>NewConst!E428</f>
        <v>9443672.4340943284</v>
      </c>
      <c r="G428" s="9"/>
      <c r="H428" s="633"/>
      <c r="I428" s="13"/>
    </row>
    <row r="429" spans="1:20" ht="12.75">
      <c r="B429" s="1308"/>
      <c r="C429" s="2142" t="s">
        <v>23</v>
      </c>
      <c r="D429" s="2143"/>
      <c r="E429" s="2143"/>
      <c r="F429" s="2144"/>
      <c r="G429" s="9"/>
      <c r="H429" s="633"/>
      <c r="I429" s="13"/>
    </row>
    <row r="430" spans="1:20">
      <c r="B430" s="1308"/>
      <c r="C430" s="1939" t="s">
        <v>1076</v>
      </c>
      <c r="D430" s="1940" t="s">
        <v>454</v>
      </c>
      <c r="E430" s="2100">
        <v>71</v>
      </c>
      <c r="F430" s="2101">
        <f>E430</f>
        <v>71</v>
      </c>
      <c r="G430" s="9"/>
      <c r="H430" s="633"/>
      <c r="I430" s="13"/>
    </row>
    <row r="431" spans="1:20">
      <c r="B431" s="1308"/>
      <c r="C431" s="1778" t="s">
        <v>24</v>
      </c>
      <c r="D431" s="1745" t="s">
        <v>454</v>
      </c>
      <c r="E431" s="2102">
        <v>76</v>
      </c>
      <c r="F431" s="2103">
        <f>E431</f>
        <v>76</v>
      </c>
      <c r="G431" s="9"/>
      <c r="H431" s="633"/>
      <c r="I431" s="13"/>
    </row>
    <row r="432" spans="1:20">
      <c r="B432" s="1308"/>
      <c r="C432" s="1778" t="s">
        <v>213</v>
      </c>
      <c r="D432" s="1745" t="s">
        <v>214</v>
      </c>
      <c r="E432" s="2085">
        <v>0.6</v>
      </c>
      <c r="F432" s="2085" t="str">
        <f>"60% (if has dehum.)"</f>
        <v>60% (if has dehum.)</v>
      </c>
      <c r="G432" s="9"/>
      <c r="H432" s="633"/>
      <c r="I432" s="13"/>
    </row>
    <row r="433" spans="2:9">
      <c r="B433" s="1308"/>
      <c r="C433" s="1904" t="s">
        <v>216</v>
      </c>
      <c r="D433" s="1746" t="s">
        <v>454</v>
      </c>
      <c r="E433" s="2088">
        <f>E430+1</f>
        <v>72</v>
      </c>
      <c r="F433" s="2088">
        <f>F430+1</f>
        <v>72</v>
      </c>
      <c r="G433" s="9"/>
      <c r="H433" s="633"/>
      <c r="I433" s="13"/>
    </row>
    <row r="434" spans="2:9">
      <c r="B434" s="1308"/>
      <c r="C434" s="1929" t="s">
        <v>6371</v>
      </c>
      <c r="D434" s="1791"/>
      <c r="E434" s="2104">
        <v>0.7</v>
      </c>
      <c r="F434" s="2105">
        <v>0.7</v>
      </c>
    </row>
    <row r="435" spans="2:9" ht="22.5">
      <c r="B435" s="1308"/>
      <c r="C435" s="1778" t="s">
        <v>6376</v>
      </c>
      <c r="D435" s="1852" t="s">
        <v>6375</v>
      </c>
      <c r="E435" s="2106">
        <v>14</v>
      </c>
      <c r="F435" s="2107">
        <v>14</v>
      </c>
    </row>
    <row r="436" spans="2:9">
      <c r="B436" s="1308"/>
      <c r="C436" s="1799" t="s">
        <v>878</v>
      </c>
      <c r="D436" s="1776" t="s">
        <v>879</v>
      </c>
      <c r="E436" s="2102">
        <v>8</v>
      </c>
      <c r="F436" s="2108">
        <f>E436</f>
        <v>8</v>
      </c>
      <c r="G436" s="9"/>
      <c r="H436" s="1201"/>
    </row>
    <row r="437" spans="2:9">
      <c r="B437" s="1308"/>
      <c r="C437" s="1800" t="s">
        <v>6078</v>
      </c>
      <c r="D437" s="1914" t="s">
        <v>877</v>
      </c>
      <c r="E437" s="2109">
        <v>40</v>
      </c>
      <c r="F437" s="2110">
        <f>E437</f>
        <v>40</v>
      </c>
      <c r="G437" s="9"/>
    </row>
    <row r="438" spans="2:9">
      <c r="B438" s="1308"/>
    </row>
    <row r="439" spans="2:9">
      <c r="B439" s="1308"/>
    </row>
    <row r="440" spans="2:9">
      <c r="B440" s="1308"/>
    </row>
    <row r="441" spans="2:9">
      <c r="B441" s="1308"/>
    </row>
    <row r="442" spans="2:9">
      <c r="B442" s="1308"/>
    </row>
    <row r="443" spans="2:9">
      <c r="B443" s="1308"/>
    </row>
    <row r="444" spans="2:9" ht="12" customHeight="1">
      <c r="B444" s="1308"/>
    </row>
    <row r="445" spans="2:9">
      <c r="B445" s="1308"/>
    </row>
    <row r="446" spans="2:9">
      <c r="B446" s="1308"/>
    </row>
    <row r="447" spans="2:9">
      <c r="B447" s="1308"/>
    </row>
    <row r="448" spans="2:9">
      <c r="B448" s="1308"/>
    </row>
    <row r="449" spans="2:2">
      <c r="B449" s="1308"/>
    </row>
    <row r="450" spans="2:2">
      <c r="B450" s="1308"/>
    </row>
    <row r="451" spans="2:2">
      <c r="B451" s="1308"/>
    </row>
    <row r="452" spans="2:2">
      <c r="B452" s="1308"/>
    </row>
    <row r="453" spans="2:2">
      <c r="B453" s="1308"/>
    </row>
  </sheetData>
  <sheetProtection password="E436" sheet="1" objects="1" scenarios="1"/>
  <customSheetViews>
    <customSheetView guid="{9D9CC1BC-DB05-4217-B8C4-C7D781B7F8D2}" scale="85" topLeftCell="A74">
      <selection activeCell="E97" sqref="E97"/>
      <pageMargins left="0.75" right="0.75" top="1" bottom="1" header="0.5" footer="0.5"/>
      <pageSetup orientation="portrait" r:id="rId1"/>
      <headerFooter alignWithMargins="0"/>
    </customSheetView>
    <customSheetView guid="{9269B2CD-A406-43DC-BA8B-F5A150AD6259}" scale="85" showRuler="0" topLeftCell="A4">
      <selection activeCell="E34" sqref="E34"/>
      <pageMargins left="0.75" right="0.75" top="1" bottom="1" header="0.5" footer="0.5"/>
      <pageSetup orientation="portrait" r:id="rId2"/>
      <headerFooter alignWithMargins="0"/>
    </customSheetView>
    <customSheetView guid="{016B665E-0473-45CF-BD13-A0D080545E7D}" showRuler="0" topLeftCell="A13">
      <selection activeCell="E18" sqref="E18"/>
      <pageMargins left="0.75" right="0.75" top="1" bottom="1" header="0.5" footer="0.5"/>
      <pageSetup orientation="portrait" r:id="rId3"/>
      <headerFooter alignWithMargins="0"/>
    </customSheetView>
    <customSheetView guid="{34E9BAF4-8BCF-43B8-B517-138482F8DBA3}" showRuler="0" topLeftCell="A13">
      <selection activeCell="E18" sqref="E18"/>
      <pageMargins left="0.75" right="0.75" top="1" bottom="1" header="0.5" footer="0.5"/>
      <pageSetup orientation="portrait" r:id="rId4"/>
      <headerFooter alignWithMargins="0"/>
    </customSheetView>
    <customSheetView guid="{DFF7B4F0-17DD-4C86-BC12-8533022AC142}" scale="85" showRuler="0">
      <selection activeCell="E87" sqref="E87"/>
      <pageMargins left="0.75" right="0.75" top="1" bottom="1" header="0.5" footer="0.5"/>
      <pageSetup orientation="portrait" r:id="rId5"/>
      <headerFooter alignWithMargins="0"/>
    </customSheetView>
    <customSheetView guid="{8FC06A8F-4190-4B09-8DE3-F7E4A0370246}" scale="85" showRuler="0">
      <selection activeCell="E87" sqref="E87"/>
      <pageMargins left="0.75" right="0.75" top="1" bottom="1" header="0.5" footer="0.5"/>
      <pageSetup orientation="portrait" r:id="rId6"/>
      <headerFooter alignWithMargins="0"/>
    </customSheetView>
    <customSheetView guid="{F8F77319-B8FE-4CA4-848B-9F1571935CC1}" scale="85" showRuler="0">
      <selection activeCell="E87" sqref="E87"/>
      <pageMargins left="0.75" right="0.75" top="1" bottom="1" header="0.5" footer="0.5"/>
      <pageSetup orientation="portrait" r:id="rId7"/>
      <headerFooter alignWithMargins="0"/>
    </customSheetView>
    <customSheetView guid="{D81FF85B-F418-45E7-961F-850689E42C61}" scale="85" showRuler="0">
      <selection activeCell="E87" sqref="E87"/>
      <pageMargins left="0.75" right="0.75" top="1" bottom="1" header="0.5" footer="0.5"/>
      <pageSetup orientation="portrait" r:id="rId8"/>
      <headerFooter alignWithMargins="0"/>
    </customSheetView>
    <customSheetView guid="{87D4A3EE-F9D7-4FC5-AF5A-526B7CACC5E7}" showRuler="0" topLeftCell="A13">
      <selection activeCell="E18" sqref="E18"/>
      <pageMargins left="0.75" right="0.75" top="1" bottom="1" header="0.5" footer="0.5"/>
      <pageSetup orientation="portrait" r:id="rId9"/>
      <headerFooter alignWithMargins="0"/>
    </customSheetView>
    <customSheetView guid="{0F82C062-395D-4B45-A1F8-64BDE1013040}" scale="85" showRuler="0" topLeftCell="A4">
      <selection activeCell="E34" sqref="E34"/>
      <pageMargins left="0.75" right="0.75" top="1" bottom="1" header="0.5" footer="0.5"/>
      <pageSetup orientation="portrait" r:id="rId10"/>
      <headerFooter alignWithMargins="0"/>
    </customSheetView>
    <customSheetView guid="{82649DE9-B2C2-401B-BA46-C15576CBE14A}" scale="85" showRuler="0" topLeftCell="F10">
      <selection activeCell="F19" sqref="F19"/>
      <pageMargins left="0.75" right="0.75" top="1" bottom="1" header="0.5" footer="0.5"/>
      <pageSetup orientation="portrait" r:id="rId11"/>
      <headerFooter alignWithMargins="0"/>
    </customSheetView>
  </customSheetViews>
  <mergeCells count="40">
    <mergeCell ref="C269:F269"/>
    <mergeCell ref="C202:F202"/>
    <mergeCell ref="C234:F234"/>
    <mergeCell ref="F186:F187"/>
    <mergeCell ref="C149:D149"/>
    <mergeCell ref="C158:F158"/>
    <mergeCell ref="C246:F246"/>
    <mergeCell ref="C150:F150"/>
    <mergeCell ref="F183:F184"/>
    <mergeCell ref="F190:F191"/>
    <mergeCell ref="C393:F393"/>
    <mergeCell ref="C398:F398"/>
    <mergeCell ref="C429:F429"/>
    <mergeCell ref="C285:F285"/>
    <mergeCell ref="C321:F321"/>
    <mergeCell ref="C357:F357"/>
    <mergeCell ref="C368:F368"/>
    <mergeCell ref="C377:F377"/>
    <mergeCell ref="C90:C91"/>
    <mergeCell ref="H2:J2"/>
    <mergeCell ref="G89:I89"/>
    <mergeCell ref="G50:H55"/>
    <mergeCell ref="E7:F7"/>
    <mergeCell ref="E10:F10"/>
    <mergeCell ref="E9:F9"/>
    <mergeCell ref="C84:F84"/>
    <mergeCell ref="C3:E4"/>
    <mergeCell ref="B1:E2"/>
    <mergeCell ref="G91:G92"/>
    <mergeCell ref="B5:D5"/>
    <mergeCell ref="G185:I185"/>
    <mergeCell ref="G188:I189"/>
    <mergeCell ref="G193:I193"/>
    <mergeCell ref="G124:I124"/>
    <mergeCell ref="G128:I128"/>
    <mergeCell ref="C95:F95"/>
    <mergeCell ref="C179:F179"/>
    <mergeCell ref="C110:F110"/>
    <mergeCell ref="E109:F109"/>
    <mergeCell ref="G182:I182"/>
  </mergeCells>
  <phoneticPr fontId="0" type="noConversion"/>
  <conditionalFormatting sqref="C251:D268">
    <cfRule type="expression" dxfId="2240" priority="12362">
      <formula>$F$249="YES"</formula>
    </cfRule>
  </conditionalFormatting>
  <conditionalFormatting sqref="C111:D149 C159:D178 C203:D233 C235:D245 C247:D268 C270:D284 C286:D320 C322:D356 C369:D376 C378:D392 C394:D397 C399:D428 C180:D201 C7:D83">
    <cfRule type="expression" dxfId="2239" priority="11504">
      <formula>OR($B7="mf",$B7="mfcmt")</formula>
    </cfRule>
  </conditionalFormatting>
  <conditionalFormatting sqref="E443">
    <cfRule type="expression" dxfId="2238" priority="10629">
      <formula>AND(NOT(CELL("protect",$E$443)),$E$443=$A$443)</formula>
    </cfRule>
    <cfRule type="expression" dxfId="2237" priority="10630">
      <formula>NOT(CELL("protect",$E$443))</formula>
    </cfRule>
  </conditionalFormatting>
  <conditionalFormatting sqref="F443">
    <cfRule type="expression" dxfId="2236" priority="9759">
      <formula>AND(NOT(CELL("protect",$F$443)),$F$443=$A$443)</formula>
    </cfRule>
    <cfRule type="expression" dxfId="2235" priority="9760">
      <formula>NOT(CELL("protect",$F$443))</formula>
    </cfRule>
  </conditionalFormatting>
  <conditionalFormatting sqref="C149:D149">
    <cfRule type="expression" dxfId="2234" priority="9758">
      <formula>$B149="mf"</formula>
    </cfRule>
  </conditionalFormatting>
  <conditionalFormatting sqref="C204:D216">
    <cfRule type="expression" dxfId="2233" priority="9757">
      <formula>$B204="mf"</formula>
    </cfRule>
  </conditionalFormatting>
  <conditionalFormatting sqref="E442">
    <cfRule type="expression" dxfId="2232" priority="8885">
      <formula>AND(NOT(CELL("protect",$E$442)),$E$442=$A$442)</formula>
    </cfRule>
    <cfRule type="expression" dxfId="2231" priority="8886">
      <formula>NOT(CELL("protect",$E$442))</formula>
    </cfRule>
  </conditionalFormatting>
  <conditionalFormatting sqref="F442">
    <cfRule type="expression" dxfId="2230" priority="8015">
      <formula>AND(NOT(CELL("protect",$F$442)),$F$442=$A$442)</formula>
    </cfRule>
    <cfRule type="expression" dxfId="2229" priority="8016">
      <formula>NOT(CELL("protect",$F$442))</formula>
    </cfRule>
  </conditionalFormatting>
  <conditionalFormatting sqref="C203">
    <cfRule type="expression" dxfId="2228" priority="8014">
      <formula>$B203="mf"</formula>
    </cfRule>
  </conditionalFormatting>
  <conditionalFormatting sqref="C126:D126">
    <cfRule type="expression" dxfId="2227" priority="8013">
      <formula>$B126="mf"</formula>
    </cfRule>
  </conditionalFormatting>
  <conditionalFormatting sqref="E7">
    <cfRule type="expression" dxfId="2226" priority="2277" stopIfTrue="1">
      <formula>AND(NOT(CELL("protect",$E$7)),$E$7=$A$7)</formula>
    </cfRule>
    <cfRule type="expression" dxfId="2225" priority="2278">
      <formula>AND(NOT(CELL("protect",$E$7)))</formula>
    </cfRule>
  </conditionalFormatting>
  <conditionalFormatting sqref="E8">
    <cfRule type="expression" dxfId="2224" priority="2275" stopIfTrue="1">
      <formula>AND(NOT(CELL("protect",$E$8)),$E$8=$A$8)</formula>
    </cfRule>
    <cfRule type="expression" dxfId="2223" priority="2276">
      <formula>AND(NOT(CELL("protect",$E$8)))</formula>
    </cfRule>
  </conditionalFormatting>
  <conditionalFormatting sqref="E9">
    <cfRule type="expression" dxfId="2222" priority="2273" stopIfTrue="1">
      <formula>AND(NOT(CELL("protect",$E$9)),$E$9=$A$9)</formula>
    </cfRule>
    <cfRule type="expression" dxfId="2221" priority="2274">
      <formula>AND(NOT(CELL("protect",$E$9)))</formula>
    </cfRule>
  </conditionalFormatting>
  <conditionalFormatting sqref="E10">
    <cfRule type="expression" dxfId="2220" priority="2271" stopIfTrue="1">
      <formula>AND(NOT(CELL("protect",$E$10)),$E$10=$A$10)</formula>
    </cfRule>
    <cfRule type="expression" dxfId="2219" priority="2272">
      <formula>AND(NOT(CELL("protect",$E$10)))</formula>
    </cfRule>
  </conditionalFormatting>
  <conditionalFormatting sqref="E11">
    <cfRule type="expression" dxfId="2218" priority="2269" stopIfTrue="1">
      <formula>AND(NOT(CELL("protect",$E$11)),$E$11=$A$11)</formula>
    </cfRule>
    <cfRule type="expression" dxfId="2217" priority="2270">
      <formula>AND(NOT(CELL("protect",$E$11)))</formula>
    </cfRule>
  </conditionalFormatting>
  <conditionalFormatting sqref="E12">
    <cfRule type="expression" dxfId="2216" priority="2267" stopIfTrue="1">
      <formula>AND(NOT(CELL("protect",$E$12)),$E$12=$A$12)</formula>
    </cfRule>
    <cfRule type="expression" dxfId="2215" priority="2268">
      <formula>AND(NOT(CELL("protect",$E$12)))</formula>
    </cfRule>
  </conditionalFormatting>
  <conditionalFormatting sqref="E13">
    <cfRule type="expression" dxfId="2214" priority="2265" stopIfTrue="1">
      <formula>AND(NOT(CELL("protect",$E$13)),$E$13=$A$13)</formula>
    </cfRule>
    <cfRule type="expression" dxfId="2213" priority="2266">
      <formula>AND(NOT(CELL("protect",$E$13)))</formula>
    </cfRule>
  </conditionalFormatting>
  <conditionalFormatting sqref="E14">
    <cfRule type="expression" dxfId="2212" priority="2263" stopIfTrue="1">
      <formula>AND(NOT(CELL("protect",$E$14)),$E$14=$A$14)</formula>
    </cfRule>
    <cfRule type="expression" dxfId="2211" priority="2264">
      <formula>AND(NOT(CELL("protect",$E$14)))</formula>
    </cfRule>
  </conditionalFormatting>
  <conditionalFormatting sqref="E15">
    <cfRule type="expression" dxfId="2210" priority="2261" stopIfTrue="1">
      <formula>AND(NOT(CELL("protect",$E$15)),$E$15=$A$15)</formula>
    </cfRule>
    <cfRule type="expression" dxfId="2209" priority="2262">
      <formula>AND(NOT(CELL("protect",$E$15)))</formula>
    </cfRule>
  </conditionalFormatting>
  <conditionalFormatting sqref="E16">
    <cfRule type="expression" dxfId="2208" priority="2259" stopIfTrue="1">
      <formula>AND(NOT(CELL("protect",$E$16)),$E$16=$A$16)</formula>
    </cfRule>
    <cfRule type="expression" dxfId="2207" priority="2260">
      <formula>AND(NOT(CELL("protect",$E$16)))</formula>
    </cfRule>
  </conditionalFormatting>
  <conditionalFormatting sqref="E17">
    <cfRule type="expression" dxfId="2206" priority="2257" stopIfTrue="1">
      <formula>AND(NOT(CELL("protect",$E$17)),$E$17=$A$17)</formula>
    </cfRule>
    <cfRule type="expression" dxfId="2205" priority="2258">
      <formula>AND(NOT(CELL("protect",$E$17)))</formula>
    </cfRule>
  </conditionalFormatting>
  <conditionalFormatting sqref="E18">
    <cfRule type="expression" dxfId="2204" priority="2255" stopIfTrue="1">
      <formula>AND(NOT(CELL("protect",$E$18)),$E$18=$A$18)</formula>
    </cfRule>
    <cfRule type="expression" dxfId="2203" priority="2256">
      <formula>AND(NOT(CELL("protect",$E$18)))</formula>
    </cfRule>
  </conditionalFormatting>
  <conditionalFormatting sqref="E19">
    <cfRule type="expression" dxfId="2202" priority="2253" stopIfTrue="1">
      <formula>AND(NOT(CELL("protect",$E$19)),$E$19=$A$19)</formula>
    </cfRule>
    <cfRule type="expression" dxfId="2201" priority="2254">
      <formula>AND(NOT(CELL("protect",$E$19)))</formula>
    </cfRule>
  </conditionalFormatting>
  <conditionalFormatting sqref="E20">
    <cfRule type="expression" dxfId="2200" priority="2251" stopIfTrue="1">
      <formula>AND(NOT(CELL("protect",$E$20)),$E$20=$A$20)</formula>
    </cfRule>
    <cfRule type="expression" dxfId="2199" priority="2252">
      <formula>AND(NOT(CELL("protect",$E$20)))</formula>
    </cfRule>
  </conditionalFormatting>
  <conditionalFormatting sqref="E21">
    <cfRule type="expression" dxfId="2198" priority="2249" stopIfTrue="1">
      <formula>AND(NOT(CELL("protect",$E$21)),$E$21=$A$21)</formula>
    </cfRule>
    <cfRule type="expression" dxfId="2197" priority="2250">
      <formula>AND(NOT(CELL("protect",$E$21)))</formula>
    </cfRule>
  </conditionalFormatting>
  <conditionalFormatting sqref="E22">
    <cfRule type="expression" dxfId="2196" priority="2247" stopIfTrue="1">
      <formula>AND(NOT(CELL("protect",$E$22)),$E$22=$A$22)</formula>
    </cfRule>
    <cfRule type="expression" dxfId="2195" priority="2248">
      <formula>AND(NOT(CELL("protect",$E$22)))</formula>
    </cfRule>
  </conditionalFormatting>
  <conditionalFormatting sqref="E23">
    <cfRule type="expression" dxfId="2194" priority="2245" stopIfTrue="1">
      <formula>AND(NOT(CELL("protect",$E$23)),$E$23=$A$23)</formula>
    </cfRule>
    <cfRule type="expression" dxfId="2193" priority="2246">
      <formula>AND(NOT(CELL("protect",$E$23)))</formula>
    </cfRule>
  </conditionalFormatting>
  <conditionalFormatting sqref="E24">
    <cfRule type="expression" dxfId="2192" priority="2243" stopIfTrue="1">
      <formula>AND(NOT(CELL("protect",$E$24)),$E$24=$A$24)</formula>
    </cfRule>
    <cfRule type="expression" dxfId="2191" priority="2244">
      <formula>AND(NOT(CELL("protect",$E$24)))</formula>
    </cfRule>
  </conditionalFormatting>
  <conditionalFormatting sqref="E25">
    <cfRule type="expression" dxfId="2190" priority="2241" stopIfTrue="1">
      <formula>AND(NOT(CELL("protect",$E$25)),$E$25=$A$25)</formula>
    </cfRule>
    <cfRule type="expression" dxfId="2189" priority="2242">
      <formula>AND(NOT(CELL("protect",$E$25)))</formula>
    </cfRule>
  </conditionalFormatting>
  <conditionalFormatting sqref="E26">
    <cfRule type="expression" dxfId="2188" priority="2239" stopIfTrue="1">
      <formula>AND(NOT(CELL("protect",$E$26)),$E$26=$A$26)</formula>
    </cfRule>
    <cfRule type="expression" dxfId="2187" priority="2240">
      <formula>AND(NOT(CELL("protect",$E$26)))</formula>
    </cfRule>
  </conditionalFormatting>
  <conditionalFormatting sqref="E27">
    <cfRule type="expression" dxfId="2186" priority="2237" stopIfTrue="1">
      <formula>AND(NOT(CELL("protect",$E$27)),$E$27=$A$27)</formula>
    </cfRule>
    <cfRule type="expression" dxfId="2185" priority="2238">
      <formula>AND(NOT(CELL("protect",$E$27)))</formula>
    </cfRule>
  </conditionalFormatting>
  <conditionalFormatting sqref="E28">
    <cfRule type="expression" dxfId="2184" priority="2235" stopIfTrue="1">
      <formula>AND(NOT(CELL("protect",$E$28)),$E$28=$A$28)</formula>
    </cfRule>
    <cfRule type="expression" dxfId="2183" priority="2236">
      <formula>AND(NOT(CELL("protect",$E$28)))</formula>
    </cfRule>
  </conditionalFormatting>
  <conditionalFormatting sqref="E29">
    <cfRule type="expression" dxfId="2182" priority="2233" stopIfTrue="1">
      <formula>AND(NOT(CELL("protect",$E$29)),$E$29=$A$29)</formula>
    </cfRule>
    <cfRule type="expression" dxfId="2181" priority="2234">
      <formula>AND(NOT(CELL("protect",$E$29)))</formula>
    </cfRule>
  </conditionalFormatting>
  <conditionalFormatting sqref="E30">
    <cfRule type="expression" dxfId="2180" priority="2231" stopIfTrue="1">
      <formula>AND(NOT(CELL("protect",$E$30)),$E$30=$A$30)</formula>
    </cfRule>
    <cfRule type="expression" dxfId="2179" priority="2232">
      <formula>AND(NOT(CELL("protect",$E$30)))</formula>
    </cfRule>
  </conditionalFormatting>
  <conditionalFormatting sqref="E31">
    <cfRule type="expression" dxfId="2178" priority="2229" stopIfTrue="1">
      <formula>AND(NOT(CELL("protect",$E$31)),$E$31=$A$31)</formula>
    </cfRule>
    <cfRule type="expression" dxfId="2177" priority="2230">
      <formula>AND(NOT(CELL("protect",$E$31)))</formula>
    </cfRule>
  </conditionalFormatting>
  <conditionalFormatting sqref="E32">
    <cfRule type="expression" dxfId="2176" priority="2227" stopIfTrue="1">
      <formula>AND(NOT(CELL("protect",$E$32)),$E$32=$A$32)</formula>
    </cfRule>
    <cfRule type="expression" dxfId="2175" priority="2228">
      <formula>AND(NOT(CELL("protect",$E$32)))</formula>
    </cfRule>
  </conditionalFormatting>
  <conditionalFormatting sqref="E33">
    <cfRule type="expression" dxfId="2174" priority="2225" stopIfTrue="1">
      <formula>AND(NOT(CELL("protect",$E$33)),$E$33=$A$33)</formula>
    </cfRule>
    <cfRule type="expression" dxfId="2173" priority="2226">
      <formula>AND(NOT(CELL("protect",$E$33)))</formula>
    </cfRule>
  </conditionalFormatting>
  <conditionalFormatting sqref="E34">
    <cfRule type="expression" dxfId="2172" priority="2223" stopIfTrue="1">
      <formula>AND(NOT(CELL("protect",$E$34)),$E$34=$A$34)</formula>
    </cfRule>
    <cfRule type="expression" dxfId="2171" priority="2224">
      <formula>AND(NOT(CELL("protect",$E$34)))</formula>
    </cfRule>
  </conditionalFormatting>
  <conditionalFormatting sqref="E35">
    <cfRule type="expression" dxfId="2170" priority="2221" stopIfTrue="1">
      <formula>AND(NOT(CELL("protect",$E$35)),$E$35=$A$35)</formula>
    </cfRule>
    <cfRule type="expression" dxfId="2169" priority="2222">
      <formula>AND(NOT(CELL("protect",$E$35)))</formula>
    </cfRule>
  </conditionalFormatting>
  <conditionalFormatting sqref="E36">
    <cfRule type="expression" dxfId="2168" priority="2219" stopIfTrue="1">
      <formula>AND(NOT(CELL("protect",$E$36)),$E$36=$A$36)</formula>
    </cfRule>
    <cfRule type="expression" dxfId="2167" priority="2220">
      <formula>AND(NOT(CELL("protect",$E$36)))</formula>
    </cfRule>
  </conditionalFormatting>
  <conditionalFormatting sqref="E37">
    <cfRule type="expression" dxfId="2166" priority="2217" stopIfTrue="1">
      <formula>AND(NOT(CELL("protect",$E$37)),$E$37=$A$37)</formula>
    </cfRule>
    <cfRule type="expression" dxfId="2165" priority="2218">
      <formula>AND(NOT(CELL("protect",$E$37)))</formula>
    </cfRule>
  </conditionalFormatting>
  <conditionalFormatting sqref="E38">
    <cfRule type="expression" dxfId="2164" priority="2215" stopIfTrue="1">
      <formula>AND(NOT(CELL("protect",$E$38)),$E$38=$A$38)</formula>
    </cfRule>
    <cfRule type="expression" dxfId="2163" priority="2216">
      <formula>AND(NOT(CELL("protect",$E$38)))</formula>
    </cfRule>
  </conditionalFormatting>
  <conditionalFormatting sqref="E39">
    <cfRule type="expression" dxfId="2162" priority="2213" stopIfTrue="1">
      <formula>AND(NOT(CELL("protect",$E$39)),$E$39=$A$39)</formula>
    </cfRule>
    <cfRule type="expression" dxfId="2161" priority="2214">
      <formula>AND(NOT(CELL("protect",$E$39)))</formula>
    </cfRule>
  </conditionalFormatting>
  <conditionalFormatting sqref="E40">
    <cfRule type="expression" dxfId="2160" priority="2211" stopIfTrue="1">
      <formula>AND(NOT(CELL("protect",$E$40)),$E$40=$A$40)</formula>
    </cfRule>
    <cfRule type="expression" dxfId="2159" priority="2212">
      <formula>AND(NOT(CELL("protect",$E$40)))</formula>
    </cfRule>
  </conditionalFormatting>
  <conditionalFormatting sqref="E41">
    <cfRule type="expression" dxfId="2158" priority="2209" stopIfTrue="1">
      <formula>AND(NOT(CELL("protect",$E$41)),$E$41=$A$41)</formula>
    </cfRule>
    <cfRule type="expression" dxfId="2157" priority="2210">
      <formula>AND(NOT(CELL("protect",$E$41)))</formula>
    </cfRule>
  </conditionalFormatting>
  <conditionalFormatting sqref="E42">
    <cfRule type="expression" dxfId="2156" priority="2207" stopIfTrue="1">
      <formula>AND(NOT(CELL("protect",$E$42)),$E$42=$A$42)</formula>
    </cfRule>
    <cfRule type="expression" dxfId="2155" priority="2208">
      <formula>AND(NOT(CELL("protect",$E$42)))</formula>
    </cfRule>
  </conditionalFormatting>
  <conditionalFormatting sqref="E43">
    <cfRule type="expression" dxfId="2154" priority="2205" stopIfTrue="1">
      <formula>AND(NOT(CELL("protect",$E$43)),$E$43=$A$43)</formula>
    </cfRule>
    <cfRule type="expression" dxfId="2153" priority="2206">
      <formula>AND(NOT(CELL("protect",$E$43)))</formula>
    </cfRule>
  </conditionalFormatting>
  <conditionalFormatting sqref="E44">
    <cfRule type="expression" dxfId="2152" priority="2203" stopIfTrue="1">
      <formula>AND(NOT(CELL("protect",$E$44)),$E$44=$A$44)</formula>
    </cfRule>
    <cfRule type="expression" dxfId="2151" priority="2204">
      <formula>AND(NOT(CELL("protect",$E$44)))</formula>
    </cfRule>
  </conditionalFormatting>
  <conditionalFormatting sqref="E45">
    <cfRule type="expression" dxfId="2150" priority="2201" stopIfTrue="1">
      <formula>AND(NOT(CELL("protect",$E$45)),$E$45=$A$45)</formula>
    </cfRule>
    <cfRule type="expression" dxfId="2149" priority="2202">
      <formula>AND(NOT(CELL("protect",$E$45)))</formula>
    </cfRule>
  </conditionalFormatting>
  <conditionalFormatting sqref="E46">
    <cfRule type="expression" dxfId="2148" priority="2199" stopIfTrue="1">
      <formula>AND(NOT(CELL("protect",$E$46)),$E$46=$A$46)</formula>
    </cfRule>
    <cfRule type="expression" dxfId="2147" priority="2200">
      <formula>AND(NOT(CELL("protect",$E$46)))</formula>
    </cfRule>
  </conditionalFormatting>
  <conditionalFormatting sqref="E47">
    <cfRule type="expression" dxfId="2146" priority="2197" stopIfTrue="1">
      <formula>AND(NOT(CELL("protect",$E$47)),$E$47=$A$47)</formula>
    </cfRule>
    <cfRule type="expression" dxfId="2145" priority="2198">
      <formula>AND(NOT(CELL("protect",$E$47)))</formula>
    </cfRule>
  </conditionalFormatting>
  <conditionalFormatting sqref="E48">
    <cfRule type="expression" dxfId="2144" priority="2195" stopIfTrue="1">
      <formula>AND(NOT(CELL("protect",$E$48)),$E$48=$A$48)</formula>
    </cfRule>
    <cfRule type="expression" dxfId="2143" priority="2196">
      <formula>AND(NOT(CELL("protect",$E$48)))</formula>
    </cfRule>
  </conditionalFormatting>
  <conditionalFormatting sqref="E49">
    <cfRule type="expression" dxfId="2142" priority="2193" stopIfTrue="1">
      <formula>AND(NOT(CELL("protect",$E$49)),$E$49=$A$49)</formula>
    </cfRule>
    <cfRule type="expression" dxfId="2141" priority="2194">
      <formula>AND(NOT(CELL("protect",$E$49)))</formula>
    </cfRule>
  </conditionalFormatting>
  <conditionalFormatting sqref="E50">
    <cfRule type="expression" dxfId="2140" priority="2191" stopIfTrue="1">
      <formula>AND(NOT(CELL("protect",$E$50)),$E$50=$A$50)</formula>
    </cfRule>
    <cfRule type="expression" dxfId="2139" priority="2192">
      <formula>AND(NOT(CELL("protect",$E$50)))</formula>
    </cfRule>
  </conditionalFormatting>
  <conditionalFormatting sqref="E51">
    <cfRule type="expression" dxfId="2138" priority="2189" stopIfTrue="1">
      <formula>AND(NOT(CELL("protect",$E$51)),$E$51=$A$51)</formula>
    </cfRule>
    <cfRule type="expression" dxfId="2137" priority="2190">
      <formula>AND(NOT(CELL("protect",$E$51)))</formula>
    </cfRule>
  </conditionalFormatting>
  <conditionalFormatting sqref="E52">
    <cfRule type="expression" dxfId="2136" priority="2187" stopIfTrue="1">
      <formula>AND(NOT(CELL("protect",$E$52)),$E$52=$A$52)</formula>
    </cfRule>
    <cfRule type="expression" dxfId="2135" priority="2188">
      <formula>AND(NOT(CELL("protect",$E$52)))</formula>
    </cfRule>
  </conditionalFormatting>
  <conditionalFormatting sqref="E53">
    <cfRule type="expression" dxfId="2134" priority="2185" stopIfTrue="1">
      <formula>AND(NOT(CELL("protect",$E$53)),$E$53=$A$53)</formula>
    </cfRule>
    <cfRule type="expression" dxfId="2133" priority="2186">
      <formula>AND(NOT(CELL("protect",$E$53)))</formula>
    </cfRule>
  </conditionalFormatting>
  <conditionalFormatting sqref="E54">
    <cfRule type="expression" dxfId="2132" priority="2183" stopIfTrue="1">
      <formula>AND(NOT(CELL("protect",$E$54)),$E$54=$A$54)</formula>
    </cfRule>
    <cfRule type="expression" dxfId="2131" priority="2184">
      <formula>AND(NOT(CELL("protect",$E$54)))</formula>
    </cfRule>
  </conditionalFormatting>
  <conditionalFormatting sqref="E55">
    <cfRule type="expression" dxfId="2130" priority="2181" stopIfTrue="1">
      <formula>AND(NOT(CELL("protect",$E$55)),$E$55=$A$55)</formula>
    </cfRule>
    <cfRule type="expression" dxfId="2129" priority="2182">
      <formula>AND(NOT(CELL("protect",$E$55)))</formula>
    </cfRule>
  </conditionalFormatting>
  <conditionalFormatting sqref="E56">
    <cfRule type="expression" dxfId="2128" priority="2179" stopIfTrue="1">
      <formula>AND(NOT(CELL("protect",$E$56)),$E$56=$A$56)</formula>
    </cfRule>
    <cfRule type="expression" dxfId="2127" priority="2180">
      <formula>AND(NOT(CELL("protect",$E$56)))</formula>
    </cfRule>
  </conditionalFormatting>
  <conditionalFormatting sqref="E57">
    <cfRule type="expression" dxfId="2126" priority="2177" stopIfTrue="1">
      <formula>AND(NOT(CELL("protect",$E$57)),$E$57=$A$57)</formula>
    </cfRule>
    <cfRule type="expression" dxfId="2125" priority="2178">
      <formula>AND(NOT(CELL("protect",$E$57)))</formula>
    </cfRule>
  </conditionalFormatting>
  <conditionalFormatting sqref="E58">
    <cfRule type="expression" dxfId="2124" priority="2175" stopIfTrue="1">
      <formula>AND(NOT(CELL("protect",$E$58)),$E$58=$A$58)</formula>
    </cfRule>
    <cfRule type="expression" dxfId="2123" priority="2176">
      <formula>AND(NOT(CELL("protect",$E$58)))</formula>
    </cfRule>
  </conditionalFormatting>
  <conditionalFormatting sqref="E59">
    <cfRule type="expression" dxfId="2122" priority="2173" stopIfTrue="1">
      <formula>AND(NOT(CELL("protect",$E$59)),$E$59=$A$59)</formula>
    </cfRule>
    <cfRule type="expression" dxfId="2121" priority="2174">
      <formula>AND(NOT(CELL("protect",$E$59)))</formula>
    </cfRule>
  </conditionalFormatting>
  <conditionalFormatting sqref="E60">
    <cfRule type="expression" dxfId="2120" priority="2171" stopIfTrue="1">
      <formula>AND(NOT(CELL("protect",$E$60)),$E$60=$A$60)</formula>
    </cfRule>
    <cfRule type="expression" dxfId="2119" priority="2172">
      <formula>AND(NOT(CELL("protect",$E$60)))</formula>
    </cfRule>
  </conditionalFormatting>
  <conditionalFormatting sqref="E61">
    <cfRule type="expression" dxfId="2118" priority="2169" stopIfTrue="1">
      <formula>AND(NOT(CELL("protect",$E$61)),$E$61=$A$61)</formula>
    </cfRule>
    <cfRule type="expression" dxfId="2117" priority="2170">
      <formula>AND(NOT(CELL("protect",$E$61)))</formula>
    </cfRule>
  </conditionalFormatting>
  <conditionalFormatting sqref="E62">
    <cfRule type="expression" dxfId="2116" priority="2167" stopIfTrue="1">
      <formula>AND(NOT(CELL("protect",$E$62)),$E$62=$A$62)</formula>
    </cfRule>
    <cfRule type="expression" dxfId="2115" priority="2168">
      <formula>AND(NOT(CELL("protect",$E$62)))</formula>
    </cfRule>
  </conditionalFormatting>
  <conditionalFormatting sqref="E63">
    <cfRule type="expression" dxfId="2114" priority="2165" stopIfTrue="1">
      <formula>AND(NOT(CELL("protect",$E$63)),$E$63=$A$63)</formula>
    </cfRule>
    <cfRule type="expression" dxfId="2113" priority="2166">
      <formula>AND(NOT(CELL("protect",$E$63)))</formula>
    </cfRule>
  </conditionalFormatting>
  <conditionalFormatting sqref="E64">
    <cfRule type="expression" dxfId="2112" priority="2163" stopIfTrue="1">
      <formula>AND(NOT(CELL("protect",$E$64)),$E$64=$A$64)</formula>
    </cfRule>
    <cfRule type="expression" dxfId="2111" priority="2164">
      <formula>AND(NOT(CELL("protect",$E$64)))</formula>
    </cfRule>
  </conditionalFormatting>
  <conditionalFormatting sqref="E65">
    <cfRule type="expression" dxfId="2110" priority="2161" stopIfTrue="1">
      <formula>AND(NOT(CELL("protect",$E$65)),$E$65=$A$65)</formula>
    </cfRule>
    <cfRule type="expression" dxfId="2109" priority="2162">
      <formula>AND(NOT(CELL("protect",$E$65)))</formula>
    </cfRule>
  </conditionalFormatting>
  <conditionalFormatting sqref="E66">
    <cfRule type="expression" dxfId="2108" priority="2159" stopIfTrue="1">
      <formula>AND(NOT(CELL("protect",$E$66)),$E$66=$A$66)</formula>
    </cfRule>
    <cfRule type="expression" dxfId="2107" priority="2160">
      <formula>AND(NOT(CELL("protect",$E$66)))</formula>
    </cfRule>
  </conditionalFormatting>
  <conditionalFormatting sqref="E67">
    <cfRule type="expression" dxfId="2106" priority="2157" stopIfTrue="1">
      <formula>AND(NOT(CELL("protect",$E$67)),$E$67=$A$67)</formula>
    </cfRule>
    <cfRule type="expression" dxfId="2105" priority="2158">
      <formula>AND(NOT(CELL("protect",$E$67)))</formula>
    </cfRule>
  </conditionalFormatting>
  <conditionalFormatting sqref="E68">
    <cfRule type="expression" dxfId="2104" priority="2155" stopIfTrue="1">
      <formula>AND(NOT(CELL("protect",$E$68)),$E$68=$A$68)</formula>
    </cfRule>
    <cfRule type="expression" dxfId="2103" priority="2156">
      <formula>AND(NOT(CELL("protect",$E$68)))</formula>
    </cfRule>
  </conditionalFormatting>
  <conditionalFormatting sqref="E69">
    <cfRule type="expression" dxfId="2102" priority="2153" stopIfTrue="1">
      <formula>AND(NOT(CELL("protect",$E$69)),$E$69=$A$69)</formula>
    </cfRule>
    <cfRule type="expression" dxfId="2101" priority="2154">
      <formula>AND(NOT(CELL("protect",$E$69)))</formula>
    </cfRule>
  </conditionalFormatting>
  <conditionalFormatting sqref="E70">
    <cfRule type="expression" dxfId="2100" priority="2151" stopIfTrue="1">
      <formula>AND(NOT(CELL("protect",$E$70)),$E$70=$A$70)</formula>
    </cfRule>
    <cfRule type="expression" dxfId="2099" priority="2152">
      <formula>AND(NOT(CELL("protect",$E$70)))</formula>
    </cfRule>
  </conditionalFormatting>
  <conditionalFormatting sqref="E71">
    <cfRule type="expression" dxfId="2098" priority="2149" stopIfTrue="1">
      <formula>AND(NOT(CELL("protect",$E$71)),$E$71=$A$71)</formula>
    </cfRule>
    <cfRule type="expression" dxfId="2097" priority="2150">
      <formula>AND(NOT(CELL("protect",$E$71)))</formula>
    </cfRule>
  </conditionalFormatting>
  <conditionalFormatting sqref="E72">
    <cfRule type="expression" dxfId="2096" priority="2147" stopIfTrue="1">
      <formula>AND(NOT(CELL("protect",$E$72)),$E$72=$A$72)</formula>
    </cfRule>
    <cfRule type="expression" dxfId="2095" priority="2148">
      <formula>AND(NOT(CELL("protect",$E$72)))</formula>
    </cfRule>
  </conditionalFormatting>
  <conditionalFormatting sqref="E73">
    <cfRule type="expression" dxfId="2094" priority="2145" stopIfTrue="1">
      <formula>AND(NOT(CELL("protect",$E$73)),$E$73=$A$73)</formula>
    </cfRule>
    <cfRule type="expression" dxfId="2093" priority="2146">
      <formula>AND(NOT(CELL("protect",$E$73)))</formula>
    </cfRule>
  </conditionalFormatting>
  <conditionalFormatting sqref="E74">
    <cfRule type="expression" dxfId="2092" priority="2143" stopIfTrue="1">
      <formula>AND(NOT(CELL("protect",$E$74)),$E$74=$A$74)</formula>
    </cfRule>
    <cfRule type="expression" dxfId="2091" priority="2144">
      <formula>AND(NOT(CELL("protect",$E$74)))</formula>
    </cfRule>
  </conditionalFormatting>
  <conditionalFormatting sqref="E75">
    <cfRule type="expression" dxfId="2090" priority="2141" stopIfTrue="1">
      <formula>AND(NOT(CELL("protect",$E$75)),$E$75=$A$75)</formula>
    </cfRule>
    <cfRule type="expression" dxfId="2089" priority="2142">
      <formula>AND(NOT(CELL("protect",$E$75)))</formula>
    </cfRule>
  </conditionalFormatting>
  <conditionalFormatting sqref="E76">
    <cfRule type="expression" dxfId="2088" priority="2139" stopIfTrue="1">
      <formula>AND(NOT(CELL("protect",$E$76)),$E$76=$A$76)</formula>
    </cfRule>
    <cfRule type="expression" dxfId="2087" priority="2140">
      <formula>AND(NOT(CELL("protect",$E$76)))</formula>
    </cfRule>
  </conditionalFormatting>
  <conditionalFormatting sqref="E77">
    <cfRule type="expression" dxfId="2086" priority="2137" stopIfTrue="1">
      <formula>AND(NOT(CELL("protect",$E$77)),$E$77=$A$77)</formula>
    </cfRule>
    <cfRule type="expression" dxfId="2085" priority="2138">
      <formula>AND(NOT(CELL("protect",$E$77)))</formula>
    </cfRule>
  </conditionalFormatting>
  <conditionalFormatting sqref="E78">
    <cfRule type="expression" dxfId="2084" priority="2135" stopIfTrue="1">
      <formula>AND(NOT(CELL("protect",$E$78)),$E$78=$A$78)</formula>
    </cfRule>
    <cfRule type="expression" dxfId="2083" priority="2136">
      <formula>AND(NOT(CELL("protect",$E$78)))</formula>
    </cfRule>
  </conditionalFormatting>
  <conditionalFormatting sqref="E79">
    <cfRule type="expression" dxfId="2082" priority="2133" stopIfTrue="1">
      <formula>AND(NOT(CELL("protect",$E$79)),$E$79=$A$79)</formula>
    </cfRule>
    <cfRule type="expression" dxfId="2081" priority="2134">
      <formula>AND(NOT(CELL("protect",$E$79)))</formula>
    </cfRule>
  </conditionalFormatting>
  <conditionalFormatting sqref="E80">
    <cfRule type="expression" dxfId="2080" priority="2131" stopIfTrue="1">
      <formula>AND(NOT(CELL("protect",$E$80)),$E$80=$A$80)</formula>
    </cfRule>
    <cfRule type="expression" dxfId="2079" priority="2132">
      <formula>AND(NOT(CELL("protect",$E$80)))</formula>
    </cfRule>
  </conditionalFormatting>
  <conditionalFormatting sqref="E81">
    <cfRule type="expression" dxfId="2078" priority="2129" stopIfTrue="1">
      <formula>AND(NOT(CELL("protect",$E$81)),$E$81=$A$81)</formula>
    </cfRule>
    <cfRule type="expression" dxfId="2077" priority="2130">
      <formula>AND(NOT(CELL("protect",$E$81)))</formula>
    </cfRule>
  </conditionalFormatting>
  <conditionalFormatting sqref="E82">
    <cfRule type="expression" dxfId="2076" priority="2127" stopIfTrue="1">
      <formula>AND(NOT(CELL("protect",$E$82)),$E$82=$A$82)</formula>
    </cfRule>
    <cfRule type="expression" dxfId="2075" priority="2128">
      <formula>AND(NOT(CELL("protect",$E$82)))</formula>
    </cfRule>
  </conditionalFormatting>
  <conditionalFormatting sqref="E83">
    <cfRule type="expression" dxfId="2074" priority="2125" stopIfTrue="1">
      <formula>AND(NOT(CELL("protect",$E$83)),$E$83=$A$83)</formula>
    </cfRule>
    <cfRule type="expression" dxfId="2073" priority="2126">
      <formula>AND(NOT(CELL("protect",$E$83)))</formula>
    </cfRule>
  </conditionalFormatting>
  <conditionalFormatting sqref="E84">
    <cfRule type="expression" dxfId="2072" priority="2123" stopIfTrue="1">
      <formula>AND(NOT(CELL("protect",$E$84)),$E$84=$A$84)</formula>
    </cfRule>
    <cfRule type="expression" dxfId="2071" priority="2124">
      <formula>AND(NOT(CELL("protect",$E$84)))</formula>
    </cfRule>
  </conditionalFormatting>
  <conditionalFormatting sqref="E85">
    <cfRule type="expression" dxfId="2070" priority="2121" stopIfTrue="1">
      <formula>AND(NOT(CELL("protect",$E$85)),$E$85=$A$85)</formula>
    </cfRule>
    <cfRule type="expression" dxfId="2069" priority="2122">
      <formula>AND(NOT(CELL("protect",$E$85)))</formula>
    </cfRule>
  </conditionalFormatting>
  <conditionalFormatting sqref="E86">
    <cfRule type="expression" dxfId="2068" priority="2119" stopIfTrue="1">
      <formula>AND(NOT(CELL("protect",$E$86)),$E$86=$A$86)</formula>
    </cfRule>
    <cfRule type="expression" dxfId="2067" priority="2120">
      <formula>AND(NOT(CELL("protect",$E$86)))</formula>
    </cfRule>
  </conditionalFormatting>
  <conditionalFormatting sqref="E87">
    <cfRule type="expression" dxfId="2066" priority="2117" stopIfTrue="1">
      <formula>AND(NOT(CELL("protect",$E$87)),$E$87=$A$87)</formula>
    </cfRule>
    <cfRule type="expression" dxfId="2065" priority="2118">
      <formula>AND(NOT(CELL("protect",$E$87)))</formula>
    </cfRule>
  </conditionalFormatting>
  <conditionalFormatting sqref="E88">
    <cfRule type="expression" dxfId="2064" priority="2115" stopIfTrue="1">
      <formula>AND(NOT(CELL("protect",$E$88)),$E$88=$A$88)</formula>
    </cfRule>
    <cfRule type="expression" dxfId="2063" priority="2116">
      <formula>AND(NOT(CELL("protect",$E$88)))</formula>
    </cfRule>
  </conditionalFormatting>
  <conditionalFormatting sqref="E89">
    <cfRule type="expression" dxfId="2062" priority="2113" stopIfTrue="1">
      <formula>AND(NOT(CELL("protect",$E$89)),$E$89=$A$89)</formula>
    </cfRule>
    <cfRule type="expression" dxfId="2061" priority="2114">
      <formula>AND(NOT(CELL("protect",$E$89)))</formula>
    </cfRule>
  </conditionalFormatting>
  <conditionalFormatting sqref="E90">
    <cfRule type="expression" dxfId="2060" priority="2111" stopIfTrue="1">
      <formula>AND(NOT(CELL("protect",$E$90)),$E$90=$A$90)</formula>
    </cfRule>
    <cfRule type="expression" dxfId="2059" priority="2112">
      <formula>AND(NOT(CELL("protect",$E$90)))</formula>
    </cfRule>
  </conditionalFormatting>
  <conditionalFormatting sqref="E91">
    <cfRule type="expression" dxfId="2058" priority="2109" stopIfTrue="1">
      <formula>AND(NOT(CELL("protect",$E$91)),$E$91=$A$91)</formula>
    </cfRule>
    <cfRule type="expression" dxfId="2057" priority="2110">
      <formula>AND(NOT(CELL("protect",$E$91)))</formula>
    </cfRule>
  </conditionalFormatting>
  <conditionalFormatting sqref="E92">
    <cfRule type="expression" dxfId="2056" priority="2107" stopIfTrue="1">
      <formula>AND(NOT(CELL("protect",$E$92)),$E$92=$A$92)</formula>
    </cfRule>
    <cfRule type="expression" dxfId="2055" priority="2108">
      <formula>AND(NOT(CELL("protect",$E$92)))</formula>
    </cfRule>
  </conditionalFormatting>
  <conditionalFormatting sqref="E93">
    <cfRule type="expression" dxfId="2054" priority="2105" stopIfTrue="1">
      <formula>AND(NOT(CELL("protect",$E$93)),$E$93=$A$93)</formula>
    </cfRule>
    <cfRule type="expression" dxfId="2053" priority="2106">
      <formula>AND(NOT(CELL("protect",$E$93)))</formula>
    </cfRule>
  </conditionalFormatting>
  <conditionalFormatting sqref="E94">
    <cfRule type="expression" dxfId="2052" priority="2103" stopIfTrue="1">
      <formula>AND(NOT(CELL("protect",$E$94)),$E$94=$A$94)</formula>
    </cfRule>
    <cfRule type="expression" dxfId="2051" priority="2104">
      <formula>AND(NOT(CELL("protect",$E$94)))</formula>
    </cfRule>
  </conditionalFormatting>
  <conditionalFormatting sqref="E95">
    <cfRule type="expression" dxfId="2050" priority="2101" stopIfTrue="1">
      <formula>AND(NOT(CELL("protect",$E$95)),$E$95=$A$95)</formula>
    </cfRule>
    <cfRule type="expression" dxfId="2049" priority="2102">
      <formula>AND(NOT(CELL("protect",$E$95)))</formula>
    </cfRule>
  </conditionalFormatting>
  <conditionalFormatting sqref="E96">
    <cfRule type="expression" dxfId="2048" priority="2099" stopIfTrue="1">
      <formula>AND(NOT(CELL("protect",$E$96)),$E$96=$A$96)</formula>
    </cfRule>
    <cfRule type="expression" dxfId="2047" priority="2100">
      <formula>AND(NOT(CELL("protect",$E$96)))</formula>
    </cfRule>
  </conditionalFormatting>
  <conditionalFormatting sqref="E97">
    <cfRule type="expression" dxfId="2046" priority="2097" stopIfTrue="1">
      <formula>AND(NOT(CELL("protect",$E$97)),$E$97=$A$97)</formula>
    </cfRule>
    <cfRule type="expression" dxfId="2045" priority="2098">
      <formula>AND(NOT(CELL("protect",$E$97)))</formula>
    </cfRule>
  </conditionalFormatting>
  <conditionalFormatting sqref="E98">
    <cfRule type="expression" dxfId="2044" priority="2095" stopIfTrue="1">
      <formula>AND(NOT(CELL("protect",$E$98)),$E$98=$A$98)</formula>
    </cfRule>
    <cfRule type="expression" dxfId="2043" priority="2096">
      <formula>AND(NOT(CELL("protect",$E$98)))</formula>
    </cfRule>
  </conditionalFormatting>
  <conditionalFormatting sqref="E99">
    <cfRule type="expression" dxfId="2042" priority="2093" stopIfTrue="1">
      <formula>AND(NOT(CELL("protect",$E$99)),$E$99=$A$99)</formula>
    </cfRule>
    <cfRule type="expression" dxfId="2041" priority="2094">
      <formula>AND(NOT(CELL("protect",$E$99)))</formula>
    </cfRule>
  </conditionalFormatting>
  <conditionalFormatting sqref="E100">
    <cfRule type="expression" dxfId="2040" priority="2091" stopIfTrue="1">
      <formula>AND(NOT(CELL("protect",$E$100)),$E$100=$A$100)</formula>
    </cfRule>
    <cfRule type="expression" dxfId="2039" priority="2092">
      <formula>AND(NOT(CELL("protect",$E$100)))</formula>
    </cfRule>
  </conditionalFormatting>
  <conditionalFormatting sqref="E101">
    <cfRule type="expression" dxfId="2038" priority="2089" stopIfTrue="1">
      <formula>AND(NOT(CELL("protect",$E$101)),$E$101=$A$101)</formula>
    </cfRule>
    <cfRule type="expression" dxfId="2037" priority="2090">
      <formula>AND(NOT(CELL("protect",$E$101)))</formula>
    </cfRule>
  </conditionalFormatting>
  <conditionalFormatting sqref="E102">
    <cfRule type="expression" dxfId="2036" priority="2087" stopIfTrue="1">
      <formula>AND(NOT(CELL("protect",$E$102)),$E$102=$A$102)</formula>
    </cfRule>
    <cfRule type="expression" dxfId="2035" priority="2088">
      <formula>AND(NOT(CELL("protect",$E$102)))</formula>
    </cfRule>
  </conditionalFormatting>
  <conditionalFormatting sqref="E103">
    <cfRule type="expression" dxfId="2034" priority="2085" stopIfTrue="1">
      <formula>AND(NOT(CELL("protect",$E$103)),$E$103=$A$103)</formula>
    </cfRule>
    <cfRule type="expression" dxfId="2033" priority="2086">
      <formula>AND(NOT(CELL("protect",$E$103)))</formula>
    </cfRule>
  </conditionalFormatting>
  <conditionalFormatting sqref="E104">
    <cfRule type="expression" dxfId="2032" priority="2083" stopIfTrue="1">
      <formula>AND(NOT(CELL("protect",$E$104)),$E$104=$A$104)</formula>
    </cfRule>
    <cfRule type="expression" dxfId="2031" priority="2084">
      <formula>AND(NOT(CELL("protect",$E$104)))</formula>
    </cfRule>
  </conditionalFormatting>
  <conditionalFormatting sqref="E105">
    <cfRule type="expression" dxfId="2030" priority="2081" stopIfTrue="1">
      <formula>AND(NOT(CELL("protect",$E$105)),$E$105=$A$105)</formula>
    </cfRule>
    <cfRule type="expression" dxfId="2029" priority="2082">
      <formula>AND(NOT(CELL("protect",$E$105)))</formula>
    </cfRule>
  </conditionalFormatting>
  <conditionalFormatting sqref="E106">
    <cfRule type="expression" dxfId="2028" priority="2079" stopIfTrue="1">
      <formula>AND(NOT(CELL("protect",$E$106)),$E$106=$A$106)</formula>
    </cfRule>
    <cfRule type="expression" dxfId="2027" priority="2080">
      <formula>AND(NOT(CELL("protect",$E$106)))</formula>
    </cfRule>
  </conditionalFormatting>
  <conditionalFormatting sqref="E107">
    <cfRule type="expression" dxfId="2026" priority="2077" stopIfTrue="1">
      <formula>AND(NOT(CELL("protect",$E$107)),$E$107=$A$107)</formula>
    </cfRule>
    <cfRule type="expression" dxfId="2025" priority="2078">
      <formula>AND(NOT(CELL("protect",$E$107)))</formula>
    </cfRule>
  </conditionalFormatting>
  <conditionalFormatting sqref="E108">
    <cfRule type="expression" dxfId="2024" priority="2075" stopIfTrue="1">
      <formula>AND(NOT(CELL("protect",$E$108)),$E$108=$A$108)</formula>
    </cfRule>
    <cfRule type="expression" dxfId="2023" priority="2076">
      <formula>AND(NOT(CELL("protect",$E$108)))</formula>
    </cfRule>
  </conditionalFormatting>
  <conditionalFormatting sqref="E109">
    <cfRule type="expression" dxfId="2022" priority="2073" stopIfTrue="1">
      <formula>AND(NOT(CELL("protect",$E$109)),$E$109=$A$109)</formula>
    </cfRule>
    <cfRule type="expression" dxfId="2021" priority="2074">
      <formula>AND(NOT(CELL("protect",$E$109)))</formula>
    </cfRule>
  </conditionalFormatting>
  <conditionalFormatting sqref="E110">
    <cfRule type="expression" dxfId="2020" priority="2071" stopIfTrue="1">
      <formula>AND(NOT(CELL("protect",$E$110)),$E$110=$A$110)</formula>
    </cfRule>
    <cfRule type="expression" dxfId="2019" priority="2072">
      <formula>AND(NOT(CELL("protect",$E$110)))</formula>
    </cfRule>
  </conditionalFormatting>
  <conditionalFormatting sqref="E111">
    <cfRule type="expression" dxfId="2018" priority="2069" stopIfTrue="1">
      <formula>AND(NOT(CELL("protect",$E$111)),$E$111=$A$111)</formula>
    </cfRule>
    <cfRule type="expression" dxfId="2017" priority="2070">
      <formula>AND(NOT(CELL("protect",$E$111)))</formula>
    </cfRule>
  </conditionalFormatting>
  <conditionalFormatting sqref="E112">
    <cfRule type="expression" dxfId="2016" priority="2067" stopIfTrue="1">
      <formula>AND(NOT(CELL("protect",$E$112)),$E$112=$A$112)</formula>
    </cfRule>
    <cfRule type="expression" dxfId="2015" priority="2068">
      <formula>AND(NOT(CELL("protect",$E$112)))</formula>
    </cfRule>
  </conditionalFormatting>
  <conditionalFormatting sqref="E113">
    <cfRule type="expression" dxfId="2014" priority="2065" stopIfTrue="1">
      <formula>AND(NOT(CELL("protect",$E$113)),$E$113=$A$113)</formula>
    </cfRule>
    <cfRule type="expression" dxfId="2013" priority="2066">
      <formula>AND(NOT(CELL("protect",$E$113)))</formula>
    </cfRule>
  </conditionalFormatting>
  <conditionalFormatting sqref="E114">
    <cfRule type="expression" dxfId="2012" priority="2063" stopIfTrue="1">
      <formula>AND(NOT(CELL("protect",$E$114)),$E$114=$A$114)</formula>
    </cfRule>
    <cfRule type="expression" dxfId="2011" priority="2064">
      <formula>AND(NOT(CELL("protect",$E$114)))</formula>
    </cfRule>
  </conditionalFormatting>
  <conditionalFormatting sqref="E115">
    <cfRule type="expression" dxfId="2010" priority="2061" stopIfTrue="1">
      <formula>AND(NOT(CELL("protect",$E$115)),$E$115=$A$115)</formula>
    </cfRule>
    <cfRule type="expression" dxfId="2009" priority="2062">
      <formula>AND(NOT(CELL("protect",$E$115)))</formula>
    </cfRule>
  </conditionalFormatting>
  <conditionalFormatting sqref="E116">
    <cfRule type="expression" dxfId="2008" priority="2059" stopIfTrue="1">
      <formula>AND(NOT(CELL("protect",$E$116)),$E$116=$A$116)</formula>
    </cfRule>
    <cfRule type="expression" dxfId="2007" priority="2060">
      <formula>AND(NOT(CELL("protect",$E$116)))</formula>
    </cfRule>
  </conditionalFormatting>
  <conditionalFormatting sqref="E117">
    <cfRule type="expression" dxfId="2006" priority="2057" stopIfTrue="1">
      <formula>AND(NOT(CELL("protect",$E$117)),$E$117=$A$117)</formula>
    </cfRule>
    <cfRule type="expression" dxfId="2005" priority="2058">
      <formula>AND(NOT(CELL("protect",$E$117)))</formula>
    </cfRule>
  </conditionalFormatting>
  <conditionalFormatting sqref="E118">
    <cfRule type="expression" dxfId="2004" priority="2055" stopIfTrue="1">
      <formula>AND(NOT(CELL("protect",$E$118)),$E$118=$A$118)</formula>
    </cfRule>
    <cfRule type="expression" dxfId="2003" priority="2056">
      <formula>AND(NOT(CELL("protect",$E$118)))</formula>
    </cfRule>
  </conditionalFormatting>
  <conditionalFormatting sqref="E119">
    <cfRule type="expression" dxfId="2002" priority="2053" stopIfTrue="1">
      <formula>AND(NOT(CELL("protect",$E$119)),$E$119=$A$119)</formula>
    </cfRule>
    <cfRule type="expression" dxfId="2001" priority="2054">
      <formula>AND(NOT(CELL("protect",$E$119)))</formula>
    </cfRule>
  </conditionalFormatting>
  <conditionalFormatting sqref="E120">
    <cfRule type="expression" dxfId="2000" priority="2051" stopIfTrue="1">
      <formula>AND(NOT(CELL("protect",$E$120)),$E$120=$A$120)</formula>
    </cfRule>
    <cfRule type="expression" dxfId="1999" priority="2052">
      <formula>AND(NOT(CELL("protect",$E$120)))</formula>
    </cfRule>
  </conditionalFormatting>
  <conditionalFormatting sqref="E121">
    <cfRule type="expression" dxfId="1998" priority="2049" stopIfTrue="1">
      <formula>AND(NOT(CELL("protect",$E$121)),$E$121=$A$121)</formula>
    </cfRule>
    <cfRule type="expression" dxfId="1997" priority="2050">
      <formula>AND(NOT(CELL("protect",$E$121)))</formula>
    </cfRule>
  </conditionalFormatting>
  <conditionalFormatting sqref="E122">
    <cfRule type="expression" dxfId="1996" priority="2047" stopIfTrue="1">
      <formula>AND(NOT(CELL("protect",$E$122)),$E$122=$A$122)</formula>
    </cfRule>
    <cfRule type="expression" dxfId="1995" priority="2048">
      <formula>AND(NOT(CELL("protect",$E$122)))</formula>
    </cfRule>
  </conditionalFormatting>
  <conditionalFormatting sqref="E123">
    <cfRule type="expression" dxfId="1994" priority="2045" stopIfTrue="1">
      <formula>AND(NOT(CELL("protect",$E$123)),$E$123=$A$123)</formula>
    </cfRule>
    <cfRule type="expression" dxfId="1993" priority="2046">
      <formula>AND(NOT(CELL("protect",$E$123)))</formula>
    </cfRule>
  </conditionalFormatting>
  <conditionalFormatting sqref="E124">
    <cfRule type="expression" dxfId="1992" priority="2043" stopIfTrue="1">
      <formula>AND(NOT(CELL("protect",$E$124)),$E$124=$A$124)</formula>
    </cfRule>
    <cfRule type="expression" dxfId="1991" priority="2044">
      <formula>AND(NOT(CELL("protect",$E$124)))</formula>
    </cfRule>
  </conditionalFormatting>
  <conditionalFormatting sqref="E125">
    <cfRule type="expression" dxfId="1990" priority="2041" stopIfTrue="1">
      <formula>AND(NOT(CELL("protect",$E$125)),$E$125=$A$125)</formula>
    </cfRule>
    <cfRule type="expression" dxfId="1989" priority="2042">
      <formula>AND(NOT(CELL("protect",$E$125)))</formula>
    </cfRule>
  </conditionalFormatting>
  <conditionalFormatting sqref="E126">
    <cfRule type="expression" dxfId="1988" priority="2039" stopIfTrue="1">
      <formula>AND(NOT(CELL("protect",$E$126)),$E$126=$A$126)</formula>
    </cfRule>
    <cfRule type="expression" dxfId="1987" priority="2040">
      <formula>AND(NOT(CELL("protect",$E$126)))</formula>
    </cfRule>
  </conditionalFormatting>
  <conditionalFormatting sqref="E127">
    <cfRule type="expression" dxfId="1986" priority="2037" stopIfTrue="1">
      <formula>AND(NOT(CELL("protect",$E$127)),$E$127=$A$127)</formula>
    </cfRule>
    <cfRule type="expression" dxfId="1985" priority="2038">
      <formula>AND(NOT(CELL("protect",$E$127)))</formula>
    </cfRule>
  </conditionalFormatting>
  <conditionalFormatting sqref="E128">
    <cfRule type="expression" dxfId="1984" priority="2035" stopIfTrue="1">
      <formula>AND(NOT(CELL("protect",$E$128)),$E$128=$A$128)</formula>
    </cfRule>
    <cfRule type="expression" dxfId="1983" priority="2036">
      <formula>AND(NOT(CELL("protect",$E$128)))</formula>
    </cfRule>
  </conditionalFormatting>
  <conditionalFormatting sqref="E129">
    <cfRule type="expression" dxfId="1982" priority="2033" stopIfTrue="1">
      <formula>AND(NOT(CELL("protect",$E$129)),$E$129=$A$129)</formula>
    </cfRule>
    <cfRule type="expression" dxfId="1981" priority="2034">
      <formula>AND(NOT(CELL("protect",$E$129)))</formula>
    </cfRule>
  </conditionalFormatting>
  <conditionalFormatting sqref="E130">
    <cfRule type="expression" dxfId="1980" priority="2031" stopIfTrue="1">
      <formula>AND(NOT(CELL("protect",$E$130)),$E$130=$A$130)</formula>
    </cfRule>
    <cfRule type="expression" dxfId="1979" priority="2032">
      <formula>AND(NOT(CELL("protect",$E$130)))</formula>
    </cfRule>
  </conditionalFormatting>
  <conditionalFormatting sqref="E131">
    <cfRule type="expression" dxfId="1978" priority="2029" stopIfTrue="1">
      <formula>AND(NOT(CELL("protect",$E$131)),$E$131=$A$131)</formula>
    </cfRule>
    <cfRule type="expression" dxfId="1977" priority="2030">
      <formula>AND(NOT(CELL("protect",$E$131)))</formula>
    </cfRule>
  </conditionalFormatting>
  <conditionalFormatting sqref="E132">
    <cfRule type="expression" dxfId="1976" priority="2027" stopIfTrue="1">
      <formula>AND(NOT(CELL("protect",$E$132)),$E$132=$A$132)</formula>
    </cfRule>
    <cfRule type="expression" dxfId="1975" priority="2028">
      <formula>AND(NOT(CELL("protect",$E$132)))</formula>
    </cfRule>
  </conditionalFormatting>
  <conditionalFormatting sqref="E133">
    <cfRule type="expression" dxfId="1974" priority="2025" stopIfTrue="1">
      <formula>AND(NOT(CELL("protect",$E$133)),$E$133=$A$133)</formula>
    </cfRule>
    <cfRule type="expression" dxfId="1973" priority="2026">
      <formula>AND(NOT(CELL("protect",$E$133)))</formula>
    </cfRule>
  </conditionalFormatting>
  <conditionalFormatting sqref="E134">
    <cfRule type="expression" dxfId="1972" priority="2023" stopIfTrue="1">
      <formula>AND(NOT(CELL("protect",$E$134)),$E$134=$A$134)</formula>
    </cfRule>
    <cfRule type="expression" dxfId="1971" priority="2024">
      <formula>AND(NOT(CELL("protect",$E$134)))</formula>
    </cfRule>
  </conditionalFormatting>
  <conditionalFormatting sqref="E135">
    <cfRule type="expression" dxfId="1970" priority="2021" stopIfTrue="1">
      <formula>AND(NOT(CELL("protect",$E$135)),$E$135=$A$135)</formula>
    </cfRule>
    <cfRule type="expression" dxfId="1969" priority="2022">
      <formula>AND(NOT(CELL("protect",$E$135)))</formula>
    </cfRule>
  </conditionalFormatting>
  <conditionalFormatting sqref="E136">
    <cfRule type="expression" dxfId="1968" priority="2019" stopIfTrue="1">
      <formula>AND(NOT(CELL("protect",$E$136)),$E$136=$A$136)</formula>
    </cfRule>
    <cfRule type="expression" dxfId="1967" priority="2020">
      <formula>AND(NOT(CELL("protect",$E$136)))</formula>
    </cfRule>
  </conditionalFormatting>
  <conditionalFormatting sqref="E137">
    <cfRule type="expression" dxfId="1966" priority="2017" stopIfTrue="1">
      <formula>AND(NOT(CELL("protect",$E$137)),$E$137=$A$137)</formula>
    </cfRule>
    <cfRule type="expression" dxfId="1965" priority="2018">
      <formula>AND(NOT(CELL("protect",$E$137)))</formula>
    </cfRule>
  </conditionalFormatting>
  <conditionalFormatting sqref="E138">
    <cfRule type="expression" dxfId="1964" priority="2015" stopIfTrue="1">
      <formula>AND(NOT(CELL("protect",$E$138)),$E$138=$A$138)</formula>
    </cfRule>
    <cfRule type="expression" dxfId="1963" priority="2016">
      <formula>AND(NOT(CELL("protect",$E$138)))</formula>
    </cfRule>
  </conditionalFormatting>
  <conditionalFormatting sqref="E139">
    <cfRule type="expression" dxfId="1962" priority="2013" stopIfTrue="1">
      <formula>AND(NOT(CELL("protect",$E$139)),$E$139=$A$139)</formula>
    </cfRule>
    <cfRule type="expression" dxfId="1961" priority="2014">
      <formula>AND(NOT(CELL("protect",$E$139)))</formula>
    </cfRule>
  </conditionalFormatting>
  <conditionalFormatting sqref="E140">
    <cfRule type="expression" dxfId="1960" priority="2011" stopIfTrue="1">
      <formula>AND(NOT(CELL("protect",$E$140)),$E$140=$A$140)</formula>
    </cfRule>
    <cfRule type="expression" dxfId="1959" priority="2012">
      <formula>AND(NOT(CELL("protect",$E$140)))</formula>
    </cfRule>
  </conditionalFormatting>
  <conditionalFormatting sqref="E141">
    <cfRule type="expression" dxfId="1958" priority="2009" stopIfTrue="1">
      <formula>AND(NOT(CELL("protect",$E$141)),$E$141=$A$141)</formula>
    </cfRule>
    <cfRule type="expression" dxfId="1957" priority="2010">
      <formula>AND(NOT(CELL("protect",$E$141)))</formula>
    </cfRule>
  </conditionalFormatting>
  <conditionalFormatting sqref="E142">
    <cfRule type="expression" dxfId="1956" priority="2007" stopIfTrue="1">
      <formula>AND(NOT(CELL("protect",$E$142)),$E$142=$A$142)</formula>
    </cfRule>
    <cfRule type="expression" dxfId="1955" priority="2008">
      <formula>AND(NOT(CELL("protect",$E$142)))</formula>
    </cfRule>
  </conditionalFormatting>
  <conditionalFormatting sqref="E143">
    <cfRule type="expression" dxfId="1954" priority="2005" stopIfTrue="1">
      <formula>AND(NOT(CELL("protect",$E$143)),$E$143=$A$143)</formula>
    </cfRule>
    <cfRule type="expression" dxfId="1953" priority="2006">
      <formula>AND(NOT(CELL("protect",$E$143)))</formula>
    </cfRule>
  </conditionalFormatting>
  <conditionalFormatting sqref="E144">
    <cfRule type="expression" dxfId="1952" priority="2003" stopIfTrue="1">
      <formula>AND(NOT(CELL("protect",$E$144)),$E$144=$A$144)</formula>
    </cfRule>
    <cfRule type="expression" dxfId="1951" priority="2004">
      <formula>AND(NOT(CELL("protect",$E$144)))</formula>
    </cfRule>
  </conditionalFormatting>
  <conditionalFormatting sqref="E145">
    <cfRule type="expression" dxfId="1950" priority="2001" stopIfTrue="1">
      <formula>AND(NOT(CELL("protect",$E$145)),$E$145=$A$145)</formula>
    </cfRule>
    <cfRule type="expression" dxfId="1949" priority="2002">
      <formula>AND(NOT(CELL("protect",$E$145)))</formula>
    </cfRule>
  </conditionalFormatting>
  <conditionalFormatting sqref="E146">
    <cfRule type="expression" dxfId="1948" priority="1999" stopIfTrue="1">
      <formula>AND(NOT(CELL("protect",$E$146)),$E$146=$A$146)</formula>
    </cfRule>
    <cfRule type="expression" dxfId="1947" priority="2000">
      <formula>AND(NOT(CELL("protect",$E$146)))</formula>
    </cfRule>
  </conditionalFormatting>
  <conditionalFormatting sqref="E147">
    <cfRule type="expression" dxfId="1946" priority="1997" stopIfTrue="1">
      <formula>AND(NOT(CELL("protect",$E$147)),$E$147=$A$147)</formula>
    </cfRule>
    <cfRule type="expression" dxfId="1945" priority="1998">
      <formula>AND(NOT(CELL("protect",$E$147)))</formula>
    </cfRule>
  </conditionalFormatting>
  <conditionalFormatting sqref="E148">
    <cfRule type="expression" dxfId="1944" priority="1995" stopIfTrue="1">
      <formula>AND(NOT(CELL("protect",$E$148)),$E$148=$A$148)</formula>
    </cfRule>
    <cfRule type="expression" dxfId="1943" priority="1996">
      <formula>AND(NOT(CELL("protect",$E$148)))</formula>
    </cfRule>
  </conditionalFormatting>
  <conditionalFormatting sqref="E149">
    <cfRule type="expression" dxfId="1942" priority="1993" stopIfTrue="1">
      <formula>AND(NOT(CELL("protect",$E$149)),$E$149=$A$149)</formula>
    </cfRule>
    <cfRule type="expression" dxfId="1941" priority="1994">
      <formula>AND(NOT(CELL("protect",$E$149)))</formula>
    </cfRule>
  </conditionalFormatting>
  <conditionalFormatting sqref="E150">
    <cfRule type="expression" dxfId="1940" priority="1991" stopIfTrue="1">
      <formula>AND(NOT(CELL("protect",$E$150)),$E$150=$A$150)</formula>
    </cfRule>
    <cfRule type="expression" dxfId="1939" priority="1992">
      <formula>AND(NOT(CELL("protect",$E$150)))</formula>
    </cfRule>
  </conditionalFormatting>
  <conditionalFormatting sqref="E151">
    <cfRule type="expression" dxfId="1938" priority="1989" stopIfTrue="1">
      <formula>AND(NOT(CELL("protect",$E$151)),$E$151=$A$151)</formula>
    </cfRule>
    <cfRule type="expression" dxfId="1937" priority="1990">
      <formula>AND(NOT(CELL("protect",$E$151)))</formula>
    </cfRule>
  </conditionalFormatting>
  <conditionalFormatting sqref="E152">
    <cfRule type="expression" dxfId="1936" priority="1987" stopIfTrue="1">
      <formula>AND(NOT(CELL("protect",$E$152)),$E$152=$A$152)</formula>
    </cfRule>
    <cfRule type="expression" dxfId="1935" priority="1988">
      <formula>AND(NOT(CELL("protect",$E$152)))</formula>
    </cfRule>
  </conditionalFormatting>
  <conditionalFormatting sqref="E153">
    <cfRule type="expression" dxfId="1934" priority="1985" stopIfTrue="1">
      <formula>AND(NOT(CELL("protect",$E$153)),$E$153=$A$153)</formula>
    </cfRule>
    <cfRule type="expression" dxfId="1933" priority="1986">
      <formula>AND(NOT(CELL("protect",$E$153)))</formula>
    </cfRule>
  </conditionalFormatting>
  <conditionalFormatting sqref="E154">
    <cfRule type="expression" dxfId="1932" priority="1983" stopIfTrue="1">
      <formula>AND(NOT(CELL("protect",$E$154)),$E$154=$A$154)</formula>
    </cfRule>
    <cfRule type="expression" dxfId="1931" priority="1984">
      <formula>AND(NOT(CELL("protect",$E$154)))</formula>
    </cfRule>
  </conditionalFormatting>
  <conditionalFormatting sqref="E155">
    <cfRule type="expression" dxfId="1930" priority="1981" stopIfTrue="1">
      <formula>AND(NOT(CELL("protect",$E$155)),$E$155=$A$155)</formula>
    </cfRule>
    <cfRule type="expression" dxfId="1929" priority="1982">
      <formula>AND(NOT(CELL("protect",$E$155)))</formula>
    </cfRule>
  </conditionalFormatting>
  <conditionalFormatting sqref="E156">
    <cfRule type="expression" dxfId="1928" priority="1979" stopIfTrue="1">
      <formula>AND(NOT(CELL("protect",$E$156)),$E$156=$A$156)</formula>
    </cfRule>
    <cfRule type="expression" dxfId="1927" priority="1980">
      <formula>AND(NOT(CELL("protect",$E$156)))</formula>
    </cfRule>
  </conditionalFormatting>
  <conditionalFormatting sqref="E157">
    <cfRule type="expression" dxfId="1926" priority="1977" stopIfTrue="1">
      <formula>AND(NOT(CELL("protect",$E$157)),$E$157=$A$157)</formula>
    </cfRule>
    <cfRule type="expression" dxfId="1925" priority="1978">
      <formula>AND(NOT(CELL("protect",$E$157)))</formula>
    </cfRule>
  </conditionalFormatting>
  <conditionalFormatting sqref="E158">
    <cfRule type="expression" dxfId="1924" priority="1975" stopIfTrue="1">
      <formula>AND(NOT(CELL("protect",$E$158)),$E$158=$A$158)</formula>
    </cfRule>
    <cfRule type="expression" dxfId="1923" priority="1976">
      <formula>AND(NOT(CELL("protect",$E$158)))</formula>
    </cfRule>
  </conditionalFormatting>
  <conditionalFormatting sqref="E159">
    <cfRule type="expression" dxfId="1922" priority="1973" stopIfTrue="1">
      <formula>AND(NOT(CELL("protect",$E$159)),$E$159=$A$159)</formula>
    </cfRule>
    <cfRule type="expression" dxfId="1921" priority="1974">
      <formula>AND(NOT(CELL("protect",$E$159)))</formula>
    </cfRule>
  </conditionalFormatting>
  <conditionalFormatting sqref="E160">
    <cfRule type="expression" dxfId="1920" priority="1971" stopIfTrue="1">
      <formula>AND(NOT(CELL("protect",$E$160)),$E$160=$A$160)</formula>
    </cfRule>
    <cfRule type="expression" dxfId="1919" priority="1972">
      <formula>AND(NOT(CELL("protect",$E$160)))</formula>
    </cfRule>
  </conditionalFormatting>
  <conditionalFormatting sqref="E161">
    <cfRule type="expression" dxfId="1918" priority="1969" stopIfTrue="1">
      <formula>AND(NOT(CELL("protect",$E$161)),$E$161=$A$161)</formula>
    </cfRule>
    <cfRule type="expression" dxfId="1917" priority="1970">
      <formula>AND(NOT(CELL("protect",$E$161)))</formula>
    </cfRule>
  </conditionalFormatting>
  <conditionalFormatting sqref="E162">
    <cfRule type="expression" dxfId="1916" priority="1967" stopIfTrue="1">
      <formula>AND(NOT(CELL("protect",$E$162)),$E$162=$A$162)</formula>
    </cfRule>
    <cfRule type="expression" dxfId="1915" priority="1968">
      <formula>AND(NOT(CELL("protect",$E$162)))</formula>
    </cfRule>
  </conditionalFormatting>
  <conditionalFormatting sqref="E163">
    <cfRule type="expression" dxfId="1914" priority="1965" stopIfTrue="1">
      <formula>AND(NOT(CELL("protect",$E$163)),$E$163=$A$163)</formula>
    </cfRule>
    <cfRule type="expression" dxfId="1913" priority="1966">
      <formula>AND(NOT(CELL("protect",$E$163)))</formula>
    </cfRule>
  </conditionalFormatting>
  <conditionalFormatting sqref="E164">
    <cfRule type="expression" dxfId="1912" priority="1963" stopIfTrue="1">
      <formula>AND(NOT(CELL("protect",$E$164)),$E$164=$A$164)</formula>
    </cfRule>
    <cfRule type="expression" dxfId="1911" priority="1964">
      <formula>AND(NOT(CELL("protect",$E$164)))</formula>
    </cfRule>
  </conditionalFormatting>
  <conditionalFormatting sqref="E165">
    <cfRule type="expression" dxfId="1910" priority="1961" stopIfTrue="1">
      <formula>AND(NOT(CELL("protect",$E$165)),$E$165=$A$165)</formula>
    </cfRule>
    <cfRule type="expression" dxfId="1909" priority="1962">
      <formula>AND(NOT(CELL("protect",$E$165)))</formula>
    </cfRule>
  </conditionalFormatting>
  <conditionalFormatting sqref="E166">
    <cfRule type="expression" dxfId="1908" priority="1959" stopIfTrue="1">
      <formula>AND(NOT(CELL("protect",$E$166)),$E$166=$A$166)</formula>
    </cfRule>
    <cfRule type="expression" dxfId="1907" priority="1960">
      <formula>AND(NOT(CELL("protect",$E$166)))</formula>
    </cfRule>
  </conditionalFormatting>
  <conditionalFormatting sqref="E167">
    <cfRule type="expression" dxfId="1906" priority="1957" stopIfTrue="1">
      <formula>AND(NOT(CELL("protect",$E$167)),$E$167=$A$167)</formula>
    </cfRule>
    <cfRule type="expression" dxfId="1905" priority="1958">
      <formula>AND(NOT(CELL("protect",$E$167)))</formula>
    </cfRule>
  </conditionalFormatting>
  <conditionalFormatting sqref="E168">
    <cfRule type="expression" dxfId="1904" priority="1955" stopIfTrue="1">
      <formula>AND(NOT(CELL("protect",$E$168)),$E$168=$A$168)</formula>
    </cfRule>
    <cfRule type="expression" dxfId="1903" priority="1956">
      <formula>AND(NOT(CELL("protect",$E$168)))</formula>
    </cfRule>
  </conditionalFormatting>
  <conditionalFormatting sqref="E169">
    <cfRule type="expression" dxfId="1902" priority="1953" stopIfTrue="1">
      <formula>AND(NOT(CELL("protect",$E$169)),$E$169=$A$169)</formula>
    </cfRule>
    <cfRule type="expression" dxfId="1901" priority="1954">
      <formula>AND(NOT(CELL("protect",$E$169)))</formula>
    </cfRule>
  </conditionalFormatting>
  <conditionalFormatting sqref="E170">
    <cfRule type="expression" dxfId="1900" priority="1951" stopIfTrue="1">
      <formula>AND(NOT(CELL("protect",$E$170)),$E$170=$A$170)</formula>
    </cfRule>
    <cfRule type="expression" dxfId="1899" priority="1952">
      <formula>AND(NOT(CELL("protect",$E$170)))</formula>
    </cfRule>
  </conditionalFormatting>
  <conditionalFormatting sqref="E171">
    <cfRule type="expression" dxfId="1898" priority="1949" stopIfTrue="1">
      <formula>AND(NOT(CELL("protect",$E$171)),$E$171=$A$171)</formula>
    </cfRule>
    <cfRule type="expression" dxfId="1897" priority="1950">
      <formula>AND(NOT(CELL("protect",$E$171)))</formula>
    </cfRule>
  </conditionalFormatting>
  <conditionalFormatting sqref="E172">
    <cfRule type="expression" dxfId="1896" priority="1947" stopIfTrue="1">
      <formula>AND(NOT(CELL("protect",$E$172)),$E$172=$A$172)</formula>
    </cfRule>
    <cfRule type="expression" dxfId="1895" priority="1948">
      <formula>AND(NOT(CELL("protect",$E$172)))</formula>
    </cfRule>
  </conditionalFormatting>
  <conditionalFormatting sqref="E173">
    <cfRule type="expression" dxfId="1894" priority="1945" stopIfTrue="1">
      <formula>AND(NOT(CELL("protect",$E$173)),$E$173=$A$173)</formula>
    </cfRule>
    <cfRule type="expression" dxfId="1893" priority="1946">
      <formula>AND(NOT(CELL("protect",$E$173)))</formula>
    </cfRule>
  </conditionalFormatting>
  <conditionalFormatting sqref="E174">
    <cfRule type="expression" dxfId="1892" priority="1943" stopIfTrue="1">
      <formula>AND(NOT(CELL("protect",$E$174)),$E$174=$A$174)</formula>
    </cfRule>
    <cfRule type="expression" dxfId="1891" priority="1944">
      <formula>AND(NOT(CELL("protect",$E$174)))</formula>
    </cfRule>
  </conditionalFormatting>
  <conditionalFormatting sqref="E175">
    <cfRule type="expression" dxfId="1890" priority="1941" stopIfTrue="1">
      <formula>AND(NOT(CELL("protect",$E$175)),$E$175=$A$175)</formula>
    </cfRule>
    <cfRule type="expression" dxfId="1889" priority="1942">
      <formula>AND(NOT(CELL("protect",$E$175)))</formula>
    </cfRule>
  </conditionalFormatting>
  <conditionalFormatting sqref="E176">
    <cfRule type="expression" dxfId="1888" priority="1939" stopIfTrue="1">
      <formula>AND(NOT(CELL("protect",$E$176)),$E$176=$A$176)</formula>
    </cfRule>
    <cfRule type="expression" dxfId="1887" priority="1940">
      <formula>AND(NOT(CELL("protect",$E$176)))</formula>
    </cfRule>
  </conditionalFormatting>
  <conditionalFormatting sqref="E177">
    <cfRule type="expression" dxfId="1886" priority="1937" stopIfTrue="1">
      <formula>AND(NOT(CELL("protect",$E$177)),$E$177=$A$177)</formula>
    </cfRule>
    <cfRule type="expression" dxfId="1885" priority="1938">
      <formula>AND(NOT(CELL("protect",$E$177)))</formula>
    </cfRule>
  </conditionalFormatting>
  <conditionalFormatting sqref="E178">
    <cfRule type="expression" dxfId="1884" priority="1935" stopIfTrue="1">
      <formula>AND(NOT(CELL("protect",$E$178)),$E$178=$A$178)</formula>
    </cfRule>
    <cfRule type="expression" dxfId="1883" priority="1936">
      <formula>AND(NOT(CELL("protect",$E$178)))</formula>
    </cfRule>
  </conditionalFormatting>
  <conditionalFormatting sqref="E179">
    <cfRule type="expression" dxfId="1882" priority="1933" stopIfTrue="1">
      <formula>AND(NOT(CELL("protect",$E$179)),$E$179=$A$179)</formula>
    </cfRule>
    <cfRule type="expression" dxfId="1881" priority="1934">
      <formula>AND(NOT(CELL("protect",$E$179)))</formula>
    </cfRule>
  </conditionalFormatting>
  <conditionalFormatting sqref="E180">
    <cfRule type="expression" dxfId="1880" priority="1931" stopIfTrue="1">
      <formula>AND(NOT(CELL("protect",$E$180)),$E$180=$A$180)</formula>
    </cfRule>
    <cfRule type="expression" dxfId="1879" priority="1932">
      <formula>AND(NOT(CELL("protect",$E$180)))</formula>
    </cfRule>
  </conditionalFormatting>
  <conditionalFormatting sqref="E181">
    <cfRule type="expression" dxfId="1878" priority="1929" stopIfTrue="1">
      <formula>AND(NOT(CELL("protect",$E$181)),$E$181=$A$181)</formula>
    </cfRule>
    <cfRule type="expression" dxfId="1877" priority="1930">
      <formula>AND(NOT(CELL("protect",$E$181)))</formula>
    </cfRule>
  </conditionalFormatting>
  <conditionalFormatting sqref="E182">
    <cfRule type="expression" dxfId="1876" priority="1927" stopIfTrue="1">
      <formula>AND(NOT(CELL("protect",$E$182)),$E$182=$A$182)</formula>
    </cfRule>
    <cfRule type="expression" dxfId="1875" priority="1928">
      <formula>AND(NOT(CELL("protect",$E$182)))</formula>
    </cfRule>
  </conditionalFormatting>
  <conditionalFormatting sqref="E183">
    <cfRule type="expression" dxfId="1874" priority="1925" stopIfTrue="1">
      <formula>AND(NOT(CELL("protect",$E$183)),$E$183=$A$183)</formula>
    </cfRule>
    <cfRule type="expression" dxfId="1873" priority="1926">
      <formula>AND(NOT(CELL("protect",$E$183)))</formula>
    </cfRule>
  </conditionalFormatting>
  <conditionalFormatting sqref="E184">
    <cfRule type="expression" dxfId="1872" priority="1923" stopIfTrue="1">
      <formula>AND(NOT(CELL("protect",$E$184)),$E$184=$A$184)</formula>
    </cfRule>
    <cfRule type="expression" dxfId="1871" priority="1924">
      <formula>AND(NOT(CELL("protect",$E$184)))</formula>
    </cfRule>
  </conditionalFormatting>
  <conditionalFormatting sqref="E185">
    <cfRule type="expression" dxfId="1870" priority="1921" stopIfTrue="1">
      <formula>AND(NOT(CELL("protect",$E$185)),$E$185=$A$185)</formula>
    </cfRule>
    <cfRule type="expression" dxfId="1869" priority="1922">
      <formula>AND(NOT(CELL("protect",$E$185)))</formula>
    </cfRule>
  </conditionalFormatting>
  <conditionalFormatting sqref="E186">
    <cfRule type="expression" dxfId="1868" priority="1919" stopIfTrue="1">
      <formula>AND(NOT(CELL("protect",$E$186)),$E$186=$A$186)</formula>
    </cfRule>
    <cfRule type="expression" dxfId="1867" priority="1920">
      <formula>AND(NOT(CELL("protect",$E$186)))</formula>
    </cfRule>
  </conditionalFormatting>
  <conditionalFormatting sqref="E187">
    <cfRule type="expression" dxfId="1866" priority="1917" stopIfTrue="1">
      <formula>AND(NOT(CELL("protect",$E$187)),$E$187=$A$187)</formula>
    </cfRule>
    <cfRule type="expression" dxfId="1865" priority="1918">
      <formula>AND(NOT(CELL("protect",$E$187)))</formula>
    </cfRule>
  </conditionalFormatting>
  <conditionalFormatting sqref="E188">
    <cfRule type="expression" dxfId="1864" priority="1915" stopIfTrue="1">
      <formula>AND(NOT(CELL("protect",$E$188)),$E$188=$A$188)</formula>
    </cfRule>
    <cfRule type="expression" dxfId="1863" priority="1916">
      <formula>AND(NOT(CELL("protect",$E$188)))</formula>
    </cfRule>
  </conditionalFormatting>
  <conditionalFormatting sqref="E189">
    <cfRule type="expression" dxfId="1862" priority="1913" stopIfTrue="1">
      <formula>AND(NOT(CELL("protect",$E$189)),$E$189=$A$189)</formula>
    </cfRule>
    <cfRule type="expression" dxfId="1861" priority="1914">
      <formula>AND(NOT(CELL("protect",$E$189)))</formula>
    </cfRule>
  </conditionalFormatting>
  <conditionalFormatting sqref="E190">
    <cfRule type="expression" dxfId="1860" priority="1911" stopIfTrue="1">
      <formula>AND(NOT(CELL("protect",$E$190)),$E$190=$A$190)</formula>
    </cfRule>
    <cfRule type="expression" dxfId="1859" priority="1912">
      <formula>AND(NOT(CELL("protect",$E$190)))</formula>
    </cfRule>
  </conditionalFormatting>
  <conditionalFormatting sqref="E191">
    <cfRule type="expression" dxfId="1858" priority="1909" stopIfTrue="1">
      <formula>AND(NOT(CELL("protect",$E$191)),$E$191=$A$191)</formula>
    </cfRule>
    <cfRule type="expression" dxfId="1857" priority="1910">
      <formula>AND(NOT(CELL("protect",$E$191)))</formula>
    </cfRule>
  </conditionalFormatting>
  <conditionalFormatting sqref="E192">
    <cfRule type="expression" dxfId="1856" priority="1907" stopIfTrue="1">
      <formula>AND(NOT(CELL("protect",$E$192)),$E$192=$A$192)</formula>
    </cfRule>
    <cfRule type="expression" dxfId="1855" priority="1908">
      <formula>AND(NOT(CELL("protect",$E$192)))</formula>
    </cfRule>
  </conditionalFormatting>
  <conditionalFormatting sqref="E193">
    <cfRule type="expression" dxfId="1854" priority="1905" stopIfTrue="1">
      <formula>AND(NOT(CELL("protect",$E$193)),$E$193=$A$193)</formula>
    </cfRule>
    <cfRule type="expression" dxfId="1853" priority="1906">
      <formula>AND(NOT(CELL("protect",$E$193)))</formula>
    </cfRule>
  </conditionalFormatting>
  <conditionalFormatting sqref="E194">
    <cfRule type="expression" dxfId="1852" priority="1903" stopIfTrue="1">
      <formula>AND(NOT(CELL("protect",$E$194)),$E$194=$A$194)</formula>
    </cfRule>
    <cfRule type="expression" dxfId="1851" priority="1904">
      <formula>AND(NOT(CELL("protect",$E$194)))</formula>
    </cfRule>
  </conditionalFormatting>
  <conditionalFormatting sqref="E195">
    <cfRule type="expression" dxfId="1850" priority="1901" stopIfTrue="1">
      <formula>AND(NOT(CELL("protect",$E$195)),$E$195=$A$195)</formula>
    </cfRule>
    <cfRule type="expression" dxfId="1849" priority="1902">
      <formula>AND(NOT(CELL("protect",$E$195)))</formula>
    </cfRule>
  </conditionalFormatting>
  <conditionalFormatting sqref="E196">
    <cfRule type="expression" dxfId="1848" priority="1899" stopIfTrue="1">
      <formula>AND(NOT(CELL("protect",$E$196)),$E$196=$A$196)</formula>
    </cfRule>
    <cfRule type="expression" dxfId="1847" priority="1900">
      <formula>AND(NOT(CELL("protect",$E$196)))</formula>
    </cfRule>
  </conditionalFormatting>
  <conditionalFormatting sqref="E197">
    <cfRule type="expression" dxfId="1846" priority="1897" stopIfTrue="1">
      <formula>AND(NOT(CELL("protect",$E$197)),$E$197=$A$197)</formula>
    </cfRule>
    <cfRule type="expression" dxfId="1845" priority="1898">
      <formula>AND(NOT(CELL("protect",$E$197)))</formula>
    </cfRule>
  </conditionalFormatting>
  <conditionalFormatting sqref="E198">
    <cfRule type="expression" dxfId="1844" priority="1895" stopIfTrue="1">
      <formula>AND(NOT(CELL("protect",$E$198)),$E$198=$A$198)</formula>
    </cfRule>
    <cfRule type="expression" dxfId="1843" priority="1896">
      <formula>AND(NOT(CELL("protect",$E$198)))</formula>
    </cfRule>
  </conditionalFormatting>
  <conditionalFormatting sqref="E199">
    <cfRule type="expression" dxfId="1842" priority="1893" stopIfTrue="1">
      <formula>AND(NOT(CELL("protect",$E$199)),$E$199=$A$199)</formula>
    </cfRule>
    <cfRule type="expression" dxfId="1841" priority="1894">
      <formula>AND(NOT(CELL("protect",$E$199)))</formula>
    </cfRule>
  </conditionalFormatting>
  <conditionalFormatting sqref="E200">
    <cfRule type="expression" dxfId="1840" priority="1891" stopIfTrue="1">
      <formula>AND(NOT(CELL("protect",$E$200)),$E$200=$A$200)</formula>
    </cfRule>
    <cfRule type="expression" dxfId="1839" priority="1892">
      <formula>AND(NOT(CELL("protect",$E$200)))</formula>
    </cfRule>
  </conditionalFormatting>
  <conditionalFormatting sqref="E201">
    <cfRule type="expression" dxfId="1838" priority="1889" stopIfTrue="1">
      <formula>AND(NOT(CELL("protect",$E$201)),$E$201=$A$201)</formula>
    </cfRule>
    <cfRule type="expression" dxfId="1837" priority="1890">
      <formula>AND(NOT(CELL("protect",$E$201)))</formula>
    </cfRule>
  </conditionalFormatting>
  <conditionalFormatting sqref="E202">
    <cfRule type="expression" dxfId="1836" priority="1887" stopIfTrue="1">
      <formula>AND(NOT(CELL("protect",$E$202)),$E$202=$A$202)</formula>
    </cfRule>
    <cfRule type="expression" dxfId="1835" priority="1888">
      <formula>AND(NOT(CELL("protect",$E$202)))</formula>
    </cfRule>
  </conditionalFormatting>
  <conditionalFormatting sqref="E203">
    <cfRule type="expression" dxfId="1834" priority="1885" stopIfTrue="1">
      <formula>AND(NOT(CELL("protect",$E$203)),$E$203=$A$203)</formula>
    </cfRule>
    <cfRule type="expression" dxfId="1833" priority="1886">
      <formula>AND(NOT(CELL("protect",$E$203)))</formula>
    </cfRule>
  </conditionalFormatting>
  <conditionalFormatting sqref="E204">
    <cfRule type="expression" dxfId="1832" priority="1883" stopIfTrue="1">
      <formula>AND(NOT(CELL("protect",$E$204)),$E$204=$A$204)</formula>
    </cfRule>
    <cfRule type="expression" dxfId="1831" priority="1884">
      <formula>AND(NOT(CELL("protect",$E$204)))</formula>
    </cfRule>
  </conditionalFormatting>
  <conditionalFormatting sqref="E205">
    <cfRule type="expression" dxfId="1830" priority="1881" stopIfTrue="1">
      <formula>AND(NOT(CELL("protect",$E$205)),$E$205=$A$205)</formula>
    </cfRule>
    <cfRule type="expression" dxfId="1829" priority="1882">
      <formula>AND(NOT(CELL("protect",$E$205)))</formula>
    </cfRule>
  </conditionalFormatting>
  <conditionalFormatting sqref="E206">
    <cfRule type="expression" dxfId="1828" priority="1879" stopIfTrue="1">
      <formula>AND(NOT(CELL("protect",$E$206)),$E$206=$A$206)</formula>
    </cfRule>
    <cfRule type="expression" dxfId="1827" priority="1880">
      <formula>AND(NOT(CELL("protect",$E$206)))</formula>
    </cfRule>
  </conditionalFormatting>
  <conditionalFormatting sqref="E207">
    <cfRule type="expression" dxfId="1826" priority="1877" stopIfTrue="1">
      <formula>AND(NOT(CELL("protect",$E$207)),$E$207=$A$207)</formula>
    </cfRule>
    <cfRule type="expression" dxfId="1825" priority="1878">
      <formula>AND(NOT(CELL("protect",$E$207)))</formula>
    </cfRule>
  </conditionalFormatting>
  <conditionalFormatting sqref="E208">
    <cfRule type="expression" dxfId="1824" priority="1875" stopIfTrue="1">
      <formula>AND(NOT(CELL("protect",$E$208)),$E$208=$A$208)</formula>
    </cfRule>
    <cfRule type="expression" dxfId="1823" priority="1876">
      <formula>AND(NOT(CELL("protect",$E$208)))</formula>
    </cfRule>
  </conditionalFormatting>
  <conditionalFormatting sqref="E209">
    <cfRule type="expression" dxfId="1822" priority="1873" stopIfTrue="1">
      <formula>AND(NOT(CELL("protect",$E$209)),$E$209=$A$209)</formula>
    </cfRule>
    <cfRule type="expression" dxfId="1821" priority="1874">
      <formula>AND(NOT(CELL("protect",$E$209)))</formula>
    </cfRule>
  </conditionalFormatting>
  <conditionalFormatting sqref="E210">
    <cfRule type="expression" dxfId="1820" priority="1871" stopIfTrue="1">
      <formula>AND(NOT(CELL("protect",$E$210)),$E$210=$A$210)</formula>
    </cfRule>
    <cfRule type="expression" dxfId="1819" priority="1872">
      <formula>AND(NOT(CELL("protect",$E$210)))</formula>
    </cfRule>
  </conditionalFormatting>
  <conditionalFormatting sqref="E211">
    <cfRule type="expression" dxfId="1818" priority="1869" stopIfTrue="1">
      <formula>AND(NOT(CELL("protect",$E$211)),$E$211=$A$211)</formula>
    </cfRule>
    <cfRule type="expression" dxfId="1817" priority="1870">
      <formula>AND(NOT(CELL("protect",$E$211)))</formula>
    </cfRule>
  </conditionalFormatting>
  <conditionalFormatting sqref="E212">
    <cfRule type="expression" dxfId="1816" priority="1867" stopIfTrue="1">
      <formula>AND(NOT(CELL("protect",$E$212)),$E$212=$A$212)</formula>
    </cfRule>
    <cfRule type="expression" dxfId="1815" priority="1868">
      <formula>AND(NOT(CELL("protect",$E$212)))</formula>
    </cfRule>
  </conditionalFormatting>
  <conditionalFormatting sqref="E213">
    <cfRule type="expression" dxfId="1814" priority="1865" stopIfTrue="1">
      <formula>AND(NOT(CELL("protect",$E$213)),$E$213=$A$213)</formula>
    </cfRule>
    <cfRule type="expression" dxfId="1813" priority="1866">
      <formula>AND(NOT(CELL("protect",$E$213)))</formula>
    </cfRule>
  </conditionalFormatting>
  <conditionalFormatting sqref="E214">
    <cfRule type="expression" dxfId="1812" priority="1863" stopIfTrue="1">
      <formula>AND(NOT(CELL("protect",$E$214)),$E$214=$A$214)</formula>
    </cfRule>
    <cfRule type="expression" dxfId="1811" priority="1864">
      <formula>AND(NOT(CELL("protect",$E$214)))</formula>
    </cfRule>
  </conditionalFormatting>
  <conditionalFormatting sqref="E215">
    <cfRule type="expression" dxfId="1810" priority="1861" stopIfTrue="1">
      <formula>AND(NOT(CELL("protect",$E$215)),$E$215=$A$215)</formula>
    </cfRule>
    <cfRule type="expression" dxfId="1809" priority="1862">
      <formula>AND(NOT(CELL("protect",$E$215)))</formula>
    </cfRule>
  </conditionalFormatting>
  <conditionalFormatting sqref="E216">
    <cfRule type="expression" dxfId="1808" priority="1859" stopIfTrue="1">
      <formula>AND(NOT(CELL("protect",$E$216)),$E$216=$A$216)</formula>
    </cfRule>
    <cfRule type="expression" dxfId="1807" priority="1860">
      <formula>AND(NOT(CELL("protect",$E$216)))</formula>
    </cfRule>
  </conditionalFormatting>
  <conditionalFormatting sqref="E217">
    <cfRule type="expression" dxfId="1806" priority="1857" stopIfTrue="1">
      <formula>AND(NOT(CELL("protect",$E$217)),$E$217=$A$217)</formula>
    </cfRule>
    <cfRule type="expression" dxfId="1805" priority="1858">
      <formula>AND(NOT(CELL("protect",$E$217)))</formula>
    </cfRule>
  </conditionalFormatting>
  <conditionalFormatting sqref="E218">
    <cfRule type="expression" dxfId="1804" priority="1855" stopIfTrue="1">
      <formula>AND(NOT(CELL("protect",$E$218)),$E$218=$A$218)</formula>
    </cfRule>
    <cfRule type="expression" dxfId="1803" priority="1856">
      <formula>AND(NOT(CELL("protect",$E$218)))</formula>
    </cfRule>
  </conditionalFormatting>
  <conditionalFormatting sqref="E219">
    <cfRule type="expression" dxfId="1802" priority="1853" stopIfTrue="1">
      <formula>AND(NOT(CELL("protect",$E$219)),$E$219=$A$219)</formula>
    </cfRule>
    <cfRule type="expression" dxfId="1801" priority="1854">
      <formula>AND(NOT(CELL("protect",$E$219)))</formula>
    </cfRule>
  </conditionalFormatting>
  <conditionalFormatting sqref="E220">
    <cfRule type="expression" dxfId="1800" priority="1851" stopIfTrue="1">
      <formula>AND(NOT(CELL("protect",$E$220)),$E$220=$A$220)</formula>
    </cfRule>
    <cfRule type="expression" dxfId="1799" priority="1852">
      <formula>AND(NOT(CELL("protect",$E$220)))</formula>
    </cfRule>
  </conditionalFormatting>
  <conditionalFormatting sqref="E221">
    <cfRule type="expression" dxfId="1798" priority="1849" stopIfTrue="1">
      <formula>AND(NOT(CELL("protect",$E$221)),$E$221=$A$221)</formula>
    </cfRule>
    <cfRule type="expression" dxfId="1797" priority="1850">
      <formula>AND(NOT(CELL("protect",$E$221)))</formula>
    </cfRule>
  </conditionalFormatting>
  <conditionalFormatting sqref="E222">
    <cfRule type="expression" dxfId="1796" priority="1847" stopIfTrue="1">
      <formula>AND(NOT(CELL("protect",$E$222)),$E$222=$A$222)</formula>
    </cfRule>
    <cfRule type="expression" dxfId="1795" priority="1848">
      <formula>AND(NOT(CELL("protect",$E$222)))</formula>
    </cfRule>
  </conditionalFormatting>
  <conditionalFormatting sqref="E223">
    <cfRule type="expression" dxfId="1794" priority="1845" stopIfTrue="1">
      <formula>AND(NOT(CELL("protect",$E$223)),$E$223=$A$223)</formula>
    </cfRule>
    <cfRule type="expression" dxfId="1793" priority="1846">
      <formula>AND(NOT(CELL("protect",$E$223)))</formula>
    </cfRule>
  </conditionalFormatting>
  <conditionalFormatting sqref="E224">
    <cfRule type="expression" dxfId="1792" priority="1843" stopIfTrue="1">
      <formula>AND(NOT(CELL("protect",$E$224)),$E$224=$A$224)</formula>
    </cfRule>
    <cfRule type="expression" dxfId="1791" priority="1844">
      <formula>AND(NOT(CELL("protect",$E$224)))</formula>
    </cfRule>
  </conditionalFormatting>
  <conditionalFormatting sqref="E225">
    <cfRule type="expression" dxfId="1790" priority="1841" stopIfTrue="1">
      <formula>AND(NOT(CELL("protect",$E$225)),$E$225=$A$225)</formula>
    </cfRule>
    <cfRule type="expression" dxfId="1789" priority="1842">
      <formula>AND(NOT(CELL("protect",$E$225)))</formula>
    </cfRule>
  </conditionalFormatting>
  <conditionalFormatting sqref="E226">
    <cfRule type="expression" dxfId="1788" priority="1839" stopIfTrue="1">
      <formula>AND(NOT(CELL("protect",$E$226)),$E$226=$A$226)</formula>
    </cfRule>
    <cfRule type="expression" dxfId="1787" priority="1840">
      <formula>AND(NOT(CELL("protect",$E$226)))</formula>
    </cfRule>
  </conditionalFormatting>
  <conditionalFormatting sqref="E227">
    <cfRule type="expression" dxfId="1786" priority="1837" stopIfTrue="1">
      <formula>AND(NOT(CELL("protect",$E$227)),$E$227=$A$227)</formula>
    </cfRule>
    <cfRule type="expression" dxfId="1785" priority="1838">
      <formula>AND(NOT(CELL("protect",$E$227)))</formula>
    </cfRule>
  </conditionalFormatting>
  <conditionalFormatting sqref="E228">
    <cfRule type="expression" dxfId="1784" priority="1835" stopIfTrue="1">
      <formula>AND(NOT(CELL("protect",$E$228)),$E$228=$A$228)</formula>
    </cfRule>
    <cfRule type="expression" dxfId="1783" priority="1836">
      <formula>AND(NOT(CELL("protect",$E$228)))</formula>
    </cfRule>
  </conditionalFormatting>
  <conditionalFormatting sqref="E229">
    <cfRule type="expression" dxfId="1782" priority="1833" stopIfTrue="1">
      <formula>AND(NOT(CELL("protect",$E$229)),$E$229=$A$229)</formula>
    </cfRule>
    <cfRule type="expression" dxfId="1781" priority="1834">
      <formula>AND(NOT(CELL("protect",$E$229)))</formula>
    </cfRule>
  </conditionalFormatting>
  <conditionalFormatting sqref="E230">
    <cfRule type="expression" dxfId="1780" priority="1831" stopIfTrue="1">
      <formula>AND(NOT(CELL("protect",$E$230)),$E$230=$A$230)</formula>
    </cfRule>
    <cfRule type="expression" dxfId="1779" priority="1832">
      <formula>AND(NOT(CELL("protect",$E$230)))</formula>
    </cfRule>
  </conditionalFormatting>
  <conditionalFormatting sqref="E231">
    <cfRule type="expression" dxfId="1778" priority="1829" stopIfTrue="1">
      <formula>AND(NOT(CELL("protect",$E$231)),$E$231=$A$231)</formula>
    </cfRule>
    <cfRule type="expression" dxfId="1777" priority="1830">
      <formula>AND(NOT(CELL("protect",$E$231)))</formula>
    </cfRule>
  </conditionalFormatting>
  <conditionalFormatting sqref="E232">
    <cfRule type="expression" dxfId="1776" priority="1827" stopIfTrue="1">
      <formula>AND(NOT(CELL("protect",$E$232)),$E$232=$A$232)</formula>
    </cfRule>
    <cfRule type="expression" dxfId="1775" priority="1828">
      <formula>AND(NOT(CELL("protect",$E$232)))</formula>
    </cfRule>
  </conditionalFormatting>
  <conditionalFormatting sqref="E233">
    <cfRule type="expression" dxfId="1774" priority="1825" stopIfTrue="1">
      <formula>AND(NOT(CELL("protect",$E$233)),$E$233=$A$233)</formula>
    </cfRule>
    <cfRule type="expression" dxfId="1773" priority="1826">
      <formula>AND(NOT(CELL("protect",$E$233)))</formula>
    </cfRule>
  </conditionalFormatting>
  <conditionalFormatting sqref="E234">
    <cfRule type="expression" dxfId="1772" priority="1823" stopIfTrue="1">
      <formula>AND(NOT(CELL("protect",$E$234)),$E$234=$A$234)</formula>
    </cfRule>
    <cfRule type="expression" dxfId="1771" priority="1824">
      <formula>AND(NOT(CELL("protect",$E$234)))</formula>
    </cfRule>
  </conditionalFormatting>
  <conditionalFormatting sqref="E235">
    <cfRule type="expression" dxfId="1770" priority="1821" stopIfTrue="1">
      <formula>AND(NOT(CELL("protect",$E$235)),$E$235=$A$235)</formula>
    </cfRule>
    <cfRule type="expression" dxfId="1769" priority="1822">
      <formula>AND(NOT(CELL("protect",$E$235)))</formula>
    </cfRule>
  </conditionalFormatting>
  <conditionalFormatting sqref="E236">
    <cfRule type="expression" dxfId="1768" priority="1819" stopIfTrue="1">
      <formula>AND(NOT(CELL("protect",$E$236)),$E$236=$A$236)</formula>
    </cfRule>
    <cfRule type="expression" dxfId="1767" priority="1820">
      <formula>AND(NOT(CELL("protect",$E$236)))</formula>
    </cfRule>
  </conditionalFormatting>
  <conditionalFormatting sqref="E237">
    <cfRule type="expression" dxfId="1766" priority="1817" stopIfTrue="1">
      <formula>AND(NOT(CELL("protect",$E$237)),$E$237=$A$237)</formula>
    </cfRule>
    <cfRule type="expression" dxfId="1765" priority="1818">
      <formula>AND(NOT(CELL("protect",$E$237)))</formula>
    </cfRule>
  </conditionalFormatting>
  <conditionalFormatting sqref="E238">
    <cfRule type="expression" dxfId="1764" priority="1815" stopIfTrue="1">
      <formula>AND(NOT(CELL("protect",$E$238)),$E$238=$A$238)</formula>
    </cfRule>
    <cfRule type="expression" dxfId="1763" priority="1816">
      <formula>AND(NOT(CELL("protect",$E$238)))</formula>
    </cfRule>
  </conditionalFormatting>
  <conditionalFormatting sqref="E239">
    <cfRule type="expression" dxfId="1762" priority="1813" stopIfTrue="1">
      <formula>AND(NOT(CELL("protect",$E$239)),$E$239=$A$239)</formula>
    </cfRule>
    <cfRule type="expression" dxfId="1761" priority="1814">
      <formula>AND(NOT(CELL("protect",$E$239)))</formula>
    </cfRule>
  </conditionalFormatting>
  <conditionalFormatting sqref="E240">
    <cfRule type="expression" dxfId="1760" priority="1811" stopIfTrue="1">
      <formula>AND(NOT(CELL("protect",$E$240)),$E$240=$A$240)</formula>
    </cfRule>
    <cfRule type="expression" dxfId="1759" priority="1812">
      <formula>AND(NOT(CELL("protect",$E$240)))</formula>
    </cfRule>
  </conditionalFormatting>
  <conditionalFormatting sqref="E241">
    <cfRule type="expression" dxfId="1758" priority="1809" stopIfTrue="1">
      <formula>AND(NOT(CELL("protect",$E$241)),$E$241=$A$241)</formula>
    </cfRule>
    <cfRule type="expression" dxfId="1757" priority="1810">
      <formula>AND(NOT(CELL("protect",$E$241)))</formula>
    </cfRule>
  </conditionalFormatting>
  <conditionalFormatting sqref="E242">
    <cfRule type="expression" dxfId="1756" priority="1807" stopIfTrue="1">
      <formula>AND(NOT(CELL("protect",$E$242)),$E$242=$A$242)</formula>
    </cfRule>
    <cfRule type="expression" dxfId="1755" priority="1808">
      <formula>AND(NOT(CELL("protect",$E$242)))</formula>
    </cfRule>
  </conditionalFormatting>
  <conditionalFormatting sqref="E243">
    <cfRule type="expression" dxfId="1754" priority="1805" stopIfTrue="1">
      <formula>AND(NOT(CELL("protect",$E$243)),$E$243=$A$243)</formula>
    </cfRule>
    <cfRule type="expression" dxfId="1753" priority="1806">
      <formula>AND(NOT(CELL("protect",$E$243)))</formula>
    </cfRule>
  </conditionalFormatting>
  <conditionalFormatting sqref="E244">
    <cfRule type="expression" dxfId="1752" priority="1803" stopIfTrue="1">
      <formula>AND(NOT(CELL("protect",$E$244)),$E$244=$A$244)</formula>
    </cfRule>
    <cfRule type="expression" dxfId="1751" priority="1804">
      <formula>AND(NOT(CELL("protect",$E$244)))</formula>
    </cfRule>
  </conditionalFormatting>
  <conditionalFormatting sqref="E245">
    <cfRule type="expression" dxfId="1750" priority="1801" stopIfTrue="1">
      <formula>AND(NOT(CELL("protect",$E$245)),$E$245=$A$245)</formula>
    </cfRule>
    <cfRule type="expression" dxfId="1749" priority="1802">
      <formula>AND(NOT(CELL("protect",$E$245)))</formula>
    </cfRule>
  </conditionalFormatting>
  <conditionalFormatting sqref="E246">
    <cfRule type="expression" dxfId="1748" priority="1799" stopIfTrue="1">
      <formula>AND(NOT(CELL("protect",$E$246)),$E$246=$A$246)</formula>
    </cfRule>
    <cfRule type="expression" dxfId="1747" priority="1800">
      <formula>AND(NOT(CELL("protect",$E$246)))</formula>
    </cfRule>
  </conditionalFormatting>
  <conditionalFormatting sqref="E247">
    <cfRule type="expression" dxfId="1746" priority="1797" stopIfTrue="1">
      <formula>AND(NOT(CELL("protect",$E$247)),$E$247=$A$247)</formula>
    </cfRule>
    <cfRule type="expression" dxfId="1745" priority="1798">
      <formula>AND(NOT(CELL("protect",$E$247)))</formula>
    </cfRule>
  </conditionalFormatting>
  <conditionalFormatting sqref="E248">
    <cfRule type="expression" dxfId="1744" priority="1795" stopIfTrue="1">
      <formula>AND(NOT(CELL("protect",$E$248)),$E$248=$A$248)</formula>
    </cfRule>
    <cfRule type="expression" dxfId="1743" priority="1796">
      <formula>AND(NOT(CELL("protect",$E$248)))</formula>
    </cfRule>
  </conditionalFormatting>
  <conditionalFormatting sqref="E249">
    <cfRule type="expression" dxfId="1742" priority="1793" stopIfTrue="1">
      <formula>AND(NOT(CELL("protect",$E$249)),$E$249=$A$249)</formula>
    </cfRule>
    <cfRule type="expression" dxfId="1741" priority="1794">
      <formula>AND(NOT(CELL("protect",$E$249)))</formula>
    </cfRule>
  </conditionalFormatting>
  <conditionalFormatting sqref="E250">
    <cfRule type="expression" dxfId="1740" priority="1791" stopIfTrue="1">
      <formula>AND(NOT(CELL("protect",$E$250)),$E$250=$A$250)</formula>
    </cfRule>
    <cfRule type="expression" dxfId="1739" priority="1792">
      <formula>AND(NOT(CELL("protect",$E$250)))</formula>
    </cfRule>
  </conditionalFormatting>
  <conditionalFormatting sqref="E251">
    <cfRule type="expression" dxfId="1738" priority="1789" stopIfTrue="1">
      <formula>AND(NOT(CELL("protect",$E$251)),$E$251=$A$251)</formula>
    </cfRule>
    <cfRule type="expression" dxfId="1737" priority="1790">
      <formula>AND(NOT(CELL("protect",$E$251)))</formula>
    </cfRule>
  </conditionalFormatting>
  <conditionalFormatting sqref="E252">
    <cfRule type="expression" dxfId="1736" priority="1787" stopIfTrue="1">
      <formula>AND(NOT(CELL("protect",$E$252)),$E$252=$A$252)</formula>
    </cfRule>
    <cfRule type="expression" dxfId="1735" priority="1788">
      <formula>AND(NOT(CELL("protect",$E$252)))</formula>
    </cfRule>
  </conditionalFormatting>
  <conditionalFormatting sqref="E253">
    <cfRule type="expression" dxfId="1734" priority="1785" stopIfTrue="1">
      <formula>AND(NOT(CELL("protect",$E$253)),$E$253=$A$253)</formula>
    </cfRule>
    <cfRule type="expression" dxfId="1733" priority="1786">
      <formula>AND(NOT(CELL("protect",$E$253)))</formula>
    </cfRule>
  </conditionalFormatting>
  <conditionalFormatting sqref="E254">
    <cfRule type="expression" dxfId="1732" priority="1783" stopIfTrue="1">
      <formula>AND(NOT(CELL("protect",$E$254)),$E$254=$A$254)</formula>
    </cfRule>
    <cfRule type="expression" dxfId="1731" priority="1784">
      <formula>AND(NOT(CELL("protect",$E$254)))</formula>
    </cfRule>
  </conditionalFormatting>
  <conditionalFormatting sqref="E255">
    <cfRule type="expression" dxfId="1730" priority="1781" stopIfTrue="1">
      <formula>AND(NOT(CELL("protect",$E$255)),$E$255=$A$255)</formula>
    </cfRule>
    <cfRule type="expression" dxfId="1729" priority="1782">
      <formula>AND(NOT(CELL("protect",$E$255)))</formula>
    </cfRule>
  </conditionalFormatting>
  <conditionalFormatting sqref="E256">
    <cfRule type="expression" dxfId="1728" priority="1779" stopIfTrue="1">
      <formula>AND(NOT(CELL("protect",$E$256)),$E$256=$A$256)</formula>
    </cfRule>
    <cfRule type="expression" dxfId="1727" priority="1780">
      <formula>AND(NOT(CELL("protect",$E$256)))</formula>
    </cfRule>
  </conditionalFormatting>
  <conditionalFormatting sqref="E257">
    <cfRule type="expression" dxfId="1726" priority="1777" stopIfTrue="1">
      <formula>AND(NOT(CELL("protect",$E$257)),$E$257=$A$257)</formula>
    </cfRule>
    <cfRule type="expression" dxfId="1725" priority="1778">
      <formula>AND(NOT(CELL("protect",$E$257)))</formula>
    </cfRule>
  </conditionalFormatting>
  <conditionalFormatting sqref="E258">
    <cfRule type="expression" dxfId="1724" priority="1775" stopIfTrue="1">
      <formula>AND(NOT(CELL("protect",$E$258)),$E$258=$A$258)</formula>
    </cfRule>
    <cfRule type="expression" dxfId="1723" priority="1776">
      <formula>AND(NOT(CELL("protect",$E$258)))</formula>
    </cfRule>
  </conditionalFormatting>
  <conditionalFormatting sqref="E259">
    <cfRule type="expression" dxfId="1722" priority="1773" stopIfTrue="1">
      <formula>AND(NOT(CELL("protect",$E$259)),$E$259=$A$259)</formula>
    </cfRule>
    <cfRule type="expression" dxfId="1721" priority="1774">
      <formula>AND(NOT(CELL("protect",$E$259)))</formula>
    </cfRule>
  </conditionalFormatting>
  <conditionalFormatting sqref="E260">
    <cfRule type="expression" dxfId="1720" priority="1771" stopIfTrue="1">
      <formula>AND(NOT(CELL("protect",$E$260)),$E$260=$A$260)</formula>
    </cfRule>
    <cfRule type="expression" dxfId="1719" priority="1772">
      <formula>AND(NOT(CELL("protect",$E$260)))</formula>
    </cfRule>
  </conditionalFormatting>
  <conditionalFormatting sqref="E261">
    <cfRule type="expression" dxfId="1718" priority="1769" stopIfTrue="1">
      <formula>AND(NOT(CELL("protect",$E$261)),$E$261=$A$261)</formula>
    </cfRule>
    <cfRule type="expression" dxfId="1717" priority="1770">
      <formula>AND(NOT(CELL("protect",$E$261)))</formula>
    </cfRule>
  </conditionalFormatting>
  <conditionalFormatting sqref="E262">
    <cfRule type="expression" dxfId="1716" priority="1767" stopIfTrue="1">
      <formula>AND(NOT(CELL("protect",$E$262)),$E$262=$A$262)</formula>
    </cfRule>
    <cfRule type="expression" dxfId="1715" priority="1768">
      <formula>AND(NOT(CELL("protect",$E$262)))</formula>
    </cfRule>
  </conditionalFormatting>
  <conditionalFormatting sqref="E263">
    <cfRule type="expression" dxfId="1714" priority="1765" stopIfTrue="1">
      <formula>AND(NOT(CELL("protect",$E$263)),$E$263=$A$263)</formula>
    </cfRule>
    <cfRule type="expression" dxfId="1713" priority="1766">
      <formula>AND(NOT(CELL("protect",$E$263)))</formula>
    </cfRule>
  </conditionalFormatting>
  <conditionalFormatting sqref="E264">
    <cfRule type="expression" dxfId="1712" priority="1763" stopIfTrue="1">
      <formula>AND(NOT(CELL("protect",$E$264)),$E$264=$A$264)</formula>
    </cfRule>
    <cfRule type="expression" dxfId="1711" priority="1764">
      <formula>AND(NOT(CELL("protect",$E$264)))</formula>
    </cfRule>
  </conditionalFormatting>
  <conditionalFormatting sqref="E265">
    <cfRule type="expression" dxfId="1710" priority="1761" stopIfTrue="1">
      <formula>AND(NOT(CELL("protect",$E$265)),$E$265=$A$265)</formula>
    </cfRule>
    <cfRule type="expression" dxfId="1709" priority="1762">
      <formula>AND(NOT(CELL("protect",$E$265)))</formula>
    </cfRule>
  </conditionalFormatting>
  <conditionalFormatting sqref="E266">
    <cfRule type="expression" dxfId="1708" priority="1759" stopIfTrue="1">
      <formula>AND(NOT(CELL("protect",$E$266)),$E$266=$A$266)</formula>
    </cfRule>
    <cfRule type="expression" dxfId="1707" priority="1760">
      <formula>AND(NOT(CELL("protect",$E$266)))</formula>
    </cfRule>
  </conditionalFormatting>
  <conditionalFormatting sqref="E267">
    <cfRule type="expression" dxfId="1706" priority="1757" stopIfTrue="1">
      <formula>AND(NOT(CELL("protect",$E$267)),$E$267=$A$267)</formula>
    </cfRule>
    <cfRule type="expression" dxfId="1705" priority="1758">
      <formula>AND(NOT(CELL("protect",$E$267)))</formula>
    </cfRule>
  </conditionalFormatting>
  <conditionalFormatting sqref="E268">
    <cfRule type="expression" dxfId="1704" priority="1755" stopIfTrue="1">
      <formula>AND(NOT(CELL("protect",$E$268)),$E$268=$A$268)</formula>
    </cfRule>
    <cfRule type="expression" dxfId="1703" priority="1756">
      <formula>AND(NOT(CELL("protect",$E$268)))</formula>
    </cfRule>
  </conditionalFormatting>
  <conditionalFormatting sqref="E269">
    <cfRule type="expression" dxfId="1702" priority="1753" stopIfTrue="1">
      <formula>AND(NOT(CELL("protect",$E$269)),$E$269=$A$269)</formula>
    </cfRule>
    <cfRule type="expression" dxfId="1701" priority="1754">
      <formula>AND(NOT(CELL("protect",$E$269)))</formula>
    </cfRule>
  </conditionalFormatting>
  <conditionalFormatting sqref="E270">
    <cfRule type="expression" dxfId="1700" priority="1751" stopIfTrue="1">
      <formula>AND(NOT(CELL("protect",$E$270)),$E$270=$A$270)</formula>
    </cfRule>
    <cfRule type="expression" dxfId="1699" priority="1752">
      <formula>AND(NOT(CELL("protect",$E$270)))</formula>
    </cfRule>
  </conditionalFormatting>
  <conditionalFormatting sqref="E271">
    <cfRule type="expression" dxfId="1698" priority="1749" stopIfTrue="1">
      <formula>AND(NOT(CELL("protect",$E$271)),$E$271=$A$271)</formula>
    </cfRule>
    <cfRule type="expression" dxfId="1697" priority="1750">
      <formula>AND(NOT(CELL("protect",$E$271)))</formula>
    </cfRule>
  </conditionalFormatting>
  <conditionalFormatting sqref="E272">
    <cfRule type="expression" dxfId="1696" priority="1747" stopIfTrue="1">
      <formula>AND(NOT(CELL("protect",$E$272)),$E$272=$A$272)</formula>
    </cfRule>
    <cfRule type="expression" dxfId="1695" priority="1748">
      <formula>AND(NOT(CELL("protect",$E$272)))</formula>
    </cfRule>
  </conditionalFormatting>
  <conditionalFormatting sqref="E273">
    <cfRule type="expression" dxfId="1694" priority="1745" stopIfTrue="1">
      <formula>AND(NOT(CELL("protect",$E$273)),$E$273=$A$273)</formula>
    </cfRule>
    <cfRule type="expression" dxfId="1693" priority="1746">
      <formula>AND(NOT(CELL("protect",$E$273)))</formula>
    </cfRule>
  </conditionalFormatting>
  <conditionalFormatting sqref="E274">
    <cfRule type="expression" dxfId="1692" priority="1743" stopIfTrue="1">
      <formula>AND(NOT(CELL("protect",$E$274)),$E$274=$A$274)</formula>
    </cfRule>
    <cfRule type="expression" dxfId="1691" priority="1744">
      <formula>AND(NOT(CELL("protect",$E$274)))</formula>
    </cfRule>
  </conditionalFormatting>
  <conditionalFormatting sqref="E275">
    <cfRule type="expression" dxfId="1690" priority="1741" stopIfTrue="1">
      <formula>AND(NOT(CELL("protect",$E$275)),$E$275=$A$275)</formula>
    </cfRule>
    <cfRule type="expression" dxfId="1689" priority="1742">
      <formula>AND(NOT(CELL("protect",$E$275)))</formula>
    </cfRule>
  </conditionalFormatting>
  <conditionalFormatting sqref="E276">
    <cfRule type="expression" dxfId="1688" priority="1739" stopIfTrue="1">
      <formula>AND(NOT(CELL("protect",$E$276)),$E$276=$A$276)</formula>
    </cfRule>
    <cfRule type="expression" dxfId="1687" priority="1740">
      <formula>AND(NOT(CELL("protect",$E$276)))</formula>
    </cfRule>
  </conditionalFormatting>
  <conditionalFormatting sqref="E277">
    <cfRule type="expression" dxfId="1686" priority="1737" stopIfTrue="1">
      <formula>AND(NOT(CELL("protect",$E$277)),$E$277=$A$277)</formula>
    </cfRule>
    <cfRule type="expression" dxfId="1685" priority="1738">
      <formula>AND(NOT(CELL("protect",$E$277)))</formula>
    </cfRule>
  </conditionalFormatting>
  <conditionalFormatting sqref="E278">
    <cfRule type="expression" dxfId="1684" priority="1735" stopIfTrue="1">
      <formula>AND(NOT(CELL("protect",$E$278)),$E$278=$A$278)</formula>
    </cfRule>
    <cfRule type="expression" dxfId="1683" priority="1736">
      <formula>AND(NOT(CELL("protect",$E$278)))</formula>
    </cfRule>
  </conditionalFormatting>
  <conditionalFormatting sqref="E279">
    <cfRule type="expression" dxfId="1682" priority="1733" stopIfTrue="1">
      <formula>AND(NOT(CELL("protect",$E$279)),$E$279=$A$279)</formula>
    </cfRule>
    <cfRule type="expression" dxfId="1681" priority="1734">
      <formula>AND(NOT(CELL("protect",$E$279)))</formula>
    </cfRule>
  </conditionalFormatting>
  <conditionalFormatting sqref="E280">
    <cfRule type="expression" dxfId="1680" priority="1731" stopIfTrue="1">
      <formula>AND(NOT(CELL("protect",$E$280)),$E$280=$A$280)</formula>
    </cfRule>
    <cfRule type="expression" dxfId="1679" priority="1732">
      <formula>AND(NOT(CELL("protect",$E$280)))</formula>
    </cfRule>
  </conditionalFormatting>
  <conditionalFormatting sqref="E281">
    <cfRule type="expression" dxfId="1678" priority="1729" stopIfTrue="1">
      <formula>AND(NOT(CELL("protect",$E$281)),$E$281=$A$281)</formula>
    </cfRule>
    <cfRule type="expression" dxfId="1677" priority="1730">
      <formula>AND(NOT(CELL("protect",$E$281)))</formula>
    </cfRule>
  </conditionalFormatting>
  <conditionalFormatting sqref="E282">
    <cfRule type="expression" dxfId="1676" priority="1727" stopIfTrue="1">
      <formula>AND(NOT(CELL("protect",$E$282)),$E$282=$A$282)</formula>
    </cfRule>
    <cfRule type="expression" dxfId="1675" priority="1728">
      <formula>AND(NOT(CELL("protect",$E$282)))</formula>
    </cfRule>
  </conditionalFormatting>
  <conditionalFormatting sqref="E283">
    <cfRule type="expression" dxfId="1674" priority="1725" stopIfTrue="1">
      <formula>AND(NOT(CELL("protect",$E$283)),$E$283=$A$283)</formula>
    </cfRule>
    <cfRule type="expression" dxfId="1673" priority="1726">
      <formula>AND(NOT(CELL("protect",$E$283)))</formula>
    </cfRule>
  </conditionalFormatting>
  <conditionalFormatting sqref="E284">
    <cfRule type="expression" dxfId="1672" priority="1723" stopIfTrue="1">
      <formula>AND(NOT(CELL("protect",$E$284)),$E$284=$A$284)</formula>
    </cfRule>
    <cfRule type="expression" dxfId="1671" priority="1724">
      <formula>AND(NOT(CELL("protect",$E$284)))</formula>
    </cfRule>
  </conditionalFormatting>
  <conditionalFormatting sqref="E285">
    <cfRule type="expression" dxfId="1670" priority="1721" stopIfTrue="1">
      <formula>AND(NOT(CELL("protect",$E$285)),$E$285=$A$285)</formula>
    </cfRule>
    <cfRule type="expression" dxfId="1669" priority="1722">
      <formula>AND(NOT(CELL("protect",$E$285)))</formula>
    </cfRule>
  </conditionalFormatting>
  <conditionalFormatting sqref="E286">
    <cfRule type="expression" dxfId="1668" priority="1719" stopIfTrue="1">
      <formula>AND(NOT(CELL("protect",$E$286)),$E$286=$A$286)</formula>
    </cfRule>
    <cfRule type="expression" dxfId="1667" priority="1720">
      <formula>AND(NOT(CELL("protect",$E$286)))</formula>
    </cfRule>
  </conditionalFormatting>
  <conditionalFormatting sqref="E287">
    <cfRule type="expression" dxfId="1666" priority="1717" stopIfTrue="1">
      <formula>AND(NOT(CELL("protect",$E$287)),$E$287=$A$287)</formula>
    </cfRule>
    <cfRule type="expression" dxfId="1665" priority="1718">
      <formula>AND(NOT(CELL("protect",$E$287)))</formula>
    </cfRule>
  </conditionalFormatting>
  <conditionalFormatting sqref="E288">
    <cfRule type="expression" dxfId="1664" priority="1715" stopIfTrue="1">
      <formula>AND(NOT(CELL("protect",$E$288)),$E$288=$A$288)</formula>
    </cfRule>
    <cfRule type="expression" dxfId="1663" priority="1716">
      <formula>AND(NOT(CELL("protect",$E$288)))</formula>
    </cfRule>
  </conditionalFormatting>
  <conditionalFormatting sqref="E289">
    <cfRule type="expression" dxfId="1662" priority="1713" stopIfTrue="1">
      <formula>AND(NOT(CELL("protect",$E$289)),$E$289=$A$289)</formula>
    </cfRule>
    <cfRule type="expression" dxfId="1661" priority="1714">
      <formula>AND(NOT(CELL("protect",$E$289)))</formula>
    </cfRule>
  </conditionalFormatting>
  <conditionalFormatting sqref="E290">
    <cfRule type="expression" dxfId="1660" priority="1711" stopIfTrue="1">
      <formula>AND(NOT(CELL("protect",$E$290)),$E$290=$A$290)</formula>
    </cfRule>
    <cfRule type="expression" dxfId="1659" priority="1712">
      <formula>AND(NOT(CELL("protect",$E$290)))</formula>
    </cfRule>
  </conditionalFormatting>
  <conditionalFormatting sqref="E291">
    <cfRule type="expression" dxfId="1658" priority="1709" stopIfTrue="1">
      <formula>AND(NOT(CELL("protect",$E$291)),$E$291=$A$291)</formula>
    </cfRule>
    <cfRule type="expression" dxfId="1657" priority="1710">
      <formula>AND(NOT(CELL("protect",$E$291)))</formula>
    </cfRule>
  </conditionalFormatting>
  <conditionalFormatting sqref="E292">
    <cfRule type="expression" dxfId="1656" priority="1707" stopIfTrue="1">
      <formula>AND(NOT(CELL("protect",$E$292)),$E$292=$A$292)</formula>
    </cfRule>
    <cfRule type="expression" dxfId="1655" priority="1708">
      <formula>AND(NOT(CELL("protect",$E$292)))</formula>
    </cfRule>
  </conditionalFormatting>
  <conditionalFormatting sqref="E293">
    <cfRule type="expression" dxfId="1654" priority="1705" stopIfTrue="1">
      <formula>AND(NOT(CELL("protect",$E$293)),$E$293=$A$293)</formula>
    </cfRule>
    <cfRule type="expression" dxfId="1653" priority="1706">
      <formula>AND(NOT(CELL("protect",$E$293)))</formula>
    </cfRule>
  </conditionalFormatting>
  <conditionalFormatting sqref="E294">
    <cfRule type="expression" dxfId="1652" priority="1703" stopIfTrue="1">
      <formula>AND(NOT(CELL("protect",$E$294)),$E$294=$A$294)</formula>
    </cfRule>
    <cfRule type="expression" dxfId="1651" priority="1704">
      <formula>AND(NOT(CELL("protect",$E$294)))</formula>
    </cfRule>
  </conditionalFormatting>
  <conditionalFormatting sqref="E295">
    <cfRule type="expression" dxfId="1650" priority="1701" stopIfTrue="1">
      <formula>AND(NOT(CELL("protect",$E$295)),$E$295=$A$295)</formula>
    </cfRule>
    <cfRule type="expression" dxfId="1649" priority="1702">
      <formula>AND(NOT(CELL("protect",$E$295)))</formula>
    </cfRule>
  </conditionalFormatting>
  <conditionalFormatting sqref="E296">
    <cfRule type="expression" dxfId="1648" priority="1699" stopIfTrue="1">
      <formula>AND(NOT(CELL("protect",$E$296)),$E$296=$A$296)</formula>
    </cfRule>
    <cfRule type="expression" dxfId="1647" priority="1700">
      <formula>AND(NOT(CELL("protect",$E$296)))</formula>
    </cfRule>
  </conditionalFormatting>
  <conditionalFormatting sqref="E297">
    <cfRule type="expression" dxfId="1646" priority="1697" stopIfTrue="1">
      <formula>AND(NOT(CELL("protect",$E$297)),$E$297=$A$297)</formula>
    </cfRule>
    <cfRule type="expression" dxfId="1645" priority="1698">
      <formula>AND(NOT(CELL("protect",$E$297)))</formula>
    </cfRule>
  </conditionalFormatting>
  <conditionalFormatting sqref="E298">
    <cfRule type="expression" dxfId="1644" priority="1695" stopIfTrue="1">
      <formula>AND(NOT(CELL("protect",$E$298)),$E$298=$A$298)</formula>
    </cfRule>
    <cfRule type="expression" dxfId="1643" priority="1696">
      <formula>AND(NOT(CELL("protect",$E$298)))</formula>
    </cfRule>
  </conditionalFormatting>
  <conditionalFormatting sqref="E299">
    <cfRule type="expression" dxfId="1642" priority="1693" stopIfTrue="1">
      <formula>AND(NOT(CELL("protect",$E$299)),$E$299=$A$299)</formula>
    </cfRule>
    <cfRule type="expression" dxfId="1641" priority="1694">
      <formula>AND(NOT(CELL("protect",$E$299)))</formula>
    </cfRule>
  </conditionalFormatting>
  <conditionalFormatting sqref="E300">
    <cfRule type="expression" dxfId="1640" priority="1691" stopIfTrue="1">
      <formula>AND(NOT(CELL("protect",$E$300)),$E$300=$A$300)</formula>
    </cfRule>
    <cfRule type="expression" dxfId="1639" priority="1692">
      <formula>AND(NOT(CELL("protect",$E$300)))</formula>
    </cfRule>
  </conditionalFormatting>
  <conditionalFormatting sqref="E301">
    <cfRule type="expression" dxfId="1638" priority="1689" stopIfTrue="1">
      <formula>AND(NOT(CELL("protect",$E$301)),$E$301=$A$301)</formula>
    </cfRule>
    <cfRule type="expression" dxfId="1637" priority="1690">
      <formula>AND(NOT(CELL("protect",$E$301)))</formula>
    </cfRule>
  </conditionalFormatting>
  <conditionalFormatting sqref="E302">
    <cfRule type="expression" dxfId="1636" priority="1687" stopIfTrue="1">
      <formula>AND(NOT(CELL("protect",$E$302)),$E$302=$A$302)</formula>
    </cfRule>
    <cfRule type="expression" dxfId="1635" priority="1688">
      <formula>AND(NOT(CELL("protect",$E$302)))</formula>
    </cfRule>
  </conditionalFormatting>
  <conditionalFormatting sqref="E303">
    <cfRule type="expression" dxfId="1634" priority="1685" stopIfTrue="1">
      <formula>AND(NOT(CELL("protect",$E$303)),$E$303=$A$303)</formula>
    </cfRule>
    <cfRule type="expression" dxfId="1633" priority="1686">
      <formula>AND(NOT(CELL("protect",$E$303)))</formula>
    </cfRule>
  </conditionalFormatting>
  <conditionalFormatting sqref="E304">
    <cfRule type="expression" dxfId="1632" priority="1683" stopIfTrue="1">
      <formula>AND(NOT(CELL("protect",$E$304)),$E$304=$A$304)</formula>
    </cfRule>
    <cfRule type="expression" dxfId="1631" priority="1684">
      <formula>AND(NOT(CELL("protect",$E$304)))</formula>
    </cfRule>
  </conditionalFormatting>
  <conditionalFormatting sqref="E305">
    <cfRule type="expression" dxfId="1630" priority="1681" stopIfTrue="1">
      <formula>AND(NOT(CELL("protect",$E$305)),$E$305=$A$305)</formula>
    </cfRule>
    <cfRule type="expression" dxfId="1629" priority="1682">
      <formula>AND(NOT(CELL("protect",$E$305)))</formula>
    </cfRule>
  </conditionalFormatting>
  <conditionalFormatting sqref="E306">
    <cfRule type="expression" dxfId="1628" priority="1679" stopIfTrue="1">
      <formula>AND(NOT(CELL("protect",$E$306)),$E$306=$A$306)</formula>
    </cfRule>
    <cfRule type="expression" dxfId="1627" priority="1680">
      <formula>AND(NOT(CELL("protect",$E$306)))</formula>
    </cfRule>
  </conditionalFormatting>
  <conditionalFormatting sqref="E307">
    <cfRule type="expression" dxfId="1626" priority="1677" stopIfTrue="1">
      <formula>AND(NOT(CELL("protect",$E$307)),$E$307=$A$307)</formula>
    </cfRule>
    <cfRule type="expression" dxfId="1625" priority="1678">
      <formula>AND(NOT(CELL("protect",$E$307)))</formula>
    </cfRule>
  </conditionalFormatting>
  <conditionalFormatting sqref="E308">
    <cfRule type="expression" dxfId="1624" priority="1675" stopIfTrue="1">
      <formula>AND(NOT(CELL("protect",$E$308)),$E$308=$A$308)</formula>
    </cfRule>
    <cfRule type="expression" dxfId="1623" priority="1676">
      <formula>AND(NOT(CELL("protect",$E$308)))</formula>
    </cfRule>
  </conditionalFormatting>
  <conditionalFormatting sqref="E309">
    <cfRule type="expression" dxfId="1622" priority="1673" stopIfTrue="1">
      <formula>AND(NOT(CELL("protect",$E$309)),$E$309=$A$309)</formula>
    </cfRule>
    <cfRule type="expression" dxfId="1621" priority="1674">
      <formula>AND(NOT(CELL("protect",$E$309)))</formula>
    </cfRule>
  </conditionalFormatting>
  <conditionalFormatting sqref="E310">
    <cfRule type="expression" dxfId="1620" priority="1671" stopIfTrue="1">
      <formula>AND(NOT(CELL("protect",$E$310)),$E$310=$A$310)</formula>
    </cfRule>
    <cfRule type="expression" dxfId="1619" priority="1672">
      <formula>AND(NOT(CELL("protect",$E$310)))</formula>
    </cfRule>
  </conditionalFormatting>
  <conditionalFormatting sqref="E311">
    <cfRule type="expression" dxfId="1618" priority="1669" stopIfTrue="1">
      <formula>AND(NOT(CELL("protect",$E$311)),$E$311=$A$311)</formula>
    </cfRule>
    <cfRule type="expression" dxfId="1617" priority="1670">
      <formula>AND(NOT(CELL("protect",$E$311)))</formula>
    </cfRule>
  </conditionalFormatting>
  <conditionalFormatting sqref="E312">
    <cfRule type="expression" dxfId="1616" priority="1667" stopIfTrue="1">
      <formula>AND(NOT(CELL("protect",$E$312)),$E$312=$A$312)</formula>
    </cfRule>
    <cfRule type="expression" dxfId="1615" priority="1668">
      <formula>AND(NOT(CELL("protect",$E$312)))</formula>
    </cfRule>
  </conditionalFormatting>
  <conditionalFormatting sqref="E313">
    <cfRule type="expression" dxfId="1614" priority="1665" stopIfTrue="1">
      <formula>AND(NOT(CELL("protect",$E$313)),$E$313=$A$313)</formula>
    </cfRule>
    <cfRule type="expression" dxfId="1613" priority="1666">
      <formula>AND(NOT(CELL("protect",$E$313)))</formula>
    </cfRule>
  </conditionalFormatting>
  <conditionalFormatting sqref="E314">
    <cfRule type="expression" dxfId="1612" priority="1663" stopIfTrue="1">
      <formula>AND(NOT(CELL("protect",$E$314)),$E$314=$A$314)</formula>
    </cfRule>
    <cfRule type="expression" dxfId="1611" priority="1664">
      <formula>AND(NOT(CELL("protect",$E$314)))</formula>
    </cfRule>
  </conditionalFormatting>
  <conditionalFormatting sqref="E315">
    <cfRule type="expression" dxfId="1610" priority="1661" stopIfTrue="1">
      <formula>AND(NOT(CELL("protect",$E$315)),$E$315=$A$315)</formula>
    </cfRule>
    <cfRule type="expression" dxfId="1609" priority="1662">
      <formula>AND(NOT(CELL("protect",$E$315)))</formula>
    </cfRule>
  </conditionalFormatting>
  <conditionalFormatting sqref="E316">
    <cfRule type="expression" dxfId="1608" priority="1659" stopIfTrue="1">
      <formula>AND(NOT(CELL("protect",$E$316)),$E$316=$A$316)</formula>
    </cfRule>
    <cfRule type="expression" dxfId="1607" priority="1660">
      <formula>AND(NOT(CELL("protect",$E$316)))</formula>
    </cfRule>
  </conditionalFormatting>
  <conditionalFormatting sqref="E317">
    <cfRule type="expression" dxfId="1606" priority="1657" stopIfTrue="1">
      <formula>AND(NOT(CELL("protect",$E$317)),$E$317=$A$317)</formula>
    </cfRule>
    <cfRule type="expression" dxfId="1605" priority="1658">
      <formula>AND(NOT(CELL("protect",$E$317)))</formula>
    </cfRule>
  </conditionalFormatting>
  <conditionalFormatting sqref="E318">
    <cfRule type="expression" dxfId="1604" priority="1655" stopIfTrue="1">
      <formula>AND(NOT(CELL("protect",$E$318)),$E$318=$A$318)</formula>
    </cfRule>
    <cfRule type="expression" dxfId="1603" priority="1656">
      <formula>AND(NOT(CELL("protect",$E$318)))</formula>
    </cfRule>
  </conditionalFormatting>
  <conditionalFormatting sqref="E319">
    <cfRule type="expression" dxfId="1602" priority="1653" stopIfTrue="1">
      <formula>AND(NOT(CELL("protect",$E$319)),$E$319=$A$319)</formula>
    </cfRule>
    <cfRule type="expression" dxfId="1601" priority="1654">
      <formula>AND(NOT(CELL("protect",$E$319)))</formula>
    </cfRule>
  </conditionalFormatting>
  <conditionalFormatting sqref="E320">
    <cfRule type="expression" dxfId="1600" priority="1651" stopIfTrue="1">
      <formula>AND(NOT(CELL("protect",$E$320)),$E$320=$A$320)</formula>
    </cfRule>
    <cfRule type="expression" dxfId="1599" priority="1652">
      <formula>AND(NOT(CELL("protect",$E$320)))</formula>
    </cfRule>
  </conditionalFormatting>
  <conditionalFormatting sqref="E321">
    <cfRule type="expression" dxfId="1598" priority="1649" stopIfTrue="1">
      <formula>AND(NOT(CELL("protect",$E$321)),$E$321=$A$321)</formula>
    </cfRule>
    <cfRule type="expression" dxfId="1597" priority="1650">
      <formula>AND(NOT(CELL("protect",$E$321)))</formula>
    </cfRule>
  </conditionalFormatting>
  <conditionalFormatting sqref="E322">
    <cfRule type="expression" dxfId="1596" priority="1647" stopIfTrue="1">
      <formula>AND(NOT(CELL("protect",$E$322)),$E$322=$A$322)</formula>
    </cfRule>
    <cfRule type="expression" dxfId="1595" priority="1648">
      <formula>AND(NOT(CELL("protect",$E$322)))</formula>
    </cfRule>
  </conditionalFormatting>
  <conditionalFormatting sqref="E323">
    <cfRule type="expression" dxfId="1594" priority="1645" stopIfTrue="1">
      <formula>AND(NOT(CELL("protect",$E$323)),$E$323=$A$323)</formula>
    </cfRule>
    <cfRule type="expression" dxfId="1593" priority="1646">
      <formula>AND(NOT(CELL("protect",$E$323)))</formula>
    </cfRule>
  </conditionalFormatting>
  <conditionalFormatting sqref="E324">
    <cfRule type="expression" dxfId="1592" priority="1643" stopIfTrue="1">
      <formula>AND(NOT(CELL("protect",$E$324)),$E$324=$A$324)</formula>
    </cfRule>
    <cfRule type="expression" dxfId="1591" priority="1644">
      <formula>AND(NOT(CELL("protect",$E$324)))</formula>
    </cfRule>
  </conditionalFormatting>
  <conditionalFormatting sqref="E325">
    <cfRule type="expression" dxfId="1590" priority="1641" stopIfTrue="1">
      <formula>AND(NOT(CELL("protect",$E$325)),$E$325=$A$325)</formula>
    </cfRule>
    <cfRule type="expression" dxfId="1589" priority="1642">
      <formula>AND(NOT(CELL("protect",$E$325)))</formula>
    </cfRule>
  </conditionalFormatting>
  <conditionalFormatting sqref="E326">
    <cfRule type="expression" dxfId="1588" priority="1639" stopIfTrue="1">
      <formula>AND(NOT(CELL("protect",$E$326)),$E$326=$A$326)</formula>
    </cfRule>
    <cfRule type="expression" dxfId="1587" priority="1640">
      <formula>AND(NOT(CELL("protect",$E$326)))</formula>
    </cfRule>
  </conditionalFormatting>
  <conditionalFormatting sqref="E327">
    <cfRule type="expression" dxfId="1586" priority="1637" stopIfTrue="1">
      <formula>AND(NOT(CELL("protect",$E$327)),$E$327=$A$327)</formula>
    </cfRule>
    <cfRule type="expression" dxfId="1585" priority="1638">
      <formula>AND(NOT(CELL("protect",$E$327)))</formula>
    </cfRule>
  </conditionalFormatting>
  <conditionalFormatting sqref="E328">
    <cfRule type="expression" dxfId="1584" priority="1635" stopIfTrue="1">
      <formula>AND(NOT(CELL("protect",$E$328)),$E$328=$A$328)</formula>
    </cfRule>
    <cfRule type="expression" dxfId="1583" priority="1636">
      <formula>AND(NOT(CELL("protect",$E$328)))</formula>
    </cfRule>
  </conditionalFormatting>
  <conditionalFormatting sqref="E329">
    <cfRule type="expression" dxfId="1582" priority="1633" stopIfTrue="1">
      <formula>AND(NOT(CELL("protect",$E$329)),$E$329=$A$329)</formula>
    </cfRule>
    <cfRule type="expression" dxfId="1581" priority="1634">
      <formula>AND(NOT(CELL("protect",$E$329)))</formula>
    </cfRule>
  </conditionalFormatting>
  <conditionalFormatting sqref="E330">
    <cfRule type="expression" dxfId="1580" priority="1631" stopIfTrue="1">
      <formula>AND(NOT(CELL("protect",$E$330)),$E$330=$A$330)</formula>
    </cfRule>
    <cfRule type="expression" dxfId="1579" priority="1632">
      <formula>AND(NOT(CELL("protect",$E$330)))</formula>
    </cfRule>
  </conditionalFormatting>
  <conditionalFormatting sqref="E331">
    <cfRule type="expression" dxfId="1578" priority="1629" stopIfTrue="1">
      <formula>AND(NOT(CELL("protect",$E$331)),$E$331=$A$331)</formula>
    </cfRule>
    <cfRule type="expression" dxfId="1577" priority="1630">
      <formula>AND(NOT(CELL("protect",$E$331)))</formula>
    </cfRule>
  </conditionalFormatting>
  <conditionalFormatting sqref="E332">
    <cfRule type="expression" dxfId="1576" priority="1627" stopIfTrue="1">
      <formula>AND(NOT(CELL("protect",$E$332)),$E$332=$A$332)</formula>
    </cfRule>
    <cfRule type="expression" dxfId="1575" priority="1628">
      <formula>AND(NOT(CELL("protect",$E$332)))</formula>
    </cfRule>
  </conditionalFormatting>
  <conditionalFormatting sqref="E333">
    <cfRule type="expression" dxfId="1574" priority="1625" stopIfTrue="1">
      <formula>AND(NOT(CELL("protect",$E$333)),$E$333=$A$333)</formula>
    </cfRule>
    <cfRule type="expression" dxfId="1573" priority="1626">
      <formula>AND(NOT(CELL("protect",$E$333)))</formula>
    </cfRule>
  </conditionalFormatting>
  <conditionalFormatting sqref="E334">
    <cfRule type="expression" dxfId="1572" priority="1623" stopIfTrue="1">
      <formula>AND(NOT(CELL("protect",$E$334)),$E$334=$A$334)</formula>
    </cfRule>
    <cfRule type="expression" dxfId="1571" priority="1624">
      <formula>AND(NOT(CELL("protect",$E$334)))</formula>
    </cfRule>
  </conditionalFormatting>
  <conditionalFormatting sqref="E335">
    <cfRule type="expression" dxfId="1570" priority="1621" stopIfTrue="1">
      <formula>AND(NOT(CELL("protect",$E$335)),$E$335=$A$335)</formula>
    </cfRule>
    <cfRule type="expression" dxfId="1569" priority="1622">
      <formula>AND(NOT(CELL("protect",$E$335)))</formula>
    </cfRule>
  </conditionalFormatting>
  <conditionalFormatting sqref="E336">
    <cfRule type="expression" dxfId="1568" priority="1619" stopIfTrue="1">
      <formula>AND(NOT(CELL("protect",$E$336)),$E$336=$A$336)</formula>
    </cfRule>
    <cfRule type="expression" dxfId="1567" priority="1620">
      <formula>AND(NOT(CELL("protect",$E$336)))</formula>
    </cfRule>
  </conditionalFormatting>
  <conditionalFormatting sqref="E337">
    <cfRule type="expression" dxfId="1566" priority="1617" stopIfTrue="1">
      <formula>AND(NOT(CELL("protect",$E$337)),$E$337=$A$337)</formula>
    </cfRule>
    <cfRule type="expression" dxfId="1565" priority="1618">
      <formula>AND(NOT(CELL("protect",$E$337)))</formula>
    </cfRule>
  </conditionalFormatting>
  <conditionalFormatting sqref="E338">
    <cfRule type="expression" dxfId="1564" priority="1615" stopIfTrue="1">
      <formula>AND(NOT(CELL("protect",$E$338)),$E$338=$A$338)</formula>
    </cfRule>
    <cfRule type="expression" dxfId="1563" priority="1616">
      <formula>AND(NOT(CELL("protect",$E$338)))</formula>
    </cfRule>
  </conditionalFormatting>
  <conditionalFormatting sqref="E339">
    <cfRule type="expression" dxfId="1562" priority="1613" stopIfTrue="1">
      <formula>AND(NOT(CELL("protect",$E$339)),$E$339=$A$339)</formula>
    </cfRule>
    <cfRule type="expression" dxfId="1561" priority="1614">
      <formula>AND(NOT(CELL("protect",$E$339)))</formula>
    </cfRule>
  </conditionalFormatting>
  <conditionalFormatting sqref="E340">
    <cfRule type="expression" dxfId="1560" priority="1611" stopIfTrue="1">
      <formula>AND(NOT(CELL("protect",$E$340)),$E$340=$A$340)</formula>
    </cfRule>
    <cfRule type="expression" dxfId="1559" priority="1612">
      <formula>AND(NOT(CELL("protect",$E$340)))</formula>
    </cfRule>
  </conditionalFormatting>
  <conditionalFormatting sqref="E341">
    <cfRule type="expression" dxfId="1558" priority="1609" stopIfTrue="1">
      <formula>AND(NOT(CELL("protect",$E$341)),$E$341=$A$341)</formula>
    </cfRule>
    <cfRule type="expression" dxfId="1557" priority="1610">
      <formula>AND(NOT(CELL("protect",$E$341)))</formula>
    </cfRule>
  </conditionalFormatting>
  <conditionalFormatting sqref="E342">
    <cfRule type="expression" dxfId="1556" priority="1607" stopIfTrue="1">
      <formula>AND(NOT(CELL("protect",$E$342)),$E$342=$A$342)</formula>
    </cfRule>
    <cfRule type="expression" dxfId="1555" priority="1608">
      <formula>AND(NOT(CELL("protect",$E$342)))</formula>
    </cfRule>
  </conditionalFormatting>
  <conditionalFormatting sqref="E343">
    <cfRule type="expression" dxfId="1554" priority="1605" stopIfTrue="1">
      <formula>AND(NOT(CELL("protect",$E$343)),$E$343=$A$343)</formula>
    </cfRule>
    <cfRule type="expression" dxfId="1553" priority="1606">
      <formula>AND(NOT(CELL("protect",$E$343)))</formula>
    </cfRule>
  </conditionalFormatting>
  <conditionalFormatting sqref="E344">
    <cfRule type="expression" dxfId="1552" priority="1603" stopIfTrue="1">
      <formula>AND(NOT(CELL("protect",$E$344)),$E$344=$A$344)</formula>
    </cfRule>
    <cfRule type="expression" dxfId="1551" priority="1604">
      <formula>AND(NOT(CELL("protect",$E$344)))</formula>
    </cfRule>
  </conditionalFormatting>
  <conditionalFormatting sqref="E345">
    <cfRule type="expression" dxfId="1550" priority="1601" stopIfTrue="1">
      <formula>AND(NOT(CELL("protect",$E$345)),$E$345=$A$345)</formula>
    </cfRule>
    <cfRule type="expression" dxfId="1549" priority="1602">
      <formula>AND(NOT(CELL("protect",$E$345)))</formula>
    </cfRule>
  </conditionalFormatting>
  <conditionalFormatting sqref="E346">
    <cfRule type="expression" dxfId="1548" priority="1599" stopIfTrue="1">
      <formula>AND(NOT(CELL("protect",$E$346)),$E$346=$A$346)</formula>
    </cfRule>
    <cfRule type="expression" dxfId="1547" priority="1600">
      <formula>AND(NOT(CELL("protect",$E$346)))</formula>
    </cfRule>
  </conditionalFormatting>
  <conditionalFormatting sqref="E347">
    <cfRule type="expression" dxfId="1546" priority="1597" stopIfTrue="1">
      <formula>AND(NOT(CELL("protect",$E$347)),$E$347=$A$347)</formula>
    </cfRule>
    <cfRule type="expression" dxfId="1545" priority="1598">
      <formula>AND(NOT(CELL("protect",$E$347)))</formula>
    </cfRule>
  </conditionalFormatting>
  <conditionalFormatting sqref="E348">
    <cfRule type="expression" dxfId="1544" priority="1595" stopIfTrue="1">
      <formula>AND(NOT(CELL("protect",$E$348)),$E$348=$A$348)</formula>
    </cfRule>
    <cfRule type="expression" dxfId="1543" priority="1596">
      <formula>AND(NOT(CELL("protect",$E$348)))</formula>
    </cfRule>
  </conditionalFormatting>
  <conditionalFormatting sqref="E349">
    <cfRule type="expression" dxfId="1542" priority="1593" stopIfTrue="1">
      <formula>AND(NOT(CELL("protect",$E$349)),$E$349=$A$349)</formula>
    </cfRule>
    <cfRule type="expression" dxfId="1541" priority="1594">
      <formula>AND(NOT(CELL("protect",$E$349)))</formula>
    </cfRule>
  </conditionalFormatting>
  <conditionalFormatting sqref="E350">
    <cfRule type="expression" dxfId="1540" priority="1591" stopIfTrue="1">
      <formula>AND(NOT(CELL("protect",$E$350)),$E$350=$A$350)</formula>
    </cfRule>
    <cfRule type="expression" dxfId="1539" priority="1592">
      <formula>AND(NOT(CELL("protect",$E$350)))</formula>
    </cfRule>
  </conditionalFormatting>
  <conditionalFormatting sqref="E351">
    <cfRule type="expression" dxfId="1538" priority="1589" stopIfTrue="1">
      <formula>AND(NOT(CELL("protect",$E$351)),$E$351=$A$351)</formula>
    </cfRule>
    <cfRule type="expression" dxfId="1537" priority="1590">
      <formula>AND(NOT(CELL("protect",$E$351)))</formula>
    </cfRule>
  </conditionalFormatting>
  <conditionalFormatting sqref="E352">
    <cfRule type="expression" dxfId="1536" priority="1587" stopIfTrue="1">
      <formula>AND(NOT(CELL("protect",$E$352)),$E$352=$A$352)</formula>
    </cfRule>
    <cfRule type="expression" dxfId="1535" priority="1588">
      <formula>AND(NOT(CELL("protect",$E$352)))</formula>
    </cfRule>
  </conditionalFormatting>
  <conditionalFormatting sqref="E353">
    <cfRule type="expression" dxfId="1534" priority="1585" stopIfTrue="1">
      <formula>AND(NOT(CELL("protect",$E$353)),$E$353=$A$353)</formula>
    </cfRule>
    <cfRule type="expression" dxfId="1533" priority="1586">
      <formula>AND(NOT(CELL("protect",$E$353)))</formula>
    </cfRule>
  </conditionalFormatting>
  <conditionalFormatting sqref="E354">
    <cfRule type="expression" dxfId="1532" priority="1583" stopIfTrue="1">
      <formula>AND(NOT(CELL("protect",$E$354)),$E$354=$A$354)</formula>
    </cfRule>
    <cfRule type="expression" dxfId="1531" priority="1584">
      <formula>AND(NOT(CELL("protect",$E$354)))</formula>
    </cfRule>
  </conditionalFormatting>
  <conditionalFormatting sqref="E355">
    <cfRule type="expression" dxfId="1530" priority="1581" stopIfTrue="1">
      <formula>AND(NOT(CELL("protect",$E$355)),$E$355=$A$355)</formula>
    </cfRule>
    <cfRule type="expression" dxfId="1529" priority="1582">
      <formula>AND(NOT(CELL("protect",$E$355)))</formula>
    </cfRule>
  </conditionalFormatting>
  <conditionalFormatting sqref="E356">
    <cfRule type="expression" dxfId="1528" priority="1579" stopIfTrue="1">
      <formula>AND(NOT(CELL("protect",$E$356)),$E$356=$A$356)</formula>
    </cfRule>
    <cfRule type="expression" dxfId="1527" priority="1580">
      <formula>AND(NOT(CELL("protect",$E$356)))</formula>
    </cfRule>
  </conditionalFormatting>
  <conditionalFormatting sqref="E357">
    <cfRule type="expression" dxfId="1526" priority="1577" stopIfTrue="1">
      <formula>AND(NOT(CELL("protect",$E$357)),$E$357=$A$357)</formula>
    </cfRule>
    <cfRule type="expression" dxfId="1525" priority="1578">
      <formula>AND(NOT(CELL("protect",$E$357)))</formula>
    </cfRule>
  </conditionalFormatting>
  <conditionalFormatting sqref="E358">
    <cfRule type="expression" dxfId="1524" priority="1575" stopIfTrue="1">
      <formula>AND(NOT(CELL("protect",$E$358)),$E$358=$A$358)</formula>
    </cfRule>
    <cfRule type="expression" dxfId="1523" priority="1576">
      <formula>AND(NOT(CELL("protect",$E$358)))</formula>
    </cfRule>
  </conditionalFormatting>
  <conditionalFormatting sqref="E359">
    <cfRule type="expression" dxfId="1522" priority="1573" stopIfTrue="1">
      <formula>AND(NOT(CELL("protect",$E$359)),$E$359=$A$359)</formula>
    </cfRule>
    <cfRule type="expression" dxfId="1521" priority="1574">
      <formula>AND(NOT(CELL("protect",$E$359)))</formula>
    </cfRule>
  </conditionalFormatting>
  <conditionalFormatting sqref="E360">
    <cfRule type="expression" dxfId="1520" priority="1571" stopIfTrue="1">
      <formula>AND(NOT(CELL("protect",$E$360)),$E$360=$A$360)</formula>
    </cfRule>
    <cfRule type="expression" dxfId="1519" priority="1572">
      <formula>AND(NOT(CELL("protect",$E$360)))</formula>
    </cfRule>
  </conditionalFormatting>
  <conditionalFormatting sqref="E361">
    <cfRule type="expression" dxfId="1518" priority="1569" stopIfTrue="1">
      <formula>AND(NOT(CELL("protect",$E$361)),$E$361=$A$361)</formula>
    </cfRule>
    <cfRule type="expression" dxfId="1517" priority="1570">
      <formula>AND(NOT(CELL("protect",$E$361)))</formula>
    </cfRule>
  </conditionalFormatting>
  <conditionalFormatting sqref="E362">
    <cfRule type="expression" dxfId="1516" priority="1567" stopIfTrue="1">
      <formula>AND(NOT(CELL("protect",$E$362)),$E$362=$A$362)</formula>
    </cfRule>
    <cfRule type="expression" dxfId="1515" priority="1568">
      <formula>AND(NOT(CELL("protect",$E$362)))</formula>
    </cfRule>
  </conditionalFormatting>
  <conditionalFormatting sqref="E363">
    <cfRule type="expression" dxfId="1514" priority="1565" stopIfTrue="1">
      <formula>AND(NOT(CELL("protect",$E$363)),$E$363=$A$363)</formula>
    </cfRule>
    <cfRule type="expression" dxfId="1513" priority="1566">
      <formula>AND(NOT(CELL("protect",$E$363)))</formula>
    </cfRule>
  </conditionalFormatting>
  <conditionalFormatting sqref="E364">
    <cfRule type="expression" dxfId="1512" priority="1563" stopIfTrue="1">
      <formula>AND(NOT(CELL("protect",$E$364)),$E$364=$A$364)</formula>
    </cfRule>
    <cfRule type="expression" dxfId="1511" priority="1564">
      <formula>AND(NOT(CELL("protect",$E$364)))</formula>
    </cfRule>
  </conditionalFormatting>
  <conditionalFormatting sqref="E365">
    <cfRule type="expression" dxfId="1510" priority="1561" stopIfTrue="1">
      <formula>AND(NOT(CELL("protect",$E$365)),$E$365=$A$365)</formula>
    </cfRule>
    <cfRule type="expression" dxfId="1509" priority="1562">
      <formula>AND(NOT(CELL("protect",$E$365)))</formula>
    </cfRule>
  </conditionalFormatting>
  <conditionalFormatting sqref="E366">
    <cfRule type="expression" dxfId="1508" priority="1559" stopIfTrue="1">
      <formula>AND(NOT(CELL("protect",$E$366)),$E$366=$A$366)</formula>
    </cfRule>
    <cfRule type="expression" dxfId="1507" priority="1560">
      <formula>AND(NOT(CELL("protect",$E$366)))</formula>
    </cfRule>
  </conditionalFormatting>
  <conditionalFormatting sqref="E367">
    <cfRule type="expression" dxfId="1506" priority="1557" stopIfTrue="1">
      <formula>AND(NOT(CELL("protect",$E$367)),$E$367=$A$367)</formula>
    </cfRule>
    <cfRule type="expression" dxfId="1505" priority="1558">
      <formula>AND(NOT(CELL("protect",$E$367)))</formula>
    </cfRule>
  </conditionalFormatting>
  <conditionalFormatting sqref="E368">
    <cfRule type="expression" dxfId="1504" priority="1555" stopIfTrue="1">
      <formula>AND(NOT(CELL("protect",$E$368)),$E$368=$A$368)</formula>
    </cfRule>
    <cfRule type="expression" dxfId="1503" priority="1556">
      <formula>AND(NOT(CELL("protect",$E$368)))</formula>
    </cfRule>
  </conditionalFormatting>
  <conditionalFormatting sqref="E369">
    <cfRule type="expression" dxfId="1502" priority="1553" stopIfTrue="1">
      <formula>AND(NOT(CELL("protect",$E$369)),$E$369=$A$369)</formula>
    </cfRule>
    <cfRule type="expression" dxfId="1501" priority="1554">
      <formula>AND(NOT(CELL("protect",$E$369)))</formula>
    </cfRule>
  </conditionalFormatting>
  <conditionalFormatting sqref="E370">
    <cfRule type="expression" dxfId="1500" priority="1551" stopIfTrue="1">
      <formula>AND(NOT(CELL("protect",$E$370)),$E$370=$A$370)</formula>
    </cfRule>
    <cfRule type="expression" dxfId="1499" priority="1552">
      <formula>AND(NOT(CELL("protect",$E$370)))</formula>
    </cfRule>
  </conditionalFormatting>
  <conditionalFormatting sqref="E371">
    <cfRule type="expression" dxfId="1498" priority="1549" stopIfTrue="1">
      <formula>AND(NOT(CELL("protect",$E$371)),$E$371=$A$371)</formula>
    </cfRule>
    <cfRule type="expression" dxfId="1497" priority="1550">
      <formula>AND(NOT(CELL("protect",$E$371)))</formula>
    </cfRule>
  </conditionalFormatting>
  <conditionalFormatting sqref="E372">
    <cfRule type="expression" dxfId="1496" priority="1547" stopIfTrue="1">
      <formula>AND(NOT(CELL("protect",$E$372)),$E$372=$A$372)</formula>
    </cfRule>
    <cfRule type="expression" dxfId="1495" priority="1548">
      <formula>AND(NOT(CELL("protect",$E$372)))</formula>
    </cfRule>
  </conditionalFormatting>
  <conditionalFormatting sqref="E373">
    <cfRule type="expression" dxfId="1494" priority="1545" stopIfTrue="1">
      <formula>AND(NOT(CELL("protect",$E$373)),$E$373=$A$373)</formula>
    </cfRule>
    <cfRule type="expression" dxfId="1493" priority="1546">
      <formula>AND(NOT(CELL("protect",$E$373)))</formula>
    </cfRule>
  </conditionalFormatting>
  <conditionalFormatting sqref="E374">
    <cfRule type="expression" dxfId="1492" priority="1543" stopIfTrue="1">
      <formula>AND(NOT(CELL("protect",$E$374)),$E$374=$A$374)</formula>
    </cfRule>
    <cfRule type="expression" dxfId="1491" priority="1544">
      <formula>AND(NOT(CELL("protect",$E$374)))</formula>
    </cfRule>
  </conditionalFormatting>
  <conditionalFormatting sqref="E375">
    <cfRule type="expression" dxfId="1490" priority="1541" stopIfTrue="1">
      <formula>AND(NOT(CELL("protect",$E$375)),$E$375=$A$375)</formula>
    </cfRule>
    <cfRule type="expression" dxfId="1489" priority="1542">
      <formula>AND(NOT(CELL("protect",$E$375)))</formula>
    </cfRule>
  </conditionalFormatting>
  <conditionalFormatting sqref="E376">
    <cfRule type="expression" dxfId="1488" priority="1539" stopIfTrue="1">
      <formula>AND(NOT(CELL("protect",$E$376)),$E$376=$A$376)</formula>
    </cfRule>
    <cfRule type="expression" dxfId="1487" priority="1540">
      <formula>AND(NOT(CELL("protect",$E$376)))</formula>
    </cfRule>
  </conditionalFormatting>
  <conditionalFormatting sqref="E377">
    <cfRule type="expression" dxfId="1486" priority="1537" stopIfTrue="1">
      <formula>AND(NOT(CELL("protect",$E$377)),$E$377=$A$377)</formula>
    </cfRule>
    <cfRule type="expression" dxfId="1485" priority="1538">
      <formula>AND(NOT(CELL("protect",$E$377)))</formula>
    </cfRule>
  </conditionalFormatting>
  <conditionalFormatting sqref="E378">
    <cfRule type="expression" dxfId="1484" priority="1535" stopIfTrue="1">
      <formula>AND(NOT(CELL("protect",$E$378)),$E$378=$A$378)</formula>
    </cfRule>
    <cfRule type="expression" dxfId="1483" priority="1536">
      <formula>AND(NOT(CELL("protect",$E$378)))</formula>
    </cfRule>
  </conditionalFormatting>
  <conditionalFormatting sqref="E379">
    <cfRule type="expression" dxfId="1482" priority="1533" stopIfTrue="1">
      <formula>AND(NOT(CELL("protect",$E$379)),$E$379=$A$379)</formula>
    </cfRule>
    <cfRule type="expression" dxfId="1481" priority="1534">
      <formula>AND(NOT(CELL("protect",$E$379)))</formula>
    </cfRule>
  </conditionalFormatting>
  <conditionalFormatting sqref="E380">
    <cfRule type="expression" dxfId="1480" priority="1531" stopIfTrue="1">
      <formula>AND(NOT(CELL("protect",$E$380)),$E$380=$A$380)</formula>
    </cfRule>
    <cfRule type="expression" dxfId="1479" priority="1532">
      <formula>AND(NOT(CELL("protect",$E$380)))</formula>
    </cfRule>
  </conditionalFormatting>
  <conditionalFormatting sqref="E381">
    <cfRule type="expression" dxfId="1478" priority="1529" stopIfTrue="1">
      <formula>AND(NOT(CELL("protect",$E$381)),$E$381=$A$381)</formula>
    </cfRule>
    <cfRule type="expression" dxfId="1477" priority="1530">
      <formula>AND(NOT(CELL("protect",$E$381)))</formula>
    </cfRule>
  </conditionalFormatting>
  <conditionalFormatting sqref="E382">
    <cfRule type="expression" dxfId="1476" priority="1527" stopIfTrue="1">
      <formula>AND(NOT(CELL("protect",$E$382)),$E$382=$A$382)</formula>
    </cfRule>
    <cfRule type="expression" dxfId="1475" priority="1528">
      <formula>AND(NOT(CELL("protect",$E$382)))</formula>
    </cfRule>
  </conditionalFormatting>
  <conditionalFormatting sqref="E383">
    <cfRule type="expression" dxfId="1474" priority="1525" stopIfTrue="1">
      <formula>AND(NOT(CELL("protect",$E$383)),$E$383=$A$383)</formula>
    </cfRule>
    <cfRule type="expression" dxfId="1473" priority="1526">
      <formula>AND(NOT(CELL("protect",$E$383)))</formula>
    </cfRule>
  </conditionalFormatting>
  <conditionalFormatting sqref="E384">
    <cfRule type="expression" dxfId="1472" priority="1523" stopIfTrue="1">
      <formula>AND(NOT(CELL("protect",$E$384)),$E$384=$A$384)</formula>
    </cfRule>
    <cfRule type="expression" dxfId="1471" priority="1524">
      <formula>AND(NOT(CELL("protect",$E$384)))</formula>
    </cfRule>
  </conditionalFormatting>
  <conditionalFormatting sqref="E385">
    <cfRule type="expression" dxfId="1470" priority="1521" stopIfTrue="1">
      <formula>AND(NOT(CELL("protect",$E$385)),$E$385=$A$385)</formula>
    </cfRule>
    <cfRule type="expression" dxfId="1469" priority="1522">
      <formula>AND(NOT(CELL("protect",$E$385)))</formula>
    </cfRule>
  </conditionalFormatting>
  <conditionalFormatting sqref="E386">
    <cfRule type="expression" dxfId="1468" priority="1519" stopIfTrue="1">
      <formula>AND(NOT(CELL("protect",$E$386)),$E$386=$A$386)</formula>
    </cfRule>
    <cfRule type="expression" dxfId="1467" priority="1520">
      <formula>AND(NOT(CELL("protect",$E$386)))</formula>
    </cfRule>
  </conditionalFormatting>
  <conditionalFormatting sqref="E387">
    <cfRule type="expression" dxfId="1466" priority="1517" stopIfTrue="1">
      <formula>AND(NOT(CELL("protect",$E$387)),$E$387=$A$387)</formula>
    </cfRule>
    <cfRule type="expression" dxfId="1465" priority="1518">
      <formula>AND(NOT(CELL("protect",$E$387)))</formula>
    </cfRule>
  </conditionalFormatting>
  <conditionalFormatting sqref="E388">
    <cfRule type="expression" dxfId="1464" priority="1515" stopIfTrue="1">
      <formula>AND(NOT(CELL("protect",$E$388)),$E$388=$A$388)</formula>
    </cfRule>
    <cfRule type="expression" dxfId="1463" priority="1516">
      <formula>AND(NOT(CELL("protect",$E$388)))</formula>
    </cfRule>
  </conditionalFormatting>
  <conditionalFormatting sqref="E389">
    <cfRule type="expression" dxfId="1462" priority="1513" stopIfTrue="1">
      <formula>AND(NOT(CELL("protect",$E$389)),$E$389=$A$389)</formula>
    </cfRule>
    <cfRule type="expression" dxfId="1461" priority="1514">
      <formula>AND(NOT(CELL("protect",$E$389)))</formula>
    </cfRule>
  </conditionalFormatting>
  <conditionalFormatting sqref="E390">
    <cfRule type="expression" dxfId="1460" priority="1511" stopIfTrue="1">
      <formula>AND(NOT(CELL("protect",$E$390)),$E$390=$A$390)</formula>
    </cfRule>
    <cfRule type="expression" dxfId="1459" priority="1512">
      <formula>AND(NOT(CELL("protect",$E$390)))</formula>
    </cfRule>
  </conditionalFormatting>
  <conditionalFormatting sqref="E391">
    <cfRule type="expression" dxfId="1458" priority="1509" stopIfTrue="1">
      <formula>AND(NOT(CELL("protect",$E$391)),$E$391=$A$391)</formula>
    </cfRule>
    <cfRule type="expression" dxfId="1457" priority="1510">
      <formula>AND(NOT(CELL("protect",$E$391)))</formula>
    </cfRule>
  </conditionalFormatting>
  <conditionalFormatting sqref="E392">
    <cfRule type="expression" dxfId="1456" priority="1507" stopIfTrue="1">
      <formula>AND(NOT(CELL("protect",$E$392)),$E$392=$A$392)</formula>
    </cfRule>
    <cfRule type="expression" dxfId="1455" priority="1508">
      <formula>AND(NOT(CELL("protect",$E$392)))</formula>
    </cfRule>
  </conditionalFormatting>
  <conditionalFormatting sqref="E393">
    <cfRule type="expression" dxfId="1454" priority="1505" stopIfTrue="1">
      <formula>AND(NOT(CELL("protect",$E$393)),$E$393=$A$393)</formula>
    </cfRule>
    <cfRule type="expression" dxfId="1453" priority="1506">
      <formula>AND(NOT(CELL("protect",$E$393)))</formula>
    </cfRule>
  </conditionalFormatting>
  <conditionalFormatting sqref="E394">
    <cfRule type="expression" dxfId="1452" priority="1503" stopIfTrue="1">
      <formula>AND(NOT(CELL("protect",$E$394)),$E$394=$A$394)</formula>
    </cfRule>
    <cfRule type="expression" dxfId="1451" priority="1504">
      <formula>AND(NOT(CELL("protect",$E$394)))</formula>
    </cfRule>
  </conditionalFormatting>
  <conditionalFormatting sqref="E395">
    <cfRule type="expression" dxfId="1450" priority="1501" stopIfTrue="1">
      <formula>AND(NOT(CELL("protect",$E$395)),$E$395=$A$395)</formula>
    </cfRule>
    <cfRule type="expression" dxfId="1449" priority="1502">
      <formula>AND(NOT(CELL("protect",$E$395)))</formula>
    </cfRule>
  </conditionalFormatting>
  <conditionalFormatting sqref="E396">
    <cfRule type="expression" dxfId="1448" priority="1499" stopIfTrue="1">
      <formula>AND(NOT(CELL("protect",$E$396)),$E$396=$A$396)</formula>
    </cfRule>
    <cfRule type="expression" dxfId="1447" priority="1500">
      <formula>AND(NOT(CELL("protect",$E$396)))</formula>
    </cfRule>
  </conditionalFormatting>
  <conditionalFormatting sqref="E397">
    <cfRule type="expression" dxfId="1446" priority="1497" stopIfTrue="1">
      <formula>AND(NOT(CELL("protect",$E$397)),$E$397=$A$397)</formula>
    </cfRule>
    <cfRule type="expression" dxfId="1445" priority="1498">
      <formula>AND(NOT(CELL("protect",$E$397)))</formula>
    </cfRule>
  </conditionalFormatting>
  <conditionalFormatting sqref="E398">
    <cfRule type="expression" dxfId="1444" priority="1495" stopIfTrue="1">
      <formula>AND(NOT(CELL("protect",$E$398)),$E$398=$A$398)</formula>
    </cfRule>
    <cfRule type="expression" dxfId="1443" priority="1496">
      <formula>AND(NOT(CELL("protect",$E$398)))</formula>
    </cfRule>
  </conditionalFormatting>
  <conditionalFormatting sqref="E399">
    <cfRule type="expression" dxfId="1442" priority="1493" stopIfTrue="1">
      <formula>AND(NOT(CELL("protect",$E$399)),$E$399=$A$399)</formula>
    </cfRule>
    <cfRule type="expression" dxfId="1441" priority="1494">
      <formula>AND(NOT(CELL("protect",$E$399)))</formula>
    </cfRule>
  </conditionalFormatting>
  <conditionalFormatting sqref="E400">
    <cfRule type="expression" dxfId="1440" priority="1491" stopIfTrue="1">
      <formula>AND(NOT(CELL("protect",$E$400)),$E$400=$A$400)</formula>
    </cfRule>
    <cfRule type="expression" dxfId="1439" priority="1492">
      <formula>AND(NOT(CELL("protect",$E$400)))</formula>
    </cfRule>
  </conditionalFormatting>
  <conditionalFormatting sqref="E401">
    <cfRule type="expression" dxfId="1438" priority="1489" stopIfTrue="1">
      <formula>AND(NOT(CELL("protect",$E$401)),$E$401=$A$401)</formula>
    </cfRule>
    <cfRule type="expression" dxfId="1437" priority="1490">
      <formula>AND(NOT(CELL("protect",$E$401)))</formula>
    </cfRule>
  </conditionalFormatting>
  <conditionalFormatting sqref="E402">
    <cfRule type="expression" dxfId="1436" priority="1487" stopIfTrue="1">
      <formula>AND(NOT(CELL("protect",$E$402)),$E$402=$A$402)</formula>
    </cfRule>
    <cfRule type="expression" dxfId="1435" priority="1488">
      <formula>AND(NOT(CELL("protect",$E$402)))</formula>
    </cfRule>
  </conditionalFormatting>
  <conditionalFormatting sqref="E403">
    <cfRule type="expression" dxfId="1434" priority="1485" stopIfTrue="1">
      <formula>AND(NOT(CELL("protect",$E$403)),$E$403=$A$403)</formula>
    </cfRule>
    <cfRule type="expression" dxfId="1433" priority="1486">
      <formula>AND(NOT(CELL("protect",$E$403)))</formula>
    </cfRule>
  </conditionalFormatting>
  <conditionalFormatting sqref="E404">
    <cfRule type="expression" dxfId="1432" priority="1483" stopIfTrue="1">
      <formula>AND(NOT(CELL("protect",$E$404)),$E$404=$A$404)</formula>
    </cfRule>
    <cfRule type="expression" dxfId="1431" priority="1484">
      <formula>AND(NOT(CELL("protect",$E$404)))</formula>
    </cfRule>
  </conditionalFormatting>
  <conditionalFormatting sqref="E405">
    <cfRule type="expression" dxfId="1430" priority="1481" stopIfTrue="1">
      <formula>AND(NOT(CELL("protect",$E$405)),$E$405=$A$405)</formula>
    </cfRule>
    <cfRule type="expression" dxfId="1429" priority="1482">
      <formula>AND(NOT(CELL("protect",$E$405)))</formula>
    </cfRule>
  </conditionalFormatting>
  <conditionalFormatting sqref="E406">
    <cfRule type="expression" dxfId="1428" priority="1479" stopIfTrue="1">
      <formula>AND(NOT(CELL("protect",$E$406)),$E$406=$A$406)</formula>
    </cfRule>
    <cfRule type="expression" dxfId="1427" priority="1480">
      <formula>AND(NOT(CELL("protect",$E$406)))</formula>
    </cfRule>
  </conditionalFormatting>
  <conditionalFormatting sqref="E407">
    <cfRule type="expression" dxfId="1426" priority="1477" stopIfTrue="1">
      <formula>AND(NOT(CELL("protect",$E$407)),$E$407=$A$407)</formula>
    </cfRule>
    <cfRule type="expression" dxfId="1425" priority="1478">
      <formula>AND(NOT(CELL("protect",$E$407)))</formula>
    </cfRule>
  </conditionalFormatting>
  <conditionalFormatting sqref="E408">
    <cfRule type="expression" dxfId="1424" priority="1475" stopIfTrue="1">
      <formula>AND(NOT(CELL("protect",$E$408)),$E$408=$A$408)</formula>
    </cfRule>
    <cfRule type="expression" dxfId="1423" priority="1476">
      <formula>AND(NOT(CELL("protect",$E$408)))</formula>
    </cfRule>
  </conditionalFormatting>
  <conditionalFormatting sqref="E409">
    <cfRule type="expression" dxfId="1422" priority="1473" stopIfTrue="1">
      <formula>AND(NOT(CELL("protect",$E$409)),$E$409=$A$409)</formula>
    </cfRule>
    <cfRule type="expression" dxfId="1421" priority="1474">
      <formula>AND(NOT(CELL("protect",$E$409)))</formula>
    </cfRule>
  </conditionalFormatting>
  <conditionalFormatting sqref="E410">
    <cfRule type="expression" dxfId="1420" priority="1471" stopIfTrue="1">
      <formula>AND(NOT(CELL("protect",$E$410)),$E$410=$A$410)</formula>
    </cfRule>
    <cfRule type="expression" dxfId="1419" priority="1472">
      <formula>AND(NOT(CELL("protect",$E$410)))</formula>
    </cfRule>
  </conditionalFormatting>
  <conditionalFormatting sqref="E411">
    <cfRule type="expression" dxfId="1418" priority="1469" stopIfTrue="1">
      <formula>AND(NOT(CELL("protect",$E$411)),$E$411=$A$411)</formula>
    </cfRule>
    <cfRule type="expression" dxfId="1417" priority="1470">
      <formula>AND(NOT(CELL("protect",$E$411)))</formula>
    </cfRule>
  </conditionalFormatting>
  <conditionalFormatting sqref="E412">
    <cfRule type="expression" dxfId="1416" priority="1467" stopIfTrue="1">
      <formula>AND(NOT(CELL("protect",$E$412)),$E$412=$A$412)</formula>
    </cfRule>
    <cfRule type="expression" dxfId="1415" priority="1468">
      <formula>AND(NOT(CELL("protect",$E$412)))</formula>
    </cfRule>
  </conditionalFormatting>
  <conditionalFormatting sqref="E413">
    <cfRule type="expression" dxfId="1414" priority="1465" stopIfTrue="1">
      <formula>AND(NOT(CELL("protect",$E$413)),$E$413=$A$413)</formula>
    </cfRule>
    <cfRule type="expression" dxfId="1413" priority="1466">
      <formula>AND(NOT(CELL("protect",$E$413)))</formula>
    </cfRule>
  </conditionalFormatting>
  <conditionalFormatting sqref="E414">
    <cfRule type="expression" dxfId="1412" priority="1463" stopIfTrue="1">
      <formula>AND(NOT(CELL("protect",$E$414)),$E$414=$A$414)</formula>
    </cfRule>
    <cfRule type="expression" dxfId="1411" priority="1464">
      <formula>AND(NOT(CELL("protect",$E$414)))</formula>
    </cfRule>
  </conditionalFormatting>
  <conditionalFormatting sqref="E415">
    <cfRule type="expression" dxfId="1410" priority="1461" stopIfTrue="1">
      <formula>AND(NOT(CELL("protect",$E$415)),$E$415=$A$415)</formula>
    </cfRule>
    <cfRule type="expression" dxfId="1409" priority="1462">
      <formula>AND(NOT(CELL("protect",$E$415)))</formula>
    </cfRule>
  </conditionalFormatting>
  <conditionalFormatting sqref="E416">
    <cfRule type="expression" dxfId="1408" priority="1459" stopIfTrue="1">
      <formula>AND(NOT(CELL("protect",$E$416)),$E$416=$A$416)</formula>
    </cfRule>
    <cfRule type="expression" dxfId="1407" priority="1460">
      <formula>AND(NOT(CELL("protect",$E$416)))</formula>
    </cfRule>
  </conditionalFormatting>
  <conditionalFormatting sqref="E417">
    <cfRule type="expression" dxfId="1406" priority="1457" stopIfTrue="1">
      <formula>AND(NOT(CELL("protect",$E$417)),$E$417=$A$417)</formula>
    </cfRule>
    <cfRule type="expression" dxfId="1405" priority="1458">
      <formula>AND(NOT(CELL("protect",$E$417)))</formula>
    </cfRule>
  </conditionalFormatting>
  <conditionalFormatting sqref="E418">
    <cfRule type="expression" dxfId="1404" priority="1455" stopIfTrue="1">
      <formula>AND(NOT(CELL("protect",$E$418)),$E$418=$A$418)</formula>
    </cfRule>
    <cfRule type="expression" dxfId="1403" priority="1456">
      <formula>AND(NOT(CELL("protect",$E$418)))</formula>
    </cfRule>
  </conditionalFormatting>
  <conditionalFormatting sqref="E419">
    <cfRule type="expression" dxfId="1402" priority="1453" stopIfTrue="1">
      <formula>AND(NOT(CELL("protect",$E$419)),$E$419=$A$419)</formula>
    </cfRule>
    <cfRule type="expression" dxfId="1401" priority="1454">
      <formula>AND(NOT(CELL("protect",$E$419)))</formula>
    </cfRule>
  </conditionalFormatting>
  <conditionalFormatting sqref="E420">
    <cfRule type="expression" dxfId="1400" priority="1451" stopIfTrue="1">
      <formula>AND(NOT(CELL("protect",$E$420)),$E$420=$A$420)</formula>
    </cfRule>
    <cfRule type="expression" dxfId="1399" priority="1452">
      <formula>AND(NOT(CELL("protect",$E$420)))</formula>
    </cfRule>
  </conditionalFormatting>
  <conditionalFormatting sqref="E421">
    <cfRule type="expression" dxfId="1398" priority="1449" stopIfTrue="1">
      <formula>AND(NOT(CELL("protect",$E$421)),$E$421=$A$421)</formula>
    </cfRule>
    <cfRule type="expression" dxfId="1397" priority="1450">
      <formula>AND(NOT(CELL("protect",$E$421)))</formula>
    </cfRule>
  </conditionalFormatting>
  <conditionalFormatting sqref="E422">
    <cfRule type="expression" dxfId="1396" priority="1447" stopIfTrue="1">
      <formula>AND(NOT(CELL("protect",$E$422)),$E$422=$A$422)</formula>
    </cfRule>
    <cfRule type="expression" dxfId="1395" priority="1448">
      <formula>AND(NOT(CELL("protect",$E$422)))</formula>
    </cfRule>
  </conditionalFormatting>
  <conditionalFormatting sqref="E423">
    <cfRule type="expression" dxfId="1394" priority="1445" stopIfTrue="1">
      <formula>AND(NOT(CELL("protect",$E$423)),$E$423=$A$423)</formula>
    </cfRule>
    <cfRule type="expression" dxfId="1393" priority="1446">
      <formula>AND(NOT(CELL("protect",$E$423)))</formula>
    </cfRule>
  </conditionalFormatting>
  <conditionalFormatting sqref="E424">
    <cfRule type="expression" dxfId="1392" priority="1443" stopIfTrue="1">
      <formula>AND(NOT(CELL("protect",$E$424)),$E$424=$A$424)</formula>
    </cfRule>
    <cfRule type="expression" dxfId="1391" priority="1444">
      <formula>AND(NOT(CELL("protect",$E$424)))</formula>
    </cfRule>
  </conditionalFormatting>
  <conditionalFormatting sqref="E425">
    <cfRule type="expression" dxfId="1390" priority="1441" stopIfTrue="1">
      <formula>AND(NOT(CELL("protect",$E$425)),$E$425=$A$425)</formula>
    </cfRule>
    <cfRule type="expression" dxfId="1389" priority="1442">
      <formula>AND(NOT(CELL("protect",$E$425)))</formula>
    </cfRule>
  </conditionalFormatting>
  <conditionalFormatting sqref="E426">
    <cfRule type="expression" dxfId="1388" priority="1439" stopIfTrue="1">
      <formula>AND(NOT(CELL("protect",$E$426)),$E$426=$A$426)</formula>
    </cfRule>
    <cfRule type="expression" dxfId="1387" priority="1440">
      <formula>AND(NOT(CELL("protect",$E$426)))</formula>
    </cfRule>
  </conditionalFormatting>
  <conditionalFormatting sqref="E427">
    <cfRule type="expression" dxfId="1386" priority="1437" stopIfTrue="1">
      <formula>AND(NOT(CELL("protect",$E$427)),$E$427=$A$427)</formula>
    </cfRule>
    <cfRule type="expression" dxfId="1385" priority="1438">
      <formula>AND(NOT(CELL("protect",$E$427)))</formula>
    </cfRule>
  </conditionalFormatting>
  <conditionalFormatting sqref="E428">
    <cfRule type="expression" dxfId="1384" priority="1435" stopIfTrue="1">
      <formula>AND(NOT(CELL("protect",$E$428)),$E$428=$A$428)</formula>
    </cfRule>
    <cfRule type="expression" dxfId="1383" priority="1436">
      <formula>AND(NOT(CELL("protect",$E$428)))</formula>
    </cfRule>
  </conditionalFormatting>
  <conditionalFormatting sqref="E429">
    <cfRule type="expression" dxfId="1382" priority="1433" stopIfTrue="1">
      <formula>AND(NOT(CELL("protect",$E$429)),$E$429=$A$429)</formula>
    </cfRule>
    <cfRule type="expression" dxfId="1381" priority="1434">
      <formula>AND(NOT(CELL("protect",$E$429)))</formula>
    </cfRule>
  </conditionalFormatting>
  <conditionalFormatting sqref="E430">
    <cfRule type="expression" dxfId="1380" priority="1431" stopIfTrue="1">
      <formula>AND(NOT(CELL("protect",$E$430)),$E$430=$A$430)</formula>
    </cfRule>
    <cfRule type="expression" dxfId="1379" priority="1432">
      <formula>AND(NOT(CELL("protect",$E$430)))</formula>
    </cfRule>
  </conditionalFormatting>
  <conditionalFormatting sqref="E431">
    <cfRule type="expression" dxfId="1378" priority="1429" stopIfTrue="1">
      <formula>AND(NOT(CELL("protect",$E$431)),$E$431=$A$431)</formula>
    </cfRule>
    <cfRule type="expression" dxfId="1377" priority="1430">
      <formula>AND(NOT(CELL("protect",$E$431)))</formula>
    </cfRule>
  </conditionalFormatting>
  <conditionalFormatting sqref="E432">
    <cfRule type="expression" dxfId="1376" priority="1427" stopIfTrue="1">
      <formula>AND(NOT(CELL("protect",$E$432)),$E$432=$A$432)</formula>
    </cfRule>
    <cfRule type="expression" dxfId="1375" priority="1428">
      <formula>AND(NOT(CELL("protect",$E$432)))</formula>
    </cfRule>
  </conditionalFormatting>
  <conditionalFormatting sqref="E433">
    <cfRule type="expression" dxfId="1374" priority="1425" stopIfTrue="1">
      <formula>AND(NOT(CELL("protect",$E$433)),$E$433=$A$433)</formula>
    </cfRule>
    <cfRule type="expression" dxfId="1373" priority="1426">
      <formula>AND(NOT(CELL("protect",$E$433)))</formula>
    </cfRule>
  </conditionalFormatting>
  <conditionalFormatting sqref="E434">
    <cfRule type="expression" dxfId="1372" priority="1423" stopIfTrue="1">
      <formula>AND(NOT(CELL("protect",$E$434)),$E$434=$A$434)</formula>
    </cfRule>
    <cfRule type="expression" dxfId="1371" priority="1424">
      <formula>AND(NOT(CELL("protect",$E$434)))</formula>
    </cfRule>
  </conditionalFormatting>
  <conditionalFormatting sqref="E435">
    <cfRule type="expression" dxfId="1370" priority="1421" stopIfTrue="1">
      <formula>AND(NOT(CELL("protect",$E$435)),$E$435=$A$435)</formula>
    </cfRule>
    <cfRule type="expression" dxfId="1369" priority="1422">
      <formula>AND(NOT(CELL("protect",$E$435)))</formula>
    </cfRule>
  </conditionalFormatting>
  <conditionalFormatting sqref="E436">
    <cfRule type="expression" dxfId="1368" priority="1419" stopIfTrue="1">
      <formula>AND(NOT(CELL("protect",$E$436)),$E$436=$A$436)</formula>
    </cfRule>
    <cfRule type="expression" dxfId="1367" priority="1420">
      <formula>AND(NOT(CELL("protect",$E$436)))</formula>
    </cfRule>
  </conditionalFormatting>
  <conditionalFormatting sqref="E437">
    <cfRule type="expression" dxfId="1366" priority="1417" stopIfTrue="1">
      <formula>AND(NOT(CELL("protect",$E$437)),$E$437=$A$437)</formula>
    </cfRule>
    <cfRule type="expression" dxfId="1365" priority="1418">
      <formula>AND(NOT(CELL("protect",$E$437)))</formula>
    </cfRule>
  </conditionalFormatting>
  <conditionalFormatting sqref="E438">
    <cfRule type="expression" dxfId="1364" priority="1415" stopIfTrue="1">
      <formula>AND(NOT(CELL("protect",$E$438)),$E$438=$A$438)</formula>
    </cfRule>
    <cfRule type="expression" dxfId="1363" priority="1416">
      <formula>AND(NOT(CELL("protect",$E$438)))</formula>
    </cfRule>
  </conditionalFormatting>
  <conditionalFormatting sqref="E439">
    <cfRule type="expression" dxfId="1362" priority="1413" stopIfTrue="1">
      <formula>AND(NOT(CELL("protect",$E$439)),$E$439=$A$439)</formula>
    </cfRule>
    <cfRule type="expression" dxfId="1361" priority="1414">
      <formula>AND(NOT(CELL("protect",$E$439)))</formula>
    </cfRule>
  </conditionalFormatting>
  <conditionalFormatting sqref="E440">
    <cfRule type="expression" dxfId="1360" priority="1411" stopIfTrue="1">
      <formula>AND(NOT(CELL("protect",$E$440)),$E$440=$A$440)</formula>
    </cfRule>
    <cfRule type="expression" dxfId="1359" priority="1412">
      <formula>AND(NOT(CELL("protect",$E$440)))</formula>
    </cfRule>
  </conditionalFormatting>
  <conditionalFormatting sqref="E441">
    <cfRule type="expression" dxfId="1358" priority="1409" stopIfTrue="1">
      <formula>AND(NOT(CELL("protect",$E$441)),$E$441=$A$441)</formula>
    </cfRule>
    <cfRule type="expression" dxfId="1357" priority="1410">
      <formula>AND(NOT(CELL("protect",$E$441)))</formula>
    </cfRule>
  </conditionalFormatting>
  <conditionalFormatting sqref="F7">
    <cfRule type="expression" dxfId="1356" priority="1406" stopIfTrue="1">
      <formula>AND(NOT(CELL("protect",$F$7)),OR($B$7="cmt",$B$7="mfcmt"))</formula>
    </cfRule>
    <cfRule type="expression" dxfId="1355" priority="1407" stopIfTrue="1">
      <formula>AND(NOT(CELL("protect",$F$7)),$F$7=$A$7,AND($B$7&lt;&gt;"cmt",$B$7&lt;&gt;"mfcmt"))</formula>
    </cfRule>
    <cfRule type="expression" dxfId="1354" priority="1408">
      <formula>AND(NOT(CELL("protect",$F$7)),AND($B$7&lt;&gt;"cmt",$B$7&lt;&gt;"mfcmt"))</formula>
    </cfRule>
  </conditionalFormatting>
  <conditionalFormatting sqref="F8">
    <cfRule type="expression" dxfId="1353" priority="1403" stopIfTrue="1">
      <formula>AND(NOT(CELL("protect",$F$8)),OR($B$8="cmt",$B$8="mfcmt"))</formula>
    </cfRule>
    <cfRule type="expression" dxfId="1352" priority="1404" stopIfTrue="1">
      <formula>AND(NOT(CELL("protect",$F$8)),$F$8=$A$8,AND($B$8&lt;&gt;"cmt",$B$8&lt;&gt;"mfcmt"))</formula>
    </cfRule>
    <cfRule type="expression" dxfId="1351" priority="1405">
      <formula>AND(NOT(CELL("protect",$F$8)),AND($B$8&lt;&gt;"cmt",$B$8&lt;&gt;"mfcmt"))</formula>
    </cfRule>
  </conditionalFormatting>
  <conditionalFormatting sqref="F9">
    <cfRule type="expression" dxfId="1350" priority="1400" stopIfTrue="1">
      <formula>AND(NOT(CELL("protect",$F$9)),OR($B$9="cmt",$B$9="mfcmt"))</formula>
    </cfRule>
    <cfRule type="expression" dxfId="1349" priority="1401" stopIfTrue="1">
      <formula>AND(NOT(CELL("protect",$F$9)),$F$9=$A$9,AND($B$9&lt;&gt;"cmt",$B$9&lt;&gt;"mfcmt"))</formula>
    </cfRule>
    <cfRule type="expression" dxfId="1348" priority="1402">
      <formula>AND(NOT(CELL("protect",$F$9)),AND($B$9&lt;&gt;"cmt",$B$9&lt;&gt;"mfcmt"))</formula>
    </cfRule>
  </conditionalFormatting>
  <conditionalFormatting sqref="F10">
    <cfRule type="expression" dxfId="1347" priority="1397" stopIfTrue="1">
      <formula>AND(NOT(CELL("protect",$F$10)),OR($B$10="cmt",$B$10="mfcmt"))</formula>
    </cfRule>
    <cfRule type="expression" dxfId="1346" priority="1398" stopIfTrue="1">
      <formula>AND(NOT(CELL("protect",$F$10)),$F$10=$A$10,AND($B$10&lt;&gt;"cmt",$B$10&lt;&gt;"mfcmt"))</formula>
    </cfRule>
    <cfRule type="expression" dxfId="1345" priority="1399">
      <formula>AND(NOT(CELL("protect",$F$10)),AND($B$10&lt;&gt;"cmt",$B$10&lt;&gt;"mfcmt"))</formula>
    </cfRule>
  </conditionalFormatting>
  <conditionalFormatting sqref="F11">
    <cfRule type="expression" dxfId="1344" priority="1394" stopIfTrue="1">
      <formula>AND(NOT(CELL("protect",$F$11)),OR($B$11="cmt",$B$11="mfcmt"))</formula>
    </cfRule>
    <cfRule type="expression" dxfId="1343" priority="1395" stopIfTrue="1">
      <formula>AND(NOT(CELL("protect",$F$11)),$F$11=$A$11,AND($B$11&lt;&gt;"cmt",$B$11&lt;&gt;"mfcmt"))</formula>
    </cfRule>
    <cfRule type="expression" dxfId="1342" priority="1396">
      <formula>AND(NOT(CELL("protect",$F$11)),AND($B$11&lt;&gt;"cmt",$B$11&lt;&gt;"mfcmt"))</formula>
    </cfRule>
  </conditionalFormatting>
  <conditionalFormatting sqref="F12">
    <cfRule type="expression" dxfId="1341" priority="1391" stopIfTrue="1">
      <formula>AND(NOT(CELL("protect",$F$12)),OR($B$12="cmt",$B$12="mfcmt"))</formula>
    </cfRule>
    <cfRule type="expression" dxfId="1340" priority="1392" stopIfTrue="1">
      <formula>AND(NOT(CELL("protect",$F$12)),$F$12=$A$12,AND($B$12&lt;&gt;"cmt",$B$12&lt;&gt;"mfcmt"))</formula>
    </cfRule>
    <cfRule type="expression" dxfId="1339" priority="1393">
      <formula>AND(NOT(CELL("protect",$F$12)),AND($B$12&lt;&gt;"cmt",$B$12&lt;&gt;"mfcmt"))</formula>
    </cfRule>
  </conditionalFormatting>
  <conditionalFormatting sqref="F13">
    <cfRule type="expression" dxfId="1338" priority="1388" stopIfTrue="1">
      <formula>AND(NOT(CELL("protect",$F$13)),OR($B$13="cmt",$B$13="mfcmt"))</formula>
    </cfRule>
    <cfRule type="expression" dxfId="1337" priority="1389" stopIfTrue="1">
      <formula>AND(NOT(CELL("protect",$F$13)),$F$13=$A$13,AND($B$13&lt;&gt;"cmt",$B$13&lt;&gt;"mfcmt"))</formula>
    </cfRule>
    <cfRule type="expression" dxfId="1336" priority="1390">
      <formula>AND(NOT(CELL("protect",$F$13)),AND($B$13&lt;&gt;"cmt",$B$13&lt;&gt;"mfcmt"))</formula>
    </cfRule>
  </conditionalFormatting>
  <conditionalFormatting sqref="F14">
    <cfRule type="expression" dxfId="1335" priority="1385" stopIfTrue="1">
      <formula>AND(NOT(CELL("protect",$F$14)),OR($B$14="cmt",$B$14="mfcmt"))</formula>
    </cfRule>
    <cfRule type="expression" dxfId="1334" priority="1386" stopIfTrue="1">
      <formula>AND(NOT(CELL("protect",$F$14)),$F$14=$A$14,AND($B$14&lt;&gt;"cmt",$B$14&lt;&gt;"mfcmt"))</formula>
    </cfRule>
    <cfRule type="expression" dxfId="1333" priority="1387">
      <formula>AND(NOT(CELL("protect",$F$14)),AND($B$14&lt;&gt;"cmt",$B$14&lt;&gt;"mfcmt"))</formula>
    </cfRule>
  </conditionalFormatting>
  <conditionalFormatting sqref="F15">
    <cfRule type="expression" dxfId="1332" priority="1382" stopIfTrue="1">
      <formula>AND(NOT(CELL("protect",$F$15)),OR($B$15="cmt",$B$15="mfcmt"))</formula>
    </cfRule>
    <cfRule type="expression" dxfId="1331" priority="1383" stopIfTrue="1">
      <formula>AND(NOT(CELL("protect",$F$15)),$F$15=$A$15,AND($B$15&lt;&gt;"cmt",$B$15&lt;&gt;"mfcmt"))</formula>
    </cfRule>
    <cfRule type="expression" dxfId="1330" priority="1384">
      <formula>AND(NOT(CELL("protect",$F$15)),AND($B$15&lt;&gt;"cmt",$B$15&lt;&gt;"mfcmt"))</formula>
    </cfRule>
  </conditionalFormatting>
  <conditionalFormatting sqref="F16">
    <cfRule type="expression" dxfId="1329" priority="1379" stopIfTrue="1">
      <formula>AND(NOT(CELL("protect",$F$16)),OR($B$16="cmt",$B$16="mfcmt"))</formula>
    </cfRule>
    <cfRule type="expression" dxfId="1328" priority="1380" stopIfTrue="1">
      <formula>AND(NOT(CELL("protect",$F$16)),$F$16=$A$16,AND($B$16&lt;&gt;"cmt",$B$16&lt;&gt;"mfcmt"))</formula>
    </cfRule>
    <cfRule type="expression" dxfId="1327" priority="1381">
      <formula>AND(NOT(CELL("protect",$F$16)),AND($B$16&lt;&gt;"cmt",$B$16&lt;&gt;"mfcmt"))</formula>
    </cfRule>
  </conditionalFormatting>
  <conditionalFormatting sqref="F17">
    <cfRule type="expression" dxfId="1326" priority="1376" stopIfTrue="1">
      <formula>AND(NOT(CELL("protect",$F$17)),OR($B$17="cmt",$B$17="mfcmt"))</formula>
    </cfRule>
    <cfRule type="expression" dxfId="1325" priority="1377" stopIfTrue="1">
      <formula>AND(NOT(CELL("protect",$F$17)),$F$17=$A$17,AND($B$17&lt;&gt;"cmt",$B$17&lt;&gt;"mfcmt"))</formula>
    </cfRule>
    <cfRule type="expression" dxfId="1324" priority="1378">
      <formula>AND(NOT(CELL("protect",$F$17)),AND($B$17&lt;&gt;"cmt",$B$17&lt;&gt;"mfcmt"))</formula>
    </cfRule>
  </conditionalFormatting>
  <conditionalFormatting sqref="F18">
    <cfRule type="expression" dxfId="1323" priority="1373" stopIfTrue="1">
      <formula>AND(NOT(CELL("protect",$F$18)),OR($B$18="cmt",$B$18="mfcmt"))</formula>
    </cfRule>
    <cfRule type="expression" dxfId="1322" priority="1374" stopIfTrue="1">
      <formula>AND(NOT(CELL("protect",$F$18)),$F$18=$A$18,AND($B$18&lt;&gt;"cmt",$B$18&lt;&gt;"mfcmt"))</formula>
    </cfRule>
    <cfRule type="expression" dxfId="1321" priority="1375">
      <formula>AND(NOT(CELL("protect",$F$18)),AND($B$18&lt;&gt;"cmt",$B$18&lt;&gt;"mfcmt"))</formula>
    </cfRule>
  </conditionalFormatting>
  <conditionalFormatting sqref="F19">
    <cfRule type="expression" dxfId="1320" priority="1370" stopIfTrue="1">
      <formula>AND(NOT(CELL("protect",$F$19)),OR($B$19="cmt",$B$19="mfcmt"))</formula>
    </cfRule>
    <cfRule type="expression" dxfId="1319" priority="1371" stopIfTrue="1">
      <formula>AND(NOT(CELL("protect",$F$19)),$F$19=$A$19,AND($B$19&lt;&gt;"cmt",$B$19&lt;&gt;"mfcmt"))</formula>
    </cfRule>
    <cfRule type="expression" dxfId="1318" priority="1372">
      <formula>AND(NOT(CELL("protect",$F$19)),AND($B$19&lt;&gt;"cmt",$B$19&lt;&gt;"mfcmt"))</formula>
    </cfRule>
  </conditionalFormatting>
  <conditionalFormatting sqref="F20">
    <cfRule type="expression" dxfId="1317" priority="1367" stopIfTrue="1">
      <formula>AND(NOT(CELL("protect",$F$20)),OR($B$20="cmt",$B$20="mfcmt"))</formula>
    </cfRule>
    <cfRule type="expression" dxfId="1316" priority="1368" stopIfTrue="1">
      <formula>AND(NOT(CELL("protect",$F$20)),$F$20=$A$20,AND($B$20&lt;&gt;"cmt",$B$20&lt;&gt;"mfcmt"))</formula>
    </cfRule>
    <cfRule type="expression" dxfId="1315" priority="1369">
      <formula>AND(NOT(CELL("protect",$F$20)),AND($B$20&lt;&gt;"cmt",$B$20&lt;&gt;"mfcmt"))</formula>
    </cfRule>
  </conditionalFormatting>
  <conditionalFormatting sqref="F21">
    <cfRule type="expression" dxfId="1314" priority="1364" stopIfTrue="1">
      <formula>AND(NOT(CELL("protect",$F$21)),OR($B$21="cmt",$B$21="mfcmt"))</formula>
    </cfRule>
    <cfRule type="expression" dxfId="1313" priority="1365" stopIfTrue="1">
      <formula>AND(NOT(CELL("protect",$F$21)),$F$21=$A$21,AND($B$21&lt;&gt;"cmt",$B$21&lt;&gt;"mfcmt"))</formula>
    </cfRule>
    <cfRule type="expression" dxfId="1312" priority="1366">
      <formula>AND(NOT(CELL("protect",$F$21)),AND($B$21&lt;&gt;"cmt",$B$21&lt;&gt;"mfcmt"))</formula>
    </cfRule>
  </conditionalFormatting>
  <conditionalFormatting sqref="F22">
    <cfRule type="expression" dxfId="1311" priority="1361" stopIfTrue="1">
      <formula>AND(NOT(CELL("protect",$F$22)),OR($B$22="cmt",$B$22="mfcmt"))</formula>
    </cfRule>
    <cfRule type="expression" dxfId="1310" priority="1362" stopIfTrue="1">
      <formula>AND(NOT(CELL("protect",$F$22)),$F$22=$A$22,AND($B$22&lt;&gt;"cmt",$B$22&lt;&gt;"mfcmt"))</formula>
    </cfRule>
    <cfRule type="expression" dxfId="1309" priority="1363">
      <formula>AND(NOT(CELL("protect",$F$22)),AND($B$22&lt;&gt;"cmt",$B$22&lt;&gt;"mfcmt"))</formula>
    </cfRule>
  </conditionalFormatting>
  <conditionalFormatting sqref="F23">
    <cfRule type="expression" dxfId="1308" priority="1358" stopIfTrue="1">
      <formula>AND(NOT(CELL("protect",$F$23)),OR($B$23="cmt",$B$23="mfcmt"))</formula>
    </cfRule>
    <cfRule type="expression" dxfId="1307" priority="1359" stopIfTrue="1">
      <formula>AND(NOT(CELL("protect",$F$23)),$F$23=$A$23,AND($B$23&lt;&gt;"cmt",$B$23&lt;&gt;"mfcmt"))</formula>
    </cfRule>
    <cfRule type="expression" dxfId="1306" priority="1360">
      <formula>AND(NOT(CELL("protect",$F$23)),AND($B$23&lt;&gt;"cmt",$B$23&lt;&gt;"mfcmt"))</formula>
    </cfRule>
  </conditionalFormatting>
  <conditionalFormatting sqref="F24">
    <cfRule type="expression" dxfId="1305" priority="1355" stopIfTrue="1">
      <formula>AND(NOT(CELL("protect",$F$24)),OR($B$24="cmt",$B$24="mfcmt"))</formula>
    </cfRule>
    <cfRule type="expression" dxfId="1304" priority="1356" stopIfTrue="1">
      <formula>AND(NOT(CELL("protect",$F$24)),$F$24=$A$24,AND($B$24&lt;&gt;"cmt",$B$24&lt;&gt;"mfcmt"))</formula>
    </cfRule>
    <cfRule type="expression" dxfId="1303" priority="1357">
      <formula>AND(NOT(CELL("protect",$F$24)),AND($B$24&lt;&gt;"cmt",$B$24&lt;&gt;"mfcmt"))</formula>
    </cfRule>
  </conditionalFormatting>
  <conditionalFormatting sqref="F25">
    <cfRule type="expression" dxfId="1302" priority="1352" stopIfTrue="1">
      <formula>AND(NOT(CELL("protect",$F$25)),OR($B$25="cmt",$B$25="mfcmt"))</formula>
    </cfRule>
    <cfRule type="expression" dxfId="1301" priority="1353" stopIfTrue="1">
      <formula>AND(NOT(CELL("protect",$F$25)),$F$25=$A$25,AND($B$25&lt;&gt;"cmt",$B$25&lt;&gt;"mfcmt"))</formula>
    </cfRule>
    <cfRule type="expression" dxfId="1300" priority="1354">
      <formula>AND(NOT(CELL("protect",$F$25)),AND($B$25&lt;&gt;"cmt",$B$25&lt;&gt;"mfcmt"))</formula>
    </cfRule>
  </conditionalFormatting>
  <conditionalFormatting sqref="F26">
    <cfRule type="expression" dxfId="1299" priority="1349" stopIfTrue="1">
      <formula>AND(NOT(CELL("protect",$F$26)),OR($B$26="cmt",$B$26="mfcmt"))</formula>
    </cfRule>
    <cfRule type="expression" dxfId="1298" priority="1350" stopIfTrue="1">
      <formula>AND(NOT(CELL("protect",$F$26)),$F$26=$A$26,AND($B$26&lt;&gt;"cmt",$B$26&lt;&gt;"mfcmt"))</formula>
    </cfRule>
    <cfRule type="expression" dxfId="1297" priority="1351">
      <formula>AND(NOT(CELL("protect",$F$26)),AND($B$26&lt;&gt;"cmt",$B$26&lt;&gt;"mfcmt"))</formula>
    </cfRule>
  </conditionalFormatting>
  <conditionalFormatting sqref="F27">
    <cfRule type="expression" dxfId="1296" priority="1346" stopIfTrue="1">
      <formula>AND(NOT(CELL("protect",$F$27)),OR($B$27="cmt",$B$27="mfcmt"))</formula>
    </cfRule>
    <cfRule type="expression" dxfId="1295" priority="1347" stopIfTrue="1">
      <formula>AND(NOT(CELL("protect",$F$27)),$F$27=$A$27,AND($B$27&lt;&gt;"cmt",$B$27&lt;&gt;"mfcmt"))</formula>
    </cfRule>
    <cfRule type="expression" dxfId="1294" priority="1348">
      <formula>AND(NOT(CELL("protect",$F$27)),AND($B$27&lt;&gt;"cmt",$B$27&lt;&gt;"mfcmt"))</formula>
    </cfRule>
  </conditionalFormatting>
  <conditionalFormatting sqref="F28">
    <cfRule type="expression" dxfId="1293" priority="1343" stopIfTrue="1">
      <formula>AND(NOT(CELL("protect",$F$28)),OR($B$28="cmt",$B$28="mfcmt"))</formula>
    </cfRule>
    <cfRule type="expression" dxfId="1292" priority="1344" stopIfTrue="1">
      <formula>AND(NOT(CELL("protect",$F$28)),$F$28=$A$28,AND($B$28&lt;&gt;"cmt",$B$28&lt;&gt;"mfcmt"))</formula>
    </cfRule>
    <cfRule type="expression" dxfId="1291" priority="1345">
      <formula>AND(NOT(CELL("protect",$F$28)),AND($B$28&lt;&gt;"cmt",$B$28&lt;&gt;"mfcmt"))</formula>
    </cfRule>
  </conditionalFormatting>
  <conditionalFormatting sqref="F29">
    <cfRule type="expression" dxfId="1290" priority="1340" stopIfTrue="1">
      <formula>AND(NOT(CELL("protect",$F$29)),OR($B$29="cmt",$B$29="mfcmt"))</formula>
    </cfRule>
    <cfRule type="expression" dxfId="1289" priority="1341" stopIfTrue="1">
      <formula>AND(NOT(CELL("protect",$F$29)),$F$29=$A$29,AND($B$29&lt;&gt;"cmt",$B$29&lt;&gt;"mfcmt"))</formula>
    </cfRule>
    <cfRule type="expression" dxfId="1288" priority="1342">
      <formula>AND(NOT(CELL("protect",$F$29)),AND($B$29&lt;&gt;"cmt",$B$29&lt;&gt;"mfcmt"))</formula>
    </cfRule>
  </conditionalFormatting>
  <conditionalFormatting sqref="F30">
    <cfRule type="expression" dxfId="1287" priority="1337" stopIfTrue="1">
      <formula>AND(NOT(CELL("protect",$F$30)),OR($B$30="cmt",$B$30="mfcmt"))</formula>
    </cfRule>
    <cfRule type="expression" dxfId="1286" priority="1338" stopIfTrue="1">
      <formula>AND(NOT(CELL("protect",$F$30)),$F$30=$A$30,AND($B$30&lt;&gt;"cmt",$B$30&lt;&gt;"mfcmt"))</formula>
    </cfRule>
    <cfRule type="expression" dxfId="1285" priority="1339">
      <formula>AND(NOT(CELL("protect",$F$30)),AND($B$30&lt;&gt;"cmt",$B$30&lt;&gt;"mfcmt"))</formula>
    </cfRule>
  </conditionalFormatting>
  <conditionalFormatting sqref="F31">
    <cfRule type="expression" dxfId="1284" priority="1334" stopIfTrue="1">
      <formula>AND(NOT(CELL("protect",$F$31)),OR($B$31="cmt",$B$31="mfcmt"))</formula>
    </cfRule>
    <cfRule type="expression" dxfId="1283" priority="1335" stopIfTrue="1">
      <formula>AND(NOT(CELL("protect",$F$31)),$F$31=$A$31,AND($B$31&lt;&gt;"cmt",$B$31&lt;&gt;"mfcmt"))</formula>
    </cfRule>
    <cfRule type="expression" dxfId="1282" priority="1336">
      <formula>AND(NOT(CELL("protect",$F$31)),AND($B$31&lt;&gt;"cmt",$B$31&lt;&gt;"mfcmt"))</formula>
    </cfRule>
  </conditionalFormatting>
  <conditionalFormatting sqref="F32">
    <cfRule type="expression" dxfId="1281" priority="1331" stopIfTrue="1">
      <formula>AND(NOT(CELL("protect",$F$32)),OR($B$32="cmt",$B$32="mfcmt"))</formula>
    </cfRule>
    <cfRule type="expression" dxfId="1280" priority="1332" stopIfTrue="1">
      <formula>AND(NOT(CELL("protect",$F$32)),$F$32=$A$32,AND($B$32&lt;&gt;"cmt",$B$32&lt;&gt;"mfcmt"))</formula>
    </cfRule>
    <cfRule type="expression" dxfId="1279" priority="1333">
      <formula>AND(NOT(CELL("protect",$F$32)),AND($B$32&lt;&gt;"cmt",$B$32&lt;&gt;"mfcmt"))</formula>
    </cfRule>
  </conditionalFormatting>
  <conditionalFormatting sqref="F33">
    <cfRule type="expression" dxfId="1278" priority="1328" stopIfTrue="1">
      <formula>AND(NOT(CELL("protect",$F$33)),OR($B$33="cmt",$B$33="mfcmt"))</formula>
    </cfRule>
    <cfRule type="expression" dxfId="1277" priority="1329" stopIfTrue="1">
      <formula>AND(NOT(CELL("protect",$F$33)),$F$33=$A$33,AND($B$33&lt;&gt;"cmt",$B$33&lt;&gt;"mfcmt"))</formula>
    </cfRule>
    <cfRule type="expression" dxfId="1276" priority="1330">
      <formula>AND(NOT(CELL("protect",$F$33)),AND($B$33&lt;&gt;"cmt",$B$33&lt;&gt;"mfcmt"))</formula>
    </cfRule>
  </conditionalFormatting>
  <conditionalFormatting sqref="F34">
    <cfRule type="expression" dxfId="1275" priority="1325" stopIfTrue="1">
      <formula>AND(NOT(CELL("protect",$F$34)),OR($B$34="cmt",$B$34="mfcmt"))</formula>
    </cfRule>
    <cfRule type="expression" dxfId="1274" priority="1326" stopIfTrue="1">
      <formula>AND(NOT(CELL("protect",$F$34)),$F$34=$A$34,AND($B$34&lt;&gt;"cmt",$B$34&lt;&gt;"mfcmt"))</formula>
    </cfRule>
    <cfRule type="expression" dxfId="1273" priority="1327">
      <formula>AND(NOT(CELL("protect",$F$34)),AND($B$34&lt;&gt;"cmt",$B$34&lt;&gt;"mfcmt"))</formula>
    </cfRule>
  </conditionalFormatting>
  <conditionalFormatting sqref="F35">
    <cfRule type="expression" dxfId="1272" priority="1322" stopIfTrue="1">
      <formula>AND(NOT(CELL("protect",$F$35)),OR($B$35="cmt",$B$35="mfcmt"))</formula>
    </cfRule>
    <cfRule type="expression" dxfId="1271" priority="1323" stopIfTrue="1">
      <formula>AND(NOT(CELL("protect",$F$35)),$F$35=$A$35,AND($B$35&lt;&gt;"cmt",$B$35&lt;&gt;"mfcmt"))</formula>
    </cfRule>
    <cfRule type="expression" dxfId="1270" priority="1324">
      <formula>AND(NOT(CELL("protect",$F$35)),AND($B$35&lt;&gt;"cmt",$B$35&lt;&gt;"mfcmt"))</formula>
    </cfRule>
  </conditionalFormatting>
  <conditionalFormatting sqref="F36">
    <cfRule type="expression" dxfId="1269" priority="1319" stopIfTrue="1">
      <formula>AND(NOT(CELL("protect",$F$36)),OR($B$36="cmt",$B$36="mfcmt"))</formula>
    </cfRule>
    <cfRule type="expression" dxfId="1268" priority="1320" stopIfTrue="1">
      <formula>AND(NOT(CELL("protect",$F$36)),$F$36=$A$36,AND($B$36&lt;&gt;"cmt",$B$36&lt;&gt;"mfcmt"))</formula>
    </cfRule>
    <cfRule type="expression" dxfId="1267" priority="1321">
      <formula>AND(NOT(CELL("protect",$F$36)),AND($B$36&lt;&gt;"cmt",$B$36&lt;&gt;"mfcmt"))</formula>
    </cfRule>
  </conditionalFormatting>
  <conditionalFormatting sqref="F37">
    <cfRule type="expression" dxfId="1266" priority="1316" stopIfTrue="1">
      <formula>AND(NOT(CELL("protect",$F$37)),OR($B$37="cmt",$B$37="mfcmt"))</formula>
    </cfRule>
    <cfRule type="expression" dxfId="1265" priority="1317" stopIfTrue="1">
      <formula>AND(NOT(CELL("protect",$F$37)),$F$37=$A$37,AND($B$37&lt;&gt;"cmt",$B$37&lt;&gt;"mfcmt"))</formula>
    </cfRule>
    <cfRule type="expression" dxfId="1264" priority="1318">
      <formula>AND(NOT(CELL("protect",$F$37)),AND($B$37&lt;&gt;"cmt",$B$37&lt;&gt;"mfcmt"))</formula>
    </cfRule>
  </conditionalFormatting>
  <conditionalFormatting sqref="F38">
    <cfRule type="expression" dxfId="1263" priority="1313" stopIfTrue="1">
      <formula>AND(NOT(CELL("protect",$F$38)),OR($B$38="cmt",$B$38="mfcmt"))</formula>
    </cfRule>
    <cfRule type="expression" dxfId="1262" priority="1314" stopIfTrue="1">
      <formula>AND(NOT(CELL("protect",$F$38)),$F$38=$A$38,AND($B$38&lt;&gt;"cmt",$B$38&lt;&gt;"mfcmt"))</formula>
    </cfRule>
    <cfRule type="expression" dxfId="1261" priority="1315">
      <formula>AND(NOT(CELL("protect",$F$38)),AND($B$38&lt;&gt;"cmt",$B$38&lt;&gt;"mfcmt"))</formula>
    </cfRule>
  </conditionalFormatting>
  <conditionalFormatting sqref="F39">
    <cfRule type="expression" dxfId="1260" priority="1310" stopIfTrue="1">
      <formula>AND(NOT(CELL("protect",$F$39)),OR($B$39="cmt",$B$39="mfcmt"))</formula>
    </cfRule>
    <cfRule type="expression" dxfId="1259" priority="1311" stopIfTrue="1">
      <formula>AND(NOT(CELL("protect",$F$39)),$F$39=$A$39,AND($B$39&lt;&gt;"cmt",$B$39&lt;&gt;"mfcmt"))</formula>
    </cfRule>
    <cfRule type="expression" dxfId="1258" priority="1312">
      <formula>AND(NOT(CELL("protect",$F$39)),AND($B$39&lt;&gt;"cmt",$B$39&lt;&gt;"mfcmt"))</formula>
    </cfRule>
  </conditionalFormatting>
  <conditionalFormatting sqref="F40">
    <cfRule type="expression" dxfId="1257" priority="1307" stopIfTrue="1">
      <formula>AND(NOT(CELL("protect",$F$40)),OR($B$40="cmt",$B$40="mfcmt"))</formula>
    </cfRule>
    <cfRule type="expression" dxfId="1256" priority="1308" stopIfTrue="1">
      <formula>AND(NOT(CELL("protect",$F$40)),$F$40=$A$40,AND($B$40&lt;&gt;"cmt",$B$40&lt;&gt;"mfcmt"))</formula>
    </cfRule>
    <cfRule type="expression" dxfId="1255" priority="1309">
      <formula>AND(NOT(CELL("protect",$F$40)),AND($B$40&lt;&gt;"cmt",$B$40&lt;&gt;"mfcmt"))</formula>
    </cfRule>
  </conditionalFormatting>
  <conditionalFormatting sqref="F41">
    <cfRule type="expression" dxfId="1254" priority="1304" stopIfTrue="1">
      <formula>AND(NOT(CELL("protect",$F$41)),OR($B$41="cmt",$B$41="mfcmt"))</formula>
    </cfRule>
    <cfRule type="expression" dxfId="1253" priority="1305" stopIfTrue="1">
      <formula>AND(NOT(CELL("protect",$F$41)),$F$41=$A$41,AND($B$41&lt;&gt;"cmt",$B$41&lt;&gt;"mfcmt"))</formula>
    </cfRule>
    <cfRule type="expression" dxfId="1252" priority="1306">
      <formula>AND(NOT(CELL("protect",$F$41)),AND($B$41&lt;&gt;"cmt",$B$41&lt;&gt;"mfcmt"))</formula>
    </cfRule>
  </conditionalFormatting>
  <conditionalFormatting sqref="F42">
    <cfRule type="expression" dxfId="1251" priority="1301" stopIfTrue="1">
      <formula>AND(NOT(CELL("protect",$F$42)),OR($B$42="cmt",$B$42="mfcmt"))</formula>
    </cfRule>
    <cfRule type="expression" dxfId="1250" priority="1302" stopIfTrue="1">
      <formula>AND(NOT(CELL("protect",$F$42)),$F$42=$A$42,AND($B$42&lt;&gt;"cmt",$B$42&lt;&gt;"mfcmt"))</formula>
    </cfRule>
    <cfRule type="expression" dxfId="1249" priority="1303">
      <formula>AND(NOT(CELL("protect",$F$42)),AND($B$42&lt;&gt;"cmt",$B$42&lt;&gt;"mfcmt"))</formula>
    </cfRule>
  </conditionalFormatting>
  <conditionalFormatting sqref="F43">
    <cfRule type="expression" dxfId="1248" priority="1298" stopIfTrue="1">
      <formula>AND(NOT(CELL("protect",$F$43)),OR($B$43="cmt",$B$43="mfcmt"))</formula>
    </cfRule>
    <cfRule type="expression" dxfId="1247" priority="1299" stopIfTrue="1">
      <formula>AND(NOT(CELL("protect",$F$43)),$F$43=$A$43,AND($B$43&lt;&gt;"cmt",$B$43&lt;&gt;"mfcmt"))</formula>
    </cfRule>
    <cfRule type="expression" dxfId="1246" priority="1300">
      <formula>AND(NOT(CELL("protect",$F$43)),AND($B$43&lt;&gt;"cmt",$B$43&lt;&gt;"mfcmt"))</formula>
    </cfRule>
  </conditionalFormatting>
  <conditionalFormatting sqref="F44">
    <cfRule type="expression" dxfId="1245" priority="1295" stopIfTrue="1">
      <formula>AND(NOT(CELL("protect",$F$44)),OR($B$44="cmt",$B$44="mfcmt"))</formula>
    </cfRule>
    <cfRule type="expression" dxfId="1244" priority="1296" stopIfTrue="1">
      <formula>AND(NOT(CELL("protect",$F$44)),$F$44=$A$44,AND($B$44&lt;&gt;"cmt",$B$44&lt;&gt;"mfcmt"))</formula>
    </cfRule>
    <cfRule type="expression" dxfId="1243" priority="1297">
      <formula>AND(NOT(CELL("protect",$F$44)),AND($B$44&lt;&gt;"cmt",$B$44&lt;&gt;"mfcmt"))</formula>
    </cfRule>
  </conditionalFormatting>
  <conditionalFormatting sqref="F45">
    <cfRule type="expression" dxfId="1242" priority="1292" stopIfTrue="1">
      <formula>AND(NOT(CELL("protect",$F$45)),OR($B$45="cmt",$B$45="mfcmt"))</formula>
    </cfRule>
    <cfRule type="expression" dxfId="1241" priority="1293" stopIfTrue="1">
      <formula>AND(NOT(CELL("protect",$F$45)),$F$45=$A$45,AND($B$45&lt;&gt;"cmt",$B$45&lt;&gt;"mfcmt"))</formula>
    </cfRule>
    <cfRule type="expression" dxfId="1240" priority="1294">
      <formula>AND(NOT(CELL("protect",$F$45)),AND($B$45&lt;&gt;"cmt",$B$45&lt;&gt;"mfcmt"))</formula>
    </cfRule>
  </conditionalFormatting>
  <conditionalFormatting sqref="F46">
    <cfRule type="expression" dxfId="1239" priority="1289" stopIfTrue="1">
      <formula>AND(NOT(CELL("protect",$F$46)),OR($B$46="cmt",$B$46="mfcmt"))</formula>
    </cfRule>
    <cfRule type="expression" dxfId="1238" priority="1290" stopIfTrue="1">
      <formula>AND(NOT(CELL("protect",$F$46)),$F$46=$A$46,AND($B$46&lt;&gt;"cmt",$B$46&lt;&gt;"mfcmt"))</formula>
    </cfRule>
    <cfRule type="expression" dxfId="1237" priority="1291">
      <formula>AND(NOT(CELL("protect",$F$46)),AND($B$46&lt;&gt;"cmt",$B$46&lt;&gt;"mfcmt"))</formula>
    </cfRule>
  </conditionalFormatting>
  <conditionalFormatting sqref="F47">
    <cfRule type="expression" dxfId="1236" priority="1286" stopIfTrue="1">
      <formula>AND(NOT(CELL("protect",$F$47)),OR($B$47="cmt",$B$47="mfcmt"))</formula>
    </cfRule>
    <cfRule type="expression" dxfId="1235" priority="1287" stopIfTrue="1">
      <formula>AND(NOT(CELL("protect",$F$47)),$F$47=$A$47,AND($B$47&lt;&gt;"cmt",$B$47&lt;&gt;"mfcmt"))</formula>
    </cfRule>
    <cfRule type="expression" dxfId="1234" priority="1288">
      <formula>AND(NOT(CELL("protect",$F$47)),AND($B$47&lt;&gt;"cmt",$B$47&lt;&gt;"mfcmt"))</formula>
    </cfRule>
  </conditionalFormatting>
  <conditionalFormatting sqref="F48">
    <cfRule type="expression" dxfId="1233" priority="1283" stopIfTrue="1">
      <formula>AND(NOT(CELL("protect",$F$48)),OR($B$48="cmt",$B$48="mfcmt"))</formula>
    </cfRule>
    <cfRule type="expression" dxfId="1232" priority="1284" stopIfTrue="1">
      <formula>AND(NOT(CELL("protect",$F$48)),$F$48=$A$48,AND($B$48&lt;&gt;"cmt",$B$48&lt;&gt;"mfcmt"))</formula>
    </cfRule>
    <cfRule type="expression" dxfId="1231" priority="1285">
      <formula>AND(NOT(CELL("protect",$F$48)),AND($B$48&lt;&gt;"cmt",$B$48&lt;&gt;"mfcmt"))</formula>
    </cfRule>
  </conditionalFormatting>
  <conditionalFormatting sqref="F49">
    <cfRule type="expression" dxfId="1230" priority="1280" stopIfTrue="1">
      <formula>AND(NOT(CELL("protect",$F$49)),OR($B$49="cmt",$B$49="mfcmt"))</formula>
    </cfRule>
    <cfRule type="expression" dxfId="1229" priority="1281" stopIfTrue="1">
      <formula>AND(NOT(CELL("protect",$F$49)),$F$49=$A$49,AND($B$49&lt;&gt;"cmt",$B$49&lt;&gt;"mfcmt"))</formula>
    </cfRule>
    <cfRule type="expression" dxfId="1228" priority="1282">
      <formula>AND(NOT(CELL("protect",$F$49)),AND($B$49&lt;&gt;"cmt",$B$49&lt;&gt;"mfcmt"))</formula>
    </cfRule>
  </conditionalFormatting>
  <conditionalFormatting sqref="F50">
    <cfRule type="expression" dxfId="1227" priority="1277" stopIfTrue="1">
      <formula>AND(NOT(CELL("protect",$F$50)),OR($B$50="cmt",$B$50="mfcmt"))</formula>
    </cfRule>
    <cfRule type="expression" dxfId="1226" priority="1278" stopIfTrue="1">
      <formula>AND(NOT(CELL("protect",$F$50)),$F$50=$A$50,AND($B$50&lt;&gt;"cmt",$B$50&lt;&gt;"mfcmt"))</formula>
    </cfRule>
    <cfRule type="expression" dxfId="1225" priority="1279">
      <formula>AND(NOT(CELL("protect",$F$50)),AND($B$50&lt;&gt;"cmt",$B$50&lt;&gt;"mfcmt"))</formula>
    </cfRule>
  </conditionalFormatting>
  <conditionalFormatting sqref="F51">
    <cfRule type="expression" dxfId="1224" priority="1274" stopIfTrue="1">
      <formula>AND(NOT(CELL("protect",$F$51)),OR($B$51="cmt",$B$51="mfcmt"))</formula>
    </cfRule>
    <cfRule type="expression" dxfId="1223" priority="1275" stopIfTrue="1">
      <formula>AND(NOT(CELL("protect",$F$51)),$F$51=$A$51,AND($B$51&lt;&gt;"cmt",$B$51&lt;&gt;"mfcmt"))</formula>
    </cfRule>
    <cfRule type="expression" dxfId="1222" priority="1276">
      <formula>AND(NOT(CELL("protect",$F$51)),AND($B$51&lt;&gt;"cmt",$B$51&lt;&gt;"mfcmt"))</formula>
    </cfRule>
  </conditionalFormatting>
  <conditionalFormatting sqref="F52">
    <cfRule type="expression" dxfId="1221" priority="1271" stopIfTrue="1">
      <formula>AND(NOT(CELL("protect",$F$52)),OR($B$52="cmt",$B$52="mfcmt"))</formula>
    </cfRule>
    <cfRule type="expression" dxfId="1220" priority="1272" stopIfTrue="1">
      <formula>AND(NOT(CELL("protect",$F$52)),$F$52=$A$52,AND($B$52&lt;&gt;"cmt",$B$52&lt;&gt;"mfcmt"))</formula>
    </cfRule>
    <cfRule type="expression" dxfId="1219" priority="1273">
      <formula>AND(NOT(CELL("protect",$F$52)),AND($B$52&lt;&gt;"cmt",$B$52&lt;&gt;"mfcmt"))</formula>
    </cfRule>
  </conditionalFormatting>
  <conditionalFormatting sqref="F53">
    <cfRule type="expression" dxfId="1218" priority="1268" stopIfTrue="1">
      <formula>AND(NOT(CELL("protect",$F$53)),OR($B$53="cmt",$B$53="mfcmt"))</formula>
    </cfRule>
    <cfRule type="expression" dxfId="1217" priority="1269" stopIfTrue="1">
      <formula>AND(NOT(CELL("protect",$F$53)),$F$53=$A$53,AND($B$53&lt;&gt;"cmt",$B$53&lt;&gt;"mfcmt"))</formula>
    </cfRule>
    <cfRule type="expression" dxfId="1216" priority="1270">
      <formula>AND(NOT(CELL("protect",$F$53)),AND($B$53&lt;&gt;"cmt",$B$53&lt;&gt;"mfcmt"))</formula>
    </cfRule>
  </conditionalFormatting>
  <conditionalFormatting sqref="F54">
    <cfRule type="expression" dxfId="1215" priority="1265" stopIfTrue="1">
      <formula>AND(NOT(CELL("protect",$F$54)),OR($B$54="cmt",$B$54="mfcmt"))</formula>
    </cfRule>
    <cfRule type="expression" dxfId="1214" priority="1266" stopIfTrue="1">
      <formula>AND(NOT(CELL("protect",$F$54)),$F$54=$A$54,AND($B$54&lt;&gt;"cmt",$B$54&lt;&gt;"mfcmt"))</formula>
    </cfRule>
    <cfRule type="expression" dxfId="1213" priority="1267">
      <formula>AND(NOT(CELL("protect",$F$54)),AND($B$54&lt;&gt;"cmt",$B$54&lt;&gt;"mfcmt"))</formula>
    </cfRule>
  </conditionalFormatting>
  <conditionalFormatting sqref="F55">
    <cfRule type="expression" dxfId="1212" priority="1262" stopIfTrue="1">
      <formula>AND(NOT(CELL("protect",$F$55)),OR($B$55="cmt",$B$55="mfcmt"))</formula>
    </cfRule>
    <cfRule type="expression" dxfId="1211" priority="1263" stopIfTrue="1">
      <formula>AND(NOT(CELL("protect",$F$55)),$F$55=$A$55,AND($B$55&lt;&gt;"cmt",$B$55&lt;&gt;"mfcmt"))</formula>
    </cfRule>
    <cfRule type="expression" dxfId="1210" priority="1264">
      <formula>AND(NOT(CELL("protect",$F$55)),AND($B$55&lt;&gt;"cmt",$B$55&lt;&gt;"mfcmt"))</formula>
    </cfRule>
  </conditionalFormatting>
  <conditionalFormatting sqref="F56">
    <cfRule type="expression" dxfId="1209" priority="1259" stopIfTrue="1">
      <formula>AND(NOT(CELL("protect",$F$56)),OR($B$56="cmt",$B$56="mfcmt"))</formula>
    </cfRule>
    <cfRule type="expression" dxfId="1208" priority="1260" stopIfTrue="1">
      <formula>AND(NOT(CELL("protect",$F$56)),$F$56=$A$56,AND($B$56&lt;&gt;"cmt",$B$56&lt;&gt;"mfcmt"))</formula>
    </cfRule>
    <cfRule type="expression" dxfId="1207" priority="1261">
      <formula>AND(NOT(CELL("protect",$F$56)),AND($B$56&lt;&gt;"cmt",$B$56&lt;&gt;"mfcmt"))</formula>
    </cfRule>
  </conditionalFormatting>
  <conditionalFormatting sqref="F57">
    <cfRule type="expression" dxfId="1206" priority="1256" stopIfTrue="1">
      <formula>AND(NOT(CELL("protect",$F$57)),OR($B$57="cmt",$B$57="mfcmt"))</formula>
    </cfRule>
    <cfRule type="expression" dxfId="1205" priority="1257" stopIfTrue="1">
      <formula>AND(NOT(CELL("protect",$F$57)),$F$57=$A$57,AND($B$57&lt;&gt;"cmt",$B$57&lt;&gt;"mfcmt"))</formula>
    </cfRule>
    <cfRule type="expression" dxfId="1204" priority="1258">
      <formula>AND(NOT(CELL("protect",$F$57)),AND($B$57&lt;&gt;"cmt",$B$57&lt;&gt;"mfcmt"))</formula>
    </cfRule>
  </conditionalFormatting>
  <conditionalFormatting sqref="F58">
    <cfRule type="expression" dxfId="1203" priority="1253" stopIfTrue="1">
      <formula>AND(NOT(CELL("protect",$F$58)),OR($B$58="cmt",$B$58="mfcmt"))</formula>
    </cfRule>
    <cfRule type="expression" dxfId="1202" priority="1254" stopIfTrue="1">
      <formula>AND(NOT(CELL("protect",$F$58)),$F$58=$A$58,AND($B$58&lt;&gt;"cmt",$B$58&lt;&gt;"mfcmt"))</formula>
    </cfRule>
    <cfRule type="expression" dxfId="1201" priority="1255">
      <formula>AND(NOT(CELL("protect",$F$58)),AND($B$58&lt;&gt;"cmt",$B$58&lt;&gt;"mfcmt"))</formula>
    </cfRule>
  </conditionalFormatting>
  <conditionalFormatting sqref="F59">
    <cfRule type="expression" dxfId="1200" priority="1250" stopIfTrue="1">
      <formula>AND(NOT(CELL("protect",$F$59)),OR($B$59="cmt",$B$59="mfcmt"))</formula>
    </cfRule>
    <cfRule type="expression" dxfId="1199" priority="1251" stopIfTrue="1">
      <formula>AND(NOT(CELL("protect",$F$59)),$F$59=$A$59,AND($B$59&lt;&gt;"cmt",$B$59&lt;&gt;"mfcmt"))</formula>
    </cfRule>
    <cfRule type="expression" dxfId="1198" priority="1252">
      <formula>AND(NOT(CELL("protect",$F$59)),AND($B$59&lt;&gt;"cmt",$B$59&lt;&gt;"mfcmt"))</formula>
    </cfRule>
  </conditionalFormatting>
  <conditionalFormatting sqref="F60">
    <cfRule type="expression" dxfId="1197" priority="1247" stopIfTrue="1">
      <formula>AND(NOT(CELL("protect",$F$60)),OR($B$60="cmt",$B$60="mfcmt"))</formula>
    </cfRule>
    <cfRule type="expression" dxfId="1196" priority="1248" stopIfTrue="1">
      <formula>AND(NOT(CELL("protect",$F$60)),$F$60=$A$60,AND($B$60&lt;&gt;"cmt",$B$60&lt;&gt;"mfcmt"))</formula>
    </cfRule>
    <cfRule type="expression" dxfId="1195" priority="1249">
      <formula>AND(NOT(CELL("protect",$F$60)),AND($B$60&lt;&gt;"cmt",$B$60&lt;&gt;"mfcmt"))</formula>
    </cfRule>
  </conditionalFormatting>
  <conditionalFormatting sqref="F61">
    <cfRule type="expression" dxfId="1194" priority="1244" stopIfTrue="1">
      <formula>AND(NOT(CELL("protect",$F$61)),OR($B$61="cmt",$B$61="mfcmt"))</formula>
    </cfRule>
    <cfRule type="expression" dxfId="1193" priority="1245" stopIfTrue="1">
      <formula>AND(NOT(CELL("protect",$F$61)),$F$61=$A$61,AND($B$61&lt;&gt;"cmt",$B$61&lt;&gt;"mfcmt"))</formula>
    </cfRule>
    <cfRule type="expression" dxfId="1192" priority="1246">
      <formula>AND(NOT(CELL("protect",$F$61)),AND($B$61&lt;&gt;"cmt",$B$61&lt;&gt;"mfcmt"))</formula>
    </cfRule>
  </conditionalFormatting>
  <conditionalFormatting sqref="F62">
    <cfRule type="expression" dxfId="1191" priority="1241" stopIfTrue="1">
      <formula>AND(NOT(CELL("protect",$F$62)),OR($B$62="cmt",$B$62="mfcmt"))</formula>
    </cfRule>
    <cfRule type="expression" dxfId="1190" priority="1242" stopIfTrue="1">
      <formula>AND(NOT(CELL("protect",$F$62)),$F$62=$A$62,AND($B$62&lt;&gt;"cmt",$B$62&lt;&gt;"mfcmt"))</formula>
    </cfRule>
    <cfRule type="expression" dxfId="1189" priority="1243">
      <formula>AND(NOT(CELL("protect",$F$62)),AND($B$62&lt;&gt;"cmt",$B$62&lt;&gt;"mfcmt"))</formula>
    </cfRule>
  </conditionalFormatting>
  <conditionalFormatting sqref="F63">
    <cfRule type="expression" dxfId="1188" priority="1238" stopIfTrue="1">
      <formula>AND(NOT(CELL("protect",$F$63)),OR($B$63="cmt",$B$63="mfcmt"))</formula>
    </cfRule>
    <cfRule type="expression" dxfId="1187" priority="1239" stopIfTrue="1">
      <formula>AND(NOT(CELL("protect",$F$63)),$F$63=$A$63,AND($B$63&lt;&gt;"cmt",$B$63&lt;&gt;"mfcmt"))</formula>
    </cfRule>
    <cfRule type="expression" dxfId="1186" priority="1240">
      <formula>AND(NOT(CELL("protect",$F$63)),AND($B$63&lt;&gt;"cmt",$B$63&lt;&gt;"mfcmt"))</formula>
    </cfRule>
  </conditionalFormatting>
  <conditionalFormatting sqref="F64">
    <cfRule type="expression" dxfId="1185" priority="1235" stopIfTrue="1">
      <formula>AND(NOT(CELL("protect",$F$64)),OR($B$64="cmt",$B$64="mfcmt"))</formula>
    </cfRule>
    <cfRule type="expression" dxfId="1184" priority="1236" stopIfTrue="1">
      <formula>AND(NOT(CELL("protect",$F$64)),$F$64=$A$64,AND($B$64&lt;&gt;"cmt",$B$64&lt;&gt;"mfcmt"))</formula>
    </cfRule>
    <cfRule type="expression" dxfId="1183" priority="1237">
      <formula>AND(NOT(CELL("protect",$F$64)),AND($B$64&lt;&gt;"cmt",$B$64&lt;&gt;"mfcmt"))</formula>
    </cfRule>
  </conditionalFormatting>
  <conditionalFormatting sqref="F65">
    <cfRule type="expression" dxfId="1182" priority="1232" stopIfTrue="1">
      <formula>AND(NOT(CELL("protect",$F$65)),OR($B$65="cmt",$B$65="mfcmt"))</formula>
    </cfRule>
    <cfRule type="expression" dxfId="1181" priority="1233" stopIfTrue="1">
      <formula>AND(NOT(CELL("protect",$F$65)),$F$65=$A$65,AND($B$65&lt;&gt;"cmt",$B$65&lt;&gt;"mfcmt"))</formula>
    </cfRule>
    <cfRule type="expression" dxfId="1180" priority="1234">
      <formula>AND(NOT(CELL("protect",$F$65)),AND($B$65&lt;&gt;"cmt",$B$65&lt;&gt;"mfcmt"))</formula>
    </cfRule>
  </conditionalFormatting>
  <conditionalFormatting sqref="F66">
    <cfRule type="expression" dxfId="1179" priority="1229" stopIfTrue="1">
      <formula>AND(NOT(CELL("protect",$F$66)),OR($B$66="cmt",$B$66="mfcmt"))</formula>
    </cfRule>
    <cfRule type="expression" dxfId="1178" priority="1230" stopIfTrue="1">
      <formula>AND(NOT(CELL("protect",$F$66)),$F$66=$A$66,AND($B$66&lt;&gt;"cmt",$B$66&lt;&gt;"mfcmt"))</formula>
    </cfRule>
    <cfRule type="expression" dxfId="1177" priority="1231">
      <formula>AND(NOT(CELL("protect",$F$66)),AND($B$66&lt;&gt;"cmt",$B$66&lt;&gt;"mfcmt"))</formula>
    </cfRule>
  </conditionalFormatting>
  <conditionalFormatting sqref="F67">
    <cfRule type="expression" dxfId="1176" priority="1226" stopIfTrue="1">
      <formula>AND(NOT(CELL("protect",$F$67)),OR($B$67="cmt",$B$67="mfcmt"))</formula>
    </cfRule>
    <cfRule type="expression" dxfId="1175" priority="1227" stopIfTrue="1">
      <formula>AND(NOT(CELL("protect",$F$67)),$F$67=$A$67,AND($B$67&lt;&gt;"cmt",$B$67&lt;&gt;"mfcmt"))</formula>
    </cfRule>
    <cfRule type="expression" dxfId="1174" priority="1228">
      <formula>AND(NOT(CELL("protect",$F$67)),AND($B$67&lt;&gt;"cmt",$B$67&lt;&gt;"mfcmt"))</formula>
    </cfRule>
  </conditionalFormatting>
  <conditionalFormatting sqref="F68">
    <cfRule type="expression" dxfId="1173" priority="1223" stopIfTrue="1">
      <formula>AND(NOT(CELL("protect",$F$68)),OR($B$68="cmt",$B$68="mfcmt"))</formula>
    </cfRule>
    <cfRule type="expression" dxfId="1172" priority="1224" stopIfTrue="1">
      <formula>AND(NOT(CELL("protect",$F$68)),$F$68=$A$68,AND($B$68&lt;&gt;"cmt",$B$68&lt;&gt;"mfcmt"))</formula>
    </cfRule>
    <cfRule type="expression" dxfId="1171" priority="1225">
      <formula>AND(NOT(CELL("protect",$F$68)),AND($B$68&lt;&gt;"cmt",$B$68&lt;&gt;"mfcmt"))</formula>
    </cfRule>
  </conditionalFormatting>
  <conditionalFormatting sqref="F69">
    <cfRule type="expression" dxfId="1170" priority="1220" stopIfTrue="1">
      <formula>AND(NOT(CELL("protect",$F$69)),OR($B$69="cmt",$B$69="mfcmt"))</formula>
    </cfRule>
    <cfRule type="expression" dxfId="1169" priority="1221" stopIfTrue="1">
      <formula>AND(NOT(CELL("protect",$F$69)),$F$69=$A$69,AND($B$69&lt;&gt;"cmt",$B$69&lt;&gt;"mfcmt"))</formula>
    </cfRule>
    <cfRule type="expression" dxfId="1168" priority="1222">
      <formula>AND(NOT(CELL("protect",$F$69)),AND($B$69&lt;&gt;"cmt",$B$69&lt;&gt;"mfcmt"))</formula>
    </cfRule>
  </conditionalFormatting>
  <conditionalFormatting sqref="F70">
    <cfRule type="expression" dxfId="1167" priority="1217" stopIfTrue="1">
      <formula>AND(NOT(CELL("protect",$F$70)),OR($B$70="cmt",$B$70="mfcmt"))</formula>
    </cfRule>
    <cfRule type="expression" dxfId="1166" priority="1218" stopIfTrue="1">
      <formula>AND(NOT(CELL("protect",$F$70)),$F$70=$A$70,AND($B$70&lt;&gt;"cmt",$B$70&lt;&gt;"mfcmt"))</formula>
    </cfRule>
    <cfRule type="expression" dxfId="1165" priority="1219">
      <formula>AND(NOT(CELL("protect",$F$70)),AND($B$70&lt;&gt;"cmt",$B$70&lt;&gt;"mfcmt"))</formula>
    </cfRule>
  </conditionalFormatting>
  <conditionalFormatting sqref="F71">
    <cfRule type="expression" dxfId="1164" priority="1214" stopIfTrue="1">
      <formula>AND(NOT(CELL("protect",$F$71)),OR($B$71="cmt",$B$71="mfcmt"))</formula>
    </cfRule>
    <cfRule type="expression" dxfId="1163" priority="1215" stopIfTrue="1">
      <formula>AND(NOT(CELL("protect",$F$71)),$F$71=$A$71,AND($B$71&lt;&gt;"cmt",$B$71&lt;&gt;"mfcmt"))</formula>
    </cfRule>
    <cfRule type="expression" dxfId="1162" priority="1216">
      <formula>AND(NOT(CELL("protect",$F$71)),AND($B$71&lt;&gt;"cmt",$B$71&lt;&gt;"mfcmt"))</formula>
    </cfRule>
  </conditionalFormatting>
  <conditionalFormatting sqref="F72">
    <cfRule type="expression" dxfId="1161" priority="1211" stopIfTrue="1">
      <formula>AND(NOT(CELL("protect",$F$72)),OR($B$72="cmt",$B$72="mfcmt"))</formula>
    </cfRule>
    <cfRule type="expression" dxfId="1160" priority="1212" stopIfTrue="1">
      <formula>AND(NOT(CELL("protect",$F$72)),$F$72=$A$72,AND($B$72&lt;&gt;"cmt",$B$72&lt;&gt;"mfcmt"))</formula>
    </cfRule>
    <cfRule type="expression" dxfId="1159" priority="1213">
      <formula>AND(NOT(CELL("protect",$F$72)),AND($B$72&lt;&gt;"cmt",$B$72&lt;&gt;"mfcmt"))</formula>
    </cfRule>
  </conditionalFormatting>
  <conditionalFormatting sqref="F73">
    <cfRule type="expression" dxfId="1158" priority="1208" stopIfTrue="1">
      <formula>AND(NOT(CELL("protect",$F$73)),OR($B$73="cmt",$B$73="mfcmt"))</formula>
    </cfRule>
    <cfRule type="expression" dxfId="1157" priority="1209" stopIfTrue="1">
      <formula>AND(NOT(CELL("protect",$F$73)),$F$73=$A$73,AND($B$73&lt;&gt;"cmt",$B$73&lt;&gt;"mfcmt"))</formula>
    </cfRule>
    <cfRule type="expression" dxfId="1156" priority="1210">
      <formula>AND(NOT(CELL("protect",$F$73)),AND($B$73&lt;&gt;"cmt",$B$73&lt;&gt;"mfcmt"))</formula>
    </cfRule>
  </conditionalFormatting>
  <conditionalFormatting sqref="F74">
    <cfRule type="expression" dxfId="1155" priority="1205" stopIfTrue="1">
      <formula>AND(NOT(CELL("protect",$F$74)),OR($B$74="cmt",$B$74="mfcmt"))</formula>
    </cfRule>
    <cfRule type="expression" dxfId="1154" priority="1206" stopIfTrue="1">
      <formula>AND(NOT(CELL("protect",$F$74)),$F$74=$A$74,AND($B$74&lt;&gt;"cmt",$B$74&lt;&gt;"mfcmt"))</formula>
    </cfRule>
    <cfRule type="expression" dxfId="1153" priority="1207">
      <formula>AND(NOT(CELL("protect",$F$74)),AND($B$74&lt;&gt;"cmt",$B$74&lt;&gt;"mfcmt"))</formula>
    </cfRule>
  </conditionalFormatting>
  <conditionalFormatting sqref="F75">
    <cfRule type="expression" dxfId="1152" priority="1202" stopIfTrue="1">
      <formula>AND(NOT(CELL("protect",$F$75)),OR($B$75="cmt",$B$75="mfcmt"))</formula>
    </cfRule>
    <cfRule type="expression" dxfId="1151" priority="1203" stopIfTrue="1">
      <formula>AND(NOT(CELL("protect",$F$75)),$F$75=$A$75,AND($B$75&lt;&gt;"cmt",$B$75&lt;&gt;"mfcmt"))</formula>
    </cfRule>
    <cfRule type="expression" dxfId="1150" priority="1204">
      <formula>AND(NOT(CELL("protect",$F$75)),AND($B$75&lt;&gt;"cmt",$B$75&lt;&gt;"mfcmt"))</formula>
    </cfRule>
  </conditionalFormatting>
  <conditionalFormatting sqref="F76">
    <cfRule type="expression" dxfId="1149" priority="1199" stopIfTrue="1">
      <formula>AND(NOT(CELL("protect",$F$76)),OR($B$76="cmt",$B$76="mfcmt"))</formula>
    </cfRule>
    <cfRule type="expression" dxfId="1148" priority="1200" stopIfTrue="1">
      <formula>AND(NOT(CELL("protect",$F$76)),$F$76=$A$76,AND($B$76&lt;&gt;"cmt",$B$76&lt;&gt;"mfcmt"))</formula>
    </cfRule>
    <cfRule type="expression" dxfId="1147" priority="1201">
      <formula>AND(NOT(CELL("protect",$F$76)),AND($B$76&lt;&gt;"cmt",$B$76&lt;&gt;"mfcmt"))</formula>
    </cfRule>
  </conditionalFormatting>
  <conditionalFormatting sqref="F77">
    <cfRule type="expression" dxfId="1146" priority="1196" stopIfTrue="1">
      <formula>AND(NOT(CELL("protect",$F$77)),OR($B$77="cmt",$B$77="mfcmt"))</formula>
    </cfRule>
    <cfRule type="expression" dxfId="1145" priority="1197" stopIfTrue="1">
      <formula>AND(NOT(CELL("protect",$F$77)),$F$77=$A$77,AND($B$77&lt;&gt;"cmt",$B$77&lt;&gt;"mfcmt"))</formula>
    </cfRule>
    <cfRule type="expression" dxfId="1144" priority="1198">
      <formula>AND(NOT(CELL("protect",$F$77)),AND($B$77&lt;&gt;"cmt",$B$77&lt;&gt;"mfcmt"))</formula>
    </cfRule>
  </conditionalFormatting>
  <conditionalFormatting sqref="F78">
    <cfRule type="expression" dxfId="1143" priority="1193" stopIfTrue="1">
      <formula>AND(NOT(CELL("protect",$F$78)),OR($B$78="cmt",$B$78="mfcmt"))</formula>
    </cfRule>
    <cfRule type="expression" dxfId="1142" priority="1194" stopIfTrue="1">
      <formula>AND(NOT(CELL("protect",$F$78)),$F$78=$A$78,AND($B$78&lt;&gt;"cmt",$B$78&lt;&gt;"mfcmt"))</formula>
    </cfRule>
    <cfRule type="expression" dxfId="1141" priority="1195">
      <formula>AND(NOT(CELL("protect",$F$78)),AND($B$78&lt;&gt;"cmt",$B$78&lt;&gt;"mfcmt"))</formula>
    </cfRule>
  </conditionalFormatting>
  <conditionalFormatting sqref="F79">
    <cfRule type="expression" dxfId="1140" priority="1190" stopIfTrue="1">
      <formula>AND(NOT(CELL("protect",$F$79)),OR($B$79="cmt",$B$79="mfcmt"))</formula>
    </cfRule>
    <cfRule type="expression" dxfId="1139" priority="1191" stopIfTrue="1">
      <formula>AND(NOT(CELL("protect",$F$79)),$F$79=$A$79,AND($B$79&lt;&gt;"cmt",$B$79&lt;&gt;"mfcmt"))</formula>
    </cfRule>
    <cfRule type="expression" dxfId="1138" priority="1192">
      <formula>AND(NOT(CELL("protect",$F$79)),AND($B$79&lt;&gt;"cmt",$B$79&lt;&gt;"mfcmt"))</formula>
    </cfRule>
  </conditionalFormatting>
  <conditionalFormatting sqref="F80">
    <cfRule type="expression" dxfId="1137" priority="1187" stopIfTrue="1">
      <formula>AND(NOT(CELL("protect",$F$80)),OR($B$80="cmt",$B$80="mfcmt"))</formula>
    </cfRule>
    <cfRule type="expression" dxfId="1136" priority="1188" stopIfTrue="1">
      <formula>AND(NOT(CELL("protect",$F$80)),$F$80=$A$80,AND($B$80&lt;&gt;"cmt",$B$80&lt;&gt;"mfcmt"))</formula>
    </cfRule>
    <cfRule type="expression" dxfId="1135" priority="1189">
      <formula>AND(NOT(CELL("protect",$F$80)),AND($B$80&lt;&gt;"cmt",$B$80&lt;&gt;"mfcmt"))</formula>
    </cfRule>
  </conditionalFormatting>
  <conditionalFormatting sqref="F81">
    <cfRule type="expression" dxfId="1134" priority="1184" stopIfTrue="1">
      <formula>AND(NOT(CELL("protect",$F$81)),OR($B$81="cmt",$B$81="mfcmt"))</formula>
    </cfRule>
    <cfRule type="expression" dxfId="1133" priority="1185" stopIfTrue="1">
      <formula>AND(NOT(CELL("protect",$F$81)),$F$81=$A$81,AND($B$81&lt;&gt;"cmt",$B$81&lt;&gt;"mfcmt"))</formula>
    </cfRule>
    <cfRule type="expression" dxfId="1132" priority="1186">
      <formula>AND(NOT(CELL("protect",$F$81)),AND($B$81&lt;&gt;"cmt",$B$81&lt;&gt;"mfcmt"))</formula>
    </cfRule>
  </conditionalFormatting>
  <conditionalFormatting sqref="F82">
    <cfRule type="expression" dxfId="1131" priority="1181" stopIfTrue="1">
      <formula>AND(NOT(CELL("protect",$F$82)),OR($B$82="cmt",$B$82="mfcmt"))</formula>
    </cfRule>
    <cfRule type="expression" dxfId="1130" priority="1182" stopIfTrue="1">
      <formula>AND(NOT(CELL("protect",$F$82)),$F$82=$A$82,AND($B$82&lt;&gt;"cmt",$B$82&lt;&gt;"mfcmt"))</formula>
    </cfRule>
    <cfRule type="expression" dxfId="1129" priority="1183">
      <formula>AND(NOT(CELL("protect",$F$82)),AND($B$82&lt;&gt;"cmt",$B$82&lt;&gt;"mfcmt"))</formula>
    </cfRule>
  </conditionalFormatting>
  <conditionalFormatting sqref="F83">
    <cfRule type="expression" dxfId="1128" priority="1133" stopIfTrue="1">
      <formula>AND(NOT(CELL("protect",$F$83)),OR($B$83="cmt",$B$83="mfcmt"))</formula>
    </cfRule>
    <cfRule type="expression" dxfId="1127" priority="1134" stopIfTrue="1">
      <formula>AND(NOT(CELL("protect",$F$83)),$F$83=$A$83,AND($B$83&lt;&gt;"cmt",$B$83&lt;&gt;"mfcmt"))</formula>
    </cfRule>
    <cfRule type="expression" dxfId="1126" priority="1135">
      <formula>AND(NOT(CELL("protect",$F$83)),AND($B$83&lt;&gt;"cmt",$B$83&lt;&gt;"mfcmt"))</formula>
    </cfRule>
  </conditionalFormatting>
  <conditionalFormatting sqref="F84">
    <cfRule type="expression" dxfId="1125" priority="1130" stopIfTrue="1">
      <formula>AND(NOT(CELL("protect",$F$84)),OR($B$84="cmt",$B$84="mfcmt"))</formula>
    </cfRule>
    <cfRule type="expression" dxfId="1124" priority="1131" stopIfTrue="1">
      <formula>AND(NOT(CELL("protect",$F$84)),$F$84=$A$84,AND($B$84&lt;&gt;"cmt",$B$84&lt;&gt;"mfcmt"))</formula>
    </cfRule>
    <cfRule type="expression" dxfId="1123" priority="1132">
      <formula>AND(NOT(CELL("protect",$F$84)),AND($B$84&lt;&gt;"cmt",$B$84&lt;&gt;"mfcmt"))</formula>
    </cfRule>
  </conditionalFormatting>
  <conditionalFormatting sqref="F85">
    <cfRule type="expression" dxfId="1122" priority="1127" stopIfTrue="1">
      <formula>AND(NOT(CELL("protect",$F$85)),OR($B$85="cmt",$B$85="mfcmt"))</formula>
    </cfRule>
    <cfRule type="expression" dxfId="1121" priority="1128" stopIfTrue="1">
      <formula>AND(NOT(CELL("protect",$F$85)),$F$85=$A$85,AND($B$85&lt;&gt;"cmt",$B$85&lt;&gt;"mfcmt"))</formula>
    </cfRule>
    <cfRule type="expression" dxfId="1120" priority="1129">
      <formula>AND(NOT(CELL("protect",$F$85)),AND($B$85&lt;&gt;"cmt",$B$85&lt;&gt;"mfcmt"))</formula>
    </cfRule>
  </conditionalFormatting>
  <conditionalFormatting sqref="F86">
    <cfRule type="expression" dxfId="1119" priority="1124" stopIfTrue="1">
      <formula>AND(NOT(CELL("protect",$F$86)),OR($B$86="cmt",$B$86="mfcmt"))</formula>
    </cfRule>
    <cfRule type="expression" dxfId="1118" priority="1125" stopIfTrue="1">
      <formula>AND(NOT(CELL("protect",$F$86)),$F$86=$A$86,AND($B$86&lt;&gt;"cmt",$B$86&lt;&gt;"mfcmt"))</formula>
    </cfRule>
    <cfRule type="expression" dxfId="1117" priority="1126">
      <formula>AND(NOT(CELL("protect",$F$86)),AND($B$86&lt;&gt;"cmt",$B$86&lt;&gt;"mfcmt"))</formula>
    </cfRule>
  </conditionalFormatting>
  <conditionalFormatting sqref="F87">
    <cfRule type="expression" dxfId="1116" priority="1121" stopIfTrue="1">
      <formula>AND(NOT(CELL("protect",$F$87)),OR($B$87="cmt",$B$87="mfcmt"))</formula>
    </cfRule>
    <cfRule type="expression" dxfId="1115" priority="1122" stopIfTrue="1">
      <formula>AND(NOT(CELL("protect",$F$87)),$F$87=$A$87,AND($B$87&lt;&gt;"cmt",$B$87&lt;&gt;"mfcmt"))</formula>
    </cfRule>
    <cfRule type="expression" dxfId="1114" priority="1123">
      <formula>AND(NOT(CELL("protect",$F$87)),AND($B$87&lt;&gt;"cmt",$B$87&lt;&gt;"mfcmt"))</formula>
    </cfRule>
  </conditionalFormatting>
  <conditionalFormatting sqref="F88">
    <cfRule type="expression" dxfId="1113" priority="1118" stopIfTrue="1">
      <formula>AND(NOT(CELL("protect",$F$88)),OR($B$88="cmt",$B$88="mfcmt"))</formula>
    </cfRule>
    <cfRule type="expression" dxfId="1112" priority="1119" stopIfTrue="1">
      <formula>AND(NOT(CELL("protect",$F$88)),$F$88=$A$88,AND($B$88&lt;&gt;"cmt",$B$88&lt;&gt;"mfcmt"))</formula>
    </cfRule>
    <cfRule type="expression" dxfId="1111" priority="1120">
      <formula>AND(NOT(CELL("protect",$F$88)),AND($B$88&lt;&gt;"cmt",$B$88&lt;&gt;"mfcmt"))</formula>
    </cfRule>
  </conditionalFormatting>
  <conditionalFormatting sqref="F89">
    <cfRule type="expression" dxfId="1110" priority="1115" stopIfTrue="1">
      <formula>AND(NOT(CELL("protect",$F$89)),OR($B$89="cmt",$B$89="mfcmt"))</formula>
    </cfRule>
    <cfRule type="expression" dxfId="1109" priority="1116" stopIfTrue="1">
      <formula>AND(NOT(CELL("protect",$F$89)),$F$89=$A$89,AND($B$89&lt;&gt;"cmt",$B$89&lt;&gt;"mfcmt"))</formula>
    </cfRule>
    <cfRule type="expression" dxfId="1108" priority="1117">
      <formula>AND(NOT(CELL("protect",$F$89)),AND($B$89&lt;&gt;"cmt",$B$89&lt;&gt;"mfcmt"))</formula>
    </cfRule>
  </conditionalFormatting>
  <conditionalFormatting sqref="F90">
    <cfRule type="expression" dxfId="1107" priority="1112" stopIfTrue="1">
      <formula>AND(NOT(CELL("protect",$F$90)),OR($B$90="cmt",$B$90="mfcmt"))</formula>
    </cfRule>
    <cfRule type="expression" dxfId="1106" priority="1113" stopIfTrue="1">
      <formula>AND(NOT(CELL("protect",$F$90)),$F$90=$A$90,AND($B$90&lt;&gt;"cmt",$B$90&lt;&gt;"mfcmt"))</formula>
    </cfRule>
    <cfRule type="expression" dxfId="1105" priority="1114">
      <formula>AND(NOT(CELL("protect",$F$90)),AND($B$90&lt;&gt;"cmt",$B$90&lt;&gt;"mfcmt"))</formula>
    </cfRule>
  </conditionalFormatting>
  <conditionalFormatting sqref="F91">
    <cfRule type="expression" dxfId="1104" priority="1109" stopIfTrue="1">
      <formula>AND(NOT(CELL("protect",$F$91)),OR($B$91="cmt",$B$91="mfcmt"))</formula>
    </cfRule>
    <cfRule type="expression" dxfId="1103" priority="1110" stopIfTrue="1">
      <formula>AND(NOT(CELL("protect",$F$91)),$F$91=$A$91,AND($B$91&lt;&gt;"cmt",$B$91&lt;&gt;"mfcmt"))</formula>
    </cfRule>
    <cfRule type="expression" dxfId="1102" priority="1111">
      <formula>AND(NOT(CELL("protect",$F$91)),AND($B$91&lt;&gt;"cmt",$B$91&lt;&gt;"mfcmt"))</formula>
    </cfRule>
  </conditionalFormatting>
  <conditionalFormatting sqref="F92">
    <cfRule type="expression" dxfId="1101" priority="1106" stopIfTrue="1">
      <formula>AND(NOT(CELL("protect",$F$92)),OR($B$92="cmt",$B$92="mfcmt"))</formula>
    </cfRule>
    <cfRule type="expression" dxfId="1100" priority="1107" stopIfTrue="1">
      <formula>AND(NOT(CELL("protect",$F$92)),$F$92=$A$92,AND($B$92&lt;&gt;"cmt",$B$92&lt;&gt;"mfcmt"))</formula>
    </cfRule>
    <cfRule type="expression" dxfId="1099" priority="1108">
      <formula>AND(NOT(CELL("protect",$F$92)),AND($B$92&lt;&gt;"cmt",$B$92&lt;&gt;"mfcmt"))</formula>
    </cfRule>
  </conditionalFormatting>
  <conditionalFormatting sqref="F93">
    <cfRule type="expression" dxfId="1098" priority="1103" stopIfTrue="1">
      <formula>AND(NOT(CELL("protect",$F$93)),OR($B$93="cmt",$B$93="mfcmt"))</formula>
    </cfRule>
    <cfRule type="expression" dxfId="1097" priority="1104" stopIfTrue="1">
      <formula>AND(NOT(CELL("protect",$F$93)),$F$93=$A$93,AND($B$93&lt;&gt;"cmt",$B$93&lt;&gt;"mfcmt"))</formula>
    </cfRule>
    <cfRule type="expression" dxfId="1096" priority="1105">
      <formula>AND(NOT(CELL("protect",$F$93)),AND($B$93&lt;&gt;"cmt",$B$93&lt;&gt;"mfcmt"))</formula>
    </cfRule>
  </conditionalFormatting>
  <conditionalFormatting sqref="F94">
    <cfRule type="expression" dxfId="1095" priority="1100" stopIfTrue="1">
      <formula>AND(NOT(CELL("protect",$F$94)),OR($B$94="cmt",$B$94="mfcmt"))</formula>
    </cfRule>
    <cfRule type="expression" dxfId="1094" priority="1101" stopIfTrue="1">
      <formula>AND(NOT(CELL("protect",$F$94)),$F$94=$A$94,AND($B$94&lt;&gt;"cmt",$B$94&lt;&gt;"mfcmt"))</formula>
    </cfRule>
    <cfRule type="expression" dxfId="1093" priority="1102">
      <formula>AND(NOT(CELL("protect",$F$94)),AND($B$94&lt;&gt;"cmt",$B$94&lt;&gt;"mfcmt"))</formula>
    </cfRule>
  </conditionalFormatting>
  <conditionalFormatting sqref="F95">
    <cfRule type="expression" dxfId="1092" priority="1097" stopIfTrue="1">
      <formula>AND(NOT(CELL("protect",$F$95)),OR($B$95="cmt",$B$95="mfcmt"))</formula>
    </cfRule>
    <cfRule type="expression" dxfId="1091" priority="1098" stopIfTrue="1">
      <formula>AND(NOT(CELL("protect",$F$95)),$F$95=$A$95,AND($B$95&lt;&gt;"cmt",$B$95&lt;&gt;"mfcmt"))</formula>
    </cfRule>
    <cfRule type="expression" dxfId="1090" priority="1099">
      <formula>AND(NOT(CELL("protect",$F$95)),AND($B$95&lt;&gt;"cmt",$B$95&lt;&gt;"mfcmt"))</formula>
    </cfRule>
  </conditionalFormatting>
  <conditionalFormatting sqref="F96">
    <cfRule type="expression" dxfId="1089" priority="1094" stopIfTrue="1">
      <formula>AND(NOT(CELL("protect",$F$96)),OR($B$96="cmt",$B$96="mfcmt"))</formula>
    </cfRule>
    <cfRule type="expression" dxfId="1088" priority="1095" stopIfTrue="1">
      <formula>AND(NOT(CELL("protect",$F$96)),$F$96=$A$96,AND($B$96&lt;&gt;"cmt",$B$96&lt;&gt;"mfcmt"))</formula>
    </cfRule>
    <cfRule type="expression" dxfId="1087" priority="1096">
      <formula>AND(NOT(CELL("protect",$F$96)),AND($B$96&lt;&gt;"cmt",$B$96&lt;&gt;"mfcmt"))</formula>
    </cfRule>
  </conditionalFormatting>
  <conditionalFormatting sqref="F97">
    <cfRule type="expression" dxfId="1086" priority="1091" stopIfTrue="1">
      <formula>AND(NOT(CELL("protect",$F$97)),OR($B$97="cmt",$B$97="mfcmt"))</formula>
    </cfRule>
    <cfRule type="expression" dxfId="1085" priority="1092" stopIfTrue="1">
      <formula>AND(NOT(CELL("protect",$F$97)),$F$97=$A$97,AND($B$97&lt;&gt;"cmt",$B$97&lt;&gt;"mfcmt"))</formula>
    </cfRule>
    <cfRule type="expression" dxfId="1084" priority="1093">
      <formula>AND(NOT(CELL("protect",$F$97)),AND($B$97&lt;&gt;"cmt",$B$97&lt;&gt;"mfcmt"))</formula>
    </cfRule>
  </conditionalFormatting>
  <conditionalFormatting sqref="F98">
    <cfRule type="expression" dxfId="1083" priority="1088" stopIfTrue="1">
      <formula>AND(NOT(CELL("protect",$F$98)),OR($B$98="cmt",$B$98="mfcmt"))</formula>
    </cfRule>
    <cfRule type="expression" dxfId="1082" priority="1089" stopIfTrue="1">
      <formula>AND(NOT(CELL("protect",$F$98)),$F$98=$A$98,AND($B$98&lt;&gt;"cmt",$B$98&lt;&gt;"mfcmt"))</formula>
    </cfRule>
    <cfRule type="expression" dxfId="1081" priority="1090">
      <formula>AND(NOT(CELL("protect",$F$98)),AND($B$98&lt;&gt;"cmt",$B$98&lt;&gt;"mfcmt"))</formula>
    </cfRule>
  </conditionalFormatting>
  <conditionalFormatting sqref="F99">
    <cfRule type="expression" dxfId="1080" priority="1085" stopIfTrue="1">
      <formula>AND(NOT(CELL("protect",$F$99)),OR($B$99="cmt",$B$99="mfcmt"))</formula>
    </cfRule>
    <cfRule type="expression" dxfId="1079" priority="1086" stopIfTrue="1">
      <formula>AND(NOT(CELL("protect",$F$99)),$F$99=$A$99,AND($B$99&lt;&gt;"cmt",$B$99&lt;&gt;"mfcmt"))</formula>
    </cfRule>
    <cfRule type="expression" dxfId="1078" priority="1087">
      <formula>AND(NOT(CELL("protect",$F$99)),AND($B$99&lt;&gt;"cmt",$B$99&lt;&gt;"mfcmt"))</formula>
    </cfRule>
  </conditionalFormatting>
  <conditionalFormatting sqref="F100">
    <cfRule type="expression" dxfId="1077" priority="1082" stopIfTrue="1">
      <formula>AND(NOT(CELL("protect",$F$100)),OR($B$100="cmt",$B$100="mfcmt"))</formula>
    </cfRule>
    <cfRule type="expression" dxfId="1076" priority="1083" stopIfTrue="1">
      <formula>AND(NOT(CELL("protect",$F$100)),$F$100=$A$100,AND($B$100&lt;&gt;"cmt",$B$100&lt;&gt;"mfcmt"))</formula>
    </cfRule>
    <cfRule type="expression" dxfId="1075" priority="1084">
      <formula>AND(NOT(CELL("protect",$F$100)),AND($B$100&lt;&gt;"cmt",$B$100&lt;&gt;"mfcmt"))</formula>
    </cfRule>
  </conditionalFormatting>
  <conditionalFormatting sqref="F101">
    <cfRule type="expression" dxfId="1074" priority="1079" stopIfTrue="1">
      <formula>AND(NOT(CELL("protect",$F$101)),OR($B$101="cmt",$B$101="mfcmt"))</formula>
    </cfRule>
    <cfRule type="expression" dxfId="1073" priority="1080" stopIfTrue="1">
      <formula>AND(NOT(CELL("protect",$F$101)),$F$101=$A$101,AND($B$101&lt;&gt;"cmt",$B$101&lt;&gt;"mfcmt"))</formula>
    </cfRule>
    <cfRule type="expression" dxfId="1072" priority="1081">
      <formula>AND(NOT(CELL("protect",$F$101)),AND($B$101&lt;&gt;"cmt",$B$101&lt;&gt;"mfcmt"))</formula>
    </cfRule>
  </conditionalFormatting>
  <conditionalFormatting sqref="F102">
    <cfRule type="expression" dxfId="1071" priority="1076" stopIfTrue="1">
      <formula>AND(NOT(CELL("protect",$F$102)),OR($B$102="cmt",$B$102="mfcmt"))</formula>
    </cfRule>
    <cfRule type="expression" dxfId="1070" priority="1077" stopIfTrue="1">
      <formula>AND(NOT(CELL("protect",$F$102)),$F$102=$A$102,AND($B$102&lt;&gt;"cmt",$B$102&lt;&gt;"mfcmt"))</formula>
    </cfRule>
    <cfRule type="expression" dxfId="1069" priority="1078">
      <formula>AND(NOT(CELL("protect",$F$102)),AND($B$102&lt;&gt;"cmt",$B$102&lt;&gt;"mfcmt"))</formula>
    </cfRule>
  </conditionalFormatting>
  <conditionalFormatting sqref="F103">
    <cfRule type="expression" dxfId="1068" priority="1073" stopIfTrue="1">
      <formula>AND(NOT(CELL("protect",$F$103)),OR($B$103="cmt",$B$103="mfcmt"))</formula>
    </cfRule>
    <cfRule type="expression" dxfId="1067" priority="1074" stopIfTrue="1">
      <formula>AND(NOT(CELL("protect",$F$103)),$F$103=$A$103,AND($B$103&lt;&gt;"cmt",$B$103&lt;&gt;"mfcmt"))</formula>
    </cfRule>
    <cfRule type="expression" dxfId="1066" priority="1075">
      <formula>AND(NOT(CELL("protect",$F$103)),AND($B$103&lt;&gt;"cmt",$B$103&lt;&gt;"mfcmt"))</formula>
    </cfRule>
  </conditionalFormatting>
  <conditionalFormatting sqref="F104">
    <cfRule type="expression" dxfId="1065" priority="1070" stopIfTrue="1">
      <formula>AND(NOT(CELL("protect",$F$104)),OR($B$104="cmt",$B$104="mfcmt"))</formula>
    </cfRule>
    <cfRule type="expression" dxfId="1064" priority="1071" stopIfTrue="1">
      <formula>AND(NOT(CELL("protect",$F$104)),$F$104=$A$104,AND($B$104&lt;&gt;"cmt",$B$104&lt;&gt;"mfcmt"))</formula>
    </cfRule>
    <cfRule type="expression" dxfId="1063" priority="1072">
      <formula>AND(NOT(CELL("protect",$F$104)),AND($B$104&lt;&gt;"cmt",$B$104&lt;&gt;"mfcmt"))</formula>
    </cfRule>
  </conditionalFormatting>
  <conditionalFormatting sqref="F105">
    <cfRule type="expression" dxfId="1062" priority="1067" stopIfTrue="1">
      <formula>AND(NOT(CELL("protect",$F$105)),OR($B$105="cmt",$B$105="mfcmt"))</formula>
    </cfRule>
    <cfRule type="expression" dxfId="1061" priority="1068" stopIfTrue="1">
      <formula>AND(NOT(CELL("protect",$F$105)),$F$105=$A$105,AND($B$105&lt;&gt;"cmt",$B$105&lt;&gt;"mfcmt"))</formula>
    </cfRule>
    <cfRule type="expression" dxfId="1060" priority="1069">
      <formula>AND(NOT(CELL("protect",$F$105)),AND($B$105&lt;&gt;"cmt",$B$105&lt;&gt;"mfcmt"))</formula>
    </cfRule>
  </conditionalFormatting>
  <conditionalFormatting sqref="F106">
    <cfRule type="expression" dxfId="1059" priority="1064" stopIfTrue="1">
      <formula>AND(NOT(CELL("protect",$F$106)),OR($B$106="cmt",$B$106="mfcmt"))</formula>
    </cfRule>
    <cfRule type="expression" dxfId="1058" priority="1065" stopIfTrue="1">
      <formula>AND(NOT(CELL("protect",$F$106)),$F$106=$A$106,AND($B$106&lt;&gt;"cmt",$B$106&lt;&gt;"mfcmt"))</formula>
    </cfRule>
    <cfRule type="expression" dxfId="1057" priority="1066">
      <formula>AND(NOT(CELL("protect",$F$106)),AND($B$106&lt;&gt;"cmt",$B$106&lt;&gt;"mfcmt"))</formula>
    </cfRule>
  </conditionalFormatting>
  <conditionalFormatting sqref="F107">
    <cfRule type="expression" dxfId="1056" priority="1061" stopIfTrue="1">
      <formula>AND(NOT(CELL("protect",$F$107)),OR($B$107="cmt",$B$107="mfcmt"))</formula>
    </cfRule>
    <cfRule type="expression" dxfId="1055" priority="1062" stopIfTrue="1">
      <formula>AND(NOT(CELL("protect",$F$107)),$F$107=$A$107,AND($B$107&lt;&gt;"cmt",$B$107&lt;&gt;"mfcmt"))</formula>
    </cfRule>
    <cfRule type="expression" dxfId="1054" priority="1063">
      <formula>AND(NOT(CELL("protect",$F$107)),AND($B$107&lt;&gt;"cmt",$B$107&lt;&gt;"mfcmt"))</formula>
    </cfRule>
  </conditionalFormatting>
  <conditionalFormatting sqref="F108">
    <cfRule type="expression" dxfId="1053" priority="1058" stopIfTrue="1">
      <formula>AND(NOT(CELL("protect",$F$108)),OR($B$108="cmt",$B$108="mfcmt"))</formula>
    </cfRule>
    <cfRule type="expression" dxfId="1052" priority="1059" stopIfTrue="1">
      <formula>AND(NOT(CELL("protect",$F$108)),$F$108=$A$108,AND($B$108&lt;&gt;"cmt",$B$108&lt;&gt;"mfcmt"))</formula>
    </cfRule>
    <cfRule type="expression" dxfId="1051" priority="1060">
      <formula>AND(NOT(CELL("protect",$F$108)),AND($B$108&lt;&gt;"cmt",$B$108&lt;&gt;"mfcmt"))</formula>
    </cfRule>
  </conditionalFormatting>
  <conditionalFormatting sqref="F109">
    <cfRule type="expression" dxfId="1050" priority="1055" stopIfTrue="1">
      <formula>AND(NOT(CELL("protect",$F$109)),OR($B$109="cmt",$B$109="mfcmt"))</formula>
    </cfRule>
    <cfRule type="expression" dxfId="1049" priority="1056" stopIfTrue="1">
      <formula>AND(NOT(CELL("protect",$F$109)),$F$109=$A$109,AND($B$109&lt;&gt;"cmt",$B$109&lt;&gt;"mfcmt"))</formula>
    </cfRule>
    <cfRule type="expression" dxfId="1048" priority="1057">
      <formula>AND(NOT(CELL("protect",$F$109)),AND($B$109&lt;&gt;"cmt",$B$109&lt;&gt;"mfcmt"))</formula>
    </cfRule>
  </conditionalFormatting>
  <conditionalFormatting sqref="F110">
    <cfRule type="expression" dxfId="1047" priority="1052" stopIfTrue="1">
      <formula>AND(NOT(CELL("protect",$F$110)),OR($B$110="cmt",$B$110="mfcmt"))</formula>
    </cfRule>
    <cfRule type="expression" dxfId="1046" priority="1053" stopIfTrue="1">
      <formula>AND(NOT(CELL("protect",$F$110)),$F$110=$A$110,AND($B$110&lt;&gt;"cmt",$B$110&lt;&gt;"mfcmt"))</formula>
    </cfRule>
    <cfRule type="expression" dxfId="1045" priority="1054">
      <formula>AND(NOT(CELL("protect",$F$110)),AND($B$110&lt;&gt;"cmt",$B$110&lt;&gt;"mfcmt"))</formula>
    </cfRule>
  </conditionalFormatting>
  <conditionalFormatting sqref="F111">
    <cfRule type="expression" dxfId="1044" priority="1049" stopIfTrue="1">
      <formula>AND(NOT(CELL("protect",$F$111)),OR($B$111="cmt",$B$111="mfcmt"))</formula>
    </cfRule>
    <cfRule type="expression" dxfId="1043" priority="1050" stopIfTrue="1">
      <formula>AND(NOT(CELL("protect",$F$111)),$F$111=$A$111,AND($B$111&lt;&gt;"cmt",$B$111&lt;&gt;"mfcmt"))</formula>
    </cfRule>
    <cfRule type="expression" dxfId="1042" priority="1051">
      <formula>AND(NOT(CELL("protect",$F$111)),AND($B$111&lt;&gt;"cmt",$B$111&lt;&gt;"mfcmt"))</formula>
    </cfRule>
  </conditionalFormatting>
  <conditionalFormatting sqref="F112">
    <cfRule type="expression" dxfId="1041" priority="1046" stopIfTrue="1">
      <formula>AND(NOT(CELL("protect",$F$112)),OR($B$112="cmt",$B$112="mfcmt"))</formula>
    </cfRule>
    <cfRule type="expression" dxfId="1040" priority="1047" stopIfTrue="1">
      <formula>AND(NOT(CELL("protect",$F$112)),$F$112=$A$112,AND($B$112&lt;&gt;"cmt",$B$112&lt;&gt;"mfcmt"))</formula>
    </cfRule>
    <cfRule type="expression" dxfId="1039" priority="1048">
      <formula>AND(NOT(CELL("protect",$F$112)),AND($B$112&lt;&gt;"cmt",$B$112&lt;&gt;"mfcmt"))</formula>
    </cfRule>
  </conditionalFormatting>
  <conditionalFormatting sqref="F113">
    <cfRule type="expression" dxfId="1038" priority="1043" stopIfTrue="1">
      <formula>AND(NOT(CELL("protect",$F$113)),OR($B$113="cmt",$B$113="mfcmt"))</formula>
    </cfRule>
    <cfRule type="expression" dxfId="1037" priority="1044" stopIfTrue="1">
      <formula>AND(NOT(CELL("protect",$F$113)),$F$113=$A$113,AND($B$113&lt;&gt;"cmt",$B$113&lt;&gt;"mfcmt"))</formula>
    </cfRule>
    <cfRule type="expression" dxfId="1036" priority="1045">
      <formula>AND(NOT(CELL("protect",$F$113)),AND($B$113&lt;&gt;"cmt",$B$113&lt;&gt;"mfcmt"))</formula>
    </cfRule>
  </conditionalFormatting>
  <conditionalFormatting sqref="F114">
    <cfRule type="expression" dxfId="1035" priority="1040" stopIfTrue="1">
      <formula>AND(NOT(CELL("protect",$F$114)),OR($B$114="cmt",$B$114="mfcmt"))</formula>
    </cfRule>
    <cfRule type="expression" dxfId="1034" priority="1041" stopIfTrue="1">
      <formula>AND(NOT(CELL("protect",$F$114)),$F$114=$A$114,AND($B$114&lt;&gt;"cmt",$B$114&lt;&gt;"mfcmt"))</formula>
    </cfRule>
    <cfRule type="expression" dxfId="1033" priority="1042">
      <formula>AND(NOT(CELL("protect",$F$114)),AND($B$114&lt;&gt;"cmt",$B$114&lt;&gt;"mfcmt"))</formula>
    </cfRule>
  </conditionalFormatting>
  <conditionalFormatting sqref="F115">
    <cfRule type="expression" dxfId="1032" priority="1037" stopIfTrue="1">
      <formula>AND(NOT(CELL("protect",$F$115)),OR($B$115="cmt",$B$115="mfcmt"))</formula>
    </cfRule>
    <cfRule type="expression" dxfId="1031" priority="1038" stopIfTrue="1">
      <formula>AND(NOT(CELL("protect",$F$115)),$F$115=$A$115,AND($B$115&lt;&gt;"cmt",$B$115&lt;&gt;"mfcmt"))</formula>
    </cfRule>
    <cfRule type="expression" dxfId="1030" priority="1039">
      <formula>AND(NOT(CELL("protect",$F$115)),AND($B$115&lt;&gt;"cmt",$B$115&lt;&gt;"mfcmt"))</formula>
    </cfRule>
  </conditionalFormatting>
  <conditionalFormatting sqref="F116">
    <cfRule type="expression" dxfId="1029" priority="1034" stopIfTrue="1">
      <formula>AND(NOT(CELL("protect",$F$116)),OR($B$116="cmt",$B$116="mfcmt"))</formula>
    </cfRule>
    <cfRule type="expression" dxfId="1028" priority="1035" stopIfTrue="1">
      <formula>AND(NOT(CELL("protect",$F$116)),$F$116=$A$116,AND($B$116&lt;&gt;"cmt",$B$116&lt;&gt;"mfcmt"))</formula>
    </cfRule>
    <cfRule type="expression" dxfId="1027" priority="1036">
      <formula>AND(NOT(CELL("protect",$F$116)),AND($B$116&lt;&gt;"cmt",$B$116&lt;&gt;"mfcmt"))</formula>
    </cfRule>
  </conditionalFormatting>
  <conditionalFormatting sqref="F117">
    <cfRule type="expression" dxfId="1026" priority="1031" stopIfTrue="1">
      <formula>AND(NOT(CELL("protect",$F$117)),OR($B$117="cmt",$B$117="mfcmt"))</formula>
    </cfRule>
    <cfRule type="expression" dxfId="1025" priority="1032" stopIfTrue="1">
      <formula>AND(NOT(CELL("protect",$F$117)),$F$117=$A$117,AND($B$117&lt;&gt;"cmt",$B$117&lt;&gt;"mfcmt"))</formula>
    </cfRule>
    <cfRule type="expression" dxfId="1024" priority="1033">
      <formula>AND(NOT(CELL("protect",$F$117)),AND($B$117&lt;&gt;"cmt",$B$117&lt;&gt;"mfcmt"))</formula>
    </cfRule>
  </conditionalFormatting>
  <conditionalFormatting sqref="F118">
    <cfRule type="expression" dxfId="1023" priority="1028" stopIfTrue="1">
      <formula>AND(NOT(CELL("protect",$F$118)),OR($B$118="cmt",$B$118="mfcmt"))</formula>
    </cfRule>
    <cfRule type="expression" dxfId="1022" priority="1029" stopIfTrue="1">
      <formula>AND(NOT(CELL("protect",$F$118)),$F$118=$A$118,AND($B$118&lt;&gt;"cmt",$B$118&lt;&gt;"mfcmt"))</formula>
    </cfRule>
    <cfRule type="expression" dxfId="1021" priority="1030">
      <formula>AND(NOT(CELL("protect",$F$118)),AND($B$118&lt;&gt;"cmt",$B$118&lt;&gt;"mfcmt"))</formula>
    </cfRule>
  </conditionalFormatting>
  <conditionalFormatting sqref="F119">
    <cfRule type="expression" dxfId="1020" priority="1025" stopIfTrue="1">
      <formula>AND(NOT(CELL("protect",$F$119)),OR($B$119="cmt",$B$119="mfcmt"))</formula>
    </cfRule>
    <cfRule type="expression" dxfId="1019" priority="1026" stopIfTrue="1">
      <formula>AND(NOT(CELL("protect",$F$119)),$F$119=$A$119,AND($B$119&lt;&gt;"cmt",$B$119&lt;&gt;"mfcmt"))</formula>
    </cfRule>
    <cfRule type="expression" dxfId="1018" priority="1027">
      <formula>AND(NOT(CELL("protect",$F$119)),AND($B$119&lt;&gt;"cmt",$B$119&lt;&gt;"mfcmt"))</formula>
    </cfRule>
  </conditionalFormatting>
  <conditionalFormatting sqref="F120">
    <cfRule type="expression" dxfId="1017" priority="1022" stopIfTrue="1">
      <formula>AND(NOT(CELL("protect",$F$120)),OR($B$120="cmt",$B$120="mfcmt"))</formula>
    </cfRule>
    <cfRule type="expression" dxfId="1016" priority="1023" stopIfTrue="1">
      <formula>AND(NOT(CELL("protect",$F$120)),$F$120=$A$120,AND($B$120&lt;&gt;"cmt",$B$120&lt;&gt;"mfcmt"))</formula>
    </cfRule>
    <cfRule type="expression" dxfId="1015" priority="1024">
      <formula>AND(NOT(CELL("protect",$F$120)),AND($B$120&lt;&gt;"cmt",$B$120&lt;&gt;"mfcmt"))</formula>
    </cfRule>
  </conditionalFormatting>
  <conditionalFormatting sqref="F121">
    <cfRule type="expression" dxfId="1014" priority="1019" stopIfTrue="1">
      <formula>AND(NOT(CELL("protect",$F$121)),OR($B$121="cmt",$B$121="mfcmt"))</formula>
    </cfRule>
    <cfRule type="expression" dxfId="1013" priority="1020" stopIfTrue="1">
      <formula>AND(NOT(CELL("protect",$F$121)),$F$121=$A$121,AND($B$121&lt;&gt;"cmt",$B$121&lt;&gt;"mfcmt"))</formula>
    </cfRule>
    <cfRule type="expression" dxfId="1012" priority="1021">
      <formula>AND(NOT(CELL("protect",$F$121)),AND($B$121&lt;&gt;"cmt",$B$121&lt;&gt;"mfcmt"))</formula>
    </cfRule>
  </conditionalFormatting>
  <conditionalFormatting sqref="F122">
    <cfRule type="expression" dxfId="1011" priority="1016" stopIfTrue="1">
      <formula>AND(NOT(CELL("protect",$F$122)),OR($B$122="cmt",$B$122="mfcmt"))</formula>
    </cfRule>
    <cfRule type="expression" dxfId="1010" priority="1017" stopIfTrue="1">
      <formula>AND(NOT(CELL("protect",$F$122)),$F$122=$A$122,AND($B$122&lt;&gt;"cmt",$B$122&lt;&gt;"mfcmt"))</formula>
    </cfRule>
    <cfRule type="expression" dxfId="1009" priority="1018">
      <formula>AND(NOT(CELL("protect",$F$122)),AND($B$122&lt;&gt;"cmt",$B$122&lt;&gt;"mfcmt"))</formula>
    </cfRule>
  </conditionalFormatting>
  <conditionalFormatting sqref="F123">
    <cfRule type="expression" dxfId="1008" priority="1013" stopIfTrue="1">
      <formula>AND(NOT(CELL("protect",$F$123)),OR($B$123="cmt",$B$123="mfcmt"))</formula>
    </cfRule>
    <cfRule type="expression" dxfId="1007" priority="1014" stopIfTrue="1">
      <formula>AND(NOT(CELL("protect",$F$123)),$F$123=$A$123,AND($B$123&lt;&gt;"cmt",$B$123&lt;&gt;"mfcmt"))</formula>
    </cfRule>
    <cfRule type="expression" dxfId="1006" priority="1015">
      <formula>AND(NOT(CELL("protect",$F$123)),AND($B$123&lt;&gt;"cmt",$B$123&lt;&gt;"mfcmt"))</formula>
    </cfRule>
  </conditionalFormatting>
  <conditionalFormatting sqref="F124">
    <cfRule type="expression" dxfId="1005" priority="1010" stopIfTrue="1">
      <formula>AND(NOT(CELL("protect",$F$124)),OR($B$124="cmt",$B$124="mfcmt"))</formula>
    </cfRule>
    <cfRule type="expression" dxfId="1004" priority="1011" stopIfTrue="1">
      <formula>AND(NOT(CELL("protect",$F$124)),$F$124=$A$124,AND($B$124&lt;&gt;"cmt",$B$124&lt;&gt;"mfcmt"))</formula>
    </cfRule>
    <cfRule type="expression" dxfId="1003" priority="1012">
      <formula>AND(NOT(CELL("protect",$F$124)),AND($B$124&lt;&gt;"cmt",$B$124&lt;&gt;"mfcmt"))</formula>
    </cfRule>
  </conditionalFormatting>
  <conditionalFormatting sqref="F125">
    <cfRule type="expression" dxfId="1002" priority="1007" stopIfTrue="1">
      <formula>AND(NOT(CELL("protect",$F$125)),OR($B$125="cmt",$B$125="mfcmt"))</formula>
    </cfRule>
    <cfRule type="expression" dxfId="1001" priority="1008" stopIfTrue="1">
      <formula>AND(NOT(CELL("protect",$F$125)),$F$125=$A$125,AND($B$125&lt;&gt;"cmt",$B$125&lt;&gt;"mfcmt"))</formula>
    </cfRule>
    <cfRule type="expression" dxfId="1000" priority="1009">
      <formula>AND(NOT(CELL("protect",$F$125)),AND($B$125&lt;&gt;"cmt",$B$125&lt;&gt;"mfcmt"))</formula>
    </cfRule>
  </conditionalFormatting>
  <conditionalFormatting sqref="F126">
    <cfRule type="expression" dxfId="999" priority="1004" stopIfTrue="1">
      <formula>AND(NOT(CELL("protect",$F$126)),OR($B$126="cmt",$B$126="mfcmt"))</formula>
    </cfRule>
    <cfRule type="expression" dxfId="998" priority="1005" stopIfTrue="1">
      <formula>AND(NOT(CELL("protect",$F$126)),$F$126=$A$126,AND($B$126&lt;&gt;"cmt",$B$126&lt;&gt;"mfcmt"))</formula>
    </cfRule>
    <cfRule type="expression" dxfId="997" priority="1006">
      <formula>AND(NOT(CELL("protect",$F$126)),AND($B$126&lt;&gt;"cmt",$B$126&lt;&gt;"mfcmt"))</formula>
    </cfRule>
  </conditionalFormatting>
  <conditionalFormatting sqref="F127">
    <cfRule type="expression" dxfId="996" priority="1001" stopIfTrue="1">
      <formula>AND(NOT(CELL("protect",$F$127)),OR($B$127="cmt",$B$127="mfcmt"))</formula>
    </cfRule>
    <cfRule type="expression" dxfId="995" priority="1002" stopIfTrue="1">
      <formula>AND(NOT(CELL("protect",$F$127)),$F$127=$A$127,AND($B$127&lt;&gt;"cmt",$B$127&lt;&gt;"mfcmt"))</formula>
    </cfRule>
    <cfRule type="expression" dxfId="994" priority="1003">
      <formula>AND(NOT(CELL("protect",$F$127)),AND($B$127&lt;&gt;"cmt",$B$127&lt;&gt;"mfcmt"))</formula>
    </cfRule>
  </conditionalFormatting>
  <conditionalFormatting sqref="F128">
    <cfRule type="expression" dxfId="993" priority="998" stopIfTrue="1">
      <formula>AND(NOT(CELL("protect",$F$128)),OR($B$128="cmt",$B$128="mfcmt"))</formula>
    </cfRule>
    <cfRule type="expression" dxfId="992" priority="999" stopIfTrue="1">
      <formula>AND(NOT(CELL("protect",$F$128)),$F$128=$A$128,AND($B$128&lt;&gt;"cmt",$B$128&lt;&gt;"mfcmt"))</formula>
    </cfRule>
    <cfRule type="expression" dxfId="991" priority="1000">
      <formula>AND(NOT(CELL("protect",$F$128)),AND($B$128&lt;&gt;"cmt",$B$128&lt;&gt;"mfcmt"))</formula>
    </cfRule>
  </conditionalFormatting>
  <conditionalFormatting sqref="F129">
    <cfRule type="expression" dxfId="990" priority="995" stopIfTrue="1">
      <formula>AND(NOT(CELL("protect",$F$129)),OR($B$129="cmt",$B$129="mfcmt"))</formula>
    </cfRule>
    <cfRule type="expression" dxfId="989" priority="996" stopIfTrue="1">
      <formula>AND(NOT(CELL("protect",$F$129)),$F$129=$A$129,AND($B$129&lt;&gt;"cmt",$B$129&lt;&gt;"mfcmt"))</formula>
    </cfRule>
    <cfRule type="expression" dxfId="988" priority="997">
      <formula>AND(NOT(CELL("protect",$F$129)),AND($B$129&lt;&gt;"cmt",$B$129&lt;&gt;"mfcmt"))</formula>
    </cfRule>
  </conditionalFormatting>
  <conditionalFormatting sqref="F130">
    <cfRule type="expression" dxfId="987" priority="992" stopIfTrue="1">
      <formula>AND(NOT(CELL("protect",$F$130)),OR($B$130="cmt",$B$130="mfcmt"))</formula>
    </cfRule>
    <cfRule type="expression" dxfId="986" priority="993" stopIfTrue="1">
      <formula>AND(NOT(CELL("protect",$F$130)),$F$130=$A$130,AND($B$130&lt;&gt;"cmt",$B$130&lt;&gt;"mfcmt"))</formula>
    </cfRule>
    <cfRule type="expression" dxfId="985" priority="994">
      <formula>AND(NOT(CELL("protect",$F$130)),AND($B$130&lt;&gt;"cmt",$B$130&lt;&gt;"mfcmt"))</formula>
    </cfRule>
  </conditionalFormatting>
  <conditionalFormatting sqref="F131">
    <cfRule type="expression" dxfId="984" priority="989" stopIfTrue="1">
      <formula>AND(NOT(CELL("protect",$F$131)),OR($B$131="cmt",$B$131="mfcmt"))</formula>
    </cfRule>
    <cfRule type="expression" dxfId="983" priority="990" stopIfTrue="1">
      <formula>AND(NOT(CELL("protect",$F$131)),$F$131=$A$131,AND($B$131&lt;&gt;"cmt",$B$131&lt;&gt;"mfcmt"))</formula>
    </cfRule>
    <cfRule type="expression" dxfId="982" priority="991">
      <formula>AND(NOT(CELL("protect",$F$131)),AND($B$131&lt;&gt;"cmt",$B$131&lt;&gt;"mfcmt"))</formula>
    </cfRule>
  </conditionalFormatting>
  <conditionalFormatting sqref="F132">
    <cfRule type="expression" dxfId="981" priority="986" stopIfTrue="1">
      <formula>AND(NOT(CELL("protect",$F$132)),OR($B$132="cmt",$B$132="mfcmt"))</formula>
    </cfRule>
    <cfRule type="expression" dxfId="980" priority="987" stopIfTrue="1">
      <formula>AND(NOT(CELL("protect",$F$132)),$F$132=$A$132,AND($B$132&lt;&gt;"cmt",$B$132&lt;&gt;"mfcmt"))</formula>
    </cfRule>
    <cfRule type="expression" dxfId="979" priority="988">
      <formula>AND(NOT(CELL("protect",$F$132)),AND($B$132&lt;&gt;"cmt",$B$132&lt;&gt;"mfcmt"))</formula>
    </cfRule>
  </conditionalFormatting>
  <conditionalFormatting sqref="F133">
    <cfRule type="expression" dxfId="978" priority="983" stopIfTrue="1">
      <formula>AND(NOT(CELL("protect",$F$133)),OR($B$133="cmt",$B$133="mfcmt"))</formula>
    </cfRule>
    <cfRule type="expression" dxfId="977" priority="984" stopIfTrue="1">
      <formula>AND(NOT(CELL("protect",$F$133)),$F$133=$A$133,AND($B$133&lt;&gt;"cmt",$B$133&lt;&gt;"mfcmt"))</formula>
    </cfRule>
    <cfRule type="expression" dxfId="976" priority="985">
      <formula>AND(NOT(CELL("protect",$F$133)),AND($B$133&lt;&gt;"cmt",$B$133&lt;&gt;"mfcmt"))</formula>
    </cfRule>
  </conditionalFormatting>
  <conditionalFormatting sqref="F134 F136">
    <cfRule type="expression" dxfId="975" priority="980" stopIfTrue="1">
      <formula>AND(NOT(CELL("protect",$F$134)),OR($B$134="cmt",$B$134="mfcmt"))</formula>
    </cfRule>
    <cfRule type="expression" dxfId="974" priority="981" stopIfTrue="1">
      <formula>AND(NOT(CELL("protect",$F$134)),$F$134=$A$134,AND($B$134&lt;&gt;"cmt",$B$134&lt;&gt;"mfcmt"))</formula>
    </cfRule>
    <cfRule type="expression" dxfId="973" priority="982">
      <formula>AND(NOT(CELL("protect",$F$134)),AND($B$134&lt;&gt;"cmt",$B$134&lt;&gt;"mfcmt"))</formula>
    </cfRule>
  </conditionalFormatting>
  <conditionalFormatting sqref="F135">
    <cfRule type="expression" dxfId="972" priority="977" stopIfTrue="1">
      <formula>AND(NOT(CELL("protect",$F$135)),OR($B$135="cmt",$B$135="mfcmt"))</formula>
    </cfRule>
    <cfRule type="expression" dxfId="971" priority="978" stopIfTrue="1">
      <formula>AND(NOT(CELL("protect",$F$135)),$F$135=$A$135,AND($B$135&lt;&gt;"cmt",$B$135&lt;&gt;"mfcmt"))</formula>
    </cfRule>
    <cfRule type="expression" dxfId="970" priority="979">
      <formula>AND(NOT(CELL("protect",$F$135)),AND($B$135&lt;&gt;"cmt",$B$135&lt;&gt;"mfcmt"))</formula>
    </cfRule>
  </conditionalFormatting>
  <conditionalFormatting sqref="F136">
    <cfRule type="expression" dxfId="969" priority="974" stopIfTrue="1">
      <formula>AND(NOT(CELL("protect",$F$136)),OR($B$136="cmt",$B$136="mfcmt"))</formula>
    </cfRule>
    <cfRule type="expression" dxfId="968" priority="975" stopIfTrue="1">
      <formula>AND(NOT(CELL("protect",$F$136)),$F$136=$A$136,AND($B$136&lt;&gt;"cmt",$B$136&lt;&gt;"mfcmt"))</formula>
    </cfRule>
    <cfRule type="expression" dxfId="967" priority="976">
      <formula>AND(NOT(CELL("protect",$F$136)),AND($B$136&lt;&gt;"cmt",$B$136&lt;&gt;"mfcmt"))</formula>
    </cfRule>
  </conditionalFormatting>
  <conditionalFormatting sqref="F137">
    <cfRule type="expression" dxfId="966" priority="971" stopIfTrue="1">
      <formula>AND(NOT(CELL("protect",$F$137)),OR($B$137="cmt",$B$137="mfcmt"))</formula>
    </cfRule>
    <cfRule type="expression" dxfId="965" priority="972" stopIfTrue="1">
      <formula>AND(NOT(CELL("protect",$F$137)),$F$137=$A$137,AND($B$137&lt;&gt;"cmt",$B$137&lt;&gt;"mfcmt"))</formula>
    </cfRule>
    <cfRule type="expression" dxfId="964" priority="973">
      <formula>AND(NOT(CELL("protect",$F$137)),AND($B$137&lt;&gt;"cmt",$B$137&lt;&gt;"mfcmt"))</formula>
    </cfRule>
  </conditionalFormatting>
  <conditionalFormatting sqref="F138">
    <cfRule type="expression" dxfId="963" priority="968" stopIfTrue="1">
      <formula>AND(NOT(CELL("protect",$F$138)),OR($B$138="cmt",$B$138="mfcmt"))</formula>
    </cfRule>
    <cfRule type="expression" dxfId="962" priority="969" stopIfTrue="1">
      <formula>AND(NOT(CELL("protect",$F$138)),$F$138=$A$138,AND($B$138&lt;&gt;"cmt",$B$138&lt;&gt;"mfcmt"))</formula>
    </cfRule>
    <cfRule type="expression" dxfId="961" priority="970">
      <formula>AND(NOT(CELL("protect",$F$138)),AND($B$138&lt;&gt;"cmt",$B$138&lt;&gt;"mfcmt"))</formula>
    </cfRule>
  </conditionalFormatting>
  <conditionalFormatting sqref="F136 F139:F140 F147:F148">
    <cfRule type="expression" dxfId="960" priority="965" stopIfTrue="1">
      <formula>AND(NOT(CELL("protect",$F$139)),OR($B$139="cmt",$B$139="mfcmt"))</formula>
    </cfRule>
    <cfRule type="expression" dxfId="959" priority="966" stopIfTrue="1">
      <formula>AND(NOT(CELL("protect",$F$139)),$F$139=$A$139,AND($B$139&lt;&gt;"cmt",$B$139&lt;&gt;"mfcmt"))</formula>
    </cfRule>
    <cfRule type="expression" dxfId="958" priority="967">
      <formula>AND(NOT(CELL("protect",$F$139)),AND($B$139&lt;&gt;"cmt",$B$139&lt;&gt;"mfcmt"))</formula>
    </cfRule>
  </conditionalFormatting>
  <conditionalFormatting sqref="F140 F147:F148">
    <cfRule type="expression" dxfId="957" priority="962" stopIfTrue="1">
      <formula>AND(NOT(CELL("protect",$F$140)),OR($B$140="cmt",$B$140="mfcmt"))</formula>
    </cfRule>
    <cfRule type="expression" dxfId="956" priority="963" stopIfTrue="1">
      <formula>AND(NOT(CELL("protect",$F$140)),$F$140=$A$140,AND($B$140&lt;&gt;"cmt",$B$140&lt;&gt;"mfcmt"))</formula>
    </cfRule>
    <cfRule type="expression" dxfId="955" priority="964">
      <formula>AND(NOT(CELL("protect",$F$140)),AND($B$140&lt;&gt;"cmt",$B$140&lt;&gt;"mfcmt"))</formula>
    </cfRule>
  </conditionalFormatting>
  <conditionalFormatting sqref="F141">
    <cfRule type="expression" dxfId="954" priority="959" stopIfTrue="1">
      <formula>AND(NOT(CELL("protect",$F$141)),OR($B$141="cmt",$B$141="mfcmt"))</formula>
    </cfRule>
    <cfRule type="expression" dxfId="953" priority="960" stopIfTrue="1">
      <formula>AND(NOT(CELL("protect",$F$141)),$F$141=$A$141,AND($B$141&lt;&gt;"cmt",$B$141&lt;&gt;"mfcmt"))</formula>
    </cfRule>
    <cfRule type="expression" dxfId="952" priority="961">
      <formula>AND(NOT(CELL("protect",$F$141)),AND($B$141&lt;&gt;"cmt",$B$141&lt;&gt;"mfcmt"))</formula>
    </cfRule>
  </conditionalFormatting>
  <conditionalFormatting sqref="F142">
    <cfRule type="expression" dxfId="951" priority="956" stopIfTrue="1">
      <formula>AND(NOT(CELL("protect",$F$142)),OR($B$142="cmt",$B$142="mfcmt"))</formula>
    </cfRule>
    <cfRule type="expression" dxfId="950" priority="957" stopIfTrue="1">
      <formula>AND(NOT(CELL("protect",$F$142)),$F$142=$A$142,AND($B$142&lt;&gt;"cmt",$B$142&lt;&gt;"mfcmt"))</formula>
    </cfRule>
    <cfRule type="expression" dxfId="949" priority="958">
      <formula>AND(NOT(CELL("protect",$F$142)),AND($B$142&lt;&gt;"cmt",$B$142&lt;&gt;"mfcmt"))</formula>
    </cfRule>
  </conditionalFormatting>
  <conditionalFormatting sqref="F143">
    <cfRule type="expression" dxfId="948" priority="953" stopIfTrue="1">
      <formula>AND(NOT(CELL("protect",$F$143)),OR($B$143="cmt",$B$143="mfcmt"))</formula>
    </cfRule>
    <cfRule type="expression" dxfId="947" priority="954" stopIfTrue="1">
      <formula>AND(NOT(CELL("protect",$F$143)),$F$143=$A$143,AND($B$143&lt;&gt;"cmt",$B$143&lt;&gt;"mfcmt"))</formula>
    </cfRule>
    <cfRule type="expression" dxfId="946" priority="955">
      <formula>AND(NOT(CELL("protect",$F$143)),AND($B$143&lt;&gt;"cmt",$B$143&lt;&gt;"mfcmt"))</formula>
    </cfRule>
  </conditionalFormatting>
  <conditionalFormatting sqref="F144">
    <cfRule type="expression" dxfId="945" priority="950" stopIfTrue="1">
      <formula>AND(NOT(CELL("protect",$F$144)),OR($B$144="cmt",$B$144="mfcmt"))</formula>
    </cfRule>
    <cfRule type="expression" dxfId="944" priority="951" stopIfTrue="1">
      <formula>AND(NOT(CELL("protect",$F$144)),$F$144=$A$144,AND($B$144&lt;&gt;"cmt",$B$144&lt;&gt;"mfcmt"))</formula>
    </cfRule>
    <cfRule type="expression" dxfId="943" priority="952">
      <formula>AND(NOT(CELL("protect",$F$144)),AND($B$144&lt;&gt;"cmt",$B$144&lt;&gt;"mfcmt"))</formula>
    </cfRule>
  </conditionalFormatting>
  <conditionalFormatting sqref="F145">
    <cfRule type="expression" dxfId="942" priority="947" stopIfTrue="1">
      <formula>AND(NOT(CELL("protect",$F$145)),OR($B$145="cmt",$B$145="mfcmt"))</formula>
    </cfRule>
    <cfRule type="expression" dxfId="941" priority="948" stopIfTrue="1">
      <formula>AND(NOT(CELL("protect",$F$145)),$F$145=$A$145,AND($B$145&lt;&gt;"cmt",$B$145&lt;&gt;"mfcmt"))</formula>
    </cfRule>
    <cfRule type="expression" dxfId="940" priority="949">
      <formula>AND(NOT(CELL("protect",$F$145)),AND($B$145&lt;&gt;"cmt",$B$145&lt;&gt;"mfcmt"))</formula>
    </cfRule>
  </conditionalFormatting>
  <conditionalFormatting sqref="F146">
    <cfRule type="expression" dxfId="939" priority="944" stopIfTrue="1">
      <formula>AND(NOT(CELL("protect",$F$146)),OR($B$146="cmt",$B$146="mfcmt"))</formula>
    </cfRule>
    <cfRule type="expression" dxfId="938" priority="945" stopIfTrue="1">
      <formula>AND(NOT(CELL("protect",$F$146)),$F$146=$A$146,AND($B$146&lt;&gt;"cmt",$B$146&lt;&gt;"mfcmt"))</formula>
    </cfRule>
    <cfRule type="expression" dxfId="937" priority="946">
      <formula>AND(NOT(CELL("protect",$F$146)),AND($B$146&lt;&gt;"cmt",$B$146&lt;&gt;"mfcmt"))</formula>
    </cfRule>
  </conditionalFormatting>
  <conditionalFormatting sqref="F147">
    <cfRule type="expression" dxfId="936" priority="941" stopIfTrue="1">
      <formula>AND(NOT(CELL("protect",$F$147)),OR($B$147="cmt",$B$147="mfcmt"))</formula>
    </cfRule>
    <cfRule type="expression" dxfId="935" priority="942" stopIfTrue="1">
      <formula>AND(NOT(CELL("protect",$F$147)),$F$147=$A$147,AND($B$147&lt;&gt;"cmt",$B$147&lt;&gt;"mfcmt"))</formula>
    </cfRule>
    <cfRule type="expression" dxfId="934" priority="943">
      <formula>AND(NOT(CELL("protect",$F$147)),AND($B$147&lt;&gt;"cmt",$B$147&lt;&gt;"mfcmt"))</formula>
    </cfRule>
  </conditionalFormatting>
  <conditionalFormatting sqref="F148">
    <cfRule type="expression" dxfId="933" priority="938" stopIfTrue="1">
      <formula>AND(NOT(CELL("protect",$F$148)),OR($B$148="cmt",$B$148="mfcmt"))</formula>
    </cfRule>
    <cfRule type="expression" dxfId="932" priority="939" stopIfTrue="1">
      <formula>AND(NOT(CELL("protect",$F$148)),$F$148=$A$148,AND($B$148&lt;&gt;"cmt",$B$148&lt;&gt;"mfcmt"))</formula>
    </cfRule>
    <cfRule type="expression" dxfId="931" priority="940">
      <formula>AND(NOT(CELL("protect",$F$148)),AND($B$148&lt;&gt;"cmt",$B$148&lt;&gt;"mfcmt"))</formula>
    </cfRule>
  </conditionalFormatting>
  <conditionalFormatting sqref="F149">
    <cfRule type="expression" dxfId="930" priority="935" stopIfTrue="1">
      <formula>AND(NOT(CELL("protect",$F$149)),OR($B$149="cmt",$B$149="mfcmt"))</formula>
    </cfRule>
    <cfRule type="expression" dxfId="929" priority="936" stopIfTrue="1">
      <formula>AND(NOT(CELL("protect",$F$149)),$F$149=$A$149,AND($B$149&lt;&gt;"cmt",$B$149&lt;&gt;"mfcmt"))</formula>
    </cfRule>
    <cfRule type="expression" dxfId="928" priority="937">
      <formula>AND(NOT(CELL("protect",$F$149)),AND($B$149&lt;&gt;"cmt",$B$149&lt;&gt;"mfcmt"))</formula>
    </cfRule>
  </conditionalFormatting>
  <conditionalFormatting sqref="F150">
    <cfRule type="expression" dxfId="927" priority="932" stopIfTrue="1">
      <formula>AND(NOT(CELL("protect",$F$150)),OR($B$150="cmt",$B$150="mfcmt"))</formula>
    </cfRule>
    <cfRule type="expression" dxfId="926" priority="933" stopIfTrue="1">
      <formula>AND(NOT(CELL("protect",$F$150)),$F$150=$A$150,AND($B$150&lt;&gt;"cmt",$B$150&lt;&gt;"mfcmt"))</formula>
    </cfRule>
    <cfRule type="expression" dxfId="925" priority="934">
      <formula>AND(NOT(CELL("protect",$F$150)),AND($B$150&lt;&gt;"cmt",$B$150&lt;&gt;"mfcmt"))</formula>
    </cfRule>
  </conditionalFormatting>
  <conditionalFormatting sqref="F151">
    <cfRule type="expression" dxfId="924" priority="929" stopIfTrue="1">
      <formula>AND(NOT(CELL("protect",$F$151)),OR($B$151="cmt",$B$151="mfcmt"))</formula>
    </cfRule>
    <cfRule type="expression" dxfId="923" priority="930" stopIfTrue="1">
      <formula>AND(NOT(CELL("protect",$F$151)),$F$151=$A$151,AND($B$151&lt;&gt;"cmt",$B$151&lt;&gt;"mfcmt"))</formula>
    </cfRule>
    <cfRule type="expression" dxfId="922" priority="931">
      <formula>AND(NOT(CELL("protect",$F$151)),AND($B$151&lt;&gt;"cmt",$B$151&lt;&gt;"mfcmt"))</formula>
    </cfRule>
  </conditionalFormatting>
  <conditionalFormatting sqref="F152">
    <cfRule type="expression" dxfId="921" priority="926" stopIfTrue="1">
      <formula>AND(NOT(CELL("protect",$F$152)),OR($B$152="cmt",$B$152="mfcmt"))</formula>
    </cfRule>
    <cfRule type="expression" dxfId="920" priority="927" stopIfTrue="1">
      <formula>AND(NOT(CELL("protect",$F$152)),$F$152=$A$152,AND($B$152&lt;&gt;"cmt",$B$152&lt;&gt;"mfcmt"))</formula>
    </cfRule>
    <cfRule type="expression" dxfId="919" priority="928">
      <formula>AND(NOT(CELL("protect",$F$152)),AND($B$152&lt;&gt;"cmt",$B$152&lt;&gt;"mfcmt"))</formula>
    </cfRule>
  </conditionalFormatting>
  <conditionalFormatting sqref="F153">
    <cfRule type="expression" dxfId="918" priority="923" stopIfTrue="1">
      <formula>AND(NOT(CELL("protect",$F$153)),OR($B$153="cmt",$B$153="mfcmt"))</formula>
    </cfRule>
    <cfRule type="expression" dxfId="917" priority="924" stopIfTrue="1">
      <formula>AND(NOT(CELL("protect",$F$153)),$F$153=$A$153,AND($B$153&lt;&gt;"cmt",$B$153&lt;&gt;"mfcmt"))</formula>
    </cfRule>
    <cfRule type="expression" dxfId="916" priority="925">
      <formula>AND(NOT(CELL("protect",$F$153)),AND($B$153&lt;&gt;"cmt",$B$153&lt;&gt;"mfcmt"))</formula>
    </cfRule>
  </conditionalFormatting>
  <conditionalFormatting sqref="F154">
    <cfRule type="expression" dxfId="915" priority="920" stopIfTrue="1">
      <formula>AND(NOT(CELL("protect",$F$154)),OR($B$154="cmt",$B$154="mfcmt"))</formula>
    </cfRule>
    <cfRule type="expression" dxfId="914" priority="921" stopIfTrue="1">
      <formula>AND(NOT(CELL("protect",$F$154)),$F$154=$A$154,AND($B$154&lt;&gt;"cmt",$B$154&lt;&gt;"mfcmt"))</formula>
    </cfRule>
    <cfRule type="expression" dxfId="913" priority="922">
      <formula>AND(NOT(CELL("protect",$F$154)),AND($B$154&lt;&gt;"cmt",$B$154&lt;&gt;"mfcmt"))</formula>
    </cfRule>
  </conditionalFormatting>
  <conditionalFormatting sqref="F155">
    <cfRule type="expression" dxfId="912" priority="917" stopIfTrue="1">
      <formula>AND(NOT(CELL("protect",$F$155)),OR($B$155="cmt",$B$155="mfcmt"))</formula>
    </cfRule>
    <cfRule type="expression" dxfId="911" priority="918" stopIfTrue="1">
      <formula>AND(NOT(CELL("protect",$F$155)),$F$155=$A$155,AND($B$155&lt;&gt;"cmt",$B$155&lt;&gt;"mfcmt"))</formula>
    </cfRule>
    <cfRule type="expression" dxfId="910" priority="919">
      <formula>AND(NOT(CELL("protect",$F$155)),AND($B$155&lt;&gt;"cmt",$B$155&lt;&gt;"mfcmt"))</formula>
    </cfRule>
  </conditionalFormatting>
  <conditionalFormatting sqref="F156">
    <cfRule type="expression" dxfId="909" priority="914" stopIfTrue="1">
      <formula>AND(NOT(CELL("protect",$F$156)),OR($B$156="cmt",$B$156="mfcmt"))</formula>
    </cfRule>
    <cfRule type="expression" dxfId="908" priority="915" stopIfTrue="1">
      <formula>AND(NOT(CELL("protect",$F$156)),$F$156=$A$156,AND($B$156&lt;&gt;"cmt",$B$156&lt;&gt;"mfcmt"))</formula>
    </cfRule>
    <cfRule type="expression" dxfId="907" priority="916">
      <formula>AND(NOT(CELL("protect",$F$156)),AND($B$156&lt;&gt;"cmt",$B$156&lt;&gt;"mfcmt"))</formula>
    </cfRule>
  </conditionalFormatting>
  <conditionalFormatting sqref="F157">
    <cfRule type="expression" dxfId="906" priority="911" stopIfTrue="1">
      <formula>AND(NOT(CELL("protect",$F$157)),OR($B$157="cmt",$B$157="mfcmt"))</formula>
    </cfRule>
    <cfRule type="expression" dxfId="905" priority="912" stopIfTrue="1">
      <formula>AND(NOT(CELL("protect",$F$157)),$F$157=$A$157,AND($B$157&lt;&gt;"cmt",$B$157&lt;&gt;"mfcmt"))</formula>
    </cfRule>
    <cfRule type="expression" dxfId="904" priority="913">
      <formula>AND(NOT(CELL("protect",$F$157)),AND($B$157&lt;&gt;"cmt",$B$157&lt;&gt;"mfcmt"))</formula>
    </cfRule>
  </conditionalFormatting>
  <conditionalFormatting sqref="F158">
    <cfRule type="expression" dxfId="903" priority="908" stopIfTrue="1">
      <formula>AND(NOT(CELL("protect",$F$158)),OR($B$158="cmt",$B$158="mfcmt"))</formula>
    </cfRule>
    <cfRule type="expression" dxfId="902" priority="909" stopIfTrue="1">
      <formula>AND(NOT(CELL("protect",$F$158)),$F$158=$A$158,AND($B$158&lt;&gt;"cmt",$B$158&lt;&gt;"mfcmt"))</formula>
    </cfRule>
    <cfRule type="expression" dxfId="901" priority="910">
      <formula>AND(NOT(CELL("protect",$F$158)),AND($B$158&lt;&gt;"cmt",$B$158&lt;&gt;"mfcmt"))</formula>
    </cfRule>
  </conditionalFormatting>
  <conditionalFormatting sqref="F159">
    <cfRule type="expression" dxfId="900" priority="905" stopIfTrue="1">
      <formula>AND(NOT(CELL("protect",$F$159)),OR($B$159="cmt",$B$159="mfcmt"))</formula>
    </cfRule>
    <cfRule type="expression" dxfId="899" priority="906" stopIfTrue="1">
      <formula>AND(NOT(CELL("protect",$F$159)),$F$159=$A$159,AND($B$159&lt;&gt;"cmt",$B$159&lt;&gt;"mfcmt"))</formula>
    </cfRule>
    <cfRule type="expression" dxfId="898" priority="907">
      <formula>AND(NOT(CELL("protect",$F$159)),AND($B$159&lt;&gt;"cmt",$B$159&lt;&gt;"mfcmt"))</formula>
    </cfRule>
  </conditionalFormatting>
  <conditionalFormatting sqref="F160">
    <cfRule type="expression" dxfId="897" priority="902" stopIfTrue="1">
      <formula>AND(NOT(CELL("protect",$F$160)),OR($B$160="cmt",$B$160="mfcmt"))</formula>
    </cfRule>
    <cfRule type="expression" dxfId="896" priority="903" stopIfTrue="1">
      <formula>AND(NOT(CELL("protect",$F$160)),$F$160=$A$160,AND($B$160&lt;&gt;"cmt",$B$160&lt;&gt;"mfcmt"))</formula>
    </cfRule>
    <cfRule type="expression" dxfId="895" priority="904">
      <formula>AND(NOT(CELL("protect",$F$160)),AND($B$160&lt;&gt;"cmt",$B$160&lt;&gt;"mfcmt"))</formula>
    </cfRule>
  </conditionalFormatting>
  <conditionalFormatting sqref="F161">
    <cfRule type="expression" dxfId="894" priority="899" stopIfTrue="1">
      <formula>AND(NOT(CELL("protect",$F$161)),OR($B$161="cmt",$B$161="mfcmt"))</formula>
    </cfRule>
    <cfRule type="expression" dxfId="893" priority="900" stopIfTrue="1">
      <formula>AND(NOT(CELL("protect",$F$161)),$F$161=$A$161,AND($B$161&lt;&gt;"cmt",$B$161&lt;&gt;"mfcmt"))</formula>
    </cfRule>
    <cfRule type="expression" dxfId="892" priority="901">
      <formula>AND(NOT(CELL("protect",$F$161)),AND($B$161&lt;&gt;"cmt",$B$161&lt;&gt;"mfcmt"))</formula>
    </cfRule>
  </conditionalFormatting>
  <conditionalFormatting sqref="F162">
    <cfRule type="expression" dxfId="891" priority="896" stopIfTrue="1">
      <formula>AND(NOT(CELL("protect",$F$162)),OR($B$162="cmt",$B$162="mfcmt"))</formula>
    </cfRule>
    <cfRule type="expression" dxfId="890" priority="897" stopIfTrue="1">
      <formula>AND(NOT(CELL("protect",$F$162)),$F$162=$A$162,AND($B$162&lt;&gt;"cmt",$B$162&lt;&gt;"mfcmt"))</formula>
    </cfRule>
    <cfRule type="expression" dxfId="889" priority="898">
      <formula>AND(NOT(CELL("protect",$F$162)),AND($B$162&lt;&gt;"cmt",$B$162&lt;&gt;"mfcmt"))</formula>
    </cfRule>
  </conditionalFormatting>
  <conditionalFormatting sqref="F163">
    <cfRule type="expression" dxfId="888" priority="893" stopIfTrue="1">
      <formula>AND(NOT(CELL("protect",$F$163)),OR($B$163="cmt",$B$163="mfcmt"))</formula>
    </cfRule>
    <cfRule type="expression" dxfId="887" priority="894" stopIfTrue="1">
      <formula>AND(NOT(CELL("protect",$F$163)),$F$163=$A$163,AND($B$163&lt;&gt;"cmt",$B$163&lt;&gt;"mfcmt"))</formula>
    </cfRule>
    <cfRule type="expression" dxfId="886" priority="895">
      <formula>AND(NOT(CELL("protect",$F$163)),AND($B$163&lt;&gt;"cmt",$B$163&lt;&gt;"mfcmt"))</formula>
    </cfRule>
  </conditionalFormatting>
  <conditionalFormatting sqref="F164">
    <cfRule type="expression" dxfId="885" priority="890" stopIfTrue="1">
      <formula>AND(NOT(CELL("protect",$F$164)),OR($B$164="cmt",$B$164="mfcmt"))</formula>
    </cfRule>
    <cfRule type="expression" dxfId="884" priority="891" stopIfTrue="1">
      <formula>AND(NOT(CELL("protect",$F$164)),$F$164=$A$164,AND($B$164&lt;&gt;"cmt",$B$164&lt;&gt;"mfcmt"))</formula>
    </cfRule>
    <cfRule type="expression" dxfId="883" priority="892">
      <formula>AND(NOT(CELL("protect",$F$164)),AND($B$164&lt;&gt;"cmt",$B$164&lt;&gt;"mfcmt"))</formula>
    </cfRule>
  </conditionalFormatting>
  <conditionalFormatting sqref="F165">
    <cfRule type="expression" dxfId="882" priority="887" stopIfTrue="1">
      <formula>AND(NOT(CELL("protect",$F$165)),OR($B$165="cmt",$B$165="mfcmt"))</formula>
    </cfRule>
    <cfRule type="expression" dxfId="881" priority="888" stopIfTrue="1">
      <formula>AND(NOT(CELL("protect",$F$165)),$F$165=$A$165,AND($B$165&lt;&gt;"cmt",$B$165&lt;&gt;"mfcmt"))</formula>
    </cfRule>
    <cfRule type="expression" dxfId="880" priority="889">
      <formula>AND(NOT(CELL("protect",$F$165)),AND($B$165&lt;&gt;"cmt",$B$165&lt;&gt;"mfcmt"))</formula>
    </cfRule>
  </conditionalFormatting>
  <conditionalFormatting sqref="F166">
    <cfRule type="expression" dxfId="879" priority="884" stopIfTrue="1">
      <formula>AND(NOT(CELL("protect",$F$166)),OR($B$166="cmt",$B$166="mfcmt"))</formula>
    </cfRule>
    <cfRule type="expression" dxfId="878" priority="885" stopIfTrue="1">
      <formula>AND(NOT(CELL("protect",$F$166)),$F$166=$A$166,AND($B$166&lt;&gt;"cmt",$B$166&lt;&gt;"mfcmt"))</formula>
    </cfRule>
    <cfRule type="expression" dxfId="877" priority="886">
      <formula>AND(NOT(CELL("protect",$F$166)),AND($B$166&lt;&gt;"cmt",$B$166&lt;&gt;"mfcmt"))</formula>
    </cfRule>
  </conditionalFormatting>
  <conditionalFormatting sqref="F167">
    <cfRule type="expression" dxfId="876" priority="881" stopIfTrue="1">
      <formula>AND(NOT(CELL("protect",$F$167)),OR($B$167="cmt",$B$167="mfcmt"))</formula>
    </cfRule>
    <cfRule type="expression" dxfId="875" priority="882" stopIfTrue="1">
      <formula>AND(NOT(CELL("protect",$F$167)),$F$167=$A$167,AND($B$167&lt;&gt;"cmt",$B$167&lt;&gt;"mfcmt"))</formula>
    </cfRule>
    <cfRule type="expression" dxfId="874" priority="883">
      <formula>AND(NOT(CELL("protect",$F$167)),AND($B$167&lt;&gt;"cmt",$B$167&lt;&gt;"mfcmt"))</formula>
    </cfRule>
  </conditionalFormatting>
  <conditionalFormatting sqref="F168">
    <cfRule type="expression" dxfId="873" priority="878" stopIfTrue="1">
      <formula>AND(NOT(CELL("protect",$F$168)),OR($B$168="cmt",$B$168="mfcmt"))</formula>
    </cfRule>
    <cfRule type="expression" dxfId="872" priority="879" stopIfTrue="1">
      <formula>AND(NOT(CELL("protect",$F$168)),$F$168=$A$168,AND($B$168&lt;&gt;"cmt",$B$168&lt;&gt;"mfcmt"))</formula>
    </cfRule>
    <cfRule type="expression" dxfId="871" priority="880">
      <formula>AND(NOT(CELL("protect",$F$168)),AND($B$168&lt;&gt;"cmt",$B$168&lt;&gt;"mfcmt"))</formula>
    </cfRule>
  </conditionalFormatting>
  <conditionalFormatting sqref="F169">
    <cfRule type="expression" dxfId="870" priority="875" stopIfTrue="1">
      <formula>AND(NOT(CELL("protect",$F$169)),OR($B$169="cmt",$B$169="mfcmt"))</formula>
    </cfRule>
    <cfRule type="expression" dxfId="869" priority="876" stopIfTrue="1">
      <formula>AND(NOT(CELL("protect",$F$169)),$F$169=$A$169,AND($B$169&lt;&gt;"cmt",$B$169&lt;&gt;"mfcmt"))</formula>
    </cfRule>
    <cfRule type="expression" dxfId="868" priority="877">
      <formula>AND(NOT(CELL("protect",$F$169)),AND($B$169&lt;&gt;"cmt",$B$169&lt;&gt;"mfcmt"))</formula>
    </cfRule>
  </conditionalFormatting>
  <conditionalFormatting sqref="F170">
    <cfRule type="expression" dxfId="867" priority="872" stopIfTrue="1">
      <formula>AND(NOT(CELL("protect",$F$170)),OR($B$170="cmt",$B$170="mfcmt"))</formula>
    </cfRule>
    <cfRule type="expression" dxfId="866" priority="873" stopIfTrue="1">
      <formula>AND(NOT(CELL("protect",$F$170)),$F$170=$A$170,AND($B$170&lt;&gt;"cmt",$B$170&lt;&gt;"mfcmt"))</formula>
    </cfRule>
    <cfRule type="expression" dxfId="865" priority="874">
      <formula>AND(NOT(CELL("protect",$F$170)),AND($B$170&lt;&gt;"cmt",$B$170&lt;&gt;"mfcmt"))</formula>
    </cfRule>
  </conditionalFormatting>
  <conditionalFormatting sqref="F171">
    <cfRule type="expression" dxfId="864" priority="869" stopIfTrue="1">
      <formula>AND(NOT(CELL("protect",$F$171)),OR($B$171="cmt",$B$171="mfcmt"))</formula>
    </cfRule>
    <cfRule type="expression" dxfId="863" priority="870" stopIfTrue="1">
      <formula>AND(NOT(CELL("protect",$F$171)),$F$171=$A$171,AND($B$171&lt;&gt;"cmt",$B$171&lt;&gt;"mfcmt"))</formula>
    </cfRule>
    <cfRule type="expression" dxfId="862" priority="871">
      <formula>AND(NOT(CELL("protect",$F$171)),AND($B$171&lt;&gt;"cmt",$B$171&lt;&gt;"mfcmt"))</formula>
    </cfRule>
  </conditionalFormatting>
  <conditionalFormatting sqref="F172">
    <cfRule type="expression" dxfId="861" priority="866" stopIfTrue="1">
      <formula>AND(NOT(CELL("protect",$F$172)),OR($B$172="cmt",$B$172="mfcmt"))</formula>
    </cfRule>
    <cfRule type="expression" dxfId="860" priority="867" stopIfTrue="1">
      <formula>AND(NOT(CELL("protect",$F$172)),$F$172=$A$172,AND($B$172&lt;&gt;"cmt",$B$172&lt;&gt;"mfcmt"))</formula>
    </cfRule>
    <cfRule type="expression" dxfId="859" priority="868">
      <formula>AND(NOT(CELL("protect",$F$172)),AND($B$172&lt;&gt;"cmt",$B$172&lt;&gt;"mfcmt"))</formula>
    </cfRule>
  </conditionalFormatting>
  <conditionalFormatting sqref="F173">
    <cfRule type="expression" dxfId="858" priority="863" stopIfTrue="1">
      <formula>AND(NOT(CELL("protect",$F$173)),OR($B$173="cmt",$B$173="mfcmt"))</formula>
    </cfRule>
    <cfRule type="expression" dxfId="857" priority="864" stopIfTrue="1">
      <formula>AND(NOT(CELL("protect",$F$173)),$F$173=$A$173,AND($B$173&lt;&gt;"cmt",$B$173&lt;&gt;"mfcmt"))</formula>
    </cfRule>
    <cfRule type="expression" dxfId="856" priority="865">
      <formula>AND(NOT(CELL("protect",$F$173)),AND($B$173&lt;&gt;"cmt",$B$173&lt;&gt;"mfcmt"))</formula>
    </cfRule>
  </conditionalFormatting>
  <conditionalFormatting sqref="F174">
    <cfRule type="expression" dxfId="855" priority="860" stopIfTrue="1">
      <formula>AND(NOT(CELL("protect",$F$174)),OR($B$174="cmt",$B$174="mfcmt"))</formula>
    </cfRule>
    <cfRule type="expression" dxfId="854" priority="861" stopIfTrue="1">
      <formula>AND(NOT(CELL("protect",$F$174)),$F$174=$A$174,AND($B$174&lt;&gt;"cmt",$B$174&lt;&gt;"mfcmt"))</formula>
    </cfRule>
    <cfRule type="expression" dxfId="853" priority="862">
      <formula>AND(NOT(CELL("protect",$F$174)),AND($B$174&lt;&gt;"cmt",$B$174&lt;&gt;"mfcmt"))</formula>
    </cfRule>
  </conditionalFormatting>
  <conditionalFormatting sqref="F175">
    <cfRule type="expression" dxfId="852" priority="857" stopIfTrue="1">
      <formula>AND(NOT(CELL("protect",$F$175)),OR($B$175="cmt",$B$175="mfcmt"))</formula>
    </cfRule>
    <cfRule type="expression" dxfId="851" priority="858" stopIfTrue="1">
      <formula>AND(NOT(CELL("protect",$F$175)),$F$175=$A$175,AND($B$175&lt;&gt;"cmt",$B$175&lt;&gt;"mfcmt"))</formula>
    </cfRule>
    <cfRule type="expression" dxfId="850" priority="859">
      <formula>AND(NOT(CELL("protect",$F$175)),AND($B$175&lt;&gt;"cmt",$B$175&lt;&gt;"mfcmt"))</formula>
    </cfRule>
  </conditionalFormatting>
  <conditionalFormatting sqref="F176">
    <cfRule type="expression" dxfId="849" priority="854" stopIfTrue="1">
      <formula>AND(NOT(CELL("protect",$F$176)),OR($B$176="cmt",$B$176="mfcmt"))</formula>
    </cfRule>
    <cfRule type="expression" dxfId="848" priority="855" stopIfTrue="1">
      <formula>AND(NOT(CELL("protect",$F$176)),$F$176=$A$176,AND($B$176&lt;&gt;"cmt",$B$176&lt;&gt;"mfcmt"))</formula>
    </cfRule>
    <cfRule type="expression" dxfId="847" priority="856">
      <formula>AND(NOT(CELL("protect",$F$176)),AND($B$176&lt;&gt;"cmt",$B$176&lt;&gt;"mfcmt"))</formula>
    </cfRule>
  </conditionalFormatting>
  <conditionalFormatting sqref="F177">
    <cfRule type="expression" dxfId="846" priority="851" stopIfTrue="1">
      <formula>AND(NOT(CELL("protect",$F$177)),OR($B$177="cmt",$B$177="mfcmt"))</formula>
    </cfRule>
    <cfRule type="expression" dxfId="845" priority="852" stopIfTrue="1">
      <formula>AND(NOT(CELL("protect",$F$177)),$F$177=$A$177,AND($B$177&lt;&gt;"cmt",$B$177&lt;&gt;"mfcmt"))</formula>
    </cfRule>
    <cfRule type="expression" dxfId="844" priority="853">
      <formula>AND(NOT(CELL("protect",$F$177)),AND($B$177&lt;&gt;"cmt",$B$177&lt;&gt;"mfcmt"))</formula>
    </cfRule>
  </conditionalFormatting>
  <conditionalFormatting sqref="F178">
    <cfRule type="expression" dxfId="843" priority="848" stopIfTrue="1">
      <formula>AND(NOT(CELL("protect",$F$178)),OR($B$178="cmt",$B$178="mfcmt"))</formula>
    </cfRule>
    <cfRule type="expression" dxfId="842" priority="849" stopIfTrue="1">
      <formula>AND(NOT(CELL("protect",$F$178)),$F$178=$A$178,AND($B$178&lt;&gt;"cmt",$B$178&lt;&gt;"mfcmt"))</formula>
    </cfRule>
    <cfRule type="expression" dxfId="841" priority="850">
      <formula>AND(NOT(CELL("protect",$F$178)),AND($B$178&lt;&gt;"cmt",$B$178&lt;&gt;"mfcmt"))</formula>
    </cfRule>
  </conditionalFormatting>
  <conditionalFormatting sqref="F179">
    <cfRule type="expression" dxfId="840" priority="845" stopIfTrue="1">
      <formula>AND(NOT(CELL("protect",$F$179)),OR($B$179="cmt",$B$179="mfcmt"))</formula>
    </cfRule>
    <cfRule type="expression" dxfId="839" priority="846" stopIfTrue="1">
      <formula>AND(NOT(CELL("protect",$F$179)),$F$179=$A$179,AND($B$179&lt;&gt;"cmt",$B$179&lt;&gt;"mfcmt"))</formula>
    </cfRule>
    <cfRule type="expression" dxfId="838" priority="847">
      <formula>AND(NOT(CELL("protect",$F$179)),AND($B$179&lt;&gt;"cmt",$B$179&lt;&gt;"mfcmt"))</formula>
    </cfRule>
  </conditionalFormatting>
  <conditionalFormatting sqref="F180">
    <cfRule type="expression" dxfId="837" priority="842" stopIfTrue="1">
      <formula>AND(NOT(CELL("protect",$F$180)),OR($B$180="cmt",$B$180="mfcmt"))</formula>
    </cfRule>
    <cfRule type="expression" dxfId="836" priority="843" stopIfTrue="1">
      <formula>AND(NOT(CELL("protect",$F$180)),$F$180=$A$180,AND($B$180&lt;&gt;"cmt",$B$180&lt;&gt;"mfcmt"))</formula>
    </cfRule>
    <cfRule type="expression" dxfId="835" priority="844">
      <formula>AND(NOT(CELL("protect",$F$180)),AND($B$180&lt;&gt;"cmt",$B$180&lt;&gt;"mfcmt"))</formula>
    </cfRule>
  </conditionalFormatting>
  <conditionalFormatting sqref="F181">
    <cfRule type="expression" dxfId="834" priority="839" stopIfTrue="1">
      <formula>AND(NOT(CELL("protect",$F$181)),OR($B$181="cmt",$B$181="mfcmt"))</formula>
    </cfRule>
    <cfRule type="expression" dxfId="833" priority="840" stopIfTrue="1">
      <formula>AND(NOT(CELL("protect",$F$181)),$F$181=$A$181,AND($B$181&lt;&gt;"cmt",$B$181&lt;&gt;"mfcmt"))</formula>
    </cfRule>
    <cfRule type="expression" dxfId="832" priority="841">
      <formula>AND(NOT(CELL("protect",$F$181)),AND($B$181&lt;&gt;"cmt",$B$181&lt;&gt;"mfcmt"))</formula>
    </cfRule>
  </conditionalFormatting>
  <conditionalFormatting sqref="F182">
    <cfRule type="expression" dxfId="831" priority="836" stopIfTrue="1">
      <formula>AND(NOT(CELL("protect",$F$182)),OR($B$182="cmt",$B$182="mfcmt"))</formula>
    </cfRule>
    <cfRule type="expression" dxfId="830" priority="837" stopIfTrue="1">
      <formula>AND(NOT(CELL("protect",$F$182)),$F$182=$A$182,AND($B$182&lt;&gt;"cmt",$B$182&lt;&gt;"mfcmt"))</formula>
    </cfRule>
    <cfRule type="expression" dxfId="829" priority="838">
      <formula>AND(NOT(CELL("protect",$F$182)),AND($B$182&lt;&gt;"cmt",$B$182&lt;&gt;"mfcmt"))</formula>
    </cfRule>
  </conditionalFormatting>
  <conditionalFormatting sqref="F183">
    <cfRule type="expression" dxfId="828" priority="833" stopIfTrue="1">
      <formula>AND(NOT(CELL("protect",$F$183)),OR($B$183="cmt",$B$183="mfcmt"))</formula>
    </cfRule>
    <cfRule type="expression" dxfId="827" priority="834" stopIfTrue="1">
      <formula>AND(NOT(CELL("protect",$F$183)),$F$183=$A$183,AND($B$183&lt;&gt;"cmt",$B$183&lt;&gt;"mfcmt"))</formula>
    </cfRule>
    <cfRule type="expression" dxfId="826" priority="835">
      <formula>AND(NOT(CELL("protect",$F$183)),AND($B$183&lt;&gt;"cmt",$B$183&lt;&gt;"mfcmt"))</formula>
    </cfRule>
  </conditionalFormatting>
  <conditionalFormatting sqref="F184">
    <cfRule type="expression" dxfId="825" priority="830" stopIfTrue="1">
      <formula>AND(NOT(CELL("protect",$F$184)),OR($B$184="cmt",$B$184="mfcmt"))</formula>
    </cfRule>
    <cfRule type="expression" dxfId="824" priority="831" stopIfTrue="1">
      <formula>AND(NOT(CELL("protect",$F$184)),$F$184=$A$184,AND($B$184&lt;&gt;"cmt",$B$184&lt;&gt;"mfcmt"))</formula>
    </cfRule>
    <cfRule type="expression" dxfId="823" priority="832">
      <formula>AND(NOT(CELL("protect",$F$184)),AND($B$184&lt;&gt;"cmt",$B$184&lt;&gt;"mfcmt"))</formula>
    </cfRule>
  </conditionalFormatting>
  <conditionalFormatting sqref="F185">
    <cfRule type="expression" dxfId="822" priority="827" stopIfTrue="1">
      <formula>AND(NOT(CELL("protect",$F$185)),OR($B$185="cmt",$B$185="mfcmt"))</formula>
    </cfRule>
    <cfRule type="expression" dxfId="821" priority="828" stopIfTrue="1">
      <formula>AND(NOT(CELL("protect",$F$185)),$F$185=$A$185,AND($B$185&lt;&gt;"cmt",$B$185&lt;&gt;"mfcmt"))</formula>
    </cfRule>
    <cfRule type="expression" dxfId="820" priority="829">
      <formula>AND(NOT(CELL("protect",$F$185)),AND($B$185&lt;&gt;"cmt",$B$185&lt;&gt;"mfcmt"))</formula>
    </cfRule>
  </conditionalFormatting>
  <conditionalFormatting sqref="F186">
    <cfRule type="expression" dxfId="819" priority="824" stopIfTrue="1">
      <formula>AND(NOT(CELL("protect",$F$186)),OR($B$186="cmt",$B$186="mfcmt"))</formula>
    </cfRule>
    <cfRule type="expression" dxfId="818" priority="825" stopIfTrue="1">
      <formula>AND(NOT(CELL("protect",$F$186)),$F$186=$A$186,AND($B$186&lt;&gt;"cmt",$B$186&lt;&gt;"mfcmt"))</formula>
    </cfRule>
    <cfRule type="expression" dxfId="817" priority="826">
      <formula>AND(NOT(CELL("protect",$F$186)),AND($B$186&lt;&gt;"cmt",$B$186&lt;&gt;"mfcmt"))</formula>
    </cfRule>
  </conditionalFormatting>
  <conditionalFormatting sqref="F187">
    <cfRule type="expression" dxfId="816" priority="821" stopIfTrue="1">
      <formula>AND(NOT(CELL("protect",$F$187)),OR($B$187="cmt",$B$187="mfcmt"))</formula>
    </cfRule>
    <cfRule type="expression" dxfId="815" priority="822" stopIfTrue="1">
      <formula>AND(NOT(CELL("protect",$F$187)),$F$187=$A$187,AND($B$187&lt;&gt;"cmt",$B$187&lt;&gt;"mfcmt"))</formula>
    </cfRule>
    <cfRule type="expression" dxfId="814" priority="823">
      <formula>AND(NOT(CELL("protect",$F$187)),AND($B$187&lt;&gt;"cmt",$B$187&lt;&gt;"mfcmt"))</formula>
    </cfRule>
  </conditionalFormatting>
  <conditionalFormatting sqref="F188">
    <cfRule type="expression" dxfId="813" priority="818" stopIfTrue="1">
      <formula>AND(NOT(CELL("protect",$F$188)),OR($B$188="cmt",$B$188="mfcmt"))</formula>
    </cfRule>
    <cfRule type="expression" dxfId="812" priority="819" stopIfTrue="1">
      <formula>AND(NOT(CELL("protect",$F$188)),$F$188=$A$188,AND($B$188&lt;&gt;"cmt",$B$188&lt;&gt;"mfcmt"))</formula>
    </cfRule>
    <cfRule type="expression" dxfId="811" priority="820">
      <formula>AND(NOT(CELL("protect",$F$188)),AND($B$188&lt;&gt;"cmt",$B$188&lt;&gt;"mfcmt"))</formula>
    </cfRule>
  </conditionalFormatting>
  <conditionalFormatting sqref="F189">
    <cfRule type="expression" dxfId="810" priority="815" stopIfTrue="1">
      <formula>AND(NOT(CELL("protect",$F$189)),OR($B$189="cmt",$B$189="mfcmt"))</formula>
    </cfRule>
    <cfRule type="expression" dxfId="809" priority="816" stopIfTrue="1">
      <formula>AND(NOT(CELL("protect",$F$189)),$F$189=$A$189,AND($B$189&lt;&gt;"cmt",$B$189&lt;&gt;"mfcmt"))</formula>
    </cfRule>
    <cfRule type="expression" dxfId="808" priority="817">
      <formula>AND(NOT(CELL("protect",$F$189)),AND($B$189&lt;&gt;"cmt",$B$189&lt;&gt;"mfcmt"))</formula>
    </cfRule>
  </conditionalFormatting>
  <conditionalFormatting sqref="F190">
    <cfRule type="expression" dxfId="807" priority="812" stopIfTrue="1">
      <formula>AND(NOT(CELL("protect",$F$190)),OR($B$190="cmt",$B$190="mfcmt"))</formula>
    </cfRule>
    <cfRule type="expression" dxfId="806" priority="813" stopIfTrue="1">
      <formula>AND(NOT(CELL("protect",$F$190)),$F$190=$A$190,AND($B$190&lt;&gt;"cmt",$B$190&lt;&gt;"mfcmt"))</formula>
    </cfRule>
    <cfRule type="expression" dxfId="805" priority="814">
      <formula>AND(NOT(CELL("protect",$F$190)),AND($B$190&lt;&gt;"cmt",$B$190&lt;&gt;"mfcmt"))</formula>
    </cfRule>
  </conditionalFormatting>
  <conditionalFormatting sqref="F191">
    <cfRule type="expression" dxfId="804" priority="809" stopIfTrue="1">
      <formula>AND(NOT(CELL("protect",$F$191)),OR($B$191="cmt",$B$191="mfcmt"))</formula>
    </cfRule>
    <cfRule type="expression" dxfId="803" priority="810" stopIfTrue="1">
      <formula>AND(NOT(CELL("protect",$F$191)),$F$191=$A$191,AND($B$191&lt;&gt;"cmt",$B$191&lt;&gt;"mfcmt"))</formula>
    </cfRule>
    <cfRule type="expression" dxfId="802" priority="811">
      <formula>AND(NOT(CELL("protect",$F$191)),AND($B$191&lt;&gt;"cmt",$B$191&lt;&gt;"mfcmt"))</formula>
    </cfRule>
  </conditionalFormatting>
  <conditionalFormatting sqref="F192">
    <cfRule type="expression" dxfId="801" priority="806" stopIfTrue="1">
      <formula>AND(NOT(CELL("protect",$F$192)),OR($B$192="cmt",$B$192="mfcmt"))</formula>
    </cfRule>
    <cfRule type="expression" dxfId="800" priority="807" stopIfTrue="1">
      <formula>AND(NOT(CELL("protect",$F$192)),$F$192=$A$192,AND($B$192&lt;&gt;"cmt",$B$192&lt;&gt;"mfcmt"))</formula>
    </cfRule>
    <cfRule type="expression" dxfId="799" priority="808">
      <formula>AND(NOT(CELL("protect",$F$192)),AND($B$192&lt;&gt;"cmt",$B$192&lt;&gt;"mfcmt"))</formula>
    </cfRule>
  </conditionalFormatting>
  <conditionalFormatting sqref="F193">
    <cfRule type="expression" dxfId="798" priority="803" stopIfTrue="1">
      <formula>AND(NOT(CELL("protect",$F$193)),OR($B$193="cmt",$B$193="mfcmt"))</formula>
    </cfRule>
    <cfRule type="expression" dxfId="797" priority="804" stopIfTrue="1">
      <formula>AND(NOT(CELL("protect",$F$193)),$F$193=$A$193,AND($B$193&lt;&gt;"cmt",$B$193&lt;&gt;"mfcmt"))</formula>
    </cfRule>
    <cfRule type="expression" dxfId="796" priority="805">
      <formula>AND(NOT(CELL("protect",$F$193)),AND($B$193&lt;&gt;"cmt",$B$193&lt;&gt;"mfcmt"))</formula>
    </cfRule>
  </conditionalFormatting>
  <conditionalFormatting sqref="F194">
    <cfRule type="expression" dxfId="795" priority="800" stopIfTrue="1">
      <formula>AND(NOT(CELL("protect",$F$194)),OR($B$194="cmt",$B$194="mfcmt"))</formula>
    </cfRule>
    <cfRule type="expression" dxfId="794" priority="801" stopIfTrue="1">
      <formula>AND(NOT(CELL("protect",$F$194)),$F$194=$A$194,AND($B$194&lt;&gt;"cmt",$B$194&lt;&gt;"mfcmt"))</formula>
    </cfRule>
    <cfRule type="expression" dxfId="793" priority="802">
      <formula>AND(NOT(CELL("protect",$F$194)),AND($B$194&lt;&gt;"cmt",$B$194&lt;&gt;"mfcmt"))</formula>
    </cfRule>
  </conditionalFormatting>
  <conditionalFormatting sqref="F195">
    <cfRule type="expression" dxfId="792" priority="797" stopIfTrue="1">
      <formula>AND(NOT(CELL("protect",$F$195)),OR($B$195="cmt",$B$195="mfcmt"))</formula>
    </cfRule>
    <cfRule type="expression" dxfId="791" priority="798" stopIfTrue="1">
      <formula>AND(NOT(CELL("protect",$F$195)),$F$195=$A$195,AND($B$195&lt;&gt;"cmt",$B$195&lt;&gt;"mfcmt"))</formula>
    </cfRule>
    <cfRule type="expression" dxfId="790" priority="799">
      <formula>AND(NOT(CELL("protect",$F$195)),AND($B$195&lt;&gt;"cmt",$B$195&lt;&gt;"mfcmt"))</formula>
    </cfRule>
  </conditionalFormatting>
  <conditionalFormatting sqref="F196">
    <cfRule type="expression" dxfId="789" priority="794" stopIfTrue="1">
      <formula>AND(NOT(CELL("protect",$F$196)),OR($B$196="cmt",$B$196="mfcmt"))</formula>
    </cfRule>
    <cfRule type="expression" dxfId="788" priority="795" stopIfTrue="1">
      <formula>AND(NOT(CELL("protect",$F$196)),$F$196=$A$196,AND($B$196&lt;&gt;"cmt",$B$196&lt;&gt;"mfcmt"))</formula>
    </cfRule>
    <cfRule type="expression" dxfId="787" priority="796">
      <formula>AND(NOT(CELL("protect",$F$196)),AND($B$196&lt;&gt;"cmt",$B$196&lt;&gt;"mfcmt"))</formula>
    </cfRule>
  </conditionalFormatting>
  <conditionalFormatting sqref="F197">
    <cfRule type="expression" dxfId="786" priority="791" stopIfTrue="1">
      <formula>AND(NOT(CELL("protect",$F$197)),OR($B$197="cmt",$B$197="mfcmt"))</formula>
    </cfRule>
    <cfRule type="expression" dxfId="785" priority="792" stopIfTrue="1">
      <formula>AND(NOT(CELL("protect",$F$197)),$F$197=$A$197,AND($B$197&lt;&gt;"cmt",$B$197&lt;&gt;"mfcmt"))</formula>
    </cfRule>
    <cfRule type="expression" dxfId="784" priority="793">
      <formula>AND(NOT(CELL("protect",$F$197)),AND($B$197&lt;&gt;"cmt",$B$197&lt;&gt;"mfcmt"))</formula>
    </cfRule>
  </conditionalFormatting>
  <conditionalFormatting sqref="F198">
    <cfRule type="expression" dxfId="783" priority="788" stopIfTrue="1">
      <formula>AND(NOT(CELL("protect",$F$198)),OR($B$198="cmt",$B$198="mfcmt"))</formula>
    </cfRule>
    <cfRule type="expression" dxfId="782" priority="789" stopIfTrue="1">
      <formula>AND(NOT(CELL("protect",$F$198)),$F$198=$A$198,AND($B$198&lt;&gt;"cmt",$B$198&lt;&gt;"mfcmt"))</formula>
    </cfRule>
    <cfRule type="expression" dxfId="781" priority="790">
      <formula>AND(NOT(CELL("protect",$F$198)),AND($B$198&lt;&gt;"cmt",$B$198&lt;&gt;"mfcmt"))</formula>
    </cfRule>
  </conditionalFormatting>
  <conditionalFormatting sqref="F199">
    <cfRule type="expression" dxfId="780" priority="785" stopIfTrue="1">
      <formula>AND(NOT(CELL("protect",$F$199)),OR($B$199="cmt",$B$199="mfcmt"))</formula>
    </cfRule>
    <cfRule type="expression" dxfId="779" priority="786" stopIfTrue="1">
      <formula>AND(NOT(CELL("protect",$F$199)),$F$199=$A$199,AND($B$199&lt;&gt;"cmt",$B$199&lt;&gt;"mfcmt"))</formula>
    </cfRule>
    <cfRule type="expression" dxfId="778" priority="787">
      <formula>AND(NOT(CELL("protect",$F$199)),AND($B$199&lt;&gt;"cmt",$B$199&lt;&gt;"mfcmt"))</formula>
    </cfRule>
  </conditionalFormatting>
  <conditionalFormatting sqref="F200">
    <cfRule type="expression" dxfId="777" priority="782" stopIfTrue="1">
      <formula>AND(NOT(CELL("protect",$F$200)),OR($B$200="cmt",$B$200="mfcmt"))</formula>
    </cfRule>
    <cfRule type="expression" dxfId="776" priority="783" stopIfTrue="1">
      <formula>AND(NOT(CELL("protect",$F$200)),$F$200=$A$200,AND($B$200&lt;&gt;"cmt",$B$200&lt;&gt;"mfcmt"))</formula>
    </cfRule>
    <cfRule type="expression" dxfId="775" priority="784">
      <formula>AND(NOT(CELL("protect",$F$200)),AND($B$200&lt;&gt;"cmt",$B$200&lt;&gt;"mfcmt"))</formula>
    </cfRule>
  </conditionalFormatting>
  <conditionalFormatting sqref="F201">
    <cfRule type="expression" dxfId="774" priority="779" stopIfTrue="1">
      <formula>AND(NOT(CELL("protect",$F$201)),OR($B$201="cmt",$B$201="mfcmt"))</formula>
    </cfRule>
    <cfRule type="expression" dxfId="773" priority="780" stopIfTrue="1">
      <formula>AND(NOT(CELL("protect",$F$201)),$F$201=$A$201,AND($B$201&lt;&gt;"cmt",$B$201&lt;&gt;"mfcmt"))</formula>
    </cfRule>
    <cfRule type="expression" dxfId="772" priority="781">
      <formula>AND(NOT(CELL("protect",$F$201)),AND($B$201&lt;&gt;"cmt",$B$201&lt;&gt;"mfcmt"))</formula>
    </cfRule>
  </conditionalFormatting>
  <conditionalFormatting sqref="F202">
    <cfRule type="expression" dxfId="771" priority="776" stopIfTrue="1">
      <formula>AND(NOT(CELL("protect",$F$202)),OR($B$202="cmt",$B$202="mfcmt"))</formula>
    </cfRule>
    <cfRule type="expression" dxfId="770" priority="777" stopIfTrue="1">
      <formula>AND(NOT(CELL("protect",$F$202)),$F$202=$A$202,AND($B$202&lt;&gt;"cmt",$B$202&lt;&gt;"mfcmt"))</formula>
    </cfRule>
    <cfRule type="expression" dxfId="769" priority="778">
      <formula>AND(NOT(CELL("protect",$F$202)),AND($B$202&lt;&gt;"cmt",$B$202&lt;&gt;"mfcmt"))</formula>
    </cfRule>
  </conditionalFormatting>
  <conditionalFormatting sqref="F203">
    <cfRule type="expression" dxfId="768" priority="773" stopIfTrue="1">
      <formula>AND(NOT(CELL("protect",$F$203)),OR($B$203="cmt",$B$203="mfcmt"))</formula>
    </cfRule>
    <cfRule type="expression" dxfId="767" priority="774" stopIfTrue="1">
      <formula>AND(NOT(CELL("protect",$F$203)),$F$203=$A$203,AND($B$203&lt;&gt;"cmt",$B$203&lt;&gt;"mfcmt"))</formula>
    </cfRule>
    <cfRule type="expression" dxfId="766" priority="775">
      <formula>AND(NOT(CELL("protect",$F$203)),AND($B$203&lt;&gt;"cmt",$B$203&lt;&gt;"mfcmt"))</formula>
    </cfRule>
  </conditionalFormatting>
  <conditionalFormatting sqref="F204">
    <cfRule type="expression" dxfId="765" priority="770" stopIfTrue="1">
      <formula>AND(NOT(CELL("protect",$F$204)),OR($B$204="cmt",$B$204="mfcmt"))</formula>
    </cfRule>
    <cfRule type="expression" dxfId="764" priority="771" stopIfTrue="1">
      <formula>AND(NOT(CELL("protect",$F$204)),$F$204=$A$204,AND($B$204&lt;&gt;"cmt",$B$204&lt;&gt;"mfcmt"))</formula>
    </cfRule>
    <cfRule type="expression" dxfId="763" priority="772">
      <formula>AND(NOT(CELL("protect",$F$204)),AND($B$204&lt;&gt;"cmt",$B$204&lt;&gt;"mfcmt"))</formula>
    </cfRule>
  </conditionalFormatting>
  <conditionalFormatting sqref="F205">
    <cfRule type="expression" dxfId="762" priority="767" stopIfTrue="1">
      <formula>AND(NOT(CELL("protect",$F$205)),OR($B$205="cmt",$B$205="mfcmt"))</formula>
    </cfRule>
    <cfRule type="expression" dxfId="761" priority="768" stopIfTrue="1">
      <formula>AND(NOT(CELL("protect",$F$205)),$F$205=$A$205,AND($B$205&lt;&gt;"cmt",$B$205&lt;&gt;"mfcmt"))</formula>
    </cfRule>
    <cfRule type="expression" dxfId="760" priority="769">
      <formula>AND(NOT(CELL("protect",$F$205)),AND($B$205&lt;&gt;"cmt",$B$205&lt;&gt;"mfcmt"))</formula>
    </cfRule>
  </conditionalFormatting>
  <conditionalFormatting sqref="F206">
    <cfRule type="expression" dxfId="759" priority="764" stopIfTrue="1">
      <formula>AND(NOT(CELL("protect",$F$206)),OR($B$206="cmt",$B$206="mfcmt"))</formula>
    </cfRule>
    <cfRule type="expression" dxfId="758" priority="765" stopIfTrue="1">
      <formula>AND(NOT(CELL("protect",$F$206)),$F$206=$A$206,AND($B$206&lt;&gt;"cmt",$B$206&lt;&gt;"mfcmt"))</formula>
    </cfRule>
    <cfRule type="expression" dxfId="757" priority="766">
      <formula>AND(NOT(CELL("protect",$F$206)),AND($B$206&lt;&gt;"cmt",$B$206&lt;&gt;"mfcmt"))</formula>
    </cfRule>
  </conditionalFormatting>
  <conditionalFormatting sqref="F207">
    <cfRule type="expression" dxfId="756" priority="761" stopIfTrue="1">
      <formula>AND(NOT(CELL("protect",$F$207)),OR($B$207="cmt",$B$207="mfcmt"))</formula>
    </cfRule>
    <cfRule type="expression" dxfId="755" priority="762" stopIfTrue="1">
      <formula>AND(NOT(CELL("protect",$F$207)),$F$207=$A$207,AND($B$207&lt;&gt;"cmt",$B$207&lt;&gt;"mfcmt"))</formula>
    </cfRule>
    <cfRule type="expression" dxfId="754" priority="763">
      <formula>AND(NOT(CELL("protect",$F$207)),AND($B$207&lt;&gt;"cmt",$B$207&lt;&gt;"mfcmt"))</formula>
    </cfRule>
  </conditionalFormatting>
  <conditionalFormatting sqref="F208">
    <cfRule type="expression" dxfId="753" priority="758" stopIfTrue="1">
      <formula>AND(NOT(CELL("protect",$F$208)),OR($B$208="cmt",$B$208="mfcmt"))</formula>
    </cfRule>
    <cfRule type="expression" dxfId="752" priority="759" stopIfTrue="1">
      <formula>AND(NOT(CELL("protect",$F$208)),$F$208=$A$208,AND($B$208&lt;&gt;"cmt",$B$208&lt;&gt;"mfcmt"))</formula>
    </cfRule>
    <cfRule type="expression" dxfId="751" priority="760">
      <formula>AND(NOT(CELL("protect",$F$208)),AND($B$208&lt;&gt;"cmt",$B$208&lt;&gt;"mfcmt"))</formula>
    </cfRule>
  </conditionalFormatting>
  <conditionalFormatting sqref="F209">
    <cfRule type="expression" dxfId="750" priority="755" stopIfTrue="1">
      <formula>AND(NOT(CELL("protect",$F$209)),OR($B$209="cmt",$B$209="mfcmt"))</formula>
    </cfRule>
    <cfRule type="expression" dxfId="749" priority="756" stopIfTrue="1">
      <formula>AND(NOT(CELL("protect",$F$209)),$F$209=$A$209,AND($B$209&lt;&gt;"cmt",$B$209&lt;&gt;"mfcmt"))</formula>
    </cfRule>
    <cfRule type="expression" dxfId="748" priority="757">
      <formula>AND(NOT(CELL("protect",$F$209)),AND($B$209&lt;&gt;"cmt",$B$209&lt;&gt;"mfcmt"))</formula>
    </cfRule>
  </conditionalFormatting>
  <conditionalFormatting sqref="F210">
    <cfRule type="expression" dxfId="747" priority="752" stopIfTrue="1">
      <formula>AND(NOT(CELL("protect",$F$210)),OR($B$210="cmt",$B$210="mfcmt"))</formula>
    </cfRule>
    <cfRule type="expression" dxfId="746" priority="753" stopIfTrue="1">
      <formula>AND(NOT(CELL("protect",$F$210)),$F$210=$A$210,AND($B$210&lt;&gt;"cmt",$B$210&lt;&gt;"mfcmt"))</formula>
    </cfRule>
    <cfRule type="expression" dxfId="745" priority="754">
      <formula>AND(NOT(CELL("protect",$F$210)),AND($B$210&lt;&gt;"cmt",$B$210&lt;&gt;"mfcmt"))</formula>
    </cfRule>
  </conditionalFormatting>
  <conditionalFormatting sqref="F211">
    <cfRule type="expression" dxfId="744" priority="749" stopIfTrue="1">
      <formula>AND(NOT(CELL("protect",$F$211)),OR($B$211="cmt",$B$211="mfcmt"))</formula>
    </cfRule>
    <cfRule type="expression" dxfId="743" priority="750" stopIfTrue="1">
      <formula>AND(NOT(CELL("protect",$F$211)),$F$211=$A$211,AND($B$211&lt;&gt;"cmt",$B$211&lt;&gt;"mfcmt"))</formula>
    </cfRule>
    <cfRule type="expression" dxfId="742" priority="751">
      <formula>AND(NOT(CELL("protect",$F$211)),AND($B$211&lt;&gt;"cmt",$B$211&lt;&gt;"mfcmt"))</formula>
    </cfRule>
  </conditionalFormatting>
  <conditionalFormatting sqref="F212">
    <cfRule type="expression" dxfId="741" priority="746" stopIfTrue="1">
      <formula>AND(NOT(CELL("protect",$F$212)),OR($B$212="cmt",$B$212="mfcmt"))</formula>
    </cfRule>
    <cfRule type="expression" dxfId="740" priority="747" stopIfTrue="1">
      <formula>AND(NOT(CELL("protect",$F$212)),$F$212=$A$212,AND($B$212&lt;&gt;"cmt",$B$212&lt;&gt;"mfcmt"))</formula>
    </cfRule>
    <cfRule type="expression" dxfId="739" priority="748">
      <formula>AND(NOT(CELL("protect",$F$212)),AND($B$212&lt;&gt;"cmt",$B$212&lt;&gt;"mfcmt"))</formula>
    </cfRule>
  </conditionalFormatting>
  <conditionalFormatting sqref="F213">
    <cfRule type="expression" dxfId="738" priority="743" stopIfTrue="1">
      <formula>AND(NOT(CELL("protect",$F$213)),OR($B$213="cmt",$B$213="mfcmt"))</formula>
    </cfRule>
    <cfRule type="expression" dxfId="737" priority="744" stopIfTrue="1">
      <formula>AND(NOT(CELL("protect",$F$213)),$F$213=$A$213,AND($B$213&lt;&gt;"cmt",$B$213&lt;&gt;"mfcmt"))</formula>
    </cfRule>
    <cfRule type="expression" dxfId="736" priority="745">
      <formula>AND(NOT(CELL("protect",$F$213)),AND($B$213&lt;&gt;"cmt",$B$213&lt;&gt;"mfcmt"))</formula>
    </cfRule>
  </conditionalFormatting>
  <conditionalFormatting sqref="F214">
    <cfRule type="expression" dxfId="735" priority="740" stopIfTrue="1">
      <formula>AND(NOT(CELL("protect",$F$214)),OR($B$214="cmt",$B$214="mfcmt"))</formula>
    </cfRule>
    <cfRule type="expression" dxfId="734" priority="741" stopIfTrue="1">
      <formula>AND(NOT(CELL("protect",$F$214)),$F$214=$A$214,AND($B$214&lt;&gt;"cmt",$B$214&lt;&gt;"mfcmt"))</formula>
    </cfRule>
    <cfRule type="expression" dxfId="733" priority="742">
      <formula>AND(NOT(CELL("protect",$F$214)),AND($B$214&lt;&gt;"cmt",$B$214&lt;&gt;"mfcmt"))</formula>
    </cfRule>
  </conditionalFormatting>
  <conditionalFormatting sqref="F215">
    <cfRule type="expression" dxfId="732" priority="737" stopIfTrue="1">
      <formula>AND(NOT(CELL("protect",$F$215)),OR($B$215="cmt",$B$215="mfcmt"))</formula>
    </cfRule>
    <cfRule type="expression" dxfId="731" priority="738" stopIfTrue="1">
      <formula>AND(NOT(CELL("protect",$F$215)),$F$215=$A$215,AND($B$215&lt;&gt;"cmt",$B$215&lt;&gt;"mfcmt"))</formula>
    </cfRule>
    <cfRule type="expression" dxfId="730" priority="739">
      <formula>AND(NOT(CELL("protect",$F$215)),AND($B$215&lt;&gt;"cmt",$B$215&lt;&gt;"mfcmt"))</formula>
    </cfRule>
  </conditionalFormatting>
  <conditionalFormatting sqref="F216">
    <cfRule type="expression" dxfId="729" priority="734" stopIfTrue="1">
      <formula>AND(NOT(CELL("protect",$F$216)),OR($B$216="cmt",$B$216="mfcmt"))</formula>
    </cfRule>
    <cfRule type="expression" dxfId="728" priority="735" stopIfTrue="1">
      <formula>AND(NOT(CELL("protect",$F$216)),$F$216=$A$216,AND($B$216&lt;&gt;"cmt",$B$216&lt;&gt;"mfcmt"))</formula>
    </cfRule>
    <cfRule type="expression" dxfId="727" priority="736">
      <formula>AND(NOT(CELL("protect",$F$216)),AND($B$216&lt;&gt;"cmt",$B$216&lt;&gt;"mfcmt"))</formula>
    </cfRule>
  </conditionalFormatting>
  <conditionalFormatting sqref="F217">
    <cfRule type="expression" dxfId="726" priority="731" stopIfTrue="1">
      <formula>AND(NOT(CELL("protect",$F$217)),OR($B$217="cmt",$B$217="mfcmt"))</formula>
    </cfRule>
    <cfRule type="expression" dxfId="725" priority="732" stopIfTrue="1">
      <formula>AND(NOT(CELL("protect",$F$217)),$F$217=$A$217,AND($B$217&lt;&gt;"cmt",$B$217&lt;&gt;"mfcmt"))</formula>
    </cfRule>
    <cfRule type="expression" dxfId="724" priority="733">
      <formula>AND(NOT(CELL("protect",$F$217)),AND($B$217&lt;&gt;"cmt",$B$217&lt;&gt;"mfcmt"))</formula>
    </cfRule>
  </conditionalFormatting>
  <conditionalFormatting sqref="F218">
    <cfRule type="expression" dxfId="723" priority="728" stopIfTrue="1">
      <formula>AND(NOT(CELL("protect",$F$218)),OR($B$218="cmt",$B$218="mfcmt"))</formula>
    </cfRule>
    <cfRule type="expression" dxfId="722" priority="729" stopIfTrue="1">
      <formula>AND(NOT(CELL("protect",$F$218)),$F$218=$A$218,AND($B$218&lt;&gt;"cmt",$B$218&lt;&gt;"mfcmt"))</formula>
    </cfRule>
    <cfRule type="expression" dxfId="721" priority="730">
      <formula>AND(NOT(CELL("protect",$F$218)),AND($B$218&lt;&gt;"cmt",$B$218&lt;&gt;"mfcmt"))</formula>
    </cfRule>
  </conditionalFormatting>
  <conditionalFormatting sqref="F219">
    <cfRule type="expression" dxfId="720" priority="725" stopIfTrue="1">
      <formula>AND(NOT(CELL("protect",$F$219)),OR($B$219="cmt",$B$219="mfcmt"))</formula>
    </cfRule>
    <cfRule type="expression" dxfId="719" priority="726" stopIfTrue="1">
      <formula>AND(NOT(CELL("protect",$F$219)),$F$219=$A$219,AND($B$219&lt;&gt;"cmt",$B$219&lt;&gt;"mfcmt"))</formula>
    </cfRule>
    <cfRule type="expression" dxfId="718" priority="727">
      <formula>AND(NOT(CELL("protect",$F$219)),AND($B$219&lt;&gt;"cmt",$B$219&lt;&gt;"mfcmt"))</formula>
    </cfRule>
  </conditionalFormatting>
  <conditionalFormatting sqref="F220">
    <cfRule type="expression" dxfId="717" priority="722" stopIfTrue="1">
      <formula>AND(NOT(CELL("protect",$F$220)),OR($B$220="cmt",$B$220="mfcmt"))</formula>
    </cfRule>
    <cfRule type="expression" dxfId="716" priority="723" stopIfTrue="1">
      <formula>AND(NOT(CELL("protect",$F$220)),$F$220=$A$220,AND($B$220&lt;&gt;"cmt",$B$220&lt;&gt;"mfcmt"))</formula>
    </cfRule>
    <cfRule type="expression" dxfId="715" priority="724">
      <formula>AND(NOT(CELL("protect",$F$220)),AND($B$220&lt;&gt;"cmt",$B$220&lt;&gt;"mfcmt"))</formula>
    </cfRule>
  </conditionalFormatting>
  <conditionalFormatting sqref="F221">
    <cfRule type="expression" dxfId="714" priority="719" stopIfTrue="1">
      <formula>AND(NOT(CELL("protect",$F$221)),OR($B$221="cmt",$B$221="mfcmt"))</formula>
    </cfRule>
    <cfRule type="expression" dxfId="713" priority="720" stopIfTrue="1">
      <formula>AND(NOT(CELL("protect",$F$221)),$F$221=$A$221,AND($B$221&lt;&gt;"cmt",$B$221&lt;&gt;"mfcmt"))</formula>
    </cfRule>
    <cfRule type="expression" dxfId="712" priority="721">
      <formula>AND(NOT(CELL("protect",$F$221)),AND($B$221&lt;&gt;"cmt",$B$221&lt;&gt;"mfcmt"))</formula>
    </cfRule>
  </conditionalFormatting>
  <conditionalFormatting sqref="F222">
    <cfRule type="expression" dxfId="711" priority="716" stopIfTrue="1">
      <formula>AND(NOT(CELL("protect",$F$222)),OR($B$222="cmt",$B$222="mfcmt"))</formula>
    </cfRule>
    <cfRule type="expression" dxfId="710" priority="717" stopIfTrue="1">
      <formula>AND(NOT(CELL("protect",$F$222)),$F$222=$A$222,AND($B$222&lt;&gt;"cmt",$B$222&lt;&gt;"mfcmt"))</formula>
    </cfRule>
    <cfRule type="expression" dxfId="709" priority="718">
      <formula>AND(NOT(CELL("protect",$F$222)),AND($B$222&lt;&gt;"cmt",$B$222&lt;&gt;"mfcmt"))</formula>
    </cfRule>
  </conditionalFormatting>
  <conditionalFormatting sqref="F223">
    <cfRule type="expression" dxfId="708" priority="713" stopIfTrue="1">
      <formula>AND(NOT(CELL("protect",$F$223)),OR($B$223="cmt",$B$223="mfcmt"))</formula>
    </cfRule>
    <cfRule type="expression" dxfId="707" priority="714" stopIfTrue="1">
      <formula>AND(NOT(CELL("protect",$F$223)),$F$223=$A$223,AND($B$223&lt;&gt;"cmt",$B$223&lt;&gt;"mfcmt"))</formula>
    </cfRule>
    <cfRule type="expression" dxfId="706" priority="715">
      <formula>AND(NOT(CELL("protect",$F$223)),AND($B$223&lt;&gt;"cmt",$B$223&lt;&gt;"mfcmt"))</formula>
    </cfRule>
  </conditionalFormatting>
  <conditionalFormatting sqref="F224">
    <cfRule type="expression" dxfId="705" priority="710" stopIfTrue="1">
      <formula>AND(NOT(CELL("protect",$F$224)),OR($B$224="cmt",$B$224="mfcmt"))</formula>
    </cfRule>
    <cfRule type="expression" dxfId="704" priority="711" stopIfTrue="1">
      <formula>AND(NOT(CELL("protect",$F$224)),$F$224=$A$224,AND($B$224&lt;&gt;"cmt",$B$224&lt;&gt;"mfcmt"))</formula>
    </cfRule>
    <cfRule type="expression" dxfId="703" priority="712">
      <formula>AND(NOT(CELL("protect",$F$224)),AND($B$224&lt;&gt;"cmt",$B$224&lt;&gt;"mfcmt"))</formula>
    </cfRule>
  </conditionalFormatting>
  <conditionalFormatting sqref="F225">
    <cfRule type="expression" dxfId="702" priority="707" stopIfTrue="1">
      <formula>AND(NOT(CELL("protect",$F$225)),OR($B$225="cmt",$B$225="mfcmt"))</formula>
    </cfRule>
    <cfRule type="expression" dxfId="701" priority="708" stopIfTrue="1">
      <formula>AND(NOT(CELL("protect",$F$225)),$F$225=$A$225,AND($B$225&lt;&gt;"cmt",$B$225&lt;&gt;"mfcmt"))</formula>
    </cfRule>
    <cfRule type="expression" dxfId="700" priority="709">
      <formula>AND(NOT(CELL("protect",$F$225)),AND($B$225&lt;&gt;"cmt",$B$225&lt;&gt;"mfcmt"))</formula>
    </cfRule>
  </conditionalFormatting>
  <conditionalFormatting sqref="F226">
    <cfRule type="expression" dxfId="699" priority="704" stopIfTrue="1">
      <formula>AND(NOT(CELL("protect",$F$226)),OR($B$226="cmt",$B$226="mfcmt"))</formula>
    </cfRule>
    <cfRule type="expression" dxfId="698" priority="705" stopIfTrue="1">
      <formula>AND(NOT(CELL("protect",$F$226)),$F$226=$A$226,AND($B$226&lt;&gt;"cmt",$B$226&lt;&gt;"mfcmt"))</formula>
    </cfRule>
    <cfRule type="expression" dxfId="697" priority="706">
      <formula>AND(NOT(CELL("protect",$F$226)),AND($B$226&lt;&gt;"cmt",$B$226&lt;&gt;"mfcmt"))</formula>
    </cfRule>
  </conditionalFormatting>
  <conditionalFormatting sqref="F227">
    <cfRule type="expression" dxfId="696" priority="701" stopIfTrue="1">
      <formula>AND(NOT(CELL("protect",$F$227)),OR($B$227="cmt",$B$227="mfcmt"))</formula>
    </cfRule>
    <cfRule type="expression" dxfId="695" priority="702" stopIfTrue="1">
      <formula>AND(NOT(CELL("protect",$F$227)),$F$227=$A$227,AND($B$227&lt;&gt;"cmt",$B$227&lt;&gt;"mfcmt"))</formula>
    </cfRule>
    <cfRule type="expression" dxfId="694" priority="703">
      <formula>AND(NOT(CELL("protect",$F$227)),AND($B$227&lt;&gt;"cmt",$B$227&lt;&gt;"mfcmt"))</formula>
    </cfRule>
  </conditionalFormatting>
  <conditionalFormatting sqref="F228">
    <cfRule type="expression" dxfId="693" priority="698" stopIfTrue="1">
      <formula>AND(NOT(CELL("protect",$F$228)),OR($B$228="cmt",$B$228="mfcmt"))</formula>
    </cfRule>
    <cfRule type="expression" dxfId="692" priority="699" stopIfTrue="1">
      <formula>AND(NOT(CELL("protect",$F$228)),$F$228=$A$228,AND($B$228&lt;&gt;"cmt",$B$228&lt;&gt;"mfcmt"))</formula>
    </cfRule>
    <cfRule type="expression" dxfId="691" priority="700">
      <formula>AND(NOT(CELL("protect",$F$228)),AND($B$228&lt;&gt;"cmt",$B$228&lt;&gt;"mfcmt"))</formula>
    </cfRule>
  </conditionalFormatting>
  <conditionalFormatting sqref="F229">
    <cfRule type="expression" dxfId="690" priority="695" stopIfTrue="1">
      <formula>AND(NOT(CELL("protect",$F$229)),OR($B$229="cmt",$B$229="mfcmt"))</formula>
    </cfRule>
    <cfRule type="expression" dxfId="689" priority="696" stopIfTrue="1">
      <formula>AND(NOT(CELL("protect",$F$229)),$F$229=$A$229,AND($B$229&lt;&gt;"cmt",$B$229&lt;&gt;"mfcmt"))</formula>
    </cfRule>
    <cfRule type="expression" dxfId="688" priority="697">
      <formula>AND(NOT(CELL("protect",$F$229)),AND($B$229&lt;&gt;"cmt",$B$229&lt;&gt;"mfcmt"))</formula>
    </cfRule>
  </conditionalFormatting>
  <conditionalFormatting sqref="F230">
    <cfRule type="expression" dxfId="687" priority="692" stopIfTrue="1">
      <formula>AND(NOT(CELL("protect",$F$230)),OR($B$230="cmt",$B$230="mfcmt"))</formula>
    </cfRule>
    <cfRule type="expression" dxfId="686" priority="693" stopIfTrue="1">
      <formula>AND(NOT(CELL("protect",$F$230)),$F$230=$A$230,AND($B$230&lt;&gt;"cmt",$B$230&lt;&gt;"mfcmt"))</formula>
    </cfRule>
    <cfRule type="expression" dxfId="685" priority="694">
      <formula>AND(NOT(CELL("protect",$F$230)),AND($B$230&lt;&gt;"cmt",$B$230&lt;&gt;"mfcmt"))</formula>
    </cfRule>
  </conditionalFormatting>
  <conditionalFormatting sqref="F231">
    <cfRule type="expression" dxfId="684" priority="689" stopIfTrue="1">
      <formula>AND(NOT(CELL("protect",$F$231)),OR($B$231="cmt",$B$231="mfcmt"))</formula>
    </cfRule>
    <cfRule type="expression" dxfId="683" priority="690" stopIfTrue="1">
      <formula>AND(NOT(CELL("protect",$F$231)),$F$231=$A$231,AND($B$231&lt;&gt;"cmt",$B$231&lt;&gt;"mfcmt"))</formula>
    </cfRule>
    <cfRule type="expression" dxfId="682" priority="691">
      <formula>AND(NOT(CELL("protect",$F$231)),AND($B$231&lt;&gt;"cmt",$B$231&lt;&gt;"mfcmt"))</formula>
    </cfRule>
  </conditionalFormatting>
  <conditionalFormatting sqref="F232">
    <cfRule type="expression" dxfId="681" priority="686" stopIfTrue="1">
      <formula>AND(NOT(CELL("protect",$F$232)),OR($B$232="cmt",$B$232="mfcmt"))</formula>
    </cfRule>
    <cfRule type="expression" dxfId="680" priority="687" stopIfTrue="1">
      <formula>AND(NOT(CELL("protect",$F$232)),$F$232=$A$232,AND($B$232&lt;&gt;"cmt",$B$232&lt;&gt;"mfcmt"))</formula>
    </cfRule>
    <cfRule type="expression" dxfId="679" priority="688">
      <formula>AND(NOT(CELL("protect",$F$232)),AND($B$232&lt;&gt;"cmt",$B$232&lt;&gt;"mfcmt"))</formula>
    </cfRule>
  </conditionalFormatting>
  <conditionalFormatting sqref="F233">
    <cfRule type="expression" dxfId="678" priority="683" stopIfTrue="1">
      <formula>AND(NOT(CELL("protect",$F$233)),OR($B$233="cmt",$B$233="mfcmt"))</formula>
    </cfRule>
    <cfRule type="expression" dxfId="677" priority="684" stopIfTrue="1">
      <formula>AND(NOT(CELL("protect",$F$233)),$F$233=$A$233,AND($B$233&lt;&gt;"cmt",$B$233&lt;&gt;"mfcmt"))</formula>
    </cfRule>
    <cfRule type="expression" dxfId="676" priority="685">
      <formula>AND(NOT(CELL("protect",$F$233)),AND($B$233&lt;&gt;"cmt",$B$233&lt;&gt;"mfcmt"))</formula>
    </cfRule>
  </conditionalFormatting>
  <conditionalFormatting sqref="F234">
    <cfRule type="expression" dxfId="675" priority="680" stopIfTrue="1">
      <formula>AND(NOT(CELL("protect",$F$234)),OR($B$234="cmt",$B$234="mfcmt"))</formula>
    </cfRule>
    <cfRule type="expression" dxfId="674" priority="681" stopIfTrue="1">
      <formula>AND(NOT(CELL("protect",$F$234)),$F$234=$A$234,AND($B$234&lt;&gt;"cmt",$B$234&lt;&gt;"mfcmt"))</formula>
    </cfRule>
    <cfRule type="expression" dxfId="673" priority="682">
      <formula>AND(NOT(CELL("protect",$F$234)),AND($B$234&lt;&gt;"cmt",$B$234&lt;&gt;"mfcmt"))</formula>
    </cfRule>
  </conditionalFormatting>
  <conditionalFormatting sqref="F235">
    <cfRule type="expression" dxfId="672" priority="677" stopIfTrue="1">
      <formula>AND(NOT(CELL("protect",$F$235)),OR($B$235="cmt",$B$235="mfcmt"))</formula>
    </cfRule>
    <cfRule type="expression" dxfId="671" priority="678" stopIfTrue="1">
      <formula>AND(NOT(CELL("protect",$F$235)),$F$235=$A$235,AND($B$235&lt;&gt;"cmt",$B$235&lt;&gt;"mfcmt"))</formula>
    </cfRule>
    <cfRule type="expression" dxfId="670" priority="679">
      <formula>AND(NOT(CELL("protect",$F$235)),AND($B$235&lt;&gt;"cmt",$B$235&lt;&gt;"mfcmt"))</formula>
    </cfRule>
  </conditionalFormatting>
  <conditionalFormatting sqref="F236">
    <cfRule type="expression" dxfId="669" priority="674" stopIfTrue="1">
      <formula>AND(NOT(CELL("protect",$F$236)),OR($B$236="cmt",$B$236="mfcmt"))</formula>
    </cfRule>
    <cfRule type="expression" dxfId="668" priority="675" stopIfTrue="1">
      <formula>AND(NOT(CELL("protect",$F$236)),$F$236=$A$236,AND($B$236&lt;&gt;"cmt",$B$236&lt;&gt;"mfcmt"))</formula>
    </cfRule>
    <cfRule type="expression" dxfId="667" priority="676">
      <formula>AND(NOT(CELL("protect",$F$236)),AND($B$236&lt;&gt;"cmt",$B$236&lt;&gt;"mfcmt"))</formula>
    </cfRule>
  </conditionalFormatting>
  <conditionalFormatting sqref="F237">
    <cfRule type="expression" dxfId="666" priority="671" stopIfTrue="1">
      <formula>AND(NOT(CELL("protect",$F$237)),OR($B$237="cmt",$B$237="mfcmt"))</formula>
    </cfRule>
    <cfRule type="expression" dxfId="665" priority="672" stopIfTrue="1">
      <formula>AND(NOT(CELL("protect",$F$237)),$F$237=$A$237,AND($B$237&lt;&gt;"cmt",$B$237&lt;&gt;"mfcmt"))</formula>
    </cfRule>
    <cfRule type="expression" dxfId="664" priority="673">
      <formula>AND(NOT(CELL("protect",$F$237)),AND($B$237&lt;&gt;"cmt",$B$237&lt;&gt;"mfcmt"))</formula>
    </cfRule>
  </conditionalFormatting>
  <conditionalFormatting sqref="F238">
    <cfRule type="expression" dxfId="663" priority="668" stopIfTrue="1">
      <formula>AND(NOT(CELL("protect",$F$238)),OR($B$238="cmt",$B$238="mfcmt"))</formula>
    </cfRule>
    <cfRule type="expression" dxfId="662" priority="669" stopIfTrue="1">
      <formula>AND(NOT(CELL("protect",$F$238)),$F$238=$A$238,AND($B$238&lt;&gt;"cmt",$B$238&lt;&gt;"mfcmt"))</formula>
    </cfRule>
    <cfRule type="expression" dxfId="661" priority="670">
      <formula>AND(NOT(CELL("protect",$F$238)),AND($B$238&lt;&gt;"cmt",$B$238&lt;&gt;"mfcmt"))</formula>
    </cfRule>
  </conditionalFormatting>
  <conditionalFormatting sqref="F239">
    <cfRule type="expression" dxfId="660" priority="665" stopIfTrue="1">
      <formula>AND(NOT(CELL("protect",$F$239)),OR($B$239="cmt",$B$239="mfcmt"))</formula>
    </cfRule>
    <cfRule type="expression" dxfId="659" priority="666" stopIfTrue="1">
      <formula>AND(NOT(CELL("protect",$F$239)),$F$239=$A$239,AND($B$239&lt;&gt;"cmt",$B$239&lt;&gt;"mfcmt"))</formula>
    </cfRule>
    <cfRule type="expression" dxfId="658" priority="667">
      <formula>AND(NOT(CELL("protect",$F$239)),AND($B$239&lt;&gt;"cmt",$B$239&lt;&gt;"mfcmt"))</formula>
    </cfRule>
  </conditionalFormatting>
  <conditionalFormatting sqref="F240">
    <cfRule type="expression" dxfId="657" priority="662" stopIfTrue="1">
      <formula>AND(NOT(CELL("protect",$F$240)),OR($B$240="cmt",$B$240="mfcmt"))</formula>
    </cfRule>
    <cfRule type="expression" dxfId="656" priority="663" stopIfTrue="1">
      <formula>AND(NOT(CELL("protect",$F$240)),$F$240=$A$240,AND($B$240&lt;&gt;"cmt",$B$240&lt;&gt;"mfcmt"))</formula>
    </cfRule>
    <cfRule type="expression" dxfId="655" priority="664">
      <formula>AND(NOT(CELL("protect",$F$240)),AND($B$240&lt;&gt;"cmt",$B$240&lt;&gt;"mfcmt"))</formula>
    </cfRule>
  </conditionalFormatting>
  <conditionalFormatting sqref="F241">
    <cfRule type="expression" dxfId="654" priority="659" stopIfTrue="1">
      <formula>AND(NOT(CELL("protect",$F$241)),OR($B$241="cmt",$B$241="mfcmt"))</formula>
    </cfRule>
    <cfRule type="expression" dxfId="653" priority="660" stopIfTrue="1">
      <formula>AND(NOT(CELL("protect",$F$241)),$F$241=$A$241,AND($B$241&lt;&gt;"cmt",$B$241&lt;&gt;"mfcmt"))</formula>
    </cfRule>
    <cfRule type="expression" dxfId="652" priority="661">
      <formula>AND(NOT(CELL("protect",$F$241)),AND($B$241&lt;&gt;"cmt",$B$241&lt;&gt;"mfcmt"))</formula>
    </cfRule>
  </conditionalFormatting>
  <conditionalFormatting sqref="F242">
    <cfRule type="expression" dxfId="651" priority="656" stopIfTrue="1">
      <formula>AND(NOT(CELL("protect",$F$242)),OR($B$242="cmt",$B$242="mfcmt"))</formula>
    </cfRule>
    <cfRule type="expression" dxfId="650" priority="657" stopIfTrue="1">
      <formula>AND(NOT(CELL("protect",$F$242)),$F$242=$A$242,AND($B$242&lt;&gt;"cmt",$B$242&lt;&gt;"mfcmt"))</formula>
    </cfRule>
    <cfRule type="expression" dxfId="649" priority="658">
      <formula>AND(NOT(CELL("protect",$F$242)),AND($B$242&lt;&gt;"cmt",$B$242&lt;&gt;"mfcmt"))</formula>
    </cfRule>
  </conditionalFormatting>
  <conditionalFormatting sqref="F243">
    <cfRule type="expression" dxfId="648" priority="653" stopIfTrue="1">
      <formula>AND(NOT(CELL("protect",$F$243)),OR($B$243="cmt",$B$243="mfcmt"))</formula>
    </cfRule>
    <cfRule type="expression" dxfId="647" priority="654" stopIfTrue="1">
      <formula>AND(NOT(CELL("protect",$F$243)),$F$243=$A$243,AND($B$243&lt;&gt;"cmt",$B$243&lt;&gt;"mfcmt"))</formula>
    </cfRule>
    <cfRule type="expression" dxfId="646" priority="655">
      <formula>AND(NOT(CELL("protect",$F$243)),AND($B$243&lt;&gt;"cmt",$B$243&lt;&gt;"mfcmt"))</formula>
    </cfRule>
  </conditionalFormatting>
  <conditionalFormatting sqref="F244">
    <cfRule type="expression" dxfId="645" priority="650" stopIfTrue="1">
      <formula>AND(NOT(CELL("protect",$F$244)),OR($B$244="cmt",$B$244="mfcmt"))</formula>
    </cfRule>
    <cfRule type="expression" dxfId="644" priority="651" stopIfTrue="1">
      <formula>AND(NOT(CELL("protect",$F$244)),$F$244=$A$244,AND($B$244&lt;&gt;"cmt",$B$244&lt;&gt;"mfcmt"))</formula>
    </cfRule>
    <cfRule type="expression" dxfId="643" priority="652">
      <formula>AND(NOT(CELL("protect",$F$244)),AND($B$244&lt;&gt;"cmt",$B$244&lt;&gt;"mfcmt"))</formula>
    </cfRule>
  </conditionalFormatting>
  <conditionalFormatting sqref="F245">
    <cfRule type="expression" dxfId="642" priority="647" stopIfTrue="1">
      <formula>AND(NOT(CELL("protect",$F$245)),OR($B$245="cmt",$B$245="mfcmt"))</formula>
    </cfRule>
    <cfRule type="expression" dxfId="641" priority="648" stopIfTrue="1">
      <formula>AND(NOT(CELL("protect",$F$245)),$F$245=$A$245,AND($B$245&lt;&gt;"cmt",$B$245&lt;&gt;"mfcmt"))</formula>
    </cfRule>
    <cfRule type="expression" dxfId="640" priority="649">
      <formula>AND(NOT(CELL("protect",$F$245)),AND($B$245&lt;&gt;"cmt",$B$245&lt;&gt;"mfcmt"))</formula>
    </cfRule>
  </conditionalFormatting>
  <conditionalFormatting sqref="F246">
    <cfRule type="expression" dxfId="639" priority="644" stopIfTrue="1">
      <formula>AND(NOT(CELL("protect",$F$246)),OR($B$246="cmt",$B$246="mfcmt"))</formula>
    </cfRule>
    <cfRule type="expression" dxfId="638" priority="645" stopIfTrue="1">
      <formula>AND(NOT(CELL("protect",$F$246)),$F$246=$A$246,AND($B$246&lt;&gt;"cmt",$B$246&lt;&gt;"mfcmt"))</formula>
    </cfRule>
    <cfRule type="expression" dxfId="637" priority="646">
      <formula>AND(NOT(CELL("protect",$F$246)),AND($B$246&lt;&gt;"cmt",$B$246&lt;&gt;"mfcmt"))</formula>
    </cfRule>
  </conditionalFormatting>
  <conditionalFormatting sqref="F247">
    <cfRule type="expression" dxfId="636" priority="641" stopIfTrue="1">
      <formula>AND(NOT(CELL("protect",$F$247)),OR($B$247="cmt",$B$247="mfcmt"))</formula>
    </cfRule>
    <cfRule type="expression" dxfId="635" priority="642" stopIfTrue="1">
      <formula>AND(NOT(CELL("protect",$F$247)),$F$247=$A$247,AND($B$247&lt;&gt;"cmt",$B$247&lt;&gt;"mfcmt"))</formula>
    </cfRule>
    <cfRule type="expression" dxfId="634" priority="643">
      <formula>AND(NOT(CELL("protect",$F$247)),AND($B$247&lt;&gt;"cmt",$B$247&lt;&gt;"mfcmt"))</formula>
    </cfRule>
  </conditionalFormatting>
  <conditionalFormatting sqref="F248">
    <cfRule type="expression" dxfId="633" priority="638" stopIfTrue="1">
      <formula>AND(NOT(CELL("protect",$F$248)),OR($B$248="cmt",$B$248="mfcmt"))</formula>
    </cfRule>
    <cfRule type="expression" dxfId="632" priority="639" stopIfTrue="1">
      <formula>AND(NOT(CELL("protect",$F$248)),$F$248=$A$248,AND($B$248&lt;&gt;"cmt",$B$248&lt;&gt;"mfcmt"))</formula>
    </cfRule>
    <cfRule type="expression" dxfId="631" priority="640">
      <formula>AND(NOT(CELL("protect",$F$248)),AND($B$248&lt;&gt;"cmt",$B$248&lt;&gt;"mfcmt"))</formula>
    </cfRule>
  </conditionalFormatting>
  <conditionalFormatting sqref="F249">
    <cfRule type="expression" dxfId="630" priority="635" stopIfTrue="1">
      <formula>AND(NOT(CELL("protect",$F$249)),OR($B$249="cmt",$B$249="mfcmt"))</formula>
    </cfRule>
    <cfRule type="expression" dxfId="629" priority="636" stopIfTrue="1">
      <formula>AND(NOT(CELL("protect",$F$249)),$F$249=$A$249,AND($B$249&lt;&gt;"cmt",$B$249&lt;&gt;"mfcmt"))</formula>
    </cfRule>
    <cfRule type="expression" dxfId="628" priority="637">
      <formula>AND(NOT(CELL("protect",$F$249)),AND($B$249&lt;&gt;"cmt",$B$249&lt;&gt;"mfcmt"))</formula>
    </cfRule>
  </conditionalFormatting>
  <conditionalFormatting sqref="F250">
    <cfRule type="expression" dxfId="627" priority="632" stopIfTrue="1">
      <formula>AND(NOT(CELL("protect",$F$250)),OR($B$250="cmt",$B$250="mfcmt"))</formula>
    </cfRule>
    <cfRule type="expression" dxfId="626" priority="633" stopIfTrue="1">
      <formula>AND(NOT(CELL("protect",$F$250)),$F$250=$A$250,AND($B$250&lt;&gt;"cmt",$B$250&lt;&gt;"mfcmt"))</formula>
    </cfRule>
    <cfRule type="expression" dxfId="625" priority="634">
      <formula>AND(NOT(CELL("protect",$F$250)),AND($B$250&lt;&gt;"cmt",$B$250&lt;&gt;"mfcmt"))</formula>
    </cfRule>
  </conditionalFormatting>
  <conditionalFormatting sqref="F251">
    <cfRule type="expression" dxfId="624" priority="629" stopIfTrue="1">
      <formula>AND(NOT(CELL("protect",$F$251)),OR($B$251="cmt",$B$251="mfcmt"))</formula>
    </cfRule>
    <cfRule type="expression" dxfId="623" priority="630" stopIfTrue="1">
      <formula>AND(NOT(CELL("protect",$F$251)),$F$251=$A$251,AND($B$251&lt;&gt;"cmt",$B$251&lt;&gt;"mfcmt"))</formula>
    </cfRule>
    <cfRule type="expression" dxfId="622" priority="631">
      <formula>AND(NOT(CELL("protect",$F$251)),AND($B$251&lt;&gt;"cmt",$B$251&lt;&gt;"mfcmt"))</formula>
    </cfRule>
  </conditionalFormatting>
  <conditionalFormatting sqref="F252">
    <cfRule type="expression" dxfId="621" priority="626" stopIfTrue="1">
      <formula>AND(NOT(CELL("protect",$F$252)),OR($B$252="cmt",$B$252="mfcmt"))</formula>
    </cfRule>
    <cfRule type="expression" dxfId="620" priority="627" stopIfTrue="1">
      <formula>AND(NOT(CELL("protect",$F$252)),$F$252=$A$252,AND($B$252&lt;&gt;"cmt",$B$252&lt;&gt;"mfcmt"))</formula>
    </cfRule>
    <cfRule type="expression" dxfId="619" priority="628">
      <formula>AND(NOT(CELL("protect",$F$252)),AND($B$252&lt;&gt;"cmt",$B$252&lt;&gt;"mfcmt"))</formula>
    </cfRule>
  </conditionalFormatting>
  <conditionalFormatting sqref="F253">
    <cfRule type="expression" dxfId="618" priority="623" stopIfTrue="1">
      <formula>AND(NOT(CELL("protect",$F$253)),OR($B$253="cmt",$B$253="mfcmt"))</formula>
    </cfRule>
    <cfRule type="expression" dxfId="617" priority="624" stopIfTrue="1">
      <formula>AND(NOT(CELL("protect",$F$253)),$F$253=$A$253,AND($B$253&lt;&gt;"cmt",$B$253&lt;&gt;"mfcmt"))</formula>
    </cfRule>
    <cfRule type="expression" dxfId="616" priority="625">
      <formula>AND(NOT(CELL("protect",$F$253)),AND($B$253&lt;&gt;"cmt",$B$253&lt;&gt;"mfcmt"))</formula>
    </cfRule>
  </conditionalFormatting>
  <conditionalFormatting sqref="F254">
    <cfRule type="expression" dxfId="615" priority="620" stopIfTrue="1">
      <formula>AND(NOT(CELL("protect",$F$254)),OR($B$254="cmt",$B$254="mfcmt"))</formula>
    </cfRule>
    <cfRule type="expression" dxfId="614" priority="621" stopIfTrue="1">
      <formula>AND(NOT(CELL("protect",$F$254)),$F$254=$A$254,AND($B$254&lt;&gt;"cmt",$B$254&lt;&gt;"mfcmt"))</formula>
    </cfRule>
    <cfRule type="expression" dxfId="613" priority="622">
      <formula>AND(NOT(CELL("protect",$F$254)),AND($B$254&lt;&gt;"cmt",$B$254&lt;&gt;"mfcmt"))</formula>
    </cfRule>
  </conditionalFormatting>
  <conditionalFormatting sqref="F255">
    <cfRule type="expression" dxfId="612" priority="617" stopIfTrue="1">
      <formula>AND(NOT(CELL("protect",$F$255)),OR($B$255="cmt",$B$255="mfcmt"))</formula>
    </cfRule>
    <cfRule type="expression" dxfId="611" priority="618" stopIfTrue="1">
      <formula>AND(NOT(CELL("protect",$F$255)),$F$255=$A$255,AND($B$255&lt;&gt;"cmt",$B$255&lt;&gt;"mfcmt"))</formula>
    </cfRule>
    <cfRule type="expression" dxfId="610" priority="619">
      <formula>AND(NOT(CELL("protect",$F$255)),AND($B$255&lt;&gt;"cmt",$B$255&lt;&gt;"mfcmt"))</formula>
    </cfRule>
  </conditionalFormatting>
  <conditionalFormatting sqref="F256">
    <cfRule type="expression" dxfId="609" priority="614" stopIfTrue="1">
      <formula>AND(NOT(CELL("protect",$F$256)),OR($B$256="cmt",$B$256="mfcmt"))</formula>
    </cfRule>
    <cfRule type="expression" dxfId="608" priority="615" stopIfTrue="1">
      <formula>AND(NOT(CELL("protect",$F$256)),$F$256=$A$256,AND($B$256&lt;&gt;"cmt",$B$256&lt;&gt;"mfcmt"))</formula>
    </cfRule>
    <cfRule type="expression" dxfId="607" priority="616">
      <formula>AND(NOT(CELL("protect",$F$256)),AND($B$256&lt;&gt;"cmt",$B$256&lt;&gt;"mfcmt"))</formula>
    </cfRule>
  </conditionalFormatting>
  <conditionalFormatting sqref="F257">
    <cfRule type="expression" dxfId="606" priority="611" stopIfTrue="1">
      <formula>AND(NOT(CELL("protect",$F$257)),OR($B$257="cmt",$B$257="mfcmt"))</formula>
    </cfRule>
    <cfRule type="expression" dxfId="605" priority="612" stopIfTrue="1">
      <formula>AND(NOT(CELL("protect",$F$257)),$F$257=$A$257,AND($B$257&lt;&gt;"cmt",$B$257&lt;&gt;"mfcmt"))</formula>
    </cfRule>
    <cfRule type="expression" dxfId="604" priority="613">
      <formula>AND(NOT(CELL("protect",$F$257)),AND($B$257&lt;&gt;"cmt",$B$257&lt;&gt;"mfcmt"))</formula>
    </cfRule>
  </conditionalFormatting>
  <conditionalFormatting sqref="F258">
    <cfRule type="expression" dxfId="603" priority="608" stopIfTrue="1">
      <formula>AND(NOT(CELL("protect",$F$258)),OR($B$258="cmt",$B$258="mfcmt"))</formula>
    </cfRule>
    <cfRule type="expression" dxfId="602" priority="609" stopIfTrue="1">
      <formula>AND(NOT(CELL("protect",$F$258)),$F$258=$A$258,AND($B$258&lt;&gt;"cmt",$B$258&lt;&gt;"mfcmt"))</formula>
    </cfRule>
    <cfRule type="expression" dxfId="601" priority="610">
      <formula>AND(NOT(CELL("protect",$F$258)),AND($B$258&lt;&gt;"cmt",$B$258&lt;&gt;"mfcmt"))</formula>
    </cfRule>
  </conditionalFormatting>
  <conditionalFormatting sqref="F259">
    <cfRule type="expression" dxfId="600" priority="605" stopIfTrue="1">
      <formula>AND(NOT(CELL("protect",$F$259)),OR($B$259="cmt",$B$259="mfcmt"))</formula>
    </cfRule>
    <cfRule type="expression" dxfId="599" priority="606" stopIfTrue="1">
      <formula>AND(NOT(CELL("protect",$F$259)),$F$259=$A$259,AND($B$259&lt;&gt;"cmt",$B$259&lt;&gt;"mfcmt"))</formula>
    </cfRule>
    <cfRule type="expression" dxfId="598" priority="607">
      <formula>AND(NOT(CELL("protect",$F$259)),AND($B$259&lt;&gt;"cmt",$B$259&lt;&gt;"mfcmt"))</formula>
    </cfRule>
  </conditionalFormatting>
  <conditionalFormatting sqref="F260">
    <cfRule type="expression" dxfId="597" priority="602" stopIfTrue="1">
      <formula>AND(NOT(CELL("protect",$F$260)),OR($B$260="cmt",$B$260="mfcmt"))</formula>
    </cfRule>
    <cfRule type="expression" dxfId="596" priority="603" stopIfTrue="1">
      <formula>AND(NOT(CELL("protect",$F$260)),$F$260=$A$260,AND($B$260&lt;&gt;"cmt",$B$260&lt;&gt;"mfcmt"))</formula>
    </cfRule>
    <cfRule type="expression" dxfId="595" priority="604">
      <formula>AND(NOT(CELL("protect",$F$260)),AND($B$260&lt;&gt;"cmt",$B$260&lt;&gt;"mfcmt"))</formula>
    </cfRule>
  </conditionalFormatting>
  <conditionalFormatting sqref="F261">
    <cfRule type="expression" dxfId="594" priority="599" stopIfTrue="1">
      <formula>AND(NOT(CELL("protect",$F$261)),OR($B$261="cmt",$B$261="mfcmt"))</formula>
    </cfRule>
    <cfRule type="expression" dxfId="593" priority="600" stopIfTrue="1">
      <formula>AND(NOT(CELL("protect",$F$261)),$F$261=$A$261,AND($B$261&lt;&gt;"cmt",$B$261&lt;&gt;"mfcmt"))</formula>
    </cfRule>
    <cfRule type="expression" dxfId="592" priority="601">
      <formula>AND(NOT(CELL("protect",$F$261)),AND($B$261&lt;&gt;"cmt",$B$261&lt;&gt;"mfcmt"))</formula>
    </cfRule>
  </conditionalFormatting>
  <conditionalFormatting sqref="F262">
    <cfRule type="expression" dxfId="591" priority="596" stopIfTrue="1">
      <formula>AND(NOT(CELL("protect",$F$262)),OR($B$262="cmt",$B$262="mfcmt"))</formula>
    </cfRule>
    <cfRule type="expression" dxfId="590" priority="597" stopIfTrue="1">
      <formula>AND(NOT(CELL("protect",$F$262)),$F$262=$A$262,AND($B$262&lt;&gt;"cmt",$B$262&lt;&gt;"mfcmt"))</formula>
    </cfRule>
    <cfRule type="expression" dxfId="589" priority="598">
      <formula>AND(NOT(CELL("protect",$F$262)),AND($B$262&lt;&gt;"cmt",$B$262&lt;&gt;"mfcmt"))</formula>
    </cfRule>
  </conditionalFormatting>
  <conditionalFormatting sqref="F263">
    <cfRule type="expression" dxfId="588" priority="593" stopIfTrue="1">
      <formula>AND(NOT(CELL("protect",$F$263)),OR($B$263="cmt",$B$263="mfcmt"))</formula>
    </cfRule>
    <cfRule type="expression" dxfId="587" priority="594" stopIfTrue="1">
      <formula>AND(NOT(CELL("protect",$F$263)),$F$263=$A$263,AND($B$263&lt;&gt;"cmt",$B$263&lt;&gt;"mfcmt"))</formula>
    </cfRule>
    <cfRule type="expression" dxfId="586" priority="595">
      <formula>AND(NOT(CELL("protect",$F$263)),AND($B$263&lt;&gt;"cmt",$B$263&lt;&gt;"mfcmt"))</formula>
    </cfRule>
  </conditionalFormatting>
  <conditionalFormatting sqref="F264">
    <cfRule type="expression" dxfId="585" priority="590" stopIfTrue="1">
      <formula>AND(NOT(CELL("protect",$F$264)),OR($B$264="cmt",$B$264="mfcmt"))</formula>
    </cfRule>
    <cfRule type="expression" dxfId="584" priority="591" stopIfTrue="1">
      <formula>AND(NOT(CELL("protect",$F$264)),$F$264=$A$264,AND($B$264&lt;&gt;"cmt",$B$264&lt;&gt;"mfcmt"))</formula>
    </cfRule>
    <cfRule type="expression" dxfId="583" priority="592">
      <formula>AND(NOT(CELL("protect",$F$264)),AND($B$264&lt;&gt;"cmt",$B$264&lt;&gt;"mfcmt"))</formula>
    </cfRule>
  </conditionalFormatting>
  <conditionalFormatting sqref="F265">
    <cfRule type="expression" dxfId="582" priority="587" stopIfTrue="1">
      <formula>AND(NOT(CELL("protect",$F$265)),OR($B$265="cmt",$B$265="mfcmt"))</formula>
    </cfRule>
    <cfRule type="expression" dxfId="581" priority="588" stopIfTrue="1">
      <formula>AND(NOT(CELL("protect",$F$265)),$F$265=$A$265,AND($B$265&lt;&gt;"cmt",$B$265&lt;&gt;"mfcmt"))</formula>
    </cfRule>
    <cfRule type="expression" dxfId="580" priority="589">
      <formula>AND(NOT(CELL("protect",$F$265)),AND($B$265&lt;&gt;"cmt",$B$265&lt;&gt;"mfcmt"))</formula>
    </cfRule>
  </conditionalFormatting>
  <conditionalFormatting sqref="F266">
    <cfRule type="expression" dxfId="579" priority="584" stopIfTrue="1">
      <formula>AND(NOT(CELL("protect",$F$266)),OR($B$266="cmt",$B$266="mfcmt"))</formula>
    </cfRule>
    <cfRule type="expression" dxfId="578" priority="585" stopIfTrue="1">
      <formula>AND(NOT(CELL("protect",$F$266)),$F$266=$A$266,AND($B$266&lt;&gt;"cmt",$B$266&lt;&gt;"mfcmt"))</formula>
    </cfRule>
    <cfRule type="expression" dxfId="577" priority="586">
      <formula>AND(NOT(CELL("protect",$F$266)),AND($B$266&lt;&gt;"cmt",$B$266&lt;&gt;"mfcmt"))</formula>
    </cfRule>
  </conditionalFormatting>
  <conditionalFormatting sqref="F267">
    <cfRule type="expression" dxfId="576" priority="581" stopIfTrue="1">
      <formula>AND(NOT(CELL("protect",$F$267)),OR($B$267="cmt",$B$267="mfcmt"))</formula>
    </cfRule>
    <cfRule type="expression" dxfId="575" priority="582" stopIfTrue="1">
      <formula>AND(NOT(CELL("protect",$F$267)),$F$267=$A$267,AND($B$267&lt;&gt;"cmt",$B$267&lt;&gt;"mfcmt"))</formula>
    </cfRule>
    <cfRule type="expression" dxfId="574" priority="583">
      <formula>AND(NOT(CELL("protect",$F$267)),AND($B$267&lt;&gt;"cmt",$B$267&lt;&gt;"mfcmt"))</formula>
    </cfRule>
  </conditionalFormatting>
  <conditionalFormatting sqref="F268">
    <cfRule type="expression" dxfId="573" priority="578" stopIfTrue="1">
      <formula>AND(NOT(CELL("protect",$F$268)),OR($B$268="cmt",$B$268="mfcmt"))</formula>
    </cfRule>
    <cfRule type="expression" dxfId="572" priority="579" stopIfTrue="1">
      <formula>AND(NOT(CELL("protect",$F$268)),$F$268=$A$268,AND($B$268&lt;&gt;"cmt",$B$268&lt;&gt;"mfcmt"))</formula>
    </cfRule>
    <cfRule type="expression" dxfId="571" priority="580">
      <formula>AND(NOT(CELL("protect",$F$268)),AND($B$268&lt;&gt;"cmt",$B$268&lt;&gt;"mfcmt"))</formula>
    </cfRule>
  </conditionalFormatting>
  <conditionalFormatting sqref="F269">
    <cfRule type="expression" dxfId="570" priority="575" stopIfTrue="1">
      <formula>AND(NOT(CELL("protect",$F$269)),OR($B$269="cmt",$B$269="mfcmt"))</formula>
    </cfRule>
    <cfRule type="expression" dxfId="569" priority="576" stopIfTrue="1">
      <formula>AND(NOT(CELL("protect",$F$269)),$F$269=$A$269,AND($B$269&lt;&gt;"cmt",$B$269&lt;&gt;"mfcmt"))</formula>
    </cfRule>
    <cfRule type="expression" dxfId="568" priority="577">
      <formula>AND(NOT(CELL("protect",$F$269)),AND($B$269&lt;&gt;"cmt",$B$269&lt;&gt;"mfcmt"))</formula>
    </cfRule>
  </conditionalFormatting>
  <conditionalFormatting sqref="F270">
    <cfRule type="expression" dxfId="567" priority="572" stopIfTrue="1">
      <formula>AND(NOT(CELL("protect",$F$270)),OR($B$270="cmt",$B$270="mfcmt"))</formula>
    </cfRule>
    <cfRule type="expression" dxfId="566" priority="573" stopIfTrue="1">
      <formula>AND(NOT(CELL("protect",$F$270)),$F$270=$A$270,AND($B$270&lt;&gt;"cmt",$B$270&lt;&gt;"mfcmt"))</formula>
    </cfRule>
    <cfRule type="expression" dxfId="565" priority="574">
      <formula>AND(NOT(CELL("protect",$F$270)),AND($B$270&lt;&gt;"cmt",$B$270&lt;&gt;"mfcmt"))</formula>
    </cfRule>
  </conditionalFormatting>
  <conditionalFormatting sqref="F271">
    <cfRule type="expression" dxfId="564" priority="569" stopIfTrue="1">
      <formula>AND(NOT(CELL("protect",$F$271)),OR($B$271="cmt",$B$271="mfcmt"))</formula>
    </cfRule>
    <cfRule type="expression" dxfId="563" priority="570" stopIfTrue="1">
      <formula>AND(NOT(CELL("protect",$F$271)),$F$271=$A$271,AND($B$271&lt;&gt;"cmt",$B$271&lt;&gt;"mfcmt"))</formula>
    </cfRule>
    <cfRule type="expression" dxfId="562" priority="571">
      <formula>AND(NOT(CELL("protect",$F$271)),AND($B$271&lt;&gt;"cmt",$B$271&lt;&gt;"mfcmt"))</formula>
    </cfRule>
  </conditionalFormatting>
  <conditionalFormatting sqref="F272">
    <cfRule type="expression" dxfId="561" priority="566" stopIfTrue="1">
      <formula>AND(NOT(CELL("protect",$F$272)),OR($B$272="cmt",$B$272="mfcmt"))</formula>
    </cfRule>
    <cfRule type="expression" dxfId="560" priority="567" stopIfTrue="1">
      <formula>AND(NOT(CELL("protect",$F$272)),$F$272=$A$272,AND($B$272&lt;&gt;"cmt",$B$272&lt;&gt;"mfcmt"))</formula>
    </cfRule>
    <cfRule type="expression" dxfId="559" priority="568">
      <formula>AND(NOT(CELL("protect",$F$272)),AND($B$272&lt;&gt;"cmt",$B$272&lt;&gt;"mfcmt"))</formula>
    </cfRule>
  </conditionalFormatting>
  <conditionalFormatting sqref="F273">
    <cfRule type="expression" dxfId="558" priority="563" stopIfTrue="1">
      <formula>AND(NOT(CELL("protect",$F$273)),OR($B$273="cmt",$B$273="mfcmt"))</formula>
    </cfRule>
    <cfRule type="expression" dxfId="557" priority="564" stopIfTrue="1">
      <formula>AND(NOT(CELL("protect",$F$273)),$F$273=$A$273,AND($B$273&lt;&gt;"cmt",$B$273&lt;&gt;"mfcmt"))</formula>
    </cfRule>
    <cfRule type="expression" dxfId="556" priority="565">
      <formula>AND(NOT(CELL("protect",$F$273)),AND($B$273&lt;&gt;"cmt",$B$273&lt;&gt;"mfcmt"))</formula>
    </cfRule>
  </conditionalFormatting>
  <conditionalFormatting sqref="F274">
    <cfRule type="expression" dxfId="555" priority="560" stopIfTrue="1">
      <formula>AND(NOT(CELL("protect",$F$274)),OR($B$274="cmt",$B$274="mfcmt"))</formula>
    </cfRule>
    <cfRule type="expression" dxfId="554" priority="561" stopIfTrue="1">
      <formula>AND(NOT(CELL("protect",$F$274)),$F$274=$A$274,AND($B$274&lt;&gt;"cmt",$B$274&lt;&gt;"mfcmt"))</formula>
    </cfRule>
    <cfRule type="expression" dxfId="553" priority="562">
      <formula>AND(NOT(CELL("protect",$F$274)),AND($B$274&lt;&gt;"cmt",$B$274&lt;&gt;"mfcmt"))</formula>
    </cfRule>
  </conditionalFormatting>
  <conditionalFormatting sqref="F275">
    <cfRule type="expression" dxfId="552" priority="557" stopIfTrue="1">
      <formula>AND(NOT(CELL("protect",$F$275)),OR($B$275="cmt",$B$275="mfcmt"))</formula>
    </cfRule>
    <cfRule type="expression" dxfId="551" priority="558" stopIfTrue="1">
      <formula>AND(NOT(CELL("protect",$F$275)),$F$275=$A$275,AND($B$275&lt;&gt;"cmt",$B$275&lt;&gt;"mfcmt"))</formula>
    </cfRule>
    <cfRule type="expression" dxfId="550" priority="559">
      <formula>AND(NOT(CELL("protect",$F$275)),AND($B$275&lt;&gt;"cmt",$B$275&lt;&gt;"mfcmt"))</formula>
    </cfRule>
  </conditionalFormatting>
  <conditionalFormatting sqref="F276">
    <cfRule type="expression" dxfId="549" priority="554" stopIfTrue="1">
      <formula>AND(NOT(CELL("protect",$F$276)),OR($B$276="cmt",$B$276="mfcmt"))</formula>
    </cfRule>
    <cfRule type="expression" dxfId="548" priority="555" stopIfTrue="1">
      <formula>AND(NOT(CELL("protect",$F$276)),$F$276=$A$276,AND($B$276&lt;&gt;"cmt",$B$276&lt;&gt;"mfcmt"))</formula>
    </cfRule>
    <cfRule type="expression" dxfId="547" priority="556">
      <formula>AND(NOT(CELL("protect",$F$276)),AND($B$276&lt;&gt;"cmt",$B$276&lt;&gt;"mfcmt"))</formula>
    </cfRule>
  </conditionalFormatting>
  <conditionalFormatting sqref="F277">
    <cfRule type="expression" dxfId="546" priority="551" stopIfTrue="1">
      <formula>AND(NOT(CELL("protect",$F$277)),OR($B$277="cmt",$B$277="mfcmt"))</formula>
    </cfRule>
    <cfRule type="expression" dxfId="545" priority="552" stopIfTrue="1">
      <formula>AND(NOT(CELL("protect",$F$277)),$F$277=$A$277,AND($B$277&lt;&gt;"cmt",$B$277&lt;&gt;"mfcmt"))</formula>
    </cfRule>
    <cfRule type="expression" dxfId="544" priority="553">
      <formula>AND(NOT(CELL("protect",$F$277)),AND($B$277&lt;&gt;"cmt",$B$277&lt;&gt;"mfcmt"))</formula>
    </cfRule>
  </conditionalFormatting>
  <conditionalFormatting sqref="F278">
    <cfRule type="expression" dxfId="543" priority="548" stopIfTrue="1">
      <formula>AND(NOT(CELL("protect",$F$278)),OR($B$278="cmt",$B$278="mfcmt"))</formula>
    </cfRule>
    <cfRule type="expression" dxfId="542" priority="549" stopIfTrue="1">
      <formula>AND(NOT(CELL("protect",$F$278)),$F$278=$A$278,AND($B$278&lt;&gt;"cmt",$B$278&lt;&gt;"mfcmt"))</formula>
    </cfRule>
    <cfRule type="expression" dxfId="541" priority="550">
      <formula>AND(NOT(CELL("protect",$F$278)),AND($B$278&lt;&gt;"cmt",$B$278&lt;&gt;"mfcmt"))</formula>
    </cfRule>
  </conditionalFormatting>
  <conditionalFormatting sqref="F279">
    <cfRule type="expression" dxfId="540" priority="545" stopIfTrue="1">
      <formula>AND(NOT(CELL("protect",$F$279)),OR($B$279="cmt",$B$279="mfcmt"))</formula>
    </cfRule>
    <cfRule type="expression" dxfId="539" priority="546" stopIfTrue="1">
      <formula>AND(NOT(CELL("protect",$F$279)),$F$279=$A$279,AND($B$279&lt;&gt;"cmt",$B$279&lt;&gt;"mfcmt"))</formula>
    </cfRule>
    <cfRule type="expression" dxfId="538" priority="547">
      <formula>AND(NOT(CELL("protect",$F$279)),AND($B$279&lt;&gt;"cmt",$B$279&lt;&gt;"mfcmt"))</formula>
    </cfRule>
  </conditionalFormatting>
  <conditionalFormatting sqref="F280">
    <cfRule type="expression" dxfId="537" priority="542" stopIfTrue="1">
      <formula>AND(NOT(CELL("protect",$F$280)),OR($B$280="cmt",$B$280="mfcmt"))</formula>
    </cfRule>
    <cfRule type="expression" dxfId="536" priority="543" stopIfTrue="1">
      <formula>AND(NOT(CELL("protect",$F$280)),$F$280=$A$280,AND($B$280&lt;&gt;"cmt",$B$280&lt;&gt;"mfcmt"))</formula>
    </cfRule>
    <cfRule type="expression" dxfId="535" priority="544">
      <formula>AND(NOT(CELL("protect",$F$280)),AND($B$280&lt;&gt;"cmt",$B$280&lt;&gt;"mfcmt"))</formula>
    </cfRule>
  </conditionalFormatting>
  <conditionalFormatting sqref="F281">
    <cfRule type="expression" dxfId="534" priority="539" stopIfTrue="1">
      <formula>AND(NOT(CELL("protect",$F$281)),OR($B$281="cmt",$B$281="mfcmt"))</formula>
    </cfRule>
    <cfRule type="expression" dxfId="533" priority="540" stopIfTrue="1">
      <formula>AND(NOT(CELL("protect",$F$281)),$F$281=$A$281,AND($B$281&lt;&gt;"cmt",$B$281&lt;&gt;"mfcmt"))</formula>
    </cfRule>
    <cfRule type="expression" dxfId="532" priority="541">
      <formula>AND(NOT(CELL("protect",$F$281)),AND($B$281&lt;&gt;"cmt",$B$281&lt;&gt;"mfcmt"))</formula>
    </cfRule>
  </conditionalFormatting>
  <conditionalFormatting sqref="F282">
    <cfRule type="expression" dxfId="531" priority="536" stopIfTrue="1">
      <formula>AND(NOT(CELL("protect",$F$282)),OR($B$282="cmt",$B$282="mfcmt"))</formula>
    </cfRule>
    <cfRule type="expression" dxfId="530" priority="537" stopIfTrue="1">
      <formula>AND(NOT(CELL("protect",$F$282)),$F$282=$A$282,AND($B$282&lt;&gt;"cmt",$B$282&lt;&gt;"mfcmt"))</formula>
    </cfRule>
    <cfRule type="expression" dxfId="529" priority="538">
      <formula>AND(NOT(CELL("protect",$F$282)),AND($B$282&lt;&gt;"cmt",$B$282&lt;&gt;"mfcmt"))</formula>
    </cfRule>
  </conditionalFormatting>
  <conditionalFormatting sqref="F283">
    <cfRule type="expression" dxfId="528" priority="533" stopIfTrue="1">
      <formula>AND(NOT(CELL("protect",$F$283)),OR($B$283="cmt",$B$283="mfcmt"))</formula>
    </cfRule>
    <cfRule type="expression" dxfId="527" priority="534" stopIfTrue="1">
      <formula>AND(NOT(CELL("protect",$F$283)),$F$283=$A$283,AND($B$283&lt;&gt;"cmt",$B$283&lt;&gt;"mfcmt"))</formula>
    </cfRule>
    <cfRule type="expression" dxfId="526" priority="535">
      <formula>AND(NOT(CELL("protect",$F$283)),AND($B$283&lt;&gt;"cmt",$B$283&lt;&gt;"mfcmt"))</formula>
    </cfRule>
  </conditionalFormatting>
  <conditionalFormatting sqref="F284">
    <cfRule type="expression" dxfId="525" priority="530" stopIfTrue="1">
      <formula>AND(NOT(CELL("protect",$F$284)),OR($B$284="cmt",$B$284="mfcmt"))</formula>
    </cfRule>
    <cfRule type="expression" dxfId="524" priority="531" stopIfTrue="1">
      <formula>AND(NOT(CELL("protect",$F$284)),$F$284=$A$284,AND($B$284&lt;&gt;"cmt",$B$284&lt;&gt;"mfcmt"))</formula>
    </cfRule>
    <cfRule type="expression" dxfId="523" priority="532">
      <formula>AND(NOT(CELL("protect",$F$284)),AND($B$284&lt;&gt;"cmt",$B$284&lt;&gt;"mfcmt"))</formula>
    </cfRule>
  </conditionalFormatting>
  <conditionalFormatting sqref="F285">
    <cfRule type="expression" dxfId="522" priority="527" stopIfTrue="1">
      <formula>AND(NOT(CELL("protect",$F$285)),OR($B$285="cmt",$B$285="mfcmt"))</formula>
    </cfRule>
    <cfRule type="expression" dxfId="521" priority="528" stopIfTrue="1">
      <formula>AND(NOT(CELL("protect",$F$285)),$F$285=$A$285,AND($B$285&lt;&gt;"cmt",$B$285&lt;&gt;"mfcmt"))</formula>
    </cfRule>
    <cfRule type="expression" dxfId="520" priority="529">
      <formula>AND(NOT(CELL("protect",$F$285)),AND($B$285&lt;&gt;"cmt",$B$285&lt;&gt;"mfcmt"))</formula>
    </cfRule>
  </conditionalFormatting>
  <conditionalFormatting sqref="F286">
    <cfRule type="expression" dxfId="519" priority="524" stopIfTrue="1">
      <formula>AND(NOT(CELL("protect",$F$286)),OR($B$286="cmt",$B$286="mfcmt"))</formula>
    </cfRule>
    <cfRule type="expression" dxfId="518" priority="525" stopIfTrue="1">
      <formula>AND(NOT(CELL("protect",$F$286)),$F$286=$A$286,AND($B$286&lt;&gt;"cmt",$B$286&lt;&gt;"mfcmt"))</formula>
    </cfRule>
    <cfRule type="expression" dxfId="517" priority="526">
      <formula>AND(NOT(CELL("protect",$F$286)),AND($B$286&lt;&gt;"cmt",$B$286&lt;&gt;"mfcmt"))</formula>
    </cfRule>
  </conditionalFormatting>
  <conditionalFormatting sqref="F287">
    <cfRule type="expression" dxfId="516" priority="521" stopIfTrue="1">
      <formula>AND(NOT(CELL("protect",$F$287)),OR($B$287="cmt",$B$287="mfcmt"))</formula>
    </cfRule>
    <cfRule type="expression" dxfId="515" priority="522" stopIfTrue="1">
      <formula>AND(NOT(CELL("protect",$F$287)),$F$287=$A$287,AND($B$287&lt;&gt;"cmt",$B$287&lt;&gt;"mfcmt"))</formula>
    </cfRule>
    <cfRule type="expression" dxfId="514" priority="523">
      <formula>AND(NOT(CELL("protect",$F$287)),AND($B$287&lt;&gt;"cmt",$B$287&lt;&gt;"mfcmt"))</formula>
    </cfRule>
  </conditionalFormatting>
  <conditionalFormatting sqref="F288">
    <cfRule type="expression" dxfId="513" priority="518" stopIfTrue="1">
      <formula>AND(NOT(CELL("protect",$F$288)),OR($B$288="cmt",$B$288="mfcmt"))</formula>
    </cfRule>
    <cfRule type="expression" dxfId="512" priority="519" stopIfTrue="1">
      <formula>AND(NOT(CELL("protect",$F$288)),$F$288=$A$288,AND($B$288&lt;&gt;"cmt",$B$288&lt;&gt;"mfcmt"))</formula>
    </cfRule>
    <cfRule type="expression" dxfId="511" priority="520">
      <formula>AND(NOT(CELL("protect",$F$288)),AND($B$288&lt;&gt;"cmt",$B$288&lt;&gt;"mfcmt"))</formula>
    </cfRule>
  </conditionalFormatting>
  <conditionalFormatting sqref="F289">
    <cfRule type="expression" dxfId="510" priority="515" stopIfTrue="1">
      <formula>AND(NOT(CELL("protect",$F$289)),OR($B$289="cmt",$B$289="mfcmt"))</formula>
    </cfRule>
    <cfRule type="expression" dxfId="509" priority="516" stopIfTrue="1">
      <formula>AND(NOT(CELL("protect",$F$289)),$F$289=$A$289,AND($B$289&lt;&gt;"cmt",$B$289&lt;&gt;"mfcmt"))</formula>
    </cfRule>
    <cfRule type="expression" dxfId="508" priority="517">
      <formula>AND(NOT(CELL("protect",$F$289)),AND($B$289&lt;&gt;"cmt",$B$289&lt;&gt;"mfcmt"))</formula>
    </cfRule>
  </conditionalFormatting>
  <conditionalFormatting sqref="F290">
    <cfRule type="expression" dxfId="507" priority="512" stopIfTrue="1">
      <formula>AND(NOT(CELL("protect",$F$290)),OR($B$290="cmt",$B$290="mfcmt"))</formula>
    </cfRule>
    <cfRule type="expression" dxfId="506" priority="513" stopIfTrue="1">
      <formula>AND(NOT(CELL("protect",$F$290)),$F$290=$A$290,AND($B$290&lt;&gt;"cmt",$B$290&lt;&gt;"mfcmt"))</formula>
    </cfRule>
    <cfRule type="expression" dxfId="505" priority="514">
      <formula>AND(NOT(CELL("protect",$F$290)),AND($B$290&lt;&gt;"cmt",$B$290&lt;&gt;"mfcmt"))</formula>
    </cfRule>
  </conditionalFormatting>
  <conditionalFormatting sqref="F291">
    <cfRule type="expression" dxfId="504" priority="509" stopIfTrue="1">
      <formula>AND(NOT(CELL("protect",$F$291)),OR($B$291="cmt",$B$291="mfcmt"))</formula>
    </cfRule>
    <cfRule type="expression" dxfId="503" priority="510" stopIfTrue="1">
      <formula>AND(NOT(CELL("protect",$F$291)),$F$291=$A$291,AND($B$291&lt;&gt;"cmt",$B$291&lt;&gt;"mfcmt"))</formula>
    </cfRule>
    <cfRule type="expression" dxfId="502" priority="511">
      <formula>AND(NOT(CELL("protect",$F$291)),AND($B$291&lt;&gt;"cmt",$B$291&lt;&gt;"mfcmt"))</formula>
    </cfRule>
  </conditionalFormatting>
  <conditionalFormatting sqref="F292">
    <cfRule type="expression" dxfId="501" priority="506" stopIfTrue="1">
      <formula>AND(NOT(CELL("protect",$F$292)),OR($B$292="cmt",$B$292="mfcmt"))</formula>
    </cfRule>
    <cfRule type="expression" dxfId="500" priority="507" stopIfTrue="1">
      <formula>AND(NOT(CELL("protect",$F$292)),$F$292=$A$292,AND($B$292&lt;&gt;"cmt",$B$292&lt;&gt;"mfcmt"))</formula>
    </cfRule>
    <cfRule type="expression" dxfId="499" priority="508">
      <formula>AND(NOT(CELL("protect",$F$292)),AND($B$292&lt;&gt;"cmt",$B$292&lt;&gt;"mfcmt"))</formula>
    </cfRule>
  </conditionalFormatting>
  <conditionalFormatting sqref="F293">
    <cfRule type="expression" dxfId="498" priority="503" stopIfTrue="1">
      <formula>AND(NOT(CELL("protect",$F$293)),OR($B$293="cmt",$B$293="mfcmt"))</formula>
    </cfRule>
    <cfRule type="expression" dxfId="497" priority="504" stopIfTrue="1">
      <formula>AND(NOT(CELL("protect",$F$293)),$F$293=$A$293,AND($B$293&lt;&gt;"cmt",$B$293&lt;&gt;"mfcmt"))</formula>
    </cfRule>
    <cfRule type="expression" dxfId="496" priority="505">
      <formula>AND(NOT(CELL("protect",$F$293)),AND($B$293&lt;&gt;"cmt",$B$293&lt;&gt;"mfcmt"))</formula>
    </cfRule>
  </conditionalFormatting>
  <conditionalFormatting sqref="F294">
    <cfRule type="expression" dxfId="495" priority="500" stopIfTrue="1">
      <formula>AND(NOT(CELL("protect",$F$294)),OR($B$294="cmt",$B$294="mfcmt"))</formula>
    </cfRule>
    <cfRule type="expression" dxfId="494" priority="501" stopIfTrue="1">
      <formula>AND(NOT(CELL("protect",$F$294)),$F$294=$A$294,AND($B$294&lt;&gt;"cmt",$B$294&lt;&gt;"mfcmt"))</formula>
    </cfRule>
    <cfRule type="expression" dxfId="493" priority="502">
      <formula>AND(NOT(CELL("protect",$F$294)),AND($B$294&lt;&gt;"cmt",$B$294&lt;&gt;"mfcmt"))</formula>
    </cfRule>
  </conditionalFormatting>
  <conditionalFormatting sqref="F295">
    <cfRule type="expression" dxfId="492" priority="497" stopIfTrue="1">
      <formula>AND(NOT(CELL("protect",$F$295)),OR($B$295="cmt",$B$295="mfcmt"))</formula>
    </cfRule>
    <cfRule type="expression" dxfId="491" priority="498" stopIfTrue="1">
      <formula>AND(NOT(CELL("protect",$F$295)),$F$295=$A$295,AND($B$295&lt;&gt;"cmt",$B$295&lt;&gt;"mfcmt"))</formula>
    </cfRule>
    <cfRule type="expression" dxfId="490" priority="499">
      <formula>AND(NOT(CELL("protect",$F$295)),AND($B$295&lt;&gt;"cmt",$B$295&lt;&gt;"mfcmt"))</formula>
    </cfRule>
  </conditionalFormatting>
  <conditionalFormatting sqref="F296">
    <cfRule type="expression" dxfId="489" priority="494" stopIfTrue="1">
      <formula>AND(NOT(CELL("protect",$F$296)),OR($B$296="cmt",$B$296="mfcmt"))</formula>
    </cfRule>
    <cfRule type="expression" dxfId="488" priority="495" stopIfTrue="1">
      <formula>AND(NOT(CELL("protect",$F$296)),$F$296=$A$296,AND($B$296&lt;&gt;"cmt",$B$296&lt;&gt;"mfcmt"))</formula>
    </cfRule>
    <cfRule type="expression" dxfId="487" priority="496">
      <formula>AND(NOT(CELL("protect",$F$296)),AND($B$296&lt;&gt;"cmt",$B$296&lt;&gt;"mfcmt"))</formula>
    </cfRule>
  </conditionalFormatting>
  <conditionalFormatting sqref="F297">
    <cfRule type="expression" dxfId="486" priority="491" stopIfTrue="1">
      <formula>AND(NOT(CELL("protect",$F$297)),OR($B$297="cmt",$B$297="mfcmt"))</formula>
    </cfRule>
    <cfRule type="expression" dxfId="485" priority="492" stopIfTrue="1">
      <formula>AND(NOT(CELL("protect",$F$297)),$F$297=$A$297,AND($B$297&lt;&gt;"cmt",$B$297&lt;&gt;"mfcmt"))</formula>
    </cfRule>
    <cfRule type="expression" dxfId="484" priority="493">
      <formula>AND(NOT(CELL("protect",$F$297)),AND($B$297&lt;&gt;"cmt",$B$297&lt;&gt;"mfcmt"))</formula>
    </cfRule>
  </conditionalFormatting>
  <conditionalFormatting sqref="F298">
    <cfRule type="expression" dxfId="483" priority="488" stopIfTrue="1">
      <formula>AND(NOT(CELL("protect",$F$298)),OR($B$298="cmt",$B$298="mfcmt"))</formula>
    </cfRule>
    <cfRule type="expression" dxfId="482" priority="489" stopIfTrue="1">
      <formula>AND(NOT(CELL("protect",$F$298)),$F$298=$A$298,AND($B$298&lt;&gt;"cmt",$B$298&lt;&gt;"mfcmt"))</formula>
    </cfRule>
    <cfRule type="expression" dxfId="481" priority="490">
      <formula>AND(NOT(CELL("protect",$F$298)),AND($B$298&lt;&gt;"cmt",$B$298&lt;&gt;"mfcmt"))</formula>
    </cfRule>
  </conditionalFormatting>
  <conditionalFormatting sqref="F299">
    <cfRule type="expression" dxfId="480" priority="485" stopIfTrue="1">
      <formula>AND(NOT(CELL("protect",$F$299)),OR($B$299="cmt",$B$299="mfcmt"))</formula>
    </cfRule>
    <cfRule type="expression" dxfId="479" priority="486" stopIfTrue="1">
      <formula>AND(NOT(CELL("protect",$F$299)),$F$299=$A$299,AND($B$299&lt;&gt;"cmt",$B$299&lt;&gt;"mfcmt"))</formula>
    </cfRule>
    <cfRule type="expression" dxfId="478" priority="487">
      <formula>AND(NOT(CELL("protect",$F$299)),AND($B$299&lt;&gt;"cmt",$B$299&lt;&gt;"mfcmt"))</formula>
    </cfRule>
  </conditionalFormatting>
  <conditionalFormatting sqref="F300">
    <cfRule type="expression" dxfId="477" priority="482" stopIfTrue="1">
      <formula>AND(NOT(CELL("protect",$F$300)),OR($B$300="cmt",$B$300="mfcmt"))</formula>
    </cfRule>
    <cfRule type="expression" dxfId="476" priority="483" stopIfTrue="1">
      <formula>AND(NOT(CELL("protect",$F$300)),$F$300=$A$300,AND($B$300&lt;&gt;"cmt",$B$300&lt;&gt;"mfcmt"))</formula>
    </cfRule>
    <cfRule type="expression" dxfId="475" priority="484">
      <formula>AND(NOT(CELL("protect",$F$300)),AND($B$300&lt;&gt;"cmt",$B$300&lt;&gt;"mfcmt"))</formula>
    </cfRule>
  </conditionalFormatting>
  <conditionalFormatting sqref="F301">
    <cfRule type="expression" dxfId="474" priority="479" stopIfTrue="1">
      <formula>AND(NOT(CELL("protect",$F$301)),OR($B$301="cmt",$B$301="mfcmt"))</formula>
    </cfRule>
    <cfRule type="expression" dxfId="473" priority="480" stopIfTrue="1">
      <formula>AND(NOT(CELL("protect",$F$301)),$F$301=$A$301,AND($B$301&lt;&gt;"cmt",$B$301&lt;&gt;"mfcmt"))</formula>
    </cfRule>
    <cfRule type="expression" dxfId="472" priority="481">
      <formula>AND(NOT(CELL("protect",$F$301)),AND($B$301&lt;&gt;"cmt",$B$301&lt;&gt;"mfcmt"))</formula>
    </cfRule>
  </conditionalFormatting>
  <conditionalFormatting sqref="F302">
    <cfRule type="expression" dxfId="471" priority="476" stopIfTrue="1">
      <formula>AND(NOT(CELL("protect",$F$302)),OR($B$302="cmt",$B$302="mfcmt"))</formula>
    </cfRule>
    <cfRule type="expression" dxfId="470" priority="477" stopIfTrue="1">
      <formula>AND(NOT(CELL("protect",$F$302)),$F$302=$A$302,AND($B$302&lt;&gt;"cmt",$B$302&lt;&gt;"mfcmt"))</formula>
    </cfRule>
    <cfRule type="expression" dxfId="469" priority="478">
      <formula>AND(NOT(CELL("protect",$F$302)),AND($B$302&lt;&gt;"cmt",$B$302&lt;&gt;"mfcmt"))</formula>
    </cfRule>
  </conditionalFormatting>
  <conditionalFormatting sqref="F303">
    <cfRule type="expression" dxfId="468" priority="473" stopIfTrue="1">
      <formula>AND(NOT(CELL("protect",$F$303)),OR($B$303="cmt",$B$303="mfcmt"))</formula>
    </cfRule>
    <cfRule type="expression" dxfId="467" priority="474" stopIfTrue="1">
      <formula>AND(NOT(CELL("protect",$F$303)),$F$303=$A$303,AND($B$303&lt;&gt;"cmt",$B$303&lt;&gt;"mfcmt"))</formula>
    </cfRule>
    <cfRule type="expression" dxfId="466" priority="475">
      <formula>AND(NOT(CELL("protect",$F$303)),AND($B$303&lt;&gt;"cmt",$B$303&lt;&gt;"mfcmt"))</formula>
    </cfRule>
  </conditionalFormatting>
  <conditionalFormatting sqref="F304">
    <cfRule type="expression" dxfId="465" priority="470" stopIfTrue="1">
      <formula>AND(NOT(CELL("protect",$F$304)),OR($B$304="cmt",$B$304="mfcmt"))</formula>
    </cfRule>
    <cfRule type="expression" dxfId="464" priority="471" stopIfTrue="1">
      <formula>AND(NOT(CELL("protect",$F$304)),$F$304=$A$304,AND($B$304&lt;&gt;"cmt",$B$304&lt;&gt;"mfcmt"))</formula>
    </cfRule>
    <cfRule type="expression" dxfId="463" priority="472">
      <formula>AND(NOT(CELL("protect",$F$304)),AND($B$304&lt;&gt;"cmt",$B$304&lt;&gt;"mfcmt"))</formula>
    </cfRule>
  </conditionalFormatting>
  <conditionalFormatting sqref="F305">
    <cfRule type="expression" dxfId="462" priority="467" stopIfTrue="1">
      <formula>AND(NOT(CELL("protect",$F$305)),OR($B$305="cmt",$B$305="mfcmt"))</formula>
    </cfRule>
    <cfRule type="expression" dxfId="461" priority="468" stopIfTrue="1">
      <formula>AND(NOT(CELL("protect",$F$305)),$F$305=$A$305,AND($B$305&lt;&gt;"cmt",$B$305&lt;&gt;"mfcmt"))</formula>
    </cfRule>
    <cfRule type="expression" dxfId="460" priority="469">
      <formula>AND(NOT(CELL("protect",$F$305)),AND($B$305&lt;&gt;"cmt",$B$305&lt;&gt;"mfcmt"))</formula>
    </cfRule>
  </conditionalFormatting>
  <conditionalFormatting sqref="F306">
    <cfRule type="expression" dxfId="459" priority="464" stopIfTrue="1">
      <formula>AND(NOT(CELL("protect",$F$306)),OR($B$306="cmt",$B$306="mfcmt"))</formula>
    </cfRule>
    <cfRule type="expression" dxfId="458" priority="465" stopIfTrue="1">
      <formula>AND(NOT(CELL("protect",$F$306)),$F$306=$A$306,AND($B$306&lt;&gt;"cmt",$B$306&lt;&gt;"mfcmt"))</formula>
    </cfRule>
    <cfRule type="expression" dxfId="457" priority="466">
      <formula>AND(NOT(CELL("protect",$F$306)),AND($B$306&lt;&gt;"cmt",$B$306&lt;&gt;"mfcmt"))</formula>
    </cfRule>
  </conditionalFormatting>
  <conditionalFormatting sqref="F307">
    <cfRule type="expression" dxfId="456" priority="461" stopIfTrue="1">
      <formula>AND(NOT(CELL("protect",$F$307)),OR($B$307="cmt",$B$307="mfcmt"))</formula>
    </cfRule>
    <cfRule type="expression" dxfId="455" priority="462" stopIfTrue="1">
      <formula>AND(NOT(CELL("protect",$F$307)),$F$307=$A$307,AND($B$307&lt;&gt;"cmt",$B$307&lt;&gt;"mfcmt"))</formula>
    </cfRule>
    <cfRule type="expression" dxfId="454" priority="463">
      <formula>AND(NOT(CELL("protect",$F$307)),AND($B$307&lt;&gt;"cmt",$B$307&lt;&gt;"mfcmt"))</formula>
    </cfRule>
  </conditionalFormatting>
  <conditionalFormatting sqref="F308">
    <cfRule type="expression" dxfId="453" priority="458" stopIfTrue="1">
      <formula>AND(NOT(CELL("protect",$F$308)),OR($B$308="cmt",$B$308="mfcmt"))</formula>
    </cfRule>
    <cfRule type="expression" dxfId="452" priority="459" stopIfTrue="1">
      <formula>AND(NOT(CELL("protect",$F$308)),$F$308=$A$308,AND($B$308&lt;&gt;"cmt",$B$308&lt;&gt;"mfcmt"))</formula>
    </cfRule>
    <cfRule type="expression" dxfId="451" priority="460">
      <formula>AND(NOT(CELL("protect",$F$308)),AND($B$308&lt;&gt;"cmt",$B$308&lt;&gt;"mfcmt"))</formula>
    </cfRule>
  </conditionalFormatting>
  <conditionalFormatting sqref="F309">
    <cfRule type="expression" dxfId="450" priority="455" stopIfTrue="1">
      <formula>AND(NOT(CELL("protect",$F$309)),OR($B$309="cmt",$B$309="mfcmt"))</formula>
    </cfRule>
    <cfRule type="expression" dxfId="449" priority="456" stopIfTrue="1">
      <formula>AND(NOT(CELL("protect",$F$309)),$F$309=$A$309,AND($B$309&lt;&gt;"cmt",$B$309&lt;&gt;"mfcmt"))</formula>
    </cfRule>
    <cfRule type="expression" dxfId="448" priority="457">
      <formula>AND(NOT(CELL("protect",$F$309)),AND($B$309&lt;&gt;"cmt",$B$309&lt;&gt;"mfcmt"))</formula>
    </cfRule>
  </conditionalFormatting>
  <conditionalFormatting sqref="F310">
    <cfRule type="expression" dxfId="447" priority="452" stopIfTrue="1">
      <formula>AND(NOT(CELL("protect",$F$310)),OR($B$310="cmt",$B$310="mfcmt"))</formula>
    </cfRule>
    <cfRule type="expression" dxfId="446" priority="453" stopIfTrue="1">
      <formula>AND(NOT(CELL("protect",$F$310)),$F$310=$A$310,AND($B$310&lt;&gt;"cmt",$B$310&lt;&gt;"mfcmt"))</formula>
    </cfRule>
    <cfRule type="expression" dxfId="445" priority="454">
      <formula>AND(NOT(CELL("protect",$F$310)),AND($B$310&lt;&gt;"cmt",$B$310&lt;&gt;"mfcmt"))</formula>
    </cfRule>
  </conditionalFormatting>
  <conditionalFormatting sqref="F311">
    <cfRule type="expression" dxfId="444" priority="449" stopIfTrue="1">
      <formula>AND(NOT(CELL("protect",$F$311)),OR($B$311="cmt",$B$311="mfcmt"))</formula>
    </cfRule>
    <cfRule type="expression" dxfId="443" priority="450" stopIfTrue="1">
      <formula>AND(NOT(CELL("protect",$F$311)),$F$311=$A$311,AND($B$311&lt;&gt;"cmt",$B$311&lt;&gt;"mfcmt"))</formula>
    </cfRule>
    <cfRule type="expression" dxfId="442" priority="451">
      <formula>AND(NOT(CELL("protect",$F$311)),AND($B$311&lt;&gt;"cmt",$B$311&lt;&gt;"mfcmt"))</formula>
    </cfRule>
  </conditionalFormatting>
  <conditionalFormatting sqref="F312">
    <cfRule type="expression" dxfId="441" priority="446" stopIfTrue="1">
      <formula>AND(NOT(CELL("protect",$F$312)),OR($B$312="cmt",$B$312="mfcmt"))</formula>
    </cfRule>
    <cfRule type="expression" dxfId="440" priority="447" stopIfTrue="1">
      <formula>AND(NOT(CELL("protect",$F$312)),$F$312=$A$312,AND($B$312&lt;&gt;"cmt",$B$312&lt;&gt;"mfcmt"))</formula>
    </cfRule>
    <cfRule type="expression" dxfId="439" priority="448">
      <formula>AND(NOT(CELL("protect",$F$312)),AND($B$312&lt;&gt;"cmt",$B$312&lt;&gt;"mfcmt"))</formula>
    </cfRule>
  </conditionalFormatting>
  <conditionalFormatting sqref="F313">
    <cfRule type="expression" dxfId="438" priority="443" stopIfTrue="1">
      <formula>AND(NOT(CELL("protect",$F$313)),OR($B$313="cmt",$B$313="mfcmt"))</formula>
    </cfRule>
    <cfRule type="expression" dxfId="437" priority="444" stopIfTrue="1">
      <formula>AND(NOT(CELL("protect",$F$313)),$F$313=$A$313,AND($B$313&lt;&gt;"cmt",$B$313&lt;&gt;"mfcmt"))</formula>
    </cfRule>
    <cfRule type="expression" dxfId="436" priority="445">
      <formula>AND(NOT(CELL("protect",$F$313)),AND($B$313&lt;&gt;"cmt",$B$313&lt;&gt;"mfcmt"))</formula>
    </cfRule>
  </conditionalFormatting>
  <conditionalFormatting sqref="F314">
    <cfRule type="expression" dxfId="435" priority="440" stopIfTrue="1">
      <formula>AND(NOT(CELL("protect",$F$314)),OR($B$314="cmt",$B$314="mfcmt"))</formula>
    </cfRule>
    <cfRule type="expression" dxfId="434" priority="441" stopIfTrue="1">
      <formula>AND(NOT(CELL("protect",$F$314)),$F$314=$A$314,AND($B$314&lt;&gt;"cmt",$B$314&lt;&gt;"mfcmt"))</formula>
    </cfRule>
    <cfRule type="expression" dxfId="433" priority="442">
      <formula>AND(NOT(CELL("protect",$F$314)),AND($B$314&lt;&gt;"cmt",$B$314&lt;&gt;"mfcmt"))</formula>
    </cfRule>
  </conditionalFormatting>
  <conditionalFormatting sqref="F315">
    <cfRule type="expression" dxfId="432" priority="437" stopIfTrue="1">
      <formula>AND(NOT(CELL("protect",$F$315)),OR($B$315="cmt",$B$315="mfcmt"))</formula>
    </cfRule>
    <cfRule type="expression" dxfId="431" priority="438" stopIfTrue="1">
      <formula>AND(NOT(CELL("protect",$F$315)),$F$315=$A$315,AND($B$315&lt;&gt;"cmt",$B$315&lt;&gt;"mfcmt"))</formula>
    </cfRule>
    <cfRule type="expression" dxfId="430" priority="439">
      <formula>AND(NOT(CELL("protect",$F$315)),AND($B$315&lt;&gt;"cmt",$B$315&lt;&gt;"mfcmt"))</formula>
    </cfRule>
  </conditionalFormatting>
  <conditionalFormatting sqref="F316">
    <cfRule type="expression" dxfId="429" priority="434" stopIfTrue="1">
      <formula>AND(NOT(CELL("protect",$F$316)),OR($B$316="cmt",$B$316="mfcmt"))</formula>
    </cfRule>
    <cfRule type="expression" dxfId="428" priority="435" stopIfTrue="1">
      <formula>AND(NOT(CELL("protect",$F$316)),$F$316=$A$316,AND($B$316&lt;&gt;"cmt",$B$316&lt;&gt;"mfcmt"))</formula>
    </cfRule>
    <cfRule type="expression" dxfId="427" priority="436">
      <formula>AND(NOT(CELL("protect",$F$316)),AND($B$316&lt;&gt;"cmt",$B$316&lt;&gt;"mfcmt"))</formula>
    </cfRule>
  </conditionalFormatting>
  <conditionalFormatting sqref="F317">
    <cfRule type="expression" dxfId="426" priority="431" stopIfTrue="1">
      <formula>AND(NOT(CELL("protect",$F$317)),OR($B$317="cmt",$B$317="mfcmt"))</formula>
    </cfRule>
    <cfRule type="expression" dxfId="425" priority="432" stopIfTrue="1">
      <formula>AND(NOT(CELL("protect",$F$317)),$F$317=$A$317,AND($B$317&lt;&gt;"cmt",$B$317&lt;&gt;"mfcmt"))</formula>
    </cfRule>
    <cfRule type="expression" dxfId="424" priority="433">
      <formula>AND(NOT(CELL("protect",$F$317)),AND($B$317&lt;&gt;"cmt",$B$317&lt;&gt;"mfcmt"))</formula>
    </cfRule>
  </conditionalFormatting>
  <conditionalFormatting sqref="F318">
    <cfRule type="expression" dxfId="423" priority="428" stopIfTrue="1">
      <formula>AND(NOT(CELL("protect",$F$318)),OR($B$318="cmt",$B$318="mfcmt"))</formula>
    </cfRule>
    <cfRule type="expression" dxfId="422" priority="429" stopIfTrue="1">
      <formula>AND(NOT(CELL("protect",$F$318)),$F$318=$A$318,AND($B$318&lt;&gt;"cmt",$B$318&lt;&gt;"mfcmt"))</formula>
    </cfRule>
    <cfRule type="expression" dxfId="421" priority="430">
      <formula>AND(NOT(CELL("protect",$F$318)),AND($B$318&lt;&gt;"cmt",$B$318&lt;&gt;"mfcmt"))</formula>
    </cfRule>
  </conditionalFormatting>
  <conditionalFormatting sqref="F319">
    <cfRule type="expression" dxfId="420" priority="425" stopIfTrue="1">
      <formula>AND(NOT(CELL("protect",$F$319)),OR($B$319="cmt",$B$319="mfcmt"))</formula>
    </cfRule>
    <cfRule type="expression" dxfId="419" priority="426" stopIfTrue="1">
      <formula>AND(NOT(CELL("protect",$F$319)),$F$319=$A$319,AND($B$319&lt;&gt;"cmt",$B$319&lt;&gt;"mfcmt"))</formula>
    </cfRule>
    <cfRule type="expression" dxfId="418" priority="427">
      <formula>AND(NOT(CELL("protect",$F$319)),AND($B$319&lt;&gt;"cmt",$B$319&lt;&gt;"mfcmt"))</formula>
    </cfRule>
  </conditionalFormatting>
  <conditionalFormatting sqref="F320">
    <cfRule type="expression" dxfId="417" priority="422" stopIfTrue="1">
      <formula>AND(NOT(CELL("protect",$F$320)),OR($B$320="cmt",$B$320="mfcmt"))</formula>
    </cfRule>
    <cfRule type="expression" dxfId="416" priority="423" stopIfTrue="1">
      <formula>AND(NOT(CELL("protect",$F$320)),$F$320=$A$320,AND($B$320&lt;&gt;"cmt",$B$320&lt;&gt;"mfcmt"))</formula>
    </cfRule>
    <cfRule type="expression" dxfId="415" priority="424">
      <formula>AND(NOT(CELL("protect",$F$320)),AND($B$320&lt;&gt;"cmt",$B$320&lt;&gt;"mfcmt"))</formula>
    </cfRule>
  </conditionalFormatting>
  <conditionalFormatting sqref="F321">
    <cfRule type="expression" dxfId="414" priority="419" stopIfTrue="1">
      <formula>AND(NOT(CELL("protect",$F$321)),OR($B$321="cmt",$B$321="mfcmt"))</formula>
    </cfRule>
    <cfRule type="expression" dxfId="413" priority="420" stopIfTrue="1">
      <formula>AND(NOT(CELL("protect",$F$321)),$F$321=$A$321,AND($B$321&lt;&gt;"cmt",$B$321&lt;&gt;"mfcmt"))</formula>
    </cfRule>
    <cfRule type="expression" dxfId="412" priority="421">
      <formula>AND(NOT(CELL("protect",$F$321)),AND($B$321&lt;&gt;"cmt",$B$321&lt;&gt;"mfcmt"))</formula>
    </cfRule>
  </conditionalFormatting>
  <conditionalFormatting sqref="F322">
    <cfRule type="expression" dxfId="411" priority="416" stopIfTrue="1">
      <formula>AND(NOT(CELL("protect",$F$322)),OR($B$322="cmt",$B$322="mfcmt"))</formula>
    </cfRule>
    <cfRule type="expression" dxfId="410" priority="417" stopIfTrue="1">
      <formula>AND(NOT(CELL("protect",$F$322)),$F$322=$A$322,AND($B$322&lt;&gt;"cmt",$B$322&lt;&gt;"mfcmt"))</formula>
    </cfRule>
    <cfRule type="expression" dxfId="409" priority="418">
      <formula>AND(NOT(CELL("protect",$F$322)),AND($B$322&lt;&gt;"cmt",$B$322&lt;&gt;"mfcmt"))</formula>
    </cfRule>
  </conditionalFormatting>
  <conditionalFormatting sqref="F323">
    <cfRule type="expression" dxfId="408" priority="413" stopIfTrue="1">
      <formula>AND(NOT(CELL("protect",$F$323)),OR($B$323="cmt",$B$323="mfcmt"))</formula>
    </cfRule>
    <cfRule type="expression" dxfId="407" priority="414" stopIfTrue="1">
      <formula>AND(NOT(CELL("protect",$F$323)),$F$323=$A$323,AND($B$323&lt;&gt;"cmt",$B$323&lt;&gt;"mfcmt"))</formula>
    </cfRule>
    <cfRule type="expression" dxfId="406" priority="415">
      <formula>AND(NOT(CELL("protect",$F$323)),AND($B$323&lt;&gt;"cmt",$B$323&lt;&gt;"mfcmt"))</formula>
    </cfRule>
  </conditionalFormatting>
  <conditionalFormatting sqref="F324">
    <cfRule type="expression" dxfId="405" priority="410" stopIfTrue="1">
      <formula>AND(NOT(CELL("protect",$F$324)),OR($B$324="cmt",$B$324="mfcmt"))</formula>
    </cfRule>
    <cfRule type="expression" dxfId="404" priority="411" stopIfTrue="1">
      <formula>AND(NOT(CELL("protect",$F$324)),$F$324=$A$324,AND($B$324&lt;&gt;"cmt",$B$324&lt;&gt;"mfcmt"))</formula>
    </cfRule>
    <cfRule type="expression" dxfId="403" priority="412">
      <formula>AND(NOT(CELL("protect",$F$324)),AND($B$324&lt;&gt;"cmt",$B$324&lt;&gt;"mfcmt"))</formula>
    </cfRule>
  </conditionalFormatting>
  <conditionalFormatting sqref="F325">
    <cfRule type="expression" dxfId="402" priority="407" stopIfTrue="1">
      <formula>AND(NOT(CELL("protect",$F$325)),OR($B$325="cmt",$B$325="mfcmt"))</formula>
    </cfRule>
    <cfRule type="expression" dxfId="401" priority="408" stopIfTrue="1">
      <formula>AND(NOT(CELL("protect",$F$325)),$F$325=$A$325,AND($B$325&lt;&gt;"cmt",$B$325&lt;&gt;"mfcmt"))</formula>
    </cfRule>
    <cfRule type="expression" dxfId="400" priority="409">
      <formula>AND(NOT(CELL("protect",$F$325)),AND($B$325&lt;&gt;"cmt",$B$325&lt;&gt;"mfcmt"))</formula>
    </cfRule>
  </conditionalFormatting>
  <conditionalFormatting sqref="F326">
    <cfRule type="expression" dxfId="399" priority="404" stopIfTrue="1">
      <formula>AND(NOT(CELL("protect",$F$326)),OR($B$326="cmt",$B$326="mfcmt"))</formula>
    </cfRule>
    <cfRule type="expression" dxfId="398" priority="405" stopIfTrue="1">
      <formula>AND(NOT(CELL("protect",$F$326)),$F$326=$A$326,AND($B$326&lt;&gt;"cmt",$B$326&lt;&gt;"mfcmt"))</formula>
    </cfRule>
    <cfRule type="expression" dxfId="397" priority="406">
      <formula>AND(NOT(CELL("protect",$F$326)),AND($B$326&lt;&gt;"cmt",$B$326&lt;&gt;"mfcmt"))</formula>
    </cfRule>
  </conditionalFormatting>
  <conditionalFormatting sqref="F327">
    <cfRule type="expression" dxfId="396" priority="401" stopIfTrue="1">
      <formula>AND(NOT(CELL("protect",$F$327)),OR($B$327="cmt",$B$327="mfcmt"))</formula>
    </cfRule>
    <cfRule type="expression" dxfId="395" priority="402" stopIfTrue="1">
      <formula>AND(NOT(CELL("protect",$F$327)),$F$327=$A$327,AND($B$327&lt;&gt;"cmt",$B$327&lt;&gt;"mfcmt"))</formula>
    </cfRule>
    <cfRule type="expression" dxfId="394" priority="403">
      <formula>AND(NOT(CELL("protect",$F$327)),AND($B$327&lt;&gt;"cmt",$B$327&lt;&gt;"mfcmt"))</formula>
    </cfRule>
  </conditionalFormatting>
  <conditionalFormatting sqref="F328">
    <cfRule type="expression" dxfId="393" priority="398" stopIfTrue="1">
      <formula>AND(NOT(CELL("protect",$F$328)),OR($B$328="cmt",$B$328="mfcmt"))</formula>
    </cfRule>
    <cfRule type="expression" dxfId="392" priority="399" stopIfTrue="1">
      <formula>AND(NOT(CELL("protect",$F$328)),$F$328=$A$328,AND($B$328&lt;&gt;"cmt",$B$328&lt;&gt;"mfcmt"))</formula>
    </cfRule>
    <cfRule type="expression" dxfId="391" priority="400">
      <formula>AND(NOT(CELL("protect",$F$328)),AND($B$328&lt;&gt;"cmt",$B$328&lt;&gt;"mfcmt"))</formula>
    </cfRule>
  </conditionalFormatting>
  <conditionalFormatting sqref="F329">
    <cfRule type="expression" dxfId="390" priority="395" stopIfTrue="1">
      <formula>AND(NOT(CELL("protect",$F$329)),OR($B$329="cmt",$B$329="mfcmt"))</formula>
    </cfRule>
    <cfRule type="expression" dxfId="389" priority="396" stopIfTrue="1">
      <formula>AND(NOT(CELL("protect",$F$329)),$F$329=$A$329,AND($B$329&lt;&gt;"cmt",$B$329&lt;&gt;"mfcmt"))</formula>
    </cfRule>
    <cfRule type="expression" dxfId="388" priority="397">
      <formula>AND(NOT(CELL("protect",$F$329)),AND($B$329&lt;&gt;"cmt",$B$329&lt;&gt;"mfcmt"))</formula>
    </cfRule>
  </conditionalFormatting>
  <conditionalFormatting sqref="F330">
    <cfRule type="expression" dxfId="387" priority="392" stopIfTrue="1">
      <formula>AND(NOT(CELL("protect",$F$330)),OR($B$330="cmt",$B$330="mfcmt"))</formula>
    </cfRule>
    <cfRule type="expression" dxfId="386" priority="393" stopIfTrue="1">
      <formula>AND(NOT(CELL("protect",$F$330)),$F$330=$A$330,AND($B$330&lt;&gt;"cmt",$B$330&lt;&gt;"mfcmt"))</formula>
    </cfRule>
    <cfRule type="expression" dxfId="385" priority="394">
      <formula>AND(NOT(CELL("protect",$F$330)),AND($B$330&lt;&gt;"cmt",$B$330&lt;&gt;"mfcmt"))</formula>
    </cfRule>
  </conditionalFormatting>
  <conditionalFormatting sqref="F331">
    <cfRule type="expression" dxfId="384" priority="389" stopIfTrue="1">
      <formula>AND(NOT(CELL("protect",$F$331)),OR($B$331="cmt",$B$331="mfcmt"))</formula>
    </cfRule>
    <cfRule type="expression" dxfId="383" priority="390" stopIfTrue="1">
      <formula>AND(NOT(CELL("protect",$F$331)),$F$331=$A$331,AND($B$331&lt;&gt;"cmt",$B$331&lt;&gt;"mfcmt"))</formula>
    </cfRule>
    <cfRule type="expression" dxfId="382" priority="391">
      <formula>AND(NOT(CELL("protect",$F$331)),AND($B$331&lt;&gt;"cmt",$B$331&lt;&gt;"mfcmt"))</formula>
    </cfRule>
  </conditionalFormatting>
  <conditionalFormatting sqref="F332">
    <cfRule type="expression" dxfId="381" priority="386" stopIfTrue="1">
      <formula>AND(NOT(CELL("protect",$F$332)),OR($B$332="cmt",$B$332="mfcmt"))</formula>
    </cfRule>
    <cfRule type="expression" dxfId="380" priority="387" stopIfTrue="1">
      <formula>AND(NOT(CELL("protect",$F$332)),$F$332=$A$332,AND($B$332&lt;&gt;"cmt",$B$332&lt;&gt;"mfcmt"))</formula>
    </cfRule>
    <cfRule type="expression" dxfId="379" priority="388">
      <formula>AND(NOT(CELL("protect",$F$332)),AND($B$332&lt;&gt;"cmt",$B$332&lt;&gt;"mfcmt"))</formula>
    </cfRule>
  </conditionalFormatting>
  <conditionalFormatting sqref="F333">
    <cfRule type="expression" dxfId="378" priority="383" stopIfTrue="1">
      <formula>AND(NOT(CELL("protect",$F$333)),OR($B$333="cmt",$B$333="mfcmt"))</formula>
    </cfRule>
    <cfRule type="expression" dxfId="377" priority="384" stopIfTrue="1">
      <formula>AND(NOT(CELL("protect",$F$333)),$F$333=$A$333,AND($B$333&lt;&gt;"cmt",$B$333&lt;&gt;"mfcmt"))</formula>
    </cfRule>
    <cfRule type="expression" dxfId="376" priority="385">
      <formula>AND(NOT(CELL("protect",$F$333)),AND($B$333&lt;&gt;"cmt",$B$333&lt;&gt;"mfcmt"))</formula>
    </cfRule>
  </conditionalFormatting>
  <conditionalFormatting sqref="F334">
    <cfRule type="expression" dxfId="375" priority="380" stopIfTrue="1">
      <formula>AND(NOT(CELL("protect",$F$334)),OR($B$334="cmt",$B$334="mfcmt"))</formula>
    </cfRule>
    <cfRule type="expression" dxfId="374" priority="381" stopIfTrue="1">
      <formula>AND(NOT(CELL("protect",$F$334)),$F$334=$A$334,AND($B$334&lt;&gt;"cmt",$B$334&lt;&gt;"mfcmt"))</formula>
    </cfRule>
    <cfRule type="expression" dxfId="373" priority="382">
      <formula>AND(NOT(CELL("protect",$F$334)),AND($B$334&lt;&gt;"cmt",$B$334&lt;&gt;"mfcmt"))</formula>
    </cfRule>
  </conditionalFormatting>
  <conditionalFormatting sqref="F335">
    <cfRule type="expression" dxfId="372" priority="377" stopIfTrue="1">
      <formula>AND(NOT(CELL("protect",$F$335)),OR($B$335="cmt",$B$335="mfcmt"))</formula>
    </cfRule>
    <cfRule type="expression" dxfId="371" priority="378" stopIfTrue="1">
      <formula>AND(NOT(CELL("protect",$F$335)),$F$335=$A$335,AND($B$335&lt;&gt;"cmt",$B$335&lt;&gt;"mfcmt"))</formula>
    </cfRule>
    <cfRule type="expression" dxfId="370" priority="379">
      <formula>AND(NOT(CELL("protect",$F$335)),AND($B$335&lt;&gt;"cmt",$B$335&lt;&gt;"mfcmt"))</formula>
    </cfRule>
  </conditionalFormatting>
  <conditionalFormatting sqref="F336">
    <cfRule type="expression" dxfId="369" priority="374" stopIfTrue="1">
      <formula>AND(NOT(CELL("protect",$F$336)),OR($B$336="cmt",$B$336="mfcmt"))</formula>
    </cfRule>
    <cfRule type="expression" dxfId="368" priority="375" stopIfTrue="1">
      <formula>AND(NOT(CELL("protect",$F$336)),$F$336=$A$336,AND($B$336&lt;&gt;"cmt",$B$336&lt;&gt;"mfcmt"))</formula>
    </cfRule>
    <cfRule type="expression" dxfId="367" priority="376">
      <formula>AND(NOT(CELL("protect",$F$336)),AND($B$336&lt;&gt;"cmt",$B$336&lt;&gt;"mfcmt"))</formula>
    </cfRule>
  </conditionalFormatting>
  <conditionalFormatting sqref="F337">
    <cfRule type="expression" dxfId="366" priority="371" stopIfTrue="1">
      <formula>AND(NOT(CELL("protect",$F$337)),OR($B$337="cmt",$B$337="mfcmt"))</formula>
    </cfRule>
    <cfRule type="expression" dxfId="365" priority="372" stopIfTrue="1">
      <formula>AND(NOT(CELL("protect",$F$337)),$F$337=$A$337,AND($B$337&lt;&gt;"cmt",$B$337&lt;&gt;"mfcmt"))</formula>
    </cfRule>
    <cfRule type="expression" dxfId="364" priority="373">
      <formula>AND(NOT(CELL("protect",$F$337)),AND($B$337&lt;&gt;"cmt",$B$337&lt;&gt;"mfcmt"))</formula>
    </cfRule>
  </conditionalFormatting>
  <conditionalFormatting sqref="F338">
    <cfRule type="expression" dxfId="363" priority="368" stopIfTrue="1">
      <formula>AND(NOT(CELL("protect",$F$338)),OR($B$338="cmt",$B$338="mfcmt"))</formula>
    </cfRule>
    <cfRule type="expression" dxfId="362" priority="369" stopIfTrue="1">
      <formula>AND(NOT(CELL("protect",$F$338)),$F$338=$A$338,AND($B$338&lt;&gt;"cmt",$B$338&lt;&gt;"mfcmt"))</formula>
    </cfRule>
    <cfRule type="expression" dxfId="361" priority="370">
      <formula>AND(NOT(CELL("protect",$F$338)),AND($B$338&lt;&gt;"cmt",$B$338&lt;&gt;"mfcmt"))</formula>
    </cfRule>
  </conditionalFormatting>
  <conditionalFormatting sqref="F339">
    <cfRule type="expression" dxfId="360" priority="365" stopIfTrue="1">
      <formula>AND(NOT(CELL("protect",$F$339)),OR($B$339="cmt",$B$339="mfcmt"))</formula>
    </cfRule>
    <cfRule type="expression" dxfId="359" priority="366" stopIfTrue="1">
      <formula>AND(NOT(CELL("protect",$F$339)),$F$339=$A$339,AND($B$339&lt;&gt;"cmt",$B$339&lt;&gt;"mfcmt"))</formula>
    </cfRule>
    <cfRule type="expression" dxfId="358" priority="367">
      <formula>AND(NOT(CELL("protect",$F$339)),AND($B$339&lt;&gt;"cmt",$B$339&lt;&gt;"mfcmt"))</formula>
    </cfRule>
  </conditionalFormatting>
  <conditionalFormatting sqref="F340">
    <cfRule type="expression" dxfId="357" priority="362" stopIfTrue="1">
      <formula>AND(NOT(CELL("protect",$F$340)),OR($B$340="cmt",$B$340="mfcmt"))</formula>
    </cfRule>
    <cfRule type="expression" dxfId="356" priority="363" stopIfTrue="1">
      <formula>AND(NOT(CELL("protect",$F$340)),$F$340=$A$340,AND($B$340&lt;&gt;"cmt",$B$340&lt;&gt;"mfcmt"))</formula>
    </cfRule>
    <cfRule type="expression" dxfId="355" priority="364">
      <formula>AND(NOT(CELL("protect",$F$340)),AND($B$340&lt;&gt;"cmt",$B$340&lt;&gt;"mfcmt"))</formula>
    </cfRule>
  </conditionalFormatting>
  <conditionalFormatting sqref="F341">
    <cfRule type="expression" dxfId="354" priority="359" stopIfTrue="1">
      <formula>AND(NOT(CELL("protect",$F$341)),OR($B$341="cmt",$B$341="mfcmt"))</formula>
    </cfRule>
    <cfRule type="expression" dxfId="353" priority="360" stopIfTrue="1">
      <formula>AND(NOT(CELL("protect",$F$341)),$F$341=$A$341,AND($B$341&lt;&gt;"cmt",$B$341&lt;&gt;"mfcmt"))</formula>
    </cfRule>
    <cfRule type="expression" dxfId="352" priority="361">
      <formula>AND(NOT(CELL("protect",$F$341)),AND($B$341&lt;&gt;"cmt",$B$341&lt;&gt;"mfcmt"))</formula>
    </cfRule>
  </conditionalFormatting>
  <conditionalFormatting sqref="F342">
    <cfRule type="expression" dxfId="351" priority="356" stopIfTrue="1">
      <formula>AND(NOT(CELL("protect",$F$342)),OR($B$342="cmt",$B$342="mfcmt"))</formula>
    </cfRule>
    <cfRule type="expression" dxfId="350" priority="357" stopIfTrue="1">
      <formula>AND(NOT(CELL("protect",$F$342)),$F$342=$A$342,AND($B$342&lt;&gt;"cmt",$B$342&lt;&gt;"mfcmt"))</formula>
    </cfRule>
    <cfRule type="expression" dxfId="349" priority="358">
      <formula>AND(NOT(CELL("protect",$F$342)),AND($B$342&lt;&gt;"cmt",$B$342&lt;&gt;"mfcmt"))</formula>
    </cfRule>
  </conditionalFormatting>
  <conditionalFormatting sqref="F343">
    <cfRule type="expression" dxfId="348" priority="353" stopIfTrue="1">
      <formula>AND(NOT(CELL("protect",$F$343)),OR($B$343="cmt",$B$343="mfcmt"))</formula>
    </cfRule>
    <cfRule type="expression" dxfId="347" priority="354" stopIfTrue="1">
      <formula>AND(NOT(CELL("protect",$F$343)),$F$343=$A$343,AND($B$343&lt;&gt;"cmt",$B$343&lt;&gt;"mfcmt"))</formula>
    </cfRule>
    <cfRule type="expression" dxfId="346" priority="355">
      <formula>AND(NOT(CELL("protect",$F$343)),AND($B$343&lt;&gt;"cmt",$B$343&lt;&gt;"mfcmt"))</formula>
    </cfRule>
  </conditionalFormatting>
  <conditionalFormatting sqref="F344">
    <cfRule type="expression" dxfId="345" priority="350" stopIfTrue="1">
      <formula>AND(NOT(CELL("protect",$F$344)),OR($B$344="cmt",$B$344="mfcmt"))</formula>
    </cfRule>
    <cfRule type="expression" dxfId="344" priority="351" stopIfTrue="1">
      <formula>AND(NOT(CELL("protect",$F$344)),$F$344=$A$344,AND($B$344&lt;&gt;"cmt",$B$344&lt;&gt;"mfcmt"))</formula>
    </cfRule>
    <cfRule type="expression" dxfId="343" priority="352">
      <formula>AND(NOT(CELL("protect",$F$344)),AND($B$344&lt;&gt;"cmt",$B$344&lt;&gt;"mfcmt"))</formula>
    </cfRule>
  </conditionalFormatting>
  <conditionalFormatting sqref="F345">
    <cfRule type="expression" dxfId="342" priority="347" stopIfTrue="1">
      <formula>AND(NOT(CELL("protect",$F$345)),OR($B$345="cmt",$B$345="mfcmt"))</formula>
    </cfRule>
    <cfRule type="expression" dxfId="341" priority="348" stopIfTrue="1">
      <formula>AND(NOT(CELL("protect",$F$345)),$F$345=$A$345,AND($B$345&lt;&gt;"cmt",$B$345&lt;&gt;"mfcmt"))</formula>
    </cfRule>
    <cfRule type="expression" dxfId="340" priority="349">
      <formula>AND(NOT(CELL("protect",$F$345)),AND($B$345&lt;&gt;"cmt",$B$345&lt;&gt;"mfcmt"))</formula>
    </cfRule>
  </conditionalFormatting>
  <conditionalFormatting sqref="F346">
    <cfRule type="expression" dxfId="339" priority="344" stopIfTrue="1">
      <formula>AND(NOT(CELL("protect",$F$346)),OR($B$346="cmt",$B$346="mfcmt"))</formula>
    </cfRule>
    <cfRule type="expression" dxfId="338" priority="345" stopIfTrue="1">
      <formula>AND(NOT(CELL("protect",$F$346)),$F$346=$A$346,AND($B$346&lt;&gt;"cmt",$B$346&lt;&gt;"mfcmt"))</formula>
    </cfRule>
    <cfRule type="expression" dxfId="337" priority="346">
      <formula>AND(NOT(CELL("protect",$F$346)),AND($B$346&lt;&gt;"cmt",$B$346&lt;&gt;"mfcmt"))</formula>
    </cfRule>
  </conditionalFormatting>
  <conditionalFormatting sqref="F347">
    <cfRule type="expression" dxfId="336" priority="341" stopIfTrue="1">
      <formula>AND(NOT(CELL("protect",$F$347)),OR($B$347="cmt",$B$347="mfcmt"))</formula>
    </cfRule>
    <cfRule type="expression" dxfId="335" priority="342" stopIfTrue="1">
      <formula>AND(NOT(CELL("protect",$F$347)),$F$347=$A$347,AND($B$347&lt;&gt;"cmt",$B$347&lt;&gt;"mfcmt"))</formula>
    </cfRule>
    <cfRule type="expression" dxfId="334" priority="343">
      <formula>AND(NOT(CELL("protect",$F$347)),AND($B$347&lt;&gt;"cmt",$B$347&lt;&gt;"mfcmt"))</formula>
    </cfRule>
  </conditionalFormatting>
  <conditionalFormatting sqref="F348">
    <cfRule type="expression" dxfId="333" priority="338" stopIfTrue="1">
      <formula>AND(NOT(CELL("protect",$F$348)),OR($B$348="cmt",$B$348="mfcmt"))</formula>
    </cfRule>
    <cfRule type="expression" dxfId="332" priority="339" stopIfTrue="1">
      <formula>AND(NOT(CELL("protect",$F$348)),$F$348=$A$348,AND($B$348&lt;&gt;"cmt",$B$348&lt;&gt;"mfcmt"))</formula>
    </cfRule>
    <cfRule type="expression" dxfId="331" priority="340">
      <formula>AND(NOT(CELL("protect",$F$348)),AND($B$348&lt;&gt;"cmt",$B$348&lt;&gt;"mfcmt"))</formula>
    </cfRule>
  </conditionalFormatting>
  <conditionalFormatting sqref="F349">
    <cfRule type="expression" dxfId="330" priority="335" stopIfTrue="1">
      <formula>AND(NOT(CELL("protect",$F$349)),OR($B$349="cmt",$B$349="mfcmt"))</formula>
    </cfRule>
    <cfRule type="expression" dxfId="329" priority="336" stopIfTrue="1">
      <formula>AND(NOT(CELL("protect",$F$349)),$F$349=$A$349,AND($B$349&lt;&gt;"cmt",$B$349&lt;&gt;"mfcmt"))</formula>
    </cfRule>
    <cfRule type="expression" dxfId="328" priority="337">
      <formula>AND(NOT(CELL("protect",$F$349)),AND($B$349&lt;&gt;"cmt",$B$349&lt;&gt;"mfcmt"))</formula>
    </cfRule>
  </conditionalFormatting>
  <conditionalFormatting sqref="F350">
    <cfRule type="expression" dxfId="327" priority="332" stopIfTrue="1">
      <formula>AND(NOT(CELL("protect",$F$350)),OR($B$350="cmt",$B$350="mfcmt"))</formula>
    </cfRule>
    <cfRule type="expression" dxfId="326" priority="333" stopIfTrue="1">
      <formula>AND(NOT(CELL("protect",$F$350)),$F$350=$A$350,AND($B$350&lt;&gt;"cmt",$B$350&lt;&gt;"mfcmt"))</formula>
    </cfRule>
    <cfRule type="expression" dxfId="325" priority="334">
      <formula>AND(NOT(CELL("protect",$F$350)),AND($B$350&lt;&gt;"cmt",$B$350&lt;&gt;"mfcmt"))</formula>
    </cfRule>
  </conditionalFormatting>
  <conditionalFormatting sqref="F351">
    <cfRule type="expression" dxfId="324" priority="329" stopIfTrue="1">
      <formula>AND(NOT(CELL("protect",$F$351)),OR($B$351="cmt",$B$351="mfcmt"))</formula>
    </cfRule>
    <cfRule type="expression" dxfId="323" priority="330" stopIfTrue="1">
      <formula>AND(NOT(CELL("protect",$F$351)),$F$351=$A$351,AND($B$351&lt;&gt;"cmt",$B$351&lt;&gt;"mfcmt"))</formula>
    </cfRule>
    <cfRule type="expression" dxfId="322" priority="331">
      <formula>AND(NOT(CELL("protect",$F$351)),AND($B$351&lt;&gt;"cmt",$B$351&lt;&gt;"mfcmt"))</formula>
    </cfRule>
  </conditionalFormatting>
  <conditionalFormatting sqref="F352">
    <cfRule type="expression" dxfId="321" priority="326" stopIfTrue="1">
      <formula>AND(NOT(CELL("protect",$F$352)),OR($B$352="cmt",$B$352="mfcmt"))</formula>
    </cfRule>
    <cfRule type="expression" dxfId="320" priority="327" stopIfTrue="1">
      <formula>AND(NOT(CELL("protect",$F$352)),$F$352=$A$352,AND($B$352&lt;&gt;"cmt",$B$352&lt;&gt;"mfcmt"))</formula>
    </cfRule>
    <cfRule type="expression" dxfId="319" priority="328">
      <formula>AND(NOT(CELL("protect",$F$352)),AND($B$352&lt;&gt;"cmt",$B$352&lt;&gt;"mfcmt"))</formula>
    </cfRule>
  </conditionalFormatting>
  <conditionalFormatting sqref="F353">
    <cfRule type="expression" dxfId="318" priority="323" stopIfTrue="1">
      <formula>AND(NOT(CELL("protect",$F$353)),OR($B$353="cmt",$B$353="mfcmt"))</formula>
    </cfRule>
    <cfRule type="expression" dxfId="317" priority="324" stopIfTrue="1">
      <formula>AND(NOT(CELL("protect",$F$353)),$F$353=$A$353,AND($B$353&lt;&gt;"cmt",$B$353&lt;&gt;"mfcmt"))</formula>
    </cfRule>
    <cfRule type="expression" dxfId="316" priority="325">
      <formula>AND(NOT(CELL("protect",$F$353)),AND($B$353&lt;&gt;"cmt",$B$353&lt;&gt;"mfcmt"))</formula>
    </cfRule>
  </conditionalFormatting>
  <conditionalFormatting sqref="F354">
    <cfRule type="expression" dxfId="315" priority="320" stopIfTrue="1">
      <formula>AND(NOT(CELL("protect",$F$354)),OR($B$354="cmt",$B$354="mfcmt"))</formula>
    </cfRule>
    <cfRule type="expression" dxfId="314" priority="321" stopIfTrue="1">
      <formula>AND(NOT(CELL("protect",$F$354)),$F$354=$A$354,AND($B$354&lt;&gt;"cmt",$B$354&lt;&gt;"mfcmt"))</formula>
    </cfRule>
    <cfRule type="expression" dxfId="313" priority="322">
      <formula>AND(NOT(CELL("protect",$F$354)),AND($B$354&lt;&gt;"cmt",$B$354&lt;&gt;"mfcmt"))</formula>
    </cfRule>
  </conditionalFormatting>
  <conditionalFormatting sqref="F355">
    <cfRule type="expression" dxfId="312" priority="317" stopIfTrue="1">
      <formula>AND(NOT(CELL("protect",$F$355)),OR($B$355="cmt",$B$355="mfcmt"))</formula>
    </cfRule>
    <cfRule type="expression" dxfId="311" priority="318" stopIfTrue="1">
      <formula>AND(NOT(CELL("protect",$F$355)),$F$355=$A$355,AND($B$355&lt;&gt;"cmt",$B$355&lt;&gt;"mfcmt"))</formula>
    </cfRule>
    <cfRule type="expression" dxfId="310" priority="319">
      <formula>AND(NOT(CELL("protect",$F$355)),AND($B$355&lt;&gt;"cmt",$B$355&lt;&gt;"mfcmt"))</formula>
    </cfRule>
  </conditionalFormatting>
  <conditionalFormatting sqref="F356">
    <cfRule type="expression" dxfId="309" priority="314" stopIfTrue="1">
      <formula>AND(NOT(CELL("protect",$F$356)),OR($B$356="cmt",$B$356="mfcmt"))</formula>
    </cfRule>
    <cfRule type="expression" dxfId="308" priority="315" stopIfTrue="1">
      <formula>AND(NOT(CELL("protect",$F$356)),$F$356=$A$356,AND($B$356&lt;&gt;"cmt",$B$356&lt;&gt;"mfcmt"))</formula>
    </cfRule>
    <cfRule type="expression" dxfId="307" priority="316">
      <formula>AND(NOT(CELL("protect",$F$356)),AND($B$356&lt;&gt;"cmt",$B$356&lt;&gt;"mfcmt"))</formula>
    </cfRule>
  </conditionalFormatting>
  <conditionalFormatting sqref="F357">
    <cfRule type="expression" dxfId="306" priority="311" stopIfTrue="1">
      <formula>AND(NOT(CELL("protect",$F$357)),OR($B$357="cmt",$B$357="mfcmt"))</formula>
    </cfRule>
    <cfRule type="expression" dxfId="305" priority="312" stopIfTrue="1">
      <formula>AND(NOT(CELL("protect",$F$357)),$F$357=$A$357,AND($B$357&lt;&gt;"cmt",$B$357&lt;&gt;"mfcmt"))</formula>
    </cfRule>
    <cfRule type="expression" dxfId="304" priority="313">
      <formula>AND(NOT(CELL("protect",$F$357)),AND($B$357&lt;&gt;"cmt",$B$357&lt;&gt;"mfcmt"))</formula>
    </cfRule>
  </conditionalFormatting>
  <conditionalFormatting sqref="F358">
    <cfRule type="expression" dxfId="303" priority="308" stopIfTrue="1">
      <formula>AND(NOT(CELL("protect",$F$358)),OR($B$358="cmt",$B$358="mfcmt"))</formula>
    </cfRule>
    <cfRule type="expression" dxfId="302" priority="309" stopIfTrue="1">
      <formula>AND(NOT(CELL("protect",$F$358)),$F$358=$A$358,AND($B$358&lt;&gt;"cmt",$B$358&lt;&gt;"mfcmt"))</formula>
    </cfRule>
    <cfRule type="expression" dxfId="301" priority="310">
      <formula>AND(NOT(CELL("protect",$F$358)),AND($B$358&lt;&gt;"cmt",$B$358&lt;&gt;"mfcmt"))</formula>
    </cfRule>
  </conditionalFormatting>
  <conditionalFormatting sqref="F359">
    <cfRule type="expression" dxfId="300" priority="305" stopIfTrue="1">
      <formula>AND(NOT(CELL("protect",$F$359)),OR($B$359="cmt",$B$359="mfcmt"))</formula>
    </cfRule>
    <cfRule type="expression" dxfId="299" priority="306" stopIfTrue="1">
      <formula>AND(NOT(CELL("protect",$F$359)),$F$359=$A$359,AND($B$359&lt;&gt;"cmt",$B$359&lt;&gt;"mfcmt"))</formula>
    </cfRule>
    <cfRule type="expression" dxfId="298" priority="307">
      <formula>AND(NOT(CELL("protect",$F$359)),AND($B$359&lt;&gt;"cmt",$B$359&lt;&gt;"mfcmt"))</formula>
    </cfRule>
  </conditionalFormatting>
  <conditionalFormatting sqref="F360">
    <cfRule type="expression" dxfId="297" priority="302" stopIfTrue="1">
      <formula>AND(NOT(CELL("protect",$F$360)),OR($B$360="cmt",$B$360="mfcmt"))</formula>
    </cfRule>
    <cfRule type="expression" dxfId="296" priority="303" stopIfTrue="1">
      <formula>AND(NOT(CELL("protect",$F$360)),$F$360=$A$360,AND($B$360&lt;&gt;"cmt",$B$360&lt;&gt;"mfcmt"))</formula>
    </cfRule>
    <cfRule type="expression" dxfId="295" priority="304">
      <formula>AND(NOT(CELL("protect",$F$360)),AND($B$360&lt;&gt;"cmt",$B$360&lt;&gt;"mfcmt"))</formula>
    </cfRule>
  </conditionalFormatting>
  <conditionalFormatting sqref="F361">
    <cfRule type="expression" dxfId="294" priority="299" stopIfTrue="1">
      <formula>AND(NOT(CELL("protect",$F$361)),OR($B$361="cmt",$B$361="mfcmt"))</formula>
    </cfRule>
    <cfRule type="expression" dxfId="293" priority="300" stopIfTrue="1">
      <formula>AND(NOT(CELL("protect",$F$361)),$F$361=$A$361,AND($B$361&lt;&gt;"cmt",$B$361&lt;&gt;"mfcmt"))</formula>
    </cfRule>
    <cfRule type="expression" dxfId="292" priority="301">
      <formula>AND(NOT(CELL("protect",$F$361)),AND($B$361&lt;&gt;"cmt",$B$361&lt;&gt;"mfcmt"))</formula>
    </cfRule>
  </conditionalFormatting>
  <conditionalFormatting sqref="F362">
    <cfRule type="expression" dxfId="291" priority="296" stopIfTrue="1">
      <formula>AND(NOT(CELL("protect",$F$362)),OR($B$362="cmt",$B$362="mfcmt"))</formula>
    </cfRule>
    <cfRule type="expression" dxfId="290" priority="297" stopIfTrue="1">
      <formula>AND(NOT(CELL("protect",$F$362)),$F$362=$A$362,AND($B$362&lt;&gt;"cmt",$B$362&lt;&gt;"mfcmt"))</formula>
    </cfRule>
    <cfRule type="expression" dxfId="289" priority="298">
      <formula>AND(NOT(CELL("protect",$F$362)),AND($B$362&lt;&gt;"cmt",$B$362&lt;&gt;"mfcmt"))</formula>
    </cfRule>
  </conditionalFormatting>
  <conditionalFormatting sqref="F363">
    <cfRule type="expression" dxfId="288" priority="293" stopIfTrue="1">
      <formula>AND(NOT(CELL("protect",$F$363)),OR($B$363="cmt",$B$363="mfcmt"))</formula>
    </cfRule>
    <cfRule type="expression" dxfId="287" priority="294" stopIfTrue="1">
      <formula>AND(NOT(CELL("protect",$F$363)),$F$363=$A$363,AND($B$363&lt;&gt;"cmt",$B$363&lt;&gt;"mfcmt"))</formula>
    </cfRule>
    <cfRule type="expression" dxfId="286" priority="295">
      <formula>AND(NOT(CELL("protect",$F$363)),AND($B$363&lt;&gt;"cmt",$B$363&lt;&gt;"mfcmt"))</formula>
    </cfRule>
  </conditionalFormatting>
  <conditionalFormatting sqref="F364">
    <cfRule type="expression" dxfId="285" priority="290" stopIfTrue="1">
      <formula>AND(NOT(CELL("protect",$F$364)),OR($B$364="cmt",$B$364="mfcmt"))</formula>
    </cfRule>
    <cfRule type="expression" dxfId="284" priority="291" stopIfTrue="1">
      <formula>AND(NOT(CELL("protect",$F$364)),$F$364=$A$364,AND($B$364&lt;&gt;"cmt",$B$364&lt;&gt;"mfcmt"))</formula>
    </cfRule>
    <cfRule type="expression" dxfId="283" priority="292">
      <formula>AND(NOT(CELL("protect",$F$364)),AND($B$364&lt;&gt;"cmt",$B$364&lt;&gt;"mfcmt"))</formula>
    </cfRule>
  </conditionalFormatting>
  <conditionalFormatting sqref="F365">
    <cfRule type="expression" dxfId="282" priority="287" stopIfTrue="1">
      <formula>AND(NOT(CELL("protect",$F$365)),OR($B$365="cmt",$B$365="mfcmt"))</formula>
    </cfRule>
    <cfRule type="expression" dxfId="281" priority="288" stopIfTrue="1">
      <formula>AND(NOT(CELL("protect",$F$365)),$F$365=$A$365,AND($B$365&lt;&gt;"cmt",$B$365&lt;&gt;"mfcmt"))</formula>
    </cfRule>
    <cfRule type="expression" dxfId="280" priority="289">
      <formula>AND(NOT(CELL("protect",$F$365)),AND($B$365&lt;&gt;"cmt",$B$365&lt;&gt;"mfcmt"))</formula>
    </cfRule>
  </conditionalFormatting>
  <conditionalFormatting sqref="F366">
    <cfRule type="expression" dxfId="279" priority="284" stopIfTrue="1">
      <formula>AND(NOT(CELL("protect",$F$366)),OR($B$366="cmt",$B$366="mfcmt"))</formula>
    </cfRule>
    <cfRule type="expression" dxfId="278" priority="285" stopIfTrue="1">
      <formula>AND(NOT(CELL("protect",$F$366)),$F$366=$A$366,AND($B$366&lt;&gt;"cmt",$B$366&lt;&gt;"mfcmt"))</formula>
    </cfRule>
    <cfRule type="expression" dxfId="277" priority="286">
      <formula>AND(NOT(CELL("protect",$F$366)),AND($B$366&lt;&gt;"cmt",$B$366&lt;&gt;"mfcmt"))</formula>
    </cfRule>
  </conditionalFormatting>
  <conditionalFormatting sqref="F367">
    <cfRule type="expression" dxfId="276" priority="281" stopIfTrue="1">
      <formula>AND(NOT(CELL("protect",$F$367)),OR($B$367="cmt",$B$367="mfcmt"))</formula>
    </cfRule>
    <cfRule type="expression" dxfId="275" priority="282" stopIfTrue="1">
      <formula>AND(NOT(CELL("protect",$F$367)),$F$367=$A$367,AND($B$367&lt;&gt;"cmt",$B$367&lt;&gt;"mfcmt"))</formula>
    </cfRule>
    <cfRule type="expression" dxfId="274" priority="283">
      <formula>AND(NOT(CELL("protect",$F$367)),AND($B$367&lt;&gt;"cmt",$B$367&lt;&gt;"mfcmt"))</formula>
    </cfRule>
  </conditionalFormatting>
  <conditionalFormatting sqref="F368">
    <cfRule type="expression" dxfId="273" priority="278" stopIfTrue="1">
      <formula>AND(NOT(CELL("protect",$F$368)),OR($B$368="cmt",$B$368="mfcmt"))</formula>
    </cfRule>
    <cfRule type="expression" dxfId="272" priority="279" stopIfTrue="1">
      <formula>AND(NOT(CELL("protect",$F$368)),$F$368=$A$368,AND($B$368&lt;&gt;"cmt",$B$368&lt;&gt;"mfcmt"))</formula>
    </cfRule>
    <cfRule type="expression" dxfId="271" priority="280">
      <formula>AND(NOT(CELL("protect",$F$368)),AND($B$368&lt;&gt;"cmt",$B$368&lt;&gt;"mfcmt"))</formula>
    </cfRule>
  </conditionalFormatting>
  <conditionalFormatting sqref="F369">
    <cfRule type="expression" dxfId="270" priority="275" stopIfTrue="1">
      <formula>AND(NOT(CELL("protect",$F$369)),OR($B$369="cmt",$B$369="mfcmt"))</formula>
    </cfRule>
    <cfRule type="expression" dxfId="269" priority="276" stopIfTrue="1">
      <formula>AND(NOT(CELL("protect",$F$369)),$F$369=$A$369,AND($B$369&lt;&gt;"cmt",$B$369&lt;&gt;"mfcmt"))</formula>
    </cfRule>
    <cfRule type="expression" dxfId="268" priority="277">
      <formula>AND(NOT(CELL("protect",$F$369)),AND($B$369&lt;&gt;"cmt",$B$369&lt;&gt;"mfcmt"))</formula>
    </cfRule>
  </conditionalFormatting>
  <conditionalFormatting sqref="F370">
    <cfRule type="expression" dxfId="267" priority="272" stopIfTrue="1">
      <formula>AND(NOT(CELL("protect",$F$370)),OR($B$370="cmt",$B$370="mfcmt"))</formula>
    </cfRule>
    <cfRule type="expression" dxfId="266" priority="273" stopIfTrue="1">
      <formula>AND(NOT(CELL("protect",$F$370)),$F$370=$A$370,AND($B$370&lt;&gt;"cmt",$B$370&lt;&gt;"mfcmt"))</formula>
    </cfRule>
    <cfRule type="expression" dxfId="265" priority="274">
      <formula>AND(NOT(CELL("protect",$F$370)),AND($B$370&lt;&gt;"cmt",$B$370&lt;&gt;"mfcmt"))</formula>
    </cfRule>
  </conditionalFormatting>
  <conditionalFormatting sqref="F371">
    <cfRule type="expression" dxfId="264" priority="269" stopIfTrue="1">
      <formula>AND(NOT(CELL("protect",$F$371)),OR($B$371="cmt",$B$371="mfcmt"))</formula>
    </cfRule>
    <cfRule type="expression" dxfId="263" priority="270" stopIfTrue="1">
      <formula>AND(NOT(CELL("protect",$F$371)),$F$371=$A$371,AND($B$371&lt;&gt;"cmt",$B$371&lt;&gt;"mfcmt"))</formula>
    </cfRule>
    <cfRule type="expression" dxfId="262" priority="271">
      <formula>AND(NOT(CELL("protect",$F$371)),AND($B$371&lt;&gt;"cmt",$B$371&lt;&gt;"mfcmt"))</formula>
    </cfRule>
  </conditionalFormatting>
  <conditionalFormatting sqref="F372">
    <cfRule type="expression" dxfId="261" priority="266" stopIfTrue="1">
      <formula>AND(NOT(CELL("protect",$F$372)),OR($B$372="cmt",$B$372="mfcmt"))</formula>
    </cfRule>
    <cfRule type="expression" dxfId="260" priority="267" stopIfTrue="1">
      <formula>AND(NOT(CELL("protect",$F$372)),$F$372=$A$372,AND($B$372&lt;&gt;"cmt",$B$372&lt;&gt;"mfcmt"))</formula>
    </cfRule>
    <cfRule type="expression" dxfId="259" priority="268">
      <formula>AND(NOT(CELL("protect",$F$372)),AND($B$372&lt;&gt;"cmt",$B$372&lt;&gt;"mfcmt"))</formula>
    </cfRule>
  </conditionalFormatting>
  <conditionalFormatting sqref="F373">
    <cfRule type="expression" dxfId="258" priority="263" stopIfTrue="1">
      <formula>AND(NOT(CELL("protect",$F$373)),OR($B$373="cmt",$B$373="mfcmt"))</formula>
    </cfRule>
    <cfRule type="expression" dxfId="257" priority="264" stopIfTrue="1">
      <formula>AND(NOT(CELL("protect",$F$373)),$F$373=$A$373,AND($B$373&lt;&gt;"cmt",$B$373&lt;&gt;"mfcmt"))</formula>
    </cfRule>
    <cfRule type="expression" dxfId="256" priority="265">
      <formula>AND(NOT(CELL("protect",$F$373)),AND($B$373&lt;&gt;"cmt",$B$373&lt;&gt;"mfcmt"))</formula>
    </cfRule>
  </conditionalFormatting>
  <conditionalFormatting sqref="F374">
    <cfRule type="expression" dxfId="255" priority="260" stopIfTrue="1">
      <formula>AND(NOT(CELL("protect",$F$374)),OR($B$374="cmt",$B$374="mfcmt"))</formula>
    </cfRule>
    <cfRule type="expression" dxfId="254" priority="261" stopIfTrue="1">
      <formula>AND(NOT(CELL("protect",$F$374)),$F$374=$A$374,AND($B$374&lt;&gt;"cmt",$B$374&lt;&gt;"mfcmt"))</formula>
    </cfRule>
    <cfRule type="expression" dxfId="253" priority="262">
      <formula>AND(NOT(CELL("protect",$F$374)),AND($B$374&lt;&gt;"cmt",$B$374&lt;&gt;"mfcmt"))</formula>
    </cfRule>
  </conditionalFormatting>
  <conditionalFormatting sqref="F375">
    <cfRule type="expression" dxfId="252" priority="257" stopIfTrue="1">
      <formula>AND(NOT(CELL("protect",$F$375)),OR($B$375="cmt",$B$375="mfcmt"))</formula>
    </cfRule>
    <cfRule type="expression" dxfId="251" priority="258" stopIfTrue="1">
      <formula>AND(NOT(CELL("protect",$F$375)),$F$375=$A$375,AND($B$375&lt;&gt;"cmt",$B$375&lt;&gt;"mfcmt"))</formula>
    </cfRule>
    <cfRule type="expression" dxfId="250" priority="259">
      <formula>AND(NOT(CELL("protect",$F$375)),AND($B$375&lt;&gt;"cmt",$B$375&lt;&gt;"mfcmt"))</formula>
    </cfRule>
  </conditionalFormatting>
  <conditionalFormatting sqref="F376">
    <cfRule type="expression" dxfId="249" priority="254" stopIfTrue="1">
      <formula>AND(NOT(CELL("protect",$F$376)),OR($B$376="cmt",$B$376="mfcmt"))</formula>
    </cfRule>
    <cfRule type="expression" dxfId="248" priority="255" stopIfTrue="1">
      <formula>AND(NOT(CELL("protect",$F$376)),$F$376=$A$376,AND($B$376&lt;&gt;"cmt",$B$376&lt;&gt;"mfcmt"))</formula>
    </cfRule>
    <cfRule type="expression" dxfId="247" priority="256">
      <formula>AND(NOT(CELL("protect",$F$376)),AND($B$376&lt;&gt;"cmt",$B$376&lt;&gt;"mfcmt"))</formula>
    </cfRule>
  </conditionalFormatting>
  <conditionalFormatting sqref="F377">
    <cfRule type="expression" dxfId="246" priority="251" stopIfTrue="1">
      <formula>AND(NOT(CELL("protect",$F$377)),OR($B$377="cmt",$B$377="mfcmt"))</formula>
    </cfRule>
    <cfRule type="expression" dxfId="245" priority="252" stopIfTrue="1">
      <formula>AND(NOT(CELL("protect",$F$377)),$F$377=$A$377,AND($B$377&lt;&gt;"cmt",$B$377&lt;&gt;"mfcmt"))</formula>
    </cfRule>
    <cfRule type="expression" dxfId="244" priority="253">
      <formula>AND(NOT(CELL("protect",$F$377)),AND($B$377&lt;&gt;"cmt",$B$377&lt;&gt;"mfcmt"))</formula>
    </cfRule>
  </conditionalFormatting>
  <conditionalFormatting sqref="F378">
    <cfRule type="expression" dxfId="243" priority="248" stopIfTrue="1">
      <formula>AND(NOT(CELL("protect",$F$378)),OR($B$378="cmt",$B$378="mfcmt"))</formula>
    </cfRule>
    <cfRule type="expression" dxfId="242" priority="249" stopIfTrue="1">
      <formula>AND(NOT(CELL("protect",$F$378)),$F$378=$A$378,AND($B$378&lt;&gt;"cmt",$B$378&lt;&gt;"mfcmt"))</formula>
    </cfRule>
    <cfRule type="expression" dxfId="241" priority="250">
      <formula>AND(NOT(CELL("protect",$F$378)),AND($B$378&lt;&gt;"cmt",$B$378&lt;&gt;"mfcmt"))</formula>
    </cfRule>
  </conditionalFormatting>
  <conditionalFormatting sqref="F379">
    <cfRule type="expression" dxfId="240" priority="245" stopIfTrue="1">
      <formula>AND(NOT(CELL("protect",$F$379)),OR($B$379="cmt",$B$379="mfcmt"))</formula>
    </cfRule>
    <cfRule type="expression" dxfId="239" priority="246" stopIfTrue="1">
      <formula>AND(NOT(CELL("protect",$F$379)),$F$379=$A$379,AND($B$379&lt;&gt;"cmt",$B$379&lt;&gt;"mfcmt"))</formula>
    </cfRule>
    <cfRule type="expression" dxfId="238" priority="247">
      <formula>AND(NOT(CELL("protect",$F$379)),AND($B$379&lt;&gt;"cmt",$B$379&lt;&gt;"mfcmt"))</formula>
    </cfRule>
  </conditionalFormatting>
  <conditionalFormatting sqref="F380">
    <cfRule type="expression" dxfId="237" priority="242" stopIfTrue="1">
      <formula>AND(NOT(CELL("protect",$F$380)),OR($B$380="cmt",$B$380="mfcmt"))</formula>
    </cfRule>
    <cfRule type="expression" dxfId="236" priority="243" stopIfTrue="1">
      <formula>AND(NOT(CELL("protect",$F$380)),$F$380=$A$380,AND($B$380&lt;&gt;"cmt",$B$380&lt;&gt;"mfcmt"))</formula>
    </cfRule>
    <cfRule type="expression" dxfId="235" priority="244">
      <formula>AND(NOT(CELL("protect",$F$380)),AND($B$380&lt;&gt;"cmt",$B$380&lt;&gt;"mfcmt"))</formula>
    </cfRule>
  </conditionalFormatting>
  <conditionalFormatting sqref="F381">
    <cfRule type="expression" dxfId="234" priority="239" stopIfTrue="1">
      <formula>AND(NOT(CELL("protect",$F$381)),OR($B$381="cmt",$B$381="mfcmt"))</formula>
    </cfRule>
    <cfRule type="expression" dxfId="233" priority="240" stopIfTrue="1">
      <formula>AND(NOT(CELL("protect",$F$381)),$F$381=$A$381,AND($B$381&lt;&gt;"cmt",$B$381&lt;&gt;"mfcmt"))</formula>
    </cfRule>
    <cfRule type="expression" dxfId="232" priority="241">
      <formula>AND(NOT(CELL("protect",$F$381)),AND($B$381&lt;&gt;"cmt",$B$381&lt;&gt;"mfcmt"))</formula>
    </cfRule>
  </conditionalFormatting>
  <conditionalFormatting sqref="F382">
    <cfRule type="expression" dxfId="231" priority="236" stopIfTrue="1">
      <formula>AND(NOT(CELL("protect",$F$382)),OR($B$382="cmt",$B$382="mfcmt"))</formula>
    </cfRule>
    <cfRule type="expression" dxfId="230" priority="237" stopIfTrue="1">
      <formula>AND(NOT(CELL("protect",$F$382)),$F$382=$A$382,AND($B$382&lt;&gt;"cmt",$B$382&lt;&gt;"mfcmt"))</formula>
    </cfRule>
    <cfRule type="expression" dxfId="229" priority="238">
      <formula>AND(NOT(CELL("protect",$F$382)),AND($B$382&lt;&gt;"cmt",$B$382&lt;&gt;"mfcmt"))</formula>
    </cfRule>
  </conditionalFormatting>
  <conditionalFormatting sqref="F383">
    <cfRule type="expression" dxfId="228" priority="233" stopIfTrue="1">
      <formula>AND(NOT(CELL("protect",$F$383)),OR($B$383="cmt",$B$383="mfcmt"))</formula>
    </cfRule>
    <cfRule type="expression" dxfId="227" priority="234" stopIfTrue="1">
      <formula>AND(NOT(CELL("protect",$F$383)),$F$383=$A$383,AND($B$383&lt;&gt;"cmt",$B$383&lt;&gt;"mfcmt"))</formula>
    </cfRule>
    <cfRule type="expression" dxfId="226" priority="235">
      <formula>AND(NOT(CELL("protect",$F$383)),AND($B$383&lt;&gt;"cmt",$B$383&lt;&gt;"mfcmt"))</formula>
    </cfRule>
  </conditionalFormatting>
  <conditionalFormatting sqref="F384">
    <cfRule type="expression" dxfId="225" priority="230" stopIfTrue="1">
      <formula>AND(NOT(CELL("protect",$F$384)),OR($B$384="cmt",$B$384="mfcmt"))</formula>
    </cfRule>
    <cfRule type="expression" dxfId="224" priority="231" stopIfTrue="1">
      <formula>AND(NOT(CELL("protect",$F$384)),$F$384=$A$384,AND($B$384&lt;&gt;"cmt",$B$384&lt;&gt;"mfcmt"))</formula>
    </cfRule>
    <cfRule type="expression" dxfId="223" priority="232">
      <formula>AND(NOT(CELL("protect",$F$384)),AND($B$384&lt;&gt;"cmt",$B$384&lt;&gt;"mfcmt"))</formula>
    </cfRule>
  </conditionalFormatting>
  <conditionalFormatting sqref="F385">
    <cfRule type="expression" dxfId="222" priority="227" stopIfTrue="1">
      <formula>AND(NOT(CELL("protect",$F$385)),OR($B$385="cmt",$B$385="mfcmt"))</formula>
    </cfRule>
    <cfRule type="expression" dxfId="221" priority="228" stopIfTrue="1">
      <formula>AND(NOT(CELL("protect",$F$385)),$F$385=$A$385,AND($B$385&lt;&gt;"cmt",$B$385&lt;&gt;"mfcmt"))</formula>
    </cfRule>
    <cfRule type="expression" dxfId="220" priority="229">
      <formula>AND(NOT(CELL("protect",$F$385)),AND($B$385&lt;&gt;"cmt",$B$385&lt;&gt;"mfcmt"))</formula>
    </cfRule>
  </conditionalFormatting>
  <conditionalFormatting sqref="F386">
    <cfRule type="expression" dxfId="219" priority="224" stopIfTrue="1">
      <formula>AND(NOT(CELL("protect",$F$386)),OR($B$386="cmt",$B$386="mfcmt"))</formula>
    </cfRule>
    <cfRule type="expression" dxfId="218" priority="225" stopIfTrue="1">
      <formula>AND(NOT(CELL("protect",$F$386)),$F$386=$A$386,AND($B$386&lt;&gt;"cmt",$B$386&lt;&gt;"mfcmt"))</formula>
    </cfRule>
    <cfRule type="expression" dxfId="217" priority="226">
      <formula>AND(NOT(CELL("protect",$F$386)),AND($B$386&lt;&gt;"cmt",$B$386&lt;&gt;"mfcmt"))</formula>
    </cfRule>
  </conditionalFormatting>
  <conditionalFormatting sqref="F387">
    <cfRule type="expression" dxfId="216" priority="221" stopIfTrue="1">
      <formula>AND(NOT(CELL("protect",$F$387)),OR($B$387="cmt",$B$387="mfcmt"))</formula>
    </cfRule>
    <cfRule type="expression" dxfId="215" priority="222" stopIfTrue="1">
      <formula>AND(NOT(CELL("protect",$F$387)),$F$387=$A$387,AND($B$387&lt;&gt;"cmt",$B$387&lt;&gt;"mfcmt"))</formula>
    </cfRule>
    <cfRule type="expression" dxfId="214" priority="223">
      <formula>AND(NOT(CELL("protect",$F$387)),AND($B$387&lt;&gt;"cmt",$B$387&lt;&gt;"mfcmt"))</formula>
    </cfRule>
  </conditionalFormatting>
  <conditionalFormatting sqref="F388">
    <cfRule type="expression" dxfId="213" priority="218" stopIfTrue="1">
      <formula>AND(NOT(CELL("protect",$F$388)),OR($B$388="cmt",$B$388="mfcmt"))</formula>
    </cfRule>
    <cfRule type="expression" dxfId="212" priority="219" stopIfTrue="1">
      <formula>AND(NOT(CELL("protect",$F$388)),$F$388=$A$388,AND($B$388&lt;&gt;"cmt",$B$388&lt;&gt;"mfcmt"))</formula>
    </cfRule>
    <cfRule type="expression" dxfId="211" priority="220">
      <formula>AND(NOT(CELL("protect",$F$388)),AND($B$388&lt;&gt;"cmt",$B$388&lt;&gt;"mfcmt"))</formula>
    </cfRule>
  </conditionalFormatting>
  <conditionalFormatting sqref="F389">
    <cfRule type="expression" dxfId="210" priority="215" stopIfTrue="1">
      <formula>AND(NOT(CELL("protect",$F$389)),OR($B$389="cmt",$B$389="mfcmt"))</formula>
    </cfRule>
    <cfRule type="expression" dxfId="209" priority="216" stopIfTrue="1">
      <formula>AND(NOT(CELL("protect",$F$389)),$F$389=$A$389,AND($B$389&lt;&gt;"cmt",$B$389&lt;&gt;"mfcmt"))</formula>
    </cfRule>
    <cfRule type="expression" dxfId="208" priority="217">
      <formula>AND(NOT(CELL("protect",$F$389)),AND($B$389&lt;&gt;"cmt",$B$389&lt;&gt;"mfcmt"))</formula>
    </cfRule>
  </conditionalFormatting>
  <conditionalFormatting sqref="F390">
    <cfRule type="expression" dxfId="207" priority="212" stopIfTrue="1">
      <formula>AND(NOT(CELL("protect",$F$390)),OR($B$390="cmt",$B$390="mfcmt"))</formula>
    </cfRule>
    <cfRule type="expression" dxfId="206" priority="213" stopIfTrue="1">
      <formula>AND(NOT(CELL("protect",$F$390)),$F$390=$A$390,AND($B$390&lt;&gt;"cmt",$B$390&lt;&gt;"mfcmt"))</formula>
    </cfRule>
    <cfRule type="expression" dxfId="205" priority="214">
      <formula>AND(NOT(CELL("protect",$F$390)),AND($B$390&lt;&gt;"cmt",$B$390&lt;&gt;"mfcmt"))</formula>
    </cfRule>
  </conditionalFormatting>
  <conditionalFormatting sqref="F391">
    <cfRule type="expression" dxfId="204" priority="209" stopIfTrue="1">
      <formula>AND(NOT(CELL("protect",$F$391)),OR($B$391="cmt",$B$391="mfcmt"))</formula>
    </cfRule>
    <cfRule type="expression" dxfId="203" priority="210" stopIfTrue="1">
      <formula>AND(NOT(CELL("protect",$F$391)),$F$391=$A$391,AND($B$391&lt;&gt;"cmt",$B$391&lt;&gt;"mfcmt"))</formula>
    </cfRule>
    <cfRule type="expression" dxfId="202" priority="211">
      <formula>AND(NOT(CELL("protect",$F$391)),AND($B$391&lt;&gt;"cmt",$B$391&lt;&gt;"mfcmt"))</formula>
    </cfRule>
  </conditionalFormatting>
  <conditionalFormatting sqref="F392">
    <cfRule type="expression" dxfId="201" priority="206" stopIfTrue="1">
      <formula>AND(NOT(CELL("protect",$F$392)),OR($B$392="cmt",$B$392="mfcmt"))</formula>
    </cfRule>
    <cfRule type="expression" dxfId="200" priority="207" stopIfTrue="1">
      <formula>AND(NOT(CELL("protect",$F$392)),$F$392=$A$392,AND($B$392&lt;&gt;"cmt",$B$392&lt;&gt;"mfcmt"))</formula>
    </cfRule>
    <cfRule type="expression" dxfId="199" priority="208">
      <formula>AND(NOT(CELL("protect",$F$392)),AND($B$392&lt;&gt;"cmt",$B$392&lt;&gt;"mfcmt"))</formula>
    </cfRule>
  </conditionalFormatting>
  <conditionalFormatting sqref="F393">
    <cfRule type="expression" dxfId="198" priority="203" stopIfTrue="1">
      <formula>AND(NOT(CELL("protect",$F$393)),OR($B$393="cmt",$B$393="mfcmt"))</formula>
    </cfRule>
    <cfRule type="expression" dxfId="197" priority="204" stopIfTrue="1">
      <formula>AND(NOT(CELL("protect",$F$393)),$F$393=$A$393,AND($B$393&lt;&gt;"cmt",$B$393&lt;&gt;"mfcmt"))</formula>
    </cfRule>
    <cfRule type="expression" dxfId="196" priority="205">
      <formula>AND(NOT(CELL("protect",$F$393)),AND($B$393&lt;&gt;"cmt",$B$393&lt;&gt;"mfcmt"))</formula>
    </cfRule>
  </conditionalFormatting>
  <conditionalFormatting sqref="F394">
    <cfRule type="expression" dxfId="195" priority="200" stopIfTrue="1">
      <formula>AND(NOT(CELL("protect",$F$394)),OR($B$394="cmt",$B$394="mfcmt"))</formula>
    </cfRule>
    <cfRule type="expression" dxfId="194" priority="201" stopIfTrue="1">
      <formula>AND(NOT(CELL("protect",$F$394)),$F$394=$A$394,AND($B$394&lt;&gt;"cmt",$B$394&lt;&gt;"mfcmt"))</formula>
    </cfRule>
    <cfRule type="expression" dxfId="193" priority="202">
      <formula>AND(NOT(CELL("protect",$F$394)),AND($B$394&lt;&gt;"cmt",$B$394&lt;&gt;"mfcmt"))</formula>
    </cfRule>
  </conditionalFormatting>
  <conditionalFormatting sqref="F395">
    <cfRule type="expression" dxfId="192" priority="197" stopIfTrue="1">
      <formula>AND(NOT(CELL("protect",$F$395)),OR($B$395="cmt",$B$395="mfcmt"))</formula>
    </cfRule>
    <cfRule type="expression" dxfId="191" priority="198" stopIfTrue="1">
      <formula>AND(NOT(CELL("protect",$F$395)),$F$395=$A$395,AND($B$395&lt;&gt;"cmt",$B$395&lt;&gt;"mfcmt"))</formula>
    </cfRule>
    <cfRule type="expression" dxfId="190" priority="199">
      <formula>AND(NOT(CELL("protect",$F$395)),AND($B$395&lt;&gt;"cmt",$B$395&lt;&gt;"mfcmt"))</formula>
    </cfRule>
  </conditionalFormatting>
  <conditionalFormatting sqref="F396">
    <cfRule type="expression" dxfId="189" priority="194" stopIfTrue="1">
      <formula>AND(NOT(CELL("protect",$F$396)),OR($B$396="cmt",$B$396="mfcmt"))</formula>
    </cfRule>
    <cfRule type="expression" dxfId="188" priority="195" stopIfTrue="1">
      <formula>AND(NOT(CELL("protect",$F$396)),$F$396=$A$396,AND($B$396&lt;&gt;"cmt",$B$396&lt;&gt;"mfcmt"))</formula>
    </cfRule>
    <cfRule type="expression" dxfId="187" priority="196">
      <formula>AND(NOT(CELL("protect",$F$396)),AND($B$396&lt;&gt;"cmt",$B$396&lt;&gt;"mfcmt"))</formula>
    </cfRule>
  </conditionalFormatting>
  <conditionalFormatting sqref="F397">
    <cfRule type="expression" dxfId="186" priority="191" stopIfTrue="1">
      <formula>AND(NOT(CELL("protect",$F$397)),OR($B$397="cmt",$B$397="mfcmt"))</formula>
    </cfRule>
    <cfRule type="expression" dxfId="185" priority="192" stopIfTrue="1">
      <formula>AND(NOT(CELL("protect",$F$397)),$F$397=$A$397,AND($B$397&lt;&gt;"cmt",$B$397&lt;&gt;"mfcmt"))</formula>
    </cfRule>
    <cfRule type="expression" dxfId="184" priority="193">
      <formula>AND(NOT(CELL("protect",$F$397)),AND($B$397&lt;&gt;"cmt",$B$397&lt;&gt;"mfcmt"))</formula>
    </cfRule>
  </conditionalFormatting>
  <conditionalFormatting sqref="F398">
    <cfRule type="expression" dxfId="183" priority="188" stopIfTrue="1">
      <formula>AND(NOT(CELL("protect",$F$398)),OR($B$398="cmt",$B$398="mfcmt"))</formula>
    </cfRule>
    <cfRule type="expression" dxfId="182" priority="189" stopIfTrue="1">
      <formula>AND(NOT(CELL("protect",$F$398)),$F$398=$A$398,AND($B$398&lt;&gt;"cmt",$B$398&lt;&gt;"mfcmt"))</formula>
    </cfRule>
    <cfRule type="expression" dxfId="181" priority="190">
      <formula>AND(NOT(CELL("protect",$F$398)),AND($B$398&lt;&gt;"cmt",$B$398&lt;&gt;"mfcmt"))</formula>
    </cfRule>
  </conditionalFormatting>
  <conditionalFormatting sqref="F399">
    <cfRule type="expression" dxfId="180" priority="185" stopIfTrue="1">
      <formula>AND(NOT(CELL("protect",$F$399)),OR($B$399="cmt",$B$399="mfcmt"))</formula>
    </cfRule>
    <cfRule type="expression" dxfId="179" priority="186" stopIfTrue="1">
      <formula>AND(NOT(CELL("protect",$F$399)),$F$399=$A$399,AND($B$399&lt;&gt;"cmt",$B$399&lt;&gt;"mfcmt"))</formula>
    </cfRule>
    <cfRule type="expression" dxfId="178" priority="187">
      <formula>AND(NOT(CELL("protect",$F$399)),AND($B$399&lt;&gt;"cmt",$B$399&lt;&gt;"mfcmt"))</formula>
    </cfRule>
  </conditionalFormatting>
  <conditionalFormatting sqref="F400">
    <cfRule type="expression" dxfId="177" priority="182" stopIfTrue="1">
      <formula>AND(NOT(CELL("protect",$F$400)),OR($B$400="cmt",$B$400="mfcmt"))</formula>
    </cfRule>
    <cfRule type="expression" dxfId="176" priority="183" stopIfTrue="1">
      <formula>AND(NOT(CELL("protect",$F$400)),$F$400=$A$400,AND($B$400&lt;&gt;"cmt",$B$400&lt;&gt;"mfcmt"))</formula>
    </cfRule>
    <cfRule type="expression" dxfId="175" priority="184">
      <formula>AND(NOT(CELL("protect",$F$400)),AND($B$400&lt;&gt;"cmt",$B$400&lt;&gt;"mfcmt"))</formula>
    </cfRule>
  </conditionalFormatting>
  <conditionalFormatting sqref="F401">
    <cfRule type="expression" dxfId="174" priority="179" stopIfTrue="1">
      <formula>AND(NOT(CELL("protect",$F$401)),OR($B$401="cmt",$B$401="mfcmt"))</formula>
    </cfRule>
    <cfRule type="expression" dxfId="173" priority="180" stopIfTrue="1">
      <formula>AND(NOT(CELL("protect",$F$401)),$F$401=$A$401,AND($B$401&lt;&gt;"cmt",$B$401&lt;&gt;"mfcmt"))</formula>
    </cfRule>
    <cfRule type="expression" dxfId="172" priority="181">
      <formula>AND(NOT(CELL("protect",$F$401)),AND($B$401&lt;&gt;"cmt",$B$401&lt;&gt;"mfcmt"))</formula>
    </cfRule>
  </conditionalFormatting>
  <conditionalFormatting sqref="F402">
    <cfRule type="expression" dxfId="171" priority="176" stopIfTrue="1">
      <formula>AND(NOT(CELL("protect",$F$402)),OR($B$402="cmt",$B$402="mfcmt"))</formula>
    </cfRule>
    <cfRule type="expression" dxfId="170" priority="177" stopIfTrue="1">
      <formula>AND(NOT(CELL("protect",$F$402)),$F$402=$A$402,AND($B$402&lt;&gt;"cmt",$B$402&lt;&gt;"mfcmt"))</formula>
    </cfRule>
    <cfRule type="expression" dxfId="169" priority="178">
      <formula>AND(NOT(CELL("protect",$F$402)),AND($B$402&lt;&gt;"cmt",$B$402&lt;&gt;"mfcmt"))</formula>
    </cfRule>
  </conditionalFormatting>
  <conditionalFormatting sqref="F403">
    <cfRule type="expression" dxfId="168" priority="173" stopIfTrue="1">
      <formula>AND(NOT(CELL("protect",$F$403)),OR($B$403="cmt",$B$403="mfcmt"))</formula>
    </cfRule>
    <cfRule type="expression" dxfId="167" priority="174" stopIfTrue="1">
      <formula>AND(NOT(CELL("protect",$F$403)),$F$403=$A$403,AND($B$403&lt;&gt;"cmt",$B$403&lt;&gt;"mfcmt"))</formula>
    </cfRule>
    <cfRule type="expression" dxfId="166" priority="175">
      <formula>AND(NOT(CELL("protect",$F$403)),AND($B$403&lt;&gt;"cmt",$B$403&lt;&gt;"mfcmt"))</formula>
    </cfRule>
  </conditionalFormatting>
  <conditionalFormatting sqref="F404">
    <cfRule type="expression" dxfId="165" priority="170" stopIfTrue="1">
      <formula>AND(NOT(CELL("protect",$F$404)),OR($B$404="cmt",$B$404="mfcmt"))</formula>
    </cfRule>
    <cfRule type="expression" dxfId="164" priority="171" stopIfTrue="1">
      <formula>AND(NOT(CELL("protect",$F$404)),$F$404=$A$404,AND($B$404&lt;&gt;"cmt",$B$404&lt;&gt;"mfcmt"))</formula>
    </cfRule>
    <cfRule type="expression" dxfId="163" priority="172">
      <formula>AND(NOT(CELL("protect",$F$404)),AND($B$404&lt;&gt;"cmt",$B$404&lt;&gt;"mfcmt"))</formula>
    </cfRule>
  </conditionalFormatting>
  <conditionalFormatting sqref="F405">
    <cfRule type="expression" dxfId="162" priority="167" stopIfTrue="1">
      <formula>AND(NOT(CELL("protect",$F$405)),OR($B$405="cmt",$B$405="mfcmt"))</formula>
    </cfRule>
    <cfRule type="expression" dxfId="161" priority="168" stopIfTrue="1">
      <formula>AND(NOT(CELL("protect",$F$405)),$F$405=$A$405,AND($B$405&lt;&gt;"cmt",$B$405&lt;&gt;"mfcmt"))</formula>
    </cfRule>
    <cfRule type="expression" dxfId="160" priority="169">
      <formula>AND(NOT(CELL("protect",$F$405)),AND($B$405&lt;&gt;"cmt",$B$405&lt;&gt;"mfcmt"))</formula>
    </cfRule>
  </conditionalFormatting>
  <conditionalFormatting sqref="F406">
    <cfRule type="expression" dxfId="159" priority="164" stopIfTrue="1">
      <formula>AND(NOT(CELL("protect",$F$406)),OR($B$406="cmt",$B$406="mfcmt"))</formula>
    </cfRule>
    <cfRule type="expression" dxfId="158" priority="165" stopIfTrue="1">
      <formula>AND(NOT(CELL("protect",$F$406)),$F$406=$A$406,AND($B$406&lt;&gt;"cmt",$B$406&lt;&gt;"mfcmt"))</formula>
    </cfRule>
    <cfRule type="expression" dxfId="157" priority="166">
      <formula>AND(NOT(CELL("protect",$F$406)),AND($B$406&lt;&gt;"cmt",$B$406&lt;&gt;"mfcmt"))</formula>
    </cfRule>
  </conditionalFormatting>
  <conditionalFormatting sqref="F407">
    <cfRule type="expression" dxfId="156" priority="161" stopIfTrue="1">
      <formula>AND(NOT(CELL("protect",$F$407)),OR($B$407="cmt",$B$407="mfcmt"))</formula>
    </cfRule>
    <cfRule type="expression" dxfId="155" priority="162" stopIfTrue="1">
      <formula>AND(NOT(CELL("protect",$F$407)),$F$407=$A$407,AND($B$407&lt;&gt;"cmt",$B$407&lt;&gt;"mfcmt"))</formula>
    </cfRule>
    <cfRule type="expression" dxfId="154" priority="163">
      <formula>AND(NOT(CELL("protect",$F$407)),AND($B$407&lt;&gt;"cmt",$B$407&lt;&gt;"mfcmt"))</formula>
    </cfRule>
  </conditionalFormatting>
  <conditionalFormatting sqref="F408">
    <cfRule type="expression" dxfId="153" priority="158" stopIfTrue="1">
      <formula>AND(NOT(CELL("protect",$F$408)),OR($B$408="cmt",$B$408="mfcmt"))</formula>
    </cfRule>
    <cfRule type="expression" dxfId="152" priority="159" stopIfTrue="1">
      <formula>AND(NOT(CELL("protect",$F$408)),$F$408=$A$408,AND($B$408&lt;&gt;"cmt",$B$408&lt;&gt;"mfcmt"))</formula>
    </cfRule>
    <cfRule type="expression" dxfId="151" priority="160">
      <formula>AND(NOT(CELL("protect",$F$408)),AND($B$408&lt;&gt;"cmt",$B$408&lt;&gt;"mfcmt"))</formula>
    </cfRule>
  </conditionalFormatting>
  <conditionalFormatting sqref="F409">
    <cfRule type="expression" dxfId="150" priority="155" stopIfTrue="1">
      <formula>AND(NOT(CELL("protect",$F$409)),OR($B$409="cmt",$B$409="mfcmt"))</formula>
    </cfRule>
    <cfRule type="expression" dxfId="149" priority="156" stopIfTrue="1">
      <formula>AND(NOT(CELL("protect",$F$409)),$F$409=$A$409,AND($B$409&lt;&gt;"cmt",$B$409&lt;&gt;"mfcmt"))</formula>
    </cfRule>
    <cfRule type="expression" dxfId="148" priority="157">
      <formula>AND(NOT(CELL("protect",$F$409)),AND($B$409&lt;&gt;"cmt",$B$409&lt;&gt;"mfcmt"))</formula>
    </cfRule>
  </conditionalFormatting>
  <conditionalFormatting sqref="F410">
    <cfRule type="expression" dxfId="147" priority="152" stopIfTrue="1">
      <formula>AND(NOT(CELL("protect",$F$410)),OR($B$410="cmt",$B$410="mfcmt"))</formula>
    </cfRule>
    <cfRule type="expression" dxfId="146" priority="153" stopIfTrue="1">
      <formula>AND(NOT(CELL("protect",$F$410)),$F$410=$A$410,AND($B$410&lt;&gt;"cmt",$B$410&lt;&gt;"mfcmt"))</formula>
    </cfRule>
    <cfRule type="expression" dxfId="145" priority="154">
      <formula>AND(NOT(CELL("protect",$F$410)),AND($B$410&lt;&gt;"cmt",$B$410&lt;&gt;"mfcmt"))</formula>
    </cfRule>
  </conditionalFormatting>
  <conditionalFormatting sqref="F411">
    <cfRule type="expression" dxfId="144" priority="149" stopIfTrue="1">
      <formula>AND(NOT(CELL("protect",$F$411)),OR($B$411="cmt",$B$411="mfcmt"))</formula>
    </cfRule>
    <cfRule type="expression" dxfId="143" priority="150" stopIfTrue="1">
      <formula>AND(NOT(CELL("protect",$F$411)),$F$411=$A$411,AND($B$411&lt;&gt;"cmt",$B$411&lt;&gt;"mfcmt"))</formula>
    </cfRule>
    <cfRule type="expression" dxfId="142" priority="151">
      <formula>AND(NOT(CELL("protect",$F$411)),AND($B$411&lt;&gt;"cmt",$B$411&lt;&gt;"mfcmt"))</formula>
    </cfRule>
  </conditionalFormatting>
  <conditionalFormatting sqref="F412">
    <cfRule type="expression" dxfId="141" priority="146" stopIfTrue="1">
      <formula>AND(NOT(CELL("protect",$F$412)),OR($B$412="cmt",$B$412="mfcmt"))</formula>
    </cfRule>
    <cfRule type="expression" dxfId="140" priority="147" stopIfTrue="1">
      <formula>AND(NOT(CELL("protect",$F$412)),$F$412=$A$412,AND($B$412&lt;&gt;"cmt",$B$412&lt;&gt;"mfcmt"))</formula>
    </cfRule>
    <cfRule type="expression" dxfId="139" priority="148">
      <formula>AND(NOT(CELL("protect",$F$412)),AND($B$412&lt;&gt;"cmt",$B$412&lt;&gt;"mfcmt"))</formula>
    </cfRule>
  </conditionalFormatting>
  <conditionalFormatting sqref="F413">
    <cfRule type="expression" dxfId="138" priority="143" stopIfTrue="1">
      <formula>AND(NOT(CELL("protect",$F$413)),OR($B$413="cmt",$B$413="mfcmt"))</formula>
    </cfRule>
    <cfRule type="expression" dxfId="137" priority="144" stopIfTrue="1">
      <formula>AND(NOT(CELL("protect",$F$413)),$F$413=$A$413,AND($B$413&lt;&gt;"cmt",$B$413&lt;&gt;"mfcmt"))</formula>
    </cfRule>
    <cfRule type="expression" dxfId="136" priority="145">
      <formula>AND(NOT(CELL("protect",$F$413)),AND($B$413&lt;&gt;"cmt",$B$413&lt;&gt;"mfcmt"))</formula>
    </cfRule>
  </conditionalFormatting>
  <conditionalFormatting sqref="F414">
    <cfRule type="expression" dxfId="135" priority="140" stopIfTrue="1">
      <formula>AND(NOT(CELL("protect",$F$414)),OR($B$414="cmt",$B$414="mfcmt"))</formula>
    </cfRule>
    <cfRule type="expression" dxfId="134" priority="141" stopIfTrue="1">
      <formula>AND(NOT(CELL("protect",$F$414)),$F$414=$A$414,AND($B$414&lt;&gt;"cmt",$B$414&lt;&gt;"mfcmt"))</formula>
    </cfRule>
    <cfRule type="expression" dxfId="133" priority="142">
      <formula>AND(NOT(CELL("protect",$F$414)),AND($B$414&lt;&gt;"cmt",$B$414&lt;&gt;"mfcmt"))</formula>
    </cfRule>
  </conditionalFormatting>
  <conditionalFormatting sqref="F415">
    <cfRule type="expression" dxfId="132" priority="137" stopIfTrue="1">
      <formula>AND(NOT(CELL("protect",$F$415)),OR($B$415="cmt",$B$415="mfcmt"))</formula>
    </cfRule>
    <cfRule type="expression" dxfId="131" priority="138" stopIfTrue="1">
      <formula>AND(NOT(CELL("protect",$F$415)),$F$415=$A$415,AND($B$415&lt;&gt;"cmt",$B$415&lt;&gt;"mfcmt"))</formula>
    </cfRule>
    <cfRule type="expression" dxfId="130" priority="139">
      <formula>AND(NOT(CELL("protect",$F$415)),AND($B$415&lt;&gt;"cmt",$B$415&lt;&gt;"mfcmt"))</formula>
    </cfRule>
  </conditionalFormatting>
  <conditionalFormatting sqref="F416">
    <cfRule type="expression" dxfId="129" priority="134" stopIfTrue="1">
      <formula>AND(NOT(CELL("protect",$F$416)),OR($B$416="cmt",$B$416="mfcmt"))</formula>
    </cfRule>
    <cfRule type="expression" dxfId="128" priority="135" stopIfTrue="1">
      <formula>AND(NOT(CELL("protect",$F$416)),$F$416=$A$416,AND($B$416&lt;&gt;"cmt",$B$416&lt;&gt;"mfcmt"))</formula>
    </cfRule>
    <cfRule type="expression" dxfId="127" priority="136">
      <formula>AND(NOT(CELL("protect",$F$416)),AND($B$416&lt;&gt;"cmt",$B$416&lt;&gt;"mfcmt"))</formula>
    </cfRule>
  </conditionalFormatting>
  <conditionalFormatting sqref="F417">
    <cfRule type="expression" dxfId="126" priority="131" stopIfTrue="1">
      <formula>AND(NOT(CELL("protect",$F$417)),OR($B$417="cmt",$B$417="mfcmt"))</formula>
    </cfRule>
    <cfRule type="expression" dxfId="125" priority="132" stopIfTrue="1">
      <formula>AND(NOT(CELL("protect",$F$417)),$F$417=$A$417,AND($B$417&lt;&gt;"cmt",$B$417&lt;&gt;"mfcmt"))</formula>
    </cfRule>
    <cfRule type="expression" dxfId="124" priority="133">
      <formula>AND(NOT(CELL("protect",$F$417)),AND($B$417&lt;&gt;"cmt",$B$417&lt;&gt;"mfcmt"))</formula>
    </cfRule>
  </conditionalFormatting>
  <conditionalFormatting sqref="F418">
    <cfRule type="expression" dxfId="123" priority="128" stopIfTrue="1">
      <formula>AND(NOT(CELL("protect",$F$418)),OR($B$418="cmt",$B$418="mfcmt"))</formula>
    </cfRule>
    <cfRule type="expression" dxfId="122" priority="129" stopIfTrue="1">
      <formula>AND(NOT(CELL("protect",$F$418)),$F$418=$A$418,AND($B$418&lt;&gt;"cmt",$B$418&lt;&gt;"mfcmt"))</formula>
    </cfRule>
    <cfRule type="expression" dxfId="121" priority="130">
      <formula>AND(NOT(CELL("protect",$F$418)),AND($B$418&lt;&gt;"cmt",$B$418&lt;&gt;"mfcmt"))</formula>
    </cfRule>
  </conditionalFormatting>
  <conditionalFormatting sqref="F419">
    <cfRule type="expression" dxfId="120" priority="125" stopIfTrue="1">
      <formula>AND(NOT(CELL("protect",$F$419)),OR($B$419="cmt",$B$419="mfcmt"))</formula>
    </cfRule>
    <cfRule type="expression" dxfId="119" priority="126" stopIfTrue="1">
      <formula>AND(NOT(CELL("protect",$F$419)),$F$419=$A$419,AND($B$419&lt;&gt;"cmt",$B$419&lt;&gt;"mfcmt"))</formula>
    </cfRule>
    <cfRule type="expression" dxfId="118" priority="127">
      <formula>AND(NOT(CELL("protect",$F$419)),AND($B$419&lt;&gt;"cmt",$B$419&lt;&gt;"mfcmt"))</formula>
    </cfRule>
  </conditionalFormatting>
  <conditionalFormatting sqref="F420">
    <cfRule type="expression" dxfId="117" priority="122" stopIfTrue="1">
      <formula>AND(NOT(CELL("protect",$F$420)),OR($B$420="cmt",$B$420="mfcmt"))</formula>
    </cfRule>
    <cfRule type="expression" dxfId="116" priority="123" stopIfTrue="1">
      <formula>AND(NOT(CELL("protect",$F$420)),$F$420=$A$420,AND($B$420&lt;&gt;"cmt",$B$420&lt;&gt;"mfcmt"))</formula>
    </cfRule>
    <cfRule type="expression" dxfId="115" priority="124">
      <formula>AND(NOT(CELL("protect",$F$420)),AND($B$420&lt;&gt;"cmt",$B$420&lt;&gt;"mfcmt"))</formula>
    </cfRule>
  </conditionalFormatting>
  <conditionalFormatting sqref="F421">
    <cfRule type="expression" dxfId="114" priority="119" stopIfTrue="1">
      <formula>AND(NOT(CELL("protect",$F$421)),OR($B$421="cmt",$B$421="mfcmt"))</formula>
    </cfRule>
    <cfRule type="expression" dxfId="113" priority="120" stopIfTrue="1">
      <formula>AND(NOT(CELL("protect",$F$421)),$F$421=$A$421,AND($B$421&lt;&gt;"cmt",$B$421&lt;&gt;"mfcmt"))</formula>
    </cfRule>
    <cfRule type="expression" dxfId="112" priority="121">
      <formula>AND(NOT(CELL("protect",$F$421)),AND($B$421&lt;&gt;"cmt",$B$421&lt;&gt;"mfcmt"))</formula>
    </cfRule>
  </conditionalFormatting>
  <conditionalFormatting sqref="F422">
    <cfRule type="expression" dxfId="111" priority="116" stopIfTrue="1">
      <formula>AND(NOT(CELL("protect",$F$422)),OR($B$422="cmt",$B$422="mfcmt"))</formula>
    </cfRule>
    <cfRule type="expression" dxfId="110" priority="117" stopIfTrue="1">
      <formula>AND(NOT(CELL("protect",$F$422)),$F$422=$A$422,AND($B$422&lt;&gt;"cmt",$B$422&lt;&gt;"mfcmt"))</formula>
    </cfRule>
    <cfRule type="expression" dxfId="109" priority="118">
      <formula>AND(NOT(CELL("protect",$F$422)),AND($B$422&lt;&gt;"cmt",$B$422&lt;&gt;"mfcmt"))</formula>
    </cfRule>
  </conditionalFormatting>
  <conditionalFormatting sqref="F423">
    <cfRule type="expression" dxfId="108" priority="113" stopIfTrue="1">
      <formula>AND(NOT(CELL("protect",$F$423)),OR($B$423="cmt",$B$423="mfcmt"))</formula>
    </cfRule>
    <cfRule type="expression" dxfId="107" priority="114" stopIfTrue="1">
      <formula>AND(NOT(CELL("protect",$F$423)),$F$423=$A$423,AND($B$423&lt;&gt;"cmt",$B$423&lt;&gt;"mfcmt"))</formula>
    </cfRule>
    <cfRule type="expression" dxfId="106" priority="115">
      <formula>AND(NOT(CELL("protect",$F$423)),AND($B$423&lt;&gt;"cmt",$B$423&lt;&gt;"mfcmt"))</formula>
    </cfRule>
  </conditionalFormatting>
  <conditionalFormatting sqref="F424">
    <cfRule type="expression" dxfId="105" priority="110" stopIfTrue="1">
      <formula>AND(NOT(CELL("protect",$F$424)),OR($B$424="cmt",$B$424="mfcmt"))</formula>
    </cfRule>
    <cfRule type="expression" dxfId="104" priority="111" stopIfTrue="1">
      <formula>AND(NOT(CELL("protect",$F$424)),$F$424=$A$424,AND($B$424&lt;&gt;"cmt",$B$424&lt;&gt;"mfcmt"))</formula>
    </cfRule>
    <cfRule type="expression" dxfId="103" priority="112">
      <formula>AND(NOT(CELL("protect",$F$424)),AND($B$424&lt;&gt;"cmt",$B$424&lt;&gt;"mfcmt"))</formula>
    </cfRule>
  </conditionalFormatting>
  <conditionalFormatting sqref="F425">
    <cfRule type="expression" dxfId="102" priority="107" stopIfTrue="1">
      <formula>AND(NOT(CELL("protect",$F$425)),OR($B$425="cmt",$B$425="mfcmt"))</formula>
    </cfRule>
    <cfRule type="expression" dxfId="101" priority="108" stopIfTrue="1">
      <formula>AND(NOT(CELL("protect",$F$425)),$F$425=$A$425,AND($B$425&lt;&gt;"cmt",$B$425&lt;&gt;"mfcmt"))</formula>
    </cfRule>
    <cfRule type="expression" dxfId="100" priority="109">
      <formula>AND(NOT(CELL("protect",$F$425)),AND($B$425&lt;&gt;"cmt",$B$425&lt;&gt;"mfcmt"))</formula>
    </cfRule>
  </conditionalFormatting>
  <conditionalFormatting sqref="F426">
    <cfRule type="expression" dxfId="99" priority="104" stopIfTrue="1">
      <formula>AND(NOT(CELL("protect",$F$426)),OR($B$426="cmt",$B$426="mfcmt"))</formula>
    </cfRule>
    <cfRule type="expression" dxfId="98" priority="105" stopIfTrue="1">
      <formula>AND(NOT(CELL("protect",$F$426)),$F$426=$A$426,AND($B$426&lt;&gt;"cmt",$B$426&lt;&gt;"mfcmt"))</formula>
    </cfRule>
    <cfRule type="expression" dxfId="97" priority="106">
      <formula>AND(NOT(CELL("protect",$F$426)),AND($B$426&lt;&gt;"cmt",$B$426&lt;&gt;"mfcmt"))</formula>
    </cfRule>
  </conditionalFormatting>
  <conditionalFormatting sqref="F427">
    <cfRule type="expression" dxfId="96" priority="101" stopIfTrue="1">
      <formula>AND(NOT(CELL("protect",$F$427)),OR($B$427="cmt",$B$427="mfcmt"))</formula>
    </cfRule>
    <cfRule type="expression" dxfId="95" priority="102" stopIfTrue="1">
      <formula>AND(NOT(CELL("protect",$F$427)),$F$427=$A$427,AND($B$427&lt;&gt;"cmt",$B$427&lt;&gt;"mfcmt"))</formula>
    </cfRule>
    <cfRule type="expression" dxfId="94" priority="103">
      <formula>AND(NOT(CELL("protect",$F$427)),AND($B$427&lt;&gt;"cmt",$B$427&lt;&gt;"mfcmt"))</formula>
    </cfRule>
  </conditionalFormatting>
  <conditionalFormatting sqref="F428">
    <cfRule type="expression" dxfId="93" priority="98" stopIfTrue="1">
      <formula>AND(NOT(CELL("protect",$F$428)),OR($B$428="cmt",$B$428="mfcmt"))</formula>
    </cfRule>
    <cfRule type="expression" dxfId="92" priority="99" stopIfTrue="1">
      <formula>AND(NOT(CELL("protect",$F$428)),$F$428=$A$428,AND($B$428&lt;&gt;"cmt",$B$428&lt;&gt;"mfcmt"))</formula>
    </cfRule>
    <cfRule type="expression" dxfId="91" priority="100">
      <formula>AND(NOT(CELL("protect",$F$428)),AND($B$428&lt;&gt;"cmt",$B$428&lt;&gt;"mfcmt"))</formula>
    </cfRule>
  </conditionalFormatting>
  <conditionalFormatting sqref="F429">
    <cfRule type="expression" dxfId="90" priority="95" stopIfTrue="1">
      <formula>AND(NOT(CELL("protect",$F$429)),OR($B$429="cmt",$B$429="mfcmt"))</formula>
    </cfRule>
    <cfRule type="expression" dxfId="89" priority="96" stopIfTrue="1">
      <formula>AND(NOT(CELL("protect",$F$429)),$F$429=$A$429,AND($B$429&lt;&gt;"cmt",$B$429&lt;&gt;"mfcmt"))</formula>
    </cfRule>
    <cfRule type="expression" dxfId="88" priority="97">
      <formula>AND(NOT(CELL("protect",$F$429)),AND($B$429&lt;&gt;"cmt",$B$429&lt;&gt;"mfcmt"))</formula>
    </cfRule>
  </conditionalFormatting>
  <conditionalFormatting sqref="F430">
    <cfRule type="expression" dxfId="87" priority="92" stopIfTrue="1">
      <formula>AND(NOT(CELL("protect",$F$430)),OR($B$430="cmt",$B$430="mfcmt"))</formula>
    </cfRule>
    <cfRule type="expression" dxfId="86" priority="93" stopIfTrue="1">
      <formula>AND(NOT(CELL("protect",$F$430)),$F$430=$A$430,AND($B$430&lt;&gt;"cmt",$B$430&lt;&gt;"mfcmt"))</formula>
    </cfRule>
    <cfRule type="expression" dxfId="85" priority="94">
      <formula>AND(NOT(CELL("protect",$F$430)),AND($B$430&lt;&gt;"cmt",$B$430&lt;&gt;"mfcmt"))</formula>
    </cfRule>
  </conditionalFormatting>
  <conditionalFormatting sqref="F431">
    <cfRule type="expression" dxfId="84" priority="89" stopIfTrue="1">
      <formula>AND(NOT(CELL("protect",$F$431)),OR($B$431="cmt",$B$431="mfcmt"))</formula>
    </cfRule>
    <cfRule type="expression" dxfId="83" priority="90" stopIfTrue="1">
      <formula>AND(NOT(CELL("protect",$F$431)),$F$431=$A$431,AND($B$431&lt;&gt;"cmt",$B$431&lt;&gt;"mfcmt"))</formula>
    </cfRule>
    <cfRule type="expression" dxfId="82" priority="91">
      <formula>AND(NOT(CELL("protect",$F$431)),AND($B$431&lt;&gt;"cmt",$B$431&lt;&gt;"mfcmt"))</formula>
    </cfRule>
  </conditionalFormatting>
  <conditionalFormatting sqref="F432">
    <cfRule type="expression" dxfId="81" priority="86" stopIfTrue="1">
      <formula>AND(NOT(CELL("protect",$F$432)),OR($B$432="cmt",$B$432="mfcmt"))</formula>
    </cfRule>
    <cfRule type="expression" dxfId="80" priority="87" stopIfTrue="1">
      <formula>AND(NOT(CELL("protect",$F$432)),$F$432=$A$432,AND($B$432&lt;&gt;"cmt",$B$432&lt;&gt;"mfcmt"))</formula>
    </cfRule>
    <cfRule type="expression" dxfId="79" priority="88">
      <formula>AND(NOT(CELL("protect",$F$432)),AND($B$432&lt;&gt;"cmt",$B$432&lt;&gt;"mfcmt"))</formula>
    </cfRule>
  </conditionalFormatting>
  <conditionalFormatting sqref="F433">
    <cfRule type="expression" dxfId="78" priority="83" stopIfTrue="1">
      <formula>AND(NOT(CELL("protect",$F$433)),OR($B$433="cmt",$B$433="mfcmt"))</formula>
    </cfRule>
    <cfRule type="expression" dxfId="77" priority="84" stopIfTrue="1">
      <formula>AND(NOT(CELL("protect",$F$433)),$F$433=$A$433,AND($B$433&lt;&gt;"cmt",$B$433&lt;&gt;"mfcmt"))</formula>
    </cfRule>
    <cfRule type="expression" dxfId="76" priority="85">
      <formula>AND(NOT(CELL("protect",$F$433)),AND($B$433&lt;&gt;"cmt",$B$433&lt;&gt;"mfcmt"))</formula>
    </cfRule>
  </conditionalFormatting>
  <conditionalFormatting sqref="F434">
    <cfRule type="expression" dxfId="75" priority="80" stopIfTrue="1">
      <formula>AND(NOT(CELL("protect",$F$434)),OR($B$434="cmt",$B$434="mfcmt"))</formula>
    </cfRule>
    <cfRule type="expression" dxfId="74" priority="81" stopIfTrue="1">
      <formula>AND(NOT(CELL("protect",$F$434)),$F$434=$A$434,AND($B$434&lt;&gt;"cmt",$B$434&lt;&gt;"mfcmt"))</formula>
    </cfRule>
    <cfRule type="expression" dxfId="73" priority="82">
      <formula>AND(NOT(CELL("protect",$F$434)),AND($B$434&lt;&gt;"cmt",$B$434&lt;&gt;"mfcmt"))</formula>
    </cfRule>
  </conditionalFormatting>
  <conditionalFormatting sqref="F435">
    <cfRule type="expression" dxfId="72" priority="77" stopIfTrue="1">
      <formula>AND(NOT(CELL("protect",$F$435)),OR($B$435="cmt",$B$435="mfcmt"))</formula>
    </cfRule>
    <cfRule type="expression" dxfId="71" priority="78" stopIfTrue="1">
      <formula>AND(NOT(CELL("protect",$F$435)),$F$435=$A$435,AND($B$435&lt;&gt;"cmt",$B$435&lt;&gt;"mfcmt"))</formula>
    </cfRule>
    <cfRule type="expression" dxfId="70" priority="79">
      <formula>AND(NOT(CELL("protect",$F$435)),AND($B$435&lt;&gt;"cmt",$B$435&lt;&gt;"mfcmt"))</formula>
    </cfRule>
  </conditionalFormatting>
  <conditionalFormatting sqref="F436">
    <cfRule type="expression" dxfId="69" priority="74" stopIfTrue="1">
      <formula>AND(NOT(CELL("protect",$F$436)),OR($B$436="cmt",$B$436="mfcmt"))</formula>
    </cfRule>
    <cfRule type="expression" dxfId="68" priority="75" stopIfTrue="1">
      <formula>AND(NOT(CELL("protect",$F$436)),$F$436=$A$436,AND($B$436&lt;&gt;"cmt",$B$436&lt;&gt;"mfcmt"))</formula>
    </cfRule>
    <cfRule type="expression" dxfId="67" priority="76">
      <formula>AND(NOT(CELL("protect",$F$436)),AND($B$436&lt;&gt;"cmt",$B$436&lt;&gt;"mfcmt"))</formula>
    </cfRule>
  </conditionalFormatting>
  <conditionalFormatting sqref="F437">
    <cfRule type="expression" dxfId="66" priority="71" stopIfTrue="1">
      <formula>AND(NOT(CELL("protect",$F$437)),OR($B$437="cmt",$B$437="mfcmt"))</formula>
    </cfRule>
    <cfRule type="expression" dxfId="65" priority="72" stopIfTrue="1">
      <formula>AND(NOT(CELL("protect",$F$437)),$F$437=$A$437,AND($B$437&lt;&gt;"cmt",$B$437&lt;&gt;"mfcmt"))</formula>
    </cfRule>
    <cfRule type="expression" dxfId="64" priority="73">
      <formula>AND(NOT(CELL("protect",$F$437)),AND($B$437&lt;&gt;"cmt",$B$437&lt;&gt;"mfcmt"))</formula>
    </cfRule>
  </conditionalFormatting>
  <conditionalFormatting sqref="F438">
    <cfRule type="expression" dxfId="63" priority="68" stopIfTrue="1">
      <formula>AND(NOT(CELL("protect",$F$438)),OR($B$438="cmt",$B$438="mfcmt"))</formula>
    </cfRule>
    <cfRule type="expression" dxfId="62" priority="69" stopIfTrue="1">
      <formula>AND(NOT(CELL("protect",$F$438)),$F$438=$A$438,AND($B$438&lt;&gt;"cmt",$B$438&lt;&gt;"mfcmt"))</formula>
    </cfRule>
    <cfRule type="expression" dxfId="61" priority="70">
      <formula>AND(NOT(CELL("protect",$F$438)),AND($B$438&lt;&gt;"cmt",$B$438&lt;&gt;"mfcmt"))</formula>
    </cfRule>
  </conditionalFormatting>
  <conditionalFormatting sqref="F439">
    <cfRule type="expression" dxfId="60" priority="65" stopIfTrue="1">
      <formula>AND(NOT(CELL("protect",$F$439)),OR($B$439="cmt",$B$439="mfcmt"))</formula>
    </cfRule>
    <cfRule type="expression" dxfId="59" priority="66" stopIfTrue="1">
      <formula>AND(NOT(CELL("protect",$F$439)),$F$439=$A$439,AND($B$439&lt;&gt;"cmt",$B$439&lt;&gt;"mfcmt"))</formula>
    </cfRule>
    <cfRule type="expression" dxfId="58" priority="67">
      <formula>AND(NOT(CELL("protect",$F$439)),AND($B$439&lt;&gt;"cmt",$B$439&lt;&gt;"mfcmt"))</formula>
    </cfRule>
  </conditionalFormatting>
  <conditionalFormatting sqref="F440">
    <cfRule type="expression" dxfId="57" priority="62" stopIfTrue="1">
      <formula>AND(NOT(CELL("protect",$F$440)),OR($B$440="cmt",$B$440="mfcmt"))</formula>
    </cfRule>
    <cfRule type="expression" dxfId="56" priority="63" stopIfTrue="1">
      <formula>AND(NOT(CELL("protect",$F$440)),$F$440=$A$440,AND($B$440&lt;&gt;"cmt",$B$440&lt;&gt;"mfcmt"))</formula>
    </cfRule>
    <cfRule type="expression" dxfId="55" priority="64">
      <formula>AND(NOT(CELL("protect",$F$440)),AND($B$440&lt;&gt;"cmt",$B$440&lt;&gt;"mfcmt"))</formula>
    </cfRule>
  </conditionalFormatting>
  <conditionalFormatting sqref="F441">
    <cfRule type="expression" dxfId="54" priority="59" stopIfTrue="1">
      <formula>AND(NOT(CELL("protect",$F$441)),OR($B$441="cmt",$B$441="mfcmt"))</formula>
    </cfRule>
    <cfRule type="expression" dxfId="53" priority="60" stopIfTrue="1">
      <formula>AND(NOT(CELL("protect",$F$441)),$F$441=$A$441,AND($B$441&lt;&gt;"cmt",$B$441&lt;&gt;"mfcmt"))</formula>
    </cfRule>
    <cfRule type="expression" dxfId="52" priority="61">
      <formula>AND(NOT(CELL("protect",$F$441)),AND($B$441&lt;&gt;"cmt",$B$441&lt;&gt;"mfcmt"))</formula>
    </cfRule>
  </conditionalFormatting>
  <conditionalFormatting sqref="F296">
    <cfRule type="expression" dxfId="51" priority="41" stopIfTrue="1">
      <formula>AND(NOT(CELL("protect",$F$260)),OR($B$260="cmt",$B$260="mfcmt"))</formula>
    </cfRule>
    <cfRule type="expression" dxfId="50" priority="42" stopIfTrue="1">
      <formula>AND(NOT(CELL("protect",$F$260)),$F$260=$A$260,AND($B$260&lt;&gt;"cmt",$B$260&lt;&gt;"mfcmt"))</formula>
    </cfRule>
    <cfRule type="expression" dxfId="49" priority="43">
      <formula>AND(NOT(CELL("protect",$F$260)),AND($B$260&lt;&gt;"cmt",$B$260&lt;&gt;"mfcmt"))</formula>
    </cfRule>
  </conditionalFormatting>
  <conditionalFormatting sqref="F209">
    <cfRule type="expression" dxfId="48" priority="38" stopIfTrue="1">
      <formula>AND(NOT(CELL("protect",$F$205)),OR($B$205="cmt",$B$205="mfcmt"))</formula>
    </cfRule>
    <cfRule type="expression" dxfId="47" priority="39" stopIfTrue="1">
      <formula>AND(NOT(CELL("protect",$F$205)),$F$205=$A$205,AND($B$205&lt;&gt;"cmt",$B$205&lt;&gt;"mfcmt"))</formula>
    </cfRule>
    <cfRule type="expression" dxfId="46" priority="40">
      <formula>AND(NOT(CELL("protect",$F$205)),AND($B$205&lt;&gt;"cmt",$B$205&lt;&gt;"mfcmt"))</formula>
    </cfRule>
  </conditionalFormatting>
  <conditionalFormatting sqref="F210">
    <cfRule type="expression" dxfId="45" priority="35" stopIfTrue="1">
      <formula>AND(NOT(CELL("protect",$F$206)),OR($B$206="cmt",$B$206="mfcmt"))</formula>
    </cfRule>
    <cfRule type="expression" dxfId="44" priority="36" stopIfTrue="1">
      <formula>AND(NOT(CELL("protect",$F$206)),$F$206=$A$206,AND($B$206&lt;&gt;"cmt",$B$206&lt;&gt;"mfcmt"))</formula>
    </cfRule>
    <cfRule type="expression" dxfId="43" priority="37">
      <formula>AND(NOT(CELL("protect",$F$206)),AND($B$206&lt;&gt;"cmt",$B$206&lt;&gt;"mfcmt"))</formula>
    </cfRule>
  </conditionalFormatting>
  <conditionalFormatting sqref="F211">
    <cfRule type="expression" dxfId="42" priority="32" stopIfTrue="1">
      <formula>AND(NOT(CELL("protect",$F$207)),OR($B$207="cmt",$B$207="mfcmt"))</formula>
    </cfRule>
    <cfRule type="expression" dxfId="41" priority="33" stopIfTrue="1">
      <formula>AND(NOT(CELL("protect",$F$207)),$F$207=$A$207,AND($B$207&lt;&gt;"cmt",$B$207&lt;&gt;"mfcmt"))</formula>
    </cfRule>
    <cfRule type="expression" dxfId="40" priority="34">
      <formula>AND(NOT(CELL("protect",$F$207)),AND($B$207&lt;&gt;"cmt",$B$207&lt;&gt;"mfcmt"))</formula>
    </cfRule>
  </conditionalFormatting>
  <conditionalFormatting sqref="F212">
    <cfRule type="expression" dxfId="39" priority="29" stopIfTrue="1">
      <formula>AND(NOT(CELL("protect",$F$208)),OR($B$208="cmt",$B$208="mfcmt"))</formula>
    </cfRule>
    <cfRule type="expression" dxfId="38" priority="30" stopIfTrue="1">
      <formula>AND(NOT(CELL("protect",$F$208)),$F$208=$A$208,AND($B$208&lt;&gt;"cmt",$B$208&lt;&gt;"mfcmt"))</formula>
    </cfRule>
    <cfRule type="expression" dxfId="37" priority="31">
      <formula>AND(NOT(CELL("protect",$F$208)),AND($B$208&lt;&gt;"cmt",$B$208&lt;&gt;"mfcmt"))</formula>
    </cfRule>
  </conditionalFormatting>
  <conditionalFormatting sqref="F213">
    <cfRule type="expression" dxfId="36" priority="26" stopIfTrue="1">
      <formula>AND(NOT(CELL("protect",$F$205)),OR($B$205="cmt",$B$205="mfcmt"))</formula>
    </cfRule>
    <cfRule type="expression" dxfId="35" priority="27" stopIfTrue="1">
      <formula>AND(NOT(CELL("protect",$F$205)),$F$205=$A$205,AND($B$205&lt;&gt;"cmt",$B$205&lt;&gt;"mfcmt"))</formula>
    </cfRule>
    <cfRule type="expression" dxfId="34" priority="28">
      <formula>AND(NOT(CELL("protect",$F$205)),AND($B$205&lt;&gt;"cmt",$B$205&lt;&gt;"mfcmt"))</formula>
    </cfRule>
  </conditionalFormatting>
  <conditionalFormatting sqref="F214">
    <cfRule type="expression" dxfId="33" priority="23" stopIfTrue="1">
      <formula>AND(NOT(CELL("protect",$F$206)),OR($B$206="cmt",$B$206="mfcmt"))</formula>
    </cfRule>
    <cfRule type="expression" dxfId="32" priority="24" stopIfTrue="1">
      <formula>AND(NOT(CELL("protect",$F$206)),$F$206=$A$206,AND($B$206&lt;&gt;"cmt",$B$206&lt;&gt;"mfcmt"))</formula>
    </cfRule>
    <cfRule type="expression" dxfId="31" priority="25">
      <formula>AND(NOT(CELL("protect",$F$206)),AND($B$206&lt;&gt;"cmt",$B$206&lt;&gt;"mfcmt"))</formula>
    </cfRule>
  </conditionalFormatting>
  <conditionalFormatting sqref="F215">
    <cfRule type="expression" dxfId="30" priority="20" stopIfTrue="1">
      <formula>AND(NOT(CELL("protect",$F$207)),OR($B$207="cmt",$B$207="mfcmt"))</formula>
    </cfRule>
    <cfRule type="expression" dxfId="29" priority="21" stopIfTrue="1">
      <formula>AND(NOT(CELL("protect",$F$207)),$F$207=$A$207,AND($B$207&lt;&gt;"cmt",$B$207&lt;&gt;"mfcmt"))</formula>
    </cfRule>
    <cfRule type="expression" dxfId="28" priority="22">
      <formula>AND(NOT(CELL("protect",$F$207)),AND($B$207&lt;&gt;"cmt",$B$207&lt;&gt;"mfcmt"))</formula>
    </cfRule>
  </conditionalFormatting>
  <conditionalFormatting sqref="F216">
    <cfRule type="expression" dxfId="27" priority="17" stopIfTrue="1">
      <formula>AND(NOT(CELL("protect",$F$208)),OR($B$208="cmt",$B$208="mfcmt"))</formula>
    </cfRule>
    <cfRule type="expression" dxfId="26" priority="18" stopIfTrue="1">
      <formula>AND(NOT(CELL("protect",$F$208)),$F$208=$A$208,AND($B$208&lt;&gt;"cmt",$B$208&lt;&gt;"mfcmt"))</formula>
    </cfRule>
    <cfRule type="expression" dxfId="25" priority="19">
      <formula>AND(NOT(CELL("protect",$F$208)),AND($B$208&lt;&gt;"cmt",$B$208&lt;&gt;"mfcmt"))</formula>
    </cfRule>
  </conditionalFormatting>
  <conditionalFormatting sqref="E209">
    <cfRule type="expression" dxfId="24" priority="15" stopIfTrue="1">
      <formula>AND(NOT(CELL("protect",$E$205)),$E$205=$A$205)</formula>
    </cfRule>
    <cfRule type="expression" dxfId="23" priority="16">
      <formula>AND(NOT(CELL("protect",$E$205)))</formula>
    </cfRule>
  </conditionalFormatting>
  <conditionalFormatting sqref="E210">
    <cfRule type="expression" dxfId="22" priority="13" stopIfTrue="1">
      <formula>AND(NOT(CELL("protect",$E$206)),$E$206=$A$206)</formula>
    </cfRule>
    <cfRule type="expression" dxfId="21" priority="14">
      <formula>AND(NOT(CELL("protect",$E$206)))</formula>
    </cfRule>
  </conditionalFormatting>
  <conditionalFormatting sqref="E211">
    <cfRule type="expression" dxfId="20" priority="11" stopIfTrue="1">
      <formula>AND(NOT(CELL("protect",$E$207)),$E$207=$A$207)</formula>
    </cfRule>
    <cfRule type="expression" dxfId="19" priority="12">
      <formula>AND(NOT(CELL("protect",$E$207)))</formula>
    </cfRule>
  </conditionalFormatting>
  <conditionalFormatting sqref="E212">
    <cfRule type="expression" dxfId="18" priority="9" stopIfTrue="1">
      <formula>AND(NOT(CELL("protect",$E$208)),$E$208=$A$208)</formula>
    </cfRule>
    <cfRule type="expression" dxfId="17" priority="10">
      <formula>AND(NOT(CELL("protect",$E$208)))</formula>
    </cfRule>
  </conditionalFormatting>
  <conditionalFormatting sqref="E213">
    <cfRule type="expression" dxfId="16" priority="7" stopIfTrue="1">
      <formula>AND(NOT(CELL("protect",$E$205)),$E$205=$A$205)</formula>
    </cfRule>
    <cfRule type="expression" dxfId="15" priority="8">
      <formula>AND(NOT(CELL("protect",$E$205)))</formula>
    </cfRule>
  </conditionalFormatting>
  <conditionalFormatting sqref="E214">
    <cfRule type="expression" dxfId="14" priority="5" stopIfTrue="1">
      <formula>AND(NOT(CELL("protect",$E$206)),$E$206=$A$206)</formula>
    </cfRule>
    <cfRule type="expression" dxfId="13" priority="6">
      <formula>AND(NOT(CELL("protect",$E$206)))</formula>
    </cfRule>
  </conditionalFormatting>
  <conditionalFormatting sqref="E215">
    <cfRule type="expression" dxfId="12" priority="3" stopIfTrue="1">
      <formula>AND(NOT(CELL("protect",$E$207)),$E$207=$A$207)</formula>
    </cfRule>
    <cfRule type="expression" dxfId="11" priority="4">
      <formula>AND(NOT(CELL("protect",$E$207)))</formula>
    </cfRule>
  </conditionalFormatting>
  <conditionalFormatting sqref="E216">
    <cfRule type="expression" dxfId="10" priority="1" stopIfTrue="1">
      <formula>AND(NOT(CELL("protect",$E$208)),$E$208=$A$208)</formula>
    </cfRule>
    <cfRule type="expression" dxfId="9" priority="2">
      <formula>AND(NOT(CELL("protect",$E$208)))</formula>
    </cfRule>
  </conditionalFormatting>
  <dataValidations count="28">
    <dataValidation type="list" showInputMessage="1" showErrorMessage="1" sqref="F125:F127">
      <formula1>"YES,NO"</formula1>
    </dataValidation>
    <dataValidation type="list" allowBlank="1" showInputMessage="1" showErrorMessage="1" sqref="F418 F406 F339:F340 F311:F312 F303:F304 F286 F274 F293:F294 F322 F88 F180 F164 F270 F192 F241:F242 F235 F247:F249 F257:F259 F261 F17 F21:F23">
      <formula1>$Q$7:$R$7</formula1>
    </dataValidation>
    <dataValidation type="list" allowBlank="1" showInputMessage="1" showErrorMessage="1" sqref="F325 F343 F271">
      <formula1>$Q$9:$R$9</formula1>
    </dataValidation>
    <dataValidation type="list" allowBlank="1" showInputMessage="1" showErrorMessage="1" sqref="F326 F344">
      <formula1>$H$326:$H$327</formula1>
    </dataValidation>
    <dataValidation type="list" allowBlank="1" showErrorMessage="1" promptTitle="test" prompt="testmsg" sqref="F203:F204">
      <formula1>$H$203:$I$203</formula1>
    </dataValidation>
    <dataValidation type="list" allowBlank="1" showInputMessage="1" showErrorMessage="1" sqref="F260">
      <formula1>$H$260:$H$261</formula1>
    </dataValidation>
    <dataValidation type="list" allowBlank="1" showInputMessage="1" showErrorMessage="1" sqref="F154">
      <formula1>$H$154:$H$156</formula1>
    </dataValidation>
    <dataValidation type="list" allowBlank="1" showInputMessage="1" showErrorMessage="1" sqref="F156">
      <formula1>$H$157:$H$158</formula1>
    </dataValidation>
    <dataValidation type="list" allowBlank="1" showInputMessage="1" showErrorMessage="1" sqref="F153">
      <formula1>$H$153:$I$153</formula1>
    </dataValidation>
    <dataValidation type="list" allowBlank="1" showInputMessage="1" showErrorMessage="1" sqref="F151">
      <formula1>$H$151:$H$152</formula1>
    </dataValidation>
    <dataValidation type="list" allowBlank="1" showInputMessage="1" showErrorMessage="1" sqref="F111">
      <formula1>$Q$9:$S$9</formula1>
    </dataValidation>
    <dataValidation type="list" showInputMessage="1" showErrorMessage="1" sqref="F85">
      <formula1>LookupTables!$B$4:$B$15</formula1>
    </dataValidation>
    <dataValidation type="list" allowBlank="1" showInputMessage="1" showErrorMessage="1" sqref="F90">
      <formula1>$Q$17:$Z$17</formula1>
    </dataValidation>
    <dataValidation type="list" showInputMessage="1" showErrorMessage="1" sqref="F89">
      <formula1>LookupTables!$B$16:$B$23</formula1>
    </dataValidation>
    <dataValidation type="list" allowBlank="1" showInputMessage="1" showErrorMessage="1" sqref="E50">
      <formula1>$R$8:$S$8</formula1>
    </dataValidation>
    <dataValidation type="whole" allowBlank="1" showInputMessage="1" showErrorMessage="1" sqref="F38:F39">
      <formula1>0</formula1>
      <formula2>2000</formula2>
    </dataValidation>
    <dataValidation type="whole" operator="equal" allowBlank="1" showInputMessage="1" showErrorMessage="1" sqref="E81">
      <formula1>80</formula1>
    </dataValidation>
    <dataValidation type="whole" operator="equal" allowBlank="1" showInputMessage="1" showErrorMessage="1" sqref="E56">
      <formula1>33</formula1>
    </dataValidation>
    <dataValidation type="list" allowBlank="1" showInputMessage="1" showErrorMessage="1" sqref="F37 F15">
      <formula1>$Q$8:$T$8</formula1>
    </dataValidation>
    <dataValidation type="list" allowBlank="1" showInputMessage="1" showErrorMessage="1" sqref="F24:F25">
      <formula1>$Q$16:$R$16</formula1>
    </dataValidation>
    <dataValidation type="list" allowBlank="1" showInputMessage="1" showErrorMessage="1" sqref="E7">
      <formula1>INDIRECT("'Locations'!A3:A1013")</formula1>
    </dataValidation>
    <dataValidation type="list" allowBlank="1" showInputMessage="1" showErrorMessage="1" promptTitle="HomeType" sqref="F11">
      <formula1>$Q$8:$S$8</formula1>
    </dataValidation>
    <dataValidation type="list" allowBlank="1" showInputMessage="1" showErrorMessage="1" sqref="F13">
      <formula1>$R$8:$T$8</formula1>
    </dataValidation>
    <dataValidation showInputMessage="1" showErrorMessage="1" sqref="E124:F124 E128:F128 E126"/>
    <dataValidation type="list" allowBlank="1" showInputMessage="1" showErrorMessage="1" sqref="F358">
      <formula1>$H$203:$I$203</formula1>
    </dataValidation>
    <dataValidation allowBlank="1" showErrorMessage="1" promptTitle="test" prompt="testmsg" sqref="A203"/>
    <dataValidation type="list" allowBlank="1" showInputMessage="1" showErrorMessage="1" sqref="F28">
      <formula1>"0,1,2"</formula1>
    </dataValidation>
    <dataValidation type="list" allowBlank="1" showInputMessage="1" showErrorMessage="1" sqref="F296">
      <formula1>$H$296:$H$298</formula1>
    </dataValidation>
  </dataValidations>
  <hyperlinks>
    <hyperlink ref="G256" r:id="rId12"/>
    <hyperlink ref="G257" r:id="rId13"/>
    <hyperlink ref="G272" r:id="rId14"/>
  </hyperlinks>
  <pageMargins left="0.75" right="0.75" top="1" bottom="1" header="0.5" footer="0.5"/>
  <pageSetup orientation="portrait" r:id="rId15"/>
  <headerFooter alignWithMargins="0"/>
  <ignoredErrors>
    <ignoredError sqref="E64" unlockedFormula="1"/>
    <ignoredError sqref="E15" formula="1"/>
  </ignoredErrors>
  <legacyDrawing r:id="rId16"/>
</worksheet>
</file>

<file path=xl/worksheets/sheet2.xml><?xml version="1.0" encoding="utf-8"?>
<worksheet xmlns="http://schemas.openxmlformats.org/spreadsheetml/2006/main" xmlns:r="http://schemas.openxmlformats.org/officeDocument/2006/relationships">
  <sheetPr codeName="Sheet2">
    <tabColor theme="6" tint="0.79998168889431442"/>
  </sheetPr>
  <dimension ref="B1:CL420"/>
  <sheetViews>
    <sheetView tabSelected="1" zoomScaleNormal="100" workbookViewId="0">
      <selection activeCell="O22" sqref="O22"/>
    </sheetView>
  </sheetViews>
  <sheetFormatPr defaultRowHeight="12.75"/>
  <cols>
    <col min="1" max="1" width="4.28515625" style="1070" customWidth="1"/>
    <col min="2" max="2" width="9.140625" style="1070"/>
    <col min="3" max="3" width="13.42578125" style="1070" bestFit="1" customWidth="1"/>
    <col min="4" max="12" width="9.140625" style="1070"/>
    <col min="13" max="14" width="10" style="1070" bestFit="1" customWidth="1"/>
    <col min="15" max="15" width="11.140625" style="1070" customWidth="1"/>
    <col min="16" max="30" width="11.140625" style="1070" hidden="1" customWidth="1"/>
    <col min="31" max="31" width="17.28515625" style="1070" customWidth="1"/>
    <col min="32" max="32" width="15.7109375" style="1070" customWidth="1"/>
    <col min="33" max="52" width="9.140625" style="1070"/>
    <col min="53" max="53" width="13.85546875" style="1070" bestFit="1" customWidth="1"/>
    <col min="54" max="55" width="9.140625" style="1070"/>
    <col min="56" max="57" width="10" style="1070" bestFit="1" customWidth="1"/>
    <col min="58" max="68" width="9.140625" style="1070"/>
    <col min="69" max="69" width="11.5703125" style="1070" customWidth="1"/>
    <col min="70" max="72" width="9.140625" style="1070"/>
    <col min="73" max="73" width="13.140625" style="1070" customWidth="1"/>
    <col min="74" max="74" width="17.7109375" style="1070" customWidth="1"/>
    <col min="75" max="75" width="16.7109375" style="1070" customWidth="1"/>
    <col min="76" max="76" width="14.140625" style="1070" customWidth="1"/>
    <col min="77" max="86" width="9.140625" style="1070"/>
    <col min="87" max="87" width="10" style="1070" customWidth="1"/>
    <col min="88" max="16384" width="9.140625" style="1070"/>
  </cols>
  <sheetData>
    <row r="1" spans="2:87">
      <c r="P1" s="1321" t="s">
        <v>6499</v>
      </c>
      <c r="Q1" s="1321" t="s">
        <v>6500</v>
      </c>
      <c r="R1" s="1321" t="s">
        <v>1377</v>
      </c>
      <c r="AD1" s="1070">
        <f>COLUMN()</f>
        <v>30</v>
      </c>
    </row>
    <row r="2" spans="2:87">
      <c r="B2" s="2195" t="s">
        <v>1101</v>
      </c>
      <c r="C2" s="2196"/>
      <c r="D2" s="2196"/>
      <c r="E2" s="2196"/>
      <c r="F2" s="2196"/>
      <c r="G2" s="2196"/>
      <c r="H2" s="2196"/>
      <c r="I2" s="2196"/>
      <c r="J2" s="2196"/>
      <c r="K2" s="2196"/>
      <c r="L2" s="2196"/>
      <c r="M2" s="2196"/>
      <c r="N2" s="2196"/>
      <c r="O2" s="2196"/>
      <c r="P2" s="2196"/>
      <c r="Q2" s="2196"/>
      <c r="R2" s="2196"/>
      <c r="S2" s="2196"/>
      <c r="T2" s="2196"/>
      <c r="U2" s="2196"/>
      <c r="V2" s="2196"/>
      <c r="W2" s="2196"/>
      <c r="X2" s="2196"/>
      <c r="Y2" s="2196"/>
      <c r="Z2" s="2196"/>
      <c r="AA2" s="2196"/>
      <c r="AB2" s="2196"/>
      <c r="AC2" s="2196"/>
      <c r="AD2" s="2196"/>
      <c r="AE2" s="2196"/>
      <c r="AF2" s="2196"/>
      <c r="AG2" s="2196"/>
      <c r="AH2" s="2196"/>
      <c r="AI2" s="2196"/>
      <c r="AJ2" s="2196"/>
      <c r="AK2" s="1973"/>
      <c r="AL2" s="1973"/>
      <c r="AM2" s="1973"/>
      <c r="AN2" s="1973"/>
      <c r="AO2" s="1973"/>
      <c r="AP2" s="1973"/>
      <c r="AQ2" s="1973"/>
      <c r="AR2" s="1973"/>
      <c r="AS2" s="1973"/>
      <c r="AT2" s="1973"/>
      <c r="AU2" s="1973"/>
      <c r="AV2" s="1973"/>
      <c r="AW2" s="1974"/>
      <c r="AX2" s="2018"/>
      <c r="AY2" s="43"/>
      <c r="AZ2" s="43"/>
      <c r="BA2" s="2195" t="s">
        <v>1347</v>
      </c>
      <c r="BB2" s="2196"/>
      <c r="BC2" s="2196"/>
      <c r="BD2" s="2196"/>
      <c r="BE2" s="2196"/>
      <c r="BF2" s="2196"/>
      <c r="BG2" s="2196"/>
      <c r="BH2" s="2196"/>
      <c r="BI2" s="2196"/>
      <c r="BJ2" s="2196"/>
      <c r="BK2" s="2196"/>
      <c r="BL2" s="2196"/>
      <c r="BM2" s="2196"/>
      <c r="BN2" s="2196"/>
      <c r="BO2" s="2196"/>
      <c r="BP2" s="2196"/>
      <c r="BQ2" s="2196"/>
      <c r="BR2" s="2196"/>
      <c r="BS2" s="2196"/>
      <c r="BT2" s="2196"/>
      <c r="BU2" s="2196"/>
      <c r="BV2" s="2196"/>
      <c r="BW2" s="2196"/>
      <c r="BX2" s="2196"/>
      <c r="BY2" s="750"/>
      <c r="BZ2" s="750"/>
      <c r="CA2" s="750"/>
      <c r="CB2" s="750"/>
      <c r="CC2" s="750"/>
      <c r="CD2" s="750"/>
      <c r="CE2" s="750"/>
      <c r="CF2" s="750"/>
      <c r="CG2" s="750"/>
      <c r="CH2" s="750"/>
      <c r="CI2" s="751"/>
    </row>
    <row r="3" spans="2:87">
      <c r="B3" s="2"/>
      <c r="C3" s="37"/>
      <c r="D3" s="31"/>
      <c r="E3" s="36"/>
      <c r="F3" s="36"/>
      <c r="G3" s="36"/>
      <c r="H3" s="36"/>
      <c r="I3" s="588"/>
      <c r="J3" s="588"/>
      <c r="K3" s="588"/>
      <c r="L3" s="36"/>
      <c r="M3" s="36"/>
      <c r="N3" s="36"/>
      <c r="O3" s="2191" t="s">
        <v>6444</v>
      </c>
      <c r="P3" s="2194" t="s">
        <v>6445</v>
      </c>
      <c r="Q3" s="2194"/>
      <c r="R3" s="2194"/>
      <c r="S3" s="2194"/>
      <c r="T3" s="2194"/>
      <c r="U3" s="2194"/>
      <c r="V3" s="2194"/>
      <c r="W3" s="2194"/>
      <c r="X3" s="2194"/>
      <c r="Y3" s="2194"/>
      <c r="Z3" s="2194"/>
      <c r="AA3" s="2194"/>
      <c r="AB3" s="2194"/>
      <c r="AC3" s="2194"/>
      <c r="AD3" s="2194"/>
      <c r="AE3" s="36" t="s">
        <v>631</v>
      </c>
      <c r="AF3" s="36" t="s">
        <v>1021</v>
      </c>
      <c r="AG3" s="36" t="s">
        <v>505</v>
      </c>
      <c r="AH3" s="36"/>
      <c r="AI3" s="36"/>
      <c r="AJ3" s="76"/>
      <c r="AK3" s="717"/>
      <c r="AL3" s="718"/>
      <c r="AM3" s="719"/>
      <c r="AN3" s="719"/>
      <c r="AO3" s="719"/>
      <c r="AP3" s="719"/>
      <c r="AQ3" s="719"/>
      <c r="AR3" s="719"/>
      <c r="AS3" s="719"/>
      <c r="AT3" s="719"/>
      <c r="AU3" s="719"/>
      <c r="AV3" s="719"/>
      <c r="AW3" s="720"/>
      <c r="AX3" s="29"/>
      <c r="AY3" s="29"/>
      <c r="AZ3" s="2"/>
      <c r="BA3" s="37"/>
      <c r="BB3" s="31"/>
      <c r="BC3" s="36"/>
      <c r="BD3" s="36"/>
      <c r="BE3" s="36"/>
      <c r="BF3" s="36"/>
      <c r="BG3" s="36"/>
      <c r="BH3" s="588"/>
      <c r="BI3" s="588"/>
      <c r="BJ3" s="588"/>
      <c r="BK3" s="36"/>
      <c r="BL3" s="36"/>
      <c r="BM3" s="36"/>
      <c r="BN3" s="36"/>
      <c r="BO3" s="36"/>
      <c r="BP3" s="36"/>
      <c r="BQ3" s="36"/>
      <c r="BR3" s="36"/>
      <c r="BS3" s="36"/>
      <c r="BT3" s="36"/>
      <c r="BU3" s="36" t="s">
        <v>631</v>
      </c>
      <c r="BV3" s="36" t="s">
        <v>1021</v>
      </c>
      <c r="BW3" s="36" t="s">
        <v>505</v>
      </c>
      <c r="BX3" s="31" t="s">
        <v>21</v>
      </c>
      <c r="BY3" s="36" t="s">
        <v>1273</v>
      </c>
      <c r="BZ3" s="76" t="s">
        <v>1276</v>
      </c>
      <c r="CA3" s="31" t="s">
        <v>21</v>
      </c>
      <c r="CB3" s="36" t="s">
        <v>1273</v>
      </c>
      <c r="CC3" s="76" t="s">
        <v>1276</v>
      </c>
      <c r="CD3" s="35" t="s">
        <v>21</v>
      </c>
      <c r="CE3" s="35" t="s">
        <v>1273</v>
      </c>
      <c r="CF3" s="77" t="s">
        <v>1276</v>
      </c>
      <c r="CG3" s="31" t="s">
        <v>21</v>
      </c>
      <c r="CH3" s="36" t="s">
        <v>1273</v>
      </c>
      <c r="CI3" s="76" t="s">
        <v>1276</v>
      </c>
    </row>
    <row r="4" spans="2:87">
      <c r="B4" s="2"/>
      <c r="C4" s="38"/>
      <c r="D4" s="32"/>
      <c r="E4" s="35"/>
      <c r="F4" s="35"/>
      <c r="G4" s="35"/>
      <c r="H4" s="35"/>
      <c r="I4" s="589"/>
      <c r="J4" s="589"/>
      <c r="K4" s="589"/>
      <c r="L4" s="35"/>
      <c r="M4" s="35"/>
      <c r="N4" s="35"/>
      <c r="O4" s="2192"/>
      <c r="P4" s="2194" t="s">
        <v>6498</v>
      </c>
      <c r="Q4" s="2194"/>
      <c r="R4" s="2194"/>
      <c r="S4" s="2194"/>
      <c r="T4" s="2194"/>
      <c r="U4" s="2194"/>
      <c r="V4" s="2194"/>
      <c r="W4" s="2194"/>
      <c r="X4" s="2194"/>
      <c r="Y4" s="2194"/>
      <c r="Z4" s="2194"/>
      <c r="AA4" s="2194"/>
      <c r="AB4" s="2194"/>
      <c r="AC4" s="2194"/>
      <c r="AD4" s="2194"/>
      <c r="AE4" s="35" t="s">
        <v>1298</v>
      </c>
      <c r="AF4" s="35" t="s">
        <v>553</v>
      </c>
      <c r="AG4" s="35" t="s">
        <v>553</v>
      </c>
      <c r="AH4" s="35" t="s">
        <v>21</v>
      </c>
      <c r="AI4" s="35" t="s">
        <v>1273</v>
      </c>
      <c r="AJ4" s="77" t="s">
        <v>1276</v>
      </c>
      <c r="AK4" s="721"/>
      <c r="AL4" s="715"/>
      <c r="AM4" s="722"/>
      <c r="AN4" s="722"/>
      <c r="AO4" s="722"/>
      <c r="AP4" s="722"/>
      <c r="AQ4" s="722"/>
      <c r="AR4" s="722"/>
      <c r="AS4" s="722"/>
      <c r="AT4" s="722"/>
      <c r="AU4" s="722"/>
      <c r="AV4" s="722"/>
      <c r="AW4" s="723"/>
      <c r="AX4" s="29"/>
      <c r="AY4" s="29"/>
      <c r="AZ4" s="2"/>
      <c r="BA4" s="38"/>
      <c r="BB4" s="32"/>
      <c r="BC4" s="35"/>
      <c r="BD4" s="35"/>
      <c r="BE4" s="35"/>
      <c r="BF4" s="35"/>
      <c r="BG4" s="35"/>
      <c r="BH4" s="589"/>
      <c r="BI4" s="589"/>
      <c r="BJ4" s="589"/>
      <c r="BK4" s="35"/>
      <c r="BL4" s="35"/>
      <c r="BM4" s="35"/>
      <c r="BN4" s="35"/>
      <c r="BO4" s="35"/>
      <c r="BP4" s="35"/>
      <c r="BQ4" s="35"/>
      <c r="BR4" s="35"/>
      <c r="BS4" s="35"/>
      <c r="BT4" s="35"/>
      <c r="BU4" s="35" t="s">
        <v>1298</v>
      </c>
      <c r="BV4" s="35" t="s">
        <v>553</v>
      </c>
      <c r="BW4" s="35" t="s">
        <v>553</v>
      </c>
      <c r="BX4" s="32" t="s">
        <v>1271</v>
      </c>
      <c r="BY4" s="35" t="s">
        <v>1274</v>
      </c>
      <c r="BZ4" s="77" t="s">
        <v>1274</v>
      </c>
      <c r="CA4" s="32" t="s">
        <v>1271</v>
      </c>
      <c r="CB4" s="35" t="s">
        <v>1274</v>
      </c>
      <c r="CC4" s="77" t="s">
        <v>1274</v>
      </c>
      <c r="CD4" s="35" t="s">
        <v>1271</v>
      </c>
      <c r="CE4" s="35" t="s">
        <v>1274</v>
      </c>
      <c r="CF4" s="77" t="s">
        <v>1274</v>
      </c>
      <c r="CG4" s="32" t="s">
        <v>1271</v>
      </c>
      <c r="CH4" s="35" t="s">
        <v>1274</v>
      </c>
      <c r="CI4" s="77" t="s">
        <v>1274</v>
      </c>
    </row>
    <row r="5" spans="2:87">
      <c r="B5" s="2"/>
      <c r="C5" s="38"/>
      <c r="D5" s="32"/>
      <c r="E5" s="35"/>
      <c r="F5" s="35"/>
      <c r="G5" s="35"/>
      <c r="H5" s="35"/>
      <c r="I5" s="589"/>
      <c r="J5" s="589"/>
      <c r="K5" s="589"/>
      <c r="L5" s="35"/>
      <c r="M5" s="35"/>
      <c r="N5" s="35"/>
      <c r="O5" s="2192"/>
      <c r="P5" s="2205" t="s">
        <v>1377</v>
      </c>
      <c r="Q5" s="2206"/>
      <c r="R5" s="2207"/>
      <c r="S5" s="1558"/>
      <c r="T5" s="1558"/>
      <c r="U5" s="1558"/>
      <c r="V5" s="1558"/>
      <c r="W5" s="1558"/>
      <c r="X5" s="1558"/>
      <c r="Y5" s="1558"/>
      <c r="Z5" s="1558"/>
      <c r="AA5" s="1558"/>
      <c r="AB5" s="1558"/>
      <c r="AC5" s="1558"/>
      <c r="AD5" s="1558"/>
      <c r="AE5" s="35" t="s">
        <v>280</v>
      </c>
      <c r="AF5" s="35" t="s">
        <v>909</v>
      </c>
      <c r="AG5" s="35" t="s">
        <v>909</v>
      </c>
      <c r="AH5" s="35" t="s">
        <v>1271</v>
      </c>
      <c r="AI5" s="35" t="s">
        <v>1274</v>
      </c>
      <c r="AJ5" s="77" t="s">
        <v>1274</v>
      </c>
      <c r="AK5" s="721" t="s">
        <v>1046</v>
      </c>
      <c r="AL5" s="715" t="s">
        <v>1046</v>
      </c>
      <c r="AM5" s="715" t="s">
        <v>1046</v>
      </c>
      <c r="AN5" s="715" t="s">
        <v>1046</v>
      </c>
      <c r="AO5" s="715" t="s">
        <v>1046</v>
      </c>
      <c r="AP5" s="715" t="s">
        <v>1046</v>
      </c>
      <c r="AQ5" s="715" t="s">
        <v>1046</v>
      </c>
      <c r="AR5" s="715" t="s">
        <v>1046</v>
      </c>
      <c r="AS5" s="715" t="s">
        <v>1046</v>
      </c>
      <c r="AT5" s="715" t="s">
        <v>1046</v>
      </c>
      <c r="AU5" s="715" t="s">
        <v>1046</v>
      </c>
      <c r="AV5" s="715" t="s">
        <v>1046</v>
      </c>
      <c r="AW5" s="716" t="s">
        <v>1046</v>
      </c>
      <c r="AX5" s="29"/>
      <c r="AY5" s="29"/>
      <c r="AZ5" s="2"/>
      <c r="BA5" s="38"/>
      <c r="BB5" s="1555" t="s">
        <v>1348</v>
      </c>
      <c r="BC5" s="1556"/>
      <c r="BD5" s="1297"/>
      <c r="BE5" s="1297"/>
      <c r="BF5" s="2204" t="s">
        <v>1350</v>
      </c>
      <c r="BG5" s="2204"/>
      <c r="BH5" s="2204"/>
      <c r="BI5" s="629" t="s">
        <v>1351</v>
      </c>
      <c r="BJ5" s="2204" t="s">
        <v>1352</v>
      </c>
      <c r="BK5" s="2204"/>
      <c r="BL5" s="2204"/>
      <c r="BM5" s="1556" t="s">
        <v>1354</v>
      </c>
      <c r="BN5" s="1556"/>
      <c r="BO5" s="1556"/>
      <c r="BP5" s="1329" t="s">
        <v>2892</v>
      </c>
      <c r="BQ5" s="1329"/>
      <c r="BR5" s="1329"/>
      <c r="BS5" s="1329"/>
      <c r="BT5" s="814" t="s">
        <v>1410</v>
      </c>
      <c r="BU5" s="35" t="s">
        <v>280</v>
      </c>
      <c r="BV5" s="35" t="s">
        <v>909</v>
      </c>
      <c r="BW5" s="35" t="s">
        <v>909</v>
      </c>
      <c r="BX5" s="755" t="s">
        <v>1272</v>
      </c>
      <c r="BY5" s="35" t="s">
        <v>1275</v>
      </c>
      <c r="BZ5" s="754" t="s">
        <v>1275</v>
      </c>
      <c r="CA5" s="755" t="s">
        <v>1272</v>
      </c>
      <c r="CB5" s="35" t="s">
        <v>1275</v>
      </c>
      <c r="CC5" s="754" t="s">
        <v>1275</v>
      </c>
      <c r="CD5" s="753" t="s">
        <v>1272</v>
      </c>
      <c r="CE5" s="753" t="s">
        <v>1275</v>
      </c>
      <c r="CF5" s="754" t="s">
        <v>1275</v>
      </c>
      <c r="CG5" s="755" t="s">
        <v>1272</v>
      </c>
      <c r="CH5" s="753" t="s">
        <v>1275</v>
      </c>
      <c r="CI5" s="754" t="s">
        <v>1275</v>
      </c>
    </row>
    <row r="6" spans="2:87" ht="33.75">
      <c r="B6" s="27"/>
      <c r="C6" s="39" t="s">
        <v>1277</v>
      </c>
      <c r="D6" s="161" t="s">
        <v>765</v>
      </c>
      <c r="E6" s="72" t="s">
        <v>766</v>
      </c>
      <c r="F6" s="72" t="s">
        <v>281</v>
      </c>
      <c r="G6" s="72" t="s">
        <v>1049</v>
      </c>
      <c r="H6" s="72" t="s">
        <v>1050</v>
      </c>
      <c r="I6" s="590" t="s">
        <v>285</v>
      </c>
      <c r="J6" s="590" t="s">
        <v>284</v>
      </c>
      <c r="K6" s="590" t="s">
        <v>1051</v>
      </c>
      <c r="L6" s="72" t="s">
        <v>922</v>
      </c>
      <c r="M6" s="72" t="s">
        <v>1017</v>
      </c>
      <c r="N6" s="72" t="s">
        <v>60</v>
      </c>
      <c r="O6" s="2193"/>
      <c r="P6" s="1559" t="s">
        <v>6436</v>
      </c>
      <c r="Q6" s="1559" t="s">
        <v>1158</v>
      </c>
      <c r="R6" s="1559" t="s">
        <v>992</v>
      </c>
      <c r="S6" s="1559" t="s">
        <v>6437</v>
      </c>
      <c r="T6" s="1559" t="s">
        <v>526</v>
      </c>
      <c r="U6" s="1559" t="s">
        <v>6423</v>
      </c>
      <c r="V6" s="1559" t="s">
        <v>6424</v>
      </c>
      <c r="W6" s="1559" t="s">
        <v>6438</v>
      </c>
      <c r="X6" s="1559" t="s">
        <v>6425</v>
      </c>
      <c r="Y6" s="1559" t="s">
        <v>6439</v>
      </c>
      <c r="Z6" s="1559" t="s">
        <v>6426</v>
      </c>
      <c r="AA6" s="1559" t="s">
        <v>6440</v>
      </c>
      <c r="AB6" s="1559" t="s">
        <v>6441</v>
      </c>
      <c r="AC6" s="1559" t="s">
        <v>6442</v>
      </c>
      <c r="AD6" s="1559" t="s">
        <v>6443</v>
      </c>
      <c r="AE6" s="72" t="s">
        <v>958</v>
      </c>
      <c r="AF6" s="72" t="s">
        <v>504</v>
      </c>
      <c r="AG6" s="72" t="s">
        <v>504</v>
      </c>
      <c r="AH6" s="72" t="s">
        <v>4701</v>
      </c>
      <c r="AI6" s="72" t="s">
        <v>1275</v>
      </c>
      <c r="AJ6" s="75" t="s">
        <v>1275</v>
      </c>
      <c r="AK6" s="725" t="s">
        <v>1145</v>
      </c>
      <c r="AL6" s="724" t="s">
        <v>1146</v>
      </c>
      <c r="AM6" s="724" t="s">
        <v>1003</v>
      </c>
      <c r="AN6" s="724" t="s">
        <v>1004</v>
      </c>
      <c r="AO6" s="724" t="s">
        <v>1005</v>
      </c>
      <c r="AP6" s="724" t="s">
        <v>1006</v>
      </c>
      <c r="AQ6" s="724" t="s">
        <v>1007</v>
      </c>
      <c r="AR6" s="724" t="s">
        <v>481</v>
      </c>
      <c r="AS6" s="724" t="s">
        <v>482</v>
      </c>
      <c r="AT6" s="724" t="s">
        <v>483</v>
      </c>
      <c r="AU6" s="724" t="s">
        <v>484</v>
      </c>
      <c r="AV6" s="724" t="s">
        <v>485</v>
      </c>
      <c r="AW6" s="726" t="s">
        <v>1377</v>
      </c>
      <c r="AX6" s="13"/>
      <c r="AY6" s="13"/>
      <c r="AZ6" s="27"/>
      <c r="BA6" s="39" t="s">
        <v>1277</v>
      </c>
      <c r="BB6" s="72" t="s">
        <v>765</v>
      </c>
      <c r="BC6" s="72" t="s">
        <v>766</v>
      </c>
      <c r="BD6" s="72" t="s">
        <v>6432</v>
      </c>
      <c r="BE6" s="72" t="s">
        <v>6400</v>
      </c>
      <c r="BF6" s="72" t="s">
        <v>765</v>
      </c>
      <c r="BG6" s="72" t="s">
        <v>766</v>
      </c>
      <c r="BH6" s="72" t="s">
        <v>1349</v>
      </c>
      <c r="BI6" s="590" t="s">
        <v>766</v>
      </c>
      <c r="BJ6" s="590" t="s">
        <v>1353</v>
      </c>
      <c r="BK6" s="590" t="s">
        <v>766</v>
      </c>
      <c r="BL6" s="72" t="s">
        <v>1349</v>
      </c>
      <c r="BM6" s="72" t="s">
        <v>765</v>
      </c>
      <c r="BN6" s="72" t="s">
        <v>6433</v>
      </c>
      <c r="BO6" s="72" t="s">
        <v>766</v>
      </c>
      <c r="BP6" s="72" t="s">
        <v>766</v>
      </c>
      <c r="BQ6" s="72" t="s">
        <v>4833</v>
      </c>
      <c r="BR6" s="72" t="s">
        <v>922</v>
      </c>
      <c r="BS6" s="72" t="s">
        <v>6434</v>
      </c>
      <c r="BT6" s="72" t="s">
        <v>1046</v>
      </c>
      <c r="BU6" s="72" t="s">
        <v>958</v>
      </c>
      <c r="BV6" s="72" t="s">
        <v>504</v>
      </c>
      <c r="BW6" s="72" t="s">
        <v>504</v>
      </c>
      <c r="BX6" s="2186" t="str">
        <f>LookupTables!AX7</f>
        <v xml:space="preserve">Common Laundry </v>
      </c>
      <c r="BY6" s="2187"/>
      <c r="BZ6" s="2188"/>
      <c r="CA6" s="2186" t="str">
        <f>LookupTables!AX8</f>
        <v xml:space="preserve">Office </v>
      </c>
      <c r="CB6" s="2187"/>
      <c r="CC6" s="2188"/>
      <c r="CD6" s="2186" t="str">
        <f>LookupTables!AX9</f>
        <v>Workout room</v>
      </c>
      <c r="CE6" s="2187"/>
      <c r="CF6" s="2188"/>
      <c r="CG6" s="2186" t="s">
        <v>1354</v>
      </c>
      <c r="CH6" s="2187"/>
      <c r="CI6" s="2188"/>
    </row>
    <row r="7" spans="2:87">
      <c r="B7" s="27"/>
      <c r="C7" s="31" t="s">
        <v>6363</v>
      </c>
      <c r="D7" s="1534"/>
      <c r="E7" s="1524"/>
      <c r="F7" s="2009">
        <f>NewConst!$E$265*kWh_to_Btu/365</f>
        <v>579.57260273972599</v>
      </c>
      <c r="G7" s="2009">
        <f>NewConst!$E$299*kWh_to_Btu/365</f>
        <v>982.65599999999984</v>
      </c>
      <c r="H7" s="2009">
        <f>'Monthly Profiles'!$AC$18</f>
        <v>4254.8852198547174</v>
      </c>
      <c r="I7" s="2027">
        <f>NewConst!E138</f>
        <v>371</v>
      </c>
      <c r="J7" s="2027">
        <f>NewConst!E137</f>
        <v>1482</v>
      </c>
      <c r="K7" s="2027">
        <f>NewConst!E139</f>
        <v>619</v>
      </c>
      <c r="L7" s="2009">
        <f>NewConst!$E$239*kWh_to_Btu/365</f>
        <v>4057.0082191780821</v>
      </c>
      <c r="M7" s="2009">
        <f>(NewConst!$E$281*kWh_to_Btu+NewConst!$E$283*Therms_to_Btu)/365</f>
        <v>1871.4816438356165</v>
      </c>
      <c r="N7" s="2009">
        <f>((NewConst!$E$329+NewConst!$E$337)*kWh_to_Btu+NewConst!$E$333*Therms_to_Btu)/365</f>
        <v>2582.9743561643836</v>
      </c>
      <c r="O7" s="2009">
        <f>NewConst!$E$364*kWh_to_Btu/365</f>
        <v>24327.638792241094</v>
      </c>
      <c r="P7" s="2023"/>
      <c r="Q7" s="2023"/>
      <c r="R7" s="2023"/>
      <c r="S7" s="2023"/>
      <c r="T7" s="2023"/>
      <c r="U7" s="2023"/>
      <c r="V7" s="2023"/>
      <c r="W7" s="2023"/>
      <c r="X7" s="2023"/>
      <c r="Y7" s="2023"/>
      <c r="Z7" s="2023"/>
      <c r="AA7" s="2023"/>
      <c r="AB7" s="2023"/>
      <c r="AC7" s="2023"/>
      <c r="AD7" s="2023"/>
      <c r="AE7" s="1524"/>
      <c r="AF7" s="2009">
        <f>SUM($F7:$O7)</f>
        <v>41128.21683401362</v>
      </c>
      <c r="AG7" s="1524"/>
      <c r="AH7" s="1524"/>
      <c r="AI7" s="1524"/>
      <c r="AJ7" s="2024"/>
      <c r="AK7" s="725"/>
      <c r="AL7" s="724"/>
      <c r="AM7" s="724"/>
      <c r="AN7" s="724"/>
      <c r="AO7" s="724"/>
      <c r="AP7" s="724"/>
      <c r="AQ7" s="724"/>
      <c r="AR7" s="724"/>
      <c r="AS7" s="724"/>
      <c r="AT7" s="724"/>
      <c r="AU7" s="724"/>
      <c r="AV7" s="724"/>
      <c r="AW7" s="726"/>
      <c r="AX7" s="13"/>
      <c r="AY7" s="13"/>
      <c r="AZ7" s="27"/>
      <c r="BA7" s="31" t="s">
        <v>6363</v>
      </c>
      <c r="BB7" s="2009">
        <f>NewConst!E425</f>
        <v>32341.343952377836</v>
      </c>
      <c r="BC7" s="1524"/>
      <c r="BD7" s="2010">
        <f>NewConst!E265/365*kWh_to_Btu</f>
        <v>579.57260273972599</v>
      </c>
      <c r="BE7" s="2010">
        <f>(NewConst!E281*kWh_to_Btu+NewConst!E283*Therms_to_Btu)/365</f>
        <v>1871.4816438356165</v>
      </c>
      <c r="BF7" s="2010">
        <f>NewConst!E409</f>
        <v>6375</v>
      </c>
      <c r="BG7" s="2010"/>
      <c r="BH7" s="2010">
        <f>Appliances!M15*kWh_to_Btu/365</f>
        <v>35896.109589041094</v>
      </c>
      <c r="BI7" s="2010"/>
      <c r="BJ7" s="2010">
        <f>NewConst!E420</f>
        <v>30885</v>
      </c>
      <c r="BK7" s="2010"/>
      <c r="BL7" s="2010">
        <f>Appliances!M16*kWh_to_Btu/365</f>
        <v>20612.219178082192</v>
      </c>
      <c r="BM7" s="2010">
        <f>NewConst!E414</f>
        <v>565.95000000000005</v>
      </c>
      <c r="BN7" s="2010">
        <f>IF(NewConst!$E$140="N/A",0,NewConst!$E$140)</f>
        <v>0</v>
      </c>
      <c r="BO7" s="2010"/>
      <c r="BP7" s="1524"/>
      <c r="BQ7" s="2010">
        <f>Appliances!M20*kWh_to_Btu/365</f>
        <v>6291.1671232876715</v>
      </c>
      <c r="BR7" s="2010">
        <f>Appliances!M21*kWh_to_Btu/365</f>
        <v>4057.0082191780821</v>
      </c>
      <c r="BS7" s="2010"/>
      <c r="BT7" s="1524"/>
      <c r="BU7" s="1524"/>
      <c r="BV7" s="2009">
        <f>SUM($BB7:$BU7)-$BB7-$BF7-$BJ7-$BM7</f>
        <v>69307.558356164402</v>
      </c>
      <c r="BW7" s="2009"/>
      <c r="BX7" s="2011"/>
      <c r="BY7" s="2012">
        <f>VLOOKUP(BX6,LookupTables!$AX$5:$AZ$10,2,FALSE)</f>
        <v>250</v>
      </c>
      <c r="BZ7" s="2012">
        <f>VLOOKUP(BX6,LookupTables!$AX$5:$AZ$10,3,FALSE)</f>
        <v>200</v>
      </c>
      <c r="CA7" s="2011"/>
      <c r="CB7" s="2012">
        <f>VLOOKUP(CA6,LookupTables!$AX$5:$AZ$10,2,FALSE)</f>
        <v>250</v>
      </c>
      <c r="CC7" s="2012">
        <f>VLOOKUP(CA6,LookupTables!$AX$5:$AZ$10,3,FALSE)</f>
        <v>200</v>
      </c>
      <c r="CD7" s="2011"/>
      <c r="CE7" s="2012">
        <f>VLOOKUP(CD6,LookupTables!$AX$5:$AZ$10,2,FALSE)</f>
        <v>710</v>
      </c>
      <c r="CF7" s="2012">
        <f>VLOOKUP(CD6,LookupTables!$AX$5:$AZ$10,3,FALSE)</f>
        <v>1090</v>
      </c>
      <c r="CG7" s="2011"/>
      <c r="CH7" s="2012">
        <f>VLOOKUP(CG6,LookupTables!$AX$5:$AZ$10,2,FALSE)</f>
        <v>245</v>
      </c>
      <c r="CI7" s="2015">
        <f>VLOOKUP(CG6,LookupTables!$AX$5:$AZ$10,3,FALSE)</f>
        <v>155</v>
      </c>
    </row>
    <row r="8" spans="2:87">
      <c r="B8" s="27"/>
      <c r="C8" s="33" t="s">
        <v>6364</v>
      </c>
      <c r="D8" s="161"/>
      <c r="E8" s="72"/>
      <c r="F8" s="2013">
        <f>NewConst!$E$266*kWh_to_Btu/365</f>
        <v>0</v>
      </c>
      <c r="G8" s="2013">
        <f>NewConst!$E$300*kWh_to_Btu/365</f>
        <v>245.66399999999996</v>
      </c>
      <c r="H8" s="2013">
        <v>0</v>
      </c>
      <c r="I8" s="2028">
        <v>0</v>
      </c>
      <c r="J8" s="2028">
        <f>NewConst!E141</f>
        <v>1408</v>
      </c>
      <c r="K8" s="2028">
        <f>NewConst!E145</f>
        <v>281</v>
      </c>
      <c r="L8" s="2013">
        <v>0</v>
      </c>
      <c r="M8" s="2013">
        <f>(NewConst!$E$282*kWh_to_Btu+NewConst!E284*Therms_to_Btu)/365</f>
        <v>534.2465753424658</v>
      </c>
      <c r="N8" s="2013">
        <f>((NewConst!$E$330+NewConst!$E$338)*kWh_to_Btu+NewConst!$E$334*Therms_to_Btu)/365</f>
        <v>1721.9829041095891</v>
      </c>
      <c r="O8" s="2013">
        <f>NewConst!$E$366*kWh_to_Btu/365</f>
        <v>662.87844120547948</v>
      </c>
      <c r="P8" s="2026"/>
      <c r="Q8" s="2026"/>
      <c r="R8" s="2026"/>
      <c r="S8" s="2026"/>
      <c r="T8" s="2026"/>
      <c r="U8" s="2026"/>
      <c r="V8" s="2026"/>
      <c r="W8" s="2026"/>
      <c r="X8" s="2026"/>
      <c r="Y8" s="2026"/>
      <c r="Z8" s="2026"/>
      <c r="AA8" s="2026"/>
      <c r="AB8" s="2026"/>
      <c r="AC8" s="2026"/>
      <c r="AD8" s="2026"/>
      <c r="AE8" s="72"/>
      <c r="AF8" s="2013"/>
      <c r="AG8" s="2013">
        <f>SUM($F8:$O8)</f>
        <v>4853.7719206575339</v>
      </c>
      <c r="AH8" s="72"/>
      <c r="AI8" s="72"/>
      <c r="AJ8" s="75"/>
      <c r="AK8" s="725"/>
      <c r="AL8" s="724"/>
      <c r="AM8" s="724"/>
      <c r="AN8" s="724"/>
      <c r="AO8" s="724"/>
      <c r="AP8" s="724"/>
      <c r="AQ8" s="724"/>
      <c r="AR8" s="724"/>
      <c r="AS8" s="724"/>
      <c r="AT8" s="724"/>
      <c r="AU8" s="724"/>
      <c r="AV8" s="724"/>
      <c r="AW8" s="726"/>
      <c r="AX8" s="13"/>
      <c r="AY8" s="13"/>
      <c r="AZ8" s="27"/>
      <c r="BA8" s="33" t="s">
        <v>6364</v>
      </c>
      <c r="BB8" s="2013">
        <f>NewConst!E426</f>
        <v>25873.07516190227</v>
      </c>
      <c r="BC8" s="72"/>
      <c r="BD8" s="2014">
        <f>NewConst!E266/365*kWh_to_Btu</f>
        <v>0</v>
      </c>
      <c r="BE8" s="2014">
        <f>(NewConst!E282*kWh_to_Btu+NewConst!E284*Therms_to_Btu)/365</f>
        <v>534.2465753424658</v>
      </c>
      <c r="BF8" s="2014">
        <f>NewConst!E410</f>
        <v>5100</v>
      </c>
      <c r="BG8" s="2014"/>
      <c r="BH8" s="2014">
        <f>Appliances!N15*kWh_to_Btu/365</f>
        <v>0</v>
      </c>
      <c r="BI8" s="2014"/>
      <c r="BJ8" s="2014">
        <f>NewConst!E421</f>
        <v>47415</v>
      </c>
      <c r="BK8" s="2014"/>
      <c r="BL8" s="2014">
        <f>Appliances!N16*kWh_to_Btu/365</f>
        <v>0</v>
      </c>
      <c r="BM8" s="2014">
        <f>NewConst!E415</f>
        <v>358.05</v>
      </c>
      <c r="BN8" s="2014">
        <f>IF(NewConst!$E$147="N/A",0,NewConst!$E$147)</f>
        <v>0</v>
      </c>
      <c r="BO8" s="2014"/>
      <c r="BP8" s="72"/>
      <c r="BQ8" s="2014">
        <f>Appliances!N20*kWh_to_Btu/365</f>
        <v>0</v>
      </c>
      <c r="BR8" s="2014">
        <f>Appliances!N21*kWh_to_Btu/365</f>
        <v>0</v>
      </c>
      <c r="BS8" s="2014"/>
      <c r="BT8" s="72"/>
      <c r="BU8" s="72"/>
      <c r="BV8" s="2013"/>
      <c r="BW8" s="2013">
        <f>SUM($BB8:$BU8)-$BB8-$BF8-$BJ8-$BM8</f>
        <v>534.2465753424724</v>
      </c>
      <c r="BX8" s="1975"/>
      <c r="BY8" s="1976"/>
      <c r="BZ8" s="1977"/>
      <c r="CA8" s="1975"/>
      <c r="CB8" s="1976"/>
      <c r="CC8" s="1977"/>
      <c r="CD8" s="1975"/>
      <c r="CE8" s="1976"/>
      <c r="CF8" s="1977"/>
      <c r="CG8" s="1975"/>
      <c r="CH8" s="1976"/>
      <c r="CI8" s="1977"/>
    </row>
    <row r="9" spans="2:87">
      <c r="B9" s="28"/>
      <c r="C9" s="32">
        <v>1</v>
      </c>
      <c r="D9" s="58">
        <v>6.0518788725154128E-2</v>
      </c>
      <c r="E9" s="59">
        <v>8.0000000000000002E-3</v>
      </c>
      <c r="F9" s="59">
        <v>9.3457939999999993E-3</v>
      </c>
      <c r="G9" s="59">
        <v>1.5358362E-2</v>
      </c>
      <c r="H9" s="59">
        <v>6.2305299999999997E-3</v>
      </c>
      <c r="I9" s="591">
        <v>7.7220077220077213E-3</v>
      </c>
      <c r="J9" s="592">
        <v>1.0689990281827018E-2</v>
      </c>
      <c r="K9" s="591">
        <v>1.4164305949008497E-2</v>
      </c>
      <c r="L9" s="59">
        <v>3.9761431E-2</v>
      </c>
      <c r="M9" s="59">
        <v>9.9009900000000001E-3</v>
      </c>
      <c r="N9" s="59">
        <v>7.0721359999999997E-3</v>
      </c>
      <c r="O9" s="59">
        <v>3.6999999999999998E-2</v>
      </c>
      <c r="P9" s="1560">
        <f t="shared" ref="P9:AD9" si="0">IF(selSchedule=$P$1,Q73,IF(selSchedule=$Q$1,Q101,IF(selSchedule=$R$1,Q129,"Error")))</f>
        <v>2.5521063189568712E-2</v>
      </c>
      <c r="Q9" s="1560">
        <f t="shared" si="0"/>
        <v>4.0960079840319366E-2</v>
      </c>
      <c r="R9" s="1560">
        <f t="shared" si="0"/>
        <v>4.0352852852852852E-2</v>
      </c>
      <c r="S9" s="1560">
        <f t="shared" si="0"/>
        <v>4.0000000000000001E-3</v>
      </c>
      <c r="T9" s="1560">
        <f t="shared" si="0"/>
        <v>3.4905274187427729E-3</v>
      </c>
      <c r="U9" s="1560">
        <f t="shared" si="0"/>
        <v>2.502502502502502E-3</v>
      </c>
      <c r="V9" s="1560">
        <f t="shared" si="0"/>
        <v>1.2991017964071858E-2</v>
      </c>
      <c r="W9" s="1560">
        <f t="shared" si="0"/>
        <v>4.4937188434695907E-2</v>
      </c>
      <c r="X9" s="1560">
        <f t="shared" si="0"/>
        <v>3.4438916528468776E-2</v>
      </c>
      <c r="Y9" s="1560">
        <f t="shared" si="0"/>
        <v>2.3844026210167003E-2</v>
      </c>
      <c r="Z9" s="1560">
        <f t="shared" si="0"/>
        <v>2.3844026210167006E-2</v>
      </c>
      <c r="AA9" s="1560">
        <f t="shared" si="0"/>
        <v>2.994035785288271E-3</v>
      </c>
      <c r="AB9" s="1560">
        <f t="shared" si="0"/>
        <v>2.9940357852882701E-3</v>
      </c>
      <c r="AC9" s="1560">
        <f t="shared" si="0"/>
        <v>4.3500000000000004E-2</v>
      </c>
      <c r="AD9" s="1560">
        <f t="shared" si="0"/>
        <v>5.6872037914691947E-2</v>
      </c>
      <c r="AE9" s="59">
        <v>2.8737864077669904E-2</v>
      </c>
      <c r="AF9" s="591">
        <f>($L$7*$L9+$O$7*$O9+$N$7*$N9+$G$7*$G9+$M$7*$M9+$F$7*$F9+$I9*$I$7+$J9*$J$7+$K9*$K$7+$H9*$H$7)/$AF$7</f>
        <v>2.8513894438161012E-2</v>
      </c>
      <c r="AG9" s="591">
        <f>($L$8*$L9+$O$8*$O9+$N$8*$N9+$G$8*$G9+$M$8*$M9+$F$8*$F9+$I9*$I$8+$J9*$J$8+$K9*$K$8+$H9*$H$8)/$AG$8</f>
        <v>1.335020342987487E-2</v>
      </c>
      <c r="AH9" s="42">
        <f t="shared" ref="AH9:AH32" si="1">D9/MAX($D$9:$D$32)</f>
        <v>1</v>
      </c>
      <c r="AI9" s="60">
        <f>$AH9*NewConst!$E$400*N_occ</f>
        <v>580.80000000000007</v>
      </c>
      <c r="AJ9" s="60">
        <f>$AH9*NewConst!$E$401*N_occ</f>
        <v>432.96000000000004</v>
      </c>
      <c r="AK9" s="727">
        <f>IF(NewConst!$F$203=NewConst!$I$203,'Detailed Lighting'!BD11,Lighting!BH21)</f>
        <v>2.3899622995976207E-2</v>
      </c>
      <c r="AL9" s="630">
        <f>IF(NewConst!$F$203=NewConst!$I$203,'Detailed Lighting'!BE11,Lighting!BI21)</f>
        <v>2.7276184291198248E-2</v>
      </c>
      <c r="AM9" s="630">
        <f>IF(NewConst!$F$203=NewConst!$I$203,'Detailed Lighting'!BF11,Lighting!BJ21)</f>
        <v>3.2287800161502921E-2</v>
      </c>
      <c r="AN9" s="630">
        <f>IF(NewConst!$F$203=NewConst!$I$203,'Detailed Lighting'!BG11,Lighting!BK21)</f>
        <v>3.9449605425336744E-2</v>
      </c>
      <c r="AO9" s="630">
        <f>IF(NewConst!$F$203=NewConst!$I$203,'Detailed Lighting'!BH11,Lighting!BL21)</f>
        <v>4.5313036475053886E-2</v>
      </c>
      <c r="AP9" s="630">
        <f>IF(NewConst!$F$203=NewConst!$I$203,'Detailed Lighting'!BI11,Lighting!BM21)</f>
        <v>4.8450764764901066E-2</v>
      </c>
      <c r="AQ9" s="630">
        <f>IF(NewConst!$F$203=NewConst!$I$203,'Detailed Lighting'!BJ11,Lighting!BN21)</f>
        <v>4.7560672593435778E-2</v>
      </c>
      <c r="AR9" s="630">
        <f>IF(NewConst!$F$203=NewConst!$I$203,'Detailed Lighting'!BK11,Lighting!BO21)</f>
        <v>4.2313159232650437E-2</v>
      </c>
      <c r="AS9" s="630">
        <f>IF(NewConst!$F$203=NewConst!$I$203,'Detailed Lighting'!BL11,Lighting!BP21)</f>
        <v>3.5447509676188142E-2</v>
      </c>
      <c r="AT9" s="630">
        <f>IF(NewConst!$F$203=NewConst!$I$203,'Detailed Lighting'!BM11,Lighting!BQ21)</f>
        <v>2.9332097839659191E-2</v>
      </c>
      <c r="AU9" s="630">
        <f>IF(NewConst!$F$203=NewConst!$I$203,'Detailed Lighting'!BN11,Lighting!BR21)</f>
        <v>2.4849289546139488E-2</v>
      </c>
      <c r="AV9" s="630">
        <f>IF(NewConst!$F$203=NewConst!$I$203,'Detailed Lighting'!BO11,Lighting!BS21)</f>
        <v>2.3008213022485718E-2</v>
      </c>
      <c r="AW9" s="728">
        <f>IF(NewConst!$F$203=NewConst!$I$203,'Detailed Lighting'!BP11,Lighting!BG21)</f>
        <v>3.2619105570216002E-2</v>
      </c>
      <c r="AX9" s="34"/>
      <c r="AY9" s="13"/>
      <c r="AZ9" s="28"/>
      <c r="BA9" s="38">
        <v>1</v>
      </c>
      <c r="BB9" s="745">
        <v>3.4410248540092747E-3</v>
      </c>
      <c r="BC9" s="745">
        <v>4.1666666666666664E-2</v>
      </c>
      <c r="BD9" s="745">
        <v>3.4410248540092747E-3</v>
      </c>
      <c r="BE9" s="745">
        <v>4.3518154613620685E-3</v>
      </c>
      <c r="BF9" s="745">
        <v>0</v>
      </c>
      <c r="BG9" s="745">
        <v>1.6822429906542057E-2</v>
      </c>
      <c r="BH9" s="745">
        <v>2.3190442726633873E-2</v>
      </c>
      <c r="BI9" s="745">
        <v>4.1666666666666664E-2</v>
      </c>
      <c r="BJ9" s="746">
        <v>0</v>
      </c>
      <c r="BK9" s="745">
        <v>0</v>
      </c>
      <c r="BL9" s="745">
        <v>0</v>
      </c>
      <c r="BM9" s="745">
        <v>0</v>
      </c>
      <c r="BN9" s="745">
        <v>0</v>
      </c>
      <c r="BO9" s="745">
        <v>9.9009900000000001E-3</v>
      </c>
      <c r="BP9" s="745">
        <v>1.6822429906542057E-2</v>
      </c>
      <c r="BQ9" s="1331">
        <v>0</v>
      </c>
      <c r="BR9" s="745">
        <v>4.1666666666666664E-2</v>
      </c>
      <c r="BS9" s="2189" t="s">
        <v>6435</v>
      </c>
      <c r="BT9" s="745">
        <f>IF(AVERAGE('Sunrise Calc'!$G$2:$G$13)&gt;'Hourly Profiles'!BA9, 1/12, "0.000")</f>
        <v>8.3333333333333329E-2</v>
      </c>
      <c r="BU9" s="745">
        <v>2.8737864077669904E-2</v>
      </c>
      <c r="BV9" s="745">
        <f>($BD9*$BD$7+$BE9*$BE$7+$BH9*$BH$7+$BL9*$BL$7+$BN9*$BN$7+$BQ9*$BQ$7+$BR9*$BR$7)/$BV$7</f>
        <v>1.459620527896007E-2</v>
      </c>
      <c r="BW9" s="745">
        <f>($BD9*$BD$8+$BE9*$BE$8+$BH9*$BH$8+$BL9*$BL$8+$BN9*$BN$8+$BQ9*$BQ$8+$BR9*$BR$8)/$BW$8</f>
        <v>4.3518154613620148E-3</v>
      </c>
      <c r="BX9" s="758">
        <f t="shared" ref="BX9:BX32" si="2">BB9/MAX($BB$9:$BB$32)</f>
        <v>4.4514947340877881E-2</v>
      </c>
      <c r="BY9" s="747">
        <f>$BX9*NewConst!$F$250*BY$7</f>
        <v>111.2873683521947</v>
      </c>
      <c r="BZ9" s="747">
        <f>$BX9*NewConst!$F$250*BZ$7</f>
        <v>89.029894681755763</v>
      </c>
      <c r="CA9" s="756">
        <f t="shared" ref="CA9:CA32" si="3">BF9/MAX($BF$9:$BF$32)</f>
        <v>0</v>
      </c>
      <c r="CB9" s="747">
        <f>$CA9*CB$7*NewConst!$E$407</f>
        <v>0</v>
      </c>
      <c r="CC9" s="747">
        <f>$CA9*CC$7*NewConst!$E$407</f>
        <v>0</v>
      </c>
      <c r="CD9" s="756">
        <f t="shared" ref="CD9:CD32" si="4">BJ9/MAX($BJ$9:$BJ$32)</f>
        <v>0</v>
      </c>
      <c r="CE9" s="747">
        <f>$CD9*CE$7*NewConst!$F$419</f>
        <v>0</v>
      </c>
      <c r="CF9" s="747">
        <f>$CD9*CF$7*NewConst!$F$419</f>
        <v>0</v>
      </c>
      <c r="CG9" s="756">
        <v>0</v>
      </c>
      <c r="CH9" s="747">
        <f>$CG9*CH$7*NewConst!$E$413</f>
        <v>0</v>
      </c>
      <c r="CI9" s="748">
        <f>$CG9*CI$7*NewConst!$E$413</f>
        <v>0</v>
      </c>
    </row>
    <row r="10" spans="2:87">
      <c r="B10" s="15"/>
      <c r="C10" s="32">
        <v>2</v>
      </c>
      <c r="D10" s="58">
        <v>6.0518788725154128E-2</v>
      </c>
      <c r="E10" s="59">
        <v>8.0000000000000002E-3</v>
      </c>
      <c r="F10" s="59">
        <v>7.476636E-3</v>
      </c>
      <c r="G10" s="59">
        <v>6.8259389999999996E-3</v>
      </c>
      <c r="H10" s="59">
        <v>3.1152649999999999E-3</v>
      </c>
      <c r="I10" s="591">
        <v>3.8610038610038607E-3</v>
      </c>
      <c r="J10" s="592">
        <v>4.8590864917395539E-3</v>
      </c>
      <c r="K10" s="591">
        <v>6.7988668555240784E-3</v>
      </c>
      <c r="L10" s="59">
        <v>3.8909401000000003E-2</v>
      </c>
      <c r="M10" s="59">
        <v>5.9405940000000004E-3</v>
      </c>
      <c r="N10" s="59">
        <v>7.0721359999999997E-3</v>
      </c>
      <c r="O10" s="59">
        <v>3.5000000000000003E-2</v>
      </c>
      <c r="P10" s="1560">
        <f t="shared" ref="P10:AD10" si="5">IF(selSchedule=$P$1,Q74,IF(selSchedule=$Q$1,Q102,IF(selSchedule=$R$1,Q130,"Error")))</f>
        <v>2.051504513540622E-2</v>
      </c>
      <c r="Q10" s="1560">
        <f t="shared" si="5"/>
        <v>3.9961077844311382E-2</v>
      </c>
      <c r="R10" s="1560">
        <f t="shared" si="5"/>
        <v>4.0352852852852852E-2</v>
      </c>
      <c r="S10" s="1560">
        <f t="shared" si="5"/>
        <v>1.0000000000000005E-3</v>
      </c>
      <c r="T10" s="1560">
        <f t="shared" si="5"/>
        <v>0</v>
      </c>
      <c r="U10" s="1560">
        <f t="shared" si="5"/>
        <v>5.0050050050050039E-4</v>
      </c>
      <c r="V10" s="1560">
        <f t="shared" si="5"/>
        <v>1.497005988023952E-3</v>
      </c>
      <c r="W10" s="1560">
        <f t="shared" si="5"/>
        <v>1.9482053838484545E-2</v>
      </c>
      <c r="X10" s="1560">
        <f t="shared" si="5"/>
        <v>3.6926478717523498E-2</v>
      </c>
      <c r="Y10" s="1560">
        <f t="shared" si="5"/>
        <v>2.8814205136608356E-2</v>
      </c>
      <c r="Z10" s="1560">
        <f t="shared" si="5"/>
        <v>2.8814205136608359E-2</v>
      </c>
      <c r="AA10" s="1560">
        <f t="shared" si="5"/>
        <v>2.994035785288271E-3</v>
      </c>
      <c r="AB10" s="1560">
        <f t="shared" si="5"/>
        <v>2.9940357852882701E-3</v>
      </c>
      <c r="AC10" s="1560">
        <f t="shared" si="5"/>
        <v>2.2999999999999993E-2</v>
      </c>
      <c r="AD10" s="1560">
        <f t="shared" si="5"/>
        <v>5.6872037914691947E-2</v>
      </c>
      <c r="AE10" s="59">
        <v>2.6019417475728154E-2</v>
      </c>
      <c r="AF10" s="591">
        <f t="shared" ref="AF10:AF32" si="6">($L$7*$L10+$O$7*$O10+$N$7*$N10+$G$7*$G10+$M$7*$M10+$F$7*$F10+$I10*$I$7+$J10*$J$7+$K10*$K$7+$H10*$H$7)/$AF$7</f>
        <v>2.6158342234672661E-2</v>
      </c>
      <c r="AG10" s="591">
        <f t="shared" ref="AG10:AG32" si="7">($L$8*$L10+$O$8*$O10+$N$8*$N10+$G$8*$G10+$M$8*$M10+$F$8*$F10+$I10*$I$8+$J10*$J$8+$K10*$K$8+$H10*$H$8)/$AG$8</f>
        <v>1.0091439889569811E-2</v>
      </c>
      <c r="AH10" s="42">
        <f t="shared" si="1"/>
        <v>1</v>
      </c>
      <c r="AI10" s="60">
        <f>$AH10*NewConst!$E$400*N_occ</f>
        <v>580.80000000000007</v>
      </c>
      <c r="AJ10" s="60">
        <f>$AH10*NewConst!$E$401*N_occ</f>
        <v>432.96000000000004</v>
      </c>
      <c r="AK10" s="58">
        <f>IF(NewConst!$F$203=NewConst!$I$203,'Detailed Lighting'!BD12,Lighting!BH22)</f>
        <v>1.4339773797585725E-2</v>
      </c>
      <c r="AL10" s="59">
        <f>IF(NewConst!$F$203=NewConst!$I$203,'Detailed Lighting'!BE12,Lighting!BI22)</f>
        <v>1.6365710574718948E-2</v>
      </c>
      <c r="AM10" s="59">
        <f>IF(NewConst!$F$203=NewConst!$I$203,'Detailed Lighting'!BF12,Lighting!BJ22)</f>
        <v>1.937268009690175E-2</v>
      </c>
      <c r="AN10" s="59">
        <f>IF(NewConst!$F$203=NewConst!$I$203,'Detailed Lighting'!BG12,Lighting!BK22)</f>
        <v>2.3669763255202047E-2</v>
      </c>
      <c r="AO10" s="59">
        <f>IF(NewConst!$F$203=NewConst!$I$203,'Detailed Lighting'!BH12,Lighting!BL22)</f>
        <v>2.718782188503233E-2</v>
      </c>
      <c r="AP10" s="59">
        <f>IF(NewConst!$F$203=NewConst!$I$203,'Detailed Lighting'!BI12,Lighting!BM22)</f>
        <v>2.9070458858940641E-2</v>
      </c>
      <c r="AQ10" s="59">
        <f>IF(NewConst!$F$203=NewConst!$I$203,'Detailed Lighting'!BJ12,Lighting!BN22)</f>
        <v>2.8536403556061466E-2</v>
      </c>
      <c r="AR10" s="59">
        <f>IF(NewConst!$F$203=NewConst!$I$203,'Detailed Lighting'!BK12,Lighting!BO22)</f>
        <v>2.5387895539590262E-2</v>
      </c>
      <c r="AS10" s="59">
        <f>IF(NewConst!$F$203=NewConst!$I$203,'Detailed Lighting'!BL12,Lighting!BP22)</f>
        <v>2.1268505805712885E-2</v>
      </c>
      <c r="AT10" s="59">
        <f>IF(NewConst!$F$203=NewConst!$I$203,'Detailed Lighting'!BM12,Lighting!BQ22)</f>
        <v>1.7599258703795514E-2</v>
      </c>
      <c r="AU10" s="59">
        <f>IF(NewConst!$F$203=NewConst!$I$203,'Detailed Lighting'!BN12,Lighting!BR22)</f>
        <v>1.4909573727683693E-2</v>
      </c>
      <c r="AV10" s="59">
        <f>IF(NewConst!$F$203=NewConst!$I$203,'Detailed Lighting'!BO12,Lighting!BS22)</f>
        <v>1.3804927813491432E-2</v>
      </c>
      <c r="AW10" s="729">
        <f>IF(NewConst!$F$203=NewConst!$I$203,'Detailed Lighting'!BP12,Lighting!BG22)</f>
        <v>1.9571463342129603E-2</v>
      </c>
      <c r="AX10" s="34"/>
      <c r="AY10" s="13"/>
      <c r="AZ10" s="15"/>
      <c r="BA10" s="38">
        <v>2</v>
      </c>
      <c r="BB10" s="745">
        <v>3.9757616333060859E-3</v>
      </c>
      <c r="BC10" s="745">
        <v>4.1666666666666664E-2</v>
      </c>
      <c r="BD10" s="745">
        <v>3.9757616333060859E-3</v>
      </c>
      <c r="BE10" s="745">
        <v>3.4814523690896546E-3</v>
      </c>
      <c r="BF10" s="745">
        <v>0</v>
      </c>
      <c r="BG10" s="745">
        <v>1.6822429906542057E-2</v>
      </c>
      <c r="BH10" s="745">
        <v>2.3190442726633873E-2</v>
      </c>
      <c r="BI10" s="745">
        <v>4.1666666666666664E-2</v>
      </c>
      <c r="BJ10" s="746">
        <v>0</v>
      </c>
      <c r="BK10" s="745">
        <v>0</v>
      </c>
      <c r="BL10" s="745">
        <v>0</v>
      </c>
      <c r="BM10" s="745">
        <v>0</v>
      </c>
      <c r="BN10" s="745">
        <v>0</v>
      </c>
      <c r="BO10" s="745">
        <v>5.9405940000000004E-3</v>
      </c>
      <c r="BP10" s="745">
        <v>1.6822429906542057E-2</v>
      </c>
      <c r="BQ10" s="1331">
        <v>0</v>
      </c>
      <c r="BR10" s="745">
        <v>4.1666666666666664E-2</v>
      </c>
      <c r="BS10" s="2189"/>
      <c r="BT10" s="745">
        <f>IF(AVERAGE('Sunrise Calc'!$G$2:$G$13)&gt;'Hourly Profiles'!BA10, 1/12, "0.000")</f>
        <v>8.3333333333333329E-2</v>
      </c>
      <c r="BU10" s="745">
        <v>2.6019417475728154E-2</v>
      </c>
      <c r="BV10" s="745">
        <f t="shared" ref="BV10:BV32" si="8">($BD10*$BD$7+$BE10*$BE$7+$BH10*$BH$7+$BL10*$BL$7+$BN10*$BN$7+$BQ10*$BQ$7+$BR10*$BR$7)/$BV$7</f>
        <v>1.4577174890428358E-2</v>
      </c>
      <c r="BW10" s="745">
        <f t="shared" ref="BW10:BW32" si="9">($BD10*$BD$8+$BE10*$BE$8+$BH10*$BH$8+$BL10*$BL$8+$BN10*$BN$8+$BQ10*$BQ$8+$BR10*$BR$8)/$BW$8</f>
        <v>3.4814523690896116E-3</v>
      </c>
      <c r="BX10" s="758">
        <f t="shared" si="2"/>
        <v>5.1432589782167852E-2</v>
      </c>
      <c r="BY10" s="747">
        <f>$BX10*NewConst!$F$250*BY$7</f>
        <v>128.58147445541962</v>
      </c>
      <c r="BZ10" s="747">
        <f>$BX10*NewConst!$F$250*BZ$7</f>
        <v>102.86517956433569</v>
      </c>
      <c r="CA10" s="756">
        <f t="shared" si="3"/>
        <v>0</v>
      </c>
      <c r="CB10" s="747">
        <f>$CA10*CB$7*NewConst!$E$407</f>
        <v>0</v>
      </c>
      <c r="CC10" s="747">
        <f>$CA10*CC$7*NewConst!$E$407</f>
        <v>0</v>
      </c>
      <c r="CD10" s="756">
        <f t="shared" si="4"/>
        <v>0</v>
      </c>
      <c r="CE10" s="747">
        <f>$CD10*CE$7*NewConst!$F$419</f>
        <v>0</v>
      </c>
      <c r="CF10" s="747">
        <f>$CD10*CF$7*NewConst!$F$419</f>
        <v>0</v>
      </c>
      <c r="CG10" s="756">
        <v>0</v>
      </c>
      <c r="CH10" s="747">
        <f>$CG10*CH$7*NewConst!$E$413</f>
        <v>0</v>
      </c>
      <c r="CI10" s="748">
        <f>$CG10*CI$7*NewConst!$E$413</f>
        <v>0</v>
      </c>
    </row>
    <row r="11" spans="2:87">
      <c r="B11" s="15"/>
      <c r="C11" s="32">
        <v>3</v>
      </c>
      <c r="D11" s="58">
        <v>6.0518788725154128E-2</v>
      </c>
      <c r="E11" s="59">
        <v>8.0000000000000002E-3</v>
      </c>
      <c r="F11" s="59">
        <v>3.738318E-3</v>
      </c>
      <c r="G11" s="59">
        <v>5.1194539999999998E-3</v>
      </c>
      <c r="H11" s="59">
        <v>7.7899999999999996E-4</v>
      </c>
      <c r="I11" s="591">
        <v>3.8610038610038607E-3</v>
      </c>
      <c r="J11" s="592">
        <v>3.4013605442176878E-3</v>
      </c>
      <c r="K11" s="591">
        <v>5.0991501416430586E-3</v>
      </c>
      <c r="L11" s="59">
        <v>3.805737E-2</v>
      </c>
      <c r="M11" s="59">
        <v>3.9603959999999997E-3</v>
      </c>
      <c r="N11" s="59">
        <v>3.5360679999999999E-3</v>
      </c>
      <c r="O11" s="59">
        <v>3.4000000000000002E-2</v>
      </c>
      <c r="P11" s="1560">
        <f t="shared" ref="P11:AD11" si="10">IF(selSchedule=$P$1,Q75,IF(selSchedule=$Q$1,Q103,IF(selSchedule=$R$1,Q131,"Error")))</f>
        <v>1.8519558676028086E-2</v>
      </c>
      <c r="Q11" s="1560">
        <f t="shared" si="10"/>
        <v>3.8962075848303399E-2</v>
      </c>
      <c r="R11" s="1560">
        <f t="shared" si="10"/>
        <v>4.0352852852852852E-2</v>
      </c>
      <c r="S11" s="1560">
        <f t="shared" si="10"/>
        <v>1.0000000000000005E-3</v>
      </c>
      <c r="T11" s="1560">
        <f t="shared" si="10"/>
        <v>0</v>
      </c>
      <c r="U11" s="1560">
        <f t="shared" si="10"/>
        <v>5.0050050050050039E-4</v>
      </c>
      <c r="V11" s="1560">
        <f t="shared" si="10"/>
        <v>1.497005988023952E-3</v>
      </c>
      <c r="W11" s="1560">
        <f t="shared" si="10"/>
        <v>9.9910269192422709E-3</v>
      </c>
      <c r="X11" s="1560">
        <f t="shared" si="10"/>
        <v>5.0425051917589239E-2</v>
      </c>
      <c r="Y11" s="1560">
        <f t="shared" si="10"/>
        <v>2.3844026210167003E-2</v>
      </c>
      <c r="Z11" s="1560">
        <f t="shared" si="10"/>
        <v>2.3844026210167006E-2</v>
      </c>
      <c r="AA11" s="1560">
        <f t="shared" si="10"/>
        <v>3.4940357852882705E-3</v>
      </c>
      <c r="AB11" s="1560">
        <f t="shared" si="10"/>
        <v>3.4940357852882701E-3</v>
      </c>
      <c r="AC11" s="1560">
        <f t="shared" si="10"/>
        <v>1.9E-2</v>
      </c>
      <c r="AD11" s="1560">
        <f t="shared" si="10"/>
        <v>5.6872037914691947E-2</v>
      </c>
      <c r="AE11" s="59">
        <v>2.4854368932038837E-2</v>
      </c>
      <c r="AF11" s="591">
        <f t="shared" si="6"/>
        <v>2.4757349303124773E-2</v>
      </c>
      <c r="AG11" s="591">
        <f t="shared" si="7"/>
        <v>7.8747799964802526E-3</v>
      </c>
      <c r="AH11" s="42">
        <f t="shared" si="1"/>
        <v>1</v>
      </c>
      <c r="AI11" s="60">
        <f>$AH11*NewConst!$E$400*N_occ</f>
        <v>580.80000000000007</v>
      </c>
      <c r="AJ11" s="60">
        <f>$AH11*NewConst!$E$401*N_occ</f>
        <v>432.96000000000004</v>
      </c>
      <c r="AK11" s="58">
        <f>IF(NewConst!$F$203=NewConst!$I$203,'Detailed Lighting'!BD13,Lighting!BH23)</f>
        <v>9.5598491983904833E-3</v>
      </c>
      <c r="AL11" s="59">
        <f>IF(NewConst!$F$203=NewConst!$I$203,'Detailed Lighting'!BE13,Lighting!BI23)</f>
        <v>1.0910473716479298E-2</v>
      </c>
      <c r="AM11" s="59">
        <f>IF(NewConst!$F$203=NewConst!$I$203,'Detailed Lighting'!BF13,Lighting!BJ23)</f>
        <v>1.2915120064601167E-2</v>
      </c>
      <c r="AN11" s="59">
        <f>IF(NewConst!$F$203=NewConst!$I$203,'Detailed Lighting'!BG13,Lighting!BK23)</f>
        <v>1.5779842170134697E-2</v>
      </c>
      <c r="AO11" s="59">
        <f>IF(NewConst!$F$203=NewConst!$I$203,'Detailed Lighting'!BH13,Lighting!BL23)</f>
        <v>1.8125214590021553E-2</v>
      </c>
      <c r="AP11" s="59">
        <f>IF(NewConst!$F$203=NewConst!$I$203,'Detailed Lighting'!BI13,Lighting!BM23)</f>
        <v>1.9380305905960425E-2</v>
      </c>
      <c r="AQ11" s="59">
        <f>IF(NewConst!$F$203=NewConst!$I$203,'Detailed Lighting'!BJ13,Lighting!BN23)</f>
        <v>1.9024269037374312E-2</v>
      </c>
      <c r="AR11" s="59">
        <f>IF(NewConst!$F$203=NewConst!$I$203,'Detailed Lighting'!BK13,Lighting!BO23)</f>
        <v>1.6925263693060175E-2</v>
      </c>
      <c r="AS11" s="59">
        <f>IF(NewConst!$F$203=NewConst!$I$203,'Detailed Lighting'!BL13,Lighting!BP23)</f>
        <v>1.4179003870475257E-2</v>
      </c>
      <c r="AT11" s="59">
        <f>IF(NewConst!$F$203=NewConst!$I$203,'Detailed Lighting'!BM13,Lighting!BQ23)</f>
        <v>1.1732839135863676E-2</v>
      </c>
      <c r="AU11" s="59">
        <f>IF(NewConst!$F$203=NewConst!$I$203,'Detailed Lighting'!BN13,Lighting!BR23)</f>
        <v>9.9397158184557945E-3</v>
      </c>
      <c r="AV11" s="59">
        <f>IF(NewConst!$F$203=NewConst!$I$203,'Detailed Lighting'!BO13,Lighting!BS23)</f>
        <v>9.2032852089942874E-3</v>
      </c>
      <c r="AW11" s="729">
        <f>IF(NewConst!$F$203=NewConst!$I$203,'Detailed Lighting'!BP13,Lighting!BG23)</f>
        <v>1.3047642228086399E-2</v>
      </c>
      <c r="AX11" s="34"/>
      <c r="AY11" s="13"/>
      <c r="AZ11" s="15"/>
      <c r="BA11" s="38">
        <v>3</v>
      </c>
      <c r="BB11" s="745">
        <v>1.6345500133115325E-3</v>
      </c>
      <c r="BC11" s="745">
        <v>4.1666666666666664E-2</v>
      </c>
      <c r="BD11" s="745">
        <v>1.6345500133115325E-3</v>
      </c>
      <c r="BE11" s="745">
        <v>4.0552472965877636E-3</v>
      </c>
      <c r="BF11" s="745">
        <v>0</v>
      </c>
      <c r="BG11" s="745">
        <v>1.6822429906542057E-2</v>
      </c>
      <c r="BH11" s="745">
        <v>2.3190442726633873E-2</v>
      </c>
      <c r="BI11" s="745">
        <v>4.1666666666666664E-2</v>
      </c>
      <c r="BJ11" s="746">
        <v>0</v>
      </c>
      <c r="BK11" s="745">
        <v>0</v>
      </c>
      <c r="BL11" s="745">
        <v>0</v>
      </c>
      <c r="BM11" s="745">
        <v>0</v>
      </c>
      <c r="BN11" s="745">
        <v>0</v>
      </c>
      <c r="BO11" s="745">
        <v>3.9603959999999997E-3</v>
      </c>
      <c r="BP11" s="745">
        <v>1.6822429906542057E-2</v>
      </c>
      <c r="BQ11" s="1331">
        <v>0</v>
      </c>
      <c r="BR11" s="745">
        <v>4.1666666666666664E-2</v>
      </c>
      <c r="BS11" s="2189"/>
      <c r="BT11" s="745">
        <f>IF(AVERAGE('Sunrise Calc'!$G$2:$G$13)&gt;'Hourly Profiles'!BA11, 1/12, "0.000")</f>
        <v>8.3333333333333329E-2</v>
      </c>
      <c r="BU11" s="745">
        <v>2.4854368932038837E-2</v>
      </c>
      <c r="BV11" s="745">
        <f t="shared" si="8"/>
        <v>1.4573090841808849E-2</v>
      </c>
      <c r="BW11" s="745">
        <f t="shared" si="9"/>
        <v>4.0552472965877133E-3</v>
      </c>
      <c r="BX11" s="758">
        <f t="shared" si="2"/>
        <v>2.1145417675148818E-2</v>
      </c>
      <c r="BY11" s="747">
        <f>$BX11*NewConst!$F$250*BY$7</f>
        <v>52.863544187872051</v>
      </c>
      <c r="BZ11" s="747">
        <f>$BX11*NewConst!$F$250*BZ$7</f>
        <v>42.290835350297641</v>
      </c>
      <c r="CA11" s="756">
        <f t="shared" si="3"/>
        <v>0</v>
      </c>
      <c r="CB11" s="747">
        <f>$CA11*CB$7*NewConst!$E$407</f>
        <v>0</v>
      </c>
      <c r="CC11" s="747">
        <f>$CA11*CC$7*NewConst!$E$407</f>
        <v>0</v>
      </c>
      <c r="CD11" s="756">
        <f t="shared" si="4"/>
        <v>0</v>
      </c>
      <c r="CE11" s="747">
        <f>$CD11*CE$7*NewConst!$F$419</f>
        <v>0</v>
      </c>
      <c r="CF11" s="747">
        <f>$CD11*CF$7*NewConst!$F$419</f>
        <v>0</v>
      </c>
      <c r="CG11" s="756">
        <v>0</v>
      </c>
      <c r="CH11" s="747">
        <f>$CG11*CH$7*NewConst!$E$413</f>
        <v>0</v>
      </c>
      <c r="CI11" s="748">
        <f>$CG11*CI$7*NewConst!$E$413</f>
        <v>0</v>
      </c>
    </row>
    <row r="12" spans="2:87">
      <c r="B12" s="15"/>
      <c r="C12" s="32">
        <v>4</v>
      </c>
      <c r="D12" s="58">
        <v>6.0518788725154128E-2</v>
      </c>
      <c r="E12" s="59">
        <v>8.0000000000000002E-3</v>
      </c>
      <c r="F12" s="59">
        <v>3.738318E-3</v>
      </c>
      <c r="G12" s="59">
        <v>3.4129690000000001E-3</v>
      </c>
      <c r="H12" s="59">
        <v>7.7899999999999996E-4</v>
      </c>
      <c r="I12" s="591">
        <v>3.8610038610038607E-3</v>
      </c>
      <c r="J12" s="592">
        <v>4.8590864917395539E-3</v>
      </c>
      <c r="K12" s="591">
        <v>5.0991501416430586E-3</v>
      </c>
      <c r="L12" s="59">
        <v>3.6921329000000003E-2</v>
      </c>
      <c r="M12" s="59">
        <v>1.9801979999999999E-3</v>
      </c>
      <c r="N12" s="59">
        <v>3.5360679999999999E-3</v>
      </c>
      <c r="O12" s="59">
        <v>3.4000000000000002E-2</v>
      </c>
      <c r="P12" s="1560">
        <f t="shared" ref="P12:AD12" si="11">IF(selSchedule=$P$1,Q76,IF(selSchedule=$Q$1,Q104,IF(selSchedule=$R$1,Q132,"Error")))</f>
        <v>1.6524072216649952E-2</v>
      </c>
      <c r="Q12" s="1560">
        <f t="shared" si="11"/>
        <v>3.7963073852295415E-2</v>
      </c>
      <c r="R12" s="1560">
        <f t="shared" si="11"/>
        <v>4.0352852852852852E-2</v>
      </c>
      <c r="S12" s="1560">
        <f t="shared" si="11"/>
        <v>1.5000000000000002E-3</v>
      </c>
      <c r="T12" s="1560">
        <f t="shared" si="11"/>
        <v>0</v>
      </c>
      <c r="U12" s="1560">
        <f t="shared" si="11"/>
        <v>5.0050050050050039E-4</v>
      </c>
      <c r="V12" s="1560">
        <f t="shared" si="11"/>
        <v>9.980039920159682E-4</v>
      </c>
      <c r="W12" s="1560">
        <f t="shared" si="11"/>
        <v>9.999999999999998E-4</v>
      </c>
      <c r="X12" s="1560">
        <f t="shared" si="11"/>
        <v>5.7932559425096751E-2</v>
      </c>
      <c r="Y12" s="1560">
        <f t="shared" si="11"/>
        <v>2.8814205136608356E-2</v>
      </c>
      <c r="Z12" s="1560">
        <f t="shared" si="11"/>
        <v>2.8814205136608359E-2</v>
      </c>
      <c r="AA12" s="1560">
        <f t="shared" si="11"/>
        <v>3.991053677932406E-3</v>
      </c>
      <c r="AB12" s="1560">
        <f t="shared" si="11"/>
        <v>3.9910536779324043E-3</v>
      </c>
      <c r="AC12" s="1560">
        <f t="shared" si="11"/>
        <v>1.4999999999999999E-2</v>
      </c>
      <c r="AD12" s="1560">
        <f t="shared" si="11"/>
        <v>5.6872037914691947E-2</v>
      </c>
      <c r="AE12" s="59">
        <v>2.4077669902912623E-2</v>
      </c>
      <c r="AF12" s="591">
        <f t="shared" si="6"/>
        <v>2.4566935753613937E-2</v>
      </c>
      <c r="AG12" s="591">
        <f t="shared" si="7"/>
        <v>7.993315068270947E-3</v>
      </c>
      <c r="AH12" s="42">
        <f t="shared" si="1"/>
        <v>1</v>
      </c>
      <c r="AI12" s="60">
        <f>$AH12*NewConst!$E$400*N_occ</f>
        <v>580.80000000000007</v>
      </c>
      <c r="AJ12" s="60">
        <f>$AH12*NewConst!$E$401*N_occ</f>
        <v>432.96000000000004</v>
      </c>
      <c r="AK12" s="58">
        <f>IF(NewConst!$F$203=NewConst!$I$203,'Detailed Lighting'!BD14,Lighting!BH24)</f>
        <v>9.5598491983904833E-3</v>
      </c>
      <c r="AL12" s="59">
        <f>IF(NewConst!$F$203=NewConst!$I$203,'Detailed Lighting'!BE14,Lighting!BI24)</f>
        <v>1.0910473716479298E-2</v>
      </c>
      <c r="AM12" s="59">
        <f>IF(NewConst!$F$203=NewConst!$I$203,'Detailed Lighting'!BF14,Lighting!BJ24)</f>
        <v>1.2915120064601167E-2</v>
      </c>
      <c r="AN12" s="59">
        <f>IF(NewConst!$F$203=NewConst!$I$203,'Detailed Lighting'!BG14,Lighting!BK24)</f>
        <v>1.5779842170134697E-2</v>
      </c>
      <c r="AO12" s="59">
        <f>IF(NewConst!$F$203=NewConst!$I$203,'Detailed Lighting'!BH14,Lighting!BL24)</f>
        <v>1.8125214590021553E-2</v>
      </c>
      <c r="AP12" s="59">
        <f>IF(NewConst!$F$203=NewConst!$I$203,'Detailed Lighting'!BI14,Lighting!BM24)</f>
        <v>1.9380305905960425E-2</v>
      </c>
      <c r="AQ12" s="59">
        <f>IF(NewConst!$F$203=NewConst!$I$203,'Detailed Lighting'!BJ14,Lighting!BN24)</f>
        <v>1.9024269037374312E-2</v>
      </c>
      <c r="AR12" s="59">
        <f>IF(NewConst!$F$203=NewConst!$I$203,'Detailed Lighting'!BK14,Lighting!BO24)</f>
        <v>1.6925263693060175E-2</v>
      </c>
      <c r="AS12" s="59">
        <f>IF(NewConst!$F$203=NewConst!$I$203,'Detailed Lighting'!BL14,Lighting!BP24)</f>
        <v>1.4179003870475257E-2</v>
      </c>
      <c r="AT12" s="59">
        <f>IF(NewConst!$F$203=NewConst!$I$203,'Detailed Lighting'!BM14,Lighting!BQ24)</f>
        <v>1.1732839135863676E-2</v>
      </c>
      <c r="AU12" s="59">
        <f>IF(NewConst!$F$203=NewConst!$I$203,'Detailed Lighting'!BN14,Lighting!BR24)</f>
        <v>9.9397158184557945E-3</v>
      </c>
      <c r="AV12" s="59">
        <f>IF(NewConst!$F$203=NewConst!$I$203,'Detailed Lighting'!BO14,Lighting!BS24)</f>
        <v>9.2032852089942874E-3</v>
      </c>
      <c r="AW12" s="729">
        <f>IF(NewConst!$F$203=NewConst!$I$203,'Detailed Lighting'!BP14,Lighting!BG24)</f>
        <v>1.3047642228086399E-2</v>
      </c>
      <c r="AX12" s="34"/>
      <c r="AY12" s="13"/>
      <c r="AZ12" s="15"/>
      <c r="BA12" s="38">
        <v>4</v>
      </c>
      <c r="BB12" s="745">
        <v>4.0758825621957017E-3</v>
      </c>
      <c r="BC12" s="745">
        <v>4.1666666666666664E-2</v>
      </c>
      <c r="BD12" s="745">
        <v>4.0758825621957017E-3</v>
      </c>
      <c r="BE12" s="745">
        <v>1.6672288567529344E-3</v>
      </c>
      <c r="BF12" s="745">
        <v>0</v>
      </c>
      <c r="BG12" s="745">
        <v>1.6822429906542057E-2</v>
      </c>
      <c r="BH12" s="745">
        <v>2.3190442726633873E-2</v>
      </c>
      <c r="BI12" s="745">
        <v>4.1666666666666664E-2</v>
      </c>
      <c r="BJ12" s="746">
        <v>0</v>
      </c>
      <c r="BK12" s="745">
        <v>0</v>
      </c>
      <c r="BL12" s="745">
        <v>0</v>
      </c>
      <c r="BM12" s="745">
        <v>0</v>
      </c>
      <c r="BN12" s="745">
        <v>0</v>
      </c>
      <c r="BO12" s="745">
        <v>1.9801979999999999E-3</v>
      </c>
      <c r="BP12" s="745">
        <v>1.6822429906542057E-2</v>
      </c>
      <c r="BQ12" s="1331">
        <v>0</v>
      </c>
      <c r="BR12" s="745">
        <v>4.1666666666666664E-2</v>
      </c>
      <c r="BS12" s="2189"/>
      <c r="BT12" s="745">
        <f>IF(AVERAGE('Sunrise Calc'!$G$2:$G$13)&gt;'Hourly Profiles'!BA12, 1/12, "0.000")</f>
        <v>8.3333333333333329E-2</v>
      </c>
      <c r="BU12" s="745">
        <v>2.4077669902912623E-2</v>
      </c>
      <c r="BV12" s="745">
        <f t="shared" si="8"/>
        <v>1.4529023451639271E-2</v>
      </c>
      <c r="BW12" s="745">
        <f t="shared" si="9"/>
        <v>1.6672288567529138E-3</v>
      </c>
      <c r="BX12" s="758">
        <f t="shared" si="2"/>
        <v>5.2727807941388101E-2</v>
      </c>
      <c r="BY12" s="747">
        <f>$BX12*NewConst!$F$250*BY$7</f>
        <v>131.81951985347027</v>
      </c>
      <c r="BZ12" s="747">
        <f>$BX12*NewConst!$F$250*BZ$7</f>
        <v>105.45561588277621</v>
      </c>
      <c r="CA12" s="756">
        <f t="shared" si="3"/>
        <v>0</v>
      </c>
      <c r="CB12" s="747">
        <f>$CA12*CB$7*NewConst!$E$407</f>
        <v>0</v>
      </c>
      <c r="CC12" s="747">
        <f>$CA12*CC$7*NewConst!$E$407</f>
        <v>0</v>
      </c>
      <c r="CD12" s="756">
        <f t="shared" si="4"/>
        <v>0</v>
      </c>
      <c r="CE12" s="747">
        <f>$CD12*CE$7*NewConst!$F$419</f>
        <v>0</v>
      </c>
      <c r="CF12" s="747">
        <f>$CD12*CF$7*NewConst!$F$419</f>
        <v>0</v>
      </c>
      <c r="CG12" s="756">
        <v>0</v>
      </c>
      <c r="CH12" s="747">
        <f>$CG12*CH$7*NewConst!$E$413</f>
        <v>0</v>
      </c>
      <c r="CI12" s="748">
        <f>$CG12*CI$7*NewConst!$E$413</f>
        <v>0</v>
      </c>
    </row>
    <row r="13" spans="2:87">
      <c r="B13" s="15"/>
      <c r="C13" s="32">
        <v>5</v>
      </c>
      <c r="D13" s="58">
        <v>6.0518788725154128E-2</v>
      </c>
      <c r="E13" s="59">
        <v>2.4E-2</v>
      </c>
      <c r="F13" s="59">
        <v>7.476636E-3</v>
      </c>
      <c r="G13" s="59">
        <v>3.4129690000000001E-3</v>
      </c>
      <c r="H13" s="59">
        <v>3.1152649999999999E-3</v>
      </c>
      <c r="I13" s="591">
        <v>7.7220077220077213E-3</v>
      </c>
      <c r="J13" s="592">
        <v>1.3605442176870751E-2</v>
      </c>
      <c r="K13" s="591">
        <v>6.7988668555240784E-3</v>
      </c>
      <c r="L13" s="59">
        <v>3.6353309E-2</v>
      </c>
      <c r="M13" s="59">
        <v>3.9603959999999997E-3</v>
      </c>
      <c r="N13" s="59">
        <v>7.0721359999999997E-3</v>
      </c>
      <c r="O13" s="59">
        <v>3.2000000000000001E-2</v>
      </c>
      <c r="P13" s="1560">
        <f t="shared" ref="P13:AD13" si="12">IF(selSchedule=$P$1,Q77,IF(selSchedule=$Q$1,Q105,IF(selSchedule=$R$1,Q133,"Error")))</f>
        <v>2.3549648946840519E-2</v>
      </c>
      <c r="Q13" s="1560">
        <f t="shared" si="12"/>
        <v>3.6963073852295414E-2</v>
      </c>
      <c r="R13" s="1560">
        <f t="shared" si="12"/>
        <v>4.0348384098384101E-2</v>
      </c>
      <c r="S13" s="1560">
        <f t="shared" si="12"/>
        <v>6.5000000000000014E-3</v>
      </c>
      <c r="T13" s="1560">
        <f t="shared" si="12"/>
        <v>1.9940179461615157E-3</v>
      </c>
      <c r="U13" s="1560">
        <f t="shared" si="12"/>
        <v>4.5045045045045027E-3</v>
      </c>
      <c r="V13" s="1560">
        <f t="shared" si="12"/>
        <v>2.4950099800399206E-3</v>
      </c>
      <c r="W13" s="1560">
        <f t="shared" si="12"/>
        <v>4.999999999999999E-4</v>
      </c>
      <c r="X13" s="1560">
        <f t="shared" si="12"/>
        <v>4.9906623040951413E-2</v>
      </c>
      <c r="Y13" s="1560">
        <f t="shared" si="12"/>
        <v>4.6694510197997717E-2</v>
      </c>
      <c r="Z13" s="1560">
        <f t="shared" si="12"/>
        <v>4.669451019799771E-2</v>
      </c>
      <c r="AA13" s="1560">
        <f t="shared" si="12"/>
        <v>8.4821073558648125E-3</v>
      </c>
      <c r="AB13" s="1560">
        <f t="shared" si="12"/>
        <v>8.4821073558648107E-3</v>
      </c>
      <c r="AC13" s="1560">
        <f t="shared" si="12"/>
        <v>1.6E-2</v>
      </c>
      <c r="AD13" s="1560">
        <f t="shared" si="12"/>
        <v>5.6872037914691947E-2</v>
      </c>
      <c r="AE13" s="59">
        <v>2.4077669902912623E-2</v>
      </c>
      <c r="AF13" s="591">
        <f t="shared" si="6"/>
        <v>2.4310021140782831E-2</v>
      </c>
      <c r="AG13" s="591">
        <f t="shared" si="7"/>
        <v>1.1828207862348042E-2</v>
      </c>
      <c r="AH13" s="42">
        <f t="shared" si="1"/>
        <v>1</v>
      </c>
      <c r="AI13" s="60">
        <f>$AH13*NewConst!$E$400*N_occ</f>
        <v>580.80000000000007</v>
      </c>
      <c r="AJ13" s="60">
        <f>$AH13*NewConst!$E$401*N_occ</f>
        <v>432.96000000000004</v>
      </c>
      <c r="AK13" s="58">
        <f>IF(NewConst!$F$203=NewConst!$I$203,'Detailed Lighting'!BD15,Lighting!BH25)</f>
        <v>9.5598491983904833E-3</v>
      </c>
      <c r="AL13" s="59">
        <f>IF(NewConst!$F$203=NewConst!$I$203,'Detailed Lighting'!BE15,Lighting!BI25)</f>
        <v>1.0910473716479298E-2</v>
      </c>
      <c r="AM13" s="59">
        <f>IF(NewConst!$F$203=NewConst!$I$203,'Detailed Lighting'!BF15,Lighting!BJ25)</f>
        <v>1.2915120064601167E-2</v>
      </c>
      <c r="AN13" s="59">
        <f>IF(NewConst!$F$203=NewConst!$I$203,'Detailed Lighting'!BG15,Lighting!BK25)</f>
        <v>1.5779842170134697E-2</v>
      </c>
      <c r="AO13" s="59">
        <f>IF(NewConst!$F$203=NewConst!$I$203,'Detailed Lighting'!BH15,Lighting!BL25)</f>
        <v>1.8125214590021553E-2</v>
      </c>
      <c r="AP13" s="59">
        <f>IF(NewConst!$F$203=NewConst!$I$203,'Detailed Lighting'!BI15,Lighting!BM25)</f>
        <v>1.9380305905960425E-2</v>
      </c>
      <c r="AQ13" s="59">
        <f>IF(NewConst!$F$203=NewConst!$I$203,'Detailed Lighting'!BJ15,Lighting!BN25)</f>
        <v>1.9024269037374312E-2</v>
      </c>
      <c r="AR13" s="59">
        <f>IF(NewConst!$F$203=NewConst!$I$203,'Detailed Lighting'!BK15,Lighting!BO25)</f>
        <v>1.6925263693060175E-2</v>
      </c>
      <c r="AS13" s="59">
        <f>IF(NewConst!$F$203=NewConst!$I$203,'Detailed Lighting'!BL15,Lighting!BP25)</f>
        <v>1.4179003870475257E-2</v>
      </c>
      <c r="AT13" s="59">
        <f>IF(NewConst!$F$203=NewConst!$I$203,'Detailed Lighting'!BM15,Lighting!BQ25)</f>
        <v>1.1732839135863676E-2</v>
      </c>
      <c r="AU13" s="59">
        <f>IF(NewConst!$F$203=NewConst!$I$203,'Detailed Lighting'!BN15,Lighting!BR25)</f>
        <v>9.9397158184557945E-3</v>
      </c>
      <c r="AV13" s="59">
        <f>IF(NewConst!$F$203=NewConst!$I$203,'Detailed Lighting'!BO15,Lighting!BS25)</f>
        <v>9.2032852089942874E-3</v>
      </c>
      <c r="AW13" s="729">
        <f>IF(NewConst!$F$203=NewConst!$I$203,'Detailed Lighting'!BP15,Lighting!BG25)</f>
        <v>1.3047642228086399E-2</v>
      </c>
      <c r="AX13" s="34"/>
      <c r="AY13" s="13"/>
      <c r="AZ13" s="15"/>
      <c r="BA13" s="38">
        <v>5</v>
      </c>
      <c r="BB13" s="745">
        <v>4.7977140065892715E-3</v>
      </c>
      <c r="BC13" s="745">
        <v>4.1666666666666664E-2</v>
      </c>
      <c r="BD13" s="745">
        <v>4.7977140065892715E-3</v>
      </c>
      <c r="BE13" s="745">
        <v>4.157369899414393E-3</v>
      </c>
      <c r="BF13" s="745">
        <v>0</v>
      </c>
      <c r="BG13" s="745">
        <v>1.6822429906542057E-2</v>
      </c>
      <c r="BH13" s="745">
        <v>2.3190442726633873E-2</v>
      </c>
      <c r="BI13" s="745">
        <v>4.1666666666666664E-2</v>
      </c>
      <c r="BJ13" s="746">
        <v>0</v>
      </c>
      <c r="BK13" s="745">
        <v>0</v>
      </c>
      <c r="BL13" s="745">
        <v>0</v>
      </c>
      <c r="BM13" s="745">
        <v>0</v>
      </c>
      <c r="BN13" s="745">
        <v>0</v>
      </c>
      <c r="BO13" s="745">
        <v>3.9603959999999997E-3</v>
      </c>
      <c r="BP13" s="745">
        <v>1.6822429906542057E-2</v>
      </c>
      <c r="BQ13" s="1331">
        <v>0</v>
      </c>
      <c r="BR13" s="745">
        <v>4.1666666666666664E-2</v>
      </c>
      <c r="BS13" s="2189"/>
      <c r="BT13" s="745">
        <f>IF(AVERAGE('Sunrise Calc'!$G$2:$G$13)&gt;'Hourly Profiles'!BA13, 1/12, "0.000")</f>
        <v>8.3333333333333329E-2</v>
      </c>
      <c r="BU13" s="745">
        <v>2.4077669902912623E-2</v>
      </c>
      <c r="BV13" s="745">
        <f t="shared" si="8"/>
        <v>1.4602299831608836E-2</v>
      </c>
      <c r="BW13" s="745">
        <f t="shared" si="9"/>
        <v>4.1573698994143418E-3</v>
      </c>
      <c r="BX13" s="758">
        <f t="shared" si="2"/>
        <v>6.2065807548897754E-2</v>
      </c>
      <c r="BY13" s="747">
        <f>$BX13*NewConst!$F$250*BY$7</f>
        <v>155.1645188722444</v>
      </c>
      <c r="BZ13" s="747">
        <f>$BX13*NewConst!$F$250*BZ$7</f>
        <v>124.13161509779552</v>
      </c>
      <c r="CA13" s="756">
        <f t="shared" si="3"/>
        <v>0</v>
      </c>
      <c r="CB13" s="747">
        <f>$CA13*CB$7*NewConst!$E$407</f>
        <v>0</v>
      </c>
      <c r="CC13" s="747">
        <f>$CA13*CC$7*NewConst!$E$407</f>
        <v>0</v>
      </c>
      <c r="CD13" s="756">
        <f t="shared" si="4"/>
        <v>0</v>
      </c>
      <c r="CE13" s="747">
        <f>$CD13*CE$7*NewConst!$F$419</f>
        <v>0</v>
      </c>
      <c r="CF13" s="747">
        <f>$CD13*CF$7*NewConst!$F$419</f>
        <v>0</v>
      </c>
      <c r="CG13" s="756">
        <v>0</v>
      </c>
      <c r="CH13" s="747">
        <f>$CG13*CH$7*NewConst!$E$413</f>
        <v>0</v>
      </c>
      <c r="CI13" s="748">
        <f>$CG13*CI$7*NewConst!$E$413</f>
        <v>0</v>
      </c>
    </row>
    <row r="14" spans="2:87">
      <c r="B14" s="15"/>
      <c r="C14" s="32">
        <v>6</v>
      </c>
      <c r="D14" s="58">
        <v>6.0518788725154128E-2</v>
      </c>
      <c r="E14" s="59">
        <v>0.05</v>
      </c>
      <c r="F14" s="59">
        <v>1.1214953E-2</v>
      </c>
      <c r="G14" s="59">
        <v>1.0238908E-2</v>
      </c>
      <c r="H14" s="59">
        <v>2.1806854000000001E-2</v>
      </c>
      <c r="I14" s="591">
        <v>1.9305019305019305E-2</v>
      </c>
      <c r="J14" s="592">
        <v>5.1506316812439265E-2</v>
      </c>
      <c r="K14" s="591">
        <v>1.8130311614730877E-2</v>
      </c>
      <c r="L14" s="59">
        <v>3.6353309E-2</v>
      </c>
      <c r="M14" s="59">
        <v>5.9405940000000004E-3</v>
      </c>
      <c r="N14" s="59">
        <v>1.0608204E-2</v>
      </c>
      <c r="O14" s="59">
        <v>3.5999999999999997E-2</v>
      </c>
      <c r="P14" s="1560">
        <f t="shared" ref="P14:AD14" si="13">IF(selSchedule=$P$1,Q78,IF(selSchedule=$Q$1,Q106,IF(selSchedule=$R$1,Q134,"Error")))</f>
        <v>3.1075225677031092E-2</v>
      </c>
      <c r="Q14" s="1560">
        <f t="shared" si="13"/>
        <v>3.6463073852295413E-2</v>
      </c>
      <c r="R14" s="1560">
        <f t="shared" si="13"/>
        <v>4.0343915343915349E-2</v>
      </c>
      <c r="S14" s="1560">
        <f t="shared" si="13"/>
        <v>1.1500000000000002E-2</v>
      </c>
      <c r="T14" s="1560">
        <f t="shared" si="13"/>
        <v>3.4895314057826515E-3</v>
      </c>
      <c r="U14" s="1560">
        <f t="shared" si="13"/>
        <v>9.0090090090090055E-3</v>
      </c>
      <c r="V14" s="1560">
        <f t="shared" si="13"/>
        <v>3.4930139720558877E-3</v>
      </c>
      <c r="W14" s="1560">
        <f t="shared" si="13"/>
        <v>4.999999999999999E-4</v>
      </c>
      <c r="X14" s="1560">
        <f t="shared" si="13"/>
        <v>5.3910627044955417E-2</v>
      </c>
      <c r="Y14" s="1560">
        <f t="shared" si="13"/>
        <v>6.6560912578155704E-2</v>
      </c>
      <c r="Z14" s="1560">
        <f t="shared" si="13"/>
        <v>6.656091257815569E-2</v>
      </c>
      <c r="AA14" s="1560">
        <f t="shared" si="13"/>
        <v>1.4955268389662031E-2</v>
      </c>
      <c r="AB14" s="1560">
        <f t="shared" si="13"/>
        <v>1.4955268389662024E-2</v>
      </c>
      <c r="AC14" s="1560">
        <f t="shared" si="13"/>
        <v>1.7500000000000002E-2</v>
      </c>
      <c r="AD14" s="1560">
        <f t="shared" si="13"/>
        <v>5.6872037914691947E-2</v>
      </c>
      <c r="AE14" s="59">
        <v>2.7184466019417475E-2</v>
      </c>
      <c r="AF14" s="591">
        <f t="shared" si="6"/>
        <v>3.0778459415868972E-2</v>
      </c>
      <c r="AG14" s="591">
        <f t="shared" si="7"/>
        <v>2.5842861303684315E-2</v>
      </c>
      <c r="AH14" s="42">
        <f t="shared" si="1"/>
        <v>1</v>
      </c>
      <c r="AI14" s="60">
        <f>$AH14*NewConst!$E$400*N_occ</f>
        <v>580.80000000000007</v>
      </c>
      <c r="AJ14" s="60">
        <f>$AH14*NewConst!$E$401*N_occ</f>
        <v>432.96000000000004</v>
      </c>
      <c r="AK14" s="58">
        <f>IF(NewConst!$F$203=NewConst!$I$203,'Detailed Lighting'!BD16,Lighting!BH26)</f>
        <v>1.046786451174443E-2</v>
      </c>
      <c r="AL14" s="59">
        <f>IF(NewConst!$F$203=NewConst!$I$203,'Detailed Lighting'!BE16,Lighting!BI26)</f>
        <v>1.1747934907070776E-2</v>
      </c>
      <c r="AM14" s="59">
        <f>IF(NewConst!$F$203=NewConst!$I$203,'Detailed Lighting'!BF16,Lighting!BJ26)</f>
        <v>1.3540695432430968E-2</v>
      </c>
      <c r="AN14" s="59">
        <f>IF(NewConst!$F$203=NewConst!$I$203,'Detailed Lighting'!BG16,Lighting!BK26)</f>
        <v>1.6664961402907252E-2</v>
      </c>
      <c r="AO14" s="59">
        <f>IF(NewConst!$F$203=NewConst!$I$203,'Detailed Lighting'!BH16,Lighting!BL26)</f>
        <v>1.8765663664446833E-2</v>
      </c>
      <c r="AP14" s="59">
        <f>IF(NewConst!$F$203=NewConst!$I$203,'Detailed Lighting'!BI16,Lighting!BM26)</f>
        <v>1.9943599965884854E-2</v>
      </c>
      <c r="AQ14" s="59">
        <f>IF(NewConst!$F$203=NewConst!$I$203,'Detailed Lighting'!BJ16,Lighting!BN26)</f>
        <v>1.9683500840876427E-2</v>
      </c>
      <c r="AR14" s="59">
        <f>IF(NewConst!$F$203=NewConst!$I$203,'Detailed Lighting'!BK16,Lighting!BO26)</f>
        <v>1.7749518270534247E-2</v>
      </c>
      <c r="AS14" s="59">
        <f>IF(NewConst!$F$203=NewConst!$I$203,'Detailed Lighting'!BL16,Lighting!BP26)</f>
        <v>1.5125141755857944E-2</v>
      </c>
      <c r="AT14" s="59">
        <f>IF(NewConst!$F$203=NewConst!$I$203,'Detailed Lighting'!BM16,Lighting!BQ26)</f>
        <v>1.2770755063530531E-2</v>
      </c>
      <c r="AU14" s="59">
        <f>IF(NewConst!$F$203=NewConst!$I$203,'Detailed Lighting'!BN16,Lighting!BR26)</f>
        <v>1.06017598741972E-2</v>
      </c>
      <c r="AV14" s="59">
        <f>IF(NewConst!$F$203=NewConst!$I$203,'Detailed Lighting'!BO16,Lighting!BS26)</f>
        <v>1.0014898224714816E-2</v>
      </c>
      <c r="AW14" s="729">
        <f>IF(NewConst!$F$203=NewConst!$I$203,'Detailed Lighting'!BP16,Lighting!BG26)</f>
        <v>1.3844991759640518E-2</v>
      </c>
      <c r="AX14" s="34"/>
      <c r="AY14" s="13"/>
      <c r="AZ14" s="15"/>
      <c r="BA14" s="38">
        <v>6</v>
      </c>
      <c r="BB14" s="745">
        <v>1.1243378049801061E-2</v>
      </c>
      <c r="BC14" s="745">
        <v>4.1666666666666664E-2</v>
      </c>
      <c r="BD14" s="745">
        <v>1.1243378049801061E-2</v>
      </c>
      <c r="BE14" s="745">
        <v>4.893632604136687E-3</v>
      </c>
      <c r="BF14" s="745">
        <v>0</v>
      </c>
      <c r="BG14" s="745">
        <v>1.6822429906542057E-2</v>
      </c>
      <c r="BH14" s="745">
        <v>2.3190442726633873E-2</v>
      </c>
      <c r="BI14" s="745">
        <v>4.1666666666666664E-2</v>
      </c>
      <c r="BJ14" s="746">
        <v>0</v>
      </c>
      <c r="BK14" s="745">
        <v>0</v>
      </c>
      <c r="BL14" s="745">
        <v>0</v>
      </c>
      <c r="BM14" s="745">
        <v>0</v>
      </c>
      <c r="BN14" s="745">
        <v>0</v>
      </c>
      <c r="BO14" s="745">
        <v>5.9405940000000004E-3</v>
      </c>
      <c r="BP14" s="745">
        <v>1.6822429906542057E-2</v>
      </c>
      <c r="BQ14" s="1331">
        <v>0</v>
      </c>
      <c r="BR14" s="745">
        <v>4.1666666666666664E-2</v>
      </c>
      <c r="BS14" s="2189"/>
      <c r="BT14" s="745">
        <f>IF(AVERAGE('Sunrise Calc'!$G$2:$G$13)&gt;'Hourly Profiles'!BA14, 1/12, "0.000")</f>
        <v>8.3333333333333329E-2</v>
      </c>
      <c r="BU14" s="745">
        <v>2.7184466019417475E-2</v>
      </c>
      <c r="BV14" s="745">
        <f t="shared" si="8"/>
        <v>1.4676081574092972E-2</v>
      </c>
      <c r="BW14" s="745">
        <f t="shared" si="9"/>
        <v>4.8936326041366263E-3</v>
      </c>
      <c r="BX14" s="758">
        <f t="shared" si="2"/>
        <v>0.14545038267809252</v>
      </c>
      <c r="BY14" s="747">
        <f>$BX14*NewConst!$F$250*BY$7</f>
        <v>363.62595669523131</v>
      </c>
      <c r="BZ14" s="747">
        <f>$BX14*NewConst!$F$250*BZ$7</f>
        <v>290.90076535618505</v>
      </c>
      <c r="CA14" s="756">
        <f t="shared" si="3"/>
        <v>0</v>
      </c>
      <c r="CB14" s="747">
        <f>$CA14*CB$7*NewConst!$E$407</f>
        <v>0</v>
      </c>
      <c r="CC14" s="747">
        <f>$CA14*CC$7*NewConst!$E$407</f>
        <v>0</v>
      </c>
      <c r="CD14" s="756">
        <f t="shared" si="4"/>
        <v>0</v>
      </c>
      <c r="CE14" s="747">
        <f>$CD14*CE$7*NewConst!$F$419</f>
        <v>0</v>
      </c>
      <c r="CF14" s="747">
        <f>$CD14*CF$7*NewConst!$F$419</f>
        <v>0</v>
      </c>
      <c r="CG14" s="756">
        <v>0</v>
      </c>
      <c r="CH14" s="747">
        <f>$CG14*CH$7*NewConst!$E$413</f>
        <v>0</v>
      </c>
      <c r="CI14" s="748">
        <f>$CG14*CI$7*NewConst!$E$413</f>
        <v>0</v>
      </c>
    </row>
    <row r="15" spans="2:87">
      <c r="B15" s="15"/>
      <c r="C15" s="32">
        <v>7</v>
      </c>
      <c r="D15" s="58">
        <v>6.0518788725154128E-2</v>
      </c>
      <c r="E15" s="59">
        <v>5.6000000000000001E-2</v>
      </c>
      <c r="F15" s="59">
        <v>2.2429906999999999E-2</v>
      </c>
      <c r="G15" s="59">
        <v>2.0477815999999999E-2</v>
      </c>
      <c r="H15" s="59">
        <v>7.4766355000000007E-2</v>
      </c>
      <c r="I15" s="591">
        <v>4.6332046332046323E-2</v>
      </c>
      <c r="J15" s="592">
        <v>0.11758989310009718</v>
      </c>
      <c r="K15" s="591">
        <v>4.249291784702549E-2</v>
      </c>
      <c r="L15" s="59">
        <v>3.7773359999999999E-2</v>
      </c>
      <c r="M15" s="59">
        <v>1.5841583999999999E-2</v>
      </c>
      <c r="N15" s="59">
        <v>2.4752474999999999E-2</v>
      </c>
      <c r="O15" s="59">
        <v>4.2000000000000003E-2</v>
      </c>
      <c r="P15" s="1560">
        <f t="shared" ref="P15:AD15" si="14">IF(selSchedule=$P$1,Q79,IF(selSchedule=$Q$1,Q107,IF(selSchedule=$R$1,Q135,"Error")))</f>
        <v>4.1594784353059175E-2</v>
      </c>
      <c r="Q15" s="1560">
        <f t="shared" si="14"/>
        <v>3.6962075848303397E-2</v>
      </c>
      <c r="R15" s="1560">
        <f t="shared" si="14"/>
        <v>4.0343915343915349E-2</v>
      </c>
      <c r="S15" s="1560">
        <f t="shared" si="14"/>
        <v>2.8500000000000008E-2</v>
      </c>
      <c r="T15" s="1560">
        <f t="shared" si="14"/>
        <v>1.4956130609171487E-2</v>
      </c>
      <c r="U15" s="1560">
        <f t="shared" si="14"/>
        <v>2.1521521521521515E-2</v>
      </c>
      <c r="V15" s="1560">
        <f t="shared" si="14"/>
        <v>1.5977045908183635E-2</v>
      </c>
      <c r="W15" s="1560">
        <f t="shared" si="14"/>
        <v>4.9925224327018935E-3</v>
      </c>
      <c r="X15" s="1560">
        <f t="shared" si="14"/>
        <v>5.990169273751364E-2</v>
      </c>
      <c r="Y15" s="1560">
        <f t="shared" si="14"/>
        <v>5.6630425984312602E-2</v>
      </c>
      <c r="Z15" s="1560">
        <f t="shared" si="14"/>
        <v>5.6630425984312588E-2</v>
      </c>
      <c r="AA15" s="1560">
        <f t="shared" si="14"/>
        <v>2.591650099403579E-2</v>
      </c>
      <c r="AB15" s="1560">
        <f t="shared" si="14"/>
        <v>2.5916500994035779E-2</v>
      </c>
      <c r="AC15" s="1560">
        <f t="shared" si="14"/>
        <v>2.5500000000000002E-2</v>
      </c>
      <c r="AD15" s="1560">
        <f t="shared" si="14"/>
        <v>5.6872037914691947E-2</v>
      </c>
      <c r="AE15" s="59">
        <v>3.4174757281553399E-2</v>
      </c>
      <c r="AF15" s="591">
        <f t="shared" si="6"/>
        <v>4.4679668573997348E-2</v>
      </c>
      <c r="AG15" s="591">
        <f t="shared" si="7"/>
        <v>5.3868474081366552E-2</v>
      </c>
      <c r="AH15" s="42">
        <f t="shared" si="1"/>
        <v>1</v>
      </c>
      <c r="AI15" s="60">
        <f>$AH15*NewConst!$E$400*N_occ</f>
        <v>580.80000000000007</v>
      </c>
      <c r="AJ15" s="60">
        <f>$AH15*NewConst!$E$401*N_occ</f>
        <v>432.96000000000004</v>
      </c>
      <c r="AK15" s="58">
        <f>IF(NewConst!$F$203=NewConst!$I$203,'Detailed Lighting'!BD17,Lighting!BH27)</f>
        <v>2.2584908780539908E-2</v>
      </c>
      <c r="AL15" s="59">
        <f>IF(NewConst!$F$203=NewConst!$I$203,'Detailed Lighting'!BE17,Lighting!BI27)</f>
        <v>2.2923467049048581E-2</v>
      </c>
      <c r="AM15" s="59">
        <f>IF(NewConst!$F$203=NewConst!$I$203,'Detailed Lighting'!BF17,Lighting!BJ27)</f>
        <v>2.1888709297376616E-2</v>
      </c>
      <c r="AN15" s="59">
        <f>IF(NewConst!$F$203=NewConst!$I$203,'Detailed Lighting'!BG17,Lighting!BK27)</f>
        <v>2.8476468069080219E-2</v>
      </c>
      <c r="AO15" s="59">
        <f>IF(NewConst!$F$203=NewConst!$I$203,'Detailed Lighting'!BH17,Lighting!BL27)</f>
        <v>2.7312160262676785E-2</v>
      </c>
      <c r="AP15" s="59">
        <f>IF(NewConst!$F$203=NewConst!$I$203,'Detailed Lighting'!BI17,Lighting!BM27)</f>
        <v>2.7460498590911923E-2</v>
      </c>
      <c r="AQ15" s="59">
        <f>IF(NewConst!$F$203=NewConst!$I$203,'Detailed Lighting'!BJ17,Lighting!BN27)</f>
        <v>2.84806442689183E-2</v>
      </c>
      <c r="AR15" s="59">
        <f>IF(NewConst!$F$203=NewConst!$I$203,'Detailed Lighting'!BK17,Lighting!BO27)</f>
        <v>2.8748814270421721E-2</v>
      </c>
      <c r="AS15" s="59">
        <f>IF(NewConst!$F$203=NewConst!$I$203,'Detailed Lighting'!BL17,Lighting!BP27)</f>
        <v>2.7750914111194548E-2</v>
      </c>
      <c r="AT15" s="59">
        <f>IF(NewConst!$F$203=NewConst!$I$203,'Detailed Lighting'!BM17,Lighting!BQ27)</f>
        <v>2.6621262932581023E-2</v>
      </c>
      <c r="AU15" s="59">
        <f>IF(NewConst!$F$203=NewConst!$I$203,'Detailed Lighting'!BN17,Lighting!BR27)</f>
        <v>1.943643150730048E-2</v>
      </c>
      <c r="AV15" s="59">
        <f>IF(NewConst!$F$203=NewConst!$I$203,'Detailed Lighting'!BO17,Lighting!BS27)</f>
        <v>2.0845498431544984E-2</v>
      </c>
      <c r="AW15" s="729">
        <f>IF(NewConst!$F$203=NewConst!$I$203,'Detailed Lighting'!BP17,Lighting!BG27)</f>
        <v>2.4485252369186514E-2</v>
      </c>
      <c r="AX15" s="34"/>
      <c r="AY15" s="13"/>
      <c r="AZ15" s="15"/>
      <c r="BA15" s="38">
        <v>7</v>
      </c>
      <c r="BB15" s="745">
        <v>2.3085964689168754E-2</v>
      </c>
      <c r="BC15" s="745">
        <v>4.1666666666666664E-2</v>
      </c>
      <c r="BD15" s="745">
        <v>2.3085964689168754E-2</v>
      </c>
      <c r="BE15" s="745">
        <v>1.1468161989141995E-2</v>
      </c>
      <c r="BF15" s="745">
        <v>0</v>
      </c>
      <c r="BG15" s="745">
        <v>1.6822429906542057E-2</v>
      </c>
      <c r="BH15" s="745">
        <v>2.3190442726633873E-2</v>
      </c>
      <c r="BI15" s="745">
        <v>4.1666666666666664E-2</v>
      </c>
      <c r="BJ15" s="746">
        <v>3.4482758620689655E-2</v>
      </c>
      <c r="BK15" s="745">
        <v>5.8823529411764705E-2</v>
      </c>
      <c r="BL15" s="745">
        <v>4.7619047619047616E-2</v>
      </c>
      <c r="BM15" s="745">
        <v>7.1428571428571425E-2</v>
      </c>
      <c r="BN15" s="745">
        <v>7.1428571428571425E-2</v>
      </c>
      <c r="BO15" s="745">
        <v>1.5841583999999999E-2</v>
      </c>
      <c r="BP15" s="745">
        <v>1.6822429906542057E-2</v>
      </c>
      <c r="BQ15" s="1331">
        <v>0</v>
      </c>
      <c r="BR15" s="745">
        <v>4.1666666666666664E-2</v>
      </c>
      <c r="BS15" s="2189"/>
      <c r="BT15" s="745" t="str">
        <f>IF(AVERAGE('Sunrise Calc'!$G$2:$G$13)&gt;'Hourly Profiles'!BA15, 1/12, "0.000")</f>
        <v>0.000</v>
      </c>
      <c r="BU15" s="745">
        <v>3.4174757281553399E-2</v>
      </c>
      <c r="BV15" s="745">
        <f t="shared" si="8"/>
        <v>2.9114651048081395E-2</v>
      </c>
      <c r="BW15" s="745">
        <f t="shared" si="9"/>
        <v>1.1468161989141853E-2</v>
      </c>
      <c r="BX15" s="758">
        <f t="shared" si="2"/>
        <v>0.29865244979394251</v>
      </c>
      <c r="BY15" s="747">
        <f>$BX15*NewConst!$F$250*BY$7</f>
        <v>746.63112448485629</v>
      </c>
      <c r="BZ15" s="747">
        <f>$BX15*NewConst!$F$250*BZ$7</f>
        <v>597.30489958788496</v>
      </c>
      <c r="CA15" s="756">
        <f t="shared" si="3"/>
        <v>0</v>
      </c>
      <c r="CB15" s="747">
        <f>$CA15*CB$7*NewConst!$E$407</f>
        <v>0</v>
      </c>
      <c r="CC15" s="747">
        <f>$CA15*CC$7*NewConst!$E$407</f>
        <v>0</v>
      </c>
      <c r="CD15" s="756">
        <f t="shared" si="4"/>
        <v>0.5</v>
      </c>
      <c r="CE15" s="747">
        <f>$CD15*CE$7*NewConst!$F$419</f>
        <v>1065</v>
      </c>
      <c r="CF15" s="747">
        <f>$CD15*CF$7*NewConst!$F$419</f>
        <v>1635</v>
      </c>
      <c r="CG15" s="756">
        <v>0.5</v>
      </c>
      <c r="CH15" s="747">
        <f>$CG15*CH$7*NewConst!$E$413</f>
        <v>40.425000000000004</v>
      </c>
      <c r="CI15" s="748">
        <f>$CG15*CI$7*NewConst!$E$413</f>
        <v>25.575000000000003</v>
      </c>
    </row>
    <row r="16" spans="2:87">
      <c r="B16" s="15"/>
      <c r="C16" s="32">
        <v>8</v>
      </c>
      <c r="D16" s="58">
        <v>5.3443893615832683E-2</v>
      </c>
      <c r="E16" s="59">
        <v>0.05</v>
      </c>
      <c r="F16" s="59">
        <v>4.8598131000000003E-2</v>
      </c>
      <c r="G16" s="59">
        <v>3.0716724000000001E-2</v>
      </c>
      <c r="H16" s="59">
        <v>7.9439252000000002E-2</v>
      </c>
      <c r="I16" s="591">
        <v>5.7915057915057903E-2</v>
      </c>
      <c r="J16" s="592">
        <v>0.11661807580174928</v>
      </c>
      <c r="K16" s="591">
        <v>6.2322946175637391E-2</v>
      </c>
      <c r="L16" s="59">
        <v>3.9761431E-2</v>
      </c>
      <c r="M16" s="59">
        <v>3.1683167999999998E-2</v>
      </c>
      <c r="N16" s="59">
        <v>4.2432814999999999E-2</v>
      </c>
      <c r="O16" s="59">
        <v>4.3999999999999997E-2</v>
      </c>
      <c r="P16" s="1560">
        <f t="shared" ref="P16:AD16" si="15">IF(selSchedule=$P$1,Q80,IF(selSchedule=$Q$1,Q108,IF(selSchedule=$R$1,Q136,"Error")))</f>
        <v>5.2114343029087254E-2</v>
      </c>
      <c r="Q16" s="1560">
        <f t="shared" si="15"/>
        <v>3.746107784431138E-2</v>
      </c>
      <c r="R16" s="1560">
        <f t="shared" si="15"/>
        <v>4.0844415844415852E-2</v>
      </c>
      <c r="S16" s="1560">
        <f t="shared" si="15"/>
        <v>4.6000000000000013E-2</v>
      </c>
      <c r="T16" s="1560">
        <f t="shared" si="15"/>
        <v>2.5424724826519442E-2</v>
      </c>
      <c r="U16" s="1560">
        <f t="shared" si="15"/>
        <v>3.4534534534534533E-2</v>
      </c>
      <c r="V16" s="1560">
        <f t="shared" si="15"/>
        <v>2.8461077844311379E-2</v>
      </c>
      <c r="W16" s="1560">
        <f t="shared" si="15"/>
        <v>9.4865403788634093E-3</v>
      </c>
      <c r="X16" s="1560">
        <f t="shared" si="15"/>
        <v>5.8385250922564372E-2</v>
      </c>
      <c r="Y16" s="1560">
        <f t="shared" si="15"/>
        <v>2.4345486169378962E-2</v>
      </c>
      <c r="Z16" s="1560">
        <f t="shared" si="15"/>
        <v>2.4345486169378962E-2</v>
      </c>
      <c r="AA16" s="1560">
        <f t="shared" si="15"/>
        <v>4.3880715705765419E-2</v>
      </c>
      <c r="AB16" s="1560">
        <f t="shared" si="15"/>
        <v>4.3880715705765391E-2</v>
      </c>
      <c r="AC16" s="1560">
        <f t="shared" si="15"/>
        <v>3.2500000000000001E-2</v>
      </c>
      <c r="AD16" s="1560">
        <f t="shared" si="15"/>
        <v>2.3696682464454978E-2</v>
      </c>
      <c r="AE16" s="59">
        <v>4.1165048543689318E-2</v>
      </c>
      <c r="AF16" s="591">
        <f t="shared" si="6"/>
        <v>4.9354760598762371E-2</v>
      </c>
      <c r="AG16" s="591">
        <f t="shared" si="7"/>
        <v>6.3542097640108722E-2</v>
      </c>
      <c r="AH16" s="61">
        <f t="shared" si="1"/>
        <v>0.88309589041095882</v>
      </c>
      <c r="AI16" s="60">
        <f>$AH16*NewConst!$E$400*N_occ</f>
        <v>512.90209315068489</v>
      </c>
      <c r="AJ16" s="60">
        <f>$AH16*NewConst!$E$401*N_occ</f>
        <v>382.34519671232869</v>
      </c>
      <c r="AK16" s="58">
        <f>IF(NewConst!$F$203=NewConst!$I$203,'Detailed Lighting'!BD18,Lighting!BH28)</f>
        <v>4.7225844522917025E-2</v>
      </c>
      <c r="AL16" s="59">
        <f>IF(NewConst!$F$203=NewConst!$I$203,'Detailed Lighting'!BE18,Lighting!BI28)</f>
        <v>4.5649765912749912E-2</v>
      </c>
      <c r="AM16" s="59">
        <f>IF(NewConst!$F$203=NewConst!$I$203,'Detailed Lighting'!BF18,Lighting!BJ28)</f>
        <v>3.8865033610421922E-2</v>
      </c>
      <c r="AN16" s="59">
        <f>IF(NewConst!$F$203=NewConst!$I$203,'Detailed Lighting'!BG18,Lighting!BK28)</f>
        <v>5.249606974135828E-2</v>
      </c>
      <c r="AO16" s="59">
        <f>IF(NewConst!$F$203=NewConst!$I$203,'Detailed Lighting'!BH18,Lighting!BL28)</f>
        <v>4.4692114385792604E-2</v>
      </c>
      <c r="AP16" s="59">
        <f>IF(NewConst!$F$203=NewConst!$I$203,'Detailed Lighting'!BI18,Lighting!BM28)</f>
        <v>4.2746686533482472E-2</v>
      </c>
      <c r="AQ16" s="59">
        <f>IF(NewConst!$F$203=NewConst!$I$203,'Detailed Lighting'!BJ18,Lighting!BN28)</f>
        <v>4.6370307879795188E-2</v>
      </c>
      <c r="AR16" s="59">
        <f>IF(NewConst!$F$203=NewConst!$I$203,'Detailed Lighting'!BK18,Lighting!BO28)</f>
        <v>5.1116723467765593E-2</v>
      </c>
      <c r="AS16" s="59">
        <f>IF(NewConst!$F$203=NewConst!$I$203,'Detailed Lighting'!BL18,Lighting!BP28)</f>
        <v>5.34263873045146E-2</v>
      </c>
      <c r="AT16" s="59">
        <f>IF(NewConst!$F$203=NewConst!$I$203,'Detailed Lighting'!BM18,Lighting!BQ28)</f>
        <v>5.4787329411307248E-2</v>
      </c>
      <c r="AU16" s="59">
        <f>IF(NewConst!$F$203=NewConst!$I$203,'Detailed Lighting'!BN18,Lighting!BR28)</f>
        <v>3.740241159181E-2</v>
      </c>
      <c r="AV16" s="59">
        <f>IF(NewConst!$F$203=NewConst!$I$203,'Detailed Lighting'!BO18,Lighting!BS28)</f>
        <v>4.287035183867114E-2</v>
      </c>
      <c r="AW16" s="729">
        <f>IF(NewConst!$F$203=NewConst!$I$203,'Detailed Lighting'!BP18,Lighting!BG28)</f>
        <v>4.6123035655756331E-2</v>
      </c>
      <c r="AX16" s="34"/>
      <c r="AY16" s="13"/>
      <c r="AZ16" s="15"/>
      <c r="BA16" s="38">
        <v>8</v>
      </c>
      <c r="BB16" s="745">
        <v>3.7388593343930306E-2</v>
      </c>
      <c r="BC16" s="745">
        <v>4.1666666666666664E-2</v>
      </c>
      <c r="BD16" s="745">
        <v>3.7388593343930306E-2</v>
      </c>
      <c r="BE16" s="745">
        <v>2.3547512283079722E-2</v>
      </c>
      <c r="BF16" s="745">
        <v>0</v>
      </c>
      <c r="BG16" s="745">
        <v>1.6822429906542057E-2</v>
      </c>
      <c r="BH16" s="745">
        <v>3.5137034434293744E-2</v>
      </c>
      <c r="BI16" s="745">
        <v>4.1666666666666664E-2</v>
      </c>
      <c r="BJ16" s="746">
        <v>6.8965517241379309E-2</v>
      </c>
      <c r="BK16" s="745">
        <v>5.8823529411764705E-2</v>
      </c>
      <c r="BL16" s="745">
        <v>9.5238095238095233E-2</v>
      </c>
      <c r="BM16" s="745">
        <v>7.1428571428571425E-2</v>
      </c>
      <c r="BN16" s="745">
        <v>7.1428571428571425E-2</v>
      </c>
      <c r="BO16" s="745">
        <v>3.1683167999999998E-2</v>
      </c>
      <c r="BP16" s="745">
        <v>1.6822429906542057E-2</v>
      </c>
      <c r="BQ16" s="1331">
        <v>0</v>
      </c>
      <c r="BR16" s="745">
        <v>4.1666666666666664E-2</v>
      </c>
      <c r="BS16" s="2189"/>
      <c r="BT16" s="745" t="str">
        <f>IF(AVERAGE('Sunrise Calc'!$G$2:$G$13)&gt;'Hourly Profiles'!BA16, 1/12, "0.000")</f>
        <v>0.000</v>
      </c>
      <c r="BU16" s="745">
        <v>4.1165048543689318E-2</v>
      </c>
      <c r="BV16" s="745">
        <f t="shared" si="8"/>
        <v>4.990987367564155E-2</v>
      </c>
      <c r="BW16" s="745">
        <f t="shared" si="9"/>
        <v>2.3547512283079431E-2</v>
      </c>
      <c r="BX16" s="758">
        <f t="shared" si="2"/>
        <v>0.4836789428926539</v>
      </c>
      <c r="BY16" s="747">
        <f>$BX16*NewConst!$F$250*BY$7</f>
        <v>1209.1973572316349</v>
      </c>
      <c r="BZ16" s="747">
        <f>$BX16*NewConst!$F$250*BZ$7</f>
        <v>967.35788578530787</v>
      </c>
      <c r="CA16" s="756">
        <f t="shared" si="3"/>
        <v>0</v>
      </c>
      <c r="CB16" s="747">
        <f>$CA16*CB$7*NewConst!$E$407</f>
        <v>0</v>
      </c>
      <c r="CC16" s="747">
        <f>$CA16*CC$7*NewConst!$E$407</f>
        <v>0</v>
      </c>
      <c r="CD16" s="756">
        <f t="shared" si="4"/>
        <v>1</v>
      </c>
      <c r="CE16" s="747">
        <f>$CD16*CE$7*NewConst!$F$419</f>
        <v>2130</v>
      </c>
      <c r="CF16" s="747">
        <f>$CD16*CF$7*NewConst!$F$419</f>
        <v>3270</v>
      </c>
      <c r="CG16" s="756">
        <v>0.5</v>
      </c>
      <c r="CH16" s="747">
        <f>$CG16*CH$7*NewConst!$E$413</f>
        <v>40.425000000000004</v>
      </c>
      <c r="CI16" s="748">
        <f>$CG16*CI$7*NewConst!$E$413</f>
        <v>25.575000000000003</v>
      </c>
    </row>
    <row r="17" spans="2:87">
      <c r="B17" s="15"/>
      <c r="C17" s="32">
        <v>9</v>
      </c>
      <c r="D17" s="58">
        <v>2.4728556254600131E-2</v>
      </c>
      <c r="E17" s="59">
        <v>2.1999999999999999E-2</v>
      </c>
      <c r="F17" s="59">
        <v>7.2897195999999997E-2</v>
      </c>
      <c r="G17" s="59">
        <v>5.8020478E-2</v>
      </c>
      <c r="H17" s="59">
        <v>7.6323987999999995E-2</v>
      </c>
      <c r="I17" s="591">
        <v>6.5637065637065631E-2</v>
      </c>
      <c r="J17" s="592">
        <v>9.4752186588921289E-2</v>
      </c>
      <c r="K17" s="591">
        <v>6.5722379603399425E-2</v>
      </c>
      <c r="L17" s="59">
        <v>4.0613462000000003E-2</v>
      </c>
      <c r="M17" s="59">
        <v>4.8316831999999997E-2</v>
      </c>
      <c r="N17" s="59">
        <v>4.5968883000000002E-2</v>
      </c>
      <c r="O17" s="59">
        <v>3.6999999999999998E-2</v>
      </c>
      <c r="P17" s="1560">
        <f t="shared" ref="P17:AD17" si="16">IF(selSchedule=$P$1,Q81,IF(selSchedule=$Q$1,Q109,IF(selSchedule=$R$1,Q137,"Error")))</f>
        <v>5.4603811434302908E-2</v>
      </c>
      <c r="Q17" s="1560">
        <f t="shared" si="16"/>
        <v>3.7961077844311381E-2</v>
      </c>
      <c r="R17" s="1560">
        <f t="shared" si="16"/>
        <v>4.1344916344916341E-2</v>
      </c>
      <c r="S17" s="1560">
        <f t="shared" si="16"/>
        <v>4.3500000000000011E-2</v>
      </c>
      <c r="T17" s="1560">
        <f t="shared" si="16"/>
        <v>5.2393767747705933E-2</v>
      </c>
      <c r="U17" s="1560">
        <f t="shared" si="16"/>
        <v>6.4491137844431251E-2</v>
      </c>
      <c r="V17" s="1560">
        <f t="shared" si="16"/>
        <v>4.3441117764471057E-2</v>
      </c>
      <c r="W17" s="1560">
        <f t="shared" si="16"/>
        <v>1.7971585244267195E-2</v>
      </c>
      <c r="X17" s="1560">
        <f t="shared" si="16"/>
        <v>6.1370325549430046E-2</v>
      </c>
      <c r="Y17" s="1560">
        <f t="shared" si="16"/>
        <v>2.3844026210167003E-2</v>
      </c>
      <c r="Z17" s="1560">
        <f t="shared" si="16"/>
        <v>2.3844026210167006E-2</v>
      </c>
      <c r="AA17" s="1560">
        <f t="shared" si="16"/>
        <v>8.4279324055666016E-2</v>
      </c>
      <c r="AB17" s="1560">
        <f t="shared" si="16"/>
        <v>8.4279324055665988E-2</v>
      </c>
      <c r="AC17" s="1560">
        <f t="shared" si="16"/>
        <v>3.2500000000000001E-2</v>
      </c>
      <c r="AD17" s="1560">
        <f t="shared" si="16"/>
        <v>2.3696682464454978E-2</v>
      </c>
      <c r="AE17" s="59">
        <v>4.1941747572815533E-2</v>
      </c>
      <c r="AF17" s="591">
        <f t="shared" si="6"/>
        <v>4.628262256166403E-2</v>
      </c>
      <c r="AG17" s="591">
        <f t="shared" si="7"/>
        <v>6.0907238725818366E-2</v>
      </c>
      <c r="AH17" s="61">
        <f t="shared" si="1"/>
        <v>0.4086095702758491</v>
      </c>
      <c r="AI17" s="60">
        <f>$AH17*NewConst!$E$400*N_occ</f>
        <v>237.32043841621316</v>
      </c>
      <c r="AJ17" s="60">
        <f>$AH17*NewConst!$E$401*N_occ</f>
        <v>176.91159954663163</v>
      </c>
      <c r="AK17" s="58">
        <f>IF(NewConst!$F$203=NewConst!$I$203,'Detailed Lighting'!BD19,Lighting!BH29)</f>
        <v>4.5119493768682795E-2</v>
      </c>
      <c r="AL17" s="59">
        <f>IF(NewConst!$F$203=NewConst!$I$203,'Detailed Lighting'!BE19,Lighting!BI29)</f>
        <v>4.0730939199668373E-2</v>
      </c>
      <c r="AM17" s="59">
        <f>IF(NewConst!$F$203=NewConst!$I$203,'Detailed Lighting'!BF19,Lighting!BJ29)</f>
        <v>3.1370516916852935E-2</v>
      </c>
      <c r="AN17" s="59">
        <f>IF(NewConst!$F$203=NewConst!$I$203,'Detailed Lighting'!BG19,Lighting!BK29)</f>
        <v>4.164800661769371E-2</v>
      </c>
      <c r="AO17" s="59">
        <f>IF(NewConst!$F$203=NewConst!$I$203,'Detailed Lighting'!BH19,Lighting!BL29)</f>
        <v>3.3673815186028105E-2</v>
      </c>
      <c r="AP17" s="59">
        <f>IF(NewConst!$F$203=NewConst!$I$203,'Detailed Lighting'!BI19,Lighting!BM29)</f>
        <v>3.1829071428418822E-2</v>
      </c>
      <c r="AQ17" s="59">
        <f>IF(NewConst!$F$203=NewConst!$I$203,'Detailed Lighting'!BJ19,Lighting!BN29)</f>
        <v>3.4895017356187205E-2</v>
      </c>
      <c r="AR17" s="59">
        <f>IF(NewConst!$F$203=NewConst!$I$203,'Detailed Lighting'!BK19,Lighting!BO29)</f>
        <v>3.9921780545311848E-2</v>
      </c>
      <c r="AS17" s="59">
        <f>IF(NewConst!$F$203=NewConst!$I$203,'Detailed Lighting'!BL19,Lighting!BP29)</f>
        <v>4.4427415355229052E-2</v>
      </c>
      <c r="AT17" s="59">
        <f>IF(NewConst!$F$203=NewConst!$I$203,'Detailed Lighting'!BM19,Lighting!BQ29)</f>
        <v>4.9090118439820925E-2</v>
      </c>
      <c r="AU17" s="59">
        <f>IF(NewConst!$F$203=NewConst!$I$203,'Detailed Lighting'!BN19,Lighting!BR29)</f>
        <v>3.6056453966279205E-2</v>
      </c>
      <c r="AV17" s="59">
        <f>IF(NewConst!$F$203=NewConst!$I$203,'Detailed Lighting'!BO19,Lighting!BS29)</f>
        <v>4.2474794205498996E-2</v>
      </c>
      <c r="AW17" s="729">
        <f>IF(NewConst!$F$203=NewConst!$I$203,'Detailed Lighting'!BP19,Lighting!BG29)</f>
        <v>3.9956588261754224E-2</v>
      </c>
      <c r="AX17" s="34"/>
      <c r="AY17" s="13"/>
      <c r="AZ17" s="15"/>
      <c r="BA17" s="38">
        <v>9</v>
      </c>
      <c r="BB17" s="745">
        <v>5.0844239393186261E-2</v>
      </c>
      <c r="BC17" s="745">
        <v>4.1666666666666664E-2</v>
      </c>
      <c r="BD17" s="745">
        <v>5.0844239393186261E-2</v>
      </c>
      <c r="BE17" s="745">
        <v>3.8136087136368749E-2</v>
      </c>
      <c r="BF17" s="745">
        <v>0.11764705882352941</v>
      </c>
      <c r="BG17" s="745">
        <v>8.411214953271029E-2</v>
      </c>
      <c r="BH17" s="745">
        <v>7.0274068868587489E-2</v>
      </c>
      <c r="BI17" s="745">
        <v>4.1666666666666664E-2</v>
      </c>
      <c r="BJ17" s="746">
        <v>6.8965517241379309E-2</v>
      </c>
      <c r="BK17" s="745">
        <v>5.8823529411764705E-2</v>
      </c>
      <c r="BL17" s="745">
        <v>9.5238095238095233E-2</v>
      </c>
      <c r="BM17" s="745">
        <v>7.1428571428571425E-2</v>
      </c>
      <c r="BN17" s="745">
        <v>7.1428571428571425E-2</v>
      </c>
      <c r="BO17" s="745">
        <v>4.8316831999999997E-2</v>
      </c>
      <c r="BP17" s="745">
        <v>8.411214953271029E-2</v>
      </c>
      <c r="BQ17" s="1330">
        <f>1/9</f>
        <v>0.1111111111111111</v>
      </c>
      <c r="BR17" s="745">
        <v>4.1666666666666664E-2</v>
      </c>
      <c r="BS17" s="2189"/>
      <c r="BT17" s="745" t="str">
        <f>IF(AVERAGE('Sunrise Calc'!$G$2:$G$13)&gt;'Hourly Profiles'!BA17, 1/12, "0.000")</f>
        <v>0.000</v>
      </c>
      <c r="BU17" s="745">
        <v>4.1941747572815533E-2</v>
      </c>
      <c r="BV17" s="745">
        <f t="shared" si="8"/>
        <v>7.870041584908391E-2</v>
      </c>
      <c r="BW17" s="745">
        <f t="shared" si="9"/>
        <v>3.8136087136368277E-2</v>
      </c>
      <c r="BX17" s="758">
        <f t="shared" si="2"/>
        <v>0.65774841368483028</v>
      </c>
      <c r="BY17" s="747">
        <f>$BX17*NewConst!$F$250*BY$7</f>
        <v>1644.3710342120758</v>
      </c>
      <c r="BZ17" s="747">
        <f>$BX17*NewConst!$F$250*BZ$7</f>
        <v>1315.4968273696604</v>
      </c>
      <c r="CA17" s="756">
        <f t="shared" si="3"/>
        <v>1</v>
      </c>
      <c r="CB17" s="747">
        <f>$CA17*CB$7*NewConst!$E$407</f>
        <v>750</v>
      </c>
      <c r="CC17" s="747">
        <f>$CA17*CC$7*NewConst!$E$407</f>
        <v>600</v>
      </c>
      <c r="CD17" s="756">
        <f t="shared" si="4"/>
        <v>1</v>
      </c>
      <c r="CE17" s="747">
        <f>$CD17*CE$7*NewConst!$F$419</f>
        <v>2130</v>
      </c>
      <c r="CF17" s="747">
        <f>$CD17*CF$7*NewConst!$F$419</f>
        <v>3270</v>
      </c>
      <c r="CG17" s="756">
        <v>0.5</v>
      </c>
      <c r="CH17" s="747">
        <f>$CG17*CH$7*NewConst!$E$413</f>
        <v>40.425000000000004</v>
      </c>
      <c r="CI17" s="748">
        <f>$CG17*CI$7*NewConst!$E$413</f>
        <v>25.575000000000003</v>
      </c>
    </row>
    <row r="18" spans="2:87">
      <c r="B18" s="15"/>
      <c r="C18" s="32">
        <v>10</v>
      </c>
      <c r="D18" s="58">
        <v>1.4638755684462032E-2</v>
      </c>
      <c r="E18" s="59">
        <v>1.4999999999999999E-2</v>
      </c>
      <c r="F18" s="59">
        <v>8.5981308000000006E-2</v>
      </c>
      <c r="G18" s="59">
        <v>6.4846416000000004E-2</v>
      </c>
      <c r="H18" s="59">
        <v>6.6978193000000005E-2</v>
      </c>
      <c r="I18" s="591">
        <v>5.7915057915057903E-2</v>
      </c>
      <c r="J18" s="592">
        <v>7.4344023323615172E-2</v>
      </c>
      <c r="K18" s="591">
        <v>6.175637393767705E-2</v>
      </c>
      <c r="L18" s="59">
        <v>4.1181482999999998E-2</v>
      </c>
      <c r="M18" s="59">
        <v>6.8118812000000001E-2</v>
      </c>
      <c r="N18" s="59">
        <v>4.8090523000000003E-2</v>
      </c>
      <c r="O18" s="59">
        <v>3.2000000000000001E-2</v>
      </c>
      <c r="P18" s="1560">
        <f t="shared" ref="P18:AD18" si="17">IF(selSchedule=$P$1,Q82,IF(selSchedule=$Q$1,Q110,IF(selSchedule=$R$1,Q138,"Error")))</f>
        <v>5.8094784353059176E-2</v>
      </c>
      <c r="Q18" s="1560">
        <f t="shared" si="17"/>
        <v>3.9460079840319365E-2</v>
      </c>
      <c r="R18" s="1560">
        <f t="shared" si="17"/>
        <v>4.2345917345917347E-2</v>
      </c>
      <c r="S18" s="1560">
        <f t="shared" si="17"/>
        <v>4.1000000000000009E-2</v>
      </c>
      <c r="T18" s="1560">
        <f t="shared" si="17"/>
        <v>7.8863310169391923E-2</v>
      </c>
      <c r="U18" s="1560">
        <f t="shared" si="17"/>
        <v>9.4447741154327997E-2</v>
      </c>
      <c r="V18" s="1560">
        <f t="shared" si="17"/>
        <v>5.7422155688622759E-2</v>
      </c>
      <c r="W18" s="1560">
        <f t="shared" si="17"/>
        <v>2.6456630109670986E-2</v>
      </c>
      <c r="X18" s="1560">
        <f t="shared" si="17"/>
        <v>6.3857887738484775E-2</v>
      </c>
      <c r="Y18" s="1560">
        <f t="shared" si="17"/>
        <v>1.9375307242937609E-2</v>
      </c>
      <c r="Z18" s="1560">
        <f t="shared" si="17"/>
        <v>1.9375307242937609E-2</v>
      </c>
      <c r="AA18" s="1560">
        <f t="shared" si="17"/>
        <v>0.12066003976143144</v>
      </c>
      <c r="AB18" s="1560">
        <f t="shared" si="17"/>
        <v>0.12066003976143139</v>
      </c>
      <c r="AC18" s="1560">
        <f t="shared" si="17"/>
        <v>3.2000000000000001E-2</v>
      </c>
      <c r="AD18" s="1560">
        <f t="shared" si="17"/>
        <v>2.3696682464454978E-2</v>
      </c>
      <c r="AE18" s="59">
        <v>4.2718446601941747E-2</v>
      </c>
      <c r="AF18" s="591">
        <f t="shared" si="6"/>
        <v>4.2931302750646758E-2</v>
      </c>
      <c r="AG18" s="591">
        <f t="shared" si="7"/>
        <v>5.7352461345219499E-2</v>
      </c>
      <c r="AH18" s="61">
        <f t="shared" si="1"/>
        <v>0.24188778382435727</v>
      </c>
      <c r="AI18" s="60">
        <f>$AH18*NewConst!$E$400*N_occ</f>
        <v>140.4884248451867</v>
      </c>
      <c r="AJ18" s="60">
        <f>$AH18*NewConst!$E$401*N_occ</f>
        <v>104.72773488459373</v>
      </c>
      <c r="AK18" s="58">
        <f>IF(NewConst!$F$203=NewConst!$I$203,'Detailed Lighting'!BD20,Lighting!BH30)</f>
        <v>2.3129432937109194E-2</v>
      </c>
      <c r="AL18" s="59">
        <f>IF(NewConst!$F$203=NewConst!$I$203,'Detailed Lighting'!BE20,Lighting!BI30)</f>
        <v>2.0449538374867432E-2</v>
      </c>
      <c r="AM18" s="59">
        <f>IF(NewConst!$F$203=NewConst!$I$203,'Detailed Lighting'!BF20,Lighting!BJ30)</f>
        <v>1.6220507670313872E-2</v>
      </c>
      <c r="AN18" s="59">
        <f>IF(NewConst!$F$203=NewConst!$I$203,'Detailed Lighting'!BG20,Lighting!BK30)</f>
        <v>2.021243666021097E-2</v>
      </c>
      <c r="AO18" s="59">
        <f>IF(NewConst!$F$203=NewConst!$I$203,'Detailed Lighting'!BH20,Lighting!BL30)</f>
        <v>1.8163598674242113E-2</v>
      </c>
      <c r="AP18" s="59">
        <f>IF(NewConst!$F$203=NewConst!$I$203,'Detailed Lighting'!BI20,Lighting!BM30)</f>
        <v>1.8187373472853867E-2</v>
      </c>
      <c r="AQ18" s="59">
        <f>IF(NewConst!$F$203=NewConst!$I$203,'Detailed Lighting'!BJ20,Lighting!BN30)</f>
        <v>1.8929925966292581E-2</v>
      </c>
      <c r="AR18" s="59">
        <f>IF(NewConst!$F$203=NewConst!$I$203,'Detailed Lighting'!BK20,Lighting!BO30)</f>
        <v>1.9960213782293488E-2</v>
      </c>
      <c r="AS18" s="59">
        <f>IF(NewConst!$F$203=NewConst!$I$203,'Detailed Lighting'!BL20,Lighting!BP30)</f>
        <v>2.1514112739470612E-2</v>
      </c>
      <c r="AT18" s="59">
        <f>IF(NewConst!$F$203=NewConst!$I$203,'Detailed Lighting'!BM20,Lighting!BQ30)</f>
        <v>2.3954160871937406E-2</v>
      </c>
      <c r="AU18" s="59">
        <f>IF(NewConst!$F$203=NewConst!$I$203,'Detailed Lighting'!BN20,Lighting!BR30)</f>
        <v>2.0023256238411932E-2</v>
      </c>
      <c r="AV18" s="59">
        <f>IF(NewConst!$F$203=NewConst!$I$203,'Detailed Lighting'!BO20,Lighting!BS30)</f>
        <v>2.2819377248412605E-2</v>
      </c>
      <c r="AW18" s="729">
        <f>IF(NewConst!$F$203=NewConst!$I$203,'Detailed Lighting'!BP20,Lighting!BG30)</f>
        <v>2.0646600373843985E-2</v>
      </c>
      <c r="AX18" s="34"/>
      <c r="AY18" s="13"/>
      <c r="AZ18" s="15"/>
      <c r="BA18" s="38">
        <v>10</v>
      </c>
      <c r="BB18" s="745">
        <v>5.6409041526672234E-2</v>
      </c>
      <c r="BC18" s="745">
        <v>4.1666666666666664E-2</v>
      </c>
      <c r="BD18" s="745">
        <v>5.6409041526672234E-2</v>
      </c>
      <c r="BE18" s="745">
        <v>5.1860746031402186E-2</v>
      </c>
      <c r="BF18" s="745">
        <v>0.11764705882352941</v>
      </c>
      <c r="BG18" s="745">
        <v>8.411214953271029E-2</v>
      </c>
      <c r="BH18" s="745">
        <v>7.0274068868587489E-2</v>
      </c>
      <c r="BI18" s="745">
        <v>4.1666666666666664E-2</v>
      </c>
      <c r="BJ18" s="746">
        <v>6.8965517241379309E-2</v>
      </c>
      <c r="BK18" s="745">
        <v>5.8823529411764705E-2</v>
      </c>
      <c r="BL18" s="745">
        <v>4.7619047619047616E-2</v>
      </c>
      <c r="BM18" s="745">
        <v>0.14285714285714285</v>
      </c>
      <c r="BN18" s="745">
        <v>0.14285714285714285</v>
      </c>
      <c r="BO18" s="745">
        <v>6.8118812000000001E-2</v>
      </c>
      <c r="BP18" s="745">
        <v>8.411214953271029E-2</v>
      </c>
      <c r="BQ18" s="1330">
        <f t="shared" ref="BQ18:BQ25" si="18">1/9</f>
        <v>0.1111111111111111</v>
      </c>
      <c r="BR18" s="745">
        <v>4.1666666666666664E-2</v>
      </c>
      <c r="BS18" s="2189"/>
      <c r="BT18" s="745" t="str">
        <f>IF(AVERAGE('Sunrise Calc'!$G$2:$G$13)&gt;'Hourly Profiles'!BA18, 1/12, "0.000")</f>
        <v>0.000</v>
      </c>
      <c r="BU18" s="745">
        <v>4.2718446601941747E-2</v>
      </c>
      <c r="BV18" s="745">
        <f t="shared" si="8"/>
        <v>6.495554277717866E-2</v>
      </c>
      <c r="BW18" s="745">
        <f t="shared" si="9"/>
        <v>5.1860746031401547E-2</v>
      </c>
      <c r="BX18" s="758">
        <f t="shared" si="2"/>
        <v>0.72973768561522856</v>
      </c>
      <c r="BY18" s="747">
        <f>$BX18*NewConst!$F$250*BY$7</f>
        <v>1824.3442140380714</v>
      </c>
      <c r="BZ18" s="747">
        <f>$BX18*NewConst!$F$250*BZ$7</f>
        <v>1459.4753712304571</v>
      </c>
      <c r="CA18" s="756">
        <f t="shared" si="3"/>
        <v>1</v>
      </c>
      <c r="CB18" s="747">
        <f>$CA18*CB$7*NewConst!$E$407</f>
        <v>750</v>
      </c>
      <c r="CC18" s="747">
        <f>$CA18*CC$7*NewConst!$E$407</f>
        <v>600</v>
      </c>
      <c r="CD18" s="756">
        <f t="shared" si="4"/>
        <v>1</v>
      </c>
      <c r="CE18" s="747">
        <f>$CD18*CE$7*NewConst!$F$419</f>
        <v>2130</v>
      </c>
      <c r="CF18" s="747">
        <f>$CD18*CF$7*NewConst!$F$419</f>
        <v>3270</v>
      </c>
      <c r="CG18" s="756">
        <v>1</v>
      </c>
      <c r="CH18" s="747">
        <f>$CG18*CH$7*NewConst!$E$413</f>
        <v>80.850000000000009</v>
      </c>
      <c r="CI18" s="748">
        <f>$CG18*CI$7*NewConst!$E$413</f>
        <v>51.150000000000006</v>
      </c>
    </row>
    <row r="19" spans="2:87">
      <c r="B19" s="15"/>
      <c r="C19" s="32">
        <v>11</v>
      </c>
      <c r="D19" s="58">
        <v>1.4638755684462032E-2</v>
      </c>
      <c r="E19" s="59">
        <v>1.4999999999999999E-2</v>
      </c>
      <c r="F19" s="59">
        <v>8.4112149999999997E-2</v>
      </c>
      <c r="G19" s="59">
        <v>5.6313993E-2</v>
      </c>
      <c r="H19" s="59">
        <v>6.0747664E-2</v>
      </c>
      <c r="I19" s="591">
        <v>4.6332046332046323E-2</v>
      </c>
      <c r="J19" s="592">
        <v>5.9766763848396506E-2</v>
      </c>
      <c r="K19" s="591">
        <v>5.4390934844192627E-2</v>
      </c>
      <c r="L19" s="59">
        <v>3.9761431E-2</v>
      </c>
      <c r="M19" s="59">
        <v>7.8019801999999999E-2</v>
      </c>
      <c r="N19" s="59">
        <v>4.2432814999999999E-2</v>
      </c>
      <c r="O19" s="59">
        <v>3.3000000000000002E-2</v>
      </c>
      <c r="P19" s="1560">
        <f t="shared" ref="P19:AD19" si="19">IF(selSchedule=$P$1,Q83,IF(selSchedule=$Q$1,Q111,IF(selSchedule=$R$1,Q139,"Error")))</f>
        <v>5.5079739217652954E-2</v>
      </c>
      <c r="Q19" s="1560">
        <f t="shared" si="19"/>
        <v>4.0459081836327349E-2</v>
      </c>
      <c r="R19" s="1560">
        <f t="shared" si="19"/>
        <v>4.1854354354354362E-2</v>
      </c>
      <c r="S19" s="1560">
        <f t="shared" si="19"/>
        <v>4.3500000000000011E-2</v>
      </c>
      <c r="T19" s="1560">
        <f t="shared" si="19"/>
        <v>7.3379760817447764E-2</v>
      </c>
      <c r="U19" s="1560">
        <f t="shared" si="19"/>
        <v>0.10141728554902209</v>
      </c>
      <c r="V19" s="1560">
        <f t="shared" si="19"/>
        <v>7.6419161676646724E-2</v>
      </c>
      <c r="W19" s="1560">
        <f t="shared" si="19"/>
        <v>3.2452143569292123E-2</v>
      </c>
      <c r="X19" s="1560">
        <f t="shared" si="19"/>
        <v>5.6350380230977264E-2</v>
      </c>
      <c r="Y19" s="1560">
        <f t="shared" si="19"/>
        <v>1.5403112605400369E-2</v>
      </c>
      <c r="Z19" s="1560">
        <f t="shared" si="19"/>
        <v>1.5403112605400369E-2</v>
      </c>
      <c r="AA19" s="1560">
        <f t="shared" si="19"/>
        <v>0.12708250497017895</v>
      </c>
      <c r="AB19" s="1560">
        <f t="shared" si="19"/>
        <v>0.12708250497017889</v>
      </c>
      <c r="AC19" s="1560">
        <f t="shared" si="19"/>
        <v>3.2500000000000001E-2</v>
      </c>
      <c r="AD19" s="1560">
        <f t="shared" si="19"/>
        <v>2.3696682464454978E-2</v>
      </c>
      <c r="AE19" s="59">
        <v>4.3495145631067961E-2</v>
      </c>
      <c r="AF19" s="591">
        <f t="shared" si="6"/>
        <v>4.1862555825060925E-2</v>
      </c>
      <c r="AG19" s="591">
        <f t="shared" si="7"/>
        <v>5.1484734684995766E-2</v>
      </c>
      <c r="AH19" s="61">
        <f t="shared" si="1"/>
        <v>0.24188778382435727</v>
      </c>
      <c r="AI19" s="60">
        <f>$AH19*NewConst!$E$400*N_occ</f>
        <v>140.4884248451867</v>
      </c>
      <c r="AJ19" s="60">
        <f>$AH19*NewConst!$E$401*N_occ</f>
        <v>104.72773488459373</v>
      </c>
      <c r="AK19" s="58">
        <f>IF(NewConst!$F$203=NewConst!$I$203,'Detailed Lighting'!BD21,Lighting!BH31)</f>
        <v>1.8832921804372297E-2</v>
      </c>
      <c r="AL19" s="59">
        <f>IF(NewConst!$F$203=NewConst!$I$203,'Detailed Lighting'!BE21,Lighting!BI31)</f>
        <v>1.6486872464178324E-2</v>
      </c>
      <c r="AM19" s="59">
        <f>IF(NewConst!$F$203=NewConst!$I$203,'Detailed Lighting'!BF21,Lighting!BJ31)</f>
        <v>1.3260434758857352E-2</v>
      </c>
      <c r="AN19" s="59">
        <f>IF(NewConst!$F$203=NewConst!$I$203,'Detailed Lighting'!BG21,Lighting!BK31)</f>
        <v>1.6024264300694369E-2</v>
      </c>
      <c r="AO19" s="59">
        <f>IF(NewConst!$F$203=NewConst!$I$203,'Detailed Lighting'!BH21,Lighting!BL31)</f>
        <v>1.5133146943141577E-2</v>
      </c>
      <c r="AP19" s="59">
        <f>IF(NewConst!$F$203=NewConst!$I$203,'Detailed Lighting'!BI21,Lighting!BM31)</f>
        <v>1.5522000803608518E-2</v>
      </c>
      <c r="AQ19" s="59">
        <f>IF(NewConst!$F$203=NewConst!$I$203,'Detailed Lighting'!BJ21,Lighting!BN31)</f>
        <v>1.5810598856776093E-2</v>
      </c>
      <c r="AR19" s="59">
        <f>IF(NewConst!$F$203=NewConst!$I$203,'Detailed Lighting'!BK21,Lighting!BO31)</f>
        <v>1.60600384039227E-2</v>
      </c>
      <c r="AS19" s="59">
        <f>IF(NewConst!$F$203=NewConst!$I$203,'Detailed Lighting'!BL21,Lighting!BP31)</f>
        <v>1.7037214720388105E-2</v>
      </c>
      <c r="AT19" s="59">
        <f>IF(NewConst!$F$203=NewConst!$I$203,'Detailed Lighting'!BM21,Lighting!BQ31)</f>
        <v>1.9042991123495848E-2</v>
      </c>
      <c r="AU19" s="59">
        <f>IF(NewConst!$F$203=NewConst!$I$203,'Detailed Lighting'!BN21,Lighting!BR31)</f>
        <v>1.6890622224401148E-2</v>
      </c>
      <c r="AV19" s="59">
        <f>IF(NewConst!$F$203=NewConst!$I$203,'Detailed Lighting'!BO21,Lighting!BS31)</f>
        <v>1.8979018714549285E-2</v>
      </c>
      <c r="AW19" s="729">
        <f>IF(NewConst!$F$203=NewConst!$I$203,'Detailed Lighting'!BP21,Lighting!BG31)</f>
        <v>1.6873733233144762E-2</v>
      </c>
      <c r="AX19" s="34"/>
      <c r="AY19" s="13"/>
      <c r="AZ19" s="15"/>
      <c r="BA19" s="38">
        <v>11</v>
      </c>
      <c r="BB19" s="745">
        <v>5.6473513336942067E-2</v>
      </c>
      <c r="BC19" s="745">
        <v>4.1666666666666664E-2</v>
      </c>
      <c r="BD19" s="745">
        <v>5.6473513336942067E-2</v>
      </c>
      <c r="BE19" s="745">
        <v>5.7536802819821681E-2</v>
      </c>
      <c r="BF19" s="745">
        <v>0.11764705882352941</v>
      </c>
      <c r="BG19" s="745">
        <v>8.411214953271029E-2</v>
      </c>
      <c r="BH19" s="745">
        <v>7.0274068868587489E-2</v>
      </c>
      <c r="BI19" s="745">
        <v>4.1666666666666664E-2</v>
      </c>
      <c r="BJ19" s="746">
        <v>6.8965517241379309E-2</v>
      </c>
      <c r="BK19" s="745">
        <v>5.8823529411764705E-2</v>
      </c>
      <c r="BL19" s="745">
        <v>4.7619047619047616E-2</v>
      </c>
      <c r="BM19" s="745">
        <v>7.1428571428571425E-2</v>
      </c>
      <c r="BN19" s="745">
        <v>7.1428571428571425E-2</v>
      </c>
      <c r="BO19" s="745">
        <v>7.8019801999999999E-2</v>
      </c>
      <c r="BP19" s="745">
        <v>8.411214953271029E-2</v>
      </c>
      <c r="BQ19" s="1330">
        <f t="shared" si="18"/>
        <v>0.1111111111111111</v>
      </c>
      <c r="BR19" s="745">
        <v>4.1666666666666664E-2</v>
      </c>
      <c r="BS19" s="2189"/>
      <c r="BT19" s="745" t="str">
        <f>IF(AVERAGE('Sunrise Calc'!$G$2:$G$13)&gt;'Hourly Profiles'!BA19, 1/12, "0.000")</f>
        <v>0.000</v>
      </c>
      <c r="BU19" s="745">
        <v>4.3495145631067961E-2</v>
      </c>
      <c r="BV19" s="745">
        <f t="shared" si="8"/>
        <v>6.5109349987194573E-2</v>
      </c>
      <c r="BW19" s="745">
        <f t="shared" si="9"/>
        <v>5.7536802819820966E-2</v>
      </c>
      <c r="BX19" s="758">
        <f t="shared" si="2"/>
        <v>0.7305717276116962</v>
      </c>
      <c r="BY19" s="747">
        <f>$BX19*NewConst!$F$250*BY$7</f>
        <v>1826.4293190292403</v>
      </c>
      <c r="BZ19" s="747">
        <f>$BX19*NewConst!$F$250*BZ$7</f>
        <v>1461.1434552233923</v>
      </c>
      <c r="CA19" s="756">
        <f t="shared" si="3"/>
        <v>1</v>
      </c>
      <c r="CB19" s="747">
        <f>$CA19*CB$7*NewConst!$E$407</f>
        <v>750</v>
      </c>
      <c r="CC19" s="747">
        <f>$CA19*CC$7*NewConst!$E$407</f>
        <v>600</v>
      </c>
      <c r="CD19" s="756">
        <f t="shared" si="4"/>
        <v>1</v>
      </c>
      <c r="CE19" s="747">
        <f>$CD19*CE$7*NewConst!$F$419</f>
        <v>2130</v>
      </c>
      <c r="CF19" s="747">
        <f>$CD19*CF$7*NewConst!$F$419</f>
        <v>3270</v>
      </c>
      <c r="CG19" s="756">
        <v>0.5</v>
      </c>
      <c r="CH19" s="747">
        <f>$CG19*CH$7*NewConst!$E$413</f>
        <v>40.425000000000004</v>
      </c>
      <c r="CI19" s="748">
        <f>$CG19*CI$7*NewConst!$E$413</f>
        <v>25.575000000000003</v>
      </c>
    </row>
    <row r="20" spans="2:87">
      <c r="B20" s="15"/>
      <c r="C20" s="32">
        <v>12</v>
      </c>
      <c r="D20" s="58">
        <v>1.4638755684462032E-2</v>
      </c>
      <c r="E20" s="59">
        <v>1.4999999999999999E-2</v>
      </c>
      <c r="F20" s="59">
        <v>7.4766355000000007E-2</v>
      </c>
      <c r="G20" s="59">
        <v>4.7781570000000002E-2</v>
      </c>
      <c r="H20" s="59">
        <v>4.8286603999999997E-2</v>
      </c>
      <c r="I20" s="591">
        <v>3.4749034749034742E-2</v>
      </c>
      <c r="J20" s="592">
        <v>4.7133138969873666E-2</v>
      </c>
      <c r="K20" s="591">
        <v>4.9858356940509913E-2</v>
      </c>
      <c r="L20" s="59">
        <v>3.9761431E-2</v>
      </c>
      <c r="M20" s="59">
        <v>8.1188119000000003E-2</v>
      </c>
      <c r="N20" s="59">
        <v>4.9504949999999999E-2</v>
      </c>
      <c r="O20" s="59">
        <v>3.3000000000000002E-2</v>
      </c>
      <c r="P20" s="1560">
        <f t="shared" ref="P20:AD20" si="20">IF(selSchedule=$P$1,Q84,IF(selSchedule=$Q$1,Q112,IF(selSchedule=$R$1,Q140,"Error")))</f>
        <v>5.1564694082246745E-2</v>
      </c>
      <c r="Q20" s="1560">
        <f t="shared" si="20"/>
        <v>4.2457085828343323E-2</v>
      </c>
      <c r="R20" s="1560">
        <f t="shared" si="20"/>
        <v>4.1863291863291865E-2</v>
      </c>
      <c r="S20" s="1560">
        <f t="shared" si="20"/>
        <v>4.6000000000000006E-2</v>
      </c>
      <c r="T20" s="1560">
        <f t="shared" si="20"/>
        <v>6.7896211465503592E-2</v>
      </c>
      <c r="U20" s="1560">
        <f t="shared" si="20"/>
        <v>0.10788782794770821</v>
      </c>
      <c r="V20" s="1560">
        <f t="shared" si="20"/>
        <v>9.4916167664670675E-2</v>
      </c>
      <c r="W20" s="1560">
        <f t="shared" si="20"/>
        <v>3.8447657028913257E-2</v>
      </c>
      <c r="X20" s="1560">
        <f t="shared" si="20"/>
        <v>5.0359314538419034E-2</v>
      </c>
      <c r="Y20" s="1560">
        <f t="shared" si="20"/>
        <v>1.3908110423852121E-2</v>
      </c>
      <c r="Z20" s="1560">
        <f t="shared" si="20"/>
        <v>1.3908110423852121E-2</v>
      </c>
      <c r="AA20" s="1560">
        <f t="shared" si="20"/>
        <v>0.12058250497017894</v>
      </c>
      <c r="AB20" s="1560">
        <f t="shared" si="20"/>
        <v>0.12058250497017889</v>
      </c>
      <c r="AC20" s="1560">
        <f t="shared" si="20"/>
        <v>3.3000000000000002E-2</v>
      </c>
      <c r="AD20" s="1560">
        <f t="shared" si="20"/>
        <v>2.3696682464454978E-2</v>
      </c>
      <c r="AE20" s="59">
        <v>4.4271844660194175E-2</v>
      </c>
      <c r="AF20" s="591">
        <f t="shared" si="6"/>
        <v>4.0198229158134154E-2</v>
      </c>
      <c r="AG20" s="591">
        <f t="shared" si="7"/>
        <v>4.9983397285859085E-2</v>
      </c>
      <c r="AH20" s="61">
        <f t="shared" si="1"/>
        <v>0.24188778382435727</v>
      </c>
      <c r="AI20" s="60">
        <f>$AH20*NewConst!$E$400*N_occ</f>
        <v>140.4884248451867</v>
      </c>
      <c r="AJ20" s="60">
        <f>$AH20*NewConst!$E$401*N_occ</f>
        <v>104.72773488459373</v>
      </c>
      <c r="AK20" s="58">
        <f>IF(NewConst!$F$203=NewConst!$I$203,'Detailed Lighting'!BD22,Lighting!BH32)</f>
        <v>1.8659613778098119E-2</v>
      </c>
      <c r="AL20" s="59">
        <f>IF(NewConst!$F$203=NewConst!$I$203,'Detailed Lighting'!BE22,Lighting!BI32)</f>
        <v>1.6327030725951982E-2</v>
      </c>
      <c r="AM20" s="59">
        <f>IF(NewConst!$F$203=NewConst!$I$203,'Detailed Lighting'!BF22,Lighting!BJ32)</f>
        <v>1.3141034534334859E-2</v>
      </c>
      <c r="AN20" s="59">
        <f>IF(NewConst!$F$203=NewConst!$I$203,'Detailed Lighting'!BG22,Lighting!BK32)</f>
        <v>1.5855326326859421E-2</v>
      </c>
      <c r="AO20" s="59">
        <f>IF(NewConst!$F$203=NewConst!$I$203,'Detailed Lighting'!BH22,Lighting!BL32)</f>
        <v>1.5010907853794303E-2</v>
      </c>
      <c r="AP20" s="59">
        <f>IF(NewConst!$F$203=NewConst!$I$203,'Detailed Lighting'!BI22,Lighting!BM32)</f>
        <v>1.5414487879209833E-2</v>
      </c>
      <c r="AQ20" s="59">
        <f>IF(NewConst!$F$203=NewConst!$I$203,'Detailed Lighting'!BJ22,Lighting!BN32)</f>
        <v>1.5684774808390711E-2</v>
      </c>
      <c r="AR20" s="59">
        <f>IF(NewConst!$F$203=NewConst!$I$203,'Detailed Lighting'!BK22,Lighting!BO32)</f>
        <v>1.5902717341305554E-2</v>
      </c>
      <c r="AS20" s="59">
        <f>IF(NewConst!$F$203=NewConst!$I$203,'Detailed Lighting'!BL22,Lighting!BP32)</f>
        <v>1.6856630442692141E-2</v>
      </c>
      <c r="AT20" s="59">
        <f>IF(NewConst!$F$203=NewConst!$I$203,'Detailed Lighting'!BM22,Lighting!BQ32)</f>
        <v>1.8844889661750616E-2</v>
      </c>
      <c r="AU20" s="59">
        <f>IF(NewConst!$F$203=NewConst!$I$203,'Detailed Lighting'!BN22,Lighting!BR32)</f>
        <v>1.6764261416472387E-2</v>
      </c>
      <c r="AV20" s="59">
        <f>IF(NewConst!$F$203=NewConst!$I$203,'Detailed Lighting'!BO22,Lighting!BS32)</f>
        <v>1.8824110479209729E-2</v>
      </c>
      <c r="AW20" s="729">
        <f>IF(NewConst!$F$203=NewConst!$I$203,'Detailed Lighting'!BP22,Lighting!BG32)</f>
        <v>1.6721547392738768E-2</v>
      </c>
      <c r="AX20" s="34"/>
      <c r="AY20" s="13"/>
      <c r="AZ20" s="15"/>
      <c r="BA20" s="38">
        <v>12</v>
      </c>
      <c r="BB20" s="745">
        <v>6.4589376512085184E-2</v>
      </c>
      <c r="BC20" s="745">
        <v>4.1666666666666664E-2</v>
      </c>
      <c r="BD20" s="745">
        <v>6.4589376512085184E-2</v>
      </c>
      <c r="BE20" s="745">
        <v>5.760256358679338E-2</v>
      </c>
      <c r="BF20" s="745">
        <v>0.11764705882352941</v>
      </c>
      <c r="BG20" s="745">
        <v>8.411214953271029E-2</v>
      </c>
      <c r="BH20" s="745">
        <v>7.0274068868587489E-2</v>
      </c>
      <c r="BI20" s="745">
        <v>4.1666666666666664E-2</v>
      </c>
      <c r="BJ20" s="746">
        <v>3.4482758620689655E-2</v>
      </c>
      <c r="BK20" s="745">
        <v>5.8823529411764705E-2</v>
      </c>
      <c r="BL20" s="745">
        <v>4.7619047619047616E-2</v>
      </c>
      <c r="BM20" s="745">
        <v>7.1428571428571425E-2</v>
      </c>
      <c r="BN20" s="745">
        <v>7.1428571428571425E-2</v>
      </c>
      <c r="BO20" s="745">
        <v>8.1188119000000003E-2</v>
      </c>
      <c r="BP20" s="745">
        <v>8.411214953271029E-2</v>
      </c>
      <c r="BQ20" s="1330">
        <f t="shared" si="18"/>
        <v>0.1111111111111111</v>
      </c>
      <c r="BR20" s="745">
        <v>4.1666666666666664E-2</v>
      </c>
      <c r="BS20" s="2189"/>
      <c r="BT20" s="745" t="str">
        <f>IF(AVERAGE('Sunrise Calc'!$G$2:$G$13)&gt;'Hourly Profiles'!BA20, 1/12, "0.000")</f>
        <v>0.000</v>
      </c>
      <c r="BU20" s="745">
        <v>4.4271844660194175E-2</v>
      </c>
      <c r="BV20" s="745">
        <f t="shared" si="8"/>
        <v>6.5178993214090042E-2</v>
      </c>
      <c r="BW20" s="745">
        <f t="shared" si="9"/>
        <v>5.7602563586792666E-2</v>
      </c>
      <c r="BX20" s="758">
        <f t="shared" si="2"/>
        <v>0.83556289657879257</v>
      </c>
      <c r="BY20" s="747">
        <f>$BX20*NewConst!$F$250*BY$7</f>
        <v>2088.9072414469815</v>
      </c>
      <c r="BZ20" s="747">
        <f>$BX20*NewConst!$F$250*BZ$7</f>
        <v>1671.1257931575851</v>
      </c>
      <c r="CA20" s="756">
        <f t="shared" si="3"/>
        <v>1</v>
      </c>
      <c r="CB20" s="747">
        <f>$CA20*CB$7*NewConst!$E$407</f>
        <v>750</v>
      </c>
      <c r="CC20" s="747">
        <f>$CA20*CC$7*NewConst!$E$407</f>
        <v>600</v>
      </c>
      <c r="CD20" s="756">
        <f t="shared" si="4"/>
        <v>0.5</v>
      </c>
      <c r="CE20" s="747">
        <f>$CD20*CE$7*NewConst!$F$419</f>
        <v>1065</v>
      </c>
      <c r="CF20" s="747">
        <f>$CD20*CF$7*NewConst!$F$419</f>
        <v>1635</v>
      </c>
      <c r="CG20" s="756">
        <v>0.5</v>
      </c>
      <c r="CH20" s="747">
        <f>$CG20*CH$7*NewConst!$E$413</f>
        <v>40.425000000000004</v>
      </c>
      <c r="CI20" s="748">
        <f>$CG20*CI$7*NewConst!$E$413</f>
        <v>25.575000000000003</v>
      </c>
    </row>
    <row r="21" spans="2:87">
      <c r="B21" s="15"/>
      <c r="C21" s="32">
        <v>13</v>
      </c>
      <c r="D21" s="58">
        <v>1.4638755684462032E-2</v>
      </c>
      <c r="E21" s="59">
        <v>1.4999999999999999E-2</v>
      </c>
      <c r="F21" s="59">
        <v>6.7289719999999997E-2</v>
      </c>
      <c r="G21" s="59">
        <v>4.0955630999999999E-2</v>
      </c>
      <c r="H21" s="59">
        <v>4.2056074999999998E-2</v>
      </c>
      <c r="I21" s="591">
        <v>3.0888030888030885E-2</v>
      </c>
      <c r="J21" s="592">
        <v>3.4013605442176874E-2</v>
      </c>
      <c r="K21" s="591">
        <v>4.8725212464589225E-2</v>
      </c>
      <c r="L21" s="59">
        <v>4.1749503E-2</v>
      </c>
      <c r="M21" s="59">
        <v>7.4059405999999994E-2</v>
      </c>
      <c r="N21" s="59">
        <v>5.6577085999999999E-2</v>
      </c>
      <c r="O21" s="59">
        <v>3.2000000000000001E-2</v>
      </c>
      <c r="P21" s="1560">
        <f t="shared" ref="P21:AD21" si="21">IF(selSchedule=$P$1,Q85,IF(selSchedule=$Q$1,Q113,IF(selSchedule=$R$1,Q141,"Error")))</f>
        <v>4.9560180541624879E-2</v>
      </c>
      <c r="Q21" s="1560">
        <f t="shared" si="21"/>
        <v>4.2457085828343323E-2</v>
      </c>
      <c r="R21" s="1560">
        <f t="shared" si="21"/>
        <v>4.2363792363792369E-2</v>
      </c>
      <c r="S21" s="1560">
        <f t="shared" si="21"/>
        <v>4.200000000000001E-2</v>
      </c>
      <c r="T21" s="1560">
        <f t="shared" si="21"/>
        <v>6.4895224416660111E-2</v>
      </c>
      <c r="U21" s="1560">
        <f t="shared" si="21"/>
        <v>8.0433727140313965E-2</v>
      </c>
      <c r="V21" s="1560">
        <f t="shared" si="21"/>
        <v>9.2426147704590816E-2</v>
      </c>
      <c r="W21" s="1560">
        <f t="shared" si="21"/>
        <v>3.9944666001994006E-2</v>
      </c>
      <c r="X21" s="1560">
        <f t="shared" si="21"/>
        <v>3.5910537403074733E-2</v>
      </c>
      <c r="Y21" s="1560">
        <f t="shared" si="21"/>
        <v>1.3908110423852121E-2</v>
      </c>
      <c r="Z21" s="1560">
        <f t="shared" si="21"/>
        <v>1.3908110423852121E-2</v>
      </c>
      <c r="AA21" s="1560">
        <f t="shared" si="21"/>
        <v>0.11958250497017896</v>
      </c>
      <c r="AB21" s="1560">
        <f t="shared" si="21"/>
        <v>0.11958250497017889</v>
      </c>
      <c r="AC21" s="1560">
        <f t="shared" si="21"/>
        <v>3.2000000000000001E-2</v>
      </c>
      <c r="AD21" s="1560">
        <f t="shared" si="21"/>
        <v>2.3696682464454978E-2</v>
      </c>
      <c r="AE21" s="59">
        <v>4.3495145631067961E-2</v>
      </c>
      <c r="AF21" s="591">
        <f t="shared" si="6"/>
        <v>3.8484950164046253E-2</v>
      </c>
      <c r="AG21" s="591">
        <f t="shared" si="7"/>
        <v>4.7354333507762372E-2</v>
      </c>
      <c r="AH21" s="61">
        <f t="shared" si="1"/>
        <v>0.24188778382435727</v>
      </c>
      <c r="AI21" s="60">
        <f>$AH21*NewConst!$E$400*N_occ</f>
        <v>140.4884248451867</v>
      </c>
      <c r="AJ21" s="60">
        <f>$AH21*NewConst!$E$401*N_occ</f>
        <v>104.72773488459373</v>
      </c>
      <c r="AK21" s="58">
        <f>IF(NewConst!$F$203=NewConst!$I$203,'Detailed Lighting'!BD23,Lighting!BH33)</f>
        <v>1.8664031157895226E-2</v>
      </c>
      <c r="AL21" s="59">
        <f>IF(NewConst!$F$203=NewConst!$I$203,'Detailed Lighting'!BE23,Lighting!BI33)</f>
        <v>1.6328453996544541E-2</v>
      </c>
      <c r="AM21" s="59">
        <f>IF(NewConst!$F$203=NewConst!$I$203,'Detailed Lighting'!BF23,Lighting!BJ33)</f>
        <v>1.3141631941761293E-2</v>
      </c>
      <c r="AN21" s="59">
        <f>IF(NewConst!$F$203=NewConst!$I$203,'Detailed Lighting'!BG23,Lighting!BK33)</f>
        <v>1.5853912626447912E-2</v>
      </c>
      <c r="AO21" s="59">
        <f>IF(NewConst!$F$203=NewConst!$I$203,'Detailed Lighting'!BH23,Lighting!BL33)</f>
        <v>1.5009898099194783E-2</v>
      </c>
      <c r="AP21" s="59">
        <f>IF(NewConst!$F$203=NewConst!$I$203,'Detailed Lighting'!BI23,Lighting!BM33)</f>
        <v>1.5413631346221802E-2</v>
      </c>
      <c r="AQ21" s="59">
        <f>IF(NewConst!$F$203=NewConst!$I$203,'Detailed Lighting'!BJ23,Lighting!BN33)</f>
        <v>1.5683758207973249E-2</v>
      </c>
      <c r="AR21" s="59">
        <f>IF(NewConst!$F$203=NewConst!$I$203,'Detailed Lighting'!BK23,Lighting!BO33)</f>
        <v>1.590141807163626E-2</v>
      </c>
      <c r="AS21" s="59">
        <f>IF(NewConst!$F$203=NewConst!$I$203,'Detailed Lighting'!BL23,Lighting!BP33)</f>
        <v>1.6855244219998174E-2</v>
      </c>
      <c r="AT21" s="59">
        <f>IF(NewConst!$F$203=NewConst!$I$203,'Detailed Lighting'!BM23,Lighting!BQ33)</f>
        <v>1.88438065240553E-2</v>
      </c>
      <c r="AU21" s="59">
        <f>IF(NewConst!$F$203=NewConst!$I$203,'Detailed Lighting'!BN23,Lighting!BR33)</f>
        <v>1.6783798971952479E-2</v>
      </c>
      <c r="AV21" s="59">
        <f>IF(NewConst!$F$203=NewConst!$I$203,'Detailed Lighting'!BO23,Lighting!BS33)</f>
        <v>1.8838991839394189E-2</v>
      </c>
      <c r="AW21" s="729">
        <f>IF(NewConst!$F$203=NewConst!$I$203,'Detailed Lighting'!BP23,Lighting!BG33)</f>
        <v>1.6725584413917419E-2</v>
      </c>
      <c r="AX21" s="34"/>
      <c r="AY21" s="13"/>
      <c r="AZ21" s="15"/>
      <c r="BA21" s="38">
        <v>13</v>
      </c>
      <c r="BB21" s="745">
        <v>6.2038315470428054E-2</v>
      </c>
      <c r="BC21" s="745">
        <v>4.1666666666666664E-2</v>
      </c>
      <c r="BD21" s="745">
        <v>6.2038315470428054E-2</v>
      </c>
      <c r="BE21" s="745">
        <v>6.5880683664406567E-2</v>
      </c>
      <c r="BF21" s="745">
        <v>5.8823529411764705E-2</v>
      </c>
      <c r="BG21" s="745">
        <v>7.4766355140186924E-2</v>
      </c>
      <c r="BH21" s="745">
        <v>6.605762473647224E-2</v>
      </c>
      <c r="BI21" s="745">
        <v>4.1666666666666664E-2</v>
      </c>
      <c r="BJ21" s="746">
        <v>0</v>
      </c>
      <c r="BK21" s="745">
        <v>5.8823529411764705E-2</v>
      </c>
      <c r="BL21" s="745">
        <v>0</v>
      </c>
      <c r="BM21" s="745">
        <v>7.1428571428571425E-2</v>
      </c>
      <c r="BN21" s="745">
        <v>7.1428571428571425E-2</v>
      </c>
      <c r="BO21" s="745">
        <v>7.4059405999999994E-2</v>
      </c>
      <c r="BP21" s="745">
        <v>7.4766355140186924E-2</v>
      </c>
      <c r="BQ21" s="1330">
        <f t="shared" si="18"/>
        <v>0.1111111111111111</v>
      </c>
      <c r="BR21" s="745">
        <v>4.1666666666666664E-2</v>
      </c>
      <c r="BS21" s="2189"/>
      <c r="BT21" s="745" t="str">
        <f>IF(AVERAGE('Sunrise Calc'!$G$2:$G$13)&gt;'Hourly Profiles'!BA21, 1/12, "0.000")</f>
        <v>0.000</v>
      </c>
      <c r="BU21" s="745">
        <v>4.3495145631067961E-2</v>
      </c>
      <c r="BV21" s="745">
        <f t="shared" si="8"/>
        <v>4.9035380755763608E-2</v>
      </c>
      <c r="BW21" s="745">
        <f t="shared" si="9"/>
        <v>6.5880683664405748E-2</v>
      </c>
      <c r="BX21" s="758">
        <f t="shared" si="2"/>
        <v>0.80256099954209481</v>
      </c>
      <c r="BY21" s="747">
        <f>$BX21*NewConst!$F$250*BY$7</f>
        <v>2006.4024988552371</v>
      </c>
      <c r="BZ21" s="747">
        <f>$BX21*NewConst!$F$250*BZ$7</f>
        <v>1605.1219990841896</v>
      </c>
      <c r="CA21" s="756">
        <f t="shared" si="3"/>
        <v>0.5</v>
      </c>
      <c r="CB21" s="747">
        <f>$CA21*CB$7*NewConst!$E$407</f>
        <v>375</v>
      </c>
      <c r="CC21" s="747">
        <f>$CA21*CC$7*NewConst!$E$407</f>
        <v>300</v>
      </c>
      <c r="CD21" s="756">
        <f t="shared" si="4"/>
        <v>0</v>
      </c>
      <c r="CE21" s="747">
        <f>$CD21*CE$7*NewConst!$F$419</f>
        <v>0</v>
      </c>
      <c r="CF21" s="747">
        <f>$CD21*CF$7*NewConst!$F$419</f>
        <v>0</v>
      </c>
      <c r="CG21" s="756">
        <v>0.5</v>
      </c>
      <c r="CH21" s="747">
        <f>$CG21*CH$7*NewConst!$E$413</f>
        <v>40.425000000000004</v>
      </c>
      <c r="CI21" s="748">
        <f>$CG21*CI$7*NewConst!$E$413</f>
        <v>25.575000000000003</v>
      </c>
    </row>
    <row r="22" spans="2:87">
      <c r="B22" s="15"/>
      <c r="C22" s="32">
        <v>14</v>
      </c>
      <c r="D22" s="58">
        <v>1.4638755684462032E-2</v>
      </c>
      <c r="E22" s="59">
        <v>1.4999999999999999E-2</v>
      </c>
      <c r="F22" s="59">
        <v>5.9813084000000002E-2</v>
      </c>
      <c r="G22" s="59">
        <v>4.6075085000000002E-2</v>
      </c>
      <c r="H22" s="59">
        <v>3.7383178000000003E-2</v>
      </c>
      <c r="I22" s="591">
        <v>2.3166023166023161E-2</v>
      </c>
      <c r="J22" s="592">
        <v>2.915451895043732E-2</v>
      </c>
      <c r="K22" s="591">
        <v>4.5325779036827191E-2</v>
      </c>
      <c r="L22" s="59">
        <v>4.1749503E-2</v>
      </c>
      <c r="M22" s="59">
        <v>6.7326733E-2</v>
      </c>
      <c r="N22" s="59">
        <v>4.5968883000000002E-2</v>
      </c>
      <c r="O22" s="59">
        <v>3.3000000000000002E-2</v>
      </c>
      <c r="P22" s="1560">
        <f t="shared" ref="P22:AD22" si="22">IF(selSchedule=$P$1,Q86,IF(selSchedule=$Q$1,Q114,IF(selSchedule=$R$1,Q142,"Error")))</f>
        <v>4.7555667001003013E-2</v>
      </c>
      <c r="Q22" s="1560">
        <f t="shared" si="22"/>
        <v>4.2957085828343317E-2</v>
      </c>
      <c r="R22" s="1560">
        <f t="shared" si="22"/>
        <v>4.2864292864292865E-2</v>
      </c>
      <c r="S22" s="1560">
        <f t="shared" si="22"/>
        <v>3.8000000000000006E-2</v>
      </c>
      <c r="T22" s="1560">
        <f t="shared" si="22"/>
        <v>6.1395732881276255E-2</v>
      </c>
      <c r="U22" s="1560">
        <f t="shared" si="22"/>
        <v>5.3480126833420245E-2</v>
      </c>
      <c r="V22" s="1560">
        <f t="shared" si="22"/>
        <v>8.8937125748503015E-2</v>
      </c>
      <c r="W22" s="1560">
        <f t="shared" si="22"/>
        <v>4.0943170488534394E-2</v>
      </c>
      <c r="X22" s="1560">
        <f t="shared" si="22"/>
        <v>2.8447850835910546E-2</v>
      </c>
      <c r="Y22" s="1560">
        <f t="shared" si="22"/>
        <v>1.3908110423852121E-2</v>
      </c>
      <c r="Z22" s="1560">
        <f t="shared" si="22"/>
        <v>1.3908110423852121E-2</v>
      </c>
      <c r="AA22" s="1560">
        <f t="shared" si="22"/>
        <v>9.0231610337972168E-2</v>
      </c>
      <c r="AB22" s="1560">
        <f t="shared" si="22"/>
        <v>9.023161033797214E-2</v>
      </c>
      <c r="AC22" s="1560">
        <f t="shared" si="22"/>
        <v>3.1500000000000007E-2</v>
      </c>
      <c r="AD22" s="1560">
        <f t="shared" si="22"/>
        <v>2.3696682464454978E-2</v>
      </c>
      <c r="AE22" s="59">
        <v>4.1941747572815533E-2</v>
      </c>
      <c r="AF22" s="591">
        <f t="shared" si="6"/>
        <v>3.7341485482413284E-2</v>
      </c>
      <c r="AG22" s="591">
        <f t="shared" si="7"/>
        <v>4.1639120114788243E-2</v>
      </c>
      <c r="AH22" s="61">
        <f t="shared" si="1"/>
        <v>0.24188778382435727</v>
      </c>
      <c r="AI22" s="60">
        <f>$AH22*NewConst!$E$400*N_occ</f>
        <v>140.4884248451867</v>
      </c>
      <c r="AJ22" s="60">
        <f>$AH22*NewConst!$E$401*N_occ</f>
        <v>104.72773488459373</v>
      </c>
      <c r="AK22" s="58">
        <f>IF(NewConst!$F$203=NewConst!$I$203,'Detailed Lighting'!BD24,Lighting!BH34)</f>
        <v>1.876330294789583E-2</v>
      </c>
      <c r="AL22" s="59">
        <f>IF(NewConst!$F$203=NewConst!$I$203,'Detailed Lighting'!BE24,Lighting!BI34)</f>
        <v>1.6376895372817564E-2</v>
      </c>
      <c r="AM22" s="59">
        <f>IF(NewConst!$F$203=NewConst!$I$203,'Detailed Lighting'!BF24,Lighting!BJ34)</f>
        <v>1.3169544780238384E-2</v>
      </c>
      <c r="AN22" s="59">
        <f>IF(NewConst!$F$203=NewConst!$I$203,'Detailed Lighting'!BG24,Lighting!BK34)</f>
        <v>1.5855410967785054E-2</v>
      </c>
      <c r="AO22" s="59">
        <f>IF(NewConst!$F$203=NewConst!$I$203,'Detailed Lighting'!BH24,Lighting!BL34)</f>
        <v>1.5011146584358528E-2</v>
      </c>
      <c r="AP22" s="59">
        <f>IF(NewConst!$F$203=NewConst!$I$203,'Detailed Lighting'!BI24,Lighting!BM34)</f>
        <v>1.5415130109337233E-2</v>
      </c>
      <c r="AQ22" s="59">
        <f>IF(NewConst!$F$203=NewConst!$I$203,'Detailed Lighting'!BJ24,Lighting!BN34)</f>
        <v>1.5685260828250301E-2</v>
      </c>
      <c r="AR22" s="59">
        <f>IF(NewConst!$F$203=NewConst!$I$203,'Detailed Lighting'!BK24,Lighting!BO34)</f>
        <v>1.5902978936481186E-2</v>
      </c>
      <c r="AS22" s="59">
        <f>IF(NewConst!$F$203=NewConst!$I$203,'Detailed Lighting'!BL24,Lighting!BP34)</f>
        <v>1.6859119266201948E-2</v>
      </c>
      <c r="AT22" s="59">
        <f>IF(NewConst!$F$203=NewConst!$I$203,'Detailed Lighting'!BM24,Lighting!BQ34)</f>
        <v>1.8856086658154657E-2</v>
      </c>
      <c r="AU22" s="59">
        <f>IF(NewConst!$F$203=NewConst!$I$203,'Detailed Lighting'!BN24,Lighting!BR34)</f>
        <v>1.7046461596662274E-2</v>
      </c>
      <c r="AV22" s="59">
        <f>IF(NewConst!$F$203=NewConst!$I$203,'Detailed Lighting'!BO24,Lighting!BS34)</f>
        <v>1.9070768335975468E-2</v>
      </c>
      <c r="AW22" s="729">
        <f>IF(NewConst!$F$203=NewConst!$I$203,'Detailed Lighting'!BP24,Lighting!BG34)</f>
        <v>1.6802081413190215E-2</v>
      </c>
      <c r="AX22" s="34"/>
      <c r="AY22" s="13"/>
      <c r="AZ22" s="15"/>
      <c r="BA22" s="38">
        <v>14</v>
      </c>
      <c r="BB22" s="745">
        <v>6.400533776022907E-2</v>
      </c>
      <c r="BC22" s="745">
        <v>4.1666666666666664E-2</v>
      </c>
      <c r="BD22" s="745">
        <v>6.400533776022907E-2</v>
      </c>
      <c r="BE22" s="745">
        <v>6.3278620375212896E-2</v>
      </c>
      <c r="BF22" s="745">
        <v>0.11764705882352941</v>
      </c>
      <c r="BG22" s="745">
        <v>8.411214953271029E-2</v>
      </c>
      <c r="BH22" s="745">
        <v>7.0274068868587489E-2</v>
      </c>
      <c r="BI22" s="745">
        <v>4.1666666666666664E-2</v>
      </c>
      <c r="BJ22" s="746">
        <v>6.8965517241379309E-2</v>
      </c>
      <c r="BK22" s="745">
        <v>5.8823529411764705E-2</v>
      </c>
      <c r="BL22" s="745">
        <v>4.7619047619047616E-2</v>
      </c>
      <c r="BM22" s="745">
        <v>7.1428571428571425E-2</v>
      </c>
      <c r="BN22" s="745">
        <v>7.1428571428571425E-2</v>
      </c>
      <c r="BO22" s="745">
        <v>6.7326733E-2</v>
      </c>
      <c r="BP22" s="745">
        <v>8.411214953271029E-2</v>
      </c>
      <c r="BQ22" s="1330">
        <f t="shared" si="18"/>
        <v>0.1111111111111111</v>
      </c>
      <c r="BR22" s="745">
        <v>4.1666666666666664E-2</v>
      </c>
      <c r="BS22" s="2189"/>
      <c r="BT22" s="745" t="str">
        <f>IF(AVERAGE('Sunrise Calc'!$F$2:$F$13)&lt;'Hourly Profiles'!BA22, 1/12, "0.000 ")</f>
        <v xml:space="preserve">0.000 </v>
      </c>
      <c r="BU22" s="745">
        <v>4.1941747572815533E-2</v>
      </c>
      <c r="BV22" s="745">
        <f t="shared" si="8"/>
        <v>6.532737736544815E-2</v>
      </c>
      <c r="BW22" s="745">
        <f t="shared" si="9"/>
        <v>6.3278620375212105E-2</v>
      </c>
      <c r="BX22" s="758">
        <f t="shared" si="2"/>
        <v>0.82800745731667413</v>
      </c>
      <c r="BY22" s="747">
        <f>$BX22*NewConst!$F$250*BY$7</f>
        <v>2070.0186432916853</v>
      </c>
      <c r="BZ22" s="747">
        <f>$BX22*NewConst!$F$250*BZ$7</f>
        <v>1656.0149146333483</v>
      </c>
      <c r="CA22" s="756">
        <f t="shared" si="3"/>
        <v>1</v>
      </c>
      <c r="CB22" s="747">
        <f>$CA22*CB$7*NewConst!$E$407</f>
        <v>750</v>
      </c>
      <c r="CC22" s="747">
        <f>$CA22*CC$7*NewConst!$E$407</f>
        <v>600</v>
      </c>
      <c r="CD22" s="756">
        <f t="shared" si="4"/>
        <v>1</v>
      </c>
      <c r="CE22" s="747">
        <f>$CD22*CE$7*NewConst!$F$419</f>
        <v>2130</v>
      </c>
      <c r="CF22" s="747">
        <f>$CD22*CF$7*NewConst!$F$419</f>
        <v>3270</v>
      </c>
      <c r="CG22" s="756">
        <v>0.5</v>
      </c>
      <c r="CH22" s="747">
        <f>$CG22*CH$7*NewConst!$E$413</f>
        <v>40.425000000000004</v>
      </c>
      <c r="CI22" s="748">
        <f>$CG22*CI$7*NewConst!$E$413</f>
        <v>25.575000000000003</v>
      </c>
    </row>
    <row r="23" spans="2:87">
      <c r="B23" s="15"/>
      <c r="C23" s="32">
        <v>16</v>
      </c>
      <c r="D23" s="58">
        <v>1.4638755684462032E-2</v>
      </c>
      <c r="E23" s="59">
        <v>2.5999999999999999E-2</v>
      </c>
      <c r="F23" s="59">
        <v>4.8598131000000003E-2</v>
      </c>
      <c r="G23" s="59">
        <v>3.5836176999999997E-2</v>
      </c>
      <c r="H23" s="59">
        <v>3.7383178000000003E-2</v>
      </c>
      <c r="I23" s="591">
        <v>2.3166023166023161E-2</v>
      </c>
      <c r="J23" s="592">
        <v>2.623906705539359E-2</v>
      </c>
      <c r="K23" s="591">
        <v>4.305949008498583E-2</v>
      </c>
      <c r="L23" s="59">
        <v>4.1749503E-2</v>
      </c>
      <c r="M23" s="59">
        <v>5.7425743000000001E-2</v>
      </c>
      <c r="N23" s="59">
        <v>5.6577085999999999E-2</v>
      </c>
      <c r="O23" s="59">
        <v>3.6999999999999998E-2</v>
      </c>
      <c r="P23" s="1560">
        <f t="shared" ref="P23:AD23" si="23">IF(selSchedule=$P$1,Q87,IF(selSchedule=$Q$1,Q115,IF(selSchedule=$R$1,Q143,"Error")))</f>
        <v>4.6055667001003012E-2</v>
      </c>
      <c r="Q23" s="1560">
        <f t="shared" si="23"/>
        <v>4.3956087824351307E-2</v>
      </c>
      <c r="R23" s="1560">
        <f t="shared" si="23"/>
        <v>4.3364793364793375E-2</v>
      </c>
      <c r="S23" s="1560">
        <f t="shared" si="23"/>
        <v>4.8500000000000008E-2</v>
      </c>
      <c r="T23" s="1560">
        <f t="shared" si="23"/>
        <v>5.0413693982986112E-2</v>
      </c>
      <c r="U23" s="1560">
        <f t="shared" si="23"/>
        <v>7.5428722135308962E-2</v>
      </c>
      <c r="V23" s="1560">
        <f t="shared" si="23"/>
        <v>7.5441117764471072E-2</v>
      </c>
      <c r="W23" s="1560">
        <f t="shared" si="23"/>
        <v>4.3438683948155525E-2</v>
      </c>
      <c r="X23" s="1560">
        <f t="shared" si="23"/>
        <v>2.4443846831906538E-2</v>
      </c>
      <c r="Y23" s="1560">
        <f t="shared" si="23"/>
        <v>2.3844026210167003E-2</v>
      </c>
      <c r="Z23" s="1560">
        <f t="shared" si="23"/>
        <v>2.3844026210167006E-2</v>
      </c>
      <c r="AA23" s="1560">
        <f t="shared" si="23"/>
        <v>7.4788270377733612E-2</v>
      </c>
      <c r="AB23" s="1560">
        <f t="shared" si="23"/>
        <v>7.4788270377733584E-2</v>
      </c>
      <c r="AC23" s="1560">
        <f t="shared" si="23"/>
        <v>3.2000000000000001E-2</v>
      </c>
      <c r="AD23" s="1560">
        <f t="shared" si="23"/>
        <v>2.3696682464454978E-2</v>
      </c>
      <c r="AE23" s="59">
        <v>4.3106796116504857E-2</v>
      </c>
      <c r="AF23" s="591">
        <f t="shared" si="6"/>
        <v>3.9381374892927673E-2</v>
      </c>
      <c r="AG23" s="591">
        <f t="shared" si="7"/>
        <v>4.3363958766541547E-2</v>
      </c>
      <c r="AH23" s="61">
        <f t="shared" si="1"/>
        <v>0.24188778382435727</v>
      </c>
      <c r="AI23" s="60">
        <f>$AH23*NewConst!$E$400*N_occ</f>
        <v>140.4884248451867</v>
      </c>
      <c r="AJ23" s="60">
        <f>$AH23*NewConst!$E$401*N_occ</f>
        <v>104.72773488459373</v>
      </c>
      <c r="AK23" s="58">
        <f>IF(NewConst!$F$203=NewConst!$I$203,'Detailed Lighting'!BD26,Lighting!BH36)</f>
        <v>2.4591169112131557E-2</v>
      </c>
      <c r="AL23" s="59">
        <f>IF(NewConst!$F$203=NewConst!$I$203,'Detailed Lighting'!BE26,Lighting!BI36)</f>
        <v>1.9673333443736112E-2</v>
      </c>
      <c r="AM23" s="59">
        <f>IF(NewConst!$F$203=NewConst!$I$203,'Detailed Lighting'!BF26,Lighting!BJ36)</f>
        <v>1.5208891057091367E-2</v>
      </c>
      <c r="AN23" s="59">
        <f>IF(NewConst!$F$203=NewConst!$I$203,'Detailed Lighting'!BG26,Lighting!BK36)</f>
        <v>1.6066872193603088E-2</v>
      </c>
      <c r="AO23" s="59">
        <f>IF(NewConst!$F$203=NewConst!$I$203,'Detailed Lighting'!BH26,Lighting!BL36)</f>
        <v>1.5167384936649191E-2</v>
      </c>
      <c r="AP23" s="59">
        <f>IF(NewConst!$F$203=NewConst!$I$203,'Detailed Lighting'!BI26,Lighting!BM36)</f>
        <v>1.5564945568781758E-2</v>
      </c>
      <c r="AQ23" s="59">
        <f>IF(NewConst!$F$203=NewConst!$I$203,'Detailed Lighting'!BJ26,Lighting!BN36)</f>
        <v>1.5834768506862263E-2</v>
      </c>
      <c r="AR23" s="59">
        <f>IF(NewConst!$F$203=NewConst!$I$203,'Detailed Lighting'!BK26,Lighting!BO36)</f>
        <v>1.6085651096903367E-2</v>
      </c>
      <c r="AS23" s="59">
        <f>IF(NewConst!$F$203=NewConst!$I$203,'Detailed Lighting'!BL26,Lighting!BP36)</f>
        <v>1.7280080494772525E-2</v>
      </c>
      <c r="AT23" s="59">
        <f>IF(NewConst!$F$203=NewConst!$I$203,'Detailed Lighting'!BM26,Lighting!BQ36)</f>
        <v>1.9962902670983006E-2</v>
      </c>
      <c r="AU23" s="59">
        <f>IF(NewConst!$F$203=NewConst!$I$203,'Detailed Lighting'!BN26,Lighting!BR36)</f>
        <v>2.671294475571798E-2</v>
      </c>
      <c r="AV23" s="59">
        <f>IF(NewConst!$F$203=NewConst!$I$203,'Detailed Lighting'!BO26,Lighting!BS36)</f>
        <v>2.8891383441698427E-2</v>
      </c>
      <c r="AW23" s="729">
        <f>IF(NewConst!$F$203=NewConst!$I$203,'Detailed Lighting'!BP26,Lighting!BG36)</f>
        <v>2.0369704214756798E-2</v>
      </c>
      <c r="AX23" s="34"/>
      <c r="AY23" s="13"/>
      <c r="AZ23" s="15"/>
      <c r="BA23" s="38">
        <v>16</v>
      </c>
      <c r="BB23" s="745">
        <v>6.0621199797634362E-2</v>
      </c>
      <c r="BC23" s="745">
        <v>4.1666666666666664E-2</v>
      </c>
      <c r="BD23" s="745">
        <v>6.0621199797634362E-2</v>
      </c>
      <c r="BE23" s="745">
        <v>6.5284968481251204E-2</v>
      </c>
      <c r="BF23" s="745">
        <v>0.11764705882352941</v>
      </c>
      <c r="BG23" s="745">
        <v>8.411214953271029E-2</v>
      </c>
      <c r="BH23" s="745">
        <v>7.0274068868587489E-2</v>
      </c>
      <c r="BI23" s="745">
        <v>4.1666666666666664E-2</v>
      </c>
      <c r="BJ23" s="746">
        <v>6.8965517241379309E-2</v>
      </c>
      <c r="BK23" s="745">
        <v>5.8823529411764705E-2</v>
      </c>
      <c r="BL23" s="745">
        <v>4.7619047619047616E-2</v>
      </c>
      <c r="BM23" s="745">
        <v>7.1428571428571425E-2</v>
      </c>
      <c r="BN23" s="745">
        <v>7.1428571428571425E-2</v>
      </c>
      <c r="BO23" s="745">
        <v>5.7425743000000001E-2</v>
      </c>
      <c r="BP23" s="745">
        <v>8.411214953271029E-2</v>
      </c>
      <c r="BQ23" s="1330">
        <f t="shared" si="18"/>
        <v>0.1111111111111111</v>
      </c>
      <c r="BR23" s="745">
        <v>4.1666666666666664E-2</v>
      </c>
      <c r="BS23" s="2189"/>
      <c r="BT23" s="745" t="str">
        <f>IF(AVERAGE('Sunrise Calc'!$F$2:$F$13)&lt;'Hourly Profiles'!BA23, 1/12, "0.000 ")</f>
        <v xml:space="preserve">0.000 </v>
      </c>
      <c r="BU23" s="745">
        <v>4.3106796116504857E-2</v>
      </c>
      <c r="BV23" s="745">
        <f t="shared" si="8"/>
        <v>6.5353254629733917E-2</v>
      </c>
      <c r="BW23" s="745">
        <f t="shared" si="9"/>
        <v>6.5284968481250399E-2</v>
      </c>
      <c r="BX23" s="758">
        <f t="shared" si="2"/>
        <v>0.78422842938444437</v>
      </c>
      <c r="BY23" s="747">
        <f>$BX23*NewConst!$F$250*BY$7</f>
        <v>1960.5710734611107</v>
      </c>
      <c r="BZ23" s="747">
        <f>$BX23*NewConst!$F$250*BZ$7</f>
        <v>1568.4568587688887</v>
      </c>
      <c r="CA23" s="756">
        <f t="shared" si="3"/>
        <v>1</v>
      </c>
      <c r="CB23" s="747">
        <f>$CA23*CB$7*NewConst!$E$407</f>
        <v>750</v>
      </c>
      <c r="CC23" s="747">
        <f>$CA23*CC$7*NewConst!$E$407</f>
        <v>600</v>
      </c>
      <c r="CD23" s="756">
        <f t="shared" si="4"/>
        <v>1</v>
      </c>
      <c r="CE23" s="747">
        <f>$CD23*CE$7*NewConst!$F$419</f>
        <v>2130</v>
      </c>
      <c r="CF23" s="747">
        <f>$CD23*CF$7*NewConst!$F$419</f>
        <v>3270</v>
      </c>
      <c r="CG23" s="756">
        <v>1</v>
      </c>
      <c r="CH23" s="747">
        <f>$CG23*CH$7*NewConst!$E$413</f>
        <v>80.850000000000009</v>
      </c>
      <c r="CI23" s="748">
        <f>$CG23*CI$7*NewConst!$E$413</f>
        <v>51.150000000000006</v>
      </c>
    </row>
    <row r="24" spans="2:87">
      <c r="B24" s="15"/>
      <c r="C24" s="32">
        <v>15</v>
      </c>
      <c r="D24" s="58">
        <v>1.4638755684462032E-2</v>
      </c>
      <c r="E24" s="59">
        <v>1.4999999999999999E-2</v>
      </c>
      <c r="F24" s="59">
        <v>5.2336449E-2</v>
      </c>
      <c r="G24" s="59">
        <v>3.7542661999999997E-2</v>
      </c>
      <c r="H24" s="59">
        <v>3.2710280000000001E-2</v>
      </c>
      <c r="I24" s="591">
        <v>2.3166023166023161E-2</v>
      </c>
      <c r="J24" s="592">
        <v>2.5267249757045678E-2</v>
      </c>
      <c r="K24" s="591">
        <v>4.1359773371104809E-2</v>
      </c>
      <c r="L24" s="59">
        <v>4.1181482999999998E-2</v>
      </c>
      <c r="M24" s="59">
        <v>6.0594058999999999E-2</v>
      </c>
      <c r="N24" s="59">
        <v>4.3847242000000002E-2</v>
      </c>
      <c r="O24" s="59">
        <v>3.5000000000000003E-2</v>
      </c>
      <c r="P24" s="1560">
        <f t="shared" ref="P24:AD24" si="24">IF(selSchedule=$P$1,Q88,IF(selSchedule=$Q$1,Q116,IF(selSchedule=$R$1,Q144,"Error")))</f>
        <v>4.3554162487462383E-2</v>
      </c>
      <c r="Q24" s="1560">
        <f t="shared" si="24"/>
        <v>4.4955089820359284E-2</v>
      </c>
      <c r="R24" s="1560">
        <f t="shared" si="24"/>
        <v>4.3865293865293864E-2</v>
      </c>
      <c r="S24" s="1560">
        <f t="shared" si="24"/>
        <v>5.9000000000000004E-2</v>
      </c>
      <c r="T24" s="1560">
        <f t="shared" si="24"/>
        <v>3.9431655084695962E-2</v>
      </c>
      <c r="U24" s="1560">
        <f t="shared" si="24"/>
        <v>9.7877817937698189E-2</v>
      </c>
      <c r="V24" s="1560">
        <f t="shared" si="24"/>
        <v>6.1446107784431138E-2</v>
      </c>
      <c r="W24" s="1560">
        <f t="shared" si="24"/>
        <v>4.5435692921236288E-2</v>
      </c>
      <c r="X24" s="1560">
        <f t="shared" si="24"/>
        <v>2.4443846831906538E-2</v>
      </c>
      <c r="Y24" s="1560">
        <f t="shared" si="24"/>
        <v>5.7607680629233542E-2</v>
      </c>
      <c r="Z24" s="1560">
        <f t="shared" si="24"/>
        <v>5.7607680629233542E-2</v>
      </c>
      <c r="AA24" s="1560">
        <f t="shared" si="24"/>
        <v>6.1321073558648131E-2</v>
      </c>
      <c r="AB24" s="1560">
        <f t="shared" si="24"/>
        <v>6.1321073558648097E-2</v>
      </c>
      <c r="AC24" s="1560">
        <f t="shared" si="24"/>
        <v>3.3000000000000002E-2</v>
      </c>
      <c r="AD24" s="1560">
        <f t="shared" si="24"/>
        <v>2.3696682464454978E-2</v>
      </c>
      <c r="AE24" s="59">
        <v>4.1165048543689318E-2</v>
      </c>
      <c r="AF24" s="591">
        <f t="shared" si="6"/>
        <v>3.7036448458229287E-2</v>
      </c>
      <c r="AG24" s="591">
        <f t="shared" si="7"/>
        <v>3.8629417002512483E-2</v>
      </c>
      <c r="AH24" s="61">
        <f t="shared" si="1"/>
        <v>0.24188778382435727</v>
      </c>
      <c r="AI24" s="60">
        <f>$AH24*NewConst!$E$400*N_occ</f>
        <v>140.4884248451867</v>
      </c>
      <c r="AJ24" s="60">
        <f>$AH24*NewConst!$E$401*N_occ</f>
        <v>104.72773488459373</v>
      </c>
      <c r="AK24" s="58">
        <f>IF(NewConst!$F$203=NewConst!$I$203,'Detailed Lighting'!BD25,Lighting!BH35)</f>
        <v>1.9640071385896515E-2</v>
      </c>
      <c r="AL24" s="59">
        <f>IF(NewConst!$F$203=NewConst!$I$203,'Detailed Lighting'!BE25,Lighting!BI35)</f>
        <v>1.6832198192493583E-2</v>
      </c>
      <c r="AM24" s="59">
        <f>IF(NewConst!$F$203=NewConst!$I$203,'Detailed Lighting'!BF25,Lighting!BJ35)</f>
        <v>1.3437636443270166E-2</v>
      </c>
      <c r="AN24" s="59">
        <f>IF(NewConst!$F$203=NewConst!$I$203,'Detailed Lighting'!BG25,Lighting!BK35)</f>
        <v>1.5875498871840314E-2</v>
      </c>
      <c r="AO24" s="59">
        <f>IF(NewConst!$F$203=NewConst!$I$203,'Detailed Lighting'!BH25,Lighting!BL35)</f>
        <v>1.5026624733937814E-2</v>
      </c>
      <c r="AP24" s="59">
        <f>IF(NewConst!$F$203=NewConst!$I$203,'Detailed Lighting'!BI25,Lighting!BM35)</f>
        <v>1.5431392676517977E-2</v>
      </c>
      <c r="AQ24" s="59">
        <f>IF(NewConst!$F$203=NewConst!$I$203,'Detailed Lighting'!BJ25,Lighting!BN35)</f>
        <v>1.5701525219736771E-2</v>
      </c>
      <c r="AR24" s="59">
        <f>IF(NewConst!$F$203=NewConst!$I$203,'Detailed Lighting'!BK25,Lighting!BO35)</f>
        <v>1.592165715234448E-2</v>
      </c>
      <c r="AS24" s="59">
        <f>IF(NewConst!$F$203=NewConst!$I$203,'Detailed Lighting'!BL25,Lighting!BP35)</f>
        <v>1.690437197247617E-2</v>
      </c>
      <c r="AT24" s="59">
        <f>IF(NewConst!$F$203=NewConst!$I$203,'Detailed Lighting'!BM25,Lighting!BQ35)</f>
        <v>1.8988016617825728E-2</v>
      </c>
      <c r="AU24" s="59">
        <f>IF(NewConst!$F$203=NewConst!$I$203,'Detailed Lighting'!BN25,Lighting!BR35)</f>
        <v>1.8815534380760959E-2</v>
      </c>
      <c r="AV24" s="59">
        <f>IF(NewConst!$F$203=NewConst!$I$203,'Detailed Lighting'!BO25,Lighting!BS35)</f>
        <v>2.0786475646983254E-2</v>
      </c>
      <c r="AW24" s="729">
        <f>IF(NewConst!$F$203=NewConst!$I$203,'Detailed Lighting'!BP25,Lighting!BG35)</f>
        <v>1.7387205190656962E-2</v>
      </c>
      <c r="AX24" s="34"/>
      <c r="AY24" s="13"/>
      <c r="AZ24" s="15"/>
      <c r="BA24" s="38">
        <v>15</v>
      </c>
      <c r="BB24" s="745">
        <v>5.7237061835039633E-2</v>
      </c>
      <c r="BC24" s="745">
        <v>4.1666666666666664E-2</v>
      </c>
      <c r="BD24" s="745">
        <v>5.7237061835039633E-2</v>
      </c>
      <c r="BE24" s="745">
        <v>6.1833172928638991E-2</v>
      </c>
      <c r="BF24" s="745">
        <v>0.11764705882352941</v>
      </c>
      <c r="BG24" s="745">
        <v>8.411214953271029E-2</v>
      </c>
      <c r="BH24" s="745">
        <v>7.0274068868587489E-2</v>
      </c>
      <c r="BI24" s="745">
        <v>4.1666666666666664E-2</v>
      </c>
      <c r="BJ24" s="746">
        <v>6.8965517241379309E-2</v>
      </c>
      <c r="BK24" s="745">
        <v>5.8823529411764705E-2</v>
      </c>
      <c r="BL24" s="745">
        <v>4.7619047619047616E-2</v>
      </c>
      <c r="BM24" s="745">
        <v>0.14285714285714285</v>
      </c>
      <c r="BN24" s="745">
        <v>0.14285714285714285</v>
      </c>
      <c r="BO24" s="745">
        <v>6.0594058999999999E-2</v>
      </c>
      <c r="BP24" s="745">
        <v>8.411214953271029E-2</v>
      </c>
      <c r="BQ24" s="1330">
        <f t="shared" si="18"/>
        <v>0.1111111111111111</v>
      </c>
      <c r="BR24" s="745">
        <v>4.1666666666666664E-2</v>
      </c>
      <c r="BS24" s="2189"/>
      <c r="BT24" s="745" t="str">
        <f>IF(AVERAGE('Sunrise Calc'!$F$2:$F$13)&lt;'Hourly Profiles'!BA24, 1/12, "0.000 ")</f>
        <v xml:space="preserve">0.000 </v>
      </c>
      <c r="BU24" s="745">
        <v>4.1165048543689318E-2</v>
      </c>
      <c r="BV24" s="745">
        <f t="shared" si="8"/>
        <v>6.5231748031294501E-2</v>
      </c>
      <c r="BW24" s="745">
        <f t="shared" si="9"/>
        <v>6.1833172928638228E-2</v>
      </c>
      <c r="BX24" s="758">
        <f t="shared" si="2"/>
        <v>0.74044940145221416</v>
      </c>
      <c r="BY24" s="747">
        <f>$BX24*NewConst!$F$250*BY$7</f>
        <v>1851.1235036305354</v>
      </c>
      <c r="BZ24" s="747">
        <f>$BX24*NewConst!$F$250*BZ$7</f>
        <v>1480.8988029044283</v>
      </c>
      <c r="CA24" s="756">
        <f t="shared" si="3"/>
        <v>1</v>
      </c>
      <c r="CB24" s="747">
        <f>$CA24*CB$7*NewConst!$E$407</f>
        <v>750</v>
      </c>
      <c r="CC24" s="747">
        <f>$CA24*CC$7*NewConst!$E$407</f>
        <v>600</v>
      </c>
      <c r="CD24" s="756">
        <f t="shared" si="4"/>
        <v>1</v>
      </c>
      <c r="CE24" s="747">
        <f>$CD24*CE$7*NewConst!$F$419</f>
        <v>2130</v>
      </c>
      <c r="CF24" s="747">
        <f>$CD24*CF$7*NewConst!$F$419</f>
        <v>3270</v>
      </c>
      <c r="CG24" s="756">
        <v>0.5</v>
      </c>
      <c r="CH24" s="747">
        <f>$CG24*CH$7*NewConst!$E$413</f>
        <v>40.425000000000004</v>
      </c>
      <c r="CI24" s="748">
        <f>$CG24*CI$7*NewConst!$E$413</f>
        <v>25.575000000000003</v>
      </c>
    </row>
    <row r="25" spans="2:87">
      <c r="B25" s="15"/>
      <c r="C25" s="32">
        <v>17</v>
      </c>
      <c r="D25" s="58">
        <v>1.7852054658416792E-2</v>
      </c>
      <c r="E25" s="59">
        <v>5.6000000000000001E-2</v>
      </c>
      <c r="F25" s="59">
        <v>5.0467289999999998E-2</v>
      </c>
      <c r="G25" s="59">
        <v>3.7542661999999997E-2</v>
      </c>
      <c r="H25" s="59">
        <v>4.3613707000000002E-2</v>
      </c>
      <c r="I25" s="591">
        <v>3.8610038610038609E-2</v>
      </c>
      <c r="J25" s="592">
        <v>3.0126336248785232E-2</v>
      </c>
      <c r="K25" s="591">
        <v>4.8158640226628885E-2</v>
      </c>
      <c r="L25" s="59">
        <v>4.4021585000000002E-2</v>
      </c>
      <c r="M25" s="59">
        <v>5.5445544999999999E-2</v>
      </c>
      <c r="N25" s="59">
        <v>9.1937765000000005E-2</v>
      </c>
      <c r="O25" s="59">
        <v>4.3999999999999997E-2</v>
      </c>
      <c r="P25" s="1560">
        <f t="shared" ref="P25:AD25" si="25">IF(selSchedule=$P$1,Q89,IF(selSchedule=$Q$1,Q117,IF(selSchedule=$R$1,Q145,"Error")))</f>
        <v>4.6569207622868605E-2</v>
      </c>
      <c r="Q25" s="1560">
        <f t="shared" si="25"/>
        <v>4.5954091816367268E-2</v>
      </c>
      <c r="R25" s="1560">
        <f t="shared" si="25"/>
        <v>4.3360324610324609E-2</v>
      </c>
      <c r="S25" s="1560">
        <f t="shared" si="25"/>
        <v>0.11000000000000001</v>
      </c>
      <c r="T25" s="1560">
        <f t="shared" si="25"/>
        <v>5.5383798653988084E-2</v>
      </c>
      <c r="U25" s="1560">
        <f t="shared" si="25"/>
        <v>6.6442190693687703E-2</v>
      </c>
      <c r="V25" s="1560">
        <f t="shared" si="25"/>
        <v>6.0945109780439127E-2</v>
      </c>
      <c r="W25" s="1560">
        <f t="shared" si="25"/>
        <v>5.0429710867397809E-2</v>
      </c>
      <c r="X25" s="1560">
        <f t="shared" si="25"/>
        <v>2.4443846831906538E-2</v>
      </c>
      <c r="Y25" s="1560">
        <f t="shared" si="25"/>
        <v>0.12621293095449151</v>
      </c>
      <c r="Z25" s="1560">
        <f t="shared" si="25"/>
        <v>0.12621293095449151</v>
      </c>
      <c r="AA25" s="1560">
        <f t="shared" si="25"/>
        <v>3.6889662027833017E-2</v>
      </c>
      <c r="AB25" s="1560">
        <f t="shared" si="25"/>
        <v>3.6889662027832996E-2</v>
      </c>
      <c r="AC25" s="1560">
        <f t="shared" si="25"/>
        <v>4.4999999999999998E-2</v>
      </c>
      <c r="AD25" s="1560">
        <f t="shared" si="25"/>
        <v>2.3696682464454978E-2</v>
      </c>
      <c r="AE25" s="59">
        <v>5.0873786407766991E-2</v>
      </c>
      <c r="AF25" s="591">
        <f t="shared" si="6"/>
        <v>4.6944517599839267E-2</v>
      </c>
      <c r="AG25" s="591">
        <f t="shared" si="7"/>
        <v>5.815618203597693E-2</v>
      </c>
      <c r="AH25" s="61">
        <f t="shared" si="1"/>
        <v>0.29498367423531618</v>
      </c>
      <c r="AI25" s="60">
        <f>$AH25*NewConst!$E$400*N_occ</f>
        <v>171.32651799587165</v>
      </c>
      <c r="AJ25" s="60">
        <f>$AH25*NewConst!$E$401*N_occ</f>
        <v>127.71613159692249</v>
      </c>
      <c r="AK25" s="58">
        <f>IF(NewConst!$F$203=NewConst!$I$203,'Detailed Lighting'!BD27,Lighting!BH37)</f>
        <v>4.1885450185072212E-2</v>
      </c>
      <c r="AL25" s="59">
        <f>IF(NewConst!$F$203=NewConst!$I$203,'Detailed Lighting'!BE27,Lighting!BI37)</f>
        <v>3.113326913158591E-2</v>
      </c>
      <c r="AM25" s="59">
        <f>IF(NewConst!$F$203=NewConst!$I$203,'Detailed Lighting'!BF27,Lighting!BJ37)</f>
        <v>2.3071798144044975E-2</v>
      </c>
      <c r="AN25" s="59">
        <f>IF(NewConst!$F$203=NewConst!$I$203,'Detailed Lighting'!BG27,Lighting!BK37)</f>
        <v>1.7345029995198602E-2</v>
      </c>
      <c r="AO25" s="59">
        <f>IF(NewConst!$F$203=NewConst!$I$203,'Detailed Lighting'!BH27,Lighting!BL37)</f>
        <v>1.609296385157508E-2</v>
      </c>
      <c r="AP25" s="59">
        <f>IF(NewConst!$F$203=NewConst!$I$203,'Detailed Lighting'!BI27,Lighting!BM37)</f>
        <v>1.6381125018333748E-2</v>
      </c>
      <c r="AQ25" s="59">
        <f>IF(NewConst!$F$203=NewConst!$I$203,'Detailed Lighting'!BJ27,Lighting!BN37)</f>
        <v>1.6647049089736368E-2</v>
      </c>
      <c r="AR25" s="59">
        <f>IF(NewConst!$F$203=NewConst!$I$203,'Detailed Lighting'!BK27,Lighting!BO37)</f>
        <v>1.7126205674404437E-2</v>
      </c>
      <c r="AS25" s="59">
        <f>IF(NewConst!$F$203=NewConst!$I$203,'Detailed Lighting'!BL27,Lighting!BP37)</f>
        <v>1.9461503632001272E-2</v>
      </c>
      <c r="AT25" s="59">
        <f>IF(NewConst!$F$203=NewConst!$I$203,'Detailed Lighting'!BM27,Lighting!BQ37)</f>
        <v>2.481986223720406E-2</v>
      </c>
      <c r="AU25" s="59">
        <f>IF(NewConst!$F$203=NewConst!$I$203,'Detailed Lighting'!BN27,Lighting!BR37)</f>
        <v>4.9065252325709248E-2</v>
      </c>
      <c r="AV25" s="59">
        <f>IF(NewConst!$F$203=NewConst!$I$203,'Detailed Lighting'!BO27,Lighting!BS37)</f>
        <v>5.2284144378683797E-2</v>
      </c>
      <c r="AW25" s="729">
        <f>IF(NewConst!$F$203=NewConst!$I$203,'Detailed Lighting'!BP27,Lighting!BG37)</f>
        <v>3.0256497911281623E-2</v>
      </c>
      <c r="AX25" s="34"/>
      <c r="AY25" s="13"/>
      <c r="AZ25" s="15"/>
      <c r="BA25" s="38">
        <v>17</v>
      </c>
      <c r="BB25" s="745">
        <v>6.4880131734870672E-2</v>
      </c>
      <c r="BC25" s="745">
        <v>4.1666666666666664E-2</v>
      </c>
      <c r="BD25" s="745">
        <v>6.4880131734870672E-2</v>
      </c>
      <c r="BE25" s="745">
        <v>5.8381377376026757E-2</v>
      </c>
      <c r="BF25" s="745">
        <v>0.11764705882352941</v>
      </c>
      <c r="BG25" s="745">
        <v>8.411214953271029E-2</v>
      </c>
      <c r="BH25" s="745">
        <v>7.0274068868587489E-2</v>
      </c>
      <c r="BI25" s="745">
        <v>4.1666666666666664E-2</v>
      </c>
      <c r="BJ25" s="746">
        <v>6.8965517241379309E-2</v>
      </c>
      <c r="BK25" s="745">
        <v>5.8823529411764705E-2</v>
      </c>
      <c r="BL25" s="745">
        <v>9.5238095238095233E-2</v>
      </c>
      <c r="BM25" s="745">
        <v>7.1428571428571425E-2</v>
      </c>
      <c r="BN25" s="745">
        <v>7.1428571428571425E-2</v>
      </c>
      <c r="BO25" s="745">
        <v>5.5445544999999999E-2</v>
      </c>
      <c r="BP25" s="745">
        <v>8.411214953271029E-2</v>
      </c>
      <c r="BQ25" s="1330">
        <f t="shared" si="18"/>
        <v>0.1111111111111111</v>
      </c>
      <c r="BR25" s="745">
        <v>4.1666666666666664E-2</v>
      </c>
      <c r="BS25" s="2189"/>
      <c r="BT25" s="745" t="str">
        <f>IF(AVERAGE('Sunrise Calc'!$F$2:$F$13)&lt;'Hourly Profiles'!BA25, 1/12, "0.000 ")</f>
        <v xml:space="preserve">0.000 </v>
      </c>
      <c r="BU25" s="745">
        <v>5.0873786407766991E-2</v>
      </c>
      <c r="BV25" s="745">
        <f t="shared" si="8"/>
        <v>7.936446330372629E-2</v>
      </c>
      <c r="BW25" s="745">
        <f t="shared" si="9"/>
        <v>5.8381377376026035E-2</v>
      </c>
      <c r="BX25" s="758">
        <f t="shared" si="2"/>
        <v>0.83932426244521485</v>
      </c>
      <c r="BY25" s="747">
        <f>$BX25*NewConst!$F$250*BY$7</f>
        <v>2098.3106561130376</v>
      </c>
      <c r="BZ25" s="747">
        <f>$BX25*NewConst!$F$250*BZ$7</f>
        <v>1678.6485248904298</v>
      </c>
      <c r="CA25" s="756">
        <f t="shared" si="3"/>
        <v>1</v>
      </c>
      <c r="CB25" s="747">
        <f>$CA25*CB$7*NewConst!$E$407</f>
        <v>750</v>
      </c>
      <c r="CC25" s="747">
        <f>$CA25*CC$7*NewConst!$E$407</f>
        <v>600</v>
      </c>
      <c r="CD25" s="756">
        <f t="shared" si="4"/>
        <v>1</v>
      </c>
      <c r="CE25" s="747">
        <f>$CD25*CE$7*NewConst!$F$419</f>
        <v>2130</v>
      </c>
      <c r="CF25" s="747">
        <f>$CD25*CF$7*NewConst!$F$419</f>
        <v>3270</v>
      </c>
      <c r="CG25" s="756">
        <v>0.5</v>
      </c>
      <c r="CH25" s="747">
        <f>$CG25*CH$7*NewConst!$E$413</f>
        <v>40.425000000000004</v>
      </c>
      <c r="CI25" s="748">
        <f>$CG25*CI$7*NewConst!$E$413</f>
        <v>25.575000000000003</v>
      </c>
    </row>
    <row r="26" spans="2:87">
      <c r="B26" s="15"/>
      <c r="C26" s="32">
        <v>18</v>
      </c>
      <c r="D26" s="58">
        <v>3.3472693336531821E-2</v>
      </c>
      <c r="E26" s="59">
        <v>7.8E-2</v>
      </c>
      <c r="F26" s="59">
        <v>4.8598131000000003E-2</v>
      </c>
      <c r="G26" s="59">
        <v>4.9488055000000003E-2</v>
      </c>
      <c r="H26" s="59">
        <v>5.7632399000000001E-2</v>
      </c>
      <c r="I26" s="591">
        <v>4.6332046332046323E-2</v>
      </c>
      <c r="J26" s="592">
        <v>3.8872691933916431E-2</v>
      </c>
      <c r="K26" s="591">
        <v>6.5155807365439078E-2</v>
      </c>
      <c r="L26" s="59">
        <v>4.8281737999999998E-2</v>
      </c>
      <c r="M26" s="59">
        <v>5.4257425999999997E-2</v>
      </c>
      <c r="N26" s="59">
        <v>0.149929279</v>
      </c>
      <c r="O26" s="59">
        <v>5.2999999999999999E-2</v>
      </c>
      <c r="P26" s="1560">
        <f t="shared" ref="P26:AD26" si="26">IF(selSchedule=$P$1,Q90,IF(selSchedule=$Q$1,Q118,IF(selSchedule=$R$1,Q146,"Error")))</f>
        <v>5.0084252758274828E-2</v>
      </c>
      <c r="Q26" s="1560">
        <f t="shared" si="26"/>
        <v>4.6953093812375252E-2</v>
      </c>
      <c r="R26" s="1560">
        <f t="shared" si="26"/>
        <v>4.3355855855855864E-2</v>
      </c>
      <c r="S26" s="1560">
        <f t="shared" si="26"/>
        <v>0.16100000000000003</v>
      </c>
      <c r="T26" s="1560">
        <f t="shared" si="26"/>
        <v>7.1335942223280213E-2</v>
      </c>
      <c r="U26" s="1560">
        <f t="shared" si="26"/>
        <v>3.6006065946185703E-2</v>
      </c>
      <c r="V26" s="1560">
        <f t="shared" si="26"/>
        <v>5.9445109780439119E-2</v>
      </c>
      <c r="W26" s="1560">
        <f t="shared" si="26"/>
        <v>5.4925224327018934E-2</v>
      </c>
      <c r="X26" s="1560">
        <f t="shared" si="26"/>
        <v>2.4443846831906538E-2</v>
      </c>
      <c r="Y26" s="1560">
        <f t="shared" si="26"/>
        <v>0.12172298878032697</v>
      </c>
      <c r="Z26" s="1560">
        <f t="shared" si="26"/>
        <v>0.12172298878032697</v>
      </c>
      <c r="AA26" s="1560">
        <f t="shared" si="26"/>
        <v>2.3449304174950301E-2</v>
      </c>
      <c r="AB26" s="1560">
        <f t="shared" si="26"/>
        <v>2.3449304174950295E-2</v>
      </c>
      <c r="AC26" s="1560">
        <f t="shared" si="26"/>
        <v>5.7000000000000002E-2</v>
      </c>
      <c r="AD26" s="1560">
        <f t="shared" si="26"/>
        <v>2.3696682464454978E-2</v>
      </c>
      <c r="AE26" s="59">
        <v>6.3300970873786402E-2</v>
      </c>
      <c r="AF26" s="591">
        <f t="shared" si="6"/>
        <v>5.8626286154065378E-2</v>
      </c>
      <c r="AG26" s="591">
        <f t="shared" si="7"/>
        <v>8.3954093639349359E-2</v>
      </c>
      <c r="AH26" s="61">
        <f t="shared" si="1"/>
        <v>0.55309589041095886</v>
      </c>
      <c r="AI26" s="60">
        <f>$AH26*NewConst!$E$400*N_occ</f>
        <v>321.2380931506849</v>
      </c>
      <c r="AJ26" s="60">
        <f>$AH26*NewConst!$E$401*N_occ</f>
        <v>239.46839671232877</v>
      </c>
      <c r="AK26" s="58">
        <f>IF(NewConst!$F$203=NewConst!$I$203,'Detailed Lighting'!BD28,Lighting!BH38)</f>
        <v>7.762566664481528E-2</v>
      </c>
      <c r="AL26" s="59">
        <f>IF(NewConst!$F$203=NewConst!$I$203,'Detailed Lighting'!BE28,Lighting!BI38)</f>
        <v>6.0193624032716879E-2</v>
      </c>
      <c r="AM26" s="59">
        <f>IF(NewConst!$F$203=NewConst!$I$203,'Detailed Lighting'!BF28,Lighting!BJ38)</f>
        <v>4.6086115793757376E-2</v>
      </c>
      <c r="AN26" s="59">
        <f>IF(NewConst!$F$203=NewConst!$I$203,'Detailed Lighting'!BG28,Lighting!BK38)</f>
        <v>2.3284326694436915E-2</v>
      </c>
      <c r="AO26" s="59">
        <f>IF(NewConst!$F$203=NewConst!$I$203,'Detailed Lighting'!BH28,Lighting!BL38)</f>
        <v>2.0466842805204843E-2</v>
      </c>
      <c r="AP26" s="59">
        <f>IF(NewConst!$F$203=NewConst!$I$203,'Detailed Lighting'!BI28,Lighting!BM38)</f>
        <v>2.0073298596170158E-2</v>
      </c>
      <c r="AQ26" s="59">
        <f>IF(NewConst!$F$203=NewConst!$I$203,'Detailed Lighting'!BJ28,Lighting!BN38)</f>
        <v>2.0312325251772619E-2</v>
      </c>
      <c r="AR26" s="59">
        <f>IF(NewConst!$F$203=NewConst!$I$203,'Detailed Lighting'!BK28,Lighting!BO38)</f>
        <v>2.1866862575866203E-2</v>
      </c>
      <c r="AS26" s="59">
        <f>IF(NewConst!$F$203=NewConst!$I$203,'Detailed Lighting'!BL28,Lighting!BP38)</f>
        <v>2.8235005368752505E-2</v>
      </c>
      <c r="AT26" s="59">
        <f>IF(NewConst!$F$203=NewConst!$I$203,'Detailed Lighting'!BM28,Lighting!BQ38)</f>
        <v>4.0883932693467198E-2</v>
      </c>
      <c r="AU26" s="59">
        <f>IF(NewConst!$F$203=NewConst!$I$203,'Detailed Lighting'!BN28,Lighting!BR38)</f>
        <v>8.7031058919219167E-2</v>
      </c>
      <c r="AV26" s="59">
        <f>IF(NewConst!$F$203=NewConst!$I$203,'Detailed Lighting'!BO28,Lighting!BS38)</f>
        <v>9.0953763485702888E-2</v>
      </c>
      <c r="AW26" s="729">
        <f>IF(NewConst!$F$203=NewConst!$I$203,'Detailed Lighting'!BP28,Lighting!BG38)</f>
        <v>5.1372480997497284E-2</v>
      </c>
      <c r="AX26" s="34"/>
      <c r="AY26" s="13"/>
      <c r="AZ26" s="15"/>
      <c r="BA26" s="38">
        <v>18</v>
      </c>
      <c r="BB26" s="745">
        <v>7.7300436360381738E-2</v>
      </c>
      <c r="BC26" s="745">
        <v>4.1666666666666664E-2</v>
      </c>
      <c r="BD26" s="745">
        <v>7.7300436360381738E-2</v>
      </c>
      <c r="BE26" s="745">
        <v>6.6177251829180855E-2</v>
      </c>
      <c r="BF26" s="745">
        <v>0</v>
      </c>
      <c r="BG26" s="745">
        <v>1.6822429906542057E-2</v>
      </c>
      <c r="BH26" s="745">
        <v>3.5137034434293744E-2</v>
      </c>
      <c r="BI26" s="745">
        <v>4.1666666666666664E-2</v>
      </c>
      <c r="BJ26" s="746">
        <v>6.8965517241379309E-2</v>
      </c>
      <c r="BK26" s="745">
        <v>5.8823529411764705E-2</v>
      </c>
      <c r="BL26" s="745">
        <v>4.7619047619047616E-2</v>
      </c>
      <c r="BM26" s="745">
        <v>7.1428571428571425E-2</v>
      </c>
      <c r="BN26" s="745">
        <v>7.1428571428571425E-2</v>
      </c>
      <c r="BO26" s="745">
        <v>5.4257425999999997E-2</v>
      </c>
      <c r="BP26" s="745">
        <v>1.6822429906542057E-2</v>
      </c>
      <c r="BQ26" s="1331">
        <v>0</v>
      </c>
      <c r="BR26" s="745">
        <v>4.1666666666666664E-2</v>
      </c>
      <c r="BS26" s="2189"/>
      <c r="BT26" s="745" t="str">
        <f>IF(AVERAGE('Sunrise Calc'!$F$2:$F$13)&lt;'Hourly Profiles'!BA26, 1/12, "0.000 ")</f>
        <v xml:space="preserve">0.000 </v>
      </c>
      <c r="BU26" s="745">
        <v>6.3300970873786402E-2</v>
      </c>
      <c r="BV26" s="745">
        <f t="shared" si="8"/>
        <v>3.7232733091911982E-2</v>
      </c>
      <c r="BW26" s="745">
        <f t="shared" si="9"/>
        <v>6.6177251829180037E-2</v>
      </c>
      <c r="BX26" s="758">
        <f t="shared" si="2"/>
        <v>1</v>
      </c>
      <c r="BY26" s="747">
        <f>$BX26*NewConst!$F$250*BY$7</f>
        <v>2500</v>
      </c>
      <c r="BZ26" s="747">
        <f>$BX26*NewConst!$F$250*BZ$7</f>
        <v>2000</v>
      </c>
      <c r="CA26" s="756">
        <f t="shared" si="3"/>
        <v>0</v>
      </c>
      <c r="CB26" s="747">
        <f>$CA26*CB$7*NewConst!$E$407</f>
        <v>0</v>
      </c>
      <c r="CC26" s="747">
        <f>$CA26*CC$7*NewConst!$E$407</f>
        <v>0</v>
      </c>
      <c r="CD26" s="756">
        <f t="shared" si="4"/>
        <v>1</v>
      </c>
      <c r="CE26" s="747">
        <f>$CD26*CE$7*NewConst!$F$419</f>
        <v>2130</v>
      </c>
      <c r="CF26" s="747">
        <f>$CD26*CF$7*NewConst!$F$419</f>
        <v>3270</v>
      </c>
      <c r="CG26" s="756">
        <v>0.5</v>
      </c>
      <c r="CH26" s="747">
        <f>$CG26*CH$7*NewConst!$E$413</f>
        <v>40.425000000000004</v>
      </c>
      <c r="CI26" s="748">
        <f>$CG26*CI$7*NewConst!$E$413</f>
        <v>25.575000000000003</v>
      </c>
    </row>
    <row r="27" spans="2:87">
      <c r="B27" s="15"/>
      <c r="C27" s="32">
        <v>19</v>
      </c>
      <c r="D27" s="58">
        <v>5.4281208363947835E-2</v>
      </c>
      <c r="E27" s="59">
        <v>0.105</v>
      </c>
      <c r="F27" s="59">
        <v>4.8598131000000003E-2</v>
      </c>
      <c r="G27" s="59">
        <v>8.7030716999999994E-2</v>
      </c>
      <c r="H27" s="59">
        <v>6.8535825999999994E-2</v>
      </c>
      <c r="I27" s="591">
        <v>7.7220077220077218E-2</v>
      </c>
      <c r="J27" s="592">
        <v>4.2274052478134115E-2</v>
      </c>
      <c r="K27" s="591">
        <v>7.4787535410764869E-2</v>
      </c>
      <c r="L27" s="59">
        <v>4.9701789000000003E-2</v>
      </c>
      <c r="M27" s="59">
        <v>5.1485149000000001E-2</v>
      </c>
      <c r="N27" s="59">
        <v>0.11669024</v>
      </c>
      <c r="O27" s="59">
        <v>5.8000000000000003E-2</v>
      </c>
      <c r="P27" s="1560">
        <f t="shared" ref="P27:AD27" si="27">IF(selSchedule=$P$1,Q91,IF(selSchedule=$Q$1,Q119,IF(selSchedule=$R$1,Q147,"Error")))</f>
        <v>5.1582748244734203E-2</v>
      </c>
      <c r="Q27" s="1560">
        <f t="shared" si="27"/>
        <v>4.5954091816367268E-2</v>
      </c>
      <c r="R27" s="1560">
        <f t="shared" si="27"/>
        <v>4.2855355355355354E-2</v>
      </c>
      <c r="S27" s="1560">
        <f t="shared" si="27"/>
        <v>0.115</v>
      </c>
      <c r="T27" s="1560">
        <f t="shared" si="27"/>
        <v>8.9307004062736867E-2</v>
      </c>
      <c r="U27" s="1560">
        <f t="shared" si="27"/>
        <v>3.6006065946185703E-2</v>
      </c>
      <c r="V27" s="1560">
        <f t="shared" si="27"/>
        <v>4.7446107784431132E-2</v>
      </c>
      <c r="W27" s="1560">
        <f t="shared" si="27"/>
        <v>6.9895314057826508E-2</v>
      </c>
      <c r="X27" s="1560">
        <f t="shared" si="27"/>
        <v>2.4443846831906538E-2</v>
      </c>
      <c r="Y27" s="1560">
        <f t="shared" si="27"/>
        <v>6.8045056374760382E-2</v>
      </c>
      <c r="Z27" s="1560">
        <f t="shared" si="27"/>
        <v>6.8045056374760382E-2</v>
      </c>
      <c r="AA27" s="1560">
        <f t="shared" si="27"/>
        <v>1.3476143141153085E-2</v>
      </c>
      <c r="AB27" s="1560">
        <f t="shared" si="27"/>
        <v>1.347614314115308E-2</v>
      </c>
      <c r="AC27" s="1560">
        <f t="shared" si="27"/>
        <v>6.6000000000000003E-2</v>
      </c>
      <c r="AD27" s="1560">
        <f t="shared" si="27"/>
        <v>5.6872037914691947E-2</v>
      </c>
      <c r="AE27" s="59">
        <v>6.3300970873786402E-2</v>
      </c>
      <c r="AF27" s="591">
        <f t="shared" si="6"/>
        <v>6.2081387797301373E-2</v>
      </c>
      <c r="AG27" s="591">
        <f t="shared" si="7"/>
        <v>7.5983955552524823E-2</v>
      </c>
      <c r="AH27" s="61">
        <f t="shared" si="1"/>
        <v>0.89693150684931511</v>
      </c>
      <c r="AI27" s="60">
        <f>$AH27*NewConst!$E$400*N_occ</f>
        <v>520.93781917808224</v>
      </c>
      <c r="AJ27" s="60">
        <f>$AH27*NewConst!$E$401*N_occ</f>
        <v>388.33546520547952</v>
      </c>
      <c r="AK27" s="58">
        <f>IF(NewConst!$F$203=NewConst!$I$203,'Detailed Lighting'!BD29,Lighting!BH39)</f>
        <v>0.1157944395695156</v>
      </c>
      <c r="AL27" s="59">
        <f>IF(NewConst!$F$203=NewConst!$I$203,'Detailed Lighting'!BE29,Lighting!BI39)</f>
        <v>0.10341524109618247</v>
      </c>
      <c r="AM27" s="59">
        <f>IF(NewConst!$F$203=NewConst!$I$203,'Detailed Lighting'!BF29,Lighting!BJ39)</f>
        <v>8.8695204464781102E-2</v>
      </c>
      <c r="AN27" s="59">
        <f>IF(NewConst!$F$203=NewConst!$I$203,'Detailed Lighting'!BG29,Lighting!BK39)</f>
        <v>4.2221698596689221E-2</v>
      </c>
      <c r="AO27" s="59">
        <f>IF(NewConst!$F$203=NewConst!$I$203,'Detailed Lighting'!BH29,Lighting!BL39)</f>
        <v>3.5164694113811089E-2</v>
      </c>
      <c r="AP27" s="59">
        <f>IF(NewConst!$F$203=NewConst!$I$203,'Detailed Lighting'!BI29,Lighting!BM39)</f>
        <v>3.2328026949494729E-2</v>
      </c>
      <c r="AQ27" s="59">
        <f>IF(NewConst!$F$203=NewConst!$I$203,'Detailed Lighting'!BJ29,Lighting!BN39)</f>
        <v>3.244596096533979E-2</v>
      </c>
      <c r="AR27" s="59">
        <f>IF(NewConst!$F$203=NewConst!$I$203,'Detailed Lighting'!BK29,Lighting!BO39)</f>
        <v>3.7201010723610456E-2</v>
      </c>
      <c r="AS27" s="59">
        <f>IF(NewConst!$F$203=NewConst!$I$203,'Detailed Lighting'!BL29,Lighting!BP39)</f>
        <v>5.2244032531885823E-2</v>
      </c>
      <c r="AT27" s="59">
        <f>IF(NewConst!$F$203=NewConst!$I$203,'Detailed Lighting'!BM29,Lighting!BQ39)</f>
        <v>7.5028670101379286E-2</v>
      </c>
      <c r="AU27" s="59">
        <f>IF(NewConst!$F$203=NewConst!$I$203,'Detailed Lighting'!BN29,Lighting!BR39)</f>
        <v>0.11922643714261331</v>
      </c>
      <c r="AV27" s="59">
        <f>IF(NewConst!$F$203=NewConst!$I$203,'Detailed Lighting'!BO29,Lighting!BS39)</f>
        <v>0.11973068272674137</v>
      </c>
      <c r="AW27" s="729">
        <f>IF(NewConst!$F$203=NewConst!$I$203,'Detailed Lighting'!BP29,Lighting!BG39)</f>
        <v>7.9971913622316398E-2</v>
      </c>
      <c r="AX27" s="34"/>
      <c r="AY27" s="13"/>
      <c r="AZ27" s="15"/>
      <c r="BA27" s="38">
        <v>19</v>
      </c>
      <c r="BB27" s="745">
        <v>7.4966809659242462E-2</v>
      </c>
      <c r="BC27" s="745">
        <v>4.1666666666666664E-2</v>
      </c>
      <c r="BD27" s="745">
        <v>7.4966809659242462E-2</v>
      </c>
      <c r="BE27" s="745">
        <v>7.884587017225711E-2</v>
      </c>
      <c r="BF27" s="745">
        <v>0</v>
      </c>
      <c r="BG27" s="745">
        <v>1.6822429906542057E-2</v>
      </c>
      <c r="BH27" s="745">
        <v>2.3190442726633873E-2</v>
      </c>
      <c r="BI27" s="745">
        <v>4.1666666666666664E-2</v>
      </c>
      <c r="BJ27" s="746">
        <v>6.8965517241379309E-2</v>
      </c>
      <c r="BK27" s="745">
        <v>5.8823529411764705E-2</v>
      </c>
      <c r="BL27" s="745">
        <v>4.7619047619047616E-2</v>
      </c>
      <c r="BM27" s="745">
        <v>0</v>
      </c>
      <c r="BN27" s="745">
        <v>0</v>
      </c>
      <c r="BO27" s="745">
        <v>5.1485149000000001E-2</v>
      </c>
      <c r="BP27" s="745">
        <v>1.6822429906542057E-2</v>
      </c>
      <c r="BQ27" s="1331">
        <v>0</v>
      </c>
      <c r="BR27" s="745">
        <v>4.1666666666666664E-2</v>
      </c>
      <c r="BS27" s="2189"/>
      <c r="BT27" s="745">
        <f>IF(AVERAGE('Sunrise Calc'!$F$2:$F$13)&lt;'Hourly Profiles'!BA27, 1/12, "0.000 ")</f>
        <v>8.3333333333333329E-2</v>
      </c>
      <c r="BU27" s="745">
        <v>6.3300970873786402E-2</v>
      </c>
      <c r="BV27" s="745">
        <f t="shared" si="8"/>
        <v>3.1367866485531082E-2</v>
      </c>
      <c r="BW27" s="745">
        <f t="shared" si="9"/>
        <v>7.8845870172256138E-2</v>
      </c>
      <c r="BX27" s="758">
        <f t="shared" si="2"/>
        <v>0.96981095048080068</v>
      </c>
      <c r="BY27" s="747">
        <f>$BX27*NewConst!$F$250*BY$7</f>
        <v>2424.527376202002</v>
      </c>
      <c r="BZ27" s="747">
        <f>$BX27*NewConst!$F$250*BZ$7</f>
        <v>1939.6219009616016</v>
      </c>
      <c r="CA27" s="756">
        <f t="shared" si="3"/>
        <v>0</v>
      </c>
      <c r="CB27" s="747">
        <f>$CA27*CB$7*NewConst!$E$407</f>
        <v>0</v>
      </c>
      <c r="CC27" s="747">
        <f>$CA27*CC$7*NewConst!$E$407</f>
        <v>0</v>
      </c>
      <c r="CD27" s="756">
        <f t="shared" si="4"/>
        <v>1</v>
      </c>
      <c r="CE27" s="747">
        <f>$CD27*CE$7*NewConst!$F$419</f>
        <v>2130</v>
      </c>
      <c r="CF27" s="747">
        <f>$CD27*CF$7*NewConst!$F$419</f>
        <v>3270</v>
      </c>
      <c r="CG27" s="756">
        <v>0</v>
      </c>
      <c r="CH27" s="747">
        <f>$CG27*CH$7*NewConst!$E$413</f>
        <v>0</v>
      </c>
      <c r="CI27" s="748">
        <f>$CG27*CI$7*NewConst!$E$413</f>
        <v>0</v>
      </c>
    </row>
    <row r="28" spans="2:87">
      <c r="B28" s="15"/>
      <c r="C28" s="32">
        <v>20</v>
      </c>
      <c r="D28" s="58">
        <v>5.4281208363947835E-2</v>
      </c>
      <c r="E28" s="59">
        <v>0.126</v>
      </c>
      <c r="F28" s="59">
        <v>4.8598131000000003E-2</v>
      </c>
      <c r="G28" s="59">
        <v>0.11092150200000001</v>
      </c>
      <c r="H28" s="59">
        <v>6.5420561000000002E-2</v>
      </c>
      <c r="I28" s="591">
        <v>0.10038610038610038</v>
      </c>
      <c r="J28" s="592">
        <v>4.2274052478134115E-2</v>
      </c>
      <c r="K28" s="591">
        <v>6.9121813031161466E-2</v>
      </c>
      <c r="L28" s="59">
        <v>4.8281737999999998E-2</v>
      </c>
      <c r="M28" s="59">
        <v>5.0693069E-2</v>
      </c>
      <c r="N28" s="59">
        <v>6.0113154000000002E-2</v>
      </c>
      <c r="O28" s="59">
        <v>0.06</v>
      </c>
      <c r="P28" s="1560">
        <f t="shared" ref="P28:AD28" si="28">IF(selSchedule=$P$1,Q92,IF(selSchedule=$Q$1,Q120,IF(selSchedule=$R$1,Q148,"Error")))</f>
        <v>5.3079739217652959E-2</v>
      </c>
      <c r="Q28" s="1560">
        <f t="shared" si="28"/>
        <v>4.5454091816367267E-2</v>
      </c>
      <c r="R28" s="1560">
        <f t="shared" si="28"/>
        <v>4.2354854854854851E-2</v>
      </c>
      <c r="S28" s="1560">
        <f t="shared" si="28"/>
        <v>6.9500000000000006E-2</v>
      </c>
      <c r="T28" s="1560">
        <f t="shared" si="28"/>
        <v>0.10727806590219352</v>
      </c>
      <c r="U28" s="1560">
        <f t="shared" si="28"/>
        <v>3.6506566446686199E-2</v>
      </c>
      <c r="V28" s="1560">
        <f t="shared" si="28"/>
        <v>3.5447105788423153E-2</v>
      </c>
      <c r="W28" s="1560">
        <f t="shared" si="28"/>
        <v>8.5365403788634109E-2</v>
      </c>
      <c r="X28" s="1560">
        <f t="shared" si="28"/>
        <v>3.4438916528468776E-2</v>
      </c>
      <c r="Y28" s="1560">
        <f t="shared" si="28"/>
        <v>6.1099144951541992E-2</v>
      </c>
      <c r="Z28" s="1560">
        <f t="shared" si="28"/>
        <v>6.1099144951541985E-2</v>
      </c>
      <c r="AA28" s="1560">
        <f t="shared" si="28"/>
        <v>7.9850894632206779E-3</v>
      </c>
      <c r="AB28" s="1560">
        <f t="shared" si="28"/>
        <v>7.9850894632206761E-3</v>
      </c>
      <c r="AC28" s="1560">
        <f t="shared" si="28"/>
        <v>7.5499999999999998E-2</v>
      </c>
      <c r="AD28" s="1560">
        <f t="shared" si="28"/>
        <v>5.6872037914691947E-2</v>
      </c>
      <c r="AE28" s="59">
        <v>5.8640776699029125E-2</v>
      </c>
      <c r="AF28" s="591">
        <f t="shared" si="6"/>
        <v>5.9907294858678538E-2</v>
      </c>
      <c r="AG28" s="591">
        <f t="shared" si="7"/>
        <v>5.6979118141199457E-2</v>
      </c>
      <c r="AH28" s="61">
        <f t="shared" si="1"/>
        <v>0.89693150684931511</v>
      </c>
      <c r="AI28" s="60">
        <f>$AH28*NewConst!$E$400*N_occ</f>
        <v>520.93781917808224</v>
      </c>
      <c r="AJ28" s="60">
        <f>$AH28*NewConst!$E$401*N_occ</f>
        <v>388.33546520547952</v>
      </c>
      <c r="AK28" s="58">
        <f>IF(NewConst!$F$203=NewConst!$I$203,'Detailed Lighting'!BD30,Lighting!BH40)</f>
        <v>0.12251923909611673</v>
      </c>
      <c r="AL28" s="59">
        <f>IF(NewConst!$F$203=NewConst!$I$203,'Detailed Lighting'!BE30,Lighting!BI40)</f>
        <v>0.1322295716408029</v>
      </c>
      <c r="AM28" s="59">
        <f>IF(NewConst!$F$203=NewConst!$I$203,'Detailed Lighting'!BF30,Lighting!BJ40)</f>
        <v>0.13296665934794538</v>
      </c>
      <c r="AN28" s="59">
        <f>IF(NewConst!$F$203=NewConst!$I$203,'Detailed Lighting'!BG30,Lighting!BK40)</f>
        <v>8.251340000084223E-2</v>
      </c>
      <c r="AO28" s="59">
        <f>IF(NewConst!$F$203=NewConst!$I$203,'Detailed Lighting'!BH30,Lighting!BL40)</f>
        <v>6.9595425707041428E-2</v>
      </c>
      <c r="AP28" s="59">
        <f>IF(NewConst!$F$203=NewConst!$I$203,'Detailed Lighting'!BI30,Lighting!BM40)</f>
        <v>6.1701206356899317E-2</v>
      </c>
      <c r="AQ28" s="59">
        <f>IF(NewConst!$F$203=NewConst!$I$203,'Detailed Lighting'!BJ30,Lighting!BN40)</f>
        <v>6.1447616824084186E-2</v>
      </c>
      <c r="AR28" s="59">
        <f>IF(NewConst!$F$203=NewConst!$I$203,'Detailed Lighting'!BK30,Lighting!BO40)</f>
        <v>7.1668980273370417E-2</v>
      </c>
      <c r="AS28" s="59">
        <f>IF(NewConst!$F$203=NewConst!$I$203,'Detailed Lighting'!BL30,Lighting!BP40)</f>
        <v>9.5266175226541183E-2</v>
      </c>
      <c r="AT28" s="59">
        <f>IF(NewConst!$F$203=NewConst!$I$203,'Detailed Lighting'!BM30,Lighting!BQ40)</f>
        <v>0.11788418075629312</v>
      </c>
      <c r="AU28" s="59">
        <f>IF(NewConst!$F$203=NewConst!$I$203,'Detailed Lighting'!BN30,Lighting!BR40)</f>
        <v>0.11876590936508105</v>
      </c>
      <c r="AV28" s="59">
        <f>IF(NewConst!$F$203=NewConst!$I$203,'Detailed Lighting'!BO30,Lighting!BS40)</f>
        <v>0.11208719227278781</v>
      </c>
      <c r="AW28" s="729">
        <f>IF(NewConst!$F$203=NewConst!$I$203,'Detailed Lighting'!BP30,Lighting!BG40)</f>
        <v>0.10393975481875536</v>
      </c>
      <c r="AX28" s="34"/>
      <c r="AY28" s="13"/>
      <c r="AZ28" s="15"/>
      <c r="BA28" s="38">
        <v>20</v>
      </c>
      <c r="BB28" s="745">
        <v>7.0876010089964719E-2</v>
      </c>
      <c r="BC28" s="745">
        <v>4.1666666666666664E-2</v>
      </c>
      <c r="BD28" s="745">
        <v>7.0876010089964719E-2</v>
      </c>
      <c r="BE28" s="745">
        <v>7.6465588293242473E-2</v>
      </c>
      <c r="BF28" s="745">
        <v>0</v>
      </c>
      <c r="BG28" s="745">
        <v>1.6822429906542057E-2</v>
      </c>
      <c r="BH28" s="745">
        <v>2.3190442726633873E-2</v>
      </c>
      <c r="BI28" s="745">
        <v>4.1666666666666664E-2</v>
      </c>
      <c r="BJ28" s="746">
        <v>6.8965517241379309E-2</v>
      </c>
      <c r="BK28" s="745">
        <v>5.8823529411764705E-2</v>
      </c>
      <c r="BL28" s="745">
        <v>9.5238095238095233E-2</v>
      </c>
      <c r="BM28" s="745">
        <v>0</v>
      </c>
      <c r="BN28" s="745">
        <v>0</v>
      </c>
      <c r="BO28" s="745">
        <v>5.0693069E-2</v>
      </c>
      <c r="BP28" s="745">
        <v>1.6822429906542057E-2</v>
      </c>
      <c r="BQ28" s="1331">
        <v>0</v>
      </c>
      <c r="BR28" s="745">
        <v>4.1666666666666664E-2</v>
      </c>
      <c r="BS28" s="2189"/>
      <c r="BT28" s="745">
        <f>IF(AVERAGE('Sunrise Calc'!$F$2:$F$13)&lt;'Hourly Profiles'!BA28, 1/12, "0.000 ")</f>
        <v>8.3333333333333329E-2</v>
      </c>
      <c r="BU28" s="745">
        <v>5.8640776699029125E-2</v>
      </c>
      <c r="BV28" s="745">
        <f t="shared" si="8"/>
        <v>4.5431392895869067E-2</v>
      </c>
      <c r="BW28" s="745">
        <f t="shared" si="9"/>
        <v>7.6465588293241529E-2</v>
      </c>
      <c r="BX28" s="758">
        <f t="shared" si="2"/>
        <v>0.91689016811670054</v>
      </c>
      <c r="BY28" s="747">
        <f>$BX28*NewConst!$F$250*BY$7</f>
        <v>2292.2254202917516</v>
      </c>
      <c r="BZ28" s="747">
        <f>$BX28*NewConst!$F$250*BZ$7</f>
        <v>1833.7803362334012</v>
      </c>
      <c r="CA28" s="756">
        <f t="shared" si="3"/>
        <v>0</v>
      </c>
      <c r="CB28" s="747">
        <f>$CA28*CB$7*NewConst!$E$407</f>
        <v>0</v>
      </c>
      <c r="CC28" s="747">
        <f>$CA28*CC$7*NewConst!$E$407</f>
        <v>0</v>
      </c>
      <c r="CD28" s="756">
        <f t="shared" si="4"/>
        <v>1</v>
      </c>
      <c r="CE28" s="747">
        <f>$CD28*CE$7*NewConst!$F$419</f>
        <v>2130</v>
      </c>
      <c r="CF28" s="747">
        <f>$CD28*CF$7*NewConst!$F$419</f>
        <v>3270</v>
      </c>
      <c r="CG28" s="756">
        <v>0</v>
      </c>
      <c r="CH28" s="747">
        <f>$CG28*CH$7*NewConst!$E$413</f>
        <v>0</v>
      </c>
      <c r="CI28" s="748">
        <f>$CG28*CI$7*NewConst!$E$413</f>
        <v>0</v>
      </c>
    </row>
    <row r="29" spans="2:87">
      <c r="B29" s="15"/>
      <c r="C29" s="32">
        <v>21</v>
      </c>
      <c r="D29" s="58">
        <v>5.4281208363947835E-2</v>
      </c>
      <c r="E29" s="59">
        <v>0.128</v>
      </c>
      <c r="F29" s="59">
        <v>4.8598131000000003E-2</v>
      </c>
      <c r="G29" s="59">
        <v>9.0443685999999995E-2</v>
      </c>
      <c r="H29" s="59">
        <v>5.9190030999999997E-2</v>
      </c>
      <c r="I29" s="591">
        <v>0.10038610038610038</v>
      </c>
      <c r="J29" s="592">
        <v>4.1788143828960157E-2</v>
      </c>
      <c r="K29" s="591">
        <v>5.6657223796033988E-2</v>
      </c>
      <c r="L29" s="59">
        <v>4.6861686999999999E-2</v>
      </c>
      <c r="M29" s="59">
        <v>5.2277228000000002E-2</v>
      </c>
      <c r="N29" s="59">
        <v>3.5360678999999999E-2</v>
      </c>
      <c r="O29" s="59">
        <v>6.2E-2</v>
      </c>
      <c r="P29" s="1560">
        <f t="shared" ref="P29:AD29" si="29">IF(selSchedule=$P$1,Q93,IF(selSchedule=$Q$1,Q121,IF(selSchedule=$R$1,Q149,"Error")))</f>
        <v>4.9070712136409234E-2</v>
      </c>
      <c r="Q29" s="1560">
        <f t="shared" si="29"/>
        <v>4.4955089820359284E-2</v>
      </c>
      <c r="R29" s="1560">
        <f t="shared" si="29"/>
        <v>4.1854354354354362E-2</v>
      </c>
      <c r="S29" s="1560">
        <f t="shared" si="29"/>
        <v>4.3999999999999997E-2</v>
      </c>
      <c r="T29" s="1560">
        <f t="shared" si="29"/>
        <v>7.2840419799542422E-2</v>
      </c>
      <c r="U29" s="1560">
        <f t="shared" si="29"/>
        <v>3.1001060941180693E-2</v>
      </c>
      <c r="V29" s="1560">
        <f t="shared" si="29"/>
        <v>3.89500998003992E-2</v>
      </c>
      <c r="W29" s="1560">
        <f t="shared" si="29"/>
        <v>9.683998005982053E-2</v>
      </c>
      <c r="X29" s="1560">
        <f t="shared" si="29"/>
        <v>4.0429982221027005E-2</v>
      </c>
      <c r="Y29" s="1560">
        <f t="shared" si="29"/>
        <v>5.1163229165227114E-2</v>
      </c>
      <c r="Z29" s="1560">
        <f t="shared" si="29"/>
        <v>5.1163229165227107E-2</v>
      </c>
      <c r="AA29" s="1560">
        <f t="shared" si="29"/>
        <v>3.991053677932406E-3</v>
      </c>
      <c r="AB29" s="1560">
        <f t="shared" si="29"/>
        <v>3.9910536779324043E-3</v>
      </c>
      <c r="AC29" s="1560">
        <f t="shared" si="29"/>
        <v>8.0999999999999989E-2</v>
      </c>
      <c r="AD29" s="1560">
        <f t="shared" si="29"/>
        <v>5.6872037914691947E-2</v>
      </c>
      <c r="AE29" s="59">
        <v>5.6310679611650483E-2</v>
      </c>
      <c r="AF29" s="591">
        <f t="shared" si="6"/>
        <v>5.8128839422613099E-2</v>
      </c>
      <c r="AG29" s="591">
        <f t="shared" si="7"/>
        <v>4.674612360905335E-2</v>
      </c>
      <c r="AH29" s="61">
        <f t="shared" si="1"/>
        <v>0.89693150684931511</v>
      </c>
      <c r="AI29" s="60">
        <f>$AH29*NewConst!$E$400*N_occ</f>
        <v>520.93781917808224</v>
      </c>
      <c r="AJ29" s="60">
        <f>$AH29*NewConst!$E$401*N_occ</f>
        <v>388.33546520547952</v>
      </c>
      <c r="AK29" s="58">
        <f>IF(NewConst!$F$203=NewConst!$I$203,'Detailed Lighting'!BD31,Lighting!BH41)</f>
        <v>0.10571329609521296</v>
      </c>
      <c r="AL29" s="59">
        <f>IF(NewConst!$F$203=NewConst!$I$203,'Detailed Lighting'!BE31,Lighting!BI41)</f>
        <v>0.12274465897573474</v>
      </c>
      <c r="AM29" s="59">
        <f>IF(NewConst!$F$203=NewConst!$I$203,'Detailed Lighting'!BF31,Lighting!BJ41)</f>
        <v>0.14281605108627382</v>
      </c>
      <c r="AN29" s="59">
        <f>IF(NewConst!$F$203=NewConst!$I$203,'Detailed Lighting'!BG31,Lighting!BK41)</f>
        <v>0.13594269490706479</v>
      </c>
      <c r="AO29" s="59">
        <f>IF(NewConst!$F$203=NewConst!$I$203,'Detailed Lighting'!BH31,Lighting!BL41)</f>
        <v>0.12343961026325907</v>
      </c>
      <c r="AP29" s="59">
        <f>IF(NewConst!$F$203=NewConst!$I$203,'Detailed Lighting'!BI31,Lighting!BM41)</f>
        <v>0.11092550583600207</v>
      </c>
      <c r="AQ29" s="59">
        <f>IF(NewConst!$F$203=NewConst!$I$203,'Detailed Lighting'!BJ31,Lighting!BN41)</f>
        <v>0.10989434569554628</v>
      </c>
      <c r="AR29" s="59">
        <f>IF(NewConst!$F$203=NewConst!$I$203,'Detailed Lighting'!BK31,Lighting!BO41)</f>
        <v>0.12299731154114305</v>
      </c>
      <c r="AS29" s="59">
        <f>IF(NewConst!$F$203=NewConst!$I$203,'Detailed Lighting'!BL31,Lighting!BP41)</f>
        <v>0.14210195291561115</v>
      </c>
      <c r="AT29" s="59">
        <f>IF(NewConst!$F$203=NewConst!$I$203,'Detailed Lighting'!BM31,Lighting!BQ41)</f>
        <v>0.12974232876140787</v>
      </c>
      <c r="AU29" s="59">
        <f>IF(NewConst!$F$203=NewConst!$I$203,'Detailed Lighting'!BN31,Lighting!BR41)</f>
        <v>0.10991388039840605</v>
      </c>
      <c r="AV29" s="59">
        <f>IF(NewConst!$F$203=NewConst!$I$203,'Detailed Lighting'!BO31,Lighting!BS41)</f>
        <v>0.10177039346090398</v>
      </c>
      <c r="AW29" s="729">
        <f>IF(NewConst!$F$203=NewConst!$I$203,'Detailed Lighting'!BP31,Lighting!BG41)</f>
        <v>0.12026121861334653</v>
      </c>
      <c r="AX29" s="34"/>
      <c r="AY29" s="13"/>
      <c r="AZ29" s="15"/>
      <c r="BA29" s="38">
        <v>21</v>
      </c>
      <c r="BB29" s="745">
        <v>5.212356237344247E-2</v>
      </c>
      <c r="BC29" s="745">
        <v>4.1666666666666664E-2</v>
      </c>
      <c r="BD29" s="745">
        <v>5.212356237344247E-2</v>
      </c>
      <c r="BE29" s="745">
        <v>7.2293003157548344E-2</v>
      </c>
      <c r="BF29" s="745">
        <v>0</v>
      </c>
      <c r="BG29" s="745">
        <v>1.6822429906542057E-2</v>
      </c>
      <c r="BH29" s="745">
        <v>2.3190442726633873E-2</v>
      </c>
      <c r="BI29" s="745">
        <v>4.1666666666666664E-2</v>
      </c>
      <c r="BJ29" s="746">
        <v>6.8965517241379309E-2</v>
      </c>
      <c r="BK29" s="745">
        <v>5.8823529411764705E-2</v>
      </c>
      <c r="BL29" s="745">
        <v>9.5238095238095233E-2</v>
      </c>
      <c r="BM29" s="745">
        <v>0</v>
      </c>
      <c r="BN29" s="745">
        <v>0</v>
      </c>
      <c r="BO29" s="745">
        <v>5.2277228000000002E-2</v>
      </c>
      <c r="BP29" s="745">
        <v>1.6822429906542057E-2</v>
      </c>
      <c r="BQ29" s="1331">
        <v>0</v>
      </c>
      <c r="BR29" s="745">
        <v>4.1666666666666664E-2</v>
      </c>
      <c r="BS29" s="2189"/>
      <c r="BT29" s="745">
        <f>IF(AVERAGE('Sunrise Calc'!$F$2:$F$13)&lt;'Hourly Profiles'!BA29, 1/12, "0.000 ")</f>
        <v>8.3333333333333329E-2</v>
      </c>
      <c r="BU29" s="745">
        <v>5.6310679611650483E-2</v>
      </c>
      <c r="BV29" s="745">
        <f t="shared" si="8"/>
        <v>4.5161908270200717E-2</v>
      </c>
      <c r="BW29" s="745">
        <f t="shared" si="9"/>
        <v>7.2293003157547456E-2</v>
      </c>
      <c r="BX29" s="758">
        <f t="shared" si="2"/>
        <v>0.67429842349708913</v>
      </c>
      <c r="BY29" s="747">
        <f>$BX29*NewConst!$F$250*BY$7</f>
        <v>1685.7460587427229</v>
      </c>
      <c r="BZ29" s="747">
        <f>$BX29*NewConst!$F$250*BZ$7</f>
        <v>1348.5968469941783</v>
      </c>
      <c r="CA29" s="756">
        <f t="shared" si="3"/>
        <v>0</v>
      </c>
      <c r="CB29" s="747">
        <f>$CA29*CB$7*NewConst!$E$407</f>
        <v>0</v>
      </c>
      <c r="CC29" s="747">
        <f>$CA29*CC$7*NewConst!$E$407</f>
        <v>0</v>
      </c>
      <c r="CD29" s="756">
        <f t="shared" si="4"/>
        <v>1</v>
      </c>
      <c r="CE29" s="747">
        <f>$CD29*CE$7*NewConst!$F$419</f>
        <v>2130</v>
      </c>
      <c r="CF29" s="747">
        <f>$CD29*CF$7*NewConst!$F$419</f>
        <v>3270</v>
      </c>
      <c r="CG29" s="756">
        <v>0</v>
      </c>
      <c r="CH29" s="747">
        <f>$CG29*CH$7*NewConst!$E$413</f>
        <v>0</v>
      </c>
      <c r="CI29" s="748">
        <f>$CG29*CI$7*NewConst!$E$413</f>
        <v>0</v>
      </c>
    </row>
    <row r="30" spans="2:87">
      <c r="B30" s="15"/>
      <c r="C30" s="32">
        <v>22</v>
      </c>
      <c r="D30" s="58">
        <v>6.0518788725154128E-2</v>
      </c>
      <c r="E30" s="59">
        <v>8.7999999999999995E-2</v>
      </c>
      <c r="F30" s="59">
        <v>4.6728972000000001E-2</v>
      </c>
      <c r="G30" s="59">
        <v>6.6552900999999998E-2</v>
      </c>
      <c r="H30" s="59">
        <v>4.8286603999999997E-2</v>
      </c>
      <c r="I30" s="591">
        <v>7.7220077220077218E-2</v>
      </c>
      <c r="J30" s="592">
        <v>4.0816326530612249E-2</v>
      </c>
      <c r="K30" s="591">
        <v>4.8158640226628885E-2</v>
      </c>
      <c r="L30" s="59">
        <v>4.6009656000000003E-2</v>
      </c>
      <c r="M30" s="59">
        <v>5.4257425999999997E-2</v>
      </c>
      <c r="N30" s="59">
        <v>2.4752474999999999E-2</v>
      </c>
      <c r="O30" s="59">
        <v>0.06</v>
      </c>
      <c r="P30" s="1560">
        <f t="shared" ref="P30:AD30" si="30">IF(selSchedule=$P$1,Q94,IF(selSchedule=$Q$1,Q122,IF(selSchedule=$R$1,Q150,"Error")))</f>
        <v>4.5561685055165502E-2</v>
      </c>
      <c r="Q30" s="1560">
        <f t="shared" si="30"/>
        <v>4.4456087824351301E-2</v>
      </c>
      <c r="R30" s="1560">
        <f t="shared" si="30"/>
        <v>4.1353853853853852E-2</v>
      </c>
      <c r="S30" s="1560">
        <f t="shared" si="30"/>
        <v>1.9000000000000003E-2</v>
      </c>
      <c r="T30" s="1560">
        <f t="shared" si="30"/>
        <v>3.7904269210350963E-2</v>
      </c>
      <c r="U30" s="1560">
        <f t="shared" si="30"/>
        <v>2.5495555435675193E-2</v>
      </c>
      <c r="V30" s="1560">
        <f t="shared" si="30"/>
        <v>4.1953093812375254E-2</v>
      </c>
      <c r="W30" s="1560">
        <f t="shared" si="30"/>
        <v>0.1078160518444666</v>
      </c>
      <c r="X30" s="1560">
        <f t="shared" si="30"/>
        <v>3.3422975214020004E-2</v>
      </c>
      <c r="Y30" s="1560">
        <f t="shared" si="30"/>
        <v>4.272231556046048E-2</v>
      </c>
      <c r="Z30" s="1560">
        <f t="shared" si="30"/>
        <v>4.2722315560460473E-2</v>
      </c>
      <c r="AA30" s="1560">
        <f t="shared" si="30"/>
        <v>2.991053677932406E-3</v>
      </c>
      <c r="AB30" s="1560">
        <f t="shared" si="30"/>
        <v>2.9910536779324043E-3</v>
      </c>
      <c r="AC30" s="1560">
        <f t="shared" si="30"/>
        <v>8.5500000000000007E-2</v>
      </c>
      <c r="AD30" s="1560">
        <f t="shared" si="30"/>
        <v>5.6872037914691947E-2</v>
      </c>
      <c r="AE30" s="59">
        <v>5.3592233009708737E-2</v>
      </c>
      <c r="AF30" s="591">
        <f t="shared" si="6"/>
        <v>5.4188605210244982E-2</v>
      </c>
      <c r="AG30" s="591">
        <f t="shared" si="7"/>
        <v>4.0944343917019593E-2</v>
      </c>
      <c r="AH30" s="42">
        <f t="shared" si="1"/>
        <v>1</v>
      </c>
      <c r="AI30" s="60">
        <f>$AH30*NewConst!$E$400*N_occ</f>
        <v>580.80000000000007</v>
      </c>
      <c r="AJ30" s="60">
        <f>$AH30*NewConst!$E$401*N_occ</f>
        <v>432.96000000000004</v>
      </c>
      <c r="AK30" s="58">
        <f>IF(NewConst!$F$203=NewConst!$I$203,'Detailed Lighting'!BD32,Lighting!BH42)</f>
        <v>8.8984646798258862E-2</v>
      </c>
      <c r="AL30" s="59">
        <f>IF(NewConst!$F$203=NewConst!$I$203,'Detailed Lighting'!BE32,Lighting!BI42)</f>
        <v>0.10155648168864986</v>
      </c>
      <c r="AM30" s="59">
        <f>IF(NewConst!$F$203=NewConst!$I$203,'Detailed Lighting'!BF32,Lighting!BJ42)</f>
        <v>0.12021605921347911</v>
      </c>
      <c r="AN30" s="59">
        <f>IF(NewConst!$F$203=NewConst!$I$203,'Detailed Lighting'!BG32,Lighting!BK42)</f>
        <v>0.14688136317862785</v>
      </c>
      <c r="AO30" s="59">
        <f>IF(NewConst!$F$203=NewConst!$I$203,'Detailed Lighting'!BH32,Lighting!BL42)</f>
        <v>0.16138072365325679</v>
      </c>
      <c r="AP30" s="59">
        <f>IF(NewConst!$F$203=NewConst!$I$203,'Detailed Lighting'!BI32,Lighting!BM42)</f>
        <v>0.16116338181338788</v>
      </c>
      <c r="AQ30" s="59">
        <f>IF(NewConst!$F$203=NewConst!$I$203,'Detailed Lighting'!BJ32,Lighting!BN42)</f>
        <v>0.15869021070326275</v>
      </c>
      <c r="AR30" s="59">
        <f>IF(NewConst!$F$203=NewConst!$I$203,'Detailed Lighting'!BK32,Lighting!BO42)</f>
        <v>0.15754313487998561</v>
      </c>
      <c r="AS30" s="59">
        <f>IF(NewConst!$F$203=NewConst!$I$203,'Detailed Lighting'!BL32,Lighting!BP42)</f>
        <v>0.13198049730510508</v>
      </c>
      <c r="AT30" s="59">
        <f>IF(NewConst!$F$203=NewConst!$I$203,'Detailed Lighting'!BM32,Lighting!BQ42)</f>
        <v>0.1092111941076848</v>
      </c>
      <c r="AU30" s="59">
        <f>IF(NewConst!$F$203=NewConst!$I$203,'Detailed Lighting'!BN32,Lighting!BR42)</f>
        <v>9.2520507701028251E-2</v>
      </c>
      <c r="AV30" s="59">
        <f>IF(NewConst!$F$203=NewConst!$I$203,'Detailed Lighting'!BO32,Lighting!BS42)</f>
        <v>8.5665690609834838E-2</v>
      </c>
      <c r="AW30" s="729">
        <f>IF(NewConst!$F$203=NewConst!$I$203,'Detailed Lighting'!BP32,Lighting!BG42)</f>
        <v>0.11886589949813355</v>
      </c>
      <c r="AX30" s="34"/>
      <c r="AY30" s="13"/>
      <c r="AZ30" s="15"/>
      <c r="BA30" s="38">
        <v>22</v>
      </c>
      <c r="BB30" s="745">
        <v>4.5390682736244296E-2</v>
      </c>
      <c r="BC30" s="745">
        <v>4.1666666666666664E-2</v>
      </c>
      <c r="BD30" s="745">
        <v>4.5390682736244296E-2</v>
      </c>
      <c r="BE30" s="745">
        <v>5.316564595640913E-2</v>
      </c>
      <c r="BF30" s="745">
        <v>0</v>
      </c>
      <c r="BG30" s="745">
        <v>1.6822429906542057E-2</v>
      </c>
      <c r="BH30" s="745">
        <v>2.3190442726633873E-2</v>
      </c>
      <c r="BI30" s="745">
        <v>4.1666666666666664E-2</v>
      </c>
      <c r="BJ30" s="746">
        <v>6.8965517241379309E-2</v>
      </c>
      <c r="BK30" s="745">
        <v>5.8823529411764705E-2</v>
      </c>
      <c r="BL30" s="745">
        <v>4.7619047619047616E-2</v>
      </c>
      <c r="BM30" s="745">
        <v>0</v>
      </c>
      <c r="BN30" s="745">
        <v>0</v>
      </c>
      <c r="BO30" s="745">
        <v>5.4257425999999997E-2</v>
      </c>
      <c r="BP30" s="745">
        <v>1.6822429906542057E-2</v>
      </c>
      <c r="BQ30" s="1331">
        <v>0</v>
      </c>
      <c r="BR30" s="745">
        <v>4.1666666666666664E-2</v>
      </c>
      <c r="BS30" s="2189"/>
      <c r="BT30" s="745">
        <f>IF(AVERAGE('Sunrise Calc'!$F$2:$F$13)&lt;'Hourly Profiles'!BA30, 1/12, "0.000 ")</f>
        <v>8.3333333333333329E-2</v>
      </c>
      <c r="BU30" s="745">
        <v>5.3592233009708737E-2</v>
      </c>
      <c r="BV30" s="745">
        <f t="shared" si="8"/>
        <v>3.0427109335290692E-2</v>
      </c>
      <c r="BW30" s="745">
        <f t="shared" si="9"/>
        <v>5.3165645956408471E-2</v>
      </c>
      <c r="BX30" s="758">
        <f t="shared" si="2"/>
        <v>0.58719827304245431</v>
      </c>
      <c r="BY30" s="747">
        <f>$BX30*NewConst!$F$250*BY$7</f>
        <v>1467.9956826061357</v>
      </c>
      <c r="BZ30" s="747">
        <f>$BX30*NewConst!$F$250*BZ$7</f>
        <v>1174.3965460849086</v>
      </c>
      <c r="CA30" s="756">
        <f t="shared" si="3"/>
        <v>0</v>
      </c>
      <c r="CB30" s="747">
        <f>$CA30*CB$7*NewConst!$E$407</f>
        <v>0</v>
      </c>
      <c r="CC30" s="747">
        <f>$CA30*CC$7*NewConst!$E$407</f>
        <v>0</v>
      </c>
      <c r="CD30" s="756">
        <f t="shared" si="4"/>
        <v>1</v>
      </c>
      <c r="CE30" s="747">
        <f>$CD30*CE$7*NewConst!$F$419</f>
        <v>2130</v>
      </c>
      <c r="CF30" s="747">
        <f>$CD30*CF$7*NewConst!$F$419</f>
        <v>3270</v>
      </c>
      <c r="CG30" s="756">
        <v>0</v>
      </c>
      <c r="CH30" s="747">
        <f>$CG30*CH$7*NewConst!$E$413</f>
        <v>0</v>
      </c>
      <c r="CI30" s="748">
        <f>$CG30*CI$7*NewConst!$E$413</f>
        <v>0</v>
      </c>
    </row>
    <row r="31" spans="2:87">
      <c r="B31" s="15"/>
      <c r="C31" s="32">
        <v>23</v>
      </c>
      <c r="D31" s="58">
        <v>6.0518788725154128E-2</v>
      </c>
      <c r="E31" s="59">
        <v>4.9000000000000002E-2</v>
      </c>
      <c r="F31" s="59">
        <v>3.1775701000000003E-2</v>
      </c>
      <c r="G31" s="59">
        <v>4.4368601000000001E-2</v>
      </c>
      <c r="H31" s="59">
        <v>4.2056074999999998E-2</v>
      </c>
      <c r="I31" s="591">
        <v>6.5637065637065631E-2</v>
      </c>
      <c r="J31" s="592">
        <v>2.915451895043732E-2</v>
      </c>
      <c r="K31" s="591">
        <v>3.9660056657223788E-2</v>
      </c>
      <c r="L31" s="59">
        <v>4.4021585000000002E-2</v>
      </c>
      <c r="M31" s="59">
        <v>4.3564355999999999E-2</v>
      </c>
      <c r="N31" s="59">
        <v>1.5558699E-2</v>
      </c>
      <c r="O31" s="59">
        <v>5.1999999999999998E-2</v>
      </c>
      <c r="P31" s="1560">
        <f t="shared" ref="P31:AD31" si="31">IF(selSchedule=$P$1,Q95,IF(selSchedule=$Q$1,Q123,IF(selSchedule=$R$1,Q151,"Error")))</f>
        <v>3.8043630892678038E-2</v>
      </c>
      <c r="Q31" s="1560">
        <f t="shared" si="31"/>
        <v>4.3457085828343324E-2</v>
      </c>
      <c r="R31" s="1560">
        <f t="shared" si="31"/>
        <v>4.0853353353353355E-2</v>
      </c>
      <c r="S31" s="1560">
        <f t="shared" si="31"/>
        <v>1.3000000000000001E-2</v>
      </c>
      <c r="T31" s="1560">
        <f t="shared" si="31"/>
        <v>2.1943161524417752E-2</v>
      </c>
      <c r="U31" s="1560">
        <f t="shared" si="31"/>
        <v>1.500002997008985E-2</v>
      </c>
      <c r="V31" s="1560">
        <f t="shared" si="31"/>
        <v>3.3469061876247513E-2</v>
      </c>
      <c r="W31" s="1560">
        <f t="shared" si="31"/>
        <v>8.8854935194416756E-2</v>
      </c>
      <c r="X31" s="1560">
        <f t="shared" si="31"/>
        <v>3.3422975214020004E-2</v>
      </c>
      <c r="Y31" s="1560">
        <f t="shared" si="31"/>
        <v>2.3844026210167003E-2</v>
      </c>
      <c r="Z31" s="1560">
        <f t="shared" si="31"/>
        <v>2.3844026210167006E-2</v>
      </c>
      <c r="AA31" s="1560">
        <f t="shared" si="31"/>
        <v>2.991053677932406E-3</v>
      </c>
      <c r="AB31" s="1560">
        <f t="shared" si="31"/>
        <v>2.9910536779324043E-3</v>
      </c>
      <c r="AC31" s="1560">
        <f t="shared" si="31"/>
        <v>7.4999999999999997E-2</v>
      </c>
      <c r="AD31" s="1560">
        <f t="shared" si="31"/>
        <v>5.6872037914691947E-2</v>
      </c>
      <c r="AE31" s="59">
        <v>4.5048543689320389E-2</v>
      </c>
      <c r="AF31" s="591">
        <f t="shared" si="6"/>
        <v>4.615852574601758E-2</v>
      </c>
      <c r="AG31" s="591">
        <f t="shared" si="7"/>
        <v>3.0415398507194866E-2</v>
      </c>
      <c r="AH31" s="42">
        <f t="shared" si="1"/>
        <v>1</v>
      </c>
      <c r="AI31" s="60">
        <f>$AH31*NewConst!$E$400*N_occ</f>
        <v>580.80000000000007</v>
      </c>
      <c r="AJ31" s="60">
        <f>$AH31*NewConst!$E$401*N_occ</f>
        <v>432.96000000000004</v>
      </c>
      <c r="AK31" s="58">
        <f>IF(NewConst!$F$203=NewConst!$I$203,'Detailed Lighting'!BD33,Lighting!BH43)</f>
        <v>6.6592813018866645E-2</v>
      </c>
      <c r="AL31" s="59">
        <f>IF(NewConst!$F$203=NewConst!$I$203,'Detailed Lighting'!BE33,Lighting!BI43)</f>
        <v>7.6001108497725053E-2</v>
      </c>
      <c r="AM31" s="59">
        <f>IF(NewConst!$F$203=NewConst!$I$203,'Detailed Lighting'!BF33,Lighting!BJ43)</f>
        <v>8.996524502949263E-2</v>
      </c>
      <c r="AN31" s="59">
        <f>IF(NewConst!$F$203=NewConst!$I$203,'Detailed Lighting'!BG33,Lighting!BK43)</f>
        <v>0.10992057063828223</v>
      </c>
      <c r="AO31" s="59">
        <f>IF(NewConst!$F$203=NewConst!$I$203,'Detailed Lighting'!BH33,Lighting!BL43)</f>
        <v>0.12625816590531089</v>
      </c>
      <c r="AP31" s="59">
        <f>IF(NewConst!$F$203=NewConst!$I$203,'Detailed Lighting'!BI33,Lighting!BM43)</f>
        <v>0.13500098805547539</v>
      </c>
      <c r="AQ31" s="59">
        <f>IF(NewConst!$F$203=NewConst!$I$203,'Detailed Lighting'!BJ33,Lighting!BN43)</f>
        <v>0.13252087606567856</v>
      </c>
      <c r="AR31" s="59">
        <f>IF(NewConst!$F$203=NewConst!$I$203,'Detailed Lighting'!BK33,Lighting!BO43)</f>
        <v>0.11789944558923897</v>
      </c>
      <c r="AS31" s="59">
        <f>IF(NewConst!$F$203=NewConst!$I$203,'Detailed Lighting'!BL33,Lighting!BP43)</f>
        <v>9.8769314656063423E-2</v>
      </c>
      <c r="AT31" s="59">
        <f>IF(NewConst!$F$203=NewConst!$I$203,'Detailed Lighting'!BM33,Lighting!BQ43)</f>
        <v>8.1729611685355447E-2</v>
      </c>
      <c r="AU31" s="59">
        <f>IF(NewConst!$F$203=NewConst!$I$203,'Detailed Lighting'!BN33,Lighting!BR43)</f>
        <v>6.9238920324238909E-2</v>
      </c>
      <c r="AV31" s="59">
        <f>IF(NewConst!$F$203=NewConst!$I$203,'Detailed Lighting'!BO33,Lighting!BS43)</f>
        <v>6.4109029165966572E-2</v>
      </c>
      <c r="AW31" s="729">
        <f>IF(NewConst!$F$203=NewConst!$I$203,'Detailed Lighting'!BP33,Lighting!BG43)</f>
        <v>9.0888379220282312E-2</v>
      </c>
      <c r="AX31" s="34"/>
      <c r="AY31" s="13"/>
      <c r="AZ31" s="15"/>
      <c r="BA31" s="38">
        <v>23</v>
      </c>
      <c r="BB31" s="745">
        <v>2.8762012299198749E-2</v>
      </c>
      <c r="BC31" s="745">
        <v>4.1666666666666664E-2</v>
      </c>
      <c r="BD31" s="745">
        <v>2.8762012299198749E-2</v>
      </c>
      <c r="BE31" s="745">
        <v>4.6298158801678924E-2</v>
      </c>
      <c r="BF31" s="745">
        <v>0</v>
      </c>
      <c r="BG31" s="745">
        <v>1.6822429906542057E-2</v>
      </c>
      <c r="BH31" s="745">
        <v>2.3190442726633873E-2</v>
      </c>
      <c r="BI31" s="745">
        <v>4.1666666666666664E-2</v>
      </c>
      <c r="BJ31" s="746">
        <v>3.4482758620689655E-2</v>
      </c>
      <c r="BK31" s="745">
        <v>5.8823529411764705E-2</v>
      </c>
      <c r="BL31" s="745">
        <v>4.7619047619047616E-2</v>
      </c>
      <c r="BM31" s="745">
        <v>0</v>
      </c>
      <c r="BN31" s="745">
        <v>0</v>
      </c>
      <c r="BO31" s="745">
        <v>4.3564355999999999E-2</v>
      </c>
      <c r="BP31" s="745">
        <v>1.6822429906542057E-2</v>
      </c>
      <c r="BQ31" s="1331">
        <v>0</v>
      </c>
      <c r="BR31" s="745">
        <v>4.1666666666666664E-2</v>
      </c>
      <c r="BS31" s="2189"/>
      <c r="BT31" s="745">
        <f>IF(AVERAGE('Sunrise Calc'!$F$2:$F$13)&lt;'Hourly Profiles'!BA31, 1/12, "0.000 ")</f>
        <v>8.3333333333333329E-2</v>
      </c>
      <c r="BU31" s="745">
        <v>4.5048543689320389E-2</v>
      </c>
      <c r="BV31" s="745">
        <f t="shared" si="8"/>
        <v>3.0102615174941241E-2</v>
      </c>
      <c r="BW31" s="745">
        <f t="shared" si="9"/>
        <v>4.6298158801678348E-2</v>
      </c>
      <c r="BX31" s="758">
        <f t="shared" si="2"/>
        <v>0.37208085301236338</v>
      </c>
      <c r="BY31" s="747">
        <f>$BX31*NewConst!$F$250*BY$7</f>
        <v>930.20213253090844</v>
      </c>
      <c r="BZ31" s="747">
        <f>$BX31*NewConst!$F$250*BZ$7</f>
        <v>744.16170602472675</v>
      </c>
      <c r="CA31" s="756">
        <f t="shared" si="3"/>
        <v>0</v>
      </c>
      <c r="CB31" s="747">
        <f>$CA31*CB$7*NewConst!$E$407</f>
        <v>0</v>
      </c>
      <c r="CC31" s="747">
        <f>$CA31*CC$7*NewConst!$E$407</f>
        <v>0</v>
      </c>
      <c r="CD31" s="756">
        <f t="shared" si="4"/>
        <v>0.5</v>
      </c>
      <c r="CE31" s="747">
        <f>$CD31*CE$7*NewConst!$F$419</f>
        <v>1065</v>
      </c>
      <c r="CF31" s="747">
        <f>$CD31*CF$7*NewConst!$F$419</f>
        <v>1635</v>
      </c>
      <c r="CG31" s="756">
        <v>0</v>
      </c>
      <c r="CH31" s="747">
        <f>$CG31*CH$7*NewConst!$E$413</f>
        <v>0</v>
      </c>
      <c r="CI31" s="748">
        <f>$CG31*CI$7*NewConst!$E$413</f>
        <v>0</v>
      </c>
    </row>
    <row r="32" spans="2:87">
      <c r="B32" s="15"/>
      <c r="C32" s="33">
        <v>24</v>
      </c>
      <c r="D32" s="62">
        <v>6.0518788725154128E-2</v>
      </c>
      <c r="E32" s="63">
        <v>0.02</v>
      </c>
      <c r="F32" s="63">
        <v>1.6822429999999999E-2</v>
      </c>
      <c r="G32" s="63">
        <v>3.0716724000000001E-2</v>
      </c>
      <c r="H32" s="63">
        <v>2.3364486E-2</v>
      </c>
      <c r="I32" s="593">
        <v>3.8610038610038609E-2</v>
      </c>
      <c r="J32" s="592">
        <v>2.0894071914480079E-2</v>
      </c>
      <c r="K32" s="593">
        <v>2.7195467422096314E-2</v>
      </c>
      <c r="L32" s="63">
        <v>4.1181482999999998E-2</v>
      </c>
      <c r="M32" s="63">
        <v>2.3762376000000002E-2</v>
      </c>
      <c r="N32" s="63">
        <v>1.0608204E-2</v>
      </c>
      <c r="O32" s="63">
        <v>4.4999999999999998E-2</v>
      </c>
      <c r="P32" s="1560">
        <f t="shared" ref="P32:AD32" si="32">IF(selSchedule=$P$1,Q96,IF(selSchedule=$Q$1,Q124,IF(selSchedule=$R$1,Q152,"Error")))</f>
        <v>3.0525576730190577E-2</v>
      </c>
      <c r="Q32" s="1560">
        <f t="shared" si="32"/>
        <v>4.2458083832335333E-2</v>
      </c>
      <c r="R32" s="1560">
        <f t="shared" si="32"/>
        <v>4.0853353353353355E-2</v>
      </c>
      <c r="S32" s="1560">
        <f t="shared" si="32"/>
        <v>7.000000000000001E-3</v>
      </c>
      <c r="T32" s="1560">
        <f t="shared" si="32"/>
        <v>5.9830498514446689E-3</v>
      </c>
      <c r="U32" s="1560">
        <f t="shared" si="32"/>
        <v>4.5045045045045027E-3</v>
      </c>
      <c r="V32" s="1560">
        <f t="shared" si="32"/>
        <v>2.4486027944111782E-2</v>
      </c>
      <c r="W32" s="1560">
        <f t="shared" si="32"/>
        <v>6.9893818544366895E-2</v>
      </c>
      <c r="X32" s="1560">
        <f t="shared" si="32"/>
        <v>3.7942420031972277E-2</v>
      </c>
      <c r="Y32" s="1560">
        <f t="shared" si="32"/>
        <v>2.3844026210167003E-2</v>
      </c>
      <c r="Z32" s="1560">
        <f t="shared" si="32"/>
        <v>2.3844026210167006E-2</v>
      </c>
      <c r="AA32" s="1560">
        <f t="shared" si="32"/>
        <v>2.991053677932406E-3</v>
      </c>
      <c r="AB32" s="1560">
        <f t="shared" si="32"/>
        <v>2.9910536779324043E-3</v>
      </c>
      <c r="AC32" s="1560">
        <f t="shared" si="32"/>
        <v>6.4500000000000002E-2</v>
      </c>
      <c r="AD32" s="1560">
        <f t="shared" si="32"/>
        <v>5.6872037914691947E-2</v>
      </c>
      <c r="AE32" s="63">
        <v>3.6504854368932041E-2</v>
      </c>
      <c r="AF32" s="591">
        <f t="shared" si="6"/>
        <v>3.7326180911648188E-2</v>
      </c>
      <c r="AG32" s="591">
        <f t="shared" si="7"/>
        <v>2.1714744407934267E-2</v>
      </c>
      <c r="AH32" s="64">
        <f t="shared" si="1"/>
        <v>1</v>
      </c>
      <c r="AI32" s="60">
        <f>$AH32*NewConst!$E$400*N_occ</f>
        <v>580.80000000000007</v>
      </c>
      <c r="AJ32" s="60">
        <f>$AH32*NewConst!$E$401*N_occ</f>
        <v>432.96000000000004</v>
      </c>
      <c r="AK32" s="62">
        <f>IF(NewConst!$F$203=NewConst!$I$203,'Detailed Lighting'!BD34,Lighting!BH44)</f>
        <v>4.6286849496125312E-2</v>
      </c>
      <c r="AL32" s="63">
        <f>IF(NewConst!$F$203=NewConst!$I$203,'Detailed Lighting'!BE34,Lighting!BI44)</f>
        <v>5.2826299282119758E-2</v>
      </c>
      <c r="AM32" s="63">
        <f>IF(NewConst!$F$203=NewConst!$I$203,'Detailed Lighting'!BF34,Lighting!BJ44)</f>
        <v>6.2532390025067483E-2</v>
      </c>
      <c r="AN32" s="63">
        <f>IF(NewConst!$F$203=NewConst!$I$203,'Detailed Lighting'!BG34,Lighting!BK44)</f>
        <v>7.6402793019434631E-2</v>
      </c>
      <c r="AO32" s="63">
        <f>IF(NewConst!$F$203=NewConst!$I$203,'Detailed Lighting'!BH34,Lighting!BL44)</f>
        <v>8.775861024612723E-2</v>
      </c>
      <c r="AP32" s="63">
        <f>IF(NewConst!$F$203=NewConst!$I$203,'Detailed Lighting'!BI34,Lighting!BM44)</f>
        <v>9.3835507657284864E-2</v>
      </c>
      <c r="AQ32" s="63">
        <f>IF(NewConst!$F$203=NewConst!$I$203,'Detailed Lighting'!BJ34,Lighting!BN44)</f>
        <v>9.2111649402900286E-2</v>
      </c>
      <c r="AR32" s="63">
        <f>IF(NewConst!$F$203=NewConst!$I$203,'Detailed Lighting'!BK34,Lighting!BO44)</f>
        <v>8.1948691552039141E-2</v>
      </c>
      <c r="AS32" s="63">
        <f>IF(NewConst!$F$203=NewConst!$I$203,'Detailed Lighting'!BL34,Lighting!BP44)</f>
        <v>6.8651858887916639E-2</v>
      </c>
      <c r="AT32" s="63">
        <f>IF(NewConst!$F$203=NewConst!$I$203,'Detailed Lighting'!BM34,Lighting!BQ44)</f>
        <v>5.6808025730720149E-2</v>
      </c>
      <c r="AU32" s="63">
        <f>IF(NewConst!$F$203=NewConst!$I$203,'Detailed Lighting'!BN34,Lighting!BR44)</f>
        <v>4.812608657054749E-2</v>
      </c>
      <c r="AV32" s="63">
        <f>IF(NewConst!$F$203=NewConst!$I$203,'Detailed Lighting'!BO34,Lighting!BS44)</f>
        <v>4.4560439029765822E-2</v>
      </c>
      <c r="AW32" s="732">
        <f>IF(NewConst!$F$203=NewConst!$I$203,'Detailed Lighting'!BP34,Lighting!BG44)</f>
        <v>6.3174035443195498E-2</v>
      </c>
      <c r="AX32" s="34"/>
      <c r="AY32" s="13"/>
      <c r="AZ32" s="15"/>
      <c r="BA32" s="39">
        <v>24</v>
      </c>
      <c r="BB32" s="745">
        <v>2.383939996212597E-2</v>
      </c>
      <c r="BC32" s="749">
        <v>4.1666666666666664E-2</v>
      </c>
      <c r="BD32" s="749">
        <v>2.383939996212597E-2</v>
      </c>
      <c r="BE32" s="749">
        <v>2.9337038630195482E-2</v>
      </c>
      <c r="BF32" s="749">
        <v>0</v>
      </c>
      <c r="BG32" s="749">
        <v>1.6822429906542057E-2</v>
      </c>
      <c r="BH32" s="749">
        <v>2.3190442726633873E-2</v>
      </c>
      <c r="BI32" s="745">
        <v>4.1666666666666664E-2</v>
      </c>
      <c r="BJ32" s="746">
        <v>0</v>
      </c>
      <c r="BK32" s="749">
        <v>0</v>
      </c>
      <c r="BL32" s="749">
        <v>0</v>
      </c>
      <c r="BM32" s="749">
        <v>0</v>
      </c>
      <c r="BN32" s="749">
        <v>0</v>
      </c>
      <c r="BO32" s="749">
        <v>2.3762376000000002E-2</v>
      </c>
      <c r="BP32" s="749">
        <v>1.6822429906542057E-2</v>
      </c>
      <c r="BQ32" s="1332">
        <v>0</v>
      </c>
      <c r="BR32" s="749">
        <v>4.1666666666666664E-2</v>
      </c>
      <c r="BS32" s="2190"/>
      <c r="BT32" s="745">
        <f>IF(AVERAGE('Sunrise Calc'!$F$2:$F$13)&lt;'Hourly Profiles'!BA32, 1/12, "0.000 ")</f>
        <v>8.3333333333333329E-2</v>
      </c>
      <c r="BU32" s="749">
        <v>3.6504854368932041E-2</v>
      </c>
      <c r="BV32" s="745">
        <f t="shared" si="8"/>
        <v>1.5441448240480011E-2</v>
      </c>
      <c r="BW32" s="745">
        <f t="shared" si="9"/>
        <v>2.9337038630195121E-2</v>
      </c>
      <c r="BX32" s="758">
        <f t="shared" si="2"/>
        <v>0.30839929351736767</v>
      </c>
      <c r="BY32" s="747">
        <f>$BX32*NewConst!$F$250*BY$7</f>
        <v>770.9982337934191</v>
      </c>
      <c r="BZ32" s="747">
        <f>$BX32*NewConst!$F$250*BZ$7</f>
        <v>616.79858703473531</v>
      </c>
      <c r="CA32" s="757">
        <f t="shared" si="3"/>
        <v>0</v>
      </c>
      <c r="CB32" s="747">
        <f>$CA32*CB$7*NewConst!$E$407</f>
        <v>0</v>
      </c>
      <c r="CC32" s="747">
        <f>$CA32*CC$7*NewConst!$E$407</f>
        <v>0</v>
      </c>
      <c r="CD32" s="756">
        <f t="shared" si="4"/>
        <v>0</v>
      </c>
      <c r="CE32" s="747">
        <f>$CD32*CE$7*NewConst!$F$419</f>
        <v>0</v>
      </c>
      <c r="CF32" s="747">
        <f>$CD32*CF$7*NewConst!$F$419</f>
        <v>0</v>
      </c>
      <c r="CG32" s="756">
        <v>0</v>
      </c>
      <c r="CH32" s="747">
        <f>$CG32*CH$7*NewConst!$E$413</f>
        <v>0</v>
      </c>
      <c r="CI32" s="748">
        <f>$CG32*CI$7*NewConst!$E$413</f>
        <v>0</v>
      </c>
    </row>
    <row r="33" spans="2:90">
      <c r="B33" s="15"/>
      <c r="C33" s="29"/>
      <c r="D33" s="65">
        <f t="shared" ref="D33:AW33" si="33">SUM(D9:D32)</f>
        <v>1.0000000000000004</v>
      </c>
      <c r="E33" s="66">
        <f t="shared" si="33"/>
        <v>1</v>
      </c>
      <c r="F33" s="66">
        <f t="shared" si="33"/>
        <v>1.000000003</v>
      </c>
      <c r="G33" s="66">
        <f t="shared" si="33"/>
        <v>1.0000000009999999</v>
      </c>
      <c r="H33" s="66">
        <f t="shared" si="33"/>
        <v>1.00000037</v>
      </c>
      <c r="I33" s="66">
        <f t="shared" si="33"/>
        <v>0.99999999999999989</v>
      </c>
      <c r="J33" s="66">
        <f t="shared" si="33"/>
        <v>1</v>
      </c>
      <c r="K33" s="66">
        <f t="shared" si="33"/>
        <v>1</v>
      </c>
      <c r="L33" s="66">
        <f t="shared" si="33"/>
        <v>1</v>
      </c>
      <c r="M33" s="66">
        <f t="shared" si="33"/>
        <v>1.0000000009999999</v>
      </c>
      <c r="N33" s="66">
        <f t="shared" si="33"/>
        <v>1.0000000009999999</v>
      </c>
      <c r="O33" s="66">
        <f t="shared" si="33"/>
        <v>1.0000000000000004</v>
      </c>
      <c r="P33" s="1561">
        <f t="shared" si="33"/>
        <v>1</v>
      </c>
      <c r="Q33" s="1561">
        <f t="shared" si="33"/>
        <v>0.99999999999999989</v>
      </c>
      <c r="R33" s="1561">
        <f t="shared" si="33"/>
        <v>1</v>
      </c>
      <c r="S33" s="1561">
        <f t="shared" si="33"/>
        <v>1.0000000000000002</v>
      </c>
      <c r="T33" s="1561">
        <f t="shared" si="33"/>
        <v>1</v>
      </c>
      <c r="U33" s="1561">
        <f t="shared" si="33"/>
        <v>1</v>
      </c>
      <c r="V33" s="1561">
        <f t="shared" si="33"/>
        <v>1</v>
      </c>
      <c r="W33" s="1561">
        <f t="shared" si="33"/>
        <v>1</v>
      </c>
      <c r="X33" s="1561">
        <f t="shared" si="33"/>
        <v>1.0000000000000004</v>
      </c>
      <c r="Y33" s="1561">
        <f t="shared" si="33"/>
        <v>1</v>
      </c>
      <c r="Z33" s="1561">
        <f t="shared" si="33"/>
        <v>1</v>
      </c>
      <c r="AA33" s="1561">
        <f t="shared" si="33"/>
        <v>1.0000000000000002</v>
      </c>
      <c r="AB33" s="1561">
        <f t="shared" si="33"/>
        <v>0.99999999999999967</v>
      </c>
      <c r="AC33" s="1561">
        <f t="shared" si="33"/>
        <v>1</v>
      </c>
      <c r="AD33" s="1561">
        <f t="shared" si="33"/>
        <v>1.0000000000000004</v>
      </c>
      <c r="AE33" s="66">
        <f t="shared" si="33"/>
        <v>0.99999999999999989</v>
      </c>
      <c r="AF33" s="66">
        <f t="shared" si="33"/>
        <v>1.0000000384525145</v>
      </c>
      <c r="AG33" s="66">
        <f t="shared" si="33"/>
        <v>1.0000000005154535</v>
      </c>
      <c r="AH33" s="66">
        <f t="shared" si="33"/>
        <v>16.523794032651523</v>
      </c>
      <c r="AI33" s="1049">
        <f t="shared" si="33"/>
        <v>9597.0195741640055</v>
      </c>
      <c r="AJ33" s="1289">
        <f t="shared" si="33"/>
        <v>7154.1418643768075</v>
      </c>
      <c r="AK33" s="730">
        <f t="shared" si="33"/>
        <v>0.99999999999999989</v>
      </c>
      <c r="AL33" s="593">
        <f t="shared" si="33"/>
        <v>0.99999999999999989</v>
      </c>
      <c r="AM33" s="593">
        <f t="shared" si="33"/>
        <v>0.99999999999999989</v>
      </c>
      <c r="AN33" s="593">
        <f t="shared" si="33"/>
        <v>1</v>
      </c>
      <c r="AO33" s="593">
        <f t="shared" si="33"/>
        <v>0.99999999999999989</v>
      </c>
      <c r="AP33" s="593">
        <f t="shared" si="33"/>
        <v>1</v>
      </c>
      <c r="AQ33" s="593">
        <f t="shared" si="33"/>
        <v>1</v>
      </c>
      <c r="AR33" s="593">
        <f t="shared" si="33"/>
        <v>0.99999999999999989</v>
      </c>
      <c r="AS33" s="593">
        <f t="shared" si="33"/>
        <v>0.99999999999999978</v>
      </c>
      <c r="AT33" s="593">
        <f t="shared" si="33"/>
        <v>1</v>
      </c>
      <c r="AU33" s="593">
        <f t="shared" si="33"/>
        <v>1.0000000000000002</v>
      </c>
      <c r="AV33" s="593">
        <f t="shared" si="33"/>
        <v>1.0000000000000002</v>
      </c>
      <c r="AW33" s="731">
        <f t="shared" si="33"/>
        <v>1</v>
      </c>
      <c r="AX33" s="1"/>
      <c r="AY33" s="13"/>
      <c r="AZ33" s="15"/>
      <c r="BA33" s="29"/>
      <c r="BB33" s="66">
        <f>SUM(BB9:BB32)</f>
        <v>0.99999999999999967</v>
      </c>
      <c r="BC33" s="66">
        <f>SUM(BC9:BC32)</f>
        <v>0.99999999999999956</v>
      </c>
      <c r="BD33" s="66">
        <f>SUM(BD9:BD32)</f>
        <v>0.99999999999999967</v>
      </c>
      <c r="BE33" s="66">
        <f>SUM(BE9:BE32)</f>
        <v>1</v>
      </c>
      <c r="BF33" s="66">
        <f>SUM(BF9:BF32)</f>
        <v>1</v>
      </c>
      <c r="BG33" s="66">
        <f>SUM(BH9:BH32)</f>
        <v>0.99999999999999967</v>
      </c>
      <c r="BH33" s="66">
        <f>SUM(BI9:BI32)</f>
        <v>0.99999999999999956</v>
      </c>
      <c r="BI33" s="66">
        <f>SUM(BJ9:BJ32)</f>
        <v>1.0000000000000002</v>
      </c>
      <c r="BJ33" s="66">
        <f>SUM(BK9:BK32)</f>
        <v>1</v>
      </c>
      <c r="BK33" s="66">
        <f>SUM(BL9:BL32)</f>
        <v>1</v>
      </c>
      <c r="BL33" s="66">
        <f>SUM(BO9:BO32)</f>
        <v>1.0000000009999999</v>
      </c>
      <c r="BM33" s="66">
        <f t="shared" ref="BM33:CF33" si="34">SUM(BM9:BM32)</f>
        <v>0.99999999999999978</v>
      </c>
      <c r="BN33" s="66"/>
      <c r="BO33" s="66">
        <f t="shared" si="34"/>
        <v>1.0000000009999999</v>
      </c>
      <c r="BP33" s="66">
        <f t="shared" si="34"/>
        <v>1</v>
      </c>
      <c r="BQ33" s="66">
        <f t="shared" si="34"/>
        <v>1.0000000000000002</v>
      </c>
      <c r="BR33" s="66">
        <f t="shared" si="34"/>
        <v>0.99999999999999956</v>
      </c>
      <c r="BS33" s="66"/>
      <c r="BT33" s="66">
        <f t="shared" si="34"/>
        <v>1</v>
      </c>
      <c r="BU33" s="66">
        <f t="shared" si="34"/>
        <v>0.99999999999999989</v>
      </c>
      <c r="BV33" s="66">
        <f t="shared" si="34"/>
        <v>0.99999999999999978</v>
      </c>
      <c r="BW33" s="66">
        <f t="shared" si="34"/>
        <v>0.99999999999998745</v>
      </c>
      <c r="BX33" s="66">
        <f>SUM(BX9:BX32)</f>
        <v>12.936537580951136</v>
      </c>
      <c r="BY33" s="66">
        <f t="shared" si="34"/>
        <v>32341.343952377836</v>
      </c>
      <c r="BZ33" s="67">
        <f t="shared" si="34"/>
        <v>25873.07516190227</v>
      </c>
      <c r="CA33" s="66">
        <f t="shared" si="34"/>
        <v>8.5</v>
      </c>
      <c r="CB33" s="66">
        <f t="shared" si="34"/>
        <v>6375</v>
      </c>
      <c r="CC33" s="67">
        <f t="shared" si="34"/>
        <v>5100</v>
      </c>
      <c r="CD33" s="66">
        <f t="shared" si="34"/>
        <v>14.5</v>
      </c>
      <c r="CE33" s="66">
        <f t="shared" si="34"/>
        <v>30885</v>
      </c>
      <c r="CF33" s="67">
        <f t="shared" si="34"/>
        <v>47415</v>
      </c>
      <c r="CG33" s="65">
        <f>SUM(CG9:CG32)</f>
        <v>7</v>
      </c>
      <c r="CH33" s="66">
        <f>SUM(CH9:CH32)</f>
        <v>565.95000000000005</v>
      </c>
      <c r="CI33" s="67">
        <f>SUM(CI9:CI32)</f>
        <v>358.05</v>
      </c>
      <c r="CK33" s="13"/>
      <c r="CL33" s="1184"/>
    </row>
    <row r="34" spans="2:90">
      <c r="B34" s="15"/>
      <c r="C34" s="16"/>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R34" s="13"/>
      <c r="BS34" s="13"/>
      <c r="BT34" s="13"/>
      <c r="BU34" s="13"/>
      <c r="BV34" s="13"/>
      <c r="BW34" s="13"/>
      <c r="BX34" s="13"/>
      <c r="BY34" s="13"/>
      <c r="BZ34" s="13"/>
      <c r="CA34" s="13"/>
      <c r="CB34" s="13"/>
      <c r="CC34" s="13"/>
      <c r="CD34" s="13"/>
      <c r="CE34" s="13"/>
      <c r="CF34" s="13"/>
      <c r="CL34" s="1184"/>
    </row>
    <row r="35" spans="2:90">
      <c r="B35" s="15"/>
      <c r="C35" s="16"/>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row>
    <row r="36" spans="2:90">
      <c r="B36" s="2195" t="s">
        <v>4769</v>
      </c>
      <c r="C36" s="2196"/>
      <c r="D36" s="2196"/>
      <c r="E36" s="2196"/>
      <c r="F36" s="2196"/>
      <c r="G36" s="2196"/>
      <c r="H36" s="2196"/>
      <c r="I36" s="2196"/>
      <c r="J36" s="2196"/>
      <c r="K36" s="2196"/>
      <c r="L36" s="2196"/>
      <c r="M36" s="2196"/>
      <c r="N36" s="2196"/>
      <c r="O36" s="2196"/>
      <c r="P36" s="2196"/>
      <c r="Q36" s="2196"/>
      <c r="R36" s="2196"/>
      <c r="S36" s="2196"/>
      <c r="T36" s="2196"/>
      <c r="U36" s="2196"/>
      <c r="V36" s="2196"/>
      <c r="W36" s="2196"/>
      <c r="X36" s="2196"/>
      <c r="Y36" s="2196"/>
      <c r="Z36" s="2196"/>
      <c r="AA36" s="2196"/>
      <c r="AB36" s="2196"/>
      <c r="AC36" s="2196"/>
      <c r="AD36" s="2196"/>
      <c r="AE36" s="2196"/>
      <c r="AF36" s="2196"/>
      <c r="AG36" s="2196"/>
      <c r="AH36" s="1973"/>
      <c r="AI36" s="1973"/>
      <c r="AJ36" s="1973"/>
      <c r="AK36" s="1973"/>
      <c r="AL36" s="1973"/>
      <c r="AM36" s="1973"/>
      <c r="AN36" s="1973"/>
      <c r="AO36" s="1973"/>
      <c r="AP36" s="1973"/>
      <c r="AQ36" s="1973"/>
      <c r="AR36" s="1973"/>
      <c r="AS36" s="1973"/>
      <c r="AT36" s="1973"/>
      <c r="AU36" s="1973"/>
      <c r="AV36" s="1973"/>
      <c r="AW36" s="1974"/>
      <c r="AX36" s="43"/>
      <c r="AY36" s="43"/>
      <c r="AZ36" s="43"/>
      <c r="BA36" s="2195" t="s">
        <v>4770</v>
      </c>
      <c r="BB36" s="2196"/>
      <c r="BC36" s="2196"/>
      <c r="BD36" s="2196"/>
      <c r="BE36" s="2196"/>
      <c r="BF36" s="2196"/>
      <c r="BG36" s="2196"/>
      <c r="BH36" s="2196"/>
      <c r="BI36" s="2196"/>
      <c r="BJ36" s="2196"/>
      <c r="BK36" s="2196"/>
      <c r="BL36" s="2196"/>
      <c r="BM36" s="2196"/>
      <c r="BN36" s="2196"/>
      <c r="BO36" s="2196"/>
      <c r="BP36" s="2196"/>
      <c r="BQ36" s="2196"/>
      <c r="BR36" s="2196"/>
      <c r="BS36" s="2196"/>
      <c r="BT36" s="2196"/>
      <c r="BU36" s="2196"/>
      <c r="BV36" s="2196"/>
      <c r="BW36" s="2196"/>
      <c r="BX36" s="2196"/>
      <c r="BY36" s="750"/>
      <c r="BZ36" s="750"/>
      <c r="CA36" s="750"/>
      <c r="CB36" s="750"/>
      <c r="CC36" s="750"/>
      <c r="CD36" s="750"/>
      <c r="CE36" s="750"/>
      <c r="CF36" s="750"/>
      <c r="CG36" s="750"/>
      <c r="CH36" s="750"/>
      <c r="CI36" s="751"/>
      <c r="CJ36" s="13"/>
      <c r="CK36" s="13"/>
      <c r="CL36" s="13"/>
    </row>
    <row r="37" spans="2:90">
      <c r="B37" s="3"/>
      <c r="C37" s="74"/>
      <c r="D37" s="73"/>
      <c r="E37" s="73"/>
      <c r="F37" s="73"/>
      <c r="G37" s="73"/>
      <c r="H37" s="73"/>
      <c r="I37" s="606"/>
      <c r="J37" s="607"/>
      <c r="K37" s="606"/>
      <c r="L37" s="73"/>
      <c r="M37" s="73"/>
      <c r="N37" s="73"/>
      <c r="O37" s="2191" t="str">
        <f>O3</f>
        <v>Misc Elec Loads
(Total of disaggregation at right)</v>
      </c>
      <c r="P37" s="2200" t="s">
        <v>6445</v>
      </c>
      <c r="Q37" s="2200"/>
      <c r="R37" s="2200"/>
      <c r="S37" s="2200"/>
      <c r="T37" s="2200"/>
      <c r="U37" s="2200"/>
      <c r="V37" s="2200"/>
      <c r="W37" s="2200"/>
      <c r="X37" s="2200"/>
      <c r="Y37" s="2200"/>
      <c r="Z37" s="2200"/>
      <c r="AA37" s="2200"/>
      <c r="AB37" s="2200"/>
      <c r="AC37" s="2200"/>
      <c r="AD37" s="2200"/>
      <c r="AE37" s="35" t="s">
        <v>631</v>
      </c>
      <c r="AF37" s="35" t="s">
        <v>1021</v>
      </c>
      <c r="AG37" s="36" t="s">
        <v>505</v>
      </c>
      <c r="AH37" s="36"/>
      <c r="AI37" s="36"/>
      <c r="AJ37" s="36"/>
      <c r="AK37" s="717"/>
      <c r="AL37" s="718"/>
      <c r="AM37" s="719"/>
      <c r="AN37" s="719"/>
      <c r="AO37" s="719"/>
      <c r="AP37" s="719"/>
      <c r="AQ37" s="719"/>
      <c r="AR37" s="719"/>
      <c r="AS37" s="719"/>
      <c r="AT37" s="719"/>
      <c r="AU37" s="719"/>
      <c r="AV37" s="719"/>
      <c r="AW37" s="720"/>
      <c r="AX37" s="13"/>
      <c r="AY37" s="13"/>
      <c r="AZ37" s="13"/>
      <c r="BA37" s="37"/>
      <c r="BB37" s="31"/>
      <c r="BC37" s="36"/>
      <c r="BD37" s="36"/>
      <c r="BE37" s="36"/>
      <c r="BF37" s="36"/>
      <c r="BG37" s="36"/>
      <c r="BH37" s="36"/>
      <c r="BI37" s="588"/>
      <c r="BJ37" s="588"/>
      <c r="BK37" s="588"/>
      <c r="BL37" s="36"/>
      <c r="BM37" s="36"/>
      <c r="BN37" s="36"/>
      <c r="BO37" s="36"/>
      <c r="BP37" s="36"/>
      <c r="BQ37" s="36"/>
      <c r="BR37" s="36"/>
      <c r="BS37" s="36"/>
      <c r="BT37" s="36"/>
      <c r="BU37" s="36" t="s">
        <v>631</v>
      </c>
      <c r="BV37" s="36" t="s">
        <v>1021</v>
      </c>
      <c r="BW37" s="36" t="s">
        <v>505</v>
      </c>
      <c r="BX37" s="31" t="s">
        <v>21</v>
      </c>
      <c r="BY37" s="36" t="s">
        <v>1273</v>
      </c>
      <c r="BZ37" s="76" t="s">
        <v>1276</v>
      </c>
      <c r="CA37" s="31" t="s">
        <v>21</v>
      </c>
      <c r="CB37" s="36" t="s">
        <v>1273</v>
      </c>
      <c r="CC37" s="76" t="s">
        <v>1276</v>
      </c>
      <c r="CD37" s="35" t="s">
        <v>21</v>
      </c>
      <c r="CE37" s="35" t="s">
        <v>1273</v>
      </c>
      <c r="CF37" s="77" t="s">
        <v>1276</v>
      </c>
      <c r="CG37" s="31" t="s">
        <v>21</v>
      </c>
      <c r="CH37" s="36" t="s">
        <v>1273</v>
      </c>
      <c r="CI37" s="76" t="s">
        <v>1276</v>
      </c>
    </row>
    <row r="38" spans="2:90">
      <c r="B38" s="3"/>
      <c r="C38" s="74"/>
      <c r="D38" s="73"/>
      <c r="E38" s="73"/>
      <c r="F38" s="73"/>
      <c r="G38" s="73"/>
      <c r="H38" s="73"/>
      <c r="I38" s="606"/>
      <c r="J38" s="607"/>
      <c r="K38" s="606"/>
      <c r="L38" s="73"/>
      <c r="M38" s="73"/>
      <c r="N38" s="73"/>
      <c r="O38" s="2192"/>
      <c r="P38" s="2194" t="s">
        <v>6498</v>
      </c>
      <c r="Q38" s="2194"/>
      <c r="R38" s="2194"/>
      <c r="S38" s="2194"/>
      <c r="T38" s="2194"/>
      <c r="U38" s="2194"/>
      <c r="V38" s="2194"/>
      <c r="W38" s="2194"/>
      <c r="X38" s="2194"/>
      <c r="Y38" s="2194"/>
      <c r="Z38" s="2194"/>
      <c r="AA38" s="2194"/>
      <c r="AB38" s="2194"/>
      <c r="AC38" s="2194"/>
      <c r="AD38" s="2194"/>
      <c r="AE38" s="35" t="s">
        <v>1298</v>
      </c>
      <c r="AF38" s="35" t="s">
        <v>553</v>
      </c>
      <c r="AG38" s="35" t="s">
        <v>553</v>
      </c>
      <c r="AH38" s="35" t="str">
        <f t="shared" ref="AH38:AJ40" si="35">AH4</f>
        <v>Occupancy</v>
      </c>
      <c r="AI38" s="35" t="str">
        <f t="shared" si="35"/>
        <v>Sensible Load</v>
      </c>
      <c r="AJ38" s="35" t="str">
        <f t="shared" si="35"/>
        <v>Latent Load</v>
      </c>
      <c r="AK38" s="721"/>
      <c r="AL38" s="715"/>
      <c r="AM38" s="722"/>
      <c r="AN38" s="722"/>
      <c r="AO38" s="722"/>
      <c r="AP38" s="722"/>
      <c r="AQ38" s="722"/>
      <c r="AR38" s="722"/>
      <c r="AS38" s="722"/>
      <c r="AT38" s="722"/>
      <c r="AU38" s="722"/>
      <c r="AV38" s="722"/>
      <c r="AW38" s="723"/>
      <c r="AX38" s="13"/>
      <c r="AY38" s="13"/>
      <c r="AZ38" s="13"/>
      <c r="BA38" s="38"/>
      <c r="BB38" s="32"/>
      <c r="BC38" s="35"/>
      <c r="BD38" s="35"/>
      <c r="BE38" s="35"/>
      <c r="BF38" s="35"/>
      <c r="BG38" s="35"/>
      <c r="BH38" s="35"/>
      <c r="BI38" s="589"/>
      <c r="BJ38" s="589"/>
      <c r="BK38" s="589"/>
      <c r="BL38" s="35"/>
      <c r="BM38" s="35"/>
      <c r="BN38" s="35"/>
      <c r="BO38" s="35"/>
      <c r="BP38" s="35"/>
      <c r="BQ38" s="35"/>
      <c r="BR38" s="35"/>
      <c r="BS38" s="35"/>
      <c r="BT38" s="35"/>
      <c r="BU38" s="35" t="s">
        <v>1298</v>
      </c>
      <c r="BV38" s="35" t="s">
        <v>553</v>
      </c>
      <c r="BW38" s="35" t="s">
        <v>553</v>
      </c>
      <c r="BX38" s="32" t="s">
        <v>1271</v>
      </c>
      <c r="BY38" s="35" t="s">
        <v>1274</v>
      </c>
      <c r="BZ38" s="77" t="s">
        <v>1274</v>
      </c>
      <c r="CA38" s="32" t="s">
        <v>1271</v>
      </c>
      <c r="CB38" s="35" t="s">
        <v>1274</v>
      </c>
      <c r="CC38" s="77" t="s">
        <v>1274</v>
      </c>
      <c r="CD38" s="35" t="s">
        <v>1271</v>
      </c>
      <c r="CE38" s="35" t="s">
        <v>1274</v>
      </c>
      <c r="CF38" s="77" t="s">
        <v>1274</v>
      </c>
      <c r="CG38" s="32" t="s">
        <v>1271</v>
      </c>
      <c r="CH38" s="35" t="s">
        <v>1274</v>
      </c>
      <c r="CI38" s="77" t="s">
        <v>1274</v>
      </c>
    </row>
    <row r="39" spans="2:90" s="1281" customFormat="1" ht="10.5" customHeight="1">
      <c r="B39" s="71"/>
      <c r="C39" s="1275"/>
      <c r="D39" s="1276"/>
      <c r="E39" s="1276"/>
      <c r="F39" s="1276"/>
      <c r="G39" s="1276"/>
      <c r="H39" s="1276"/>
      <c r="I39" s="1277"/>
      <c r="J39" s="1278"/>
      <c r="K39" s="1277"/>
      <c r="L39" s="1276"/>
      <c r="M39" s="1276"/>
      <c r="N39" s="1276"/>
      <c r="O39" s="2192"/>
      <c r="P39" s="2201" t="str">
        <f>P5</f>
        <v>Annual Average</v>
      </c>
      <c r="Q39" s="2202"/>
      <c r="R39" s="2203"/>
      <c r="S39" s="1558"/>
      <c r="T39" s="1558"/>
      <c r="U39" s="1558"/>
      <c r="V39" s="1558"/>
      <c r="W39" s="1558"/>
      <c r="X39" s="1558"/>
      <c r="Y39" s="1558"/>
      <c r="Z39" s="1558"/>
      <c r="AA39" s="1558"/>
      <c r="AB39" s="1558"/>
      <c r="AC39" s="1558"/>
      <c r="AD39" s="1558"/>
      <c r="AE39" s="753" t="s">
        <v>280</v>
      </c>
      <c r="AF39" s="753" t="s">
        <v>909</v>
      </c>
      <c r="AG39" s="753" t="s">
        <v>909</v>
      </c>
      <c r="AH39" s="753" t="str">
        <f t="shared" si="35"/>
        <v>(Fraction of</v>
      </c>
      <c r="AI39" s="753" t="str">
        <f t="shared" si="35"/>
        <v>(Occupants -</v>
      </c>
      <c r="AJ39" s="753" t="str">
        <f t="shared" si="35"/>
        <v>(Occupants -</v>
      </c>
      <c r="AK39" s="725" t="s">
        <v>1046</v>
      </c>
      <c r="AL39" s="724" t="s">
        <v>1046</v>
      </c>
      <c r="AM39" s="724" t="s">
        <v>1046</v>
      </c>
      <c r="AN39" s="724" t="s">
        <v>1046</v>
      </c>
      <c r="AO39" s="724" t="s">
        <v>1046</v>
      </c>
      <c r="AP39" s="724" t="s">
        <v>1046</v>
      </c>
      <c r="AQ39" s="724" t="s">
        <v>1046</v>
      </c>
      <c r="AR39" s="724" t="s">
        <v>1046</v>
      </c>
      <c r="AS39" s="724" t="s">
        <v>1046</v>
      </c>
      <c r="AT39" s="724" t="s">
        <v>1046</v>
      </c>
      <c r="AU39" s="724" t="s">
        <v>1046</v>
      </c>
      <c r="AV39" s="724" t="s">
        <v>1046</v>
      </c>
      <c r="AW39" s="726" t="s">
        <v>1046</v>
      </c>
      <c r="AX39" s="15"/>
      <c r="AY39" s="15"/>
      <c r="AZ39" s="15"/>
      <c r="BA39" s="1279"/>
      <c r="BB39" s="2197" t="s">
        <v>1348</v>
      </c>
      <c r="BC39" s="2198"/>
      <c r="BD39" s="2198"/>
      <c r="BE39" s="2198"/>
      <c r="BF39" s="1554" t="s">
        <v>1350</v>
      </c>
      <c r="BG39" s="1554"/>
      <c r="BH39" s="1554"/>
      <c r="BI39" s="1280" t="s">
        <v>1351</v>
      </c>
      <c r="BJ39" s="2199" t="s">
        <v>1352</v>
      </c>
      <c r="BK39" s="2199"/>
      <c r="BL39" s="2199"/>
      <c r="BM39" s="1557" t="s">
        <v>1354</v>
      </c>
      <c r="BN39" s="1557"/>
      <c r="BO39" s="1557"/>
      <c r="BP39" s="1554" t="s">
        <v>2892</v>
      </c>
      <c r="BQ39" s="1554"/>
      <c r="BR39" s="1554"/>
      <c r="BS39" s="1554"/>
      <c r="BT39" s="1280" t="s">
        <v>1410</v>
      </c>
      <c r="BU39" s="753" t="s">
        <v>280</v>
      </c>
      <c r="BV39" s="753" t="s">
        <v>909</v>
      </c>
      <c r="BW39" s="753" t="s">
        <v>909</v>
      </c>
      <c r="BX39" s="755" t="s">
        <v>4701</v>
      </c>
      <c r="BY39" s="753" t="s">
        <v>1275</v>
      </c>
      <c r="BZ39" s="754" t="s">
        <v>1275</v>
      </c>
      <c r="CA39" s="755" t="s">
        <v>4701</v>
      </c>
      <c r="CB39" s="753" t="s">
        <v>1275</v>
      </c>
      <c r="CC39" s="754" t="s">
        <v>1275</v>
      </c>
      <c r="CD39" s="753" t="s">
        <v>4701</v>
      </c>
      <c r="CE39" s="753" t="s">
        <v>1275</v>
      </c>
      <c r="CF39" s="754" t="s">
        <v>1275</v>
      </c>
      <c r="CG39" s="755" t="s">
        <v>1272</v>
      </c>
      <c r="CH39" s="753" t="s">
        <v>1275</v>
      </c>
      <c r="CI39" s="754" t="s">
        <v>1275</v>
      </c>
    </row>
    <row r="40" spans="2:90" ht="33.75">
      <c r="B40" s="13"/>
      <c r="C40" s="38" t="s">
        <v>1277</v>
      </c>
      <c r="D40" s="753" t="s">
        <v>765</v>
      </c>
      <c r="E40" s="753" t="str">
        <f>E6</f>
        <v>Lights</v>
      </c>
      <c r="F40" s="753" t="s">
        <v>281</v>
      </c>
      <c r="G40" s="753" t="s">
        <v>1049</v>
      </c>
      <c r="H40" s="753" t="s">
        <v>1050</v>
      </c>
      <c r="I40" s="1282" t="s">
        <v>285</v>
      </c>
      <c r="J40" s="2019" t="s">
        <v>58</v>
      </c>
      <c r="K40" s="1282" t="s">
        <v>1051</v>
      </c>
      <c r="L40" s="753" t="s">
        <v>922</v>
      </c>
      <c r="M40" s="753" t="s">
        <v>1017</v>
      </c>
      <c r="N40" s="753" t="s">
        <v>60</v>
      </c>
      <c r="O40" s="2192"/>
      <c r="P40" s="2020" t="s">
        <v>6436</v>
      </c>
      <c r="Q40" s="2020" t="s">
        <v>1158</v>
      </c>
      <c r="R40" s="2020" t="s">
        <v>992</v>
      </c>
      <c r="S40" s="2020" t="s">
        <v>6437</v>
      </c>
      <c r="T40" s="2020" t="s">
        <v>526</v>
      </c>
      <c r="U40" s="2020" t="s">
        <v>6423</v>
      </c>
      <c r="V40" s="2020" t="s">
        <v>6424</v>
      </c>
      <c r="W40" s="2020" t="s">
        <v>6438</v>
      </c>
      <c r="X40" s="2020" t="s">
        <v>6425</v>
      </c>
      <c r="Y40" s="2020" t="s">
        <v>6439</v>
      </c>
      <c r="Z40" s="2020" t="s">
        <v>6426</v>
      </c>
      <c r="AA40" s="2020" t="s">
        <v>6440</v>
      </c>
      <c r="AB40" s="2020" t="s">
        <v>6441</v>
      </c>
      <c r="AC40" s="2020" t="s">
        <v>6442</v>
      </c>
      <c r="AD40" s="2020" t="s">
        <v>6443</v>
      </c>
      <c r="AE40" s="753" t="s">
        <v>958</v>
      </c>
      <c r="AF40" s="753" t="s">
        <v>504</v>
      </c>
      <c r="AG40" s="753" t="s">
        <v>504</v>
      </c>
      <c r="AH40" s="753" t="str">
        <f t="shared" si="35"/>
        <v>max occupancy)</v>
      </c>
      <c r="AI40" s="753" t="str">
        <f t="shared" si="35"/>
        <v>Btu/hr)</v>
      </c>
      <c r="AJ40" s="753" t="str">
        <f t="shared" si="35"/>
        <v>Btu/hr)</v>
      </c>
      <c r="AK40" s="725" t="s">
        <v>1145</v>
      </c>
      <c r="AL40" s="724" t="s">
        <v>1146</v>
      </c>
      <c r="AM40" s="724" t="s">
        <v>1003</v>
      </c>
      <c r="AN40" s="724" t="s">
        <v>1004</v>
      </c>
      <c r="AO40" s="724" t="s">
        <v>1005</v>
      </c>
      <c r="AP40" s="724" t="s">
        <v>1006</v>
      </c>
      <c r="AQ40" s="724" t="s">
        <v>1007</v>
      </c>
      <c r="AR40" s="724" t="s">
        <v>481</v>
      </c>
      <c r="AS40" s="724" t="s">
        <v>482</v>
      </c>
      <c r="AT40" s="724" t="s">
        <v>483</v>
      </c>
      <c r="AU40" s="724" t="s">
        <v>484</v>
      </c>
      <c r="AV40" s="724" t="s">
        <v>485</v>
      </c>
      <c r="AW40" s="726" t="s">
        <v>1377</v>
      </c>
      <c r="AX40" s="13"/>
      <c r="AY40" s="13"/>
      <c r="AZ40" s="13"/>
      <c r="BA40" s="39" t="s">
        <v>1277</v>
      </c>
      <c r="BB40" s="72" t="s">
        <v>765</v>
      </c>
      <c r="BC40" s="72" t="s">
        <v>766</v>
      </c>
      <c r="BD40" s="72" t="s">
        <v>6432</v>
      </c>
      <c r="BE40" s="72" t="s">
        <v>6400</v>
      </c>
      <c r="BF40" s="72" t="s">
        <v>765</v>
      </c>
      <c r="BG40" s="72" t="s">
        <v>766</v>
      </c>
      <c r="BH40" s="72" t="s">
        <v>1349</v>
      </c>
      <c r="BI40" s="590" t="s">
        <v>766</v>
      </c>
      <c r="BJ40" s="590" t="s">
        <v>1353</v>
      </c>
      <c r="BK40" s="590" t="s">
        <v>766</v>
      </c>
      <c r="BL40" s="72" t="s">
        <v>1349</v>
      </c>
      <c r="BM40" s="72" t="s">
        <v>765</v>
      </c>
      <c r="BN40" s="72" t="s">
        <v>6433</v>
      </c>
      <c r="BO40" s="72" t="s">
        <v>766</v>
      </c>
      <c r="BP40" s="72" t="s">
        <v>766</v>
      </c>
      <c r="BQ40" s="72" t="str">
        <f t="shared" ref="BQ40:BQ66" si="36">BQ6</f>
        <v>Television</v>
      </c>
      <c r="BR40" s="72" t="s">
        <v>922</v>
      </c>
      <c r="BS40" s="72" t="s">
        <v>6434</v>
      </c>
      <c r="BT40" s="72" t="s">
        <v>766</v>
      </c>
      <c r="BU40" s="72" t="s">
        <v>958</v>
      </c>
      <c r="BV40" s="72" t="s">
        <v>504</v>
      </c>
      <c r="BW40" s="72" t="s">
        <v>504</v>
      </c>
      <c r="BX40" s="2186" t="s">
        <v>1348</v>
      </c>
      <c r="BY40" s="2187"/>
      <c r="BZ40" s="2188"/>
      <c r="CA40" s="2186" t="s">
        <v>1350</v>
      </c>
      <c r="CB40" s="2187"/>
      <c r="CC40" s="2188"/>
      <c r="CD40" s="2186" t="s">
        <v>1352</v>
      </c>
      <c r="CE40" s="2187"/>
      <c r="CF40" s="2188"/>
      <c r="CG40" s="2186" t="s">
        <v>1354</v>
      </c>
      <c r="CH40" s="2187"/>
      <c r="CI40" s="2188"/>
    </row>
    <row r="41" spans="2:90">
      <c r="B41" s="27"/>
      <c r="C41" s="31" t="s">
        <v>6361</v>
      </c>
      <c r="D41" s="1534"/>
      <c r="E41" s="1524"/>
      <c r="F41" s="2009">
        <f>NewConst!$F$265*kWh_to_Btu/365</f>
        <v>503.83690342100812</v>
      </c>
      <c r="G41" s="2009">
        <f>NewConst!$F$299*kWh_to_Btu/365</f>
        <v>488.71791176054865</v>
      </c>
      <c r="H41" s="2010">
        <f>'Monthly Profiles'!$AC$40</f>
        <v>4254.8852198547174</v>
      </c>
      <c r="I41" s="2021">
        <f>NewConst!F138</f>
        <v>371</v>
      </c>
      <c r="J41" s="2022">
        <f>NewConst!F137</f>
        <v>1482</v>
      </c>
      <c r="K41" s="2022">
        <f>NewConst!F139</f>
        <v>619</v>
      </c>
      <c r="L41" s="2009">
        <f>NewConst!$F$239*kWh_to_Btu/365</f>
        <v>6272.4712328767127</v>
      </c>
      <c r="M41" s="2009">
        <f>(NewConst!$F$281*kWh_to_Btu+NewConst!$F$283*Therms_to_Btu)/365</f>
        <v>1691.2202647683728</v>
      </c>
      <c r="N41" s="2009">
        <f>((NewConst!$F$329+NewConst!$F$337)*kWh_to_Btu+NewConst!$F$333*Therms_to_Btu)/365</f>
        <v>2570.2204591402924</v>
      </c>
      <c r="O41" s="2009">
        <f>NewConst!$F$364*kWh_to_Btu/365</f>
        <v>24327.638792241094</v>
      </c>
      <c r="P41" s="2023"/>
      <c r="Q41" s="2023"/>
      <c r="R41" s="2023"/>
      <c r="S41" s="2023"/>
      <c r="T41" s="2023"/>
      <c r="U41" s="2023"/>
      <c r="V41" s="2023"/>
      <c r="W41" s="2023"/>
      <c r="X41" s="2023"/>
      <c r="Y41" s="2023"/>
      <c r="Z41" s="2023"/>
      <c r="AA41" s="2023"/>
      <c r="AB41" s="2023"/>
      <c r="AC41" s="2023"/>
      <c r="AD41" s="2023"/>
      <c r="AE41" s="1524"/>
      <c r="AF41" s="2009">
        <f>SUM($F41:$O41)</f>
        <v>42580.990784062742</v>
      </c>
      <c r="AG41" s="2009"/>
      <c r="AH41" s="1524"/>
      <c r="AI41" s="1524"/>
      <c r="AJ41" s="2024"/>
      <c r="AK41" s="725"/>
      <c r="AL41" s="724"/>
      <c r="AM41" s="724"/>
      <c r="AN41" s="724"/>
      <c r="AO41" s="724"/>
      <c r="AP41" s="724"/>
      <c r="AQ41" s="724"/>
      <c r="AR41" s="724"/>
      <c r="AS41" s="724"/>
      <c r="AT41" s="724"/>
      <c r="AU41" s="724"/>
      <c r="AV41" s="724"/>
      <c r="AW41" s="726"/>
      <c r="AX41" s="13"/>
      <c r="AY41" s="13"/>
      <c r="AZ41" s="13"/>
      <c r="BA41" s="38"/>
      <c r="BB41" s="2016">
        <f>NewConst!F425</f>
        <v>32341.343952377836</v>
      </c>
      <c r="BC41" s="1524"/>
      <c r="BD41" s="2010">
        <f>NewConst!F265/365*kWh_to_Btu</f>
        <v>503.83690342100806</v>
      </c>
      <c r="BE41" s="2010">
        <f>(NewConst!F281*kWh_to_Btu+NewConst!F283*Therms_to_Btu)/365</f>
        <v>1691.2202647683728</v>
      </c>
      <c r="BF41" s="2010">
        <f>NewConst!F409</f>
        <v>6375</v>
      </c>
      <c r="BG41" s="2010"/>
      <c r="BH41" s="2010">
        <f>BH7</f>
        <v>35896.109589041094</v>
      </c>
      <c r="BI41" s="2010"/>
      <c r="BJ41" s="2010">
        <f>NewConst!F420</f>
        <v>30885</v>
      </c>
      <c r="BK41" s="2010"/>
      <c r="BL41" s="2010">
        <f>BL7</f>
        <v>20612.219178082192</v>
      </c>
      <c r="BM41" s="2010">
        <f>NewConst!F414</f>
        <v>565.95000000000005</v>
      </c>
      <c r="BN41" s="2010" t="e">
        <f>IF(NewConst!$F$140="N/A",0,NewConst!$F$140)</f>
        <v>#VALUE!</v>
      </c>
      <c r="BO41" s="2010"/>
      <c r="BP41" s="2010"/>
      <c r="BQ41" s="2010">
        <f t="shared" si="36"/>
        <v>6291.1671232876715</v>
      </c>
      <c r="BR41" s="2010">
        <f t="shared" ref="BR41:BR66" si="37">BR7</f>
        <v>4057.0082191780821</v>
      </c>
      <c r="BS41" s="2010"/>
      <c r="BT41" s="2010"/>
      <c r="BU41" s="2010"/>
      <c r="BV41" s="2009" t="e">
        <f>SUM($BB41:$BU41)-$BB41-$BF41-$BJ41-$BM41</f>
        <v>#VALUE!</v>
      </c>
      <c r="BW41" s="2010"/>
      <c r="BX41" s="2011"/>
      <c r="BY41" s="2012"/>
      <c r="BZ41" s="2015"/>
      <c r="CA41" s="2011"/>
      <c r="CB41" s="2012"/>
      <c r="CC41" s="2015"/>
      <c r="CD41" s="2011"/>
      <c r="CE41" s="2012"/>
      <c r="CF41" s="2015"/>
      <c r="CG41" s="2011"/>
      <c r="CH41" s="2012">
        <f>VLOOKUP(CG40,LookupTables!$AX$5:$AZ$10,2,FALSE)</f>
        <v>245</v>
      </c>
      <c r="CI41" s="2015">
        <f>VLOOKUP(CG40,LookupTables!$AX$5:$AZ$10,3,FALSE)</f>
        <v>155</v>
      </c>
    </row>
    <row r="42" spans="2:90">
      <c r="B42" s="27"/>
      <c r="C42" s="33" t="s">
        <v>6362</v>
      </c>
      <c r="D42" s="161"/>
      <c r="E42" s="72"/>
      <c r="F42" s="2013">
        <f>NewConst!$F$266*kWh_to_Btu/365</f>
        <v>0</v>
      </c>
      <c r="G42" s="2013">
        <f>NewConst!$F$300*kWh_to_Btu/365</f>
        <v>122.17947794013716</v>
      </c>
      <c r="H42" s="72"/>
      <c r="I42" s="72">
        <v>0</v>
      </c>
      <c r="J42" s="2025">
        <f>NewConst!F141</f>
        <v>1408</v>
      </c>
      <c r="K42" s="2025">
        <f>NewConst!F145</f>
        <v>281</v>
      </c>
      <c r="L42" s="2013">
        <v>0</v>
      </c>
      <c r="M42" s="2013">
        <f>(NewConst!$F$282*kWh_to_Btu+NewConst!F318*Therms_to_Btu)/365</f>
        <v>0</v>
      </c>
      <c r="N42" s="2013">
        <f>((NewConst!$F$330+NewConst!$F$338)*kWh_to_Btu+NewConst!$F$334*Therms_to_Btu)/365</f>
        <v>1713.4803060935285</v>
      </c>
      <c r="O42" s="2013">
        <f>NewConst!$F$366*kWh_to_Btu/365</f>
        <v>662.87844120547948</v>
      </c>
      <c r="P42" s="2026"/>
      <c r="Q42" s="2026"/>
      <c r="R42" s="2026"/>
      <c r="S42" s="2026"/>
      <c r="T42" s="2026"/>
      <c r="U42" s="2026"/>
      <c r="V42" s="2026"/>
      <c r="W42" s="2026"/>
      <c r="X42" s="2026"/>
      <c r="Y42" s="2026"/>
      <c r="Z42" s="2026"/>
      <c r="AA42" s="2026"/>
      <c r="AB42" s="2026"/>
      <c r="AC42" s="2026"/>
      <c r="AD42" s="2026"/>
      <c r="AE42" s="72"/>
      <c r="AF42" s="2013"/>
      <c r="AG42" s="2013">
        <f>SUM($F42:$O42)</f>
        <v>4187.5382252391446</v>
      </c>
      <c r="AH42" s="72"/>
      <c r="AI42" s="72"/>
      <c r="AJ42" s="75"/>
      <c r="AK42" s="725"/>
      <c r="AL42" s="724"/>
      <c r="AM42" s="724"/>
      <c r="AN42" s="724"/>
      <c r="AO42" s="724"/>
      <c r="AP42" s="724"/>
      <c r="AQ42" s="724"/>
      <c r="AR42" s="724"/>
      <c r="AS42" s="724"/>
      <c r="AT42" s="724"/>
      <c r="AU42" s="724"/>
      <c r="AV42" s="724"/>
      <c r="AW42" s="726"/>
      <c r="AX42" s="13"/>
      <c r="AY42" s="13"/>
      <c r="AZ42" s="13"/>
      <c r="BA42" s="38"/>
      <c r="BB42" s="2017">
        <f>NewConst!F426</f>
        <v>25873.07516190227</v>
      </c>
      <c r="BC42" s="72"/>
      <c r="BD42" s="2014">
        <f>NewConst!F266/365*kWh_to_Btu</f>
        <v>0</v>
      </c>
      <c r="BE42" s="2014">
        <f>(NewConst!F282*kWh_to_Btu+NewConst!F284*Therms_to_Btu)/365</f>
        <v>482.46467675907553</v>
      </c>
      <c r="BF42" s="2014">
        <f>NewConst!F410</f>
        <v>5100</v>
      </c>
      <c r="BG42" s="2014"/>
      <c r="BH42" s="2014">
        <f>BH8</f>
        <v>0</v>
      </c>
      <c r="BI42" s="2014"/>
      <c r="BJ42" s="2014">
        <f>NewConst!F421</f>
        <v>47415</v>
      </c>
      <c r="BK42" s="2014"/>
      <c r="BL42" s="2014">
        <f>BL8</f>
        <v>0</v>
      </c>
      <c r="BM42" s="2014">
        <f>NewConst!F415</f>
        <v>358.05</v>
      </c>
      <c r="BN42" s="2014" t="e">
        <f>IF(NewConst!$F$147="N/A",0,NewConst!$F$147)</f>
        <v>#VALUE!</v>
      </c>
      <c r="BO42" s="2014"/>
      <c r="BP42" s="2014"/>
      <c r="BQ42" s="2014">
        <f t="shared" si="36"/>
        <v>0</v>
      </c>
      <c r="BR42" s="2014">
        <f t="shared" si="37"/>
        <v>0</v>
      </c>
      <c r="BS42" s="2014"/>
      <c r="BT42" s="2014"/>
      <c r="BU42" s="2014"/>
      <c r="BV42" s="2014"/>
      <c r="BW42" s="2013" t="e">
        <f>SUM($BB42:$BU42)-$BB42-$BF42-$BJ42-$BM42</f>
        <v>#VALUE!</v>
      </c>
      <c r="BX42" s="1975"/>
      <c r="BY42" s="1976"/>
      <c r="BZ42" s="1977"/>
      <c r="CA42" s="1975"/>
      <c r="CB42" s="1976"/>
      <c r="CC42" s="1977"/>
      <c r="CD42" s="1975"/>
      <c r="CE42" s="1976"/>
      <c r="CF42" s="1977"/>
      <c r="CG42" s="1975"/>
      <c r="CH42" s="1976"/>
      <c r="CI42" s="1977"/>
    </row>
    <row r="43" spans="2:90">
      <c r="B43" s="13"/>
      <c r="C43" s="32">
        <v>1</v>
      </c>
      <c r="D43" s="58">
        <f>'Hourly Profiles'!D9</f>
        <v>6.0518788725154128E-2</v>
      </c>
      <c r="E43" s="59">
        <f>E9</f>
        <v>8.0000000000000002E-3</v>
      </c>
      <c r="F43" s="59">
        <f>'Hourly Profiles'!F9</f>
        <v>9.3457939999999993E-3</v>
      </c>
      <c r="G43" s="59">
        <f>'Hourly Profiles'!G9</f>
        <v>1.5358362E-2</v>
      </c>
      <c r="H43" s="59">
        <f>(F43*'Monthly Profiles'!V$40+G43*'Monthly Profiles'!T$40+I43*'Monthly Profiles'!W$40+J43*'Monthly Profiles'!X$40+K43*'Monthly Profiles'!Y$40)/'Monthly Profiles'!AA$40</f>
        <v>1.1549641881782147E-2</v>
      </c>
      <c r="I43" s="591">
        <f>'Hourly Profiles'!I9</f>
        <v>7.7220077220077213E-3</v>
      </c>
      <c r="J43" s="591">
        <f>'Hourly Profiles'!J9</f>
        <v>1.0689990281827018E-2</v>
      </c>
      <c r="K43" s="591">
        <f>'Hourly Profiles'!K9</f>
        <v>1.4164305949008497E-2</v>
      </c>
      <c r="L43" s="59">
        <f>'Hourly Profiles'!L9</f>
        <v>3.9761431E-2</v>
      </c>
      <c r="M43" s="59">
        <f>'Hourly Profiles'!M9</f>
        <v>9.9009900000000001E-3</v>
      </c>
      <c r="N43" s="59">
        <f>'Hourly Profiles'!N9</f>
        <v>7.0721359999999997E-3</v>
      </c>
      <c r="O43" s="59">
        <f>'Hourly Profiles'!O9</f>
        <v>3.6999999999999998E-2</v>
      </c>
      <c r="P43" s="1560">
        <f>P9</f>
        <v>2.5521063189568712E-2</v>
      </c>
      <c r="Q43" s="1560">
        <f t="shared" ref="Q43:AD43" si="38">Q9</f>
        <v>4.0960079840319366E-2</v>
      </c>
      <c r="R43" s="1560">
        <f t="shared" si="38"/>
        <v>4.0352852852852852E-2</v>
      </c>
      <c r="S43" s="1560">
        <f t="shared" si="38"/>
        <v>4.0000000000000001E-3</v>
      </c>
      <c r="T43" s="1560">
        <f t="shared" si="38"/>
        <v>3.4905274187427729E-3</v>
      </c>
      <c r="U43" s="1560">
        <f t="shared" si="38"/>
        <v>2.502502502502502E-3</v>
      </c>
      <c r="V43" s="1560">
        <f t="shared" si="38"/>
        <v>1.2991017964071858E-2</v>
      </c>
      <c r="W43" s="1560">
        <f t="shared" si="38"/>
        <v>4.4937188434695907E-2</v>
      </c>
      <c r="X43" s="1560">
        <f t="shared" si="38"/>
        <v>3.4438916528468776E-2</v>
      </c>
      <c r="Y43" s="1560">
        <f t="shared" si="38"/>
        <v>2.3844026210167003E-2</v>
      </c>
      <c r="Z43" s="1560">
        <f t="shared" si="38"/>
        <v>2.3844026210167006E-2</v>
      </c>
      <c r="AA43" s="1560">
        <f t="shared" si="38"/>
        <v>2.994035785288271E-3</v>
      </c>
      <c r="AB43" s="1560">
        <f t="shared" si="38"/>
        <v>2.9940357852882701E-3</v>
      </c>
      <c r="AC43" s="1560">
        <f t="shared" si="38"/>
        <v>4.3500000000000004E-2</v>
      </c>
      <c r="AD43" s="1560">
        <f t="shared" si="38"/>
        <v>5.6872037914691947E-2</v>
      </c>
      <c r="AE43" s="59">
        <f>((L43*NewConst!F$238+O43*NewConst!$F$155/365+N43*NewConst!F$328+G43*NewConst!F$298+M43*NewConst!F$279+F43*NewConst!F$264)*3412+(M43*NewConst!F$280+N43*NewConst!F$332)*100000)/((NewConst!F$238+NewConst!$F$155/365+NewConst!F$328+NewConst!F$298+NewConst!F$279+NewConst!F$264)*3412+(NewConst!F$280+NewConst!F$332)*100000)</f>
        <v>1.6433309800070808E-2</v>
      </c>
      <c r="AF43" s="591">
        <f>($L$41*$L43+$O$41*$O43+$N$41*$N43+$G$41*$G43+$M$41*$M43+$F$41*$F43+$I43*$I$41+$J43*$J$41+$K43*$K$41+$H43*$H$41)/$AF$41</f>
        <v>2.9902520971337769E-2</v>
      </c>
      <c r="AG43" s="591">
        <f>($L$42*$L43+$O$42*$O43+$N$42*$N43+$G$42*$G43+$M$42*$M43+$F$42*$F43+$I43*$I$42+$J43*$J$42+$K43*$K$42+$H43*$H$42)/$AG$42</f>
        <v>1.3743784038888509E-2</v>
      </c>
      <c r="AH43" s="42">
        <f t="shared" ref="AH43:AH66" si="39">D43/MAX($D$9:$D$32)</f>
        <v>1</v>
      </c>
      <c r="AI43" s="60">
        <f>$AH43*NewConst!$E$400*N_occ</f>
        <v>580.80000000000007</v>
      </c>
      <c r="AJ43" s="60">
        <f>$AH43*NewConst!$E$401*N_occ</f>
        <v>432.96000000000004</v>
      </c>
      <c r="AK43" s="727">
        <f>IF(NewConst!$F$203=NewConst!$I$203,'Detailed Lighting'!BD11,Lighting!BH21)</f>
        <v>2.3899622995976207E-2</v>
      </c>
      <c r="AL43" s="630">
        <f>IF(NewConst!$F$203=NewConst!$I$203,'Detailed Lighting'!BE11,Lighting!BI21)</f>
        <v>2.7276184291198248E-2</v>
      </c>
      <c r="AM43" s="630">
        <f>IF(NewConst!$F$203=NewConst!$I$203,'Detailed Lighting'!BF11,Lighting!BJ21)</f>
        <v>3.2287800161502921E-2</v>
      </c>
      <c r="AN43" s="630">
        <f>IF(NewConst!$F$203=NewConst!$I$203,'Detailed Lighting'!BG11,Lighting!BK21)</f>
        <v>3.9449605425336744E-2</v>
      </c>
      <c r="AO43" s="630">
        <f>IF(NewConst!$F$203=NewConst!$I$203,'Detailed Lighting'!BH11,Lighting!BL21)</f>
        <v>4.5313036475053886E-2</v>
      </c>
      <c r="AP43" s="630">
        <f>IF(NewConst!$F$203=NewConst!$I$203,'Detailed Lighting'!BI11,Lighting!BM21)</f>
        <v>4.8450764764901066E-2</v>
      </c>
      <c r="AQ43" s="630">
        <f>IF(NewConst!$F$203=NewConst!$I$203,'Detailed Lighting'!BJ11,Lighting!BN21)</f>
        <v>4.7560672593435778E-2</v>
      </c>
      <c r="AR43" s="630">
        <f>IF(NewConst!$F$203=NewConst!$I$203,'Detailed Lighting'!BK11,Lighting!BO21)</f>
        <v>4.2313159232650437E-2</v>
      </c>
      <c r="AS43" s="630">
        <f>IF(NewConst!$F$203=NewConst!$I$203,'Detailed Lighting'!BL11,Lighting!BP21)</f>
        <v>3.5447509676188142E-2</v>
      </c>
      <c r="AT43" s="630">
        <f>IF(NewConst!$F$203=NewConst!$I$203,'Detailed Lighting'!BM11,Lighting!BQ21)</f>
        <v>2.9332097839659191E-2</v>
      </c>
      <c r="AU43" s="630">
        <f>IF(NewConst!$F$203=NewConst!$I$203,'Detailed Lighting'!BN11,Lighting!BR21)</f>
        <v>2.4849289546139488E-2</v>
      </c>
      <c r="AV43" s="630">
        <f>IF(NewConst!$F$203=NewConst!$I$203,'Detailed Lighting'!BO11,Lighting!BS21)</f>
        <v>2.3008213022485718E-2</v>
      </c>
      <c r="AW43" s="728">
        <f>IF(NewConst!$F$203=NewConst!$I$203,'Detailed Lighting'!BP11,Lighting!BG21)</f>
        <v>3.2619105570216002E-2</v>
      </c>
      <c r="AX43" s="13"/>
      <c r="AY43" s="13"/>
      <c r="AZ43" s="13"/>
      <c r="BA43" s="37">
        <v>1</v>
      </c>
      <c r="BB43" s="745">
        <f>BB9</f>
        <v>3.4410248540092747E-3</v>
      </c>
      <c r="BC43" s="745">
        <v>4.1666666666666664E-2</v>
      </c>
      <c r="BD43" s="745">
        <f t="shared" ref="BD43:BE66" si="40">BD9</f>
        <v>3.4410248540092747E-3</v>
      </c>
      <c r="BE43" s="745">
        <f t="shared" si="40"/>
        <v>4.3518154613620685E-3</v>
      </c>
      <c r="BF43" s="745">
        <v>0</v>
      </c>
      <c r="BG43" s="745">
        <v>1.6822429906542057E-2</v>
      </c>
      <c r="BH43" s="745">
        <v>2.3190442726633873E-2</v>
      </c>
      <c r="BI43" s="745">
        <v>4.1666666666666664E-2</v>
      </c>
      <c r="BJ43" s="746">
        <v>0</v>
      </c>
      <c r="BK43" s="745">
        <v>0</v>
      </c>
      <c r="BL43" s="745">
        <v>0</v>
      </c>
      <c r="BM43" s="745">
        <v>0</v>
      </c>
      <c r="BN43" s="745">
        <f t="shared" ref="BN43:BN66" si="41">BN9</f>
        <v>0</v>
      </c>
      <c r="BO43" s="745">
        <v>9.9009900000000001E-3</v>
      </c>
      <c r="BP43" s="745">
        <f t="shared" ref="BP43:BP66" si="42">BP9</f>
        <v>1.6822429906542057E-2</v>
      </c>
      <c r="BQ43" s="745">
        <f t="shared" si="36"/>
        <v>0</v>
      </c>
      <c r="BR43" s="745">
        <f t="shared" si="37"/>
        <v>4.1666666666666664E-2</v>
      </c>
      <c r="BS43" s="2189" t="str">
        <f>BS9</f>
        <v>No profile available *Assuming 1 h/wk use (data from appliance usage list from PSNH: The Northeast Utility System)</v>
      </c>
      <c r="BT43" s="745">
        <f>IF(AVERAGE('Sunrise Calc'!$G$2:$G$13)&gt;'Hourly Profiles'!BA43, 1/12, "0.000")</f>
        <v>8.3333333333333329E-2</v>
      </c>
      <c r="BU43" s="745">
        <v>2.8737864077669904E-2</v>
      </c>
      <c r="BV43" s="745" t="e">
        <f>($BD43*$BD$41+$BE43*$BE$41+$BH43*$BH$41+$BL43*$BL$41+$BN43*$BN$41+$BQ43*$BQ$41+$BR43*$BR$41)/$BV$41</f>
        <v>#VALUE!</v>
      </c>
      <c r="BW43" s="745" t="e">
        <f>($BD43*$BD$42+$BE43*$BE$42+$BH43*$BH$42+$BL43*$BL$42+$BN43*$BN$42+$BQ43*$BQ$42+$BR43*$BR$42)/$BW$42</f>
        <v>#VALUE!</v>
      </c>
      <c r="BX43" s="758">
        <f t="shared" ref="BX43:BX66" si="43">BB43/MAX($BB$43:$BB$66)</f>
        <v>4.4514947340877881E-2</v>
      </c>
      <c r="BY43" s="747">
        <f>BX43*250*NewConst!$F$250</f>
        <v>111.2873683521947</v>
      </c>
      <c r="BZ43" s="748">
        <f>BX43*200*NewConst!$F$250</f>
        <v>89.029894681755763</v>
      </c>
      <c r="CA43" s="756">
        <f t="shared" ref="CA43:CA66" si="44">BF43/MAX($BF$43:$BF$66)</f>
        <v>0</v>
      </c>
      <c r="CB43" s="747">
        <f t="shared" ref="CB43:CB66" si="45">CA43*250*N_emp</f>
        <v>0</v>
      </c>
      <c r="CC43" s="748">
        <f t="shared" ref="CC43:CC66" si="46">CA43*200*N_emp</f>
        <v>0</v>
      </c>
      <c r="CD43" s="756">
        <f t="shared" ref="CD43:CD66" si="47">BJ43/MAX($BJ$43:$BJ$66)</f>
        <v>0</v>
      </c>
      <c r="CE43" s="747">
        <f>CD43*710*NewConst!$F$419</f>
        <v>0</v>
      </c>
      <c r="CF43" s="748">
        <f>CD43*1090*NewConst!$F$419</f>
        <v>0</v>
      </c>
      <c r="CG43" s="756">
        <v>0</v>
      </c>
      <c r="CH43" s="747">
        <f>$CG43*CH$7*NewConst!$E$413</f>
        <v>0</v>
      </c>
      <c r="CI43" s="748">
        <f>$CG43*CI$7*NewConst!$E$413</f>
        <v>0</v>
      </c>
    </row>
    <row r="44" spans="2:90">
      <c r="B44" s="13"/>
      <c r="C44" s="32">
        <v>2</v>
      </c>
      <c r="D44" s="58">
        <f>'Hourly Profiles'!D10</f>
        <v>6.0518788725154128E-2</v>
      </c>
      <c r="E44" s="59">
        <f t="shared" ref="E44:E66" si="48">E10</f>
        <v>8.0000000000000002E-3</v>
      </c>
      <c r="F44" s="59">
        <f>'Hourly Profiles'!F10</f>
        <v>7.476636E-3</v>
      </c>
      <c r="G44" s="59">
        <f>'Hourly Profiles'!G10</f>
        <v>6.8259389999999996E-3</v>
      </c>
      <c r="H44" s="59">
        <f>(F44*'Monthly Profiles'!V$40+G44*'Monthly Profiles'!T$40+I44*'Monthly Profiles'!W$40+J44*'Monthly Profiles'!X$40+K44*'Monthly Profiles'!Y$40)/'Monthly Profiles'!AA$40</f>
        <v>5.910429236386525E-3</v>
      </c>
      <c r="I44" s="591">
        <f>'Hourly Profiles'!I10</f>
        <v>3.8610038610038607E-3</v>
      </c>
      <c r="J44" s="591">
        <f>'Hourly Profiles'!J10</f>
        <v>4.8590864917395539E-3</v>
      </c>
      <c r="K44" s="591">
        <f>'Hourly Profiles'!K10</f>
        <v>6.7988668555240784E-3</v>
      </c>
      <c r="L44" s="59">
        <f>'Hourly Profiles'!L10</f>
        <v>3.8909401000000003E-2</v>
      </c>
      <c r="M44" s="59">
        <f>'Hourly Profiles'!M10</f>
        <v>5.9405940000000004E-3</v>
      </c>
      <c r="N44" s="59">
        <f>'Hourly Profiles'!N10</f>
        <v>7.0721359999999997E-3</v>
      </c>
      <c r="O44" s="59">
        <f>'Hourly Profiles'!O10</f>
        <v>3.5000000000000003E-2</v>
      </c>
      <c r="P44" s="1560">
        <f t="shared" ref="P44:AD66" si="49">P10</f>
        <v>2.051504513540622E-2</v>
      </c>
      <c r="Q44" s="1560">
        <f t="shared" si="49"/>
        <v>3.9961077844311382E-2</v>
      </c>
      <c r="R44" s="1560">
        <f t="shared" si="49"/>
        <v>4.0352852852852852E-2</v>
      </c>
      <c r="S44" s="1560">
        <f t="shared" si="49"/>
        <v>1.0000000000000005E-3</v>
      </c>
      <c r="T44" s="1560">
        <f t="shared" si="49"/>
        <v>0</v>
      </c>
      <c r="U44" s="1560">
        <f t="shared" si="49"/>
        <v>5.0050050050050039E-4</v>
      </c>
      <c r="V44" s="1560">
        <f t="shared" si="49"/>
        <v>1.497005988023952E-3</v>
      </c>
      <c r="W44" s="1560">
        <f t="shared" si="49"/>
        <v>1.9482053838484545E-2</v>
      </c>
      <c r="X44" s="1560">
        <f t="shared" si="49"/>
        <v>3.6926478717523498E-2</v>
      </c>
      <c r="Y44" s="1560">
        <f t="shared" si="49"/>
        <v>2.8814205136608356E-2</v>
      </c>
      <c r="Z44" s="1560">
        <f t="shared" si="49"/>
        <v>2.8814205136608359E-2</v>
      </c>
      <c r="AA44" s="1560">
        <f t="shared" si="49"/>
        <v>2.994035785288271E-3</v>
      </c>
      <c r="AB44" s="1560">
        <f t="shared" si="49"/>
        <v>2.9940357852882701E-3</v>
      </c>
      <c r="AC44" s="1560">
        <f t="shared" si="49"/>
        <v>2.2999999999999993E-2</v>
      </c>
      <c r="AD44" s="1560">
        <f t="shared" si="49"/>
        <v>5.6872037914691947E-2</v>
      </c>
      <c r="AE44" s="59">
        <f>((L44*NewConst!F$238+O44*NewConst!$F$155/365+N44*NewConst!F$328+G44*NewConst!F$298+M44*NewConst!F$279+F44*NewConst!F$264)*3412+(M44*NewConst!F$280+N44*NewConst!F$332)*100000)/((NewConst!F$238+NewConst!$F$155/365+NewConst!F$328+NewConst!F$298+NewConst!F$279+NewConst!F$264)*3412+(NewConst!F$280+NewConst!F$332)*100000)</f>
        <v>1.4327683040785593E-2</v>
      </c>
      <c r="AF44" s="591">
        <f>($L$41*$L44+$O$41*$O44+$N$41*$N44+$G$41*$G44+$M$41*$M44+$F$41*$F44+$I44*$I$41+$J44*$J$41+$K44*$K$41+$H44*$H$41)/$AF$41</f>
        <v>2.7449866601113745E-2</v>
      </c>
      <c r="AG44" s="591">
        <f>($L$42*$L44+$O$42*$O44+$N$42*$N44+$G$42*$G44+$M$42*$M44+$F$42*$F44+$I44*$I$42+$J44*$J$42+$K44*$K$42+$H44*$H$42)/$AG$42</f>
        <v>1.0723430764118023E-2</v>
      </c>
      <c r="AH44" s="42">
        <f t="shared" si="39"/>
        <v>1</v>
      </c>
      <c r="AI44" s="60">
        <f>$AH44*NewConst!$E$400*N_occ</f>
        <v>580.80000000000007</v>
      </c>
      <c r="AJ44" s="60">
        <f>$AH44*NewConst!$E$401*N_occ</f>
        <v>432.96000000000004</v>
      </c>
      <c r="AK44" s="58">
        <f>IF(NewConst!$F$203=NewConst!$I$203,'Detailed Lighting'!BD12,Lighting!BH22)</f>
        <v>1.4339773797585725E-2</v>
      </c>
      <c r="AL44" s="59">
        <f>IF(NewConst!$F$203=NewConst!$I$203,'Detailed Lighting'!BE12,Lighting!BI22)</f>
        <v>1.6365710574718948E-2</v>
      </c>
      <c r="AM44" s="59">
        <f>IF(NewConst!$F$203=NewConst!$I$203,'Detailed Lighting'!BF12,Lighting!BJ22)</f>
        <v>1.937268009690175E-2</v>
      </c>
      <c r="AN44" s="59">
        <f>IF(NewConst!$F$203=NewConst!$I$203,'Detailed Lighting'!BG12,Lighting!BK22)</f>
        <v>2.3669763255202047E-2</v>
      </c>
      <c r="AO44" s="59">
        <f>IF(NewConst!$F$203=NewConst!$I$203,'Detailed Lighting'!BH12,Lighting!BL22)</f>
        <v>2.718782188503233E-2</v>
      </c>
      <c r="AP44" s="59">
        <f>IF(NewConst!$F$203=NewConst!$I$203,'Detailed Lighting'!BI12,Lighting!BM22)</f>
        <v>2.9070458858940641E-2</v>
      </c>
      <c r="AQ44" s="59">
        <f>IF(NewConst!$F$203=NewConst!$I$203,'Detailed Lighting'!BJ12,Lighting!BN22)</f>
        <v>2.8536403556061466E-2</v>
      </c>
      <c r="AR44" s="59">
        <f>IF(NewConst!$F$203=NewConst!$I$203,'Detailed Lighting'!BK12,Lighting!BO22)</f>
        <v>2.5387895539590262E-2</v>
      </c>
      <c r="AS44" s="59">
        <f>IF(NewConst!$F$203=NewConst!$I$203,'Detailed Lighting'!BL12,Lighting!BP22)</f>
        <v>2.1268505805712885E-2</v>
      </c>
      <c r="AT44" s="59">
        <f>IF(NewConst!$F$203=NewConst!$I$203,'Detailed Lighting'!BM12,Lighting!BQ22)</f>
        <v>1.7599258703795514E-2</v>
      </c>
      <c r="AU44" s="59">
        <f>IF(NewConst!$F$203=NewConst!$I$203,'Detailed Lighting'!BN12,Lighting!BR22)</f>
        <v>1.4909573727683693E-2</v>
      </c>
      <c r="AV44" s="59">
        <f>IF(NewConst!$F$203=NewConst!$I$203,'Detailed Lighting'!BO12,Lighting!BS22)</f>
        <v>1.3804927813491432E-2</v>
      </c>
      <c r="AW44" s="729">
        <f>IF(NewConst!$F$203=NewConst!$I$203,'Detailed Lighting'!BP12,Lighting!BG22)</f>
        <v>1.9571463342129603E-2</v>
      </c>
      <c r="AX44" s="13"/>
      <c r="AY44" s="13"/>
      <c r="AZ44" s="13"/>
      <c r="BA44" s="38">
        <v>2</v>
      </c>
      <c r="BB44" s="745">
        <f t="shared" ref="BB44:BB66" si="50">BB10</f>
        <v>3.9757616333060859E-3</v>
      </c>
      <c r="BC44" s="745">
        <v>4.1666666666666664E-2</v>
      </c>
      <c r="BD44" s="745">
        <f t="shared" si="40"/>
        <v>3.9757616333060859E-3</v>
      </c>
      <c r="BE44" s="745">
        <f t="shared" si="40"/>
        <v>3.4814523690896546E-3</v>
      </c>
      <c r="BF44" s="745">
        <v>0</v>
      </c>
      <c r="BG44" s="745">
        <v>1.6822429906542057E-2</v>
      </c>
      <c r="BH44" s="745">
        <v>2.3190442726633873E-2</v>
      </c>
      <c r="BI44" s="745">
        <v>4.1666666666666664E-2</v>
      </c>
      <c r="BJ44" s="746">
        <v>0</v>
      </c>
      <c r="BK44" s="745">
        <v>0</v>
      </c>
      <c r="BL44" s="745">
        <v>0</v>
      </c>
      <c r="BM44" s="745">
        <v>0</v>
      </c>
      <c r="BN44" s="745">
        <f t="shared" si="41"/>
        <v>0</v>
      </c>
      <c r="BO44" s="745">
        <v>5.9405940000000004E-3</v>
      </c>
      <c r="BP44" s="745">
        <f t="shared" si="42"/>
        <v>1.6822429906542057E-2</v>
      </c>
      <c r="BQ44" s="745">
        <f t="shared" si="36"/>
        <v>0</v>
      </c>
      <c r="BR44" s="745">
        <f t="shared" si="37"/>
        <v>4.1666666666666664E-2</v>
      </c>
      <c r="BS44" s="2189"/>
      <c r="BT44" s="745">
        <f>IF(AVERAGE('Sunrise Calc'!$G$2:$G$13)&gt;'Hourly Profiles'!BA44, 1/12, "0.000")</f>
        <v>8.3333333333333329E-2</v>
      </c>
      <c r="BU44" s="745">
        <v>2.6019417475728154E-2</v>
      </c>
      <c r="BV44" s="745" t="e">
        <f t="shared" ref="BV44:BV66" si="51">($BD44*$BD$41+$BE44*$BE$41+$BH44*$BH$41+$BL44*$BL$41+$BN44*$BN$41+$BQ44*$BQ$41+$BR44*$BR$41)/$BV$41</f>
        <v>#VALUE!</v>
      </c>
      <c r="BW44" s="745" t="e">
        <f t="shared" ref="BW44:BW66" si="52">($BD44*$BD$42+$BE44*$BE$42+$BH44*$BH$42+$BL44*$BL$42+$BN44*$BN$42+$BQ44*$BQ$42+$BR44*$BR$42)/$BW$42</f>
        <v>#VALUE!</v>
      </c>
      <c r="BX44" s="758">
        <f t="shared" si="43"/>
        <v>5.1432589782167852E-2</v>
      </c>
      <c r="BY44" s="747">
        <f>BX44*250*NewConst!$F$250</f>
        <v>128.58147445541962</v>
      </c>
      <c r="BZ44" s="748">
        <f>BX44*200*NewConst!$F$250</f>
        <v>102.8651795643357</v>
      </c>
      <c r="CA44" s="756">
        <f t="shared" si="44"/>
        <v>0</v>
      </c>
      <c r="CB44" s="747">
        <f t="shared" si="45"/>
        <v>0</v>
      </c>
      <c r="CC44" s="748">
        <f t="shared" si="46"/>
        <v>0</v>
      </c>
      <c r="CD44" s="756">
        <f t="shared" si="47"/>
        <v>0</v>
      </c>
      <c r="CE44" s="747">
        <f>CD44*710*NewConst!$F$419</f>
        <v>0</v>
      </c>
      <c r="CF44" s="748">
        <f>CD44*1090*NewConst!$F$419</f>
        <v>0</v>
      </c>
      <c r="CG44" s="756">
        <v>0</v>
      </c>
      <c r="CH44" s="747">
        <f>$CG44*CH$7*NewConst!$E$413</f>
        <v>0</v>
      </c>
      <c r="CI44" s="748">
        <f>$CG44*CI$7*NewConst!$E$413</f>
        <v>0</v>
      </c>
    </row>
    <row r="45" spans="2:90">
      <c r="B45" s="13"/>
      <c r="C45" s="32">
        <v>3</v>
      </c>
      <c r="D45" s="58">
        <f>'Hourly Profiles'!D11</f>
        <v>6.0518788725154128E-2</v>
      </c>
      <c r="E45" s="59">
        <f t="shared" si="48"/>
        <v>8.0000000000000002E-3</v>
      </c>
      <c r="F45" s="59">
        <f>'Hourly Profiles'!F11</f>
        <v>3.738318E-3</v>
      </c>
      <c r="G45" s="59">
        <f>'Hourly Profiles'!G11</f>
        <v>5.1194539999999998E-3</v>
      </c>
      <c r="H45" s="59">
        <f>(F45*'Monthly Profiles'!V$40+G45*'Monthly Profiles'!T$40+I45*'Monthly Profiles'!W$40+J45*'Monthly Profiles'!X$40+K45*'Monthly Profiles'!Y$40)/'Monthly Profiles'!AA$40</f>
        <v>4.1344859986665152E-3</v>
      </c>
      <c r="I45" s="591">
        <f>'Hourly Profiles'!I11</f>
        <v>3.8610038610038607E-3</v>
      </c>
      <c r="J45" s="591">
        <f>'Hourly Profiles'!J11</f>
        <v>3.4013605442176878E-3</v>
      </c>
      <c r="K45" s="591">
        <f>'Hourly Profiles'!K11</f>
        <v>5.0991501416430586E-3</v>
      </c>
      <c r="L45" s="59">
        <f>'Hourly Profiles'!L11</f>
        <v>3.805737E-2</v>
      </c>
      <c r="M45" s="59">
        <f>'Hourly Profiles'!M11</f>
        <v>3.9603959999999997E-3</v>
      </c>
      <c r="N45" s="59">
        <f>'Hourly Profiles'!N11</f>
        <v>3.5360679999999999E-3</v>
      </c>
      <c r="O45" s="59">
        <f>'Hourly Profiles'!O11</f>
        <v>3.4000000000000002E-2</v>
      </c>
      <c r="P45" s="1560">
        <f t="shared" si="49"/>
        <v>1.8519558676028086E-2</v>
      </c>
      <c r="Q45" s="1560">
        <f t="shared" si="49"/>
        <v>3.8962075848303399E-2</v>
      </c>
      <c r="R45" s="1560">
        <f t="shared" si="49"/>
        <v>4.0352852852852852E-2</v>
      </c>
      <c r="S45" s="1560">
        <f t="shared" si="49"/>
        <v>1.0000000000000005E-3</v>
      </c>
      <c r="T45" s="1560">
        <f t="shared" si="49"/>
        <v>0</v>
      </c>
      <c r="U45" s="1560">
        <f t="shared" si="49"/>
        <v>5.0050050050050039E-4</v>
      </c>
      <c r="V45" s="1560">
        <f t="shared" si="49"/>
        <v>1.497005988023952E-3</v>
      </c>
      <c r="W45" s="1560">
        <f t="shared" si="49"/>
        <v>9.9910269192422709E-3</v>
      </c>
      <c r="X45" s="1560">
        <f t="shared" si="49"/>
        <v>5.0425051917589239E-2</v>
      </c>
      <c r="Y45" s="1560">
        <f t="shared" si="49"/>
        <v>2.3844026210167003E-2</v>
      </c>
      <c r="Z45" s="1560">
        <f t="shared" si="49"/>
        <v>2.3844026210167006E-2</v>
      </c>
      <c r="AA45" s="1560">
        <f t="shared" si="49"/>
        <v>3.4940357852882705E-3</v>
      </c>
      <c r="AB45" s="1560">
        <f t="shared" si="49"/>
        <v>3.4940357852882701E-3</v>
      </c>
      <c r="AC45" s="1560">
        <f t="shared" si="49"/>
        <v>1.9E-2</v>
      </c>
      <c r="AD45" s="1560">
        <f t="shared" si="49"/>
        <v>5.6872037914691947E-2</v>
      </c>
      <c r="AE45" s="59">
        <f>((L45*NewConst!F$238+O45*NewConst!$F$155/365+N45*NewConst!F$328+G45*NewConst!F$298+M45*NewConst!F$279+F45*NewConst!F$264)*3412+(M45*NewConst!F$280+N45*NewConst!F$332)*100000)/((NewConst!F$238+NewConst!$F$155/365+NewConst!F$328+NewConst!F$298+NewConst!F$279+NewConst!F$264)*3412+(NewConst!F$280+NewConst!F$332)*100000)</f>
        <v>1.2116881703809857E-2</v>
      </c>
      <c r="AF45" s="591">
        <f t="shared" ref="AF45:AF66" si="53">($L$41*$L45+$O$41*$O45+$N$41*$N45+$G$41*$G45+$M$41*$M45+$F$41*$F45+$I45*$I$41+$J45*$J$41+$K45*$K$41+$H45*$H$41)/$AF$41</f>
        <v>2.6144218129946575E-2</v>
      </c>
      <c r="AG45" s="591">
        <f t="shared" ref="AG45:AG66" si="54">($L$42*$L45+$O$42*$O45+$N$42*$N45+$G$42*$G45+$M$42*$M45+$F$42*$F45+$I45*$I$42+$J45*$J$42+$K45*$K$42+$H45*$H$42)/$AG$42</f>
        <v>8.464237704024399E-3</v>
      </c>
      <c r="AH45" s="42">
        <f t="shared" si="39"/>
        <v>1</v>
      </c>
      <c r="AI45" s="60">
        <f>$AH45*NewConst!$E$400*N_occ</f>
        <v>580.80000000000007</v>
      </c>
      <c r="AJ45" s="60">
        <f>$AH45*NewConst!$E$401*N_occ</f>
        <v>432.96000000000004</v>
      </c>
      <c r="AK45" s="58">
        <f>IF(NewConst!$F$203=NewConst!$I$203,'Detailed Lighting'!BD13,Lighting!BH23)</f>
        <v>9.5598491983904833E-3</v>
      </c>
      <c r="AL45" s="59">
        <f>IF(NewConst!$F$203=NewConst!$I$203,'Detailed Lighting'!BE13,Lighting!BI23)</f>
        <v>1.0910473716479298E-2</v>
      </c>
      <c r="AM45" s="59">
        <f>IF(NewConst!$F$203=NewConst!$I$203,'Detailed Lighting'!BF13,Lighting!BJ23)</f>
        <v>1.2915120064601167E-2</v>
      </c>
      <c r="AN45" s="59">
        <f>IF(NewConst!$F$203=NewConst!$I$203,'Detailed Lighting'!BG13,Lighting!BK23)</f>
        <v>1.5779842170134697E-2</v>
      </c>
      <c r="AO45" s="59">
        <f>IF(NewConst!$F$203=NewConst!$I$203,'Detailed Lighting'!BH13,Lighting!BL23)</f>
        <v>1.8125214590021553E-2</v>
      </c>
      <c r="AP45" s="59">
        <f>IF(NewConst!$F$203=NewConst!$I$203,'Detailed Lighting'!BI13,Lighting!BM23)</f>
        <v>1.9380305905960425E-2</v>
      </c>
      <c r="AQ45" s="59">
        <f>IF(NewConst!$F$203=NewConst!$I$203,'Detailed Lighting'!BJ13,Lighting!BN23)</f>
        <v>1.9024269037374312E-2</v>
      </c>
      <c r="AR45" s="59">
        <f>IF(NewConst!$F$203=NewConst!$I$203,'Detailed Lighting'!BK13,Lighting!BO23)</f>
        <v>1.6925263693060175E-2</v>
      </c>
      <c r="AS45" s="59">
        <f>IF(NewConst!$F$203=NewConst!$I$203,'Detailed Lighting'!BL13,Lighting!BP23)</f>
        <v>1.4179003870475257E-2</v>
      </c>
      <c r="AT45" s="59">
        <f>IF(NewConst!$F$203=NewConst!$I$203,'Detailed Lighting'!BM13,Lighting!BQ23)</f>
        <v>1.1732839135863676E-2</v>
      </c>
      <c r="AU45" s="59">
        <f>IF(NewConst!$F$203=NewConst!$I$203,'Detailed Lighting'!BN13,Lighting!BR23)</f>
        <v>9.9397158184557945E-3</v>
      </c>
      <c r="AV45" s="59">
        <f>IF(NewConst!$F$203=NewConst!$I$203,'Detailed Lighting'!BO13,Lighting!BS23)</f>
        <v>9.2032852089942874E-3</v>
      </c>
      <c r="AW45" s="729">
        <f>IF(NewConst!$F$203=NewConst!$I$203,'Detailed Lighting'!BP13,Lighting!BG23)</f>
        <v>1.3047642228086399E-2</v>
      </c>
      <c r="AX45" s="13"/>
      <c r="AY45" s="13"/>
      <c r="AZ45" s="13"/>
      <c r="BA45" s="38">
        <v>3</v>
      </c>
      <c r="BB45" s="745">
        <f t="shared" si="50"/>
        <v>1.6345500133115325E-3</v>
      </c>
      <c r="BC45" s="745">
        <v>4.1666666666666664E-2</v>
      </c>
      <c r="BD45" s="745">
        <f t="shared" si="40"/>
        <v>1.6345500133115325E-3</v>
      </c>
      <c r="BE45" s="745">
        <f t="shared" si="40"/>
        <v>4.0552472965877636E-3</v>
      </c>
      <c r="BF45" s="745">
        <v>0</v>
      </c>
      <c r="BG45" s="745">
        <v>1.6822429906542057E-2</v>
      </c>
      <c r="BH45" s="745">
        <v>2.3190442726633873E-2</v>
      </c>
      <c r="BI45" s="745">
        <v>4.1666666666666664E-2</v>
      </c>
      <c r="BJ45" s="746">
        <v>0</v>
      </c>
      <c r="BK45" s="745">
        <v>0</v>
      </c>
      <c r="BL45" s="745">
        <v>0</v>
      </c>
      <c r="BM45" s="745">
        <v>0</v>
      </c>
      <c r="BN45" s="745">
        <f t="shared" si="41"/>
        <v>0</v>
      </c>
      <c r="BO45" s="745">
        <v>3.9603959999999997E-3</v>
      </c>
      <c r="BP45" s="745">
        <f t="shared" si="42"/>
        <v>1.6822429906542057E-2</v>
      </c>
      <c r="BQ45" s="745">
        <f t="shared" si="36"/>
        <v>0</v>
      </c>
      <c r="BR45" s="745">
        <f t="shared" si="37"/>
        <v>4.1666666666666664E-2</v>
      </c>
      <c r="BS45" s="2189"/>
      <c r="BT45" s="745">
        <f>IF(AVERAGE('Sunrise Calc'!$G$2:$G$13)&gt;'Hourly Profiles'!BA45, 1/12, "0.000")</f>
        <v>8.3333333333333329E-2</v>
      </c>
      <c r="BU45" s="745">
        <v>2.4854368932038837E-2</v>
      </c>
      <c r="BV45" s="745" t="e">
        <f t="shared" si="51"/>
        <v>#VALUE!</v>
      </c>
      <c r="BW45" s="745" t="e">
        <f t="shared" si="52"/>
        <v>#VALUE!</v>
      </c>
      <c r="BX45" s="758">
        <f t="shared" si="43"/>
        <v>2.1145417675148818E-2</v>
      </c>
      <c r="BY45" s="747">
        <f>BX45*250*NewConst!$F$250</f>
        <v>52.863544187872044</v>
      </c>
      <c r="BZ45" s="748">
        <f>BX45*200*NewConst!$F$250</f>
        <v>42.290835350297641</v>
      </c>
      <c r="CA45" s="756">
        <f t="shared" si="44"/>
        <v>0</v>
      </c>
      <c r="CB45" s="747">
        <f t="shared" si="45"/>
        <v>0</v>
      </c>
      <c r="CC45" s="748">
        <f t="shared" si="46"/>
        <v>0</v>
      </c>
      <c r="CD45" s="756">
        <f t="shared" si="47"/>
        <v>0</v>
      </c>
      <c r="CE45" s="747">
        <f>CD45*710*NewConst!$F$419</f>
        <v>0</v>
      </c>
      <c r="CF45" s="748">
        <f>CD45*1090*NewConst!$F$419</f>
        <v>0</v>
      </c>
      <c r="CG45" s="756">
        <v>0</v>
      </c>
      <c r="CH45" s="747">
        <f>$CG45*CH$7*NewConst!$E$413</f>
        <v>0</v>
      </c>
      <c r="CI45" s="748">
        <f>$CG45*CI$7*NewConst!$E$413</f>
        <v>0</v>
      </c>
    </row>
    <row r="46" spans="2:90">
      <c r="B46" s="13"/>
      <c r="C46" s="32">
        <v>4</v>
      </c>
      <c r="D46" s="58">
        <f>'Hourly Profiles'!D12</f>
        <v>6.0518788725154128E-2</v>
      </c>
      <c r="E46" s="59">
        <f t="shared" si="48"/>
        <v>8.0000000000000002E-3</v>
      </c>
      <c r="F46" s="59">
        <f>'Hourly Profiles'!F12</f>
        <v>3.738318E-3</v>
      </c>
      <c r="G46" s="59">
        <f>'Hourly Profiles'!G12</f>
        <v>3.4129690000000001E-3</v>
      </c>
      <c r="H46" s="59">
        <f>(F46*'Monthly Profiles'!V$40+G46*'Monthly Profiles'!T$40+I46*'Monthly Profiles'!W$40+J46*'Monthly Profiles'!X$40+K46*'Monthly Profiles'!Y$40)/'Monthly Profiles'!AA$40</f>
        <v>4.6066850606044677E-3</v>
      </c>
      <c r="I46" s="591">
        <f>'Hourly Profiles'!I12</f>
        <v>3.8610038610038607E-3</v>
      </c>
      <c r="J46" s="591">
        <f>'Hourly Profiles'!J12</f>
        <v>4.8590864917395539E-3</v>
      </c>
      <c r="K46" s="591">
        <f>'Hourly Profiles'!K12</f>
        <v>5.0991501416430586E-3</v>
      </c>
      <c r="L46" s="59">
        <f>'Hourly Profiles'!L12</f>
        <v>3.6921329000000003E-2</v>
      </c>
      <c r="M46" s="59">
        <f>'Hourly Profiles'!M12</f>
        <v>1.9801979999999999E-3</v>
      </c>
      <c r="N46" s="59">
        <f>'Hourly Profiles'!N12</f>
        <v>3.5360679999999999E-3</v>
      </c>
      <c r="O46" s="59">
        <f>'Hourly Profiles'!O12</f>
        <v>3.4000000000000002E-2</v>
      </c>
      <c r="P46" s="1560">
        <f t="shared" si="49"/>
        <v>1.6524072216649952E-2</v>
      </c>
      <c r="Q46" s="1560">
        <f t="shared" si="49"/>
        <v>3.7963073852295415E-2</v>
      </c>
      <c r="R46" s="1560">
        <f t="shared" si="49"/>
        <v>4.0352852852852852E-2</v>
      </c>
      <c r="S46" s="1560">
        <f t="shared" si="49"/>
        <v>1.5000000000000002E-3</v>
      </c>
      <c r="T46" s="1560">
        <f t="shared" si="49"/>
        <v>0</v>
      </c>
      <c r="U46" s="1560">
        <f t="shared" si="49"/>
        <v>5.0050050050050039E-4</v>
      </c>
      <c r="V46" s="1560">
        <f t="shared" si="49"/>
        <v>9.980039920159682E-4</v>
      </c>
      <c r="W46" s="1560">
        <f t="shared" si="49"/>
        <v>9.999999999999998E-4</v>
      </c>
      <c r="X46" s="1560">
        <f t="shared" si="49"/>
        <v>5.7932559425096751E-2</v>
      </c>
      <c r="Y46" s="1560">
        <f t="shared" si="49"/>
        <v>2.8814205136608356E-2</v>
      </c>
      <c r="Z46" s="1560">
        <f t="shared" si="49"/>
        <v>2.8814205136608359E-2</v>
      </c>
      <c r="AA46" s="1560">
        <f t="shared" si="49"/>
        <v>3.991053677932406E-3</v>
      </c>
      <c r="AB46" s="1560">
        <f t="shared" si="49"/>
        <v>3.9910536779324043E-3</v>
      </c>
      <c r="AC46" s="1560">
        <f t="shared" si="49"/>
        <v>1.4999999999999999E-2</v>
      </c>
      <c r="AD46" s="1560">
        <f t="shared" si="49"/>
        <v>5.6872037914691947E-2</v>
      </c>
      <c r="AE46" s="59">
        <f>((L46*NewConst!F$238+O46*NewConst!$F$155/365+N46*NewConst!F$328+G46*NewConst!F$298+M46*NewConst!F$279+F46*NewConst!F$264)*3412+(M46*NewConst!F$280+N46*NewConst!F$332)*100000)/((NewConst!F$238+NewConst!$F$155/365+NewConst!F$328+NewConst!F$298+NewConst!F$279+NewConst!F$264)*3412+(NewConst!F$280+NewConst!F$332)*100000)</f>
        <v>1.0995374701131671E-2</v>
      </c>
      <c r="AF46" s="591">
        <f t="shared" si="53"/>
        <v>2.5976555929790621E-2</v>
      </c>
      <c r="AG46" s="591">
        <f t="shared" si="54"/>
        <v>8.9045872813928069E-3</v>
      </c>
      <c r="AH46" s="42">
        <f t="shared" si="39"/>
        <v>1</v>
      </c>
      <c r="AI46" s="60">
        <f>$AH46*NewConst!$E$400*N_occ</f>
        <v>580.80000000000007</v>
      </c>
      <c r="AJ46" s="60">
        <f>$AH46*NewConst!$E$401*N_occ</f>
        <v>432.96000000000004</v>
      </c>
      <c r="AK46" s="58">
        <f>IF(NewConst!$F$203=NewConst!$I$203,'Detailed Lighting'!BD14,Lighting!BH24)</f>
        <v>9.5598491983904833E-3</v>
      </c>
      <c r="AL46" s="59">
        <f>IF(NewConst!$F$203=NewConst!$I$203,'Detailed Lighting'!BE14,Lighting!BI24)</f>
        <v>1.0910473716479298E-2</v>
      </c>
      <c r="AM46" s="59">
        <f>IF(NewConst!$F$203=NewConst!$I$203,'Detailed Lighting'!BF14,Lighting!BJ24)</f>
        <v>1.2915120064601167E-2</v>
      </c>
      <c r="AN46" s="59">
        <f>IF(NewConst!$F$203=NewConst!$I$203,'Detailed Lighting'!BG14,Lighting!BK24)</f>
        <v>1.5779842170134697E-2</v>
      </c>
      <c r="AO46" s="59">
        <f>IF(NewConst!$F$203=NewConst!$I$203,'Detailed Lighting'!BH14,Lighting!BL24)</f>
        <v>1.8125214590021553E-2</v>
      </c>
      <c r="AP46" s="59">
        <f>IF(NewConst!$F$203=NewConst!$I$203,'Detailed Lighting'!BI14,Lighting!BM24)</f>
        <v>1.9380305905960425E-2</v>
      </c>
      <c r="AQ46" s="59">
        <f>IF(NewConst!$F$203=NewConst!$I$203,'Detailed Lighting'!BJ14,Lighting!BN24)</f>
        <v>1.9024269037374312E-2</v>
      </c>
      <c r="AR46" s="59">
        <f>IF(NewConst!$F$203=NewConst!$I$203,'Detailed Lighting'!BK14,Lighting!BO24)</f>
        <v>1.6925263693060175E-2</v>
      </c>
      <c r="AS46" s="59">
        <f>IF(NewConst!$F$203=NewConst!$I$203,'Detailed Lighting'!BL14,Lighting!BP24)</f>
        <v>1.4179003870475257E-2</v>
      </c>
      <c r="AT46" s="59">
        <f>IF(NewConst!$F$203=NewConst!$I$203,'Detailed Lighting'!BM14,Lighting!BQ24)</f>
        <v>1.1732839135863676E-2</v>
      </c>
      <c r="AU46" s="59">
        <f>IF(NewConst!$F$203=NewConst!$I$203,'Detailed Lighting'!BN14,Lighting!BR24)</f>
        <v>9.9397158184557945E-3</v>
      </c>
      <c r="AV46" s="59">
        <f>IF(NewConst!$F$203=NewConst!$I$203,'Detailed Lighting'!BO14,Lighting!BS24)</f>
        <v>9.2032852089942874E-3</v>
      </c>
      <c r="AW46" s="729">
        <f>IF(NewConst!$F$203=NewConst!$I$203,'Detailed Lighting'!BP14,Lighting!BG24)</f>
        <v>1.3047642228086399E-2</v>
      </c>
      <c r="AX46" s="13"/>
      <c r="AY46" s="13"/>
      <c r="AZ46" s="13"/>
      <c r="BA46" s="38">
        <v>4</v>
      </c>
      <c r="BB46" s="745">
        <f t="shared" si="50"/>
        <v>4.0758825621957017E-3</v>
      </c>
      <c r="BC46" s="745">
        <v>4.1666666666666664E-2</v>
      </c>
      <c r="BD46" s="745">
        <f t="shared" si="40"/>
        <v>4.0758825621957017E-3</v>
      </c>
      <c r="BE46" s="745">
        <f t="shared" si="40"/>
        <v>1.6672288567529344E-3</v>
      </c>
      <c r="BF46" s="745">
        <v>0</v>
      </c>
      <c r="BG46" s="745">
        <v>1.6822429906542057E-2</v>
      </c>
      <c r="BH46" s="745">
        <v>2.3190442726633873E-2</v>
      </c>
      <c r="BI46" s="745">
        <v>4.1666666666666664E-2</v>
      </c>
      <c r="BJ46" s="746">
        <v>0</v>
      </c>
      <c r="BK46" s="745">
        <v>0</v>
      </c>
      <c r="BL46" s="745">
        <v>0</v>
      </c>
      <c r="BM46" s="745">
        <v>0</v>
      </c>
      <c r="BN46" s="745">
        <f t="shared" si="41"/>
        <v>0</v>
      </c>
      <c r="BO46" s="745">
        <v>1.9801979999999999E-3</v>
      </c>
      <c r="BP46" s="745">
        <f t="shared" si="42"/>
        <v>1.6822429906542057E-2</v>
      </c>
      <c r="BQ46" s="745">
        <f t="shared" si="36"/>
        <v>0</v>
      </c>
      <c r="BR46" s="745">
        <f t="shared" si="37"/>
        <v>4.1666666666666664E-2</v>
      </c>
      <c r="BS46" s="2189"/>
      <c r="BT46" s="745">
        <f>IF(AVERAGE('Sunrise Calc'!$G$2:$G$13)&gt;'Hourly Profiles'!BA46, 1/12, "0.000")</f>
        <v>8.3333333333333329E-2</v>
      </c>
      <c r="BU46" s="745">
        <v>2.4077669902912623E-2</v>
      </c>
      <c r="BV46" s="745" t="e">
        <f t="shared" si="51"/>
        <v>#VALUE!</v>
      </c>
      <c r="BW46" s="745" t="e">
        <f t="shared" si="52"/>
        <v>#VALUE!</v>
      </c>
      <c r="BX46" s="758">
        <f t="shared" si="43"/>
        <v>5.2727807941388101E-2</v>
      </c>
      <c r="BY46" s="747">
        <f>BX46*250*NewConst!$F$250</f>
        <v>131.81951985347024</v>
      </c>
      <c r="BZ46" s="748">
        <f>BX46*200*NewConst!$F$250</f>
        <v>105.4556158827762</v>
      </c>
      <c r="CA46" s="756">
        <f t="shared" si="44"/>
        <v>0</v>
      </c>
      <c r="CB46" s="747">
        <f t="shared" si="45"/>
        <v>0</v>
      </c>
      <c r="CC46" s="748">
        <f t="shared" si="46"/>
        <v>0</v>
      </c>
      <c r="CD46" s="756">
        <f t="shared" si="47"/>
        <v>0</v>
      </c>
      <c r="CE46" s="747">
        <f>CD46*710*NewConst!$F$419</f>
        <v>0</v>
      </c>
      <c r="CF46" s="748">
        <f>CD46*1090*NewConst!$F$419</f>
        <v>0</v>
      </c>
      <c r="CG46" s="756">
        <v>0</v>
      </c>
      <c r="CH46" s="747">
        <f>$CG46*CH$7*NewConst!$E$413</f>
        <v>0</v>
      </c>
      <c r="CI46" s="748">
        <f>$CG46*CI$7*NewConst!$E$413</f>
        <v>0</v>
      </c>
    </row>
    <row r="47" spans="2:90">
      <c r="B47" s="13"/>
      <c r="C47" s="32">
        <v>5</v>
      </c>
      <c r="D47" s="58">
        <f>'Hourly Profiles'!D13</f>
        <v>6.0518788725154128E-2</v>
      </c>
      <c r="E47" s="59">
        <f t="shared" si="48"/>
        <v>2.4E-2</v>
      </c>
      <c r="F47" s="59">
        <f>'Hourly Profiles'!F13</f>
        <v>7.476636E-3</v>
      </c>
      <c r="G47" s="59">
        <f>'Hourly Profiles'!G13</f>
        <v>3.4129690000000001E-3</v>
      </c>
      <c r="H47" s="59">
        <f>(F47*'Monthly Profiles'!V$40+G47*'Monthly Profiles'!T$40+I47*'Monthly Profiles'!W$40+J47*'Monthly Profiles'!X$40+K47*'Monthly Profiles'!Y$40)/'Monthly Profiles'!AA$40</f>
        <v>9.3896064049789636E-3</v>
      </c>
      <c r="I47" s="591">
        <f>'Hourly Profiles'!I13</f>
        <v>7.7220077220077213E-3</v>
      </c>
      <c r="J47" s="591">
        <f>'Hourly Profiles'!J13</f>
        <v>1.3605442176870751E-2</v>
      </c>
      <c r="K47" s="591">
        <f>'Hourly Profiles'!K13</f>
        <v>6.7988668555240784E-3</v>
      </c>
      <c r="L47" s="59">
        <f>'Hourly Profiles'!L13</f>
        <v>3.6353309E-2</v>
      </c>
      <c r="M47" s="59">
        <f>'Hourly Profiles'!M13</f>
        <v>3.9603959999999997E-3</v>
      </c>
      <c r="N47" s="59">
        <f>'Hourly Profiles'!N13</f>
        <v>7.0721359999999997E-3</v>
      </c>
      <c r="O47" s="59">
        <f>'Hourly Profiles'!O13</f>
        <v>3.2000000000000001E-2</v>
      </c>
      <c r="P47" s="1560">
        <f t="shared" si="49"/>
        <v>2.3549648946840519E-2</v>
      </c>
      <c r="Q47" s="1560">
        <f t="shared" si="49"/>
        <v>3.6963073852295414E-2</v>
      </c>
      <c r="R47" s="1560">
        <f t="shared" si="49"/>
        <v>4.0348384098384101E-2</v>
      </c>
      <c r="S47" s="1560">
        <f t="shared" si="49"/>
        <v>6.5000000000000014E-3</v>
      </c>
      <c r="T47" s="1560">
        <f t="shared" si="49"/>
        <v>1.9940179461615157E-3</v>
      </c>
      <c r="U47" s="1560">
        <f t="shared" si="49"/>
        <v>4.5045045045045027E-3</v>
      </c>
      <c r="V47" s="1560">
        <f t="shared" si="49"/>
        <v>2.4950099800399206E-3</v>
      </c>
      <c r="W47" s="1560">
        <f t="shared" si="49"/>
        <v>4.999999999999999E-4</v>
      </c>
      <c r="X47" s="1560">
        <f t="shared" si="49"/>
        <v>4.9906623040951413E-2</v>
      </c>
      <c r="Y47" s="1560">
        <f t="shared" si="49"/>
        <v>4.6694510197997717E-2</v>
      </c>
      <c r="Z47" s="1560">
        <f t="shared" si="49"/>
        <v>4.669451019799771E-2</v>
      </c>
      <c r="AA47" s="1560">
        <f t="shared" si="49"/>
        <v>8.4821073558648125E-3</v>
      </c>
      <c r="AB47" s="1560">
        <f t="shared" si="49"/>
        <v>8.4821073558648107E-3</v>
      </c>
      <c r="AC47" s="1560">
        <f t="shared" si="49"/>
        <v>1.6E-2</v>
      </c>
      <c r="AD47" s="1560">
        <f t="shared" si="49"/>
        <v>5.6872037914691947E-2</v>
      </c>
      <c r="AE47" s="59">
        <f>((L47*NewConst!F$238+O47*NewConst!$F$155/365+N47*NewConst!F$328+G47*NewConst!F$298+M47*NewConst!F$279+F47*NewConst!F$264)*3412+(M47*NewConst!F$280+N47*NewConst!F$332)*100000)/((NewConst!F$238+NewConst!$F$155/365+NewConst!F$328+NewConst!F$298+NewConst!F$279+NewConst!F$264)*3412+(NewConst!F$280+NewConst!F$332)*100000)</f>
        <v>1.2808797935751015E-2</v>
      </c>
      <c r="AF47" s="591">
        <f t="shared" si="53"/>
        <v>2.5927242815031365E-2</v>
      </c>
      <c r="AG47" s="591">
        <f t="shared" si="54"/>
        <v>1.3089794497468069E-2</v>
      </c>
      <c r="AH47" s="42">
        <f t="shared" si="39"/>
        <v>1</v>
      </c>
      <c r="AI47" s="60">
        <f>$AH47*NewConst!$E$400*N_occ</f>
        <v>580.80000000000007</v>
      </c>
      <c r="AJ47" s="60">
        <f>$AH47*NewConst!$E$401*N_occ</f>
        <v>432.96000000000004</v>
      </c>
      <c r="AK47" s="58">
        <f>IF(NewConst!$F$203=NewConst!$I$203,'Detailed Lighting'!BD15,Lighting!BH25)</f>
        <v>9.5598491983904833E-3</v>
      </c>
      <c r="AL47" s="59">
        <f>IF(NewConst!$F$203=NewConst!$I$203,'Detailed Lighting'!BE15,Lighting!BI25)</f>
        <v>1.0910473716479298E-2</v>
      </c>
      <c r="AM47" s="59">
        <f>IF(NewConst!$F$203=NewConst!$I$203,'Detailed Lighting'!BF15,Lighting!BJ25)</f>
        <v>1.2915120064601167E-2</v>
      </c>
      <c r="AN47" s="59">
        <f>IF(NewConst!$F$203=NewConst!$I$203,'Detailed Lighting'!BG15,Lighting!BK25)</f>
        <v>1.5779842170134697E-2</v>
      </c>
      <c r="AO47" s="59">
        <f>IF(NewConst!$F$203=NewConst!$I$203,'Detailed Lighting'!BH15,Lighting!BL25)</f>
        <v>1.8125214590021553E-2</v>
      </c>
      <c r="AP47" s="59">
        <f>IF(NewConst!$F$203=NewConst!$I$203,'Detailed Lighting'!BI15,Lighting!BM25)</f>
        <v>1.9380305905960425E-2</v>
      </c>
      <c r="AQ47" s="59">
        <f>IF(NewConst!$F$203=NewConst!$I$203,'Detailed Lighting'!BJ15,Lighting!BN25)</f>
        <v>1.9024269037374312E-2</v>
      </c>
      <c r="AR47" s="59">
        <f>IF(NewConst!$F$203=NewConst!$I$203,'Detailed Lighting'!BK15,Lighting!BO25)</f>
        <v>1.6925263693060175E-2</v>
      </c>
      <c r="AS47" s="59">
        <f>IF(NewConst!$F$203=NewConst!$I$203,'Detailed Lighting'!BL15,Lighting!BP25)</f>
        <v>1.4179003870475257E-2</v>
      </c>
      <c r="AT47" s="59">
        <f>IF(NewConst!$F$203=NewConst!$I$203,'Detailed Lighting'!BM15,Lighting!BQ25)</f>
        <v>1.1732839135863676E-2</v>
      </c>
      <c r="AU47" s="59">
        <f>IF(NewConst!$F$203=NewConst!$I$203,'Detailed Lighting'!BN15,Lighting!BR25)</f>
        <v>9.9397158184557945E-3</v>
      </c>
      <c r="AV47" s="59">
        <f>IF(NewConst!$F$203=NewConst!$I$203,'Detailed Lighting'!BO15,Lighting!BS25)</f>
        <v>9.2032852089942874E-3</v>
      </c>
      <c r="AW47" s="729">
        <f>IF(NewConst!$F$203=NewConst!$I$203,'Detailed Lighting'!BP15,Lighting!BG25)</f>
        <v>1.3047642228086399E-2</v>
      </c>
      <c r="AX47" s="13"/>
      <c r="AY47" s="13"/>
      <c r="AZ47" s="13"/>
      <c r="BA47" s="38">
        <v>5</v>
      </c>
      <c r="BB47" s="745">
        <f t="shared" si="50"/>
        <v>4.7977140065892715E-3</v>
      </c>
      <c r="BC47" s="745">
        <v>4.1666666666666664E-2</v>
      </c>
      <c r="BD47" s="745">
        <f t="shared" si="40"/>
        <v>4.7977140065892715E-3</v>
      </c>
      <c r="BE47" s="745">
        <f t="shared" si="40"/>
        <v>4.157369899414393E-3</v>
      </c>
      <c r="BF47" s="745">
        <v>0</v>
      </c>
      <c r="BG47" s="745">
        <v>1.6822429906542057E-2</v>
      </c>
      <c r="BH47" s="745">
        <v>2.3190442726633873E-2</v>
      </c>
      <c r="BI47" s="745">
        <v>4.1666666666666664E-2</v>
      </c>
      <c r="BJ47" s="746">
        <v>0</v>
      </c>
      <c r="BK47" s="745">
        <v>0</v>
      </c>
      <c r="BL47" s="745">
        <v>0</v>
      </c>
      <c r="BM47" s="745">
        <v>0</v>
      </c>
      <c r="BN47" s="745">
        <f t="shared" si="41"/>
        <v>0</v>
      </c>
      <c r="BO47" s="745">
        <v>3.9603959999999997E-3</v>
      </c>
      <c r="BP47" s="745">
        <f t="shared" si="42"/>
        <v>1.6822429906542057E-2</v>
      </c>
      <c r="BQ47" s="745">
        <f t="shared" si="36"/>
        <v>0</v>
      </c>
      <c r="BR47" s="745">
        <f t="shared" si="37"/>
        <v>4.1666666666666664E-2</v>
      </c>
      <c r="BS47" s="2189"/>
      <c r="BT47" s="745">
        <f>IF(AVERAGE('Sunrise Calc'!$G$2:$G$13)&gt;'Hourly Profiles'!BA47, 1/12, "0.000")</f>
        <v>8.3333333333333329E-2</v>
      </c>
      <c r="BU47" s="745">
        <v>2.4077669902912623E-2</v>
      </c>
      <c r="BV47" s="745" t="e">
        <f t="shared" si="51"/>
        <v>#VALUE!</v>
      </c>
      <c r="BW47" s="745" t="e">
        <f t="shared" si="52"/>
        <v>#VALUE!</v>
      </c>
      <c r="BX47" s="758">
        <f t="shared" si="43"/>
        <v>6.2065807548897754E-2</v>
      </c>
      <c r="BY47" s="747">
        <f>BX47*250*NewConst!$F$250</f>
        <v>155.16451887224437</v>
      </c>
      <c r="BZ47" s="748">
        <f>BX47*200*NewConst!$F$250</f>
        <v>124.1316150977955</v>
      </c>
      <c r="CA47" s="756">
        <f t="shared" si="44"/>
        <v>0</v>
      </c>
      <c r="CB47" s="747">
        <f t="shared" si="45"/>
        <v>0</v>
      </c>
      <c r="CC47" s="748">
        <f t="shared" si="46"/>
        <v>0</v>
      </c>
      <c r="CD47" s="756">
        <f t="shared" si="47"/>
        <v>0</v>
      </c>
      <c r="CE47" s="747">
        <f>CD47*710*NewConst!$F$419</f>
        <v>0</v>
      </c>
      <c r="CF47" s="748">
        <f>CD47*1090*NewConst!$F$419</f>
        <v>0</v>
      </c>
      <c r="CG47" s="756">
        <v>0</v>
      </c>
      <c r="CH47" s="747">
        <f>$CG47*CH$7*NewConst!$E$413</f>
        <v>0</v>
      </c>
      <c r="CI47" s="748">
        <f>$CG47*CI$7*NewConst!$E$413</f>
        <v>0</v>
      </c>
    </row>
    <row r="48" spans="2:90">
      <c r="B48" s="13"/>
      <c r="C48" s="32">
        <v>6</v>
      </c>
      <c r="D48" s="58">
        <f>'Hourly Profiles'!D14</f>
        <v>6.0518788725154128E-2</v>
      </c>
      <c r="E48" s="59">
        <f t="shared" si="48"/>
        <v>0.05</v>
      </c>
      <c r="F48" s="59">
        <f>'Hourly Profiles'!F14</f>
        <v>1.1214953E-2</v>
      </c>
      <c r="G48" s="59">
        <f>'Hourly Profiles'!G14</f>
        <v>1.0238908E-2</v>
      </c>
      <c r="H48" s="59">
        <f>(F48*'Monthly Profiles'!V$40+G48*'Monthly Profiles'!T$40+I48*'Monthly Profiles'!W$40+J48*'Monthly Profiles'!X$40+K48*'Monthly Profiles'!Y$40)/'Monthly Profiles'!AA$40</f>
        <v>2.9254309834369982E-2</v>
      </c>
      <c r="I48" s="591">
        <f>'Hourly Profiles'!I14</f>
        <v>1.9305019305019305E-2</v>
      </c>
      <c r="J48" s="591">
        <f>'Hourly Profiles'!J14</f>
        <v>5.1506316812439265E-2</v>
      </c>
      <c r="K48" s="591">
        <f>'Hourly Profiles'!K14</f>
        <v>1.8130311614730877E-2</v>
      </c>
      <c r="L48" s="59">
        <f>'Hourly Profiles'!L14</f>
        <v>3.6353309E-2</v>
      </c>
      <c r="M48" s="59">
        <f>'Hourly Profiles'!M14</f>
        <v>5.9405940000000004E-3</v>
      </c>
      <c r="N48" s="59">
        <f>'Hourly Profiles'!N14</f>
        <v>1.0608204E-2</v>
      </c>
      <c r="O48" s="59">
        <f>'Hourly Profiles'!O14</f>
        <v>3.5999999999999997E-2</v>
      </c>
      <c r="P48" s="1560">
        <f t="shared" si="49"/>
        <v>3.1075225677031092E-2</v>
      </c>
      <c r="Q48" s="1560">
        <f t="shared" si="49"/>
        <v>3.6463073852295413E-2</v>
      </c>
      <c r="R48" s="1560">
        <f t="shared" si="49"/>
        <v>4.0343915343915349E-2</v>
      </c>
      <c r="S48" s="1560">
        <f t="shared" si="49"/>
        <v>1.1500000000000002E-2</v>
      </c>
      <c r="T48" s="1560">
        <f t="shared" si="49"/>
        <v>3.4895314057826515E-3</v>
      </c>
      <c r="U48" s="1560">
        <f t="shared" si="49"/>
        <v>9.0090090090090055E-3</v>
      </c>
      <c r="V48" s="1560">
        <f t="shared" si="49"/>
        <v>3.4930139720558877E-3</v>
      </c>
      <c r="W48" s="1560">
        <f t="shared" si="49"/>
        <v>4.999999999999999E-4</v>
      </c>
      <c r="X48" s="1560">
        <f t="shared" si="49"/>
        <v>5.3910627044955417E-2</v>
      </c>
      <c r="Y48" s="1560">
        <f t="shared" si="49"/>
        <v>6.6560912578155704E-2</v>
      </c>
      <c r="Z48" s="1560">
        <f t="shared" si="49"/>
        <v>6.656091257815569E-2</v>
      </c>
      <c r="AA48" s="1560">
        <f t="shared" si="49"/>
        <v>1.4955268389662031E-2</v>
      </c>
      <c r="AB48" s="1560">
        <f t="shared" si="49"/>
        <v>1.4955268389662024E-2</v>
      </c>
      <c r="AC48" s="1560">
        <f t="shared" si="49"/>
        <v>1.7500000000000002E-2</v>
      </c>
      <c r="AD48" s="1560">
        <f t="shared" si="49"/>
        <v>5.6872037914691947E-2</v>
      </c>
      <c r="AE48" s="59">
        <f>((L48*NewConst!F$238+O48*NewConst!$F$155/365+N48*NewConst!F$328+G48*NewConst!F$298+M48*NewConst!F$279+F48*NewConst!F$264)*3412+(M48*NewConst!F$280+N48*NewConst!F$332)*100000)/((NewConst!F$238+NewConst!$F$155/365+NewConst!F$328+NewConst!F$298+NewConst!F$279+NewConst!F$264)*3412+(NewConst!F$280+NewConst!F$332)*100000)</f>
        <v>1.4974278476826091E-2</v>
      </c>
      <c r="AF48" s="591">
        <f t="shared" si="53"/>
        <v>3.2196942676503221E-2</v>
      </c>
      <c r="AG48" s="591">
        <f t="shared" si="54"/>
        <v>2.887306624724267E-2</v>
      </c>
      <c r="AH48" s="42">
        <f t="shared" si="39"/>
        <v>1</v>
      </c>
      <c r="AI48" s="60">
        <f>$AH48*NewConst!$E$400*N_occ</f>
        <v>580.80000000000007</v>
      </c>
      <c r="AJ48" s="60">
        <f>$AH48*NewConst!$E$401*N_occ</f>
        <v>432.96000000000004</v>
      </c>
      <c r="AK48" s="58">
        <f>IF(NewConst!$F$203=NewConst!$I$203,'Detailed Lighting'!BD16,Lighting!BH26)</f>
        <v>1.046786451174443E-2</v>
      </c>
      <c r="AL48" s="59">
        <f>IF(NewConst!$F$203=NewConst!$I$203,'Detailed Lighting'!BE16,Lighting!BI26)</f>
        <v>1.1747934907070776E-2</v>
      </c>
      <c r="AM48" s="59">
        <f>IF(NewConst!$F$203=NewConst!$I$203,'Detailed Lighting'!BF16,Lighting!BJ26)</f>
        <v>1.3540695432430968E-2</v>
      </c>
      <c r="AN48" s="59">
        <f>IF(NewConst!$F$203=NewConst!$I$203,'Detailed Lighting'!BG16,Lighting!BK26)</f>
        <v>1.6664961402907252E-2</v>
      </c>
      <c r="AO48" s="59">
        <f>IF(NewConst!$F$203=NewConst!$I$203,'Detailed Lighting'!BH16,Lighting!BL26)</f>
        <v>1.8765663664446833E-2</v>
      </c>
      <c r="AP48" s="59">
        <f>IF(NewConst!$F$203=NewConst!$I$203,'Detailed Lighting'!BI16,Lighting!BM26)</f>
        <v>1.9943599965884854E-2</v>
      </c>
      <c r="AQ48" s="59">
        <f>IF(NewConst!$F$203=NewConst!$I$203,'Detailed Lighting'!BJ16,Lighting!BN26)</f>
        <v>1.9683500840876427E-2</v>
      </c>
      <c r="AR48" s="59">
        <f>IF(NewConst!$F$203=NewConst!$I$203,'Detailed Lighting'!BK16,Lighting!BO26)</f>
        <v>1.7749518270534247E-2</v>
      </c>
      <c r="AS48" s="59">
        <f>IF(NewConst!$F$203=NewConst!$I$203,'Detailed Lighting'!BL16,Lighting!BP26)</f>
        <v>1.5125141755857944E-2</v>
      </c>
      <c r="AT48" s="59">
        <f>IF(NewConst!$F$203=NewConst!$I$203,'Detailed Lighting'!BM16,Lighting!BQ26)</f>
        <v>1.2770755063530531E-2</v>
      </c>
      <c r="AU48" s="59">
        <f>IF(NewConst!$F$203=NewConst!$I$203,'Detailed Lighting'!BN16,Lighting!BR26)</f>
        <v>1.06017598741972E-2</v>
      </c>
      <c r="AV48" s="59">
        <f>IF(NewConst!$F$203=NewConst!$I$203,'Detailed Lighting'!BO16,Lighting!BS26)</f>
        <v>1.0014898224714816E-2</v>
      </c>
      <c r="AW48" s="729">
        <f>IF(NewConst!$F$203=NewConst!$I$203,'Detailed Lighting'!BP16,Lighting!BG26)</f>
        <v>1.3844991759640518E-2</v>
      </c>
      <c r="AX48" s="13"/>
      <c r="AY48" s="13"/>
      <c r="AZ48" s="13"/>
      <c r="BA48" s="38">
        <v>6</v>
      </c>
      <c r="BB48" s="745">
        <f t="shared" si="50"/>
        <v>1.1243378049801061E-2</v>
      </c>
      <c r="BC48" s="745">
        <v>4.1666666666666664E-2</v>
      </c>
      <c r="BD48" s="745">
        <f t="shared" si="40"/>
        <v>1.1243378049801061E-2</v>
      </c>
      <c r="BE48" s="745">
        <f t="shared" si="40"/>
        <v>4.893632604136687E-3</v>
      </c>
      <c r="BF48" s="745">
        <v>0</v>
      </c>
      <c r="BG48" s="745">
        <v>1.6822429906542057E-2</v>
      </c>
      <c r="BH48" s="745">
        <v>2.3190442726633873E-2</v>
      </c>
      <c r="BI48" s="745">
        <v>4.1666666666666664E-2</v>
      </c>
      <c r="BJ48" s="746">
        <v>0</v>
      </c>
      <c r="BK48" s="745">
        <v>0</v>
      </c>
      <c r="BL48" s="745">
        <v>0</v>
      </c>
      <c r="BM48" s="745">
        <v>0</v>
      </c>
      <c r="BN48" s="745">
        <f t="shared" si="41"/>
        <v>0</v>
      </c>
      <c r="BO48" s="745">
        <v>5.9405940000000004E-3</v>
      </c>
      <c r="BP48" s="745">
        <f t="shared" si="42"/>
        <v>1.6822429906542057E-2</v>
      </c>
      <c r="BQ48" s="745">
        <f t="shared" si="36"/>
        <v>0</v>
      </c>
      <c r="BR48" s="745">
        <f t="shared" si="37"/>
        <v>4.1666666666666664E-2</v>
      </c>
      <c r="BS48" s="2189"/>
      <c r="BT48" s="745">
        <f>IF(AVERAGE('Sunrise Calc'!$G$2:$G$13)&gt;'Hourly Profiles'!BA48, 1/12, "0.000")</f>
        <v>8.3333333333333329E-2</v>
      </c>
      <c r="BU48" s="745">
        <v>2.7184466019417475E-2</v>
      </c>
      <c r="BV48" s="745" t="e">
        <f t="shared" si="51"/>
        <v>#VALUE!</v>
      </c>
      <c r="BW48" s="745" t="e">
        <f t="shared" si="52"/>
        <v>#VALUE!</v>
      </c>
      <c r="BX48" s="758">
        <f t="shared" si="43"/>
        <v>0.14545038267809252</v>
      </c>
      <c r="BY48" s="747">
        <f>BX48*250*NewConst!$F$250</f>
        <v>363.62595669523131</v>
      </c>
      <c r="BZ48" s="748">
        <f>BX48*200*NewConst!$F$250</f>
        <v>290.90076535618505</v>
      </c>
      <c r="CA48" s="756">
        <f t="shared" si="44"/>
        <v>0</v>
      </c>
      <c r="CB48" s="747">
        <f t="shared" si="45"/>
        <v>0</v>
      </c>
      <c r="CC48" s="748">
        <f t="shared" si="46"/>
        <v>0</v>
      </c>
      <c r="CD48" s="756">
        <f t="shared" si="47"/>
        <v>0</v>
      </c>
      <c r="CE48" s="747">
        <f>CD48*710*NewConst!$F$419</f>
        <v>0</v>
      </c>
      <c r="CF48" s="748">
        <f>CD48*1090*NewConst!$F$419</f>
        <v>0</v>
      </c>
      <c r="CG48" s="756">
        <v>0</v>
      </c>
      <c r="CH48" s="747">
        <f>$CG48*CH$7*NewConst!$E$413</f>
        <v>0</v>
      </c>
      <c r="CI48" s="748">
        <f>$CG48*CI$7*NewConst!$E$413</f>
        <v>0</v>
      </c>
    </row>
    <row r="49" spans="2:87">
      <c r="B49" s="13"/>
      <c r="C49" s="32">
        <v>7</v>
      </c>
      <c r="D49" s="58">
        <f>'Hourly Profiles'!D15</f>
        <v>6.0518788725154128E-2</v>
      </c>
      <c r="E49" s="59">
        <f t="shared" si="48"/>
        <v>5.6000000000000001E-2</v>
      </c>
      <c r="F49" s="59">
        <f>'Hourly Profiles'!F15</f>
        <v>2.2429906999999999E-2</v>
      </c>
      <c r="G49" s="59">
        <f>'Hourly Profiles'!G15</f>
        <v>2.0477815999999999E-2</v>
      </c>
      <c r="H49" s="59">
        <f>(F49*'Monthly Profiles'!V$40+G49*'Monthly Profiles'!T$40+I49*'Monthly Profiles'!W$40+J49*'Monthly Profiles'!X$40+K49*'Monthly Profiles'!Y$40)/'Monthly Profiles'!AA$40</f>
        <v>6.6738103841399596E-2</v>
      </c>
      <c r="I49" s="591">
        <f>'Hourly Profiles'!I15</f>
        <v>4.6332046332046323E-2</v>
      </c>
      <c r="J49" s="591">
        <f>'Hourly Profiles'!J15</f>
        <v>0.11758989310009718</v>
      </c>
      <c r="K49" s="591">
        <f>'Hourly Profiles'!K15</f>
        <v>4.249291784702549E-2</v>
      </c>
      <c r="L49" s="59">
        <f>'Hourly Profiles'!L15</f>
        <v>3.7773359999999999E-2</v>
      </c>
      <c r="M49" s="59">
        <f>'Hourly Profiles'!M15</f>
        <v>1.5841583999999999E-2</v>
      </c>
      <c r="N49" s="59">
        <f>'Hourly Profiles'!N15</f>
        <v>2.4752474999999999E-2</v>
      </c>
      <c r="O49" s="59">
        <f>'Hourly Profiles'!O15</f>
        <v>4.2000000000000003E-2</v>
      </c>
      <c r="P49" s="1560">
        <f t="shared" si="49"/>
        <v>4.1594784353059175E-2</v>
      </c>
      <c r="Q49" s="1560">
        <f t="shared" si="49"/>
        <v>3.6962075848303397E-2</v>
      </c>
      <c r="R49" s="1560">
        <f t="shared" si="49"/>
        <v>4.0343915343915349E-2</v>
      </c>
      <c r="S49" s="1560">
        <f t="shared" si="49"/>
        <v>2.8500000000000008E-2</v>
      </c>
      <c r="T49" s="1560">
        <f t="shared" si="49"/>
        <v>1.4956130609171487E-2</v>
      </c>
      <c r="U49" s="1560">
        <f t="shared" si="49"/>
        <v>2.1521521521521515E-2</v>
      </c>
      <c r="V49" s="1560">
        <f t="shared" si="49"/>
        <v>1.5977045908183635E-2</v>
      </c>
      <c r="W49" s="1560">
        <f t="shared" si="49"/>
        <v>4.9925224327018935E-3</v>
      </c>
      <c r="X49" s="1560">
        <f t="shared" si="49"/>
        <v>5.990169273751364E-2</v>
      </c>
      <c r="Y49" s="1560">
        <f t="shared" si="49"/>
        <v>5.6630425984312602E-2</v>
      </c>
      <c r="Z49" s="1560">
        <f t="shared" si="49"/>
        <v>5.6630425984312588E-2</v>
      </c>
      <c r="AA49" s="1560">
        <f t="shared" si="49"/>
        <v>2.591650099403579E-2</v>
      </c>
      <c r="AB49" s="1560">
        <f t="shared" si="49"/>
        <v>2.5916500994035779E-2</v>
      </c>
      <c r="AC49" s="1560">
        <f t="shared" si="49"/>
        <v>2.5500000000000002E-2</v>
      </c>
      <c r="AD49" s="1560">
        <f t="shared" si="49"/>
        <v>5.6872037914691947E-2</v>
      </c>
      <c r="AE49" s="59">
        <f>((L49*NewConst!F$238+O49*NewConst!$F$155/365+N49*NewConst!F$328+G49*NewConst!F$298+M49*NewConst!F$279+F49*NewConst!F$264)*3412+(M49*NewConst!F$280+N49*NewConst!F$332)*100000)/((NewConst!F$238+NewConst!$F$155/365+NewConst!F$328+NewConst!F$298+NewConst!F$279+NewConst!F$264)*3412+(NewConst!F$280+NewConst!F$332)*100000)</f>
        <v>2.4145550731493555E-2</v>
      </c>
      <c r="AF49" s="591">
        <f t="shared" si="53"/>
        <v>4.396648418046431E-2</v>
      </c>
      <c r="AG49" s="591">
        <f t="shared" si="54"/>
        <v>5.976371027015414E-2</v>
      </c>
      <c r="AH49" s="42">
        <f t="shared" si="39"/>
        <v>1</v>
      </c>
      <c r="AI49" s="60">
        <f>$AH49*NewConst!$E$400*N_occ</f>
        <v>580.80000000000007</v>
      </c>
      <c r="AJ49" s="60">
        <f>$AH49*NewConst!$E$401*N_occ</f>
        <v>432.96000000000004</v>
      </c>
      <c r="AK49" s="58">
        <f>IF(NewConst!$F$203=NewConst!$I$203,'Detailed Lighting'!BD17,Lighting!BH27)</f>
        <v>2.2584908780539908E-2</v>
      </c>
      <c r="AL49" s="59">
        <f>IF(NewConst!$F$203=NewConst!$I$203,'Detailed Lighting'!BE17,Lighting!BI27)</f>
        <v>2.2923467049048581E-2</v>
      </c>
      <c r="AM49" s="59">
        <f>IF(NewConst!$F$203=NewConst!$I$203,'Detailed Lighting'!BF17,Lighting!BJ27)</f>
        <v>2.1888709297376616E-2</v>
      </c>
      <c r="AN49" s="59">
        <f>IF(NewConst!$F$203=NewConst!$I$203,'Detailed Lighting'!BG17,Lighting!BK27)</f>
        <v>2.8476468069080219E-2</v>
      </c>
      <c r="AO49" s="59">
        <f>IF(NewConst!$F$203=NewConst!$I$203,'Detailed Lighting'!BH17,Lighting!BL27)</f>
        <v>2.7312160262676785E-2</v>
      </c>
      <c r="AP49" s="59">
        <f>IF(NewConst!$F$203=NewConst!$I$203,'Detailed Lighting'!BI17,Lighting!BM27)</f>
        <v>2.7460498590911923E-2</v>
      </c>
      <c r="AQ49" s="59">
        <f>IF(NewConst!$F$203=NewConst!$I$203,'Detailed Lighting'!BJ17,Lighting!BN27)</f>
        <v>2.84806442689183E-2</v>
      </c>
      <c r="AR49" s="59">
        <f>IF(NewConst!$F$203=NewConst!$I$203,'Detailed Lighting'!BK17,Lighting!BO27)</f>
        <v>2.8748814270421721E-2</v>
      </c>
      <c r="AS49" s="59">
        <f>IF(NewConst!$F$203=NewConst!$I$203,'Detailed Lighting'!BL17,Lighting!BP27)</f>
        <v>2.7750914111194548E-2</v>
      </c>
      <c r="AT49" s="59">
        <f>IF(NewConst!$F$203=NewConst!$I$203,'Detailed Lighting'!BM17,Lighting!BQ27)</f>
        <v>2.6621262932581023E-2</v>
      </c>
      <c r="AU49" s="59">
        <f>IF(NewConst!$F$203=NewConst!$I$203,'Detailed Lighting'!BN17,Lighting!BR27)</f>
        <v>1.943643150730048E-2</v>
      </c>
      <c r="AV49" s="59">
        <f>IF(NewConst!$F$203=NewConst!$I$203,'Detailed Lighting'!BO17,Lighting!BS27)</f>
        <v>2.0845498431544984E-2</v>
      </c>
      <c r="AW49" s="729">
        <f>IF(NewConst!$F$203=NewConst!$I$203,'Detailed Lighting'!BP17,Lighting!BG27)</f>
        <v>2.4485252369186514E-2</v>
      </c>
      <c r="AX49" s="13"/>
      <c r="AY49" s="13"/>
      <c r="AZ49" s="13"/>
      <c r="BA49" s="38">
        <v>7</v>
      </c>
      <c r="BB49" s="745">
        <f t="shared" si="50"/>
        <v>2.3085964689168754E-2</v>
      </c>
      <c r="BC49" s="745">
        <v>4.1666666666666664E-2</v>
      </c>
      <c r="BD49" s="745">
        <f t="shared" si="40"/>
        <v>2.3085964689168754E-2</v>
      </c>
      <c r="BE49" s="745">
        <f t="shared" si="40"/>
        <v>1.1468161989141995E-2</v>
      </c>
      <c r="BF49" s="745">
        <v>0</v>
      </c>
      <c r="BG49" s="745">
        <v>1.6822429906542057E-2</v>
      </c>
      <c r="BH49" s="745">
        <v>2.3190442726633873E-2</v>
      </c>
      <c r="BI49" s="745">
        <v>4.1666666666666664E-2</v>
      </c>
      <c r="BJ49" s="746">
        <v>3.4482758620689655E-2</v>
      </c>
      <c r="BK49" s="745">
        <v>5.8823529411764705E-2</v>
      </c>
      <c r="BL49" s="745">
        <v>4.7619047619047616E-2</v>
      </c>
      <c r="BM49" s="745">
        <v>7.1428571428571425E-2</v>
      </c>
      <c r="BN49" s="745">
        <f t="shared" si="41"/>
        <v>7.1428571428571425E-2</v>
      </c>
      <c r="BO49" s="745">
        <v>1.5841583999999999E-2</v>
      </c>
      <c r="BP49" s="745">
        <f t="shared" si="42"/>
        <v>1.6822429906542057E-2</v>
      </c>
      <c r="BQ49" s="745">
        <f t="shared" si="36"/>
        <v>0</v>
      </c>
      <c r="BR49" s="745">
        <f t="shared" si="37"/>
        <v>4.1666666666666664E-2</v>
      </c>
      <c r="BS49" s="2189"/>
      <c r="BT49" s="745" t="str">
        <f>IF(AVERAGE('Sunrise Calc'!$G$2:$G$13)&gt;'Hourly Profiles'!BA49, 1/12, "0.000")</f>
        <v>0.000</v>
      </c>
      <c r="BU49" s="745">
        <v>3.4174757281553399E-2</v>
      </c>
      <c r="BV49" s="745" t="e">
        <f t="shared" si="51"/>
        <v>#VALUE!</v>
      </c>
      <c r="BW49" s="745" t="e">
        <f t="shared" si="52"/>
        <v>#VALUE!</v>
      </c>
      <c r="BX49" s="758">
        <f t="shared" si="43"/>
        <v>0.29865244979394251</v>
      </c>
      <c r="BY49" s="747">
        <f>BX49*250*NewConst!$F$250</f>
        <v>746.6311244848564</v>
      </c>
      <c r="BZ49" s="748">
        <f>BX49*200*NewConst!$F$250</f>
        <v>597.30489958788507</v>
      </c>
      <c r="CA49" s="756">
        <f t="shared" si="44"/>
        <v>0</v>
      </c>
      <c r="CB49" s="747">
        <f t="shared" si="45"/>
        <v>0</v>
      </c>
      <c r="CC49" s="748">
        <f t="shared" si="46"/>
        <v>0</v>
      </c>
      <c r="CD49" s="756">
        <f t="shared" si="47"/>
        <v>0.5</v>
      </c>
      <c r="CE49" s="747">
        <f>CD49*710*NewConst!$F$419</f>
        <v>1065</v>
      </c>
      <c r="CF49" s="748">
        <f>CD49*1090*NewConst!$F$419</f>
        <v>1635</v>
      </c>
      <c r="CG49" s="756">
        <v>0.5</v>
      </c>
      <c r="CH49" s="747">
        <f>$CG49*CH$7*NewConst!$E$413</f>
        <v>40.425000000000004</v>
      </c>
      <c r="CI49" s="748">
        <f>$CG49*CI$7*NewConst!$E$413</f>
        <v>25.575000000000003</v>
      </c>
    </row>
    <row r="50" spans="2:87">
      <c r="B50" s="13"/>
      <c r="C50" s="32">
        <v>8</v>
      </c>
      <c r="D50" s="58">
        <f>'Hourly Profiles'!D16</f>
        <v>5.3443893615832683E-2</v>
      </c>
      <c r="E50" s="59">
        <f t="shared" si="48"/>
        <v>0.05</v>
      </c>
      <c r="F50" s="59">
        <f>'Hourly Profiles'!F16</f>
        <v>4.8598131000000003E-2</v>
      </c>
      <c r="G50" s="59">
        <f>'Hourly Profiles'!G16</f>
        <v>3.0716724000000001E-2</v>
      </c>
      <c r="H50" s="59">
        <f>(F50*'Monthly Profiles'!V$40+G50*'Monthly Profiles'!T$40+I50*'Monthly Profiles'!W$40+J50*'Monthly Profiles'!X$40+K50*'Monthly Profiles'!Y$40)/'Monthly Profiles'!AA$40</f>
        <v>7.8649647191515376E-2</v>
      </c>
      <c r="I50" s="591">
        <f>'Hourly Profiles'!I16</f>
        <v>5.7915057915057903E-2</v>
      </c>
      <c r="J50" s="591">
        <f>'Hourly Profiles'!J16</f>
        <v>0.11661807580174928</v>
      </c>
      <c r="K50" s="591">
        <f>'Hourly Profiles'!K16</f>
        <v>6.2322946175637391E-2</v>
      </c>
      <c r="L50" s="59">
        <f>'Hourly Profiles'!L16</f>
        <v>3.9761431E-2</v>
      </c>
      <c r="M50" s="59">
        <f>'Hourly Profiles'!M16</f>
        <v>3.1683167999999998E-2</v>
      </c>
      <c r="N50" s="59">
        <f>'Hourly Profiles'!N16</f>
        <v>4.2432814999999999E-2</v>
      </c>
      <c r="O50" s="59">
        <f>'Hourly Profiles'!O16</f>
        <v>4.3999999999999997E-2</v>
      </c>
      <c r="P50" s="1560">
        <f t="shared" si="49"/>
        <v>5.2114343029087254E-2</v>
      </c>
      <c r="Q50" s="1560">
        <f t="shared" si="49"/>
        <v>3.746107784431138E-2</v>
      </c>
      <c r="R50" s="1560">
        <f t="shared" si="49"/>
        <v>4.0844415844415852E-2</v>
      </c>
      <c r="S50" s="1560">
        <f t="shared" si="49"/>
        <v>4.6000000000000013E-2</v>
      </c>
      <c r="T50" s="1560">
        <f t="shared" si="49"/>
        <v>2.5424724826519442E-2</v>
      </c>
      <c r="U50" s="1560">
        <f t="shared" si="49"/>
        <v>3.4534534534534533E-2</v>
      </c>
      <c r="V50" s="1560">
        <f t="shared" si="49"/>
        <v>2.8461077844311379E-2</v>
      </c>
      <c r="W50" s="1560">
        <f t="shared" si="49"/>
        <v>9.4865403788634093E-3</v>
      </c>
      <c r="X50" s="1560">
        <f t="shared" si="49"/>
        <v>5.8385250922564372E-2</v>
      </c>
      <c r="Y50" s="1560">
        <f t="shared" si="49"/>
        <v>2.4345486169378962E-2</v>
      </c>
      <c r="Z50" s="1560">
        <f t="shared" si="49"/>
        <v>2.4345486169378962E-2</v>
      </c>
      <c r="AA50" s="1560">
        <f t="shared" si="49"/>
        <v>4.3880715705765419E-2</v>
      </c>
      <c r="AB50" s="1560">
        <f t="shared" si="49"/>
        <v>4.3880715705765391E-2</v>
      </c>
      <c r="AC50" s="1560">
        <f t="shared" si="49"/>
        <v>3.2500000000000001E-2</v>
      </c>
      <c r="AD50" s="1560">
        <f t="shared" si="49"/>
        <v>2.3696682464454978E-2</v>
      </c>
      <c r="AE50" s="59">
        <f>((L50*NewConst!F$238+O50*NewConst!$F$155/365+N50*NewConst!F$328+G50*NewConst!F$298+M50*NewConst!F$279+F50*NewConst!F$264)*3412+(M50*NewConst!F$280+N50*NewConst!F$332)*100000)/((NewConst!F$238+NewConst!$F$155/365+NewConst!F$328+NewConst!F$298+NewConst!F$279+NewConst!F$264)*3412+(NewConst!F$280+NewConst!F$332)*100000)</f>
        <v>3.7263561293544328E-2</v>
      </c>
      <c r="AF50" s="591">
        <f t="shared" si="53"/>
        <v>4.9071154768094663E-2</v>
      </c>
      <c r="AG50" s="591">
        <f t="shared" si="54"/>
        <v>6.8617498085718362E-2</v>
      </c>
      <c r="AH50" s="61">
        <f t="shared" si="39"/>
        <v>0.88309589041095882</v>
      </c>
      <c r="AI50" s="60">
        <f>$AH50*NewConst!$E$400*N_occ</f>
        <v>512.90209315068489</v>
      </c>
      <c r="AJ50" s="60">
        <f>$AH50*NewConst!$E$401*N_occ</f>
        <v>382.34519671232869</v>
      </c>
      <c r="AK50" s="58">
        <f>IF(NewConst!$F$203=NewConst!$I$203,'Detailed Lighting'!BD18,Lighting!BH28)</f>
        <v>4.7225844522917025E-2</v>
      </c>
      <c r="AL50" s="59">
        <f>IF(NewConst!$F$203=NewConst!$I$203,'Detailed Lighting'!BE18,Lighting!BI28)</f>
        <v>4.5649765912749912E-2</v>
      </c>
      <c r="AM50" s="59">
        <f>IF(NewConst!$F$203=NewConst!$I$203,'Detailed Lighting'!BF18,Lighting!BJ28)</f>
        <v>3.8865033610421922E-2</v>
      </c>
      <c r="AN50" s="59">
        <f>IF(NewConst!$F$203=NewConst!$I$203,'Detailed Lighting'!BG18,Lighting!BK28)</f>
        <v>5.249606974135828E-2</v>
      </c>
      <c r="AO50" s="59">
        <f>IF(NewConst!$F$203=NewConst!$I$203,'Detailed Lighting'!BH18,Lighting!BL28)</f>
        <v>4.4692114385792604E-2</v>
      </c>
      <c r="AP50" s="59">
        <f>IF(NewConst!$F$203=NewConst!$I$203,'Detailed Lighting'!BI18,Lighting!BM28)</f>
        <v>4.2746686533482472E-2</v>
      </c>
      <c r="AQ50" s="59">
        <f>IF(NewConst!$F$203=NewConst!$I$203,'Detailed Lighting'!BJ18,Lighting!BN28)</f>
        <v>4.6370307879795188E-2</v>
      </c>
      <c r="AR50" s="59">
        <f>IF(NewConst!$F$203=NewConst!$I$203,'Detailed Lighting'!BK18,Lighting!BO28)</f>
        <v>5.1116723467765593E-2</v>
      </c>
      <c r="AS50" s="59">
        <f>IF(NewConst!$F$203=NewConst!$I$203,'Detailed Lighting'!BL18,Lighting!BP28)</f>
        <v>5.34263873045146E-2</v>
      </c>
      <c r="AT50" s="59">
        <f>IF(NewConst!$F$203=NewConst!$I$203,'Detailed Lighting'!BM18,Lighting!BQ28)</f>
        <v>5.4787329411307248E-2</v>
      </c>
      <c r="AU50" s="59">
        <f>IF(NewConst!$F$203=NewConst!$I$203,'Detailed Lighting'!BN18,Lighting!BR28)</f>
        <v>3.740241159181E-2</v>
      </c>
      <c r="AV50" s="59">
        <f>IF(NewConst!$F$203=NewConst!$I$203,'Detailed Lighting'!BO18,Lighting!BS28)</f>
        <v>4.287035183867114E-2</v>
      </c>
      <c r="AW50" s="729">
        <f>IF(NewConst!$F$203=NewConst!$I$203,'Detailed Lighting'!BP18,Lighting!BG28)</f>
        <v>4.6123035655756331E-2</v>
      </c>
      <c r="AX50" s="13"/>
      <c r="AY50" s="13"/>
      <c r="AZ50" s="13"/>
      <c r="BA50" s="38">
        <v>8</v>
      </c>
      <c r="BB50" s="745">
        <f t="shared" si="50"/>
        <v>3.7388593343930306E-2</v>
      </c>
      <c r="BC50" s="745">
        <v>4.1666666666666664E-2</v>
      </c>
      <c r="BD50" s="745">
        <f t="shared" si="40"/>
        <v>3.7388593343930306E-2</v>
      </c>
      <c r="BE50" s="745">
        <f t="shared" si="40"/>
        <v>2.3547512283079722E-2</v>
      </c>
      <c r="BF50" s="745">
        <v>0</v>
      </c>
      <c r="BG50" s="745">
        <v>1.6822429906542057E-2</v>
      </c>
      <c r="BH50" s="745">
        <v>3.5137034434293744E-2</v>
      </c>
      <c r="BI50" s="745">
        <v>4.1666666666666664E-2</v>
      </c>
      <c r="BJ50" s="746">
        <v>6.8965517241379309E-2</v>
      </c>
      <c r="BK50" s="745">
        <v>5.8823529411764705E-2</v>
      </c>
      <c r="BL50" s="745">
        <v>9.5238095238095233E-2</v>
      </c>
      <c r="BM50" s="745">
        <v>7.1428571428571425E-2</v>
      </c>
      <c r="BN50" s="745">
        <f t="shared" si="41"/>
        <v>7.1428571428571425E-2</v>
      </c>
      <c r="BO50" s="745">
        <v>3.1683167999999998E-2</v>
      </c>
      <c r="BP50" s="745">
        <f t="shared" si="42"/>
        <v>1.6822429906542057E-2</v>
      </c>
      <c r="BQ50" s="745">
        <f t="shared" si="36"/>
        <v>0</v>
      </c>
      <c r="BR50" s="745">
        <f t="shared" si="37"/>
        <v>4.1666666666666664E-2</v>
      </c>
      <c r="BS50" s="2189"/>
      <c r="BT50" s="745" t="str">
        <f>IF(AVERAGE('Sunrise Calc'!$G$2:$G$13)&gt;'Hourly Profiles'!BA50, 1/12, "0.000")</f>
        <v>0.000</v>
      </c>
      <c r="BU50" s="745">
        <v>4.1165048543689318E-2</v>
      </c>
      <c r="BV50" s="745" t="e">
        <f t="shared" si="51"/>
        <v>#VALUE!</v>
      </c>
      <c r="BW50" s="745" t="e">
        <f t="shared" si="52"/>
        <v>#VALUE!</v>
      </c>
      <c r="BX50" s="758">
        <f t="shared" si="43"/>
        <v>0.4836789428926539</v>
      </c>
      <c r="BY50" s="747">
        <f>BX50*250*NewConst!$F$250</f>
        <v>1209.1973572316347</v>
      </c>
      <c r="BZ50" s="748">
        <f>BX50*200*NewConst!$F$250</f>
        <v>967.35788578530776</v>
      </c>
      <c r="CA50" s="756">
        <f t="shared" si="44"/>
        <v>0</v>
      </c>
      <c r="CB50" s="747">
        <f t="shared" si="45"/>
        <v>0</v>
      </c>
      <c r="CC50" s="748">
        <f t="shared" si="46"/>
        <v>0</v>
      </c>
      <c r="CD50" s="756">
        <f t="shared" si="47"/>
        <v>1</v>
      </c>
      <c r="CE50" s="747">
        <f>CD50*710*NewConst!$F$419</f>
        <v>2130</v>
      </c>
      <c r="CF50" s="748">
        <f>CD50*1090*NewConst!$F$419</f>
        <v>3270</v>
      </c>
      <c r="CG50" s="756">
        <v>0.5</v>
      </c>
      <c r="CH50" s="747">
        <f>$CG50*CH$7*NewConst!$E$413</f>
        <v>40.425000000000004</v>
      </c>
      <c r="CI50" s="748">
        <f>$CG50*CI$7*NewConst!$E$413</f>
        <v>25.575000000000003</v>
      </c>
    </row>
    <row r="51" spans="2:87">
      <c r="B51" s="13"/>
      <c r="C51" s="32">
        <v>9</v>
      </c>
      <c r="D51" s="58">
        <f>'Hourly Profiles'!D17</f>
        <v>2.4728556254600131E-2</v>
      </c>
      <c r="E51" s="59">
        <f t="shared" si="48"/>
        <v>2.1999999999999999E-2</v>
      </c>
      <c r="F51" s="59">
        <f>'Hourly Profiles'!F17</f>
        <v>7.2897195999999997E-2</v>
      </c>
      <c r="G51" s="59">
        <f>'Hourly Profiles'!G17</f>
        <v>5.8020478E-2</v>
      </c>
      <c r="H51" s="59">
        <f>(F51*'Monthly Profiles'!V$40+G51*'Monthly Profiles'!T$40+I51*'Monthly Profiles'!W$40+J51*'Monthly Profiles'!X$40+K51*'Monthly Profiles'!Y$40)/'Monthly Profiles'!AA$40</f>
        <v>7.7360985997348086E-2</v>
      </c>
      <c r="I51" s="591">
        <f>'Hourly Profiles'!I17</f>
        <v>6.5637065637065631E-2</v>
      </c>
      <c r="J51" s="591">
        <f>'Hourly Profiles'!J17</f>
        <v>9.4752186588921289E-2</v>
      </c>
      <c r="K51" s="591">
        <f>'Hourly Profiles'!K17</f>
        <v>6.5722379603399425E-2</v>
      </c>
      <c r="L51" s="59">
        <f>'Hourly Profiles'!L17</f>
        <v>4.0613462000000003E-2</v>
      </c>
      <c r="M51" s="59">
        <f>'Hourly Profiles'!M17</f>
        <v>4.8316831999999997E-2</v>
      </c>
      <c r="N51" s="59">
        <f>'Hourly Profiles'!N17</f>
        <v>4.5968883000000002E-2</v>
      </c>
      <c r="O51" s="59">
        <f>'Hourly Profiles'!O17</f>
        <v>3.6999999999999998E-2</v>
      </c>
      <c r="P51" s="1560">
        <f t="shared" si="49"/>
        <v>5.4603811434302908E-2</v>
      </c>
      <c r="Q51" s="1560">
        <f t="shared" si="49"/>
        <v>3.7961077844311381E-2</v>
      </c>
      <c r="R51" s="1560">
        <f t="shared" si="49"/>
        <v>4.1344916344916341E-2</v>
      </c>
      <c r="S51" s="1560">
        <f t="shared" si="49"/>
        <v>4.3500000000000011E-2</v>
      </c>
      <c r="T51" s="1560">
        <f t="shared" si="49"/>
        <v>5.2393767747705933E-2</v>
      </c>
      <c r="U51" s="1560">
        <f t="shared" si="49"/>
        <v>6.4491137844431251E-2</v>
      </c>
      <c r="V51" s="1560">
        <f t="shared" si="49"/>
        <v>4.3441117764471057E-2</v>
      </c>
      <c r="W51" s="1560">
        <f t="shared" si="49"/>
        <v>1.7971585244267195E-2</v>
      </c>
      <c r="X51" s="1560">
        <f t="shared" si="49"/>
        <v>6.1370325549430046E-2</v>
      </c>
      <c r="Y51" s="1560">
        <f t="shared" si="49"/>
        <v>2.3844026210167003E-2</v>
      </c>
      <c r="Z51" s="1560">
        <f t="shared" si="49"/>
        <v>2.3844026210167006E-2</v>
      </c>
      <c r="AA51" s="1560">
        <f t="shared" si="49"/>
        <v>8.4279324055666016E-2</v>
      </c>
      <c r="AB51" s="1560">
        <f t="shared" si="49"/>
        <v>8.4279324055665988E-2</v>
      </c>
      <c r="AC51" s="1560">
        <f t="shared" si="49"/>
        <v>3.2500000000000001E-2</v>
      </c>
      <c r="AD51" s="1560">
        <f t="shared" si="49"/>
        <v>2.3696682464454978E-2</v>
      </c>
      <c r="AE51" s="59">
        <f>((L51*NewConst!F$238+O51*NewConst!$F$155/365+N51*NewConst!F$328+G51*NewConst!F$298+M51*NewConst!F$279+F51*NewConst!F$264)*3412+(M51*NewConst!F$280+N51*NewConst!F$332)*100000)/((NewConst!F$238+NewConst!$F$155/365+NewConst!F$328+NewConst!F$298+NewConst!F$279+NewConst!F$264)*3412+(NewConst!F$280+NewConst!F$332)*100000)</f>
        <v>4.6645972870231873E-2</v>
      </c>
      <c r="AF51" s="591">
        <f t="shared" si="53"/>
        <v>4.5899267383828934E-2</v>
      </c>
      <c r="AG51" s="591">
        <f t="shared" si="54"/>
        <v>6.262898223952966E-2</v>
      </c>
      <c r="AH51" s="61">
        <f t="shared" si="39"/>
        <v>0.4086095702758491</v>
      </c>
      <c r="AI51" s="60">
        <f>$AH51*NewConst!$E$400*N_occ</f>
        <v>237.32043841621316</v>
      </c>
      <c r="AJ51" s="60">
        <f>$AH51*NewConst!$E$401*N_occ</f>
        <v>176.91159954663163</v>
      </c>
      <c r="AK51" s="58">
        <f>IF(NewConst!$F$203=NewConst!$I$203,'Detailed Lighting'!BD19,Lighting!BH29)</f>
        <v>4.5119493768682795E-2</v>
      </c>
      <c r="AL51" s="59">
        <f>IF(NewConst!$F$203=NewConst!$I$203,'Detailed Lighting'!BE19,Lighting!BI29)</f>
        <v>4.0730939199668373E-2</v>
      </c>
      <c r="AM51" s="59">
        <f>IF(NewConst!$F$203=NewConst!$I$203,'Detailed Lighting'!BF19,Lighting!BJ29)</f>
        <v>3.1370516916852935E-2</v>
      </c>
      <c r="AN51" s="59">
        <f>IF(NewConst!$F$203=NewConst!$I$203,'Detailed Lighting'!BG19,Lighting!BK29)</f>
        <v>4.164800661769371E-2</v>
      </c>
      <c r="AO51" s="59">
        <f>IF(NewConst!$F$203=NewConst!$I$203,'Detailed Lighting'!BH19,Lighting!BL29)</f>
        <v>3.3673815186028105E-2</v>
      </c>
      <c r="AP51" s="59">
        <f>IF(NewConst!$F$203=NewConst!$I$203,'Detailed Lighting'!BI19,Lighting!BM29)</f>
        <v>3.1829071428418822E-2</v>
      </c>
      <c r="AQ51" s="59">
        <f>IF(NewConst!$F$203=NewConst!$I$203,'Detailed Lighting'!BJ19,Lighting!BN29)</f>
        <v>3.4895017356187205E-2</v>
      </c>
      <c r="AR51" s="59">
        <f>IF(NewConst!$F$203=NewConst!$I$203,'Detailed Lighting'!BK19,Lighting!BO29)</f>
        <v>3.9921780545311848E-2</v>
      </c>
      <c r="AS51" s="59">
        <f>IF(NewConst!$F$203=NewConst!$I$203,'Detailed Lighting'!BL19,Lighting!BP29)</f>
        <v>4.4427415355229052E-2</v>
      </c>
      <c r="AT51" s="59">
        <f>IF(NewConst!$F$203=NewConst!$I$203,'Detailed Lighting'!BM19,Lighting!BQ29)</f>
        <v>4.9090118439820925E-2</v>
      </c>
      <c r="AU51" s="59">
        <f>IF(NewConst!$F$203=NewConst!$I$203,'Detailed Lighting'!BN19,Lighting!BR29)</f>
        <v>3.6056453966279205E-2</v>
      </c>
      <c r="AV51" s="59">
        <f>IF(NewConst!$F$203=NewConst!$I$203,'Detailed Lighting'!BO19,Lighting!BS29)</f>
        <v>4.2474794205498996E-2</v>
      </c>
      <c r="AW51" s="729">
        <f>IF(NewConst!$F$203=NewConst!$I$203,'Detailed Lighting'!BP19,Lighting!BG29)</f>
        <v>3.9956588261754224E-2</v>
      </c>
      <c r="AX51" s="13"/>
      <c r="AY51" s="13"/>
      <c r="AZ51" s="13"/>
      <c r="BA51" s="38">
        <v>9</v>
      </c>
      <c r="BB51" s="745">
        <f t="shared" si="50"/>
        <v>5.0844239393186261E-2</v>
      </c>
      <c r="BC51" s="745">
        <v>4.1666666666666664E-2</v>
      </c>
      <c r="BD51" s="745">
        <f t="shared" si="40"/>
        <v>5.0844239393186261E-2</v>
      </c>
      <c r="BE51" s="745">
        <f t="shared" si="40"/>
        <v>3.8136087136368749E-2</v>
      </c>
      <c r="BF51" s="745">
        <v>0.11764705882352941</v>
      </c>
      <c r="BG51" s="745">
        <v>8.411214953271029E-2</v>
      </c>
      <c r="BH51" s="745">
        <v>7.0274068868587489E-2</v>
      </c>
      <c r="BI51" s="745">
        <v>4.1666666666666664E-2</v>
      </c>
      <c r="BJ51" s="746">
        <v>6.8965517241379309E-2</v>
      </c>
      <c r="BK51" s="745">
        <v>5.8823529411764705E-2</v>
      </c>
      <c r="BL51" s="745">
        <v>9.5238095238095233E-2</v>
      </c>
      <c r="BM51" s="745">
        <v>7.1428571428571425E-2</v>
      </c>
      <c r="BN51" s="745">
        <f t="shared" si="41"/>
        <v>7.1428571428571425E-2</v>
      </c>
      <c r="BO51" s="745">
        <v>4.8316831999999997E-2</v>
      </c>
      <c r="BP51" s="745">
        <f t="shared" si="42"/>
        <v>8.411214953271029E-2</v>
      </c>
      <c r="BQ51" s="745">
        <f t="shared" si="36"/>
        <v>0.1111111111111111</v>
      </c>
      <c r="BR51" s="745">
        <f t="shared" si="37"/>
        <v>4.1666666666666664E-2</v>
      </c>
      <c r="BS51" s="2189"/>
      <c r="BT51" s="745" t="str">
        <f>IF(AVERAGE('Sunrise Calc'!$G$2:$G$13)&gt;'Hourly Profiles'!BA51, 1/12, "0.000")</f>
        <v>0.000</v>
      </c>
      <c r="BU51" s="745">
        <v>4.1941747572815533E-2</v>
      </c>
      <c r="BV51" s="745" t="e">
        <f t="shared" si="51"/>
        <v>#VALUE!</v>
      </c>
      <c r="BW51" s="745" t="e">
        <f t="shared" si="52"/>
        <v>#VALUE!</v>
      </c>
      <c r="BX51" s="758">
        <f t="shared" si="43"/>
        <v>0.65774841368483028</v>
      </c>
      <c r="BY51" s="747">
        <f>BX51*250*NewConst!$F$250</f>
        <v>1644.3710342120758</v>
      </c>
      <c r="BZ51" s="748">
        <f>BX51*200*NewConst!$F$250</f>
        <v>1315.4968273696604</v>
      </c>
      <c r="CA51" s="756">
        <f t="shared" si="44"/>
        <v>1</v>
      </c>
      <c r="CB51" s="747">
        <f t="shared" si="45"/>
        <v>750</v>
      </c>
      <c r="CC51" s="748">
        <f t="shared" si="46"/>
        <v>600</v>
      </c>
      <c r="CD51" s="756">
        <f t="shared" si="47"/>
        <v>1</v>
      </c>
      <c r="CE51" s="747">
        <f>CD51*710*NewConst!$F$419</f>
        <v>2130</v>
      </c>
      <c r="CF51" s="748">
        <f>CD51*1090*NewConst!$F$419</f>
        <v>3270</v>
      </c>
      <c r="CG51" s="756">
        <v>0.5</v>
      </c>
      <c r="CH51" s="747">
        <f>$CG51*CH$7*NewConst!$E$413</f>
        <v>40.425000000000004</v>
      </c>
      <c r="CI51" s="748">
        <f>$CG51*CI$7*NewConst!$E$413</f>
        <v>25.575000000000003</v>
      </c>
    </row>
    <row r="52" spans="2:87">
      <c r="B52" s="13"/>
      <c r="C52" s="32">
        <v>10</v>
      </c>
      <c r="D52" s="58">
        <f>'Hourly Profiles'!D18</f>
        <v>1.4638755684462032E-2</v>
      </c>
      <c r="E52" s="59">
        <f t="shared" si="48"/>
        <v>1.4999999999999999E-2</v>
      </c>
      <c r="F52" s="59">
        <f>'Hourly Profiles'!F18</f>
        <v>8.5981308000000006E-2</v>
      </c>
      <c r="G52" s="59">
        <f>'Hourly Profiles'!G18</f>
        <v>6.4846416000000004E-2</v>
      </c>
      <c r="H52" s="59">
        <f>(F52*'Monthly Profiles'!V$40+G52*'Monthly Profiles'!T$40+I52*'Monthly Profiles'!W$40+J52*'Monthly Profiles'!X$40+K52*'Monthly Profiles'!Y$40)/'Monthly Profiles'!AA$40</f>
        <v>7.008115833366263E-2</v>
      </c>
      <c r="I52" s="591">
        <f>'Hourly Profiles'!I18</f>
        <v>5.7915057915057903E-2</v>
      </c>
      <c r="J52" s="591">
        <f>'Hourly Profiles'!J18</f>
        <v>7.4344023323615172E-2</v>
      </c>
      <c r="K52" s="591">
        <f>'Hourly Profiles'!K18</f>
        <v>6.175637393767705E-2</v>
      </c>
      <c r="L52" s="59">
        <f>'Hourly Profiles'!L18</f>
        <v>4.1181482999999998E-2</v>
      </c>
      <c r="M52" s="59">
        <f>'Hourly Profiles'!M18</f>
        <v>6.8118812000000001E-2</v>
      </c>
      <c r="N52" s="59">
        <f>'Hourly Profiles'!N18</f>
        <v>4.8090523000000003E-2</v>
      </c>
      <c r="O52" s="59">
        <f>'Hourly Profiles'!O18</f>
        <v>3.2000000000000001E-2</v>
      </c>
      <c r="P52" s="1560">
        <f t="shared" si="49"/>
        <v>5.8094784353059176E-2</v>
      </c>
      <c r="Q52" s="1560">
        <f t="shared" si="49"/>
        <v>3.9460079840319365E-2</v>
      </c>
      <c r="R52" s="1560">
        <f t="shared" si="49"/>
        <v>4.2345917345917347E-2</v>
      </c>
      <c r="S52" s="1560">
        <f t="shared" si="49"/>
        <v>4.1000000000000009E-2</v>
      </c>
      <c r="T52" s="1560">
        <f t="shared" si="49"/>
        <v>7.8863310169391923E-2</v>
      </c>
      <c r="U52" s="1560">
        <f t="shared" si="49"/>
        <v>9.4447741154327997E-2</v>
      </c>
      <c r="V52" s="1560">
        <f t="shared" si="49"/>
        <v>5.7422155688622759E-2</v>
      </c>
      <c r="W52" s="1560">
        <f t="shared" si="49"/>
        <v>2.6456630109670986E-2</v>
      </c>
      <c r="X52" s="1560">
        <f t="shared" si="49"/>
        <v>6.3857887738484775E-2</v>
      </c>
      <c r="Y52" s="1560">
        <f t="shared" si="49"/>
        <v>1.9375307242937609E-2</v>
      </c>
      <c r="Z52" s="1560">
        <f t="shared" si="49"/>
        <v>1.9375307242937609E-2</v>
      </c>
      <c r="AA52" s="1560">
        <f t="shared" si="49"/>
        <v>0.12066003976143144</v>
      </c>
      <c r="AB52" s="1560">
        <f t="shared" si="49"/>
        <v>0.12066003976143139</v>
      </c>
      <c r="AC52" s="1560">
        <f t="shared" si="49"/>
        <v>3.2000000000000001E-2</v>
      </c>
      <c r="AD52" s="1560">
        <f t="shared" si="49"/>
        <v>2.3696682464454978E-2</v>
      </c>
      <c r="AE52" s="59">
        <f>((L52*NewConst!F$238+O52*NewConst!$F$155/365+N52*NewConst!F$328+G52*NewConst!F$298+M52*NewConst!F$279+F52*NewConst!F$264)*3412+(M52*NewConst!F$280+N52*NewConst!F$332)*100000)/((NewConst!F$238+NewConst!$F$155/365+NewConst!F$328+NewConst!F$298+NewConst!F$279+NewConst!F$264)*3412+(NewConst!F$280+NewConst!F$332)*100000)</f>
        <v>5.5885105289033864E-2</v>
      </c>
      <c r="AF52" s="591">
        <f t="shared" si="53"/>
        <v>4.2711365023944244E-2</v>
      </c>
      <c r="AG52" s="591">
        <f t="shared" si="54"/>
        <v>5.5776709081809255E-2</v>
      </c>
      <c r="AH52" s="61">
        <f t="shared" si="39"/>
        <v>0.24188778382435727</v>
      </c>
      <c r="AI52" s="60">
        <f>$AH52*NewConst!$E$400*N_occ</f>
        <v>140.4884248451867</v>
      </c>
      <c r="AJ52" s="60">
        <f>$AH52*NewConst!$E$401*N_occ</f>
        <v>104.72773488459373</v>
      </c>
      <c r="AK52" s="58">
        <f>IF(NewConst!$F$203=NewConst!$I$203,'Detailed Lighting'!BD20,Lighting!BH30)</f>
        <v>2.3129432937109194E-2</v>
      </c>
      <c r="AL52" s="59">
        <f>IF(NewConst!$F$203=NewConst!$I$203,'Detailed Lighting'!BE20,Lighting!BI30)</f>
        <v>2.0449538374867432E-2</v>
      </c>
      <c r="AM52" s="59">
        <f>IF(NewConst!$F$203=NewConst!$I$203,'Detailed Lighting'!BF20,Lighting!BJ30)</f>
        <v>1.6220507670313872E-2</v>
      </c>
      <c r="AN52" s="59">
        <f>IF(NewConst!$F$203=NewConst!$I$203,'Detailed Lighting'!BG20,Lighting!BK30)</f>
        <v>2.021243666021097E-2</v>
      </c>
      <c r="AO52" s="59">
        <f>IF(NewConst!$F$203=NewConst!$I$203,'Detailed Lighting'!BH20,Lighting!BL30)</f>
        <v>1.8163598674242113E-2</v>
      </c>
      <c r="AP52" s="59">
        <f>IF(NewConst!$F$203=NewConst!$I$203,'Detailed Lighting'!BI20,Lighting!BM30)</f>
        <v>1.8187373472853867E-2</v>
      </c>
      <c r="AQ52" s="59">
        <f>IF(NewConst!$F$203=NewConst!$I$203,'Detailed Lighting'!BJ20,Lighting!BN30)</f>
        <v>1.8929925966292581E-2</v>
      </c>
      <c r="AR52" s="59">
        <f>IF(NewConst!$F$203=NewConst!$I$203,'Detailed Lighting'!BK20,Lighting!BO30)</f>
        <v>1.9960213782293488E-2</v>
      </c>
      <c r="AS52" s="59">
        <f>IF(NewConst!$F$203=NewConst!$I$203,'Detailed Lighting'!BL20,Lighting!BP30)</f>
        <v>2.1514112739470612E-2</v>
      </c>
      <c r="AT52" s="59">
        <f>IF(NewConst!$F$203=NewConst!$I$203,'Detailed Lighting'!BM20,Lighting!BQ30)</f>
        <v>2.3954160871937406E-2</v>
      </c>
      <c r="AU52" s="59">
        <f>IF(NewConst!$F$203=NewConst!$I$203,'Detailed Lighting'!BN20,Lighting!BR30)</f>
        <v>2.0023256238411932E-2</v>
      </c>
      <c r="AV52" s="59">
        <f>IF(NewConst!$F$203=NewConst!$I$203,'Detailed Lighting'!BO20,Lighting!BS30)</f>
        <v>2.2819377248412605E-2</v>
      </c>
      <c r="AW52" s="729">
        <f>IF(NewConst!$F$203=NewConst!$I$203,'Detailed Lighting'!BP20,Lighting!BG30)</f>
        <v>2.0646600373843985E-2</v>
      </c>
      <c r="AX52" s="13"/>
      <c r="AY52" s="13"/>
      <c r="AZ52" s="13"/>
      <c r="BA52" s="38">
        <v>10</v>
      </c>
      <c r="BB52" s="745">
        <f t="shared" si="50"/>
        <v>5.6409041526672234E-2</v>
      </c>
      <c r="BC52" s="745">
        <v>4.1666666666666664E-2</v>
      </c>
      <c r="BD52" s="745">
        <f t="shared" si="40"/>
        <v>5.6409041526672234E-2</v>
      </c>
      <c r="BE52" s="745">
        <f t="shared" si="40"/>
        <v>5.1860746031402186E-2</v>
      </c>
      <c r="BF52" s="745">
        <v>0.11764705882352941</v>
      </c>
      <c r="BG52" s="745">
        <v>8.411214953271029E-2</v>
      </c>
      <c r="BH52" s="745">
        <v>7.0274068868587489E-2</v>
      </c>
      <c r="BI52" s="745">
        <v>4.1666666666666664E-2</v>
      </c>
      <c r="BJ52" s="746">
        <v>6.8965517241379309E-2</v>
      </c>
      <c r="BK52" s="745">
        <v>5.8823529411764705E-2</v>
      </c>
      <c r="BL52" s="745">
        <v>4.7619047619047616E-2</v>
      </c>
      <c r="BM52" s="745">
        <v>0.14285714285714285</v>
      </c>
      <c r="BN52" s="745">
        <f t="shared" si="41"/>
        <v>0.14285714285714285</v>
      </c>
      <c r="BO52" s="745">
        <v>6.8118812000000001E-2</v>
      </c>
      <c r="BP52" s="745">
        <f t="shared" si="42"/>
        <v>8.411214953271029E-2</v>
      </c>
      <c r="BQ52" s="745">
        <f t="shared" si="36"/>
        <v>0.1111111111111111</v>
      </c>
      <c r="BR52" s="745">
        <f t="shared" si="37"/>
        <v>4.1666666666666664E-2</v>
      </c>
      <c r="BS52" s="2189"/>
      <c r="BT52" s="745" t="str">
        <f>IF(AVERAGE('Sunrise Calc'!$G$2:$G$13)&gt;'Hourly Profiles'!BA52, 1/12, "0.000")</f>
        <v>0.000</v>
      </c>
      <c r="BU52" s="745">
        <v>4.2718446601941747E-2</v>
      </c>
      <c r="BV52" s="745" t="e">
        <f t="shared" si="51"/>
        <v>#VALUE!</v>
      </c>
      <c r="BW52" s="745" t="e">
        <f t="shared" si="52"/>
        <v>#VALUE!</v>
      </c>
      <c r="BX52" s="758">
        <f t="shared" si="43"/>
        <v>0.72973768561522856</v>
      </c>
      <c r="BY52" s="747">
        <f>BX52*250*NewConst!$F$250</f>
        <v>1824.3442140380714</v>
      </c>
      <c r="BZ52" s="748">
        <f>BX52*200*NewConst!$F$250</f>
        <v>1459.4753712304573</v>
      </c>
      <c r="CA52" s="756">
        <f t="shared" si="44"/>
        <v>1</v>
      </c>
      <c r="CB52" s="747">
        <f t="shared" si="45"/>
        <v>750</v>
      </c>
      <c r="CC52" s="748">
        <f t="shared" si="46"/>
        <v>600</v>
      </c>
      <c r="CD52" s="756">
        <f t="shared" si="47"/>
        <v>1</v>
      </c>
      <c r="CE52" s="747">
        <f>CD52*710*NewConst!$F$419</f>
        <v>2130</v>
      </c>
      <c r="CF52" s="748">
        <f>CD52*1090*NewConst!$F$419</f>
        <v>3270</v>
      </c>
      <c r="CG52" s="756">
        <v>1</v>
      </c>
      <c r="CH52" s="747">
        <f>$CG52*CH$7*NewConst!$E$413</f>
        <v>80.850000000000009</v>
      </c>
      <c r="CI52" s="748">
        <f>$CG52*CI$7*NewConst!$E$413</f>
        <v>51.150000000000006</v>
      </c>
    </row>
    <row r="53" spans="2:87">
      <c r="B53" s="13"/>
      <c r="C53" s="32">
        <v>11</v>
      </c>
      <c r="D53" s="58">
        <f>'Hourly Profiles'!D19</f>
        <v>1.4638755684462032E-2</v>
      </c>
      <c r="E53" s="59">
        <f t="shared" si="48"/>
        <v>1.4999999999999999E-2</v>
      </c>
      <c r="F53" s="59">
        <f>'Hourly Profiles'!F19</f>
        <v>8.4112149999999997E-2</v>
      </c>
      <c r="G53" s="59">
        <f>'Hourly Profiles'!G19</f>
        <v>5.6313993E-2</v>
      </c>
      <c r="H53" s="59">
        <f>(F53*'Monthly Profiles'!V$40+G53*'Monthly Profiles'!T$40+I53*'Monthly Profiles'!W$40+J53*'Monthly Profiles'!X$40+K53*'Monthly Profiles'!Y$40)/'Monthly Profiles'!AA$40</f>
        <v>6.0459605685925358E-2</v>
      </c>
      <c r="I53" s="591">
        <f>'Hourly Profiles'!I19</f>
        <v>4.6332046332046323E-2</v>
      </c>
      <c r="J53" s="591">
        <f>'Hourly Profiles'!J19</f>
        <v>5.9766763848396506E-2</v>
      </c>
      <c r="K53" s="591">
        <f>'Hourly Profiles'!K19</f>
        <v>5.4390934844192627E-2</v>
      </c>
      <c r="L53" s="59">
        <f>'Hourly Profiles'!L19</f>
        <v>3.9761431E-2</v>
      </c>
      <c r="M53" s="59">
        <f>'Hourly Profiles'!M19</f>
        <v>7.8019801999999999E-2</v>
      </c>
      <c r="N53" s="59">
        <f>'Hourly Profiles'!N19</f>
        <v>4.2432814999999999E-2</v>
      </c>
      <c r="O53" s="59">
        <f>'Hourly Profiles'!O19</f>
        <v>3.3000000000000002E-2</v>
      </c>
      <c r="P53" s="1560">
        <f t="shared" si="49"/>
        <v>5.5079739217652954E-2</v>
      </c>
      <c r="Q53" s="1560">
        <f t="shared" si="49"/>
        <v>4.0459081836327349E-2</v>
      </c>
      <c r="R53" s="1560">
        <f t="shared" si="49"/>
        <v>4.1854354354354362E-2</v>
      </c>
      <c r="S53" s="1560">
        <f t="shared" si="49"/>
        <v>4.3500000000000011E-2</v>
      </c>
      <c r="T53" s="1560">
        <f t="shared" si="49"/>
        <v>7.3379760817447764E-2</v>
      </c>
      <c r="U53" s="1560">
        <f t="shared" si="49"/>
        <v>0.10141728554902209</v>
      </c>
      <c r="V53" s="1560">
        <f t="shared" si="49"/>
        <v>7.6419161676646724E-2</v>
      </c>
      <c r="W53" s="1560">
        <f t="shared" si="49"/>
        <v>3.2452143569292123E-2</v>
      </c>
      <c r="X53" s="1560">
        <f t="shared" si="49"/>
        <v>5.6350380230977264E-2</v>
      </c>
      <c r="Y53" s="1560">
        <f t="shared" si="49"/>
        <v>1.5403112605400369E-2</v>
      </c>
      <c r="Z53" s="1560">
        <f t="shared" si="49"/>
        <v>1.5403112605400369E-2</v>
      </c>
      <c r="AA53" s="1560">
        <f t="shared" si="49"/>
        <v>0.12708250497017895</v>
      </c>
      <c r="AB53" s="1560">
        <f t="shared" si="49"/>
        <v>0.12708250497017889</v>
      </c>
      <c r="AC53" s="1560">
        <f t="shared" si="49"/>
        <v>3.2500000000000001E-2</v>
      </c>
      <c r="AD53" s="1560">
        <f t="shared" si="49"/>
        <v>2.3696682464454978E-2</v>
      </c>
      <c r="AE53" s="59">
        <f>((L53*NewConst!F$238+O53*NewConst!$F$155/365+N53*NewConst!F$328+G53*NewConst!F$298+M53*NewConst!F$279+F53*NewConst!F$264)*3412+(M53*NewConst!F$280+N53*NewConst!F$332)*100000)/((NewConst!F$238+NewConst!$F$155/365+NewConst!F$328+NewConst!F$298+NewConst!F$279+NewConst!F$264)*3412+(NewConst!F$280+NewConst!F$332)*100000)</f>
        <v>5.7484622887640571E-2</v>
      </c>
      <c r="AF53" s="591">
        <f t="shared" si="53"/>
        <v>4.1328430975494324E-2</v>
      </c>
      <c r="AG53" s="591">
        <f t="shared" si="54"/>
        <v>4.7975359517617965E-2</v>
      </c>
      <c r="AH53" s="61">
        <f t="shared" si="39"/>
        <v>0.24188778382435727</v>
      </c>
      <c r="AI53" s="60">
        <f>$AH53*NewConst!$E$400*N_occ</f>
        <v>140.4884248451867</v>
      </c>
      <c r="AJ53" s="60">
        <f>$AH53*NewConst!$E$401*N_occ</f>
        <v>104.72773488459373</v>
      </c>
      <c r="AK53" s="58">
        <f>IF(NewConst!$F$203=NewConst!$I$203,'Detailed Lighting'!BD21,Lighting!BH31)</f>
        <v>1.8832921804372297E-2</v>
      </c>
      <c r="AL53" s="59">
        <f>IF(NewConst!$F$203=NewConst!$I$203,'Detailed Lighting'!BE21,Lighting!BI31)</f>
        <v>1.6486872464178324E-2</v>
      </c>
      <c r="AM53" s="59">
        <f>IF(NewConst!$F$203=NewConst!$I$203,'Detailed Lighting'!BF21,Lighting!BJ31)</f>
        <v>1.3260434758857352E-2</v>
      </c>
      <c r="AN53" s="59">
        <f>IF(NewConst!$F$203=NewConst!$I$203,'Detailed Lighting'!BG21,Lighting!BK31)</f>
        <v>1.6024264300694369E-2</v>
      </c>
      <c r="AO53" s="59">
        <f>IF(NewConst!$F$203=NewConst!$I$203,'Detailed Lighting'!BH21,Lighting!BL31)</f>
        <v>1.5133146943141577E-2</v>
      </c>
      <c r="AP53" s="59">
        <f>IF(NewConst!$F$203=NewConst!$I$203,'Detailed Lighting'!BI21,Lighting!BM31)</f>
        <v>1.5522000803608518E-2</v>
      </c>
      <c r="AQ53" s="59">
        <f>IF(NewConst!$F$203=NewConst!$I$203,'Detailed Lighting'!BJ21,Lighting!BN31)</f>
        <v>1.5810598856776093E-2</v>
      </c>
      <c r="AR53" s="59">
        <f>IF(NewConst!$F$203=NewConst!$I$203,'Detailed Lighting'!BK21,Lighting!BO31)</f>
        <v>1.60600384039227E-2</v>
      </c>
      <c r="AS53" s="59">
        <f>IF(NewConst!$F$203=NewConst!$I$203,'Detailed Lighting'!BL21,Lighting!BP31)</f>
        <v>1.7037214720388105E-2</v>
      </c>
      <c r="AT53" s="59">
        <f>IF(NewConst!$F$203=NewConst!$I$203,'Detailed Lighting'!BM21,Lighting!BQ31)</f>
        <v>1.9042991123495848E-2</v>
      </c>
      <c r="AU53" s="59">
        <f>IF(NewConst!$F$203=NewConst!$I$203,'Detailed Lighting'!BN21,Lighting!BR31)</f>
        <v>1.6890622224401148E-2</v>
      </c>
      <c r="AV53" s="59">
        <f>IF(NewConst!$F$203=NewConst!$I$203,'Detailed Lighting'!BO21,Lighting!BS31)</f>
        <v>1.8979018714549285E-2</v>
      </c>
      <c r="AW53" s="729">
        <f>IF(NewConst!$F$203=NewConst!$I$203,'Detailed Lighting'!BP21,Lighting!BG31)</f>
        <v>1.6873733233144762E-2</v>
      </c>
      <c r="AX53" s="13"/>
      <c r="AY53" s="13"/>
      <c r="AZ53" s="13"/>
      <c r="BA53" s="38">
        <v>11</v>
      </c>
      <c r="BB53" s="745">
        <f t="shared" si="50"/>
        <v>5.6473513336942067E-2</v>
      </c>
      <c r="BC53" s="745">
        <v>4.1666666666666664E-2</v>
      </c>
      <c r="BD53" s="745">
        <f t="shared" si="40"/>
        <v>5.6473513336942067E-2</v>
      </c>
      <c r="BE53" s="745">
        <f t="shared" si="40"/>
        <v>5.7536802819821681E-2</v>
      </c>
      <c r="BF53" s="745">
        <v>0.11764705882352941</v>
      </c>
      <c r="BG53" s="745">
        <v>8.411214953271029E-2</v>
      </c>
      <c r="BH53" s="745">
        <v>7.0274068868587489E-2</v>
      </c>
      <c r="BI53" s="745">
        <v>4.1666666666666664E-2</v>
      </c>
      <c r="BJ53" s="746">
        <v>6.8965517241379309E-2</v>
      </c>
      <c r="BK53" s="745">
        <v>5.8823529411764705E-2</v>
      </c>
      <c r="BL53" s="745">
        <v>4.7619047619047616E-2</v>
      </c>
      <c r="BM53" s="745">
        <v>7.1428571428571425E-2</v>
      </c>
      <c r="BN53" s="745">
        <f t="shared" si="41"/>
        <v>7.1428571428571425E-2</v>
      </c>
      <c r="BO53" s="745">
        <v>7.8019801999999999E-2</v>
      </c>
      <c r="BP53" s="745">
        <f t="shared" si="42"/>
        <v>8.411214953271029E-2</v>
      </c>
      <c r="BQ53" s="745">
        <f t="shared" si="36"/>
        <v>0.1111111111111111</v>
      </c>
      <c r="BR53" s="745">
        <f t="shared" si="37"/>
        <v>4.1666666666666664E-2</v>
      </c>
      <c r="BS53" s="2189"/>
      <c r="BT53" s="745" t="str">
        <f>IF(AVERAGE('Sunrise Calc'!$G$2:$G$13)&gt;'Hourly Profiles'!BA53, 1/12, "0.000")</f>
        <v>0.000</v>
      </c>
      <c r="BU53" s="745">
        <v>4.3495145631067961E-2</v>
      </c>
      <c r="BV53" s="745" t="e">
        <f t="shared" si="51"/>
        <v>#VALUE!</v>
      </c>
      <c r="BW53" s="745" t="e">
        <f t="shared" si="52"/>
        <v>#VALUE!</v>
      </c>
      <c r="BX53" s="758">
        <f t="shared" si="43"/>
        <v>0.7305717276116962</v>
      </c>
      <c r="BY53" s="747">
        <f>BX53*250*NewConst!$F$250</f>
        <v>1826.4293190292406</v>
      </c>
      <c r="BZ53" s="748">
        <f>BX53*200*NewConst!$F$250</f>
        <v>1461.1434552233925</v>
      </c>
      <c r="CA53" s="756">
        <f t="shared" si="44"/>
        <v>1</v>
      </c>
      <c r="CB53" s="747">
        <f t="shared" si="45"/>
        <v>750</v>
      </c>
      <c r="CC53" s="748">
        <f t="shared" si="46"/>
        <v>600</v>
      </c>
      <c r="CD53" s="756">
        <f t="shared" si="47"/>
        <v>1</v>
      </c>
      <c r="CE53" s="747">
        <f>CD53*710*NewConst!$F$419</f>
        <v>2130</v>
      </c>
      <c r="CF53" s="748">
        <f>CD53*1090*NewConst!$F$419</f>
        <v>3270</v>
      </c>
      <c r="CG53" s="756">
        <v>0.5</v>
      </c>
      <c r="CH53" s="747">
        <f>$CG53*CH$7*NewConst!$E$413</f>
        <v>40.425000000000004</v>
      </c>
      <c r="CI53" s="748">
        <f>$CG53*CI$7*NewConst!$E$413</f>
        <v>25.575000000000003</v>
      </c>
    </row>
    <row r="54" spans="2:87">
      <c r="B54" s="13"/>
      <c r="C54" s="32">
        <v>12</v>
      </c>
      <c r="D54" s="58">
        <f>'Hourly Profiles'!D20</f>
        <v>1.4638755684462032E-2</v>
      </c>
      <c r="E54" s="59">
        <f t="shared" si="48"/>
        <v>1.4999999999999999E-2</v>
      </c>
      <c r="F54" s="59">
        <f>'Hourly Profiles'!F20</f>
        <v>7.4766355000000007E-2</v>
      </c>
      <c r="G54" s="59">
        <f>'Hourly Profiles'!G20</f>
        <v>4.7781570000000002E-2</v>
      </c>
      <c r="H54" s="59">
        <f>(F54*'Monthly Profiles'!V$40+G54*'Monthly Profiles'!T$40+I54*'Monthly Profiles'!W$40+J54*'Monthly Profiles'!X$40+K54*'Monthly Profiles'!Y$40)/'Monthly Profiles'!AA$40</f>
        <v>5.1313724348583563E-2</v>
      </c>
      <c r="I54" s="591">
        <f>'Hourly Profiles'!I20</f>
        <v>3.4749034749034742E-2</v>
      </c>
      <c r="J54" s="591">
        <f>'Hourly Profiles'!J20</f>
        <v>4.7133138969873666E-2</v>
      </c>
      <c r="K54" s="591">
        <f>'Hourly Profiles'!K20</f>
        <v>4.9858356940509913E-2</v>
      </c>
      <c r="L54" s="59">
        <f>'Hourly Profiles'!L20</f>
        <v>3.9761431E-2</v>
      </c>
      <c r="M54" s="59">
        <f>'Hourly Profiles'!M20</f>
        <v>8.1188119000000003E-2</v>
      </c>
      <c r="N54" s="59">
        <f>'Hourly Profiles'!N20</f>
        <v>4.9504949999999999E-2</v>
      </c>
      <c r="O54" s="59">
        <f>'Hourly Profiles'!O20</f>
        <v>3.3000000000000002E-2</v>
      </c>
      <c r="P54" s="1560">
        <f t="shared" si="49"/>
        <v>5.1564694082246745E-2</v>
      </c>
      <c r="Q54" s="1560">
        <f t="shared" si="49"/>
        <v>4.2457085828343323E-2</v>
      </c>
      <c r="R54" s="1560">
        <f t="shared" si="49"/>
        <v>4.1863291863291865E-2</v>
      </c>
      <c r="S54" s="1560">
        <f t="shared" si="49"/>
        <v>4.6000000000000006E-2</v>
      </c>
      <c r="T54" s="1560">
        <f t="shared" si="49"/>
        <v>6.7896211465503592E-2</v>
      </c>
      <c r="U54" s="1560">
        <f t="shared" si="49"/>
        <v>0.10788782794770821</v>
      </c>
      <c r="V54" s="1560">
        <f t="shared" si="49"/>
        <v>9.4916167664670675E-2</v>
      </c>
      <c r="W54" s="1560">
        <f t="shared" si="49"/>
        <v>3.8447657028913257E-2</v>
      </c>
      <c r="X54" s="1560">
        <f t="shared" si="49"/>
        <v>5.0359314538419034E-2</v>
      </c>
      <c r="Y54" s="1560">
        <f t="shared" si="49"/>
        <v>1.3908110423852121E-2</v>
      </c>
      <c r="Z54" s="1560">
        <f t="shared" si="49"/>
        <v>1.3908110423852121E-2</v>
      </c>
      <c r="AA54" s="1560">
        <f t="shared" si="49"/>
        <v>0.12058250497017894</v>
      </c>
      <c r="AB54" s="1560">
        <f t="shared" si="49"/>
        <v>0.12058250497017889</v>
      </c>
      <c r="AC54" s="1560">
        <f t="shared" si="49"/>
        <v>3.3000000000000002E-2</v>
      </c>
      <c r="AD54" s="1560">
        <f t="shared" si="49"/>
        <v>2.3696682464454978E-2</v>
      </c>
      <c r="AE54" s="59">
        <f>((L54*NewConst!F$238+O54*NewConst!$F$155/365+N54*NewConst!F$328+G54*NewConst!F$298+M54*NewConst!F$279+F54*NewConst!F$264)*3412+(M54*NewConst!F$280+N54*NewConst!F$332)*100000)/((NewConst!F$238+NewConst!$F$155/365+NewConst!F$328+NewConst!F$298+NewConst!F$279+NewConst!F$264)*3412+(NewConst!F$280+NewConst!F$332)*100000)</f>
        <v>6.0392246884138988E-2</v>
      </c>
      <c r="AF54" s="591">
        <f t="shared" si="53"/>
        <v>4.0152222863061048E-2</v>
      </c>
      <c r="AG54" s="591">
        <f t="shared" si="54"/>
        <v>4.6068195753731715E-2</v>
      </c>
      <c r="AH54" s="61">
        <f t="shared" si="39"/>
        <v>0.24188778382435727</v>
      </c>
      <c r="AI54" s="60">
        <f>$AH54*NewConst!$E$400*N_occ</f>
        <v>140.4884248451867</v>
      </c>
      <c r="AJ54" s="60">
        <f>$AH54*NewConst!$E$401*N_occ</f>
        <v>104.72773488459373</v>
      </c>
      <c r="AK54" s="58">
        <f>IF(NewConst!$F$203=NewConst!$I$203,'Detailed Lighting'!BD22,Lighting!BH32)</f>
        <v>1.8659613778098119E-2</v>
      </c>
      <c r="AL54" s="59">
        <f>IF(NewConst!$F$203=NewConst!$I$203,'Detailed Lighting'!BE22,Lighting!BI32)</f>
        <v>1.6327030725951982E-2</v>
      </c>
      <c r="AM54" s="59">
        <f>IF(NewConst!$F$203=NewConst!$I$203,'Detailed Lighting'!BF22,Lighting!BJ32)</f>
        <v>1.3141034534334859E-2</v>
      </c>
      <c r="AN54" s="59">
        <f>IF(NewConst!$F$203=NewConst!$I$203,'Detailed Lighting'!BG22,Lighting!BK32)</f>
        <v>1.5855326326859421E-2</v>
      </c>
      <c r="AO54" s="59">
        <f>IF(NewConst!$F$203=NewConst!$I$203,'Detailed Lighting'!BH22,Lighting!BL32)</f>
        <v>1.5010907853794303E-2</v>
      </c>
      <c r="AP54" s="59">
        <f>IF(NewConst!$F$203=NewConst!$I$203,'Detailed Lighting'!BI22,Lighting!BM32)</f>
        <v>1.5414487879209833E-2</v>
      </c>
      <c r="AQ54" s="59">
        <f>IF(NewConst!$F$203=NewConst!$I$203,'Detailed Lighting'!BJ22,Lighting!BN32)</f>
        <v>1.5684774808390711E-2</v>
      </c>
      <c r="AR54" s="59">
        <f>IF(NewConst!$F$203=NewConst!$I$203,'Detailed Lighting'!BK22,Lighting!BO32)</f>
        <v>1.5902717341305554E-2</v>
      </c>
      <c r="AS54" s="59">
        <f>IF(NewConst!$F$203=NewConst!$I$203,'Detailed Lighting'!BL22,Lighting!BP32)</f>
        <v>1.6856630442692141E-2</v>
      </c>
      <c r="AT54" s="59">
        <f>IF(NewConst!$F$203=NewConst!$I$203,'Detailed Lighting'!BM22,Lighting!BQ32)</f>
        <v>1.8844889661750616E-2</v>
      </c>
      <c r="AU54" s="59">
        <f>IF(NewConst!$F$203=NewConst!$I$203,'Detailed Lighting'!BN22,Lighting!BR32)</f>
        <v>1.6764261416472387E-2</v>
      </c>
      <c r="AV54" s="59">
        <f>IF(NewConst!$F$203=NewConst!$I$203,'Detailed Lighting'!BO22,Lighting!BS32)</f>
        <v>1.8824110479209729E-2</v>
      </c>
      <c r="AW54" s="729">
        <f>IF(NewConst!$F$203=NewConst!$I$203,'Detailed Lighting'!BP22,Lighting!BG32)</f>
        <v>1.6721547392738768E-2</v>
      </c>
      <c r="AX54" s="13"/>
      <c r="AY54" s="13"/>
      <c r="AZ54" s="13"/>
      <c r="BA54" s="38">
        <v>12</v>
      </c>
      <c r="BB54" s="745">
        <f t="shared" si="50"/>
        <v>6.4589376512085184E-2</v>
      </c>
      <c r="BC54" s="745">
        <v>4.1666666666666664E-2</v>
      </c>
      <c r="BD54" s="745">
        <f t="shared" si="40"/>
        <v>6.4589376512085184E-2</v>
      </c>
      <c r="BE54" s="745">
        <f t="shared" si="40"/>
        <v>5.760256358679338E-2</v>
      </c>
      <c r="BF54" s="745">
        <v>0.11764705882352941</v>
      </c>
      <c r="BG54" s="745">
        <v>8.411214953271029E-2</v>
      </c>
      <c r="BH54" s="745">
        <v>7.0274068868587489E-2</v>
      </c>
      <c r="BI54" s="745">
        <v>4.1666666666666664E-2</v>
      </c>
      <c r="BJ54" s="746">
        <v>3.4482758620689655E-2</v>
      </c>
      <c r="BK54" s="745">
        <v>5.8823529411764705E-2</v>
      </c>
      <c r="BL54" s="745">
        <v>4.7619047619047616E-2</v>
      </c>
      <c r="BM54" s="745">
        <v>7.1428571428571425E-2</v>
      </c>
      <c r="BN54" s="745">
        <f t="shared" si="41"/>
        <v>7.1428571428571425E-2</v>
      </c>
      <c r="BO54" s="745">
        <v>8.1188119000000003E-2</v>
      </c>
      <c r="BP54" s="745">
        <f t="shared" si="42"/>
        <v>8.411214953271029E-2</v>
      </c>
      <c r="BQ54" s="745">
        <f t="shared" si="36"/>
        <v>0.1111111111111111</v>
      </c>
      <c r="BR54" s="745">
        <f t="shared" si="37"/>
        <v>4.1666666666666664E-2</v>
      </c>
      <c r="BS54" s="2189"/>
      <c r="BT54" s="745" t="str">
        <f>IF(AVERAGE('Sunrise Calc'!$G$2:$G$13)&gt;'Hourly Profiles'!BA54, 1/12, "0.000")</f>
        <v>0.000</v>
      </c>
      <c r="BU54" s="745">
        <v>4.4271844660194175E-2</v>
      </c>
      <c r="BV54" s="745" t="e">
        <f t="shared" si="51"/>
        <v>#VALUE!</v>
      </c>
      <c r="BW54" s="745" t="e">
        <f t="shared" si="52"/>
        <v>#VALUE!</v>
      </c>
      <c r="BX54" s="758">
        <f t="shared" si="43"/>
        <v>0.83556289657879257</v>
      </c>
      <c r="BY54" s="747">
        <f>BX54*250*NewConst!$F$250</f>
        <v>2088.9072414469815</v>
      </c>
      <c r="BZ54" s="748">
        <f>BX54*200*NewConst!$F$250</f>
        <v>1671.1257931575851</v>
      </c>
      <c r="CA54" s="756">
        <f t="shared" si="44"/>
        <v>1</v>
      </c>
      <c r="CB54" s="747">
        <f t="shared" si="45"/>
        <v>750</v>
      </c>
      <c r="CC54" s="748">
        <f t="shared" si="46"/>
        <v>600</v>
      </c>
      <c r="CD54" s="756">
        <f t="shared" si="47"/>
        <v>0.5</v>
      </c>
      <c r="CE54" s="747">
        <f>CD54*710*NewConst!$F$419</f>
        <v>1065</v>
      </c>
      <c r="CF54" s="748">
        <f>CD54*1090*NewConst!$F$419</f>
        <v>1635</v>
      </c>
      <c r="CG54" s="756">
        <v>0.5</v>
      </c>
      <c r="CH54" s="747">
        <f>$CG54*CH$7*NewConst!$E$413</f>
        <v>40.425000000000004</v>
      </c>
      <c r="CI54" s="748">
        <f>$CG54*CI$7*NewConst!$E$413</f>
        <v>25.575000000000003</v>
      </c>
    </row>
    <row r="55" spans="2:87">
      <c r="B55" s="13"/>
      <c r="C55" s="32">
        <v>13</v>
      </c>
      <c r="D55" s="58">
        <f>'Hourly Profiles'!D21</f>
        <v>1.4638755684462032E-2</v>
      </c>
      <c r="E55" s="59">
        <f t="shared" si="48"/>
        <v>1.4999999999999999E-2</v>
      </c>
      <c r="F55" s="59">
        <f>'Hourly Profiles'!F21</f>
        <v>6.7289719999999997E-2</v>
      </c>
      <c r="G55" s="59">
        <f>'Hourly Profiles'!G21</f>
        <v>4.0955630999999999E-2</v>
      </c>
      <c r="H55" s="59">
        <f>(F55*'Monthly Profiles'!V$40+G55*'Monthly Profiles'!T$40+I55*'Monthly Profiles'!W$40+J55*'Monthly Profiles'!X$40+K55*'Monthly Profiles'!Y$40)/'Monthly Profiles'!AA$40</f>
        <v>4.4207123876409439E-2</v>
      </c>
      <c r="I55" s="591">
        <f>'Hourly Profiles'!I21</f>
        <v>3.0888030888030885E-2</v>
      </c>
      <c r="J55" s="591">
        <f>'Hourly Profiles'!J21</f>
        <v>3.4013605442176874E-2</v>
      </c>
      <c r="K55" s="591">
        <f>'Hourly Profiles'!K21</f>
        <v>4.8725212464589225E-2</v>
      </c>
      <c r="L55" s="59">
        <f>'Hourly Profiles'!L21</f>
        <v>4.1749503E-2</v>
      </c>
      <c r="M55" s="59">
        <f>'Hourly Profiles'!M21</f>
        <v>7.4059405999999994E-2</v>
      </c>
      <c r="N55" s="59">
        <f>'Hourly Profiles'!N21</f>
        <v>5.6577085999999999E-2</v>
      </c>
      <c r="O55" s="59">
        <f>'Hourly Profiles'!O21</f>
        <v>3.2000000000000001E-2</v>
      </c>
      <c r="P55" s="1560">
        <f t="shared" si="49"/>
        <v>4.9560180541624879E-2</v>
      </c>
      <c r="Q55" s="1560">
        <f t="shared" si="49"/>
        <v>4.2457085828343323E-2</v>
      </c>
      <c r="R55" s="1560">
        <f t="shared" si="49"/>
        <v>4.2363792363792369E-2</v>
      </c>
      <c r="S55" s="1560">
        <f t="shared" si="49"/>
        <v>4.200000000000001E-2</v>
      </c>
      <c r="T55" s="1560">
        <f t="shared" si="49"/>
        <v>6.4895224416660111E-2</v>
      </c>
      <c r="U55" s="1560">
        <f t="shared" si="49"/>
        <v>8.0433727140313965E-2</v>
      </c>
      <c r="V55" s="1560">
        <f t="shared" si="49"/>
        <v>9.2426147704590816E-2</v>
      </c>
      <c r="W55" s="1560">
        <f t="shared" si="49"/>
        <v>3.9944666001994006E-2</v>
      </c>
      <c r="X55" s="1560">
        <f t="shared" si="49"/>
        <v>3.5910537403074733E-2</v>
      </c>
      <c r="Y55" s="1560">
        <f t="shared" si="49"/>
        <v>1.3908110423852121E-2</v>
      </c>
      <c r="Z55" s="1560">
        <f t="shared" si="49"/>
        <v>1.3908110423852121E-2</v>
      </c>
      <c r="AA55" s="1560">
        <f t="shared" si="49"/>
        <v>0.11958250497017896</v>
      </c>
      <c r="AB55" s="1560">
        <f t="shared" si="49"/>
        <v>0.11958250497017889</v>
      </c>
      <c r="AC55" s="1560">
        <f t="shared" si="49"/>
        <v>3.2000000000000001E-2</v>
      </c>
      <c r="AD55" s="1560">
        <f t="shared" si="49"/>
        <v>2.3696682464454978E-2</v>
      </c>
      <c r="AE55" s="59">
        <f>((L55*NewConst!F$238+O55*NewConst!$F$155/365+N55*NewConst!F$328+G55*NewConst!F$298+M55*NewConst!F$279+F55*NewConst!F$264)*3412+(M55*NewConst!F$280+N55*NewConst!F$332)*100000)/((NewConst!F$238+NewConst!$F$155/365+NewConst!F$328+NewConst!F$298+NewConst!F$279+NewConst!F$264)*3412+(NewConst!F$280+NewConst!F$332)*100000)</f>
        <v>5.9757215962613491E-2</v>
      </c>
      <c r="AF55" s="591">
        <f t="shared" si="53"/>
        <v>3.8633833587307459E-2</v>
      </c>
      <c r="AG55" s="591">
        <f t="shared" si="54"/>
        <v>4.4117259735487746E-2</v>
      </c>
      <c r="AH55" s="61">
        <f t="shared" si="39"/>
        <v>0.24188778382435727</v>
      </c>
      <c r="AI55" s="60">
        <f>$AH55*NewConst!$E$400*N_occ</f>
        <v>140.4884248451867</v>
      </c>
      <c r="AJ55" s="60">
        <f>$AH55*NewConst!$E$401*N_occ</f>
        <v>104.72773488459373</v>
      </c>
      <c r="AK55" s="58">
        <f>IF(NewConst!$F$203=NewConst!$I$203,'Detailed Lighting'!BD23,Lighting!BH33)</f>
        <v>1.8664031157895226E-2</v>
      </c>
      <c r="AL55" s="59">
        <f>IF(NewConst!$F$203=NewConst!$I$203,'Detailed Lighting'!BE23,Lighting!BI33)</f>
        <v>1.6328453996544541E-2</v>
      </c>
      <c r="AM55" s="59">
        <f>IF(NewConst!$F$203=NewConst!$I$203,'Detailed Lighting'!BF23,Lighting!BJ33)</f>
        <v>1.3141631941761293E-2</v>
      </c>
      <c r="AN55" s="59">
        <f>IF(NewConst!$F$203=NewConst!$I$203,'Detailed Lighting'!BG23,Lighting!BK33)</f>
        <v>1.5853912626447912E-2</v>
      </c>
      <c r="AO55" s="59">
        <f>IF(NewConst!$F$203=NewConst!$I$203,'Detailed Lighting'!BH23,Lighting!BL33)</f>
        <v>1.5009898099194783E-2</v>
      </c>
      <c r="AP55" s="59">
        <f>IF(NewConst!$F$203=NewConst!$I$203,'Detailed Lighting'!BI23,Lighting!BM33)</f>
        <v>1.5413631346221802E-2</v>
      </c>
      <c r="AQ55" s="59">
        <f>IF(NewConst!$F$203=NewConst!$I$203,'Detailed Lighting'!BJ23,Lighting!BN33)</f>
        <v>1.5683758207973249E-2</v>
      </c>
      <c r="AR55" s="59">
        <f>IF(NewConst!$F$203=NewConst!$I$203,'Detailed Lighting'!BK23,Lighting!BO33)</f>
        <v>1.590141807163626E-2</v>
      </c>
      <c r="AS55" s="59">
        <f>IF(NewConst!$F$203=NewConst!$I$203,'Detailed Lighting'!BL23,Lighting!BP33)</f>
        <v>1.6855244219998174E-2</v>
      </c>
      <c r="AT55" s="59">
        <f>IF(NewConst!$F$203=NewConst!$I$203,'Detailed Lighting'!BM23,Lighting!BQ33)</f>
        <v>1.88438065240553E-2</v>
      </c>
      <c r="AU55" s="59">
        <f>IF(NewConst!$F$203=NewConst!$I$203,'Detailed Lighting'!BN23,Lighting!BR33)</f>
        <v>1.6783798971952479E-2</v>
      </c>
      <c r="AV55" s="59">
        <f>IF(NewConst!$F$203=NewConst!$I$203,'Detailed Lighting'!BO23,Lighting!BS33)</f>
        <v>1.8838991839394189E-2</v>
      </c>
      <c r="AW55" s="729">
        <f>IF(NewConst!$F$203=NewConst!$I$203,'Detailed Lighting'!BP23,Lighting!BG33)</f>
        <v>1.6725584413917419E-2</v>
      </c>
      <c r="AX55" s="13"/>
      <c r="AY55" s="13"/>
      <c r="AZ55" s="13"/>
      <c r="BA55" s="38">
        <v>13</v>
      </c>
      <c r="BB55" s="745">
        <f t="shared" si="50"/>
        <v>6.2038315470428054E-2</v>
      </c>
      <c r="BC55" s="745">
        <v>4.1666666666666664E-2</v>
      </c>
      <c r="BD55" s="745">
        <f t="shared" si="40"/>
        <v>6.2038315470428054E-2</v>
      </c>
      <c r="BE55" s="745">
        <f t="shared" si="40"/>
        <v>6.5880683664406567E-2</v>
      </c>
      <c r="BF55" s="745">
        <v>5.8823529411764705E-2</v>
      </c>
      <c r="BG55" s="745">
        <v>7.4766355140186924E-2</v>
      </c>
      <c r="BH55" s="745">
        <v>6.605762473647224E-2</v>
      </c>
      <c r="BI55" s="745">
        <v>4.1666666666666664E-2</v>
      </c>
      <c r="BJ55" s="746">
        <v>0</v>
      </c>
      <c r="BK55" s="745">
        <v>5.8823529411764705E-2</v>
      </c>
      <c r="BL55" s="745">
        <v>0</v>
      </c>
      <c r="BM55" s="745">
        <v>7.1428571428571425E-2</v>
      </c>
      <c r="BN55" s="745">
        <f t="shared" si="41"/>
        <v>7.1428571428571425E-2</v>
      </c>
      <c r="BO55" s="745">
        <v>7.4059405999999994E-2</v>
      </c>
      <c r="BP55" s="745">
        <f t="shared" si="42"/>
        <v>7.4766355140186924E-2</v>
      </c>
      <c r="BQ55" s="745">
        <f t="shared" si="36"/>
        <v>0.1111111111111111</v>
      </c>
      <c r="BR55" s="745">
        <f t="shared" si="37"/>
        <v>4.1666666666666664E-2</v>
      </c>
      <c r="BS55" s="2189"/>
      <c r="BT55" s="745" t="str">
        <f>IF(AVERAGE('Sunrise Calc'!$G$2:$G$13)&gt;'Hourly Profiles'!BA55, 1/12, "0.000")</f>
        <v>0.000</v>
      </c>
      <c r="BU55" s="745">
        <v>4.3495145631067961E-2</v>
      </c>
      <c r="BV55" s="745" t="e">
        <f t="shared" si="51"/>
        <v>#VALUE!</v>
      </c>
      <c r="BW55" s="745" t="e">
        <f t="shared" si="52"/>
        <v>#VALUE!</v>
      </c>
      <c r="BX55" s="758">
        <f t="shared" si="43"/>
        <v>0.80256099954209481</v>
      </c>
      <c r="BY55" s="747">
        <f>BX55*250*NewConst!$F$250</f>
        <v>2006.4024988552369</v>
      </c>
      <c r="BZ55" s="748">
        <f>BX55*200*NewConst!$F$250</f>
        <v>1605.1219990841896</v>
      </c>
      <c r="CA55" s="756">
        <f t="shared" si="44"/>
        <v>0.5</v>
      </c>
      <c r="CB55" s="747">
        <f t="shared" si="45"/>
        <v>375</v>
      </c>
      <c r="CC55" s="748">
        <f t="shared" si="46"/>
        <v>300</v>
      </c>
      <c r="CD55" s="756">
        <f t="shared" si="47"/>
        <v>0</v>
      </c>
      <c r="CE55" s="747">
        <f>CD55*710*NewConst!$F$419</f>
        <v>0</v>
      </c>
      <c r="CF55" s="748">
        <f>CD55*1090*NewConst!$F$419</f>
        <v>0</v>
      </c>
      <c r="CG55" s="756">
        <v>0.5</v>
      </c>
      <c r="CH55" s="747">
        <f>$CG55*CH$7*NewConst!$E$413</f>
        <v>40.425000000000004</v>
      </c>
      <c r="CI55" s="748">
        <f>$CG55*CI$7*NewConst!$E$413</f>
        <v>25.575000000000003</v>
      </c>
    </row>
    <row r="56" spans="2:87">
      <c r="B56" s="13"/>
      <c r="C56" s="32">
        <v>14</v>
      </c>
      <c r="D56" s="58">
        <f>'Hourly Profiles'!D22</f>
        <v>1.4638755684462032E-2</v>
      </c>
      <c r="E56" s="59">
        <f t="shared" si="48"/>
        <v>1.4999999999999999E-2</v>
      </c>
      <c r="F56" s="59">
        <f>'Hourly Profiles'!F22</f>
        <v>5.9813084000000002E-2</v>
      </c>
      <c r="G56" s="59">
        <f>'Hourly Profiles'!G22</f>
        <v>4.6075085000000002E-2</v>
      </c>
      <c r="H56" s="59">
        <f>(F56*'Monthly Profiles'!V$40+G56*'Monthly Profiles'!T$40+I56*'Monthly Profiles'!W$40+J56*'Monthly Profiles'!X$40+K56*'Monthly Profiles'!Y$40)/'Monthly Profiles'!AA$40</f>
        <v>3.9566789468033568E-2</v>
      </c>
      <c r="I56" s="591">
        <f>'Hourly Profiles'!I22</f>
        <v>2.3166023166023161E-2</v>
      </c>
      <c r="J56" s="591">
        <f>'Hourly Profiles'!J22</f>
        <v>2.915451895043732E-2</v>
      </c>
      <c r="K56" s="591">
        <f>'Hourly Profiles'!K22</f>
        <v>4.5325779036827191E-2</v>
      </c>
      <c r="L56" s="59">
        <f>'Hourly Profiles'!L22</f>
        <v>4.1749503E-2</v>
      </c>
      <c r="M56" s="59">
        <f>'Hourly Profiles'!M22</f>
        <v>6.7326733E-2</v>
      </c>
      <c r="N56" s="59">
        <f>'Hourly Profiles'!N22</f>
        <v>4.5968883000000002E-2</v>
      </c>
      <c r="O56" s="59">
        <f>'Hourly Profiles'!O22</f>
        <v>3.3000000000000002E-2</v>
      </c>
      <c r="P56" s="1560">
        <f t="shared" si="49"/>
        <v>4.7555667001003013E-2</v>
      </c>
      <c r="Q56" s="1560">
        <f t="shared" si="49"/>
        <v>4.2957085828343317E-2</v>
      </c>
      <c r="R56" s="1560">
        <f t="shared" si="49"/>
        <v>4.2864292864292865E-2</v>
      </c>
      <c r="S56" s="1560">
        <f t="shared" si="49"/>
        <v>3.8000000000000006E-2</v>
      </c>
      <c r="T56" s="1560">
        <f t="shared" si="49"/>
        <v>6.1395732881276255E-2</v>
      </c>
      <c r="U56" s="1560">
        <f t="shared" si="49"/>
        <v>5.3480126833420245E-2</v>
      </c>
      <c r="V56" s="1560">
        <f t="shared" si="49"/>
        <v>8.8937125748503015E-2</v>
      </c>
      <c r="W56" s="1560">
        <f t="shared" si="49"/>
        <v>4.0943170488534394E-2</v>
      </c>
      <c r="X56" s="1560">
        <f t="shared" si="49"/>
        <v>2.8447850835910546E-2</v>
      </c>
      <c r="Y56" s="1560">
        <f t="shared" si="49"/>
        <v>1.3908110423852121E-2</v>
      </c>
      <c r="Z56" s="1560">
        <f t="shared" si="49"/>
        <v>1.3908110423852121E-2</v>
      </c>
      <c r="AA56" s="1560">
        <f t="shared" si="49"/>
        <v>9.0231610337972168E-2</v>
      </c>
      <c r="AB56" s="1560">
        <f t="shared" si="49"/>
        <v>9.023161033797214E-2</v>
      </c>
      <c r="AC56" s="1560">
        <f t="shared" si="49"/>
        <v>3.1500000000000007E-2</v>
      </c>
      <c r="AD56" s="1560">
        <f t="shared" si="49"/>
        <v>2.3696682464454978E-2</v>
      </c>
      <c r="AE56" s="59">
        <f>((L56*NewConst!F$238+O56*NewConst!$F$155/365+N56*NewConst!F$328+G56*NewConst!F$298+M56*NewConst!F$279+F56*NewConst!F$264)*3412+(M56*NewConst!F$280+N56*NewConst!F$332)*100000)/((NewConst!F$238+NewConst!$F$155/365+NewConst!F$328+NewConst!F$298+NewConst!F$279+NewConst!F$264)*3412+(NewConst!F$280+NewConst!F$332)*100000)</f>
        <v>5.3839090666916105E-2</v>
      </c>
      <c r="AF56" s="591">
        <f t="shared" si="53"/>
        <v>3.751822728926632E-2</v>
      </c>
      <c r="AG56" s="591">
        <f t="shared" si="54"/>
        <v>3.822229006331504E-2</v>
      </c>
      <c r="AH56" s="61">
        <f t="shared" si="39"/>
        <v>0.24188778382435727</v>
      </c>
      <c r="AI56" s="60">
        <f>$AH56*NewConst!$E$400*N_occ</f>
        <v>140.4884248451867</v>
      </c>
      <c r="AJ56" s="60">
        <f>$AH56*NewConst!$E$401*N_occ</f>
        <v>104.72773488459373</v>
      </c>
      <c r="AK56" s="58">
        <f>IF(NewConst!$F$203=NewConst!$I$203,'Detailed Lighting'!BD24,Lighting!BH34)</f>
        <v>1.876330294789583E-2</v>
      </c>
      <c r="AL56" s="59">
        <f>IF(NewConst!$F$203=NewConst!$I$203,'Detailed Lighting'!BE24,Lighting!BI34)</f>
        <v>1.6376895372817564E-2</v>
      </c>
      <c r="AM56" s="59">
        <f>IF(NewConst!$F$203=NewConst!$I$203,'Detailed Lighting'!BF24,Lighting!BJ34)</f>
        <v>1.3169544780238384E-2</v>
      </c>
      <c r="AN56" s="59">
        <f>IF(NewConst!$F$203=NewConst!$I$203,'Detailed Lighting'!BG24,Lighting!BK34)</f>
        <v>1.5855410967785054E-2</v>
      </c>
      <c r="AO56" s="59">
        <f>IF(NewConst!$F$203=NewConst!$I$203,'Detailed Lighting'!BH24,Lighting!BL34)</f>
        <v>1.5011146584358528E-2</v>
      </c>
      <c r="AP56" s="59">
        <f>IF(NewConst!$F$203=NewConst!$I$203,'Detailed Lighting'!BI24,Lighting!BM34)</f>
        <v>1.5415130109337233E-2</v>
      </c>
      <c r="AQ56" s="59">
        <f>IF(NewConst!$F$203=NewConst!$I$203,'Detailed Lighting'!BJ24,Lighting!BN34)</f>
        <v>1.5685260828250301E-2</v>
      </c>
      <c r="AR56" s="59">
        <f>IF(NewConst!$F$203=NewConst!$I$203,'Detailed Lighting'!BK24,Lighting!BO34)</f>
        <v>1.5902978936481186E-2</v>
      </c>
      <c r="AS56" s="59">
        <f>IF(NewConst!$F$203=NewConst!$I$203,'Detailed Lighting'!BL24,Lighting!BP34)</f>
        <v>1.6859119266201948E-2</v>
      </c>
      <c r="AT56" s="59">
        <f>IF(NewConst!$F$203=NewConst!$I$203,'Detailed Lighting'!BM24,Lighting!BQ34)</f>
        <v>1.8856086658154657E-2</v>
      </c>
      <c r="AU56" s="59">
        <f>IF(NewConst!$F$203=NewConst!$I$203,'Detailed Lighting'!BN24,Lighting!BR34)</f>
        <v>1.7046461596662274E-2</v>
      </c>
      <c r="AV56" s="59">
        <f>IF(NewConst!$F$203=NewConst!$I$203,'Detailed Lighting'!BO24,Lighting!BS34)</f>
        <v>1.9070768335975468E-2</v>
      </c>
      <c r="AW56" s="729">
        <f>IF(NewConst!$F$203=NewConst!$I$203,'Detailed Lighting'!BP24,Lighting!BG34)</f>
        <v>1.6802081413190215E-2</v>
      </c>
      <c r="AX56" s="13"/>
      <c r="AY56" s="13"/>
      <c r="AZ56" s="13"/>
      <c r="BA56" s="38">
        <v>14</v>
      </c>
      <c r="BB56" s="745">
        <f t="shared" si="50"/>
        <v>6.400533776022907E-2</v>
      </c>
      <c r="BC56" s="745">
        <v>4.1666666666666664E-2</v>
      </c>
      <c r="BD56" s="745">
        <f t="shared" si="40"/>
        <v>6.400533776022907E-2</v>
      </c>
      <c r="BE56" s="745">
        <f t="shared" si="40"/>
        <v>6.3278620375212896E-2</v>
      </c>
      <c r="BF56" s="745">
        <v>0.11764705882352941</v>
      </c>
      <c r="BG56" s="745">
        <v>8.411214953271029E-2</v>
      </c>
      <c r="BH56" s="745">
        <v>7.0274068868587489E-2</v>
      </c>
      <c r="BI56" s="745">
        <v>4.1666666666666664E-2</v>
      </c>
      <c r="BJ56" s="746">
        <v>6.8965517241379309E-2</v>
      </c>
      <c r="BK56" s="745">
        <v>5.8823529411764705E-2</v>
      </c>
      <c r="BL56" s="745">
        <v>4.7619047619047616E-2</v>
      </c>
      <c r="BM56" s="745">
        <v>7.1428571428571425E-2</v>
      </c>
      <c r="BN56" s="745">
        <f t="shared" si="41"/>
        <v>7.1428571428571425E-2</v>
      </c>
      <c r="BO56" s="745">
        <v>6.7326733E-2</v>
      </c>
      <c r="BP56" s="745">
        <f t="shared" si="42"/>
        <v>8.411214953271029E-2</v>
      </c>
      <c r="BQ56" s="745">
        <f t="shared" si="36"/>
        <v>0.1111111111111111</v>
      </c>
      <c r="BR56" s="745">
        <f t="shared" si="37"/>
        <v>4.1666666666666664E-2</v>
      </c>
      <c r="BS56" s="2189"/>
      <c r="BT56" s="745" t="str">
        <f>IF(AVERAGE('Sunrise Calc'!$F$2:$F$13)&lt;'Hourly Profiles'!BA56, 1/12, "0.000 ")</f>
        <v xml:space="preserve">0.000 </v>
      </c>
      <c r="BU56" s="745">
        <v>4.1941747572815533E-2</v>
      </c>
      <c r="BV56" s="745" t="e">
        <f t="shared" si="51"/>
        <v>#VALUE!</v>
      </c>
      <c r="BW56" s="745" t="e">
        <f t="shared" si="52"/>
        <v>#VALUE!</v>
      </c>
      <c r="BX56" s="758">
        <f t="shared" si="43"/>
        <v>0.82800745731667413</v>
      </c>
      <c r="BY56" s="747">
        <f>BX56*250*NewConst!$F$250</f>
        <v>2070.0186432916853</v>
      </c>
      <c r="BZ56" s="748">
        <f>BX56*200*NewConst!$F$250</f>
        <v>1656.0149146333483</v>
      </c>
      <c r="CA56" s="756">
        <f t="shared" si="44"/>
        <v>1</v>
      </c>
      <c r="CB56" s="747">
        <f t="shared" si="45"/>
        <v>750</v>
      </c>
      <c r="CC56" s="748">
        <f t="shared" si="46"/>
        <v>600</v>
      </c>
      <c r="CD56" s="756">
        <f t="shared" si="47"/>
        <v>1</v>
      </c>
      <c r="CE56" s="747">
        <f>CD56*710*NewConst!$F$419</f>
        <v>2130</v>
      </c>
      <c r="CF56" s="748">
        <f>CD56*1090*NewConst!$F$419</f>
        <v>3270</v>
      </c>
      <c r="CG56" s="756">
        <v>0.5</v>
      </c>
      <c r="CH56" s="747">
        <f>$CG56*CH$7*NewConst!$E$413</f>
        <v>40.425000000000004</v>
      </c>
      <c r="CI56" s="748">
        <f>$CG56*CI$7*NewConst!$E$413</f>
        <v>25.575000000000003</v>
      </c>
    </row>
    <row r="57" spans="2:87">
      <c r="B57" s="13"/>
      <c r="C57" s="32">
        <v>15</v>
      </c>
      <c r="D57" s="58">
        <f>'Hourly Profiles'!D24</f>
        <v>1.4638755684462032E-2</v>
      </c>
      <c r="E57" s="59">
        <f t="shared" si="48"/>
        <v>2.5999999999999999E-2</v>
      </c>
      <c r="F57" s="59">
        <f>'Hourly Profiles'!F24</f>
        <v>5.2336449E-2</v>
      </c>
      <c r="G57" s="59">
        <f>'Hourly Profiles'!G24</f>
        <v>3.7542661999999997E-2</v>
      </c>
      <c r="H57" s="59">
        <f>(F57*'Monthly Profiles'!V$40+G57*'Monthly Profiles'!T$40+I57*'Monthly Profiles'!W$40+J57*'Monthly Profiles'!X$40+K57*'Monthly Profiles'!Y$40)/'Monthly Profiles'!AA$40</f>
        <v>3.5249839276602302E-2</v>
      </c>
      <c r="I57" s="591">
        <f>'Hourly Profiles'!I24</f>
        <v>2.3166023166023161E-2</v>
      </c>
      <c r="J57" s="591">
        <f>'Hourly Profiles'!J24</f>
        <v>2.5267249757045678E-2</v>
      </c>
      <c r="K57" s="591">
        <f>'Hourly Profiles'!K24</f>
        <v>4.1359773371104809E-2</v>
      </c>
      <c r="L57" s="59">
        <f>'Hourly Profiles'!L24</f>
        <v>4.1181482999999998E-2</v>
      </c>
      <c r="M57" s="59">
        <f>'Hourly Profiles'!M24</f>
        <v>6.0594058999999999E-2</v>
      </c>
      <c r="N57" s="59">
        <f>'Hourly Profiles'!N24</f>
        <v>4.3847242000000002E-2</v>
      </c>
      <c r="O57" s="59">
        <f>'Hourly Profiles'!O24</f>
        <v>3.5000000000000003E-2</v>
      </c>
      <c r="P57" s="1560">
        <f t="shared" si="49"/>
        <v>4.6055667001003012E-2</v>
      </c>
      <c r="Q57" s="1560">
        <f t="shared" si="49"/>
        <v>4.3956087824351307E-2</v>
      </c>
      <c r="R57" s="1560">
        <f t="shared" si="49"/>
        <v>4.3364793364793375E-2</v>
      </c>
      <c r="S57" s="1560">
        <f t="shared" si="49"/>
        <v>4.8500000000000008E-2</v>
      </c>
      <c r="T57" s="1560">
        <f t="shared" si="49"/>
        <v>5.0413693982986112E-2</v>
      </c>
      <c r="U57" s="1560">
        <f t="shared" si="49"/>
        <v>7.5428722135308962E-2</v>
      </c>
      <c r="V57" s="1560">
        <f t="shared" si="49"/>
        <v>7.5441117764471072E-2</v>
      </c>
      <c r="W57" s="1560">
        <f t="shared" si="49"/>
        <v>4.3438683948155525E-2</v>
      </c>
      <c r="X57" s="1560">
        <f t="shared" si="49"/>
        <v>2.4443846831906538E-2</v>
      </c>
      <c r="Y57" s="1560">
        <f t="shared" si="49"/>
        <v>2.3844026210167003E-2</v>
      </c>
      <c r="Z57" s="1560">
        <f t="shared" si="49"/>
        <v>2.3844026210167006E-2</v>
      </c>
      <c r="AA57" s="1560">
        <f t="shared" si="49"/>
        <v>7.4788270377733612E-2</v>
      </c>
      <c r="AB57" s="1560">
        <f t="shared" si="49"/>
        <v>7.4788270377733584E-2</v>
      </c>
      <c r="AC57" s="1560">
        <f t="shared" si="49"/>
        <v>3.2000000000000001E-2</v>
      </c>
      <c r="AD57" s="1560">
        <f t="shared" si="49"/>
        <v>2.3696682464454978E-2</v>
      </c>
      <c r="AE57" s="59">
        <f>((L57*NewConst!F$238+O57*NewConst!$F$155/365+N57*NewConst!F$328+G57*NewConst!F$298+M57*NewConst!F$279+F57*NewConst!F$264)*3412+(M57*NewConst!F$280+N57*NewConst!F$332)*100000)/((NewConst!F$238+NewConst!$F$155/365+NewConst!F$328+NewConst!F$298+NewConst!F$279+NewConst!F$264)*3412+(NewConst!F$280+NewConst!F$332)*100000)</f>
        <v>4.9915587319307349E-2</v>
      </c>
      <c r="AF57" s="591">
        <f t="shared" si="53"/>
        <v>3.737102306002895E-2</v>
      </c>
      <c r="AG57" s="591">
        <f t="shared" si="54"/>
        <v>3.5848617930163397E-2</v>
      </c>
      <c r="AH57" s="61">
        <f t="shared" si="39"/>
        <v>0.24188778382435727</v>
      </c>
      <c r="AI57" s="60">
        <f>$AH57*NewConst!$E$400*N_occ</f>
        <v>140.4884248451867</v>
      </c>
      <c r="AJ57" s="60">
        <f>$AH57*NewConst!$E$401*N_occ</f>
        <v>104.72773488459373</v>
      </c>
      <c r="AK57" s="58">
        <f>IF(NewConst!$F$203=NewConst!$I$203,'Detailed Lighting'!BD25,Lighting!BH35)</f>
        <v>1.9640071385896515E-2</v>
      </c>
      <c r="AL57" s="59">
        <f>IF(NewConst!$F$203=NewConst!$I$203,'Detailed Lighting'!BE25,Lighting!BI35)</f>
        <v>1.6832198192493583E-2</v>
      </c>
      <c r="AM57" s="59">
        <f>IF(NewConst!$F$203=NewConst!$I$203,'Detailed Lighting'!BF25,Lighting!BJ35)</f>
        <v>1.3437636443270166E-2</v>
      </c>
      <c r="AN57" s="59">
        <f>IF(NewConst!$F$203=NewConst!$I$203,'Detailed Lighting'!BG25,Lighting!BK35)</f>
        <v>1.5875498871840314E-2</v>
      </c>
      <c r="AO57" s="59">
        <f>IF(NewConst!$F$203=NewConst!$I$203,'Detailed Lighting'!BH25,Lighting!BL35)</f>
        <v>1.5026624733937814E-2</v>
      </c>
      <c r="AP57" s="59">
        <f>IF(NewConst!$F$203=NewConst!$I$203,'Detailed Lighting'!BI25,Lighting!BM35)</f>
        <v>1.5431392676517977E-2</v>
      </c>
      <c r="AQ57" s="59">
        <f>IF(NewConst!$F$203=NewConst!$I$203,'Detailed Lighting'!BJ25,Lighting!BN35)</f>
        <v>1.5701525219736771E-2</v>
      </c>
      <c r="AR57" s="59">
        <f>IF(NewConst!$F$203=NewConst!$I$203,'Detailed Lighting'!BK25,Lighting!BO35)</f>
        <v>1.592165715234448E-2</v>
      </c>
      <c r="AS57" s="59">
        <f>IF(NewConst!$F$203=NewConst!$I$203,'Detailed Lighting'!BL25,Lighting!BP35)</f>
        <v>1.690437197247617E-2</v>
      </c>
      <c r="AT57" s="59">
        <f>IF(NewConst!$F$203=NewConst!$I$203,'Detailed Lighting'!BM25,Lighting!BQ35)</f>
        <v>1.8988016617825728E-2</v>
      </c>
      <c r="AU57" s="59">
        <f>IF(NewConst!$F$203=NewConst!$I$203,'Detailed Lighting'!BN25,Lighting!BR35)</f>
        <v>1.8815534380760959E-2</v>
      </c>
      <c r="AV57" s="59">
        <f>IF(NewConst!$F$203=NewConst!$I$203,'Detailed Lighting'!BO25,Lighting!BS35)</f>
        <v>2.0786475646983254E-2</v>
      </c>
      <c r="AW57" s="729">
        <f>IF(NewConst!$F$203=NewConst!$I$203,'Detailed Lighting'!BP25,Lighting!BG35)</f>
        <v>1.7387205190656962E-2</v>
      </c>
      <c r="AX57" s="13"/>
      <c r="AY57" s="13"/>
      <c r="AZ57" s="13"/>
      <c r="BA57" s="38">
        <v>15</v>
      </c>
      <c r="BB57" s="745">
        <f t="shared" si="50"/>
        <v>6.0621199797634362E-2</v>
      </c>
      <c r="BC57" s="745">
        <v>4.1666666666666664E-2</v>
      </c>
      <c r="BD57" s="745">
        <f t="shared" si="40"/>
        <v>6.0621199797634362E-2</v>
      </c>
      <c r="BE57" s="745">
        <f t="shared" si="40"/>
        <v>6.5284968481251204E-2</v>
      </c>
      <c r="BF57" s="745">
        <v>0.11764705882352941</v>
      </c>
      <c r="BG57" s="745">
        <v>8.411214953271029E-2</v>
      </c>
      <c r="BH57" s="745">
        <v>7.0274068868587489E-2</v>
      </c>
      <c r="BI57" s="745">
        <v>4.1666666666666664E-2</v>
      </c>
      <c r="BJ57" s="746">
        <v>6.8965517241379309E-2</v>
      </c>
      <c r="BK57" s="745">
        <v>5.8823529411764705E-2</v>
      </c>
      <c r="BL57" s="745">
        <v>4.7619047619047616E-2</v>
      </c>
      <c r="BM57" s="745">
        <v>0.14285714285714285</v>
      </c>
      <c r="BN57" s="745">
        <f t="shared" si="41"/>
        <v>7.1428571428571425E-2</v>
      </c>
      <c r="BO57" s="745">
        <v>6.0594058999999999E-2</v>
      </c>
      <c r="BP57" s="745">
        <f t="shared" si="42"/>
        <v>8.411214953271029E-2</v>
      </c>
      <c r="BQ57" s="745">
        <f t="shared" si="36"/>
        <v>0.1111111111111111</v>
      </c>
      <c r="BR57" s="745">
        <f t="shared" si="37"/>
        <v>4.1666666666666664E-2</v>
      </c>
      <c r="BS57" s="2189"/>
      <c r="BT57" s="745" t="str">
        <f>IF(AVERAGE('Sunrise Calc'!$F$2:$F$13)&lt;'Hourly Profiles'!BA57, 1/12, "0.000 ")</f>
        <v xml:space="preserve">0.000 </v>
      </c>
      <c r="BU57" s="745">
        <v>4.1165048543689318E-2</v>
      </c>
      <c r="BV57" s="745" t="e">
        <f t="shared" si="51"/>
        <v>#VALUE!</v>
      </c>
      <c r="BW57" s="745" t="e">
        <f t="shared" si="52"/>
        <v>#VALUE!</v>
      </c>
      <c r="BX57" s="758">
        <f t="shared" si="43"/>
        <v>0.78422842938444437</v>
      </c>
      <c r="BY57" s="747">
        <f>BX57*250*NewConst!$F$250</f>
        <v>1960.5710734611107</v>
      </c>
      <c r="BZ57" s="748">
        <f>BX57*200*NewConst!$F$250</f>
        <v>1568.4568587688887</v>
      </c>
      <c r="CA57" s="756">
        <f t="shared" si="44"/>
        <v>1</v>
      </c>
      <c r="CB57" s="747">
        <f t="shared" si="45"/>
        <v>750</v>
      </c>
      <c r="CC57" s="748">
        <f t="shared" si="46"/>
        <v>600</v>
      </c>
      <c r="CD57" s="756">
        <f t="shared" si="47"/>
        <v>1</v>
      </c>
      <c r="CE57" s="747">
        <f>CD57*710*NewConst!$F$419</f>
        <v>2130</v>
      </c>
      <c r="CF57" s="748">
        <f>CD57*1090*NewConst!$F$419</f>
        <v>3270</v>
      </c>
      <c r="CG57" s="756">
        <v>1</v>
      </c>
      <c r="CH57" s="747">
        <f>$CG57*CH$7*NewConst!$E$413</f>
        <v>80.850000000000009</v>
      </c>
      <c r="CI57" s="748">
        <f>$CG57*CI$7*NewConst!$E$413</f>
        <v>51.150000000000006</v>
      </c>
    </row>
    <row r="58" spans="2:87">
      <c r="B58" s="13"/>
      <c r="C58" s="32">
        <v>16</v>
      </c>
      <c r="D58" s="58">
        <f>'Hourly Profiles'!D23</f>
        <v>1.4638755684462032E-2</v>
      </c>
      <c r="E58" s="59">
        <f t="shared" si="48"/>
        <v>1.4999999999999999E-2</v>
      </c>
      <c r="F58" s="59">
        <f>'Hourly Profiles'!F23</f>
        <v>4.8598131000000003E-2</v>
      </c>
      <c r="G58" s="59">
        <f>'Hourly Profiles'!G23</f>
        <v>3.5836176999999997E-2</v>
      </c>
      <c r="H58" s="59">
        <f>(F58*'Monthly Profiles'!V$40+G58*'Monthly Profiles'!T$40+I58*'Monthly Profiles'!W$40+J58*'Monthly Profiles'!X$40+K58*'Monthly Profiles'!Y$40)/'Monthly Profiles'!AA$40</f>
        <v>3.5510479022441047E-2</v>
      </c>
      <c r="I58" s="591">
        <f>'Hourly Profiles'!I23</f>
        <v>2.3166023166023161E-2</v>
      </c>
      <c r="J58" s="591">
        <f>'Hourly Profiles'!J23</f>
        <v>2.623906705539359E-2</v>
      </c>
      <c r="K58" s="591">
        <f>'Hourly Profiles'!K23</f>
        <v>4.305949008498583E-2</v>
      </c>
      <c r="L58" s="59">
        <f>'Hourly Profiles'!L23</f>
        <v>4.1749503E-2</v>
      </c>
      <c r="M58" s="59">
        <f>'Hourly Profiles'!M23</f>
        <v>5.7425743000000001E-2</v>
      </c>
      <c r="N58" s="59">
        <f>'Hourly Profiles'!N23</f>
        <v>5.6577085999999999E-2</v>
      </c>
      <c r="O58" s="59">
        <f>'Hourly Profiles'!O23</f>
        <v>3.6999999999999998E-2</v>
      </c>
      <c r="P58" s="1560">
        <f t="shared" si="49"/>
        <v>4.3554162487462383E-2</v>
      </c>
      <c r="Q58" s="1560">
        <f t="shared" si="49"/>
        <v>4.4955089820359284E-2</v>
      </c>
      <c r="R58" s="1560">
        <f t="shared" si="49"/>
        <v>4.3865293865293864E-2</v>
      </c>
      <c r="S58" s="1560">
        <f t="shared" si="49"/>
        <v>5.9000000000000004E-2</v>
      </c>
      <c r="T58" s="1560">
        <f t="shared" si="49"/>
        <v>3.9431655084695962E-2</v>
      </c>
      <c r="U58" s="1560">
        <f t="shared" si="49"/>
        <v>9.7877817937698189E-2</v>
      </c>
      <c r="V58" s="1560">
        <f t="shared" si="49"/>
        <v>6.1446107784431138E-2</v>
      </c>
      <c r="W58" s="1560">
        <f t="shared" si="49"/>
        <v>4.5435692921236288E-2</v>
      </c>
      <c r="X58" s="1560">
        <f t="shared" si="49"/>
        <v>2.4443846831906538E-2</v>
      </c>
      <c r="Y58" s="1560">
        <f t="shared" si="49"/>
        <v>5.7607680629233542E-2</v>
      </c>
      <c r="Z58" s="1560">
        <f t="shared" si="49"/>
        <v>5.7607680629233542E-2</v>
      </c>
      <c r="AA58" s="1560">
        <f t="shared" si="49"/>
        <v>6.1321073558648131E-2</v>
      </c>
      <c r="AB58" s="1560">
        <f t="shared" si="49"/>
        <v>6.1321073558648097E-2</v>
      </c>
      <c r="AC58" s="1560">
        <f t="shared" si="49"/>
        <v>3.3000000000000002E-2</v>
      </c>
      <c r="AD58" s="1560">
        <f t="shared" si="49"/>
        <v>2.3696682464454978E-2</v>
      </c>
      <c r="AE58" s="59">
        <f>((L58*NewConst!F$238+O58*NewConst!$F$155/365+N58*NewConst!F$328+G58*NewConst!F$298+M58*NewConst!F$279+F58*NewConst!F$264)*3412+(M58*NewConst!F$280+N58*NewConst!F$332)*100000)/((NewConst!F$238+NewConst!$F$155/365+NewConst!F$328+NewConst!F$298+NewConst!F$279+NewConst!F$264)*3412+(NewConst!F$280+NewConst!F$332)*100000)</f>
        <v>5.2481845707249938E-2</v>
      </c>
      <c r="AF58" s="591">
        <f t="shared" si="53"/>
        <v>3.9260650525529746E-2</v>
      </c>
      <c r="AG58" s="591">
        <f t="shared" si="54"/>
        <v>4.1765109732671217E-2</v>
      </c>
      <c r="AH58" s="61">
        <f t="shared" si="39"/>
        <v>0.24188778382435727</v>
      </c>
      <c r="AI58" s="60">
        <f>$AH58*NewConst!$E$400*N_occ</f>
        <v>140.4884248451867</v>
      </c>
      <c r="AJ58" s="60">
        <f>$AH58*NewConst!$E$401*N_occ</f>
        <v>104.72773488459373</v>
      </c>
      <c r="AK58" s="58">
        <f>IF(NewConst!$F$203=NewConst!$I$203,'Detailed Lighting'!BD26,Lighting!BH36)</f>
        <v>2.4591169112131557E-2</v>
      </c>
      <c r="AL58" s="59">
        <f>IF(NewConst!$F$203=NewConst!$I$203,'Detailed Lighting'!BE26,Lighting!BI36)</f>
        <v>1.9673333443736112E-2</v>
      </c>
      <c r="AM58" s="59">
        <f>IF(NewConst!$F$203=NewConst!$I$203,'Detailed Lighting'!BF26,Lighting!BJ36)</f>
        <v>1.5208891057091367E-2</v>
      </c>
      <c r="AN58" s="59">
        <f>IF(NewConst!$F$203=NewConst!$I$203,'Detailed Lighting'!BG26,Lighting!BK36)</f>
        <v>1.6066872193603088E-2</v>
      </c>
      <c r="AO58" s="59">
        <f>IF(NewConst!$F$203=NewConst!$I$203,'Detailed Lighting'!BH26,Lighting!BL36)</f>
        <v>1.5167384936649191E-2</v>
      </c>
      <c r="AP58" s="59">
        <f>IF(NewConst!$F$203=NewConst!$I$203,'Detailed Lighting'!BI26,Lighting!BM36)</f>
        <v>1.5564945568781758E-2</v>
      </c>
      <c r="AQ58" s="59">
        <f>IF(NewConst!$F$203=NewConst!$I$203,'Detailed Lighting'!BJ26,Lighting!BN36)</f>
        <v>1.5834768506862263E-2</v>
      </c>
      <c r="AR58" s="59">
        <f>IF(NewConst!$F$203=NewConst!$I$203,'Detailed Lighting'!BK26,Lighting!BO36)</f>
        <v>1.6085651096903367E-2</v>
      </c>
      <c r="AS58" s="59">
        <f>IF(NewConst!$F$203=NewConst!$I$203,'Detailed Lighting'!BL26,Lighting!BP36)</f>
        <v>1.7280080494772525E-2</v>
      </c>
      <c r="AT58" s="59">
        <f>IF(NewConst!$F$203=NewConst!$I$203,'Detailed Lighting'!BM26,Lighting!BQ36)</f>
        <v>1.9962902670983006E-2</v>
      </c>
      <c r="AU58" s="59">
        <f>IF(NewConst!$F$203=NewConst!$I$203,'Detailed Lighting'!BN26,Lighting!BR36)</f>
        <v>2.671294475571798E-2</v>
      </c>
      <c r="AV58" s="59">
        <f>IF(NewConst!$F$203=NewConst!$I$203,'Detailed Lighting'!BO26,Lighting!BS36)</f>
        <v>2.8891383441698427E-2</v>
      </c>
      <c r="AW58" s="729">
        <f>IF(NewConst!$F$203=NewConst!$I$203,'Detailed Lighting'!BP26,Lighting!BG36)</f>
        <v>2.0369704214756798E-2</v>
      </c>
      <c r="AX58" s="13"/>
      <c r="AY58" s="13"/>
      <c r="AZ58" s="13"/>
      <c r="BA58" s="38">
        <v>16</v>
      </c>
      <c r="BB58" s="745">
        <f t="shared" si="50"/>
        <v>5.7237061835039633E-2</v>
      </c>
      <c r="BC58" s="745">
        <v>4.1666666666666664E-2</v>
      </c>
      <c r="BD58" s="745">
        <f t="shared" si="40"/>
        <v>5.7237061835039633E-2</v>
      </c>
      <c r="BE58" s="745">
        <f t="shared" si="40"/>
        <v>6.1833172928638991E-2</v>
      </c>
      <c r="BF58" s="745">
        <v>0.11764705882352941</v>
      </c>
      <c r="BG58" s="745">
        <v>8.411214953271029E-2</v>
      </c>
      <c r="BH58" s="745">
        <v>7.0274068868587489E-2</v>
      </c>
      <c r="BI58" s="745">
        <v>4.1666666666666664E-2</v>
      </c>
      <c r="BJ58" s="746">
        <v>6.8965517241379309E-2</v>
      </c>
      <c r="BK58" s="745">
        <v>5.8823529411764705E-2</v>
      </c>
      <c r="BL58" s="745">
        <v>4.7619047619047616E-2</v>
      </c>
      <c r="BM58" s="745">
        <v>7.1428571428571425E-2</v>
      </c>
      <c r="BN58" s="745">
        <f t="shared" si="41"/>
        <v>0.14285714285714285</v>
      </c>
      <c r="BO58" s="745">
        <v>5.7425743000000001E-2</v>
      </c>
      <c r="BP58" s="745">
        <f t="shared" si="42"/>
        <v>8.411214953271029E-2</v>
      </c>
      <c r="BQ58" s="745">
        <f t="shared" si="36"/>
        <v>0.1111111111111111</v>
      </c>
      <c r="BR58" s="745">
        <f t="shared" si="37"/>
        <v>4.1666666666666664E-2</v>
      </c>
      <c r="BS58" s="2189"/>
      <c r="BT58" s="745" t="str">
        <f>IF(AVERAGE('Sunrise Calc'!$F$2:$F$13)&lt;'Hourly Profiles'!BA58, 1/12, "0.000 ")</f>
        <v xml:space="preserve">0.000 </v>
      </c>
      <c r="BU58" s="745">
        <v>4.3106796116504857E-2</v>
      </c>
      <c r="BV58" s="745" t="e">
        <f t="shared" si="51"/>
        <v>#VALUE!</v>
      </c>
      <c r="BW58" s="745" t="e">
        <f t="shared" si="52"/>
        <v>#VALUE!</v>
      </c>
      <c r="BX58" s="758">
        <f t="shared" si="43"/>
        <v>0.74044940145221416</v>
      </c>
      <c r="BY58" s="747">
        <f>BX58*250*NewConst!$F$250</f>
        <v>1851.1235036305354</v>
      </c>
      <c r="BZ58" s="748">
        <f>BX58*200*NewConst!$F$250</f>
        <v>1480.8988029044283</v>
      </c>
      <c r="CA58" s="756">
        <f t="shared" si="44"/>
        <v>1</v>
      </c>
      <c r="CB58" s="747">
        <f t="shared" si="45"/>
        <v>750</v>
      </c>
      <c r="CC58" s="748">
        <f t="shared" si="46"/>
        <v>600</v>
      </c>
      <c r="CD58" s="756">
        <f t="shared" si="47"/>
        <v>1</v>
      </c>
      <c r="CE58" s="747">
        <f>CD58*710*NewConst!$F$419</f>
        <v>2130</v>
      </c>
      <c r="CF58" s="748">
        <f>CD58*1090*NewConst!$F$419</f>
        <v>3270</v>
      </c>
      <c r="CG58" s="756">
        <v>0.5</v>
      </c>
      <c r="CH58" s="747">
        <f>$CG58*CH$7*NewConst!$E$413</f>
        <v>40.425000000000004</v>
      </c>
      <c r="CI58" s="748">
        <f>$CG58*CI$7*NewConst!$E$413</f>
        <v>25.575000000000003</v>
      </c>
    </row>
    <row r="59" spans="2:87">
      <c r="B59" s="13"/>
      <c r="C59" s="32">
        <v>17</v>
      </c>
      <c r="D59" s="58">
        <f>'Hourly Profiles'!D25</f>
        <v>1.7852054658416792E-2</v>
      </c>
      <c r="E59" s="59">
        <f t="shared" si="48"/>
        <v>5.6000000000000001E-2</v>
      </c>
      <c r="F59" s="59">
        <f>'Hourly Profiles'!F25</f>
        <v>5.0467289999999998E-2</v>
      </c>
      <c r="G59" s="59">
        <f>'Hourly Profiles'!G25</f>
        <v>3.7542661999999997E-2</v>
      </c>
      <c r="H59" s="59">
        <f>(F59*'Monthly Profiles'!V$40+G59*'Monthly Profiles'!T$40+I59*'Monthly Profiles'!W$40+J59*'Monthly Profiles'!X$40+K59*'Monthly Profiles'!Y$40)/'Monthly Profiles'!AA$40</f>
        <v>4.0466556597317051E-2</v>
      </c>
      <c r="I59" s="591">
        <f>'Hourly Profiles'!I25</f>
        <v>3.8610038610038609E-2</v>
      </c>
      <c r="J59" s="591">
        <f>'Hourly Profiles'!J25</f>
        <v>3.0126336248785232E-2</v>
      </c>
      <c r="K59" s="591">
        <f>'Hourly Profiles'!K25</f>
        <v>4.8158640226628885E-2</v>
      </c>
      <c r="L59" s="59">
        <f>'Hourly Profiles'!L25</f>
        <v>4.4021585000000002E-2</v>
      </c>
      <c r="M59" s="59">
        <f>'Hourly Profiles'!M25</f>
        <v>5.5445544999999999E-2</v>
      </c>
      <c r="N59" s="59">
        <f>'Hourly Profiles'!N25</f>
        <v>9.1937765000000005E-2</v>
      </c>
      <c r="O59" s="59">
        <f>'Hourly Profiles'!O25</f>
        <v>4.3999999999999997E-2</v>
      </c>
      <c r="P59" s="1560">
        <f t="shared" si="49"/>
        <v>4.6569207622868605E-2</v>
      </c>
      <c r="Q59" s="1560">
        <f t="shared" si="49"/>
        <v>4.5954091816367268E-2</v>
      </c>
      <c r="R59" s="1560">
        <f t="shared" si="49"/>
        <v>4.3360324610324609E-2</v>
      </c>
      <c r="S59" s="1560">
        <f t="shared" si="49"/>
        <v>0.11000000000000001</v>
      </c>
      <c r="T59" s="1560">
        <f t="shared" si="49"/>
        <v>5.5383798653988084E-2</v>
      </c>
      <c r="U59" s="1560">
        <f t="shared" si="49"/>
        <v>6.6442190693687703E-2</v>
      </c>
      <c r="V59" s="1560">
        <f t="shared" si="49"/>
        <v>6.0945109780439127E-2</v>
      </c>
      <c r="W59" s="1560">
        <f t="shared" si="49"/>
        <v>5.0429710867397809E-2</v>
      </c>
      <c r="X59" s="1560">
        <f t="shared" si="49"/>
        <v>2.4443846831906538E-2</v>
      </c>
      <c r="Y59" s="1560">
        <f t="shared" si="49"/>
        <v>0.12621293095449151</v>
      </c>
      <c r="Z59" s="1560">
        <f t="shared" si="49"/>
        <v>0.12621293095449151</v>
      </c>
      <c r="AA59" s="1560">
        <f t="shared" si="49"/>
        <v>3.6889662027833017E-2</v>
      </c>
      <c r="AB59" s="1560">
        <f t="shared" si="49"/>
        <v>3.6889662027832996E-2</v>
      </c>
      <c r="AC59" s="1560">
        <f t="shared" si="49"/>
        <v>4.4999999999999998E-2</v>
      </c>
      <c r="AD59" s="1560">
        <f t="shared" si="49"/>
        <v>2.3696682464454978E-2</v>
      </c>
      <c r="AE59" s="59">
        <f>((L59*NewConst!F$238+O59*NewConst!$F$155/365+N59*NewConst!F$328+G59*NewConst!F$298+M59*NewConst!F$279+F59*NewConst!F$264)*3412+(M59*NewConst!F$280+N59*NewConst!F$332)*100000)/((NewConst!F$238+NewConst!$F$155/365+NewConst!F$328+NewConst!F$298+NewConst!F$279+NewConst!F$264)*3412+(NewConst!F$280+NewConst!F$332)*100000)</f>
        <v>6.3009861879730511E-2</v>
      </c>
      <c r="AF59" s="591">
        <f t="shared" si="53"/>
        <v>4.6531292738400849E-2</v>
      </c>
      <c r="AG59" s="591">
        <f t="shared" si="54"/>
        <v>5.9041276763101537E-2</v>
      </c>
      <c r="AH59" s="61">
        <f t="shared" si="39"/>
        <v>0.29498367423531618</v>
      </c>
      <c r="AI59" s="60">
        <f>$AH59*NewConst!$E$400*N_occ</f>
        <v>171.32651799587165</v>
      </c>
      <c r="AJ59" s="60">
        <f>$AH59*NewConst!$E$401*N_occ</f>
        <v>127.71613159692249</v>
      </c>
      <c r="AK59" s="58">
        <f>IF(NewConst!$F$203=NewConst!$I$203,'Detailed Lighting'!BD27,Lighting!BH37)</f>
        <v>4.1885450185072212E-2</v>
      </c>
      <c r="AL59" s="59">
        <f>IF(NewConst!$F$203=NewConst!$I$203,'Detailed Lighting'!BE27,Lighting!BI37)</f>
        <v>3.113326913158591E-2</v>
      </c>
      <c r="AM59" s="59">
        <f>IF(NewConst!$F$203=NewConst!$I$203,'Detailed Lighting'!BF27,Lighting!BJ37)</f>
        <v>2.3071798144044975E-2</v>
      </c>
      <c r="AN59" s="59">
        <f>IF(NewConst!$F$203=NewConst!$I$203,'Detailed Lighting'!BG27,Lighting!BK37)</f>
        <v>1.7345029995198602E-2</v>
      </c>
      <c r="AO59" s="59">
        <f>IF(NewConst!$F$203=NewConst!$I$203,'Detailed Lighting'!BH27,Lighting!BL37)</f>
        <v>1.609296385157508E-2</v>
      </c>
      <c r="AP59" s="59">
        <f>IF(NewConst!$F$203=NewConst!$I$203,'Detailed Lighting'!BI27,Lighting!BM37)</f>
        <v>1.6381125018333748E-2</v>
      </c>
      <c r="AQ59" s="59">
        <f>IF(NewConst!$F$203=NewConst!$I$203,'Detailed Lighting'!BJ27,Lighting!BN37)</f>
        <v>1.6647049089736368E-2</v>
      </c>
      <c r="AR59" s="59">
        <f>IF(NewConst!$F$203=NewConst!$I$203,'Detailed Lighting'!BK27,Lighting!BO37)</f>
        <v>1.7126205674404437E-2</v>
      </c>
      <c r="AS59" s="59">
        <f>IF(NewConst!$F$203=NewConst!$I$203,'Detailed Lighting'!BL27,Lighting!BP37)</f>
        <v>1.9461503632001272E-2</v>
      </c>
      <c r="AT59" s="59">
        <f>IF(NewConst!$F$203=NewConst!$I$203,'Detailed Lighting'!BM27,Lighting!BQ37)</f>
        <v>2.481986223720406E-2</v>
      </c>
      <c r="AU59" s="59">
        <f>IF(NewConst!$F$203=NewConst!$I$203,'Detailed Lighting'!BN27,Lighting!BR37)</f>
        <v>4.9065252325709248E-2</v>
      </c>
      <c r="AV59" s="59">
        <f>IF(NewConst!$F$203=NewConst!$I$203,'Detailed Lighting'!BO27,Lighting!BS37)</f>
        <v>5.2284144378683797E-2</v>
      </c>
      <c r="AW59" s="729">
        <f>IF(NewConst!$F$203=NewConst!$I$203,'Detailed Lighting'!BP27,Lighting!BG37)</f>
        <v>3.0256497911281623E-2</v>
      </c>
      <c r="AX59" s="13"/>
      <c r="AY59" s="13"/>
      <c r="AZ59" s="13"/>
      <c r="BA59" s="38">
        <v>17</v>
      </c>
      <c r="BB59" s="745">
        <f t="shared" si="50"/>
        <v>6.4880131734870672E-2</v>
      </c>
      <c r="BC59" s="745">
        <v>4.1666666666666664E-2</v>
      </c>
      <c r="BD59" s="745">
        <f t="shared" si="40"/>
        <v>6.4880131734870672E-2</v>
      </c>
      <c r="BE59" s="745">
        <f t="shared" si="40"/>
        <v>5.8381377376026757E-2</v>
      </c>
      <c r="BF59" s="745">
        <v>0.11764705882352941</v>
      </c>
      <c r="BG59" s="745">
        <v>8.411214953271029E-2</v>
      </c>
      <c r="BH59" s="745">
        <v>7.0274068868587489E-2</v>
      </c>
      <c r="BI59" s="745">
        <v>4.1666666666666664E-2</v>
      </c>
      <c r="BJ59" s="746">
        <v>6.8965517241379309E-2</v>
      </c>
      <c r="BK59" s="745">
        <v>5.8823529411764705E-2</v>
      </c>
      <c r="BL59" s="745">
        <v>9.5238095238095233E-2</v>
      </c>
      <c r="BM59" s="745">
        <v>7.1428571428571425E-2</v>
      </c>
      <c r="BN59" s="745">
        <f t="shared" si="41"/>
        <v>7.1428571428571425E-2</v>
      </c>
      <c r="BO59" s="745">
        <v>5.5445544999999999E-2</v>
      </c>
      <c r="BP59" s="745">
        <f t="shared" si="42"/>
        <v>8.411214953271029E-2</v>
      </c>
      <c r="BQ59" s="745">
        <f t="shared" si="36"/>
        <v>0.1111111111111111</v>
      </c>
      <c r="BR59" s="745">
        <f t="shared" si="37"/>
        <v>4.1666666666666664E-2</v>
      </c>
      <c r="BS59" s="2189"/>
      <c r="BT59" s="745" t="str">
        <f>IF(AVERAGE('Sunrise Calc'!$F$2:$F$13)&lt;'Hourly Profiles'!BA59, 1/12, "0.000 ")</f>
        <v xml:space="preserve">0.000 </v>
      </c>
      <c r="BU59" s="745">
        <v>5.0873786407766991E-2</v>
      </c>
      <c r="BV59" s="745" t="e">
        <f t="shared" si="51"/>
        <v>#VALUE!</v>
      </c>
      <c r="BW59" s="745" t="e">
        <f t="shared" si="52"/>
        <v>#VALUE!</v>
      </c>
      <c r="BX59" s="758">
        <f t="shared" si="43"/>
        <v>0.83932426244521485</v>
      </c>
      <c r="BY59" s="747">
        <f>BX59*250*NewConst!$F$250</f>
        <v>2098.3106561130371</v>
      </c>
      <c r="BZ59" s="748">
        <f>BX59*200*NewConst!$F$250</f>
        <v>1678.6485248904296</v>
      </c>
      <c r="CA59" s="756">
        <f t="shared" si="44"/>
        <v>1</v>
      </c>
      <c r="CB59" s="747">
        <f t="shared" si="45"/>
        <v>750</v>
      </c>
      <c r="CC59" s="748">
        <f t="shared" si="46"/>
        <v>600</v>
      </c>
      <c r="CD59" s="756">
        <f t="shared" si="47"/>
        <v>1</v>
      </c>
      <c r="CE59" s="747">
        <f>CD59*710*NewConst!$F$419</f>
        <v>2130</v>
      </c>
      <c r="CF59" s="748">
        <f>CD59*1090*NewConst!$F$419</f>
        <v>3270</v>
      </c>
      <c r="CG59" s="756">
        <v>0.5</v>
      </c>
      <c r="CH59" s="747">
        <f>$CG59*CH$7*NewConst!$E$413</f>
        <v>40.425000000000004</v>
      </c>
      <c r="CI59" s="748">
        <f>$CG59*CI$7*NewConst!$E$413</f>
        <v>25.575000000000003</v>
      </c>
    </row>
    <row r="60" spans="2:87">
      <c r="B60" s="13"/>
      <c r="C60" s="32">
        <v>18</v>
      </c>
      <c r="D60" s="58">
        <f>'Hourly Profiles'!D26</f>
        <v>3.3472693336531821E-2</v>
      </c>
      <c r="E60" s="59">
        <f t="shared" si="48"/>
        <v>7.8E-2</v>
      </c>
      <c r="F60" s="59">
        <f>'Hourly Profiles'!F26</f>
        <v>4.8598131000000003E-2</v>
      </c>
      <c r="G60" s="59">
        <f>'Hourly Profiles'!G26</f>
        <v>4.9488055000000003E-2</v>
      </c>
      <c r="H60" s="59">
        <f>(F60*'Monthly Profiles'!V$40+G60*'Monthly Profiles'!T$40+I60*'Monthly Profiles'!W$40+J60*'Monthly Profiles'!X$40+K60*'Monthly Profiles'!Y$40)/'Monthly Profiles'!AA$40</f>
        <v>5.0303785813595792E-2</v>
      </c>
      <c r="I60" s="591">
        <f>'Hourly Profiles'!I26</f>
        <v>4.6332046332046323E-2</v>
      </c>
      <c r="J60" s="591">
        <f>'Hourly Profiles'!J26</f>
        <v>3.8872691933916431E-2</v>
      </c>
      <c r="K60" s="591">
        <f>'Hourly Profiles'!K26</f>
        <v>6.5155807365439078E-2</v>
      </c>
      <c r="L60" s="59">
        <f>'Hourly Profiles'!L26</f>
        <v>4.8281737999999998E-2</v>
      </c>
      <c r="M60" s="59">
        <f>'Hourly Profiles'!M26</f>
        <v>5.4257425999999997E-2</v>
      </c>
      <c r="N60" s="59">
        <f>'Hourly Profiles'!N26</f>
        <v>0.149929279</v>
      </c>
      <c r="O60" s="59">
        <f>'Hourly Profiles'!O26</f>
        <v>5.2999999999999999E-2</v>
      </c>
      <c r="P60" s="1560">
        <f t="shared" si="49"/>
        <v>5.0084252758274828E-2</v>
      </c>
      <c r="Q60" s="1560">
        <f t="shared" si="49"/>
        <v>4.6953093812375252E-2</v>
      </c>
      <c r="R60" s="1560">
        <f t="shared" si="49"/>
        <v>4.3355855855855864E-2</v>
      </c>
      <c r="S60" s="1560">
        <f t="shared" si="49"/>
        <v>0.16100000000000003</v>
      </c>
      <c r="T60" s="1560">
        <f t="shared" si="49"/>
        <v>7.1335942223280213E-2</v>
      </c>
      <c r="U60" s="1560">
        <f t="shared" si="49"/>
        <v>3.6006065946185703E-2</v>
      </c>
      <c r="V60" s="1560">
        <f t="shared" si="49"/>
        <v>5.9445109780439119E-2</v>
      </c>
      <c r="W60" s="1560">
        <f t="shared" si="49"/>
        <v>5.4925224327018934E-2</v>
      </c>
      <c r="X60" s="1560">
        <f t="shared" si="49"/>
        <v>2.4443846831906538E-2</v>
      </c>
      <c r="Y60" s="1560">
        <f t="shared" ref="Q60:AD66" si="55">Y26</f>
        <v>0.12172298878032697</v>
      </c>
      <c r="Z60" s="1560">
        <f t="shared" si="55"/>
        <v>0.12172298878032697</v>
      </c>
      <c r="AA60" s="1560">
        <f t="shared" si="55"/>
        <v>2.3449304174950301E-2</v>
      </c>
      <c r="AB60" s="1560">
        <f t="shared" si="55"/>
        <v>2.3449304174950295E-2</v>
      </c>
      <c r="AC60" s="1560">
        <f t="shared" si="55"/>
        <v>5.7000000000000002E-2</v>
      </c>
      <c r="AD60" s="1560">
        <f t="shared" si="55"/>
        <v>2.3696682464454978E-2</v>
      </c>
      <c r="AE60" s="59">
        <f>((L60*NewConst!F$238+O60*NewConst!$F$155/365+N60*NewConst!F$328+G60*NewConst!F$298+M60*NewConst!F$279+F60*NewConst!F$264)*3412+(M60*NewConst!F$280+N60*NewConst!F$332)*100000)/((NewConst!F$238+NewConst!$F$155/365+NewConst!F$328+NewConst!F$298+NewConst!F$279+NewConst!F$264)*3412+(NewConst!F$280+NewConst!F$332)*100000)</f>
        <v>8.1397226810650231E-2</v>
      </c>
      <c r="AF60" s="591">
        <f t="shared" si="53"/>
        <v>5.7470744836345233E-2</v>
      </c>
      <c r="AG60" s="591">
        <f t="shared" si="54"/>
        <v>8.8625192447721171E-2</v>
      </c>
      <c r="AH60" s="61">
        <f t="shared" si="39"/>
        <v>0.55309589041095886</v>
      </c>
      <c r="AI60" s="60">
        <f>$AH60*NewConst!$E$400*N_occ</f>
        <v>321.2380931506849</v>
      </c>
      <c r="AJ60" s="60">
        <f>$AH60*NewConst!$E$401*N_occ</f>
        <v>239.46839671232877</v>
      </c>
      <c r="AK60" s="58">
        <f>IF(NewConst!$F$203=NewConst!$I$203,'Detailed Lighting'!BD28,Lighting!BH38)</f>
        <v>7.762566664481528E-2</v>
      </c>
      <c r="AL60" s="59">
        <f>IF(NewConst!$F$203=NewConst!$I$203,'Detailed Lighting'!BE28,Lighting!BI38)</f>
        <v>6.0193624032716879E-2</v>
      </c>
      <c r="AM60" s="59">
        <f>IF(NewConst!$F$203=NewConst!$I$203,'Detailed Lighting'!BF28,Lighting!BJ38)</f>
        <v>4.6086115793757376E-2</v>
      </c>
      <c r="AN60" s="59">
        <f>IF(NewConst!$F$203=NewConst!$I$203,'Detailed Lighting'!BG28,Lighting!BK38)</f>
        <v>2.3284326694436915E-2</v>
      </c>
      <c r="AO60" s="59">
        <f>IF(NewConst!$F$203=NewConst!$I$203,'Detailed Lighting'!BH28,Lighting!BL38)</f>
        <v>2.0466842805204843E-2</v>
      </c>
      <c r="AP60" s="59">
        <f>IF(NewConst!$F$203=NewConst!$I$203,'Detailed Lighting'!BI28,Lighting!BM38)</f>
        <v>2.0073298596170158E-2</v>
      </c>
      <c r="AQ60" s="59">
        <f>IF(NewConst!$F$203=NewConst!$I$203,'Detailed Lighting'!BJ28,Lighting!BN38)</f>
        <v>2.0312325251772619E-2</v>
      </c>
      <c r="AR60" s="59">
        <f>IF(NewConst!$F$203=NewConst!$I$203,'Detailed Lighting'!BK28,Lighting!BO38)</f>
        <v>2.1866862575866203E-2</v>
      </c>
      <c r="AS60" s="59">
        <f>IF(NewConst!$F$203=NewConst!$I$203,'Detailed Lighting'!BL28,Lighting!BP38)</f>
        <v>2.8235005368752505E-2</v>
      </c>
      <c r="AT60" s="59">
        <f>IF(NewConst!$F$203=NewConst!$I$203,'Detailed Lighting'!BM28,Lighting!BQ38)</f>
        <v>4.0883932693467198E-2</v>
      </c>
      <c r="AU60" s="59">
        <f>IF(NewConst!$F$203=NewConst!$I$203,'Detailed Lighting'!BN28,Lighting!BR38)</f>
        <v>8.7031058919219167E-2</v>
      </c>
      <c r="AV60" s="59">
        <f>IF(NewConst!$F$203=NewConst!$I$203,'Detailed Lighting'!BO28,Lighting!BS38)</f>
        <v>9.0953763485702888E-2</v>
      </c>
      <c r="AW60" s="729">
        <f>IF(NewConst!$F$203=NewConst!$I$203,'Detailed Lighting'!BP28,Lighting!BG38)</f>
        <v>5.1372480997497284E-2</v>
      </c>
      <c r="AX60" s="13"/>
      <c r="AY60" s="13"/>
      <c r="AZ60" s="13"/>
      <c r="BA60" s="38">
        <v>18</v>
      </c>
      <c r="BB60" s="745">
        <f t="shared" si="50"/>
        <v>7.7300436360381738E-2</v>
      </c>
      <c r="BC60" s="745">
        <v>4.1666666666666664E-2</v>
      </c>
      <c r="BD60" s="745">
        <f t="shared" si="40"/>
        <v>7.7300436360381738E-2</v>
      </c>
      <c r="BE60" s="745">
        <f t="shared" si="40"/>
        <v>6.6177251829180855E-2</v>
      </c>
      <c r="BF60" s="745">
        <v>0</v>
      </c>
      <c r="BG60" s="745">
        <v>1.6822429906542057E-2</v>
      </c>
      <c r="BH60" s="745">
        <v>3.5137034434293744E-2</v>
      </c>
      <c r="BI60" s="745">
        <v>4.1666666666666664E-2</v>
      </c>
      <c r="BJ60" s="746">
        <v>6.8965517241379309E-2</v>
      </c>
      <c r="BK60" s="745">
        <v>5.8823529411764705E-2</v>
      </c>
      <c r="BL60" s="745">
        <v>4.7619047619047616E-2</v>
      </c>
      <c r="BM60" s="745">
        <v>7.1428571428571425E-2</v>
      </c>
      <c r="BN60" s="745">
        <f t="shared" si="41"/>
        <v>7.1428571428571425E-2</v>
      </c>
      <c r="BO60" s="745">
        <v>5.4257425999999997E-2</v>
      </c>
      <c r="BP60" s="745">
        <f t="shared" si="42"/>
        <v>1.6822429906542057E-2</v>
      </c>
      <c r="BQ60" s="745">
        <f t="shared" si="36"/>
        <v>0</v>
      </c>
      <c r="BR60" s="745">
        <f t="shared" si="37"/>
        <v>4.1666666666666664E-2</v>
      </c>
      <c r="BS60" s="2189"/>
      <c r="BT60" s="745" t="str">
        <f>IF(AVERAGE('Sunrise Calc'!$F$2:$F$13)&lt;'Hourly Profiles'!BA60, 1/12, "0.000 ")</f>
        <v xml:space="preserve">0.000 </v>
      </c>
      <c r="BU60" s="745">
        <v>6.3300970873786402E-2</v>
      </c>
      <c r="BV60" s="745" t="e">
        <f t="shared" si="51"/>
        <v>#VALUE!</v>
      </c>
      <c r="BW60" s="745" t="e">
        <f t="shared" si="52"/>
        <v>#VALUE!</v>
      </c>
      <c r="BX60" s="758">
        <f t="shared" si="43"/>
        <v>1</v>
      </c>
      <c r="BY60" s="747">
        <f>BX60*250*NewConst!$F$250</f>
        <v>2500</v>
      </c>
      <c r="BZ60" s="748">
        <f>BX60*200*NewConst!$F$250</f>
        <v>2000</v>
      </c>
      <c r="CA60" s="756">
        <f t="shared" si="44"/>
        <v>0</v>
      </c>
      <c r="CB60" s="747">
        <f t="shared" si="45"/>
        <v>0</v>
      </c>
      <c r="CC60" s="748">
        <f t="shared" si="46"/>
        <v>0</v>
      </c>
      <c r="CD60" s="756">
        <f t="shared" si="47"/>
        <v>1</v>
      </c>
      <c r="CE60" s="747">
        <f>CD60*710*NewConst!$F$419</f>
        <v>2130</v>
      </c>
      <c r="CF60" s="748">
        <f>CD60*1090*NewConst!$F$419</f>
        <v>3270</v>
      </c>
      <c r="CG60" s="756">
        <v>0.5</v>
      </c>
      <c r="CH60" s="747">
        <f>$CG60*CH$7*NewConst!$E$413</f>
        <v>40.425000000000004</v>
      </c>
      <c r="CI60" s="748">
        <f>$CG60*CI$7*NewConst!$E$413</f>
        <v>25.575000000000003</v>
      </c>
    </row>
    <row r="61" spans="2:87">
      <c r="B61" s="13"/>
      <c r="C61" s="32">
        <v>19</v>
      </c>
      <c r="D61" s="58">
        <f>'Hourly Profiles'!D27</f>
        <v>5.4281208363947835E-2</v>
      </c>
      <c r="E61" s="59">
        <f t="shared" si="48"/>
        <v>0.105</v>
      </c>
      <c r="F61" s="59">
        <f>'Hourly Profiles'!F27</f>
        <v>4.8598131000000003E-2</v>
      </c>
      <c r="G61" s="59">
        <f>'Hourly Profiles'!G27</f>
        <v>8.7030716999999994E-2</v>
      </c>
      <c r="H61" s="59">
        <f>(F61*'Monthly Profiles'!V$40+G61*'Monthly Profiles'!T$40+I61*'Monthly Profiles'!W$40+J61*'Monthly Profiles'!X$40+K61*'Monthly Profiles'!Y$40)/'Monthly Profiles'!AA$40</f>
        <v>5.9229244887856788E-2</v>
      </c>
      <c r="I61" s="591">
        <f>'Hourly Profiles'!I27</f>
        <v>7.7220077220077218E-2</v>
      </c>
      <c r="J61" s="591">
        <f>'Hourly Profiles'!J27</f>
        <v>4.2274052478134115E-2</v>
      </c>
      <c r="K61" s="591">
        <f>'Hourly Profiles'!K27</f>
        <v>7.4787535410764869E-2</v>
      </c>
      <c r="L61" s="59">
        <f>'Hourly Profiles'!L27</f>
        <v>4.9701789000000003E-2</v>
      </c>
      <c r="M61" s="59">
        <f>'Hourly Profiles'!M27</f>
        <v>5.1485149000000001E-2</v>
      </c>
      <c r="N61" s="59">
        <f>'Hourly Profiles'!N27</f>
        <v>0.11669024</v>
      </c>
      <c r="O61" s="59">
        <f>'Hourly Profiles'!O27</f>
        <v>5.8000000000000003E-2</v>
      </c>
      <c r="P61" s="1560">
        <f t="shared" si="49"/>
        <v>5.1582748244734203E-2</v>
      </c>
      <c r="Q61" s="1560">
        <f t="shared" si="55"/>
        <v>4.5954091816367268E-2</v>
      </c>
      <c r="R61" s="1560">
        <f t="shared" si="55"/>
        <v>4.2855355355355354E-2</v>
      </c>
      <c r="S61" s="1560">
        <f t="shared" si="55"/>
        <v>0.115</v>
      </c>
      <c r="T61" s="1560">
        <f t="shared" si="55"/>
        <v>8.9307004062736867E-2</v>
      </c>
      <c r="U61" s="1560">
        <f t="shared" si="55"/>
        <v>3.6006065946185703E-2</v>
      </c>
      <c r="V61" s="1560">
        <f t="shared" si="55"/>
        <v>4.7446107784431132E-2</v>
      </c>
      <c r="W61" s="1560">
        <f t="shared" si="55"/>
        <v>6.9895314057826508E-2</v>
      </c>
      <c r="X61" s="1560">
        <f t="shared" si="55"/>
        <v>2.4443846831906538E-2</v>
      </c>
      <c r="Y61" s="1560">
        <f t="shared" si="55"/>
        <v>6.8045056374760382E-2</v>
      </c>
      <c r="Z61" s="1560">
        <f t="shared" si="55"/>
        <v>6.8045056374760382E-2</v>
      </c>
      <c r="AA61" s="1560">
        <f t="shared" si="55"/>
        <v>1.3476143141153085E-2</v>
      </c>
      <c r="AB61" s="1560">
        <f t="shared" si="55"/>
        <v>1.347614314115308E-2</v>
      </c>
      <c r="AC61" s="1560">
        <f t="shared" si="55"/>
        <v>6.6000000000000003E-2</v>
      </c>
      <c r="AD61" s="1560">
        <f t="shared" si="55"/>
        <v>5.6872037914691947E-2</v>
      </c>
      <c r="AE61" s="59">
        <f>((L61*NewConst!F$238+O61*NewConst!$F$155/365+N61*NewConst!F$328+G61*NewConst!F$298+M61*NewConst!F$279+F61*NewConst!F$264)*3412+(M61*NewConst!F$280+N61*NewConst!F$332)*100000)/((NewConst!F$238+NewConst!$F$155/365+NewConst!F$328+NewConst!F$298+NewConst!F$279+NewConst!F$264)*3412+(NewConst!F$280+NewConst!F$332)*100000)</f>
        <v>7.17794980450943E-2</v>
      </c>
      <c r="AF61" s="591">
        <f t="shared" si="53"/>
        <v>6.0270400795659818E-2</v>
      </c>
      <c r="AG61" s="591">
        <f t="shared" si="54"/>
        <v>7.8701110515087352E-2</v>
      </c>
      <c r="AH61" s="61">
        <f t="shared" si="39"/>
        <v>0.89693150684931511</v>
      </c>
      <c r="AI61" s="60">
        <f>$AH61*NewConst!$E$400*N_occ</f>
        <v>520.93781917808224</v>
      </c>
      <c r="AJ61" s="60">
        <f>$AH61*NewConst!$E$401*N_occ</f>
        <v>388.33546520547952</v>
      </c>
      <c r="AK61" s="58">
        <f>IF(NewConst!$F$203=NewConst!$I$203,'Detailed Lighting'!BD29,Lighting!BH39)</f>
        <v>0.1157944395695156</v>
      </c>
      <c r="AL61" s="59">
        <f>IF(NewConst!$F$203=NewConst!$I$203,'Detailed Lighting'!BE29,Lighting!BI39)</f>
        <v>0.10341524109618247</v>
      </c>
      <c r="AM61" s="59">
        <f>IF(NewConst!$F$203=NewConst!$I$203,'Detailed Lighting'!BF29,Lighting!BJ39)</f>
        <v>8.8695204464781102E-2</v>
      </c>
      <c r="AN61" s="59">
        <f>IF(NewConst!$F$203=NewConst!$I$203,'Detailed Lighting'!BG29,Lighting!BK39)</f>
        <v>4.2221698596689221E-2</v>
      </c>
      <c r="AO61" s="59">
        <f>IF(NewConst!$F$203=NewConst!$I$203,'Detailed Lighting'!BH29,Lighting!BL39)</f>
        <v>3.5164694113811089E-2</v>
      </c>
      <c r="AP61" s="59">
        <f>IF(NewConst!$F$203=NewConst!$I$203,'Detailed Lighting'!BI29,Lighting!BM39)</f>
        <v>3.2328026949494729E-2</v>
      </c>
      <c r="AQ61" s="59">
        <f>IF(NewConst!$F$203=NewConst!$I$203,'Detailed Lighting'!BJ29,Lighting!BN39)</f>
        <v>3.244596096533979E-2</v>
      </c>
      <c r="AR61" s="59">
        <f>IF(NewConst!$F$203=NewConst!$I$203,'Detailed Lighting'!BK29,Lighting!BO39)</f>
        <v>3.7201010723610456E-2</v>
      </c>
      <c r="AS61" s="59">
        <f>IF(NewConst!$F$203=NewConst!$I$203,'Detailed Lighting'!BL29,Lighting!BP39)</f>
        <v>5.2244032531885823E-2</v>
      </c>
      <c r="AT61" s="59">
        <f>IF(NewConst!$F$203=NewConst!$I$203,'Detailed Lighting'!BM29,Lighting!BQ39)</f>
        <v>7.5028670101379286E-2</v>
      </c>
      <c r="AU61" s="59">
        <f>IF(NewConst!$F$203=NewConst!$I$203,'Detailed Lighting'!BN29,Lighting!BR39)</f>
        <v>0.11922643714261331</v>
      </c>
      <c r="AV61" s="59">
        <f>IF(NewConst!$F$203=NewConst!$I$203,'Detailed Lighting'!BO29,Lighting!BS39)</f>
        <v>0.11973068272674137</v>
      </c>
      <c r="AW61" s="729">
        <f>IF(NewConst!$F$203=NewConst!$I$203,'Detailed Lighting'!BP29,Lighting!BG39)</f>
        <v>7.9971913622316398E-2</v>
      </c>
      <c r="AX61" s="13"/>
      <c r="AY61" s="13"/>
      <c r="AZ61" s="13"/>
      <c r="BA61" s="38">
        <v>19</v>
      </c>
      <c r="BB61" s="745">
        <f t="shared" si="50"/>
        <v>7.4966809659242462E-2</v>
      </c>
      <c r="BC61" s="745">
        <v>4.1666666666666664E-2</v>
      </c>
      <c r="BD61" s="745">
        <f t="shared" si="40"/>
        <v>7.4966809659242462E-2</v>
      </c>
      <c r="BE61" s="745">
        <f t="shared" si="40"/>
        <v>7.884587017225711E-2</v>
      </c>
      <c r="BF61" s="745">
        <v>0</v>
      </c>
      <c r="BG61" s="745">
        <v>1.6822429906542057E-2</v>
      </c>
      <c r="BH61" s="745">
        <v>2.3190442726633873E-2</v>
      </c>
      <c r="BI61" s="745">
        <v>4.1666666666666664E-2</v>
      </c>
      <c r="BJ61" s="746">
        <v>6.8965517241379309E-2</v>
      </c>
      <c r="BK61" s="745">
        <v>5.8823529411764705E-2</v>
      </c>
      <c r="BL61" s="745">
        <v>4.7619047619047616E-2</v>
      </c>
      <c r="BM61" s="745">
        <v>0</v>
      </c>
      <c r="BN61" s="745">
        <f t="shared" si="41"/>
        <v>0</v>
      </c>
      <c r="BO61" s="745">
        <v>5.1485149000000001E-2</v>
      </c>
      <c r="BP61" s="745">
        <f t="shared" si="42"/>
        <v>1.6822429906542057E-2</v>
      </c>
      <c r="BQ61" s="745">
        <f t="shared" si="36"/>
        <v>0</v>
      </c>
      <c r="BR61" s="745">
        <f t="shared" si="37"/>
        <v>4.1666666666666664E-2</v>
      </c>
      <c r="BS61" s="2189"/>
      <c r="BT61" s="745">
        <f>IF(AVERAGE('Sunrise Calc'!$F$2:$F$13)&lt;'Hourly Profiles'!BA61, 1/12, "0.000 ")</f>
        <v>8.3333333333333329E-2</v>
      </c>
      <c r="BU61" s="745">
        <v>6.3300970873786402E-2</v>
      </c>
      <c r="BV61" s="745" t="e">
        <f t="shared" si="51"/>
        <v>#VALUE!</v>
      </c>
      <c r="BW61" s="745" t="e">
        <f t="shared" si="52"/>
        <v>#VALUE!</v>
      </c>
      <c r="BX61" s="758">
        <f t="shared" si="43"/>
        <v>0.96981095048080068</v>
      </c>
      <c r="BY61" s="747">
        <f>BX61*250*NewConst!$F$250</f>
        <v>2424.5273762020015</v>
      </c>
      <c r="BZ61" s="748">
        <f>BX61*200*NewConst!$F$250</f>
        <v>1939.6219009616013</v>
      </c>
      <c r="CA61" s="756">
        <f t="shared" si="44"/>
        <v>0</v>
      </c>
      <c r="CB61" s="747">
        <f t="shared" si="45"/>
        <v>0</v>
      </c>
      <c r="CC61" s="748">
        <f t="shared" si="46"/>
        <v>0</v>
      </c>
      <c r="CD61" s="756">
        <f t="shared" si="47"/>
        <v>1</v>
      </c>
      <c r="CE61" s="747">
        <f>CD61*710*NewConst!$F$419</f>
        <v>2130</v>
      </c>
      <c r="CF61" s="748">
        <f>CD61*1090*NewConst!$F$419</f>
        <v>3270</v>
      </c>
      <c r="CG61" s="756">
        <v>0</v>
      </c>
      <c r="CH61" s="747">
        <f>$CG61*CH$7*NewConst!$E$413</f>
        <v>0</v>
      </c>
      <c r="CI61" s="748">
        <f>$CG61*CI$7*NewConst!$E$413</f>
        <v>0</v>
      </c>
    </row>
    <row r="62" spans="2:87">
      <c r="B62" s="13"/>
      <c r="C62" s="32">
        <v>20</v>
      </c>
      <c r="D62" s="58">
        <f>'Hourly Profiles'!D28</f>
        <v>5.4281208363947835E-2</v>
      </c>
      <c r="E62" s="59">
        <f t="shared" si="48"/>
        <v>0.126</v>
      </c>
      <c r="F62" s="59">
        <f>'Hourly Profiles'!F28</f>
        <v>4.8598131000000003E-2</v>
      </c>
      <c r="G62" s="59">
        <f>'Hourly Profiles'!G28</f>
        <v>0.11092150200000001</v>
      </c>
      <c r="H62" s="59">
        <f>(F62*'Monthly Profiles'!V$40+G62*'Monthly Profiles'!T$40+I62*'Monthly Profiles'!W$40+J62*'Monthly Profiles'!X$40+K62*'Monthly Profiles'!Y$40)/'Monthly Profiles'!AA$40</f>
        <v>6.050676179269876E-2</v>
      </c>
      <c r="I62" s="591">
        <f>'Hourly Profiles'!I28</f>
        <v>0.10038610038610038</v>
      </c>
      <c r="J62" s="591">
        <f>'Hourly Profiles'!J28</f>
        <v>4.2274052478134115E-2</v>
      </c>
      <c r="K62" s="591">
        <f>'Hourly Profiles'!K28</f>
        <v>6.9121813031161466E-2</v>
      </c>
      <c r="L62" s="59">
        <f>'Hourly Profiles'!L28</f>
        <v>4.8281737999999998E-2</v>
      </c>
      <c r="M62" s="59">
        <f>'Hourly Profiles'!M28</f>
        <v>5.0693069E-2</v>
      </c>
      <c r="N62" s="59">
        <f>'Hourly Profiles'!N28</f>
        <v>6.0113154000000002E-2</v>
      </c>
      <c r="O62" s="59">
        <f>'Hourly Profiles'!O28</f>
        <v>0.06</v>
      </c>
      <c r="P62" s="1560">
        <f t="shared" si="49"/>
        <v>5.3079739217652959E-2</v>
      </c>
      <c r="Q62" s="1560">
        <f t="shared" si="55"/>
        <v>4.5454091816367267E-2</v>
      </c>
      <c r="R62" s="1560">
        <f t="shared" si="55"/>
        <v>4.2354854854854851E-2</v>
      </c>
      <c r="S62" s="1560">
        <f t="shared" si="55"/>
        <v>6.9500000000000006E-2</v>
      </c>
      <c r="T62" s="1560">
        <f t="shared" si="55"/>
        <v>0.10727806590219352</v>
      </c>
      <c r="U62" s="1560">
        <f t="shared" si="55"/>
        <v>3.6506566446686199E-2</v>
      </c>
      <c r="V62" s="1560">
        <f t="shared" si="55"/>
        <v>3.5447105788423153E-2</v>
      </c>
      <c r="W62" s="1560">
        <f t="shared" si="55"/>
        <v>8.5365403788634109E-2</v>
      </c>
      <c r="X62" s="1560">
        <f t="shared" si="55"/>
        <v>3.4438916528468776E-2</v>
      </c>
      <c r="Y62" s="1560">
        <f t="shared" si="55"/>
        <v>6.1099144951541992E-2</v>
      </c>
      <c r="Z62" s="1560">
        <f t="shared" si="55"/>
        <v>6.1099144951541985E-2</v>
      </c>
      <c r="AA62" s="1560">
        <f t="shared" si="55"/>
        <v>7.9850894632206779E-3</v>
      </c>
      <c r="AB62" s="1560">
        <f t="shared" si="55"/>
        <v>7.9850894632206761E-3</v>
      </c>
      <c r="AC62" s="1560">
        <f t="shared" si="55"/>
        <v>7.5499999999999998E-2</v>
      </c>
      <c r="AD62" s="1560">
        <f t="shared" si="55"/>
        <v>5.6872037914691947E-2</v>
      </c>
      <c r="AE62" s="59">
        <f>((L62*NewConst!F$238+O62*NewConst!$F$155/365+N62*NewConst!F$328+G62*NewConst!F$298+M62*NewConst!F$279+F62*NewConst!F$264)*3412+(M62*NewConst!F$280+N62*NewConst!F$332)*100000)/((NewConst!F$238+NewConst!$F$155/365+NewConst!F$328+NewConst!F$298+NewConst!F$279+NewConst!F$264)*3412+(NewConst!F$280+NewConst!F$332)*100000)</f>
        <v>5.4794629312715219E-2</v>
      </c>
      <c r="AF62" s="591">
        <f t="shared" si="53"/>
        <v>5.8278712466900487E-2</v>
      </c>
      <c r="AG62" s="591">
        <f t="shared" si="54"/>
        <v>5.6184045587482405E-2</v>
      </c>
      <c r="AH62" s="61">
        <f t="shared" si="39"/>
        <v>0.89693150684931511</v>
      </c>
      <c r="AI62" s="60">
        <f>$AH62*NewConst!$E$400*N_occ</f>
        <v>520.93781917808224</v>
      </c>
      <c r="AJ62" s="60">
        <f>$AH62*NewConst!$E$401*N_occ</f>
        <v>388.33546520547952</v>
      </c>
      <c r="AK62" s="58">
        <f>IF(NewConst!$F$203=NewConst!$I$203,'Detailed Lighting'!BD30,Lighting!BH40)</f>
        <v>0.12251923909611673</v>
      </c>
      <c r="AL62" s="59">
        <f>IF(NewConst!$F$203=NewConst!$I$203,'Detailed Lighting'!BE30,Lighting!BI40)</f>
        <v>0.1322295716408029</v>
      </c>
      <c r="AM62" s="59">
        <f>IF(NewConst!$F$203=NewConst!$I$203,'Detailed Lighting'!BF30,Lighting!BJ40)</f>
        <v>0.13296665934794538</v>
      </c>
      <c r="AN62" s="59">
        <f>IF(NewConst!$F$203=NewConst!$I$203,'Detailed Lighting'!BG30,Lighting!BK40)</f>
        <v>8.251340000084223E-2</v>
      </c>
      <c r="AO62" s="59">
        <f>IF(NewConst!$F$203=NewConst!$I$203,'Detailed Lighting'!BH30,Lighting!BL40)</f>
        <v>6.9595425707041428E-2</v>
      </c>
      <c r="AP62" s="59">
        <f>IF(NewConst!$F$203=NewConst!$I$203,'Detailed Lighting'!BI30,Lighting!BM40)</f>
        <v>6.1701206356899317E-2</v>
      </c>
      <c r="AQ62" s="59">
        <f>IF(NewConst!$F$203=NewConst!$I$203,'Detailed Lighting'!BJ30,Lighting!BN40)</f>
        <v>6.1447616824084186E-2</v>
      </c>
      <c r="AR62" s="59">
        <f>IF(NewConst!$F$203=NewConst!$I$203,'Detailed Lighting'!BK30,Lighting!BO40)</f>
        <v>7.1668980273370417E-2</v>
      </c>
      <c r="AS62" s="59">
        <f>IF(NewConst!$F$203=NewConst!$I$203,'Detailed Lighting'!BL30,Lighting!BP40)</f>
        <v>9.5266175226541183E-2</v>
      </c>
      <c r="AT62" s="59">
        <f>IF(NewConst!$F$203=NewConst!$I$203,'Detailed Lighting'!BM30,Lighting!BQ40)</f>
        <v>0.11788418075629312</v>
      </c>
      <c r="AU62" s="59">
        <f>IF(NewConst!$F$203=NewConst!$I$203,'Detailed Lighting'!BN30,Lighting!BR40)</f>
        <v>0.11876590936508105</v>
      </c>
      <c r="AV62" s="59">
        <f>IF(NewConst!$F$203=NewConst!$I$203,'Detailed Lighting'!BO30,Lighting!BS40)</f>
        <v>0.11208719227278781</v>
      </c>
      <c r="AW62" s="729">
        <f>IF(NewConst!$F$203=NewConst!$I$203,'Detailed Lighting'!BP30,Lighting!BG40)</f>
        <v>0.10393975481875536</v>
      </c>
      <c r="AX62" s="13"/>
      <c r="AY62" s="13"/>
      <c r="AZ62" s="13"/>
      <c r="BA62" s="38">
        <v>20</v>
      </c>
      <c r="BB62" s="745">
        <f t="shared" si="50"/>
        <v>7.0876010089964719E-2</v>
      </c>
      <c r="BC62" s="745">
        <v>4.1666666666666664E-2</v>
      </c>
      <c r="BD62" s="745">
        <f t="shared" si="40"/>
        <v>7.0876010089964719E-2</v>
      </c>
      <c r="BE62" s="745">
        <f t="shared" si="40"/>
        <v>7.6465588293242473E-2</v>
      </c>
      <c r="BF62" s="745">
        <v>0</v>
      </c>
      <c r="BG62" s="745">
        <v>1.6822429906542057E-2</v>
      </c>
      <c r="BH62" s="745">
        <v>2.3190442726633873E-2</v>
      </c>
      <c r="BI62" s="745">
        <v>4.1666666666666664E-2</v>
      </c>
      <c r="BJ62" s="746">
        <v>6.8965517241379309E-2</v>
      </c>
      <c r="BK62" s="745">
        <v>5.8823529411764705E-2</v>
      </c>
      <c r="BL62" s="745">
        <v>9.5238095238095233E-2</v>
      </c>
      <c r="BM62" s="745">
        <v>0</v>
      </c>
      <c r="BN62" s="745">
        <f t="shared" si="41"/>
        <v>0</v>
      </c>
      <c r="BO62" s="745">
        <v>5.0693069E-2</v>
      </c>
      <c r="BP62" s="745">
        <f t="shared" si="42"/>
        <v>1.6822429906542057E-2</v>
      </c>
      <c r="BQ62" s="745">
        <f t="shared" si="36"/>
        <v>0</v>
      </c>
      <c r="BR62" s="745">
        <f t="shared" si="37"/>
        <v>4.1666666666666664E-2</v>
      </c>
      <c r="BS62" s="2189"/>
      <c r="BT62" s="745">
        <f>IF(AVERAGE('Sunrise Calc'!$F$2:$F$13)&lt;'Hourly Profiles'!BA62, 1/12, "0.000 ")</f>
        <v>8.3333333333333329E-2</v>
      </c>
      <c r="BU62" s="745">
        <v>5.8640776699029125E-2</v>
      </c>
      <c r="BV62" s="745" t="e">
        <f t="shared" si="51"/>
        <v>#VALUE!</v>
      </c>
      <c r="BW62" s="745" t="e">
        <f t="shared" si="52"/>
        <v>#VALUE!</v>
      </c>
      <c r="BX62" s="758">
        <f t="shared" si="43"/>
        <v>0.91689016811670054</v>
      </c>
      <c r="BY62" s="747">
        <f>BX62*250*NewConst!$F$250</f>
        <v>2292.2254202917516</v>
      </c>
      <c r="BZ62" s="748">
        <f>BX62*200*NewConst!$F$250</f>
        <v>1833.7803362334012</v>
      </c>
      <c r="CA62" s="756">
        <f t="shared" si="44"/>
        <v>0</v>
      </c>
      <c r="CB62" s="747">
        <f t="shared" si="45"/>
        <v>0</v>
      </c>
      <c r="CC62" s="748">
        <f t="shared" si="46"/>
        <v>0</v>
      </c>
      <c r="CD62" s="756">
        <f t="shared" si="47"/>
        <v>1</v>
      </c>
      <c r="CE62" s="747">
        <f>CD62*710*NewConst!$F$419</f>
        <v>2130</v>
      </c>
      <c r="CF62" s="748">
        <f>CD62*1090*NewConst!$F$419</f>
        <v>3270</v>
      </c>
      <c r="CG62" s="756">
        <v>0</v>
      </c>
      <c r="CH62" s="747">
        <f>$CG62*CH$7*NewConst!$E$413</f>
        <v>0</v>
      </c>
      <c r="CI62" s="748">
        <f>$CG62*CI$7*NewConst!$E$413</f>
        <v>0</v>
      </c>
    </row>
    <row r="63" spans="2:87">
      <c r="B63" s="13"/>
      <c r="C63" s="32">
        <v>21</v>
      </c>
      <c r="D63" s="58">
        <f>'Hourly Profiles'!D29</f>
        <v>5.4281208363947835E-2</v>
      </c>
      <c r="E63" s="59">
        <f t="shared" si="48"/>
        <v>0.128</v>
      </c>
      <c r="F63" s="59">
        <f>'Hourly Profiles'!F29</f>
        <v>4.8598131000000003E-2</v>
      </c>
      <c r="G63" s="59">
        <f>'Hourly Profiles'!G29</f>
        <v>9.0443685999999995E-2</v>
      </c>
      <c r="H63" s="59">
        <f>(F63*'Monthly Profiles'!V$40+G63*'Monthly Profiles'!T$40+I63*'Monthly Profiles'!W$40+J63*'Monthly Profiles'!X$40+K63*'Monthly Profiles'!Y$40)/'Monthly Profiles'!AA$40</f>
        <v>5.532322349267265E-2</v>
      </c>
      <c r="I63" s="591">
        <f>'Hourly Profiles'!I29</f>
        <v>0.10038610038610038</v>
      </c>
      <c r="J63" s="591">
        <f>'Hourly Profiles'!J29</f>
        <v>4.1788143828960157E-2</v>
      </c>
      <c r="K63" s="591">
        <f>'Hourly Profiles'!K29</f>
        <v>5.6657223796033988E-2</v>
      </c>
      <c r="L63" s="59">
        <f>'Hourly Profiles'!L29</f>
        <v>4.6861686999999999E-2</v>
      </c>
      <c r="M63" s="59">
        <f>'Hourly Profiles'!M29</f>
        <v>5.2277228000000002E-2</v>
      </c>
      <c r="N63" s="59">
        <f>'Hourly Profiles'!N29</f>
        <v>3.5360678999999999E-2</v>
      </c>
      <c r="O63" s="59">
        <f>'Hourly Profiles'!O29</f>
        <v>6.2E-2</v>
      </c>
      <c r="P63" s="1560">
        <f t="shared" si="49"/>
        <v>4.9070712136409234E-2</v>
      </c>
      <c r="Q63" s="1560">
        <f t="shared" si="55"/>
        <v>4.4955089820359284E-2</v>
      </c>
      <c r="R63" s="1560">
        <f t="shared" si="55"/>
        <v>4.1854354354354362E-2</v>
      </c>
      <c r="S63" s="1560">
        <f t="shared" si="55"/>
        <v>4.3999999999999997E-2</v>
      </c>
      <c r="T63" s="1560">
        <f t="shared" si="55"/>
        <v>7.2840419799542422E-2</v>
      </c>
      <c r="U63" s="1560">
        <f t="shared" si="55"/>
        <v>3.1001060941180693E-2</v>
      </c>
      <c r="V63" s="1560">
        <f t="shared" si="55"/>
        <v>3.89500998003992E-2</v>
      </c>
      <c r="W63" s="1560">
        <f t="shared" si="55"/>
        <v>9.683998005982053E-2</v>
      </c>
      <c r="X63" s="1560">
        <f t="shared" si="55"/>
        <v>4.0429982221027005E-2</v>
      </c>
      <c r="Y63" s="1560">
        <f t="shared" si="55"/>
        <v>5.1163229165227114E-2</v>
      </c>
      <c r="Z63" s="1560">
        <f t="shared" si="55"/>
        <v>5.1163229165227107E-2</v>
      </c>
      <c r="AA63" s="1560">
        <f t="shared" si="55"/>
        <v>3.991053677932406E-3</v>
      </c>
      <c r="AB63" s="1560">
        <f t="shared" si="55"/>
        <v>3.9910536779324043E-3</v>
      </c>
      <c r="AC63" s="1560">
        <f t="shared" si="55"/>
        <v>8.0999999999999989E-2</v>
      </c>
      <c r="AD63" s="1560">
        <f t="shared" si="55"/>
        <v>5.6872037914691947E-2</v>
      </c>
      <c r="AE63" s="59">
        <f>((L63*NewConst!F$238+O63*NewConst!$F$155/365+N63*NewConst!F$328+G63*NewConst!F$298+M63*NewConst!F$279+F63*NewConst!F$264)*3412+(M63*NewConst!F$280+N63*NewConst!F$332)*100000)/((NewConst!F$238+NewConst!$F$155/365+NewConst!F$328+NewConst!F$298+NewConst!F$279+NewConst!F$264)*3412+(NewConst!F$280+NewConst!F$332)*100000)</f>
        <v>4.6971215791934383E-2</v>
      </c>
      <c r="AF63" s="591">
        <f t="shared" si="53"/>
        <v>5.6829919484183949E-2</v>
      </c>
      <c r="AG63" s="591">
        <f t="shared" si="54"/>
        <v>4.4775003613716308E-2</v>
      </c>
      <c r="AH63" s="61">
        <f t="shared" si="39"/>
        <v>0.89693150684931511</v>
      </c>
      <c r="AI63" s="60">
        <f>$AH63*NewConst!$E$400*N_occ</f>
        <v>520.93781917808224</v>
      </c>
      <c r="AJ63" s="60">
        <f>$AH63*NewConst!$E$401*N_occ</f>
        <v>388.33546520547952</v>
      </c>
      <c r="AK63" s="58">
        <f>IF(NewConst!$F$203=NewConst!$I$203,'Detailed Lighting'!BD31,Lighting!BH41)</f>
        <v>0.10571329609521296</v>
      </c>
      <c r="AL63" s="59">
        <f>IF(NewConst!$F$203=NewConst!$I$203,'Detailed Lighting'!BE31,Lighting!BI41)</f>
        <v>0.12274465897573474</v>
      </c>
      <c r="AM63" s="59">
        <f>IF(NewConst!$F$203=NewConst!$I$203,'Detailed Lighting'!BF31,Lighting!BJ41)</f>
        <v>0.14281605108627382</v>
      </c>
      <c r="AN63" s="59">
        <f>IF(NewConst!$F$203=NewConst!$I$203,'Detailed Lighting'!BG31,Lighting!BK41)</f>
        <v>0.13594269490706479</v>
      </c>
      <c r="AO63" s="59">
        <f>IF(NewConst!$F$203=NewConst!$I$203,'Detailed Lighting'!BH31,Lighting!BL41)</f>
        <v>0.12343961026325907</v>
      </c>
      <c r="AP63" s="59">
        <f>IF(NewConst!$F$203=NewConst!$I$203,'Detailed Lighting'!BI31,Lighting!BM41)</f>
        <v>0.11092550583600207</v>
      </c>
      <c r="AQ63" s="59">
        <f>IF(NewConst!$F$203=NewConst!$I$203,'Detailed Lighting'!BJ31,Lighting!BN41)</f>
        <v>0.10989434569554628</v>
      </c>
      <c r="AR63" s="59">
        <f>IF(NewConst!$F$203=NewConst!$I$203,'Detailed Lighting'!BK31,Lighting!BO41)</f>
        <v>0.12299731154114305</v>
      </c>
      <c r="AS63" s="59">
        <f>IF(NewConst!$F$203=NewConst!$I$203,'Detailed Lighting'!BL31,Lighting!BP41)</f>
        <v>0.14210195291561115</v>
      </c>
      <c r="AT63" s="59">
        <f>IF(NewConst!$F$203=NewConst!$I$203,'Detailed Lighting'!BM31,Lighting!BQ41)</f>
        <v>0.12974232876140787</v>
      </c>
      <c r="AU63" s="59">
        <f>IF(NewConst!$F$203=NewConst!$I$203,'Detailed Lighting'!BN31,Lighting!BR41)</f>
        <v>0.10991388039840605</v>
      </c>
      <c r="AV63" s="59">
        <f>IF(NewConst!$F$203=NewConst!$I$203,'Detailed Lighting'!BO31,Lighting!BS41)</f>
        <v>0.10177039346090398</v>
      </c>
      <c r="AW63" s="729">
        <f>IF(NewConst!$F$203=NewConst!$I$203,'Detailed Lighting'!BP31,Lighting!BG41)</f>
        <v>0.12026121861334653</v>
      </c>
      <c r="AX63" s="13"/>
      <c r="AY63" s="13"/>
      <c r="AZ63" s="13"/>
      <c r="BA63" s="38">
        <v>21</v>
      </c>
      <c r="BB63" s="745">
        <f t="shared" si="50"/>
        <v>5.212356237344247E-2</v>
      </c>
      <c r="BC63" s="745">
        <v>4.1666666666666664E-2</v>
      </c>
      <c r="BD63" s="745">
        <f t="shared" si="40"/>
        <v>5.212356237344247E-2</v>
      </c>
      <c r="BE63" s="745">
        <f t="shared" si="40"/>
        <v>7.2293003157548344E-2</v>
      </c>
      <c r="BF63" s="745">
        <v>0</v>
      </c>
      <c r="BG63" s="745">
        <v>1.6822429906542057E-2</v>
      </c>
      <c r="BH63" s="745">
        <v>2.3190442726633873E-2</v>
      </c>
      <c r="BI63" s="745">
        <v>4.1666666666666664E-2</v>
      </c>
      <c r="BJ63" s="746">
        <v>6.8965517241379309E-2</v>
      </c>
      <c r="BK63" s="745">
        <v>5.8823529411764705E-2</v>
      </c>
      <c r="BL63" s="745">
        <v>9.5238095238095233E-2</v>
      </c>
      <c r="BM63" s="745">
        <v>0</v>
      </c>
      <c r="BN63" s="745">
        <f t="shared" si="41"/>
        <v>0</v>
      </c>
      <c r="BO63" s="745">
        <v>5.2277228000000002E-2</v>
      </c>
      <c r="BP63" s="745">
        <f t="shared" si="42"/>
        <v>1.6822429906542057E-2</v>
      </c>
      <c r="BQ63" s="745">
        <f t="shared" si="36"/>
        <v>0</v>
      </c>
      <c r="BR63" s="745">
        <f t="shared" si="37"/>
        <v>4.1666666666666664E-2</v>
      </c>
      <c r="BS63" s="2189"/>
      <c r="BT63" s="745">
        <f>IF(AVERAGE('Sunrise Calc'!$F$2:$F$13)&lt;'Hourly Profiles'!BA63, 1/12, "0.000 ")</f>
        <v>8.3333333333333329E-2</v>
      </c>
      <c r="BU63" s="745">
        <v>5.6310679611650483E-2</v>
      </c>
      <c r="BV63" s="745" t="e">
        <f t="shared" si="51"/>
        <v>#VALUE!</v>
      </c>
      <c r="BW63" s="745" t="e">
        <f t="shared" si="52"/>
        <v>#VALUE!</v>
      </c>
      <c r="BX63" s="758">
        <f t="shared" si="43"/>
        <v>0.67429842349708913</v>
      </c>
      <c r="BY63" s="747">
        <f>BX63*250*NewConst!$F$250</f>
        <v>1685.7460587427229</v>
      </c>
      <c r="BZ63" s="748">
        <f>BX63*200*NewConst!$F$250</f>
        <v>1348.5968469941781</v>
      </c>
      <c r="CA63" s="756">
        <f t="shared" si="44"/>
        <v>0</v>
      </c>
      <c r="CB63" s="747">
        <f t="shared" si="45"/>
        <v>0</v>
      </c>
      <c r="CC63" s="748">
        <f t="shared" si="46"/>
        <v>0</v>
      </c>
      <c r="CD63" s="756">
        <f t="shared" si="47"/>
        <v>1</v>
      </c>
      <c r="CE63" s="747">
        <f>CD63*710*NewConst!$F$419</f>
        <v>2130</v>
      </c>
      <c r="CF63" s="748">
        <f>CD63*1090*NewConst!$F$419</f>
        <v>3270</v>
      </c>
      <c r="CG63" s="756">
        <v>0</v>
      </c>
      <c r="CH63" s="747">
        <f>$CG63*CH$7*NewConst!$E$413</f>
        <v>0</v>
      </c>
      <c r="CI63" s="748">
        <f>$CG63*CI$7*NewConst!$E$413</f>
        <v>0</v>
      </c>
    </row>
    <row r="64" spans="2:87">
      <c r="B64" s="13"/>
      <c r="C64" s="32">
        <v>22</v>
      </c>
      <c r="D64" s="58">
        <f>'Hourly Profiles'!D30</f>
        <v>6.0518788725154128E-2</v>
      </c>
      <c r="E64" s="59">
        <f t="shared" si="48"/>
        <v>8.7999999999999995E-2</v>
      </c>
      <c r="F64" s="59">
        <f>'Hourly Profiles'!F30</f>
        <v>4.6728972000000001E-2</v>
      </c>
      <c r="G64" s="59">
        <f>'Hourly Profiles'!G30</f>
        <v>6.6552900999999998E-2</v>
      </c>
      <c r="H64" s="59">
        <f>(F64*'Monthly Profiles'!V$40+G64*'Monthly Profiles'!T$40+I64*'Monthly Profiles'!W$40+J64*'Monthly Profiles'!X$40+K64*'Monthly Profiles'!Y$40)/'Monthly Profiles'!AA$40</f>
        <v>4.8674780801168466E-2</v>
      </c>
      <c r="I64" s="591">
        <f>'Hourly Profiles'!I30</f>
        <v>7.7220077220077218E-2</v>
      </c>
      <c r="J64" s="591">
        <f>'Hourly Profiles'!J30</f>
        <v>4.0816326530612249E-2</v>
      </c>
      <c r="K64" s="591">
        <f>'Hourly Profiles'!K30</f>
        <v>4.8158640226628885E-2</v>
      </c>
      <c r="L64" s="59">
        <f>'Hourly Profiles'!L30</f>
        <v>4.6009656000000003E-2</v>
      </c>
      <c r="M64" s="59">
        <f>'Hourly Profiles'!M30</f>
        <v>5.4257425999999997E-2</v>
      </c>
      <c r="N64" s="59">
        <f>'Hourly Profiles'!N30</f>
        <v>2.4752474999999999E-2</v>
      </c>
      <c r="O64" s="59">
        <f>'Hourly Profiles'!O30</f>
        <v>0.06</v>
      </c>
      <c r="P64" s="1560">
        <f t="shared" si="49"/>
        <v>4.5561685055165502E-2</v>
      </c>
      <c r="Q64" s="1560">
        <f t="shared" si="55"/>
        <v>4.4456087824351301E-2</v>
      </c>
      <c r="R64" s="1560">
        <f t="shared" si="55"/>
        <v>4.1353853853853852E-2</v>
      </c>
      <c r="S64" s="1560">
        <f t="shared" si="55"/>
        <v>1.9000000000000003E-2</v>
      </c>
      <c r="T64" s="1560">
        <f t="shared" si="55"/>
        <v>3.7904269210350963E-2</v>
      </c>
      <c r="U64" s="1560">
        <f t="shared" si="55"/>
        <v>2.5495555435675193E-2</v>
      </c>
      <c r="V64" s="1560">
        <f t="shared" si="55"/>
        <v>4.1953093812375254E-2</v>
      </c>
      <c r="W64" s="1560">
        <f t="shared" si="55"/>
        <v>0.1078160518444666</v>
      </c>
      <c r="X64" s="1560">
        <f t="shared" si="55"/>
        <v>3.3422975214020004E-2</v>
      </c>
      <c r="Y64" s="1560">
        <f t="shared" si="55"/>
        <v>4.272231556046048E-2</v>
      </c>
      <c r="Z64" s="1560">
        <f t="shared" si="55"/>
        <v>4.2722315560460473E-2</v>
      </c>
      <c r="AA64" s="1560">
        <f t="shared" si="55"/>
        <v>2.991053677932406E-3</v>
      </c>
      <c r="AB64" s="1560">
        <f t="shared" si="55"/>
        <v>2.9910536779324043E-3</v>
      </c>
      <c r="AC64" s="1560">
        <f t="shared" si="55"/>
        <v>8.5500000000000007E-2</v>
      </c>
      <c r="AD64" s="1560">
        <f t="shared" si="55"/>
        <v>5.6872037914691947E-2</v>
      </c>
      <c r="AE64" s="59">
        <f>((L64*NewConst!F$238+O64*NewConst!$F$155/365+N64*NewConst!F$328+G64*NewConst!F$298+M64*NewConst!F$279+F64*NewConst!F$264)*3412+(M64*NewConst!F$280+N64*NewConst!F$332)*100000)/((NewConst!F$238+NewConst!$F$155/365+NewConst!F$328+NewConst!F$298+NewConst!F$279+NewConst!F$264)*3412+(NewConst!F$280+NewConst!F$332)*100000)</f>
        <v>4.3559899339402429E-2</v>
      </c>
      <c r="AF64" s="591">
        <f t="shared" si="53"/>
        <v>5.3680215720531714E-2</v>
      </c>
      <c r="AG64" s="591">
        <f t="shared" si="54"/>
        <v>3.8523576524738437E-2</v>
      </c>
      <c r="AH64" s="42">
        <f t="shared" si="39"/>
        <v>1</v>
      </c>
      <c r="AI64" s="60">
        <f>$AH64*NewConst!$E$400*N_occ</f>
        <v>580.80000000000007</v>
      </c>
      <c r="AJ64" s="60">
        <f>$AH64*NewConst!$E$401*N_occ</f>
        <v>432.96000000000004</v>
      </c>
      <c r="AK64" s="58">
        <f>IF(NewConst!$F$203=NewConst!$I$203,'Detailed Lighting'!BD32,Lighting!BH42)</f>
        <v>8.8984646798258862E-2</v>
      </c>
      <c r="AL64" s="59">
        <f>IF(NewConst!$F$203=NewConst!$I$203,'Detailed Lighting'!BE32,Lighting!BI42)</f>
        <v>0.10155648168864986</v>
      </c>
      <c r="AM64" s="59">
        <f>IF(NewConst!$F$203=NewConst!$I$203,'Detailed Lighting'!BF32,Lighting!BJ42)</f>
        <v>0.12021605921347911</v>
      </c>
      <c r="AN64" s="59">
        <f>IF(NewConst!$F$203=NewConst!$I$203,'Detailed Lighting'!BG32,Lighting!BK42)</f>
        <v>0.14688136317862785</v>
      </c>
      <c r="AO64" s="59">
        <f>IF(NewConst!$F$203=NewConst!$I$203,'Detailed Lighting'!BH32,Lighting!BL42)</f>
        <v>0.16138072365325679</v>
      </c>
      <c r="AP64" s="59">
        <f>IF(NewConst!$F$203=NewConst!$I$203,'Detailed Lighting'!BI32,Lighting!BM42)</f>
        <v>0.16116338181338788</v>
      </c>
      <c r="AQ64" s="59">
        <f>IF(NewConst!$F$203=NewConst!$I$203,'Detailed Lighting'!BJ32,Lighting!BN42)</f>
        <v>0.15869021070326275</v>
      </c>
      <c r="AR64" s="59">
        <f>IF(NewConst!$F$203=NewConst!$I$203,'Detailed Lighting'!BK32,Lighting!BO42)</f>
        <v>0.15754313487998561</v>
      </c>
      <c r="AS64" s="59">
        <f>IF(NewConst!$F$203=NewConst!$I$203,'Detailed Lighting'!BL32,Lighting!BP42)</f>
        <v>0.13198049730510508</v>
      </c>
      <c r="AT64" s="59">
        <f>IF(NewConst!$F$203=NewConst!$I$203,'Detailed Lighting'!BM32,Lighting!BQ42)</f>
        <v>0.1092111941076848</v>
      </c>
      <c r="AU64" s="59">
        <f>IF(NewConst!$F$203=NewConst!$I$203,'Detailed Lighting'!BN32,Lighting!BR42)</f>
        <v>9.2520507701028251E-2</v>
      </c>
      <c r="AV64" s="59">
        <f>IF(NewConst!$F$203=NewConst!$I$203,'Detailed Lighting'!BO32,Lighting!BS42)</f>
        <v>8.5665690609834838E-2</v>
      </c>
      <c r="AW64" s="729">
        <f>IF(NewConst!$F$203=NewConst!$I$203,'Detailed Lighting'!BP32,Lighting!BG42)</f>
        <v>0.11886589949813355</v>
      </c>
      <c r="AX64" s="13"/>
      <c r="AY64" s="13"/>
      <c r="AZ64" s="13"/>
      <c r="BA64" s="38">
        <v>22</v>
      </c>
      <c r="BB64" s="745">
        <f t="shared" si="50"/>
        <v>4.5390682736244296E-2</v>
      </c>
      <c r="BC64" s="745">
        <v>4.1666666666666664E-2</v>
      </c>
      <c r="BD64" s="745">
        <f t="shared" si="40"/>
        <v>4.5390682736244296E-2</v>
      </c>
      <c r="BE64" s="745">
        <f t="shared" si="40"/>
        <v>5.316564595640913E-2</v>
      </c>
      <c r="BF64" s="745">
        <v>0</v>
      </c>
      <c r="BG64" s="745">
        <v>1.6822429906542057E-2</v>
      </c>
      <c r="BH64" s="745">
        <v>2.3190442726633873E-2</v>
      </c>
      <c r="BI64" s="745">
        <v>4.1666666666666664E-2</v>
      </c>
      <c r="BJ64" s="746">
        <v>6.8965517241379309E-2</v>
      </c>
      <c r="BK64" s="745">
        <v>5.8823529411764705E-2</v>
      </c>
      <c r="BL64" s="745">
        <v>4.7619047619047616E-2</v>
      </c>
      <c r="BM64" s="745">
        <v>0</v>
      </c>
      <c r="BN64" s="745">
        <f t="shared" si="41"/>
        <v>0</v>
      </c>
      <c r="BO64" s="745">
        <v>5.4257425999999997E-2</v>
      </c>
      <c r="BP64" s="745">
        <f t="shared" si="42"/>
        <v>1.6822429906542057E-2</v>
      </c>
      <c r="BQ64" s="745">
        <f t="shared" si="36"/>
        <v>0</v>
      </c>
      <c r="BR64" s="745">
        <f t="shared" si="37"/>
        <v>4.1666666666666664E-2</v>
      </c>
      <c r="BS64" s="2189"/>
      <c r="BT64" s="745">
        <f>IF(AVERAGE('Sunrise Calc'!$F$2:$F$13)&lt;'Hourly Profiles'!BA64, 1/12, "0.000 ")</f>
        <v>8.3333333333333329E-2</v>
      </c>
      <c r="BU64" s="745">
        <v>5.3592233009708737E-2</v>
      </c>
      <c r="BV64" s="745" t="e">
        <f t="shared" si="51"/>
        <v>#VALUE!</v>
      </c>
      <c r="BW64" s="745" t="e">
        <f t="shared" si="52"/>
        <v>#VALUE!</v>
      </c>
      <c r="BX64" s="758">
        <f t="shared" si="43"/>
        <v>0.58719827304245431</v>
      </c>
      <c r="BY64" s="747">
        <f>BX64*250*NewConst!$F$250</f>
        <v>1467.9956826061357</v>
      </c>
      <c r="BZ64" s="748">
        <f>BX64*200*NewConst!$F$250</f>
        <v>1174.3965460849086</v>
      </c>
      <c r="CA64" s="756">
        <f t="shared" si="44"/>
        <v>0</v>
      </c>
      <c r="CB64" s="747">
        <f t="shared" si="45"/>
        <v>0</v>
      </c>
      <c r="CC64" s="748">
        <f t="shared" si="46"/>
        <v>0</v>
      </c>
      <c r="CD64" s="756">
        <f t="shared" si="47"/>
        <v>1</v>
      </c>
      <c r="CE64" s="747">
        <f>CD64*710*NewConst!$F$419</f>
        <v>2130</v>
      </c>
      <c r="CF64" s="748">
        <f>CD64*1090*NewConst!$F$419</f>
        <v>3270</v>
      </c>
      <c r="CG64" s="756">
        <v>0</v>
      </c>
      <c r="CH64" s="747">
        <f>$CG64*CH$7*NewConst!$E$413</f>
        <v>0</v>
      </c>
      <c r="CI64" s="748">
        <f>$CG64*CI$7*NewConst!$E$413</f>
        <v>0</v>
      </c>
    </row>
    <row r="65" spans="2:87">
      <c r="B65" s="13"/>
      <c r="C65" s="32">
        <v>23</v>
      </c>
      <c r="D65" s="58">
        <f>'Hourly Profiles'!D31</f>
        <v>6.0518788725154128E-2</v>
      </c>
      <c r="E65" s="59">
        <f t="shared" si="48"/>
        <v>4.9000000000000002E-2</v>
      </c>
      <c r="F65" s="59">
        <f>'Hourly Profiles'!F31</f>
        <v>3.1775701000000003E-2</v>
      </c>
      <c r="G65" s="59">
        <f>'Hourly Profiles'!G31</f>
        <v>4.4368601000000001E-2</v>
      </c>
      <c r="H65" s="59">
        <f>(F65*'Monthly Profiles'!V$40+G65*'Monthly Profiles'!T$40+I65*'Monthly Profiles'!W$40+J65*'Monthly Profiles'!X$40+K65*'Monthly Profiles'!Y$40)/'Monthly Profiles'!AA$40</f>
        <v>3.7107569643108351E-2</v>
      </c>
      <c r="I65" s="591">
        <f>'Hourly Profiles'!I31</f>
        <v>6.5637065637065631E-2</v>
      </c>
      <c r="J65" s="591">
        <f>'Hourly Profiles'!J31</f>
        <v>2.915451895043732E-2</v>
      </c>
      <c r="K65" s="591">
        <f>'Hourly Profiles'!K31</f>
        <v>3.9660056657223788E-2</v>
      </c>
      <c r="L65" s="59">
        <f>'Hourly Profiles'!L31</f>
        <v>4.4021585000000002E-2</v>
      </c>
      <c r="M65" s="59">
        <f>'Hourly Profiles'!M31</f>
        <v>4.3564355999999999E-2</v>
      </c>
      <c r="N65" s="59">
        <f>'Hourly Profiles'!N31</f>
        <v>1.5558699E-2</v>
      </c>
      <c r="O65" s="59">
        <f>'Hourly Profiles'!O31</f>
        <v>5.1999999999999998E-2</v>
      </c>
      <c r="P65" s="1560">
        <f t="shared" si="49"/>
        <v>3.8043630892678038E-2</v>
      </c>
      <c r="Q65" s="1560">
        <f t="shared" si="55"/>
        <v>4.3457085828343324E-2</v>
      </c>
      <c r="R65" s="1560">
        <f t="shared" si="55"/>
        <v>4.0853353353353355E-2</v>
      </c>
      <c r="S65" s="1560">
        <f t="shared" si="55"/>
        <v>1.3000000000000001E-2</v>
      </c>
      <c r="T65" s="1560">
        <f t="shared" si="55"/>
        <v>2.1943161524417752E-2</v>
      </c>
      <c r="U65" s="1560">
        <f t="shared" si="55"/>
        <v>1.500002997008985E-2</v>
      </c>
      <c r="V65" s="1560">
        <f t="shared" si="55"/>
        <v>3.3469061876247513E-2</v>
      </c>
      <c r="W65" s="1560">
        <f t="shared" si="55"/>
        <v>8.8854935194416756E-2</v>
      </c>
      <c r="X65" s="1560">
        <f t="shared" si="55"/>
        <v>3.3422975214020004E-2</v>
      </c>
      <c r="Y65" s="1560">
        <f t="shared" si="55"/>
        <v>2.3844026210167003E-2</v>
      </c>
      <c r="Z65" s="1560">
        <f t="shared" si="55"/>
        <v>2.3844026210167006E-2</v>
      </c>
      <c r="AA65" s="1560">
        <f t="shared" si="55"/>
        <v>2.991053677932406E-3</v>
      </c>
      <c r="AB65" s="1560">
        <f t="shared" si="55"/>
        <v>2.9910536779324043E-3</v>
      </c>
      <c r="AC65" s="1560">
        <f t="shared" si="55"/>
        <v>7.4999999999999997E-2</v>
      </c>
      <c r="AD65" s="1560">
        <f t="shared" si="55"/>
        <v>5.6872037914691947E-2</v>
      </c>
      <c r="AE65" s="59">
        <f>((L65*NewConst!F$238+O65*NewConst!$F$155/365+N65*NewConst!F$328+G65*NewConst!F$298+M65*NewConst!F$279+F65*NewConst!F$264)*3412+(M65*NewConst!F$280+N65*NewConst!F$332)*100000)/((NewConst!F$238+NewConst!$F$155/365+NewConst!F$328+NewConst!F$298+NewConst!F$279+NewConst!F$264)*3412+(NewConst!F$280+NewConst!F$332)*100000)</f>
        <v>3.496169770804345E-2</v>
      </c>
      <c r="AF65" s="591">
        <f t="shared" si="53"/>
        <v>4.5619357114352346E-2</v>
      </c>
      <c r="AG65" s="591">
        <f t="shared" si="54"/>
        <v>2.8356558911375798E-2</v>
      </c>
      <c r="AH65" s="42">
        <f t="shared" si="39"/>
        <v>1</v>
      </c>
      <c r="AI65" s="60">
        <f>$AH65*NewConst!$E$400*N_occ</f>
        <v>580.80000000000007</v>
      </c>
      <c r="AJ65" s="60">
        <f>$AH65*NewConst!$E$401*N_occ</f>
        <v>432.96000000000004</v>
      </c>
      <c r="AK65" s="58">
        <f>IF(NewConst!$F$203=NewConst!$I$203,'Detailed Lighting'!BD33,Lighting!BH43)</f>
        <v>6.6592813018866645E-2</v>
      </c>
      <c r="AL65" s="59">
        <f>IF(NewConst!$F$203=NewConst!$I$203,'Detailed Lighting'!BE33,Lighting!BI43)</f>
        <v>7.6001108497725053E-2</v>
      </c>
      <c r="AM65" s="59">
        <f>IF(NewConst!$F$203=NewConst!$I$203,'Detailed Lighting'!BF33,Lighting!BJ43)</f>
        <v>8.996524502949263E-2</v>
      </c>
      <c r="AN65" s="59">
        <f>IF(NewConst!$F$203=NewConst!$I$203,'Detailed Lighting'!BG33,Lighting!BK43)</f>
        <v>0.10992057063828223</v>
      </c>
      <c r="AO65" s="59">
        <f>IF(NewConst!$F$203=NewConst!$I$203,'Detailed Lighting'!BH33,Lighting!BL43)</f>
        <v>0.12625816590531089</v>
      </c>
      <c r="AP65" s="59">
        <f>IF(NewConst!$F$203=NewConst!$I$203,'Detailed Lighting'!BI33,Lighting!BM43)</f>
        <v>0.13500098805547539</v>
      </c>
      <c r="AQ65" s="59">
        <f>IF(NewConst!$F$203=NewConst!$I$203,'Detailed Lighting'!BJ33,Lighting!BN43)</f>
        <v>0.13252087606567856</v>
      </c>
      <c r="AR65" s="59">
        <f>IF(NewConst!$F$203=NewConst!$I$203,'Detailed Lighting'!BK33,Lighting!BO43)</f>
        <v>0.11789944558923897</v>
      </c>
      <c r="AS65" s="59">
        <f>IF(NewConst!$F$203=NewConst!$I$203,'Detailed Lighting'!BL33,Lighting!BP43)</f>
        <v>9.8769314656063423E-2</v>
      </c>
      <c r="AT65" s="59">
        <f>IF(NewConst!$F$203=NewConst!$I$203,'Detailed Lighting'!BM33,Lighting!BQ43)</f>
        <v>8.1729611685355447E-2</v>
      </c>
      <c r="AU65" s="59">
        <f>IF(NewConst!$F$203=NewConst!$I$203,'Detailed Lighting'!BN33,Lighting!BR43)</f>
        <v>6.9238920324238909E-2</v>
      </c>
      <c r="AV65" s="59">
        <f>IF(NewConst!$F$203=NewConst!$I$203,'Detailed Lighting'!BO33,Lighting!BS43)</f>
        <v>6.4109029165966572E-2</v>
      </c>
      <c r="AW65" s="729">
        <f>IF(NewConst!$F$203=NewConst!$I$203,'Detailed Lighting'!BP33,Lighting!BG43)</f>
        <v>9.0888379220282312E-2</v>
      </c>
      <c r="AX65" s="13"/>
      <c r="AY65" s="13"/>
      <c r="AZ65" s="13"/>
      <c r="BA65" s="38">
        <v>23</v>
      </c>
      <c r="BB65" s="745">
        <f t="shared" si="50"/>
        <v>2.8762012299198749E-2</v>
      </c>
      <c r="BC65" s="745">
        <v>4.1666666666666664E-2</v>
      </c>
      <c r="BD65" s="745">
        <f t="shared" si="40"/>
        <v>2.8762012299198749E-2</v>
      </c>
      <c r="BE65" s="745">
        <f t="shared" si="40"/>
        <v>4.6298158801678924E-2</v>
      </c>
      <c r="BF65" s="745">
        <v>0</v>
      </c>
      <c r="BG65" s="745">
        <v>1.6822429906542057E-2</v>
      </c>
      <c r="BH65" s="745">
        <v>2.3190442726633873E-2</v>
      </c>
      <c r="BI65" s="745">
        <v>4.1666666666666664E-2</v>
      </c>
      <c r="BJ65" s="746">
        <v>3.4482758620689655E-2</v>
      </c>
      <c r="BK65" s="745">
        <v>5.8823529411764705E-2</v>
      </c>
      <c r="BL65" s="745">
        <v>4.7619047619047616E-2</v>
      </c>
      <c r="BM65" s="745">
        <v>0</v>
      </c>
      <c r="BN65" s="745">
        <f t="shared" si="41"/>
        <v>0</v>
      </c>
      <c r="BO65" s="745">
        <v>4.3564355999999999E-2</v>
      </c>
      <c r="BP65" s="745">
        <f t="shared" si="42"/>
        <v>1.6822429906542057E-2</v>
      </c>
      <c r="BQ65" s="745">
        <f t="shared" si="36"/>
        <v>0</v>
      </c>
      <c r="BR65" s="745">
        <f t="shared" si="37"/>
        <v>4.1666666666666664E-2</v>
      </c>
      <c r="BS65" s="2189"/>
      <c r="BT65" s="745">
        <f>IF(AVERAGE('Sunrise Calc'!$F$2:$F$13)&lt;'Hourly Profiles'!BA65, 1/12, "0.000 ")</f>
        <v>8.3333333333333329E-2</v>
      </c>
      <c r="BU65" s="745">
        <v>4.5048543689320389E-2</v>
      </c>
      <c r="BV65" s="745" t="e">
        <f t="shared" si="51"/>
        <v>#VALUE!</v>
      </c>
      <c r="BW65" s="745" t="e">
        <f t="shared" si="52"/>
        <v>#VALUE!</v>
      </c>
      <c r="BX65" s="758">
        <f t="shared" si="43"/>
        <v>0.37208085301236338</v>
      </c>
      <c r="BY65" s="747">
        <f>BX65*250*NewConst!$F$250</f>
        <v>930.20213253090844</v>
      </c>
      <c r="BZ65" s="748">
        <f>BX65*200*NewConst!$F$250</f>
        <v>744.16170602472675</v>
      </c>
      <c r="CA65" s="756">
        <f t="shared" si="44"/>
        <v>0</v>
      </c>
      <c r="CB65" s="747">
        <f t="shared" si="45"/>
        <v>0</v>
      </c>
      <c r="CC65" s="748">
        <f t="shared" si="46"/>
        <v>0</v>
      </c>
      <c r="CD65" s="756">
        <f t="shared" si="47"/>
        <v>0.5</v>
      </c>
      <c r="CE65" s="747">
        <f>CD65*710*NewConst!$F$419</f>
        <v>1065</v>
      </c>
      <c r="CF65" s="748">
        <f>CD65*1090*NewConst!$F$419</f>
        <v>1635</v>
      </c>
      <c r="CG65" s="756">
        <v>0</v>
      </c>
      <c r="CH65" s="747">
        <f>$CG65*CH$7*NewConst!$E$413</f>
        <v>0</v>
      </c>
      <c r="CI65" s="748">
        <f>$CG65*CI$7*NewConst!$E$413</f>
        <v>0</v>
      </c>
    </row>
    <row r="66" spans="2:87">
      <c r="B66" s="13"/>
      <c r="C66" s="33">
        <v>24</v>
      </c>
      <c r="D66" s="62">
        <f>'Hourly Profiles'!D32</f>
        <v>6.0518788725154128E-2</v>
      </c>
      <c r="E66" s="59">
        <f t="shared" si="48"/>
        <v>0.02</v>
      </c>
      <c r="F66" s="63">
        <f>'Hourly Profiles'!F32</f>
        <v>1.6822429999999999E-2</v>
      </c>
      <c r="G66" s="63">
        <f>'Hourly Profiles'!G32</f>
        <v>3.0716724000000001E-2</v>
      </c>
      <c r="H66" s="59">
        <f>(F66*'Monthly Profiles'!V$40+G66*'Monthly Profiles'!T$40+I66*'Monthly Profiles'!W$40+J66*'Monthly Profiles'!X$40+K66*'Monthly Profiles'!Y$40)/'Monthly Profiles'!AA$40</f>
        <v>2.4405462032719955E-2</v>
      </c>
      <c r="I66" s="593">
        <f>'Hourly Profiles'!I32</f>
        <v>3.8610038610038609E-2</v>
      </c>
      <c r="J66" s="593">
        <f>'Hourly Profiles'!J32</f>
        <v>2.0894071914480079E-2</v>
      </c>
      <c r="K66" s="593">
        <f>'Hourly Profiles'!K32</f>
        <v>2.7195467422096314E-2</v>
      </c>
      <c r="L66" s="63">
        <f>'Hourly Profiles'!L32</f>
        <v>4.1181482999999998E-2</v>
      </c>
      <c r="M66" s="63">
        <f>'Hourly Profiles'!M32</f>
        <v>2.3762376000000002E-2</v>
      </c>
      <c r="N66" s="63">
        <f>'Hourly Profiles'!N32</f>
        <v>1.0608204E-2</v>
      </c>
      <c r="O66" s="63">
        <f>'Hourly Profiles'!O32</f>
        <v>4.4999999999999998E-2</v>
      </c>
      <c r="P66" s="1560">
        <f t="shared" si="49"/>
        <v>3.0525576730190577E-2</v>
      </c>
      <c r="Q66" s="1560">
        <f t="shared" si="55"/>
        <v>4.2458083832335333E-2</v>
      </c>
      <c r="R66" s="1560">
        <f t="shared" si="55"/>
        <v>4.0853353353353355E-2</v>
      </c>
      <c r="S66" s="1560">
        <f t="shared" si="55"/>
        <v>7.000000000000001E-3</v>
      </c>
      <c r="T66" s="1560">
        <f t="shared" si="55"/>
        <v>5.9830498514446689E-3</v>
      </c>
      <c r="U66" s="1560">
        <f t="shared" si="55"/>
        <v>4.5045045045045027E-3</v>
      </c>
      <c r="V66" s="1560">
        <f t="shared" si="55"/>
        <v>2.4486027944111782E-2</v>
      </c>
      <c r="W66" s="1560">
        <f t="shared" si="55"/>
        <v>6.9893818544366895E-2</v>
      </c>
      <c r="X66" s="1560">
        <f t="shared" si="55"/>
        <v>3.7942420031972277E-2</v>
      </c>
      <c r="Y66" s="1560">
        <f t="shared" si="55"/>
        <v>2.3844026210167003E-2</v>
      </c>
      <c r="Z66" s="1560">
        <f t="shared" si="55"/>
        <v>2.3844026210167006E-2</v>
      </c>
      <c r="AA66" s="1560">
        <f t="shared" si="55"/>
        <v>2.991053677932406E-3</v>
      </c>
      <c r="AB66" s="1560">
        <f t="shared" si="55"/>
        <v>2.9910536779324043E-3</v>
      </c>
      <c r="AC66" s="1560">
        <f t="shared" si="55"/>
        <v>6.4500000000000002E-2</v>
      </c>
      <c r="AD66" s="1560">
        <f t="shared" si="55"/>
        <v>5.6872037914691947E-2</v>
      </c>
      <c r="AE66" s="59">
        <f>((L66*NewConst!F$238+O66*NewConst!$F$155/365+N66*NewConst!F$328+G66*NewConst!F$298+M66*NewConst!F$279+F66*NewConst!F$264)*3412+(M66*NewConst!F$280+N66*NewConst!F$332)*100000)/((NewConst!F$238+NewConst!$F$155/365+NewConst!F$328+NewConst!F$298+NewConst!F$279+NewConst!F$264)*3412+(NewConst!F$280+NewConst!F$332)*100000)</f>
        <v>2.4058846648432993E-2</v>
      </c>
      <c r="AF66" s="591">
        <f t="shared" si="53"/>
        <v>3.7809350261881085E-2</v>
      </c>
      <c r="AG66" s="591">
        <f t="shared" si="54"/>
        <v>2.121060313180665E-2</v>
      </c>
      <c r="AH66" s="64">
        <f t="shared" si="39"/>
        <v>1</v>
      </c>
      <c r="AI66" s="60">
        <f>$AH66*NewConst!$E$400*N_occ</f>
        <v>580.80000000000007</v>
      </c>
      <c r="AJ66" s="60">
        <f>$AH66*NewConst!$E$401*N_occ</f>
        <v>432.96000000000004</v>
      </c>
      <c r="AK66" s="62">
        <f>IF(NewConst!$F$203=NewConst!$I$203,'Detailed Lighting'!BD34,Lighting!BH44)</f>
        <v>4.6286849496125312E-2</v>
      </c>
      <c r="AL66" s="63">
        <f>IF(NewConst!$F$203=NewConst!$I$203,'Detailed Lighting'!BE34,Lighting!BI44)</f>
        <v>5.2826299282119758E-2</v>
      </c>
      <c r="AM66" s="63">
        <f>IF(NewConst!$F$203=NewConst!$I$203,'Detailed Lighting'!BF34,Lighting!BJ44)</f>
        <v>6.2532390025067483E-2</v>
      </c>
      <c r="AN66" s="63">
        <f>IF(NewConst!$F$203=NewConst!$I$203,'Detailed Lighting'!BG34,Lighting!BK44)</f>
        <v>7.6402793019434631E-2</v>
      </c>
      <c r="AO66" s="63">
        <f>IF(NewConst!$F$203=NewConst!$I$203,'Detailed Lighting'!BH34,Lighting!BL44)</f>
        <v>8.775861024612723E-2</v>
      </c>
      <c r="AP66" s="63">
        <f>IF(NewConst!$F$203=NewConst!$I$203,'Detailed Lighting'!BI34,Lighting!BM44)</f>
        <v>9.3835507657284864E-2</v>
      </c>
      <c r="AQ66" s="63">
        <f>IF(NewConst!$F$203=NewConst!$I$203,'Detailed Lighting'!BJ34,Lighting!BN44)</f>
        <v>9.2111649402900286E-2</v>
      </c>
      <c r="AR66" s="63">
        <f>IF(NewConst!$F$203=NewConst!$I$203,'Detailed Lighting'!BK34,Lighting!BO44)</f>
        <v>8.1948691552039141E-2</v>
      </c>
      <c r="AS66" s="63">
        <f>IF(NewConst!$F$203=NewConst!$I$203,'Detailed Lighting'!BL34,Lighting!BP44)</f>
        <v>6.8651858887916639E-2</v>
      </c>
      <c r="AT66" s="63">
        <f>IF(NewConst!$F$203=NewConst!$I$203,'Detailed Lighting'!BM34,Lighting!BQ44)</f>
        <v>5.6808025730720149E-2</v>
      </c>
      <c r="AU66" s="63">
        <f>IF(NewConst!$F$203=NewConst!$I$203,'Detailed Lighting'!BN34,Lighting!BR44)</f>
        <v>4.812608657054749E-2</v>
      </c>
      <c r="AV66" s="63">
        <f>IF(NewConst!$F$203=NewConst!$I$203,'Detailed Lighting'!BO34,Lighting!BS44)</f>
        <v>4.4560439029765822E-2</v>
      </c>
      <c r="AW66" s="732">
        <f>IF(NewConst!$F$203=NewConst!$I$203,'Detailed Lighting'!BP34,Lighting!BG44)</f>
        <v>6.3174035443195498E-2</v>
      </c>
      <c r="AX66" s="13"/>
      <c r="AY66" s="13"/>
      <c r="AZ66" s="13"/>
      <c r="BA66" s="39">
        <v>24</v>
      </c>
      <c r="BB66" s="745">
        <f t="shared" si="50"/>
        <v>2.383939996212597E-2</v>
      </c>
      <c r="BC66" s="749">
        <v>4.1666666666666664E-2</v>
      </c>
      <c r="BD66" s="745">
        <f t="shared" si="40"/>
        <v>2.383939996212597E-2</v>
      </c>
      <c r="BE66" s="745">
        <f t="shared" si="40"/>
        <v>2.9337038630195482E-2</v>
      </c>
      <c r="BF66" s="749">
        <v>0</v>
      </c>
      <c r="BG66" s="749">
        <v>1.6822429906542057E-2</v>
      </c>
      <c r="BH66" s="749">
        <v>2.3190442726633873E-2</v>
      </c>
      <c r="BI66" s="745">
        <v>4.1666666666666664E-2</v>
      </c>
      <c r="BJ66" s="746">
        <v>0</v>
      </c>
      <c r="BK66" s="749">
        <v>0</v>
      </c>
      <c r="BL66" s="749">
        <v>0</v>
      </c>
      <c r="BM66" s="749">
        <v>0</v>
      </c>
      <c r="BN66" s="745">
        <f t="shared" si="41"/>
        <v>0</v>
      </c>
      <c r="BO66" s="749">
        <v>2.3762376000000002E-2</v>
      </c>
      <c r="BP66" s="745">
        <f t="shared" si="42"/>
        <v>1.6822429906542057E-2</v>
      </c>
      <c r="BQ66" s="745">
        <f t="shared" si="36"/>
        <v>0</v>
      </c>
      <c r="BR66" s="745">
        <f t="shared" si="37"/>
        <v>4.1666666666666664E-2</v>
      </c>
      <c r="BS66" s="2190"/>
      <c r="BT66" s="745">
        <f>IF(AVERAGE('Sunrise Calc'!$F$2:$F$13)&lt;'Hourly Profiles'!BA66, 1/12, "0.000 ")</f>
        <v>8.3333333333333329E-2</v>
      </c>
      <c r="BU66" s="749">
        <v>3.6504854368932041E-2</v>
      </c>
      <c r="BV66" s="745" t="e">
        <f t="shared" si="51"/>
        <v>#VALUE!</v>
      </c>
      <c r="BW66" s="745" t="e">
        <f t="shared" si="52"/>
        <v>#VALUE!</v>
      </c>
      <c r="BX66" s="758">
        <f t="shared" si="43"/>
        <v>0.30839929351736767</v>
      </c>
      <c r="BY66" s="747">
        <f>BX66*250*NewConst!$F$250</f>
        <v>770.9982337934191</v>
      </c>
      <c r="BZ66" s="748">
        <f>BX66*200*NewConst!$F$250</f>
        <v>616.79858703473531</v>
      </c>
      <c r="CA66" s="756">
        <f t="shared" si="44"/>
        <v>0</v>
      </c>
      <c r="CB66" s="747">
        <f t="shared" si="45"/>
        <v>0</v>
      </c>
      <c r="CC66" s="748">
        <f t="shared" si="46"/>
        <v>0</v>
      </c>
      <c r="CD66" s="756">
        <f t="shared" si="47"/>
        <v>0</v>
      </c>
      <c r="CE66" s="747">
        <f>CD66*710*NewConst!$F$419</f>
        <v>0</v>
      </c>
      <c r="CF66" s="748">
        <f>CD66*1090*NewConst!$F$419</f>
        <v>0</v>
      </c>
      <c r="CG66" s="756">
        <v>0</v>
      </c>
      <c r="CH66" s="747">
        <f>$CG66*CH$7*NewConst!$E$413</f>
        <v>0</v>
      </c>
      <c r="CI66" s="748">
        <f>$CG66*CI$7*NewConst!$E$413</f>
        <v>0</v>
      </c>
    </row>
    <row r="67" spans="2:87">
      <c r="B67" s="13"/>
      <c r="C67" s="13"/>
      <c r="D67" s="65">
        <f t="shared" ref="D67:AW67" si="56">SUM(D43:D66)</f>
        <v>1.0000000000000004</v>
      </c>
      <c r="E67" s="65">
        <f t="shared" si="56"/>
        <v>1</v>
      </c>
      <c r="F67" s="66">
        <f t="shared" si="56"/>
        <v>1.000000003</v>
      </c>
      <c r="G67" s="66">
        <f t="shared" si="56"/>
        <v>1.0000000009999999</v>
      </c>
      <c r="H67" s="66">
        <f t="shared" si="56"/>
        <v>1.0000000005198473</v>
      </c>
      <c r="I67" s="608">
        <f t="shared" si="56"/>
        <v>0.99999999999999989</v>
      </c>
      <c r="J67" s="608">
        <f t="shared" si="56"/>
        <v>1</v>
      </c>
      <c r="K67" s="608">
        <f t="shared" si="56"/>
        <v>1</v>
      </c>
      <c r="L67" s="66">
        <f t="shared" si="56"/>
        <v>1</v>
      </c>
      <c r="M67" s="66">
        <f t="shared" si="56"/>
        <v>1.0000000009999999</v>
      </c>
      <c r="N67" s="66">
        <f t="shared" si="56"/>
        <v>1.0000000009999999</v>
      </c>
      <c r="O67" s="66">
        <f t="shared" si="56"/>
        <v>1.0000000000000004</v>
      </c>
      <c r="P67" s="1561">
        <f t="shared" si="56"/>
        <v>1</v>
      </c>
      <c r="Q67" s="1561">
        <f t="shared" si="56"/>
        <v>0.99999999999999989</v>
      </c>
      <c r="R67" s="1561">
        <f t="shared" si="56"/>
        <v>1</v>
      </c>
      <c r="S67" s="1561">
        <f t="shared" si="56"/>
        <v>1.0000000000000002</v>
      </c>
      <c r="T67" s="1561">
        <f t="shared" si="56"/>
        <v>1</v>
      </c>
      <c r="U67" s="1561">
        <f t="shared" si="56"/>
        <v>1</v>
      </c>
      <c r="V67" s="1561">
        <f t="shared" si="56"/>
        <v>1</v>
      </c>
      <c r="W67" s="1561">
        <f t="shared" si="56"/>
        <v>1</v>
      </c>
      <c r="X67" s="1561">
        <f t="shared" si="56"/>
        <v>1.0000000000000004</v>
      </c>
      <c r="Y67" s="1561">
        <f t="shared" si="56"/>
        <v>1</v>
      </c>
      <c r="Z67" s="1561">
        <f t="shared" si="56"/>
        <v>1</v>
      </c>
      <c r="AA67" s="1561">
        <f t="shared" si="56"/>
        <v>1.0000000000000002</v>
      </c>
      <c r="AB67" s="1561">
        <f t="shared" si="56"/>
        <v>0.99999999999999967</v>
      </c>
      <c r="AC67" s="1561">
        <f t="shared" si="56"/>
        <v>1</v>
      </c>
      <c r="AD67" s="1561">
        <f t="shared" si="56"/>
        <v>1.0000000000000004</v>
      </c>
      <c r="AE67" s="66">
        <f t="shared" si="56"/>
        <v>1.0000000008065486</v>
      </c>
      <c r="AF67" s="608">
        <f t="shared" si="56"/>
        <v>1.0000000001989988</v>
      </c>
      <c r="AG67" s="608">
        <f t="shared" si="56"/>
        <v>1.0000000004383625</v>
      </c>
      <c r="AH67" s="66">
        <f t="shared" si="56"/>
        <v>16.523794032651523</v>
      </c>
      <c r="AI67" s="1049">
        <f t="shared" si="56"/>
        <v>9597.0195741640055</v>
      </c>
      <c r="AJ67" s="1289">
        <f t="shared" si="56"/>
        <v>7154.1418643768075</v>
      </c>
      <c r="AK67" s="730">
        <f t="shared" si="56"/>
        <v>0.99999999999999989</v>
      </c>
      <c r="AL67" s="593">
        <f t="shared" si="56"/>
        <v>0.99999999999999989</v>
      </c>
      <c r="AM67" s="593">
        <f t="shared" si="56"/>
        <v>0.99999999999999989</v>
      </c>
      <c r="AN67" s="593">
        <f t="shared" si="56"/>
        <v>1</v>
      </c>
      <c r="AO67" s="593">
        <f t="shared" si="56"/>
        <v>0.99999999999999989</v>
      </c>
      <c r="AP67" s="593">
        <f t="shared" si="56"/>
        <v>1</v>
      </c>
      <c r="AQ67" s="593">
        <f t="shared" si="56"/>
        <v>1</v>
      </c>
      <c r="AR67" s="593">
        <f t="shared" si="56"/>
        <v>0.99999999999999989</v>
      </c>
      <c r="AS67" s="593">
        <f t="shared" si="56"/>
        <v>0.99999999999999978</v>
      </c>
      <c r="AT67" s="593">
        <f t="shared" si="56"/>
        <v>1</v>
      </c>
      <c r="AU67" s="593">
        <f t="shared" si="56"/>
        <v>1.0000000000000002</v>
      </c>
      <c r="AV67" s="593">
        <f t="shared" si="56"/>
        <v>1.0000000000000002</v>
      </c>
      <c r="AW67" s="731">
        <f t="shared" si="56"/>
        <v>1</v>
      </c>
      <c r="AX67" s="13"/>
      <c r="AY67" s="13"/>
      <c r="AZ67" s="13"/>
      <c r="BA67" s="29"/>
      <c r="BB67" s="65">
        <f>SUM(BB43:BB66)</f>
        <v>0.99999999999999967</v>
      </c>
      <c r="BC67" s="66">
        <f t="shared" ref="BC67:BJ67" si="57">SUM(BC43:BC66)</f>
        <v>0.99999999999999956</v>
      </c>
      <c r="BD67" s="66">
        <f t="shared" si="57"/>
        <v>0.99999999999999967</v>
      </c>
      <c r="BE67" s="66">
        <f t="shared" si="57"/>
        <v>1</v>
      </c>
      <c r="BF67" s="66">
        <f t="shared" si="57"/>
        <v>1</v>
      </c>
      <c r="BG67" s="66">
        <f t="shared" si="57"/>
        <v>1</v>
      </c>
      <c r="BH67" s="66">
        <f t="shared" si="57"/>
        <v>0.99999999999999967</v>
      </c>
      <c r="BI67" s="66">
        <f t="shared" si="57"/>
        <v>0.99999999999999956</v>
      </c>
      <c r="BJ67" s="66">
        <f t="shared" si="57"/>
        <v>1.0000000000000002</v>
      </c>
      <c r="BK67" s="66">
        <f t="shared" ref="BK67:BR67" si="58">SUM(BK43:BK66)</f>
        <v>1</v>
      </c>
      <c r="BL67" s="66">
        <f t="shared" si="58"/>
        <v>1</v>
      </c>
      <c r="BM67" s="66">
        <f t="shared" si="58"/>
        <v>0.99999999999999978</v>
      </c>
      <c r="BN67" s="66">
        <f t="shared" si="58"/>
        <v>0.99999999999999978</v>
      </c>
      <c r="BO67" s="66">
        <f t="shared" si="58"/>
        <v>1.0000000009999999</v>
      </c>
      <c r="BP67" s="66">
        <f t="shared" si="58"/>
        <v>1</v>
      </c>
      <c r="BQ67" s="66">
        <f t="shared" si="58"/>
        <v>1.0000000000000002</v>
      </c>
      <c r="BR67" s="66">
        <f t="shared" si="58"/>
        <v>0.99999999999999956</v>
      </c>
      <c r="BS67" s="66"/>
      <c r="BT67" s="66">
        <f>SUM(BT43:BT66)</f>
        <v>1</v>
      </c>
      <c r="BU67" s="66">
        <f>SUM(BU43:BU66)</f>
        <v>0.99999999999999989</v>
      </c>
      <c r="BV67" s="66" t="e">
        <f t="shared" ref="BV67:CI67" si="59">SUM(BV43:BV66)</f>
        <v>#VALUE!</v>
      </c>
      <c r="BW67" s="66" t="e">
        <f t="shared" si="59"/>
        <v>#VALUE!</v>
      </c>
      <c r="BX67" s="66">
        <f t="shared" si="59"/>
        <v>12.936537580951136</v>
      </c>
      <c r="BY67" s="66">
        <f t="shared" si="59"/>
        <v>32341.343952377836</v>
      </c>
      <c r="BZ67" s="67">
        <f t="shared" si="59"/>
        <v>25873.075161902263</v>
      </c>
      <c r="CA67" s="66">
        <f t="shared" si="59"/>
        <v>8.5</v>
      </c>
      <c r="CB67" s="66">
        <f t="shared" si="59"/>
        <v>6375</v>
      </c>
      <c r="CC67" s="67">
        <f t="shared" si="59"/>
        <v>5100</v>
      </c>
      <c r="CD67" s="66">
        <f t="shared" si="59"/>
        <v>14.5</v>
      </c>
      <c r="CE67" s="66">
        <f t="shared" si="59"/>
        <v>30885</v>
      </c>
      <c r="CF67" s="67">
        <f t="shared" si="59"/>
        <v>47415</v>
      </c>
      <c r="CG67" s="65">
        <f t="shared" si="59"/>
        <v>7</v>
      </c>
      <c r="CH67" s="66">
        <f t="shared" si="59"/>
        <v>565.95000000000005</v>
      </c>
      <c r="CI67" s="67">
        <f t="shared" si="59"/>
        <v>358.05</v>
      </c>
    </row>
    <row r="70" spans="2:87" ht="13.5" thickBot="1">
      <c r="P70" s="2007" t="s">
        <v>6499</v>
      </c>
    </row>
    <row r="71" spans="2:87" ht="26.25" thickBot="1">
      <c r="C71" s="1189"/>
      <c r="D71" s="1190" t="s">
        <v>281</v>
      </c>
      <c r="E71" s="1190" t="s">
        <v>526</v>
      </c>
      <c r="F71" s="1190" t="s">
        <v>284</v>
      </c>
      <c r="G71" s="1190" t="s">
        <v>285</v>
      </c>
      <c r="H71" s="1190" t="s">
        <v>1051</v>
      </c>
      <c r="P71" s="1070" t="s">
        <v>1277</v>
      </c>
      <c r="Q71" s="1070" t="s">
        <v>6436</v>
      </c>
      <c r="R71" s="1070" t="s">
        <v>1158</v>
      </c>
      <c r="S71" s="1070" t="s">
        <v>992</v>
      </c>
      <c r="T71" s="1070" t="s">
        <v>6437</v>
      </c>
      <c r="U71" s="1070" t="s">
        <v>526</v>
      </c>
      <c r="V71" s="1070" t="s">
        <v>6423</v>
      </c>
      <c r="W71" s="1070" t="s">
        <v>6424</v>
      </c>
      <c r="X71" s="1070" t="s">
        <v>814</v>
      </c>
      <c r="Y71" s="1070" t="s">
        <v>6425</v>
      </c>
      <c r="Z71" s="1070" t="s">
        <v>6501</v>
      </c>
      <c r="AA71" s="1070" t="s">
        <v>6426</v>
      </c>
      <c r="AB71" s="1070" t="s">
        <v>6502</v>
      </c>
      <c r="AC71" s="1070" t="s">
        <v>6441</v>
      </c>
      <c r="AD71" s="1070" t="s">
        <v>6428</v>
      </c>
      <c r="AE71" s="1070" t="s">
        <v>6443</v>
      </c>
    </row>
    <row r="72" spans="2:87" ht="13.5" thickBot="1">
      <c r="C72" s="1165" t="s">
        <v>6367</v>
      </c>
      <c r="D72" s="1287">
        <v>1.1499999999999999</v>
      </c>
      <c r="E72" s="1287">
        <v>1.05</v>
      </c>
      <c r="F72" s="1287">
        <v>1.05</v>
      </c>
      <c r="G72" s="1287">
        <v>1.26</v>
      </c>
      <c r="H72" s="1287">
        <v>1.04</v>
      </c>
    </row>
    <row r="73" spans="2:87" ht="13.5" thickBot="1">
      <c r="C73" s="1285" t="s">
        <v>6368</v>
      </c>
      <c r="D73" s="1287">
        <v>0.94</v>
      </c>
      <c r="E73" s="1287">
        <v>0.98</v>
      </c>
      <c r="F73" s="1287">
        <v>0.98</v>
      </c>
      <c r="G73" s="1287">
        <v>0.9</v>
      </c>
      <c r="H73" s="1287">
        <v>0.98</v>
      </c>
      <c r="P73" s="1070">
        <v>1</v>
      </c>
      <c r="Q73" s="2008">
        <v>3.7000000000000012E-2</v>
      </c>
      <c r="R73" s="2008">
        <v>4.2000000000000003E-2</v>
      </c>
      <c r="S73" s="2008">
        <v>4.1666666666666678E-2</v>
      </c>
      <c r="T73" s="2008">
        <v>5.0000000000000001E-3</v>
      </c>
      <c r="U73" s="2008">
        <v>9.9900099900099922E-4</v>
      </c>
      <c r="V73" s="2008">
        <v>0</v>
      </c>
      <c r="W73" s="2008">
        <v>1.7000000000000005E-2</v>
      </c>
      <c r="X73" s="2008">
        <v>4.8000000000000001E-2</v>
      </c>
      <c r="Y73" s="2008">
        <v>3.1840796019900509E-2</v>
      </c>
      <c r="Z73" s="2008">
        <v>2.186878727634195E-2</v>
      </c>
      <c r="AA73" s="2008">
        <v>2.186878727634195E-2</v>
      </c>
      <c r="AB73" s="2008">
        <v>1.9880715705765414E-3</v>
      </c>
      <c r="AC73" s="2008">
        <v>1.9880715705765401E-3</v>
      </c>
      <c r="AD73" s="2008">
        <v>3.9E-2</v>
      </c>
      <c r="AE73" s="2008">
        <v>5.6872037914691947E-2</v>
      </c>
    </row>
    <row r="74" spans="2:87" ht="63.75">
      <c r="C74" s="1286" t="s">
        <v>6370</v>
      </c>
      <c r="D74" s="1288">
        <v>0</v>
      </c>
      <c r="E74" s="1288">
        <v>0</v>
      </c>
      <c r="F74" s="1288">
        <v>0</v>
      </c>
      <c r="G74" s="1288">
        <v>0</v>
      </c>
      <c r="H74" s="1288">
        <v>0</v>
      </c>
      <c r="P74" s="1070">
        <v>2</v>
      </c>
      <c r="Q74" s="2008">
        <v>3.1000000000000007E-2</v>
      </c>
      <c r="R74" s="2008">
        <v>4.0999999999999995E-2</v>
      </c>
      <c r="S74" s="2008">
        <v>4.1666666666666678E-2</v>
      </c>
      <c r="T74" s="2008">
        <v>0</v>
      </c>
      <c r="U74" s="2008">
        <v>0</v>
      </c>
      <c r="V74" s="2008">
        <v>0</v>
      </c>
      <c r="W74" s="2008">
        <v>0</v>
      </c>
      <c r="X74" s="2008">
        <v>2.7E-2</v>
      </c>
      <c r="Y74" s="2008">
        <v>3.681592039800996E-2</v>
      </c>
      <c r="Z74" s="2008">
        <v>3.1809145129224656E-2</v>
      </c>
      <c r="AA74" s="2008">
        <v>3.1809145129224656E-2</v>
      </c>
      <c r="AB74" s="2008">
        <v>1.9880715705765414E-3</v>
      </c>
      <c r="AC74" s="2008">
        <v>1.9880715705765401E-3</v>
      </c>
      <c r="AD74" s="2008">
        <v>2.2999999999999993E-2</v>
      </c>
      <c r="AE74" s="2008">
        <v>5.6872037914691947E-2</v>
      </c>
    </row>
    <row r="75" spans="2:87" ht="13.5" thickBot="1">
      <c r="C75" s="1285" t="s">
        <v>6369</v>
      </c>
      <c r="D75" s="1287">
        <v>1.04</v>
      </c>
      <c r="E75" s="1287">
        <v>1.04</v>
      </c>
      <c r="F75" s="1287">
        <v>1.04</v>
      </c>
      <c r="G75" s="1287">
        <v>1.04</v>
      </c>
      <c r="H75" s="1287">
        <v>1.04</v>
      </c>
      <c r="P75" s="1070">
        <v>3</v>
      </c>
      <c r="Q75" s="2008">
        <v>2.4000000000000004E-2</v>
      </c>
      <c r="R75" s="2008">
        <v>0.04</v>
      </c>
      <c r="S75" s="2008">
        <v>4.1666666666666678E-2</v>
      </c>
      <c r="T75" s="2008">
        <v>0</v>
      </c>
      <c r="U75" s="2008">
        <v>0</v>
      </c>
      <c r="V75" s="2008">
        <v>0</v>
      </c>
      <c r="W75" s="2008">
        <v>0</v>
      </c>
      <c r="X75" s="2008">
        <v>1.3999999999999997E-2</v>
      </c>
      <c r="Y75" s="2008">
        <v>4.1791044776119418E-2</v>
      </c>
      <c r="Z75" s="2008">
        <v>2.186878727634195E-2</v>
      </c>
      <c r="AA75" s="2008">
        <v>2.186878727634195E-2</v>
      </c>
      <c r="AB75" s="2008">
        <v>1.9880715705765414E-3</v>
      </c>
      <c r="AC75" s="2008">
        <v>1.9880715705765401E-3</v>
      </c>
      <c r="AD75" s="2008">
        <v>1.9E-2</v>
      </c>
      <c r="AE75" s="2008">
        <v>5.6872037914691947E-2</v>
      </c>
    </row>
    <row r="76" spans="2:87">
      <c r="P76" s="1070">
        <v>4</v>
      </c>
      <c r="Q76" s="2008">
        <v>1.7000000000000005E-2</v>
      </c>
      <c r="R76" s="2008">
        <v>3.9E-2</v>
      </c>
      <c r="S76" s="2008">
        <v>4.1666666666666678E-2</v>
      </c>
      <c r="T76" s="2008">
        <v>0</v>
      </c>
      <c r="U76" s="2008">
        <v>0</v>
      </c>
      <c r="V76" s="2008">
        <v>0</v>
      </c>
      <c r="W76" s="2008">
        <v>0</v>
      </c>
      <c r="X76" s="2008">
        <v>1.9999999999999996E-3</v>
      </c>
      <c r="Y76" s="2008">
        <v>4.1791044776119418E-2</v>
      </c>
      <c r="Z76" s="2008">
        <v>3.1809145129224656E-2</v>
      </c>
      <c r="AA76" s="2008">
        <v>3.1809145129224656E-2</v>
      </c>
      <c r="AB76" s="2008">
        <v>2.982107355864811E-3</v>
      </c>
      <c r="AC76" s="2008">
        <v>2.9821073558648093E-3</v>
      </c>
      <c r="AD76" s="2008">
        <v>1.4999999999999999E-2</v>
      </c>
      <c r="AE76" s="2008">
        <v>5.6872037914691947E-2</v>
      </c>
    </row>
    <row r="77" spans="2:87">
      <c r="P77" s="1070">
        <v>5</v>
      </c>
      <c r="Q77" s="2008">
        <v>1.4E-2</v>
      </c>
      <c r="R77" s="2008">
        <v>3.7000000000000005E-2</v>
      </c>
      <c r="S77" s="2008">
        <v>4.2658730158730167E-2</v>
      </c>
      <c r="T77" s="2008">
        <v>0</v>
      </c>
      <c r="U77" s="2008">
        <v>0</v>
      </c>
      <c r="V77" s="2008">
        <v>0</v>
      </c>
      <c r="W77" s="2008">
        <v>0</v>
      </c>
      <c r="X77" s="2008">
        <v>9.999999999999998E-4</v>
      </c>
      <c r="Y77" s="2008">
        <v>4.7761194029850761E-2</v>
      </c>
      <c r="Z77" s="2008">
        <v>4.2743538767395631E-2</v>
      </c>
      <c r="AA77" s="2008">
        <v>4.2743538767395624E-2</v>
      </c>
      <c r="AB77" s="2008">
        <v>5.9642147117296221E-3</v>
      </c>
      <c r="AC77" s="2008">
        <v>5.9642147117296186E-3</v>
      </c>
      <c r="AD77" s="2008">
        <v>1.6E-2</v>
      </c>
      <c r="AE77" s="2008">
        <v>5.6872037914691947E-2</v>
      </c>
    </row>
    <row r="78" spans="2:87">
      <c r="P78" s="1070">
        <v>6</v>
      </c>
      <c r="Q78" s="2008">
        <v>1.2000000000000002E-2</v>
      </c>
      <c r="R78" s="2008">
        <v>3.6000000000000004E-2</v>
      </c>
      <c r="S78" s="2008">
        <v>4.3650793650793662E-2</v>
      </c>
      <c r="T78" s="2008">
        <v>0</v>
      </c>
      <c r="U78" s="2008">
        <v>0</v>
      </c>
      <c r="V78" s="2008">
        <v>0</v>
      </c>
      <c r="W78" s="2008">
        <v>0</v>
      </c>
      <c r="X78" s="2008">
        <v>9.999999999999998E-4</v>
      </c>
      <c r="Y78" s="2008">
        <v>4.7761194029850761E-2</v>
      </c>
      <c r="Z78" s="2008">
        <v>5.3677932405566613E-2</v>
      </c>
      <c r="AA78" s="2008">
        <v>5.3677932405566592E-2</v>
      </c>
      <c r="AB78" s="2008">
        <v>1.491053677932406E-2</v>
      </c>
      <c r="AC78" s="2008">
        <v>1.4910536779324048E-2</v>
      </c>
      <c r="AD78" s="2008">
        <v>1.6E-2</v>
      </c>
      <c r="AE78" s="2008">
        <v>5.6872037914691947E-2</v>
      </c>
    </row>
    <row r="79" spans="2:87">
      <c r="P79" s="1070">
        <v>7</v>
      </c>
      <c r="Q79" s="2008">
        <v>2.0000000000000004E-2</v>
      </c>
      <c r="R79" s="2008">
        <v>3.6000000000000004E-2</v>
      </c>
      <c r="S79" s="2008">
        <v>4.3650793650793662E-2</v>
      </c>
      <c r="T79" s="2008">
        <v>2.5000000000000001E-2</v>
      </c>
      <c r="U79" s="2008">
        <v>9.9900099900099922E-4</v>
      </c>
      <c r="V79" s="2008">
        <v>0</v>
      </c>
      <c r="W79" s="2008">
        <v>9.0000000000000028E-3</v>
      </c>
      <c r="X79" s="2008">
        <v>4.9999999999999992E-3</v>
      </c>
      <c r="Y79" s="2008">
        <v>5.2736318407960218E-2</v>
      </c>
      <c r="Z79" s="2008">
        <v>5.3677932405566613E-2</v>
      </c>
      <c r="AA79" s="2008">
        <v>5.3677932405566592E-2</v>
      </c>
      <c r="AB79" s="2008">
        <v>2.7833001988071576E-2</v>
      </c>
      <c r="AC79" s="2008">
        <v>2.7833001988071562E-2</v>
      </c>
      <c r="AD79" s="2008">
        <v>2.7000000000000003E-2</v>
      </c>
      <c r="AE79" s="2008">
        <v>5.6872037914691947E-2</v>
      </c>
    </row>
    <row r="80" spans="2:87">
      <c r="P80" s="1070">
        <v>8</v>
      </c>
      <c r="Q80" s="2008">
        <v>2.8000000000000001E-2</v>
      </c>
      <c r="R80" s="2008">
        <v>3.6000000000000004E-2</v>
      </c>
      <c r="S80" s="2008">
        <v>4.3650793650793662E-2</v>
      </c>
      <c r="T80" s="2008">
        <v>0.05</v>
      </c>
      <c r="U80" s="2008">
        <v>9.9900099900099922E-4</v>
      </c>
      <c r="V80" s="2008">
        <v>0</v>
      </c>
      <c r="W80" s="2008">
        <v>1.8000000000000006E-2</v>
      </c>
      <c r="X80" s="2008">
        <v>9.9999999999999985E-3</v>
      </c>
      <c r="Y80" s="2008">
        <v>5.7711442786069676E-2</v>
      </c>
      <c r="Z80" s="2008">
        <v>3.1809145129224656E-2</v>
      </c>
      <c r="AA80" s="2008">
        <v>3.1809145129224656E-2</v>
      </c>
      <c r="AB80" s="2008">
        <v>3.9761431411530823E-2</v>
      </c>
      <c r="AC80" s="2008">
        <v>3.9761431411530795E-2</v>
      </c>
      <c r="AD80" s="2008">
        <v>3.7000000000000005E-2</v>
      </c>
      <c r="AE80" s="2008">
        <v>2.3696682464454978E-2</v>
      </c>
    </row>
    <row r="81" spans="16:31">
      <c r="P81" s="1070">
        <v>9</v>
      </c>
      <c r="Q81" s="2008">
        <v>4.0000000000000008E-2</v>
      </c>
      <c r="R81" s="2008">
        <v>3.7000000000000005E-2</v>
      </c>
      <c r="S81" s="2008">
        <v>4.3650793650793662E-2</v>
      </c>
      <c r="T81" s="2008">
        <v>4.4999999999999998E-2</v>
      </c>
      <c r="U81" s="2008">
        <v>5.0949050949050945E-2</v>
      </c>
      <c r="V81" s="2008">
        <v>4.8902195608782451E-2</v>
      </c>
      <c r="W81" s="2008">
        <v>2.7999999999999994E-2</v>
      </c>
      <c r="X81" s="2008">
        <v>1.6999999999999998E-2</v>
      </c>
      <c r="Y81" s="2008">
        <v>6.3681592039801019E-2</v>
      </c>
      <c r="Z81" s="2008">
        <v>2.186878727634195E-2</v>
      </c>
      <c r="AA81" s="2008">
        <v>2.186878727634195E-2</v>
      </c>
      <c r="AB81" s="2008">
        <v>7.3558648111332031E-2</v>
      </c>
      <c r="AC81" s="2008">
        <v>7.3558648111331976E-2</v>
      </c>
      <c r="AD81" s="2008">
        <v>3.4000000000000002E-2</v>
      </c>
      <c r="AE81" s="2008">
        <v>2.3696682464454978E-2</v>
      </c>
    </row>
    <row r="82" spans="16:31">
      <c r="P82" s="1070">
        <v>10</v>
      </c>
      <c r="Q82" s="2008">
        <v>5.3000000000000005E-2</v>
      </c>
      <c r="R82" s="2008">
        <v>3.9E-2</v>
      </c>
      <c r="S82" s="2008">
        <v>4.3650793650793662E-2</v>
      </c>
      <c r="T82" s="2008">
        <v>0.04</v>
      </c>
      <c r="U82" s="2008">
        <v>9.9900099900099903E-2</v>
      </c>
      <c r="V82" s="2008">
        <v>9.7804391217564901E-2</v>
      </c>
      <c r="W82" s="2008">
        <v>3.7000000000000012E-2</v>
      </c>
      <c r="X82" s="2008">
        <v>2.4E-2</v>
      </c>
      <c r="Y82" s="2008">
        <v>6.8656716417910477E-2</v>
      </c>
      <c r="Z82" s="2008">
        <v>2.186878727634195E-2</v>
      </c>
      <c r="AA82" s="2008">
        <v>2.186878727634195E-2</v>
      </c>
      <c r="AB82" s="2008">
        <v>0.11332007952286285</v>
      </c>
      <c r="AC82" s="2008">
        <v>0.11332007952286276</v>
      </c>
      <c r="AD82" s="2008">
        <v>0.03</v>
      </c>
      <c r="AE82" s="2008">
        <v>2.3696682464454978E-2</v>
      </c>
    </row>
    <row r="83" spans="16:31">
      <c r="P83" s="1070">
        <v>11</v>
      </c>
      <c r="Q83" s="2008">
        <v>5.7000000000000002E-2</v>
      </c>
      <c r="R83" s="2008">
        <v>0.04</v>
      </c>
      <c r="S83" s="2008">
        <v>4.1666666666666678E-2</v>
      </c>
      <c r="T83" s="2008">
        <v>0.04</v>
      </c>
      <c r="U83" s="2008">
        <v>9.9900099900099903E-2</v>
      </c>
      <c r="V83" s="2008">
        <v>0.12275449101796411</v>
      </c>
      <c r="W83" s="2008">
        <v>7.2000000000000022E-2</v>
      </c>
      <c r="X83" s="2008">
        <v>3.2999999999999995E-2</v>
      </c>
      <c r="Y83" s="2008">
        <v>6.8656716417910477E-2</v>
      </c>
      <c r="Z83" s="2008">
        <v>2.186878727634195E-2</v>
      </c>
      <c r="AA83" s="2008">
        <v>2.186878727634195E-2</v>
      </c>
      <c r="AB83" s="2008">
        <v>0.13916500994035788</v>
      </c>
      <c r="AC83" s="2008">
        <v>0.13916500994035777</v>
      </c>
      <c r="AD83" s="2008">
        <v>0.03</v>
      </c>
      <c r="AE83" s="2008">
        <v>2.3696682464454978E-2</v>
      </c>
    </row>
    <row r="84" spans="16:31">
      <c r="P84" s="1070">
        <v>12</v>
      </c>
      <c r="Q84" s="2008">
        <v>6.0000000000000005E-2</v>
      </c>
      <c r="R84" s="2008">
        <v>4.2000000000000003E-2</v>
      </c>
      <c r="S84" s="2008">
        <v>3.9682539682539694E-2</v>
      </c>
      <c r="T84" s="2008">
        <v>0.04</v>
      </c>
      <c r="U84" s="2008">
        <v>9.9900099900099903E-2</v>
      </c>
      <c r="V84" s="2008">
        <v>0.14670658682634735</v>
      </c>
      <c r="W84" s="2008">
        <v>0.10600000000000002</v>
      </c>
      <c r="X84" s="2008">
        <v>4.1999999999999996E-2</v>
      </c>
      <c r="Y84" s="2008">
        <v>6.3681592039801019E-2</v>
      </c>
      <c r="Z84" s="2008">
        <v>1.0934393638170975E-2</v>
      </c>
      <c r="AA84" s="2008">
        <v>1.0934393638170975E-2</v>
      </c>
      <c r="AB84" s="2008">
        <v>0.13916500994035788</v>
      </c>
      <c r="AC84" s="2008">
        <v>0.13916500994035777</v>
      </c>
      <c r="AD84" s="2008">
        <v>2.8999999999999998E-2</v>
      </c>
      <c r="AE84" s="2008">
        <v>2.3696682464454978E-2</v>
      </c>
    </row>
    <row r="85" spans="16:31">
      <c r="P85" s="1070">
        <v>13</v>
      </c>
      <c r="Q85" s="2008">
        <v>5.9000000000000011E-2</v>
      </c>
      <c r="R85" s="2008">
        <v>4.2000000000000003E-2</v>
      </c>
      <c r="S85" s="2008">
        <v>3.9682539682539694E-2</v>
      </c>
      <c r="T85" s="2008">
        <v>0.04</v>
      </c>
      <c r="U85" s="2008">
        <v>8.9910089910089919E-2</v>
      </c>
      <c r="V85" s="2008">
        <v>9.7804391217564901E-2</v>
      </c>
      <c r="W85" s="2008">
        <v>0.11100000000000002</v>
      </c>
      <c r="X85" s="2008">
        <v>4.299999999999999E-2</v>
      </c>
      <c r="Y85" s="2008">
        <v>4.1791044776119418E-2</v>
      </c>
      <c r="Z85" s="2008">
        <v>1.0934393638170975E-2</v>
      </c>
      <c r="AA85" s="2008">
        <v>1.0934393638170975E-2</v>
      </c>
      <c r="AB85" s="2008">
        <v>0.13916500994035788</v>
      </c>
      <c r="AC85" s="2008">
        <v>0.13916500994035777</v>
      </c>
      <c r="AD85" s="2008">
        <v>2.7999999999999994E-2</v>
      </c>
      <c r="AE85" s="2008">
        <v>2.3696682464454978E-2</v>
      </c>
    </row>
    <row r="86" spans="16:31">
      <c r="P86" s="1070">
        <v>14</v>
      </c>
      <c r="Q86" s="2008">
        <v>5.8000000000000003E-2</v>
      </c>
      <c r="R86" s="2008">
        <v>4.299999999999999E-2</v>
      </c>
      <c r="S86" s="2008">
        <v>3.9682539682539694E-2</v>
      </c>
      <c r="T86" s="2008">
        <v>0.04</v>
      </c>
      <c r="U86" s="2008">
        <v>7.992007992007992E-2</v>
      </c>
      <c r="V86" s="2008">
        <v>4.8902195608782451E-2</v>
      </c>
      <c r="W86" s="2008">
        <v>0.11500000000000002</v>
      </c>
      <c r="X86" s="2008">
        <v>4.3999999999999997E-2</v>
      </c>
      <c r="Y86" s="2008">
        <v>2.6865671641791052E-2</v>
      </c>
      <c r="Z86" s="2008">
        <v>1.0934393638170975E-2</v>
      </c>
      <c r="AA86" s="2008">
        <v>1.0934393638170975E-2</v>
      </c>
      <c r="AB86" s="2008">
        <v>8.9463220675944338E-2</v>
      </c>
      <c r="AC86" s="2008">
        <v>8.9463220675944283E-2</v>
      </c>
      <c r="AD86" s="2008">
        <v>2.7000000000000003E-2</v>
      </c>
      <c r="AE86" s="2008">
        <v>2.3696682464454978E-2</v>
      </c>
    </row>
    <row r="87" spans="16:31">
      <c r="P87" s="1070">
        <v>15</v>
      </c>
      <c r="Q87" s="2008">
        <v>5.5000000000000014E-2</v>
      </c>
      <c r="R87" s="2008">
        <v>4.4000000000000004E-2</v>
      </c>
      <c r="S87" s="2008">
        <v>3.9682539682539694E-2</v>
      </c>
      <c r="T87" s="2008">
        <v>0.05</v>
      </c>
      <c r="U87" s="2008">
        <v>6.4935064935064943E-2</v>
      </c>
      <c r="V87" s="2008">
        <v>9.7804391217564901E-2</v>
      </c>
      <c r="W87" s="2008">
        <v>9.2000000000000012E-2</v>
      </c>
      <c r="X87" s="2008">
        <v>4.5999999999999992E-2</v>
      </c>
      <c r="Y87" s="2008">
        <v>2.6865671641791052E-2</v>
      </c>
      <c r="Z87" s="2008">
        <v>2.186878727634195E-2</v>
      </c>
      <c r="AA87" s="2008">
        <v>2.186878727634195E-2</v>
      </c>
      <c r="AB87" s="2008">
        <v>7.057654075546721E-2</v>
      </c>
      <c r="AC87" s="2008">
        <v>7.0576540755467168E-2</v>
      </c>
      <c r="AD87" s="2008">
        <v>2.7999999999999994E-2</v>
      </c>
      <c r="AE87" s="2008">
        <v>2.3696682464454978E-2</v>
      </c>
    </row>
    <row r="88" spans="16:31">
      <c r="P88" s="1070">
        <v>16</v>
      </c>
      <c r="Q88" s="2008">
        <v>5.1000000000000011E-2</v>
      </c>
      <c r="R88" s="2008">
        <v>4.4999999999999998E-2</v>
      </c>
      <c r="S88" s="2008">
        <v>3.9682539682539694E-2</v>
      </c>
      <c r="T88" s="2008">
        <v>0.06</v>
      </c>
      <c r="U88" s="2008">
        <v>4.9950049950049952E-2</v>
      </c>
      <c r="V88" s="2008">
        <v>0.14670658682634735</v>
      </c>
      <c r="W88" s="2008">
        <v>6.9000000000000006E-2</v>
      </c>
      <c r="X88" s="2008">
        <v>4.8000000000000001E-2</v>
      </c>
      <c r="Y88" s="2008">
        <v>2.6865671641791052E-2</v>
      </c>
      <c r="Z88" s="2008">
        <v>2.186878727634195E-2</v>
      </c>
      <c r="AA88" s="2008">
        <v>2.186878727634195E-2</v>
      </c>
      <c r="AB88" s="2008">
        <v>5.9642147117296242E-2</v>
      </c>
      <c r="AC88" s="2008">
        <v>5.9642147117296193E-2</v>
      </c>
      <c r="AD88" s="2008">
        <v>0.03</v>
      </c>
      <c r="AE88" s="2008">
        <v>2.3696682464454978E-2</v>
      </c>
    </row>
    <row r="89" spans="16:31">
      <c r="P89" s="1070">
        <v>17</v>
      </c>
      <c r="Q89" s="2008">
        <v>4.7000000000000014E-2</v>
      </c>
      <c r="R89" s="2008">
        <v>4.5999999999999999E-2</v>
      </c>
      <c r="S89" s="2008">
        <v>4.0674603174603183E-2</v>
      </c>
      <c r="T89" s="2008">
        <v>0.11</v>
      </c>
      <c r="U89" s="2008">
        <v>4.9950049950049952E-2</v>
      </c>
      <c r="V89" s="2008">
        <v>8.2834331337325373E-2</v>
      </c>
      <c r="W89" s="2008">
        <v>6.7000000000000018E-2</v>
      </c>
      <c r="X89" s="2008">
        <v>5.3999999999999999E-2</v>
      </c>
      <c r="Y89" s="2008">
        <v>2.6865671641791052E-2</v>
      </c>
      <c r="Z89" s="2008">
        <v>0.19284294234592445</v>
      </c>
      <c r="AA89" s="2008">
        <v>0.19284294234592442</v>
      </c>
      <c r="AB89" s="2008">
        <v>3.6779324055666016E-2</v>
      </c>
      <c r="AC89" s="2008">
        <v>3.6779324055665988E-2</v>
      </c>
      <c r="AD89" s="2008">
        <v>4.6999999999999993E-2</v>
      </c>
      <c r="AE89" s="2008">
        <v>2.3696682464454978E-2</v>
      </c>
    </row>
    <row r="90" spans="16:31">
      <c r="P90" s="1070">
        <v>18</v>
      </c>
      <c r="Q90" s="2008">
        <v>4.4000000000000011E-2</v>
      </c>
      <c r="R90" s="2008">
        <v>4.7E-2</v>
      </c>
      <c r="S90" s="2008">
        <v>4.1666666666666678E-2</v>
      </c>
      <c r="T90" s="2008">
        <v>0.16</v>
      </c>
      <c r="U90" s="2008">
        <v>4.9950049950049952E-2</v>
      </c>
      <c r="V90" s="2008">
        <v>1.9960079840319365E-2</v>
      </c>
      <c r="W90" s="2008">
        <v>6.4000000000000001E-2</v>
      </c>
      <c r="X90" s="2008">
        <v>5.9999999999999991E-2</v>
      </c>
      <c r="Y90" s="2008">
        <v>2.6865671641791052E-2</v>
      </c>
      <c r="Z90" s="2008">
        <v>0.1500994035785288</v>
      </c>
      <c r="AA90" s="2008">
        <v>0.1500994035785288</v>
      </c>
      <c r="AB90" s="2008">
        <v>1.6898608349900601E-2</v>
      </c>
      <c r="AC90" s="2008">
        <v>1.689860834990059E-2</v>
      </c>
      <c r="AD90" s="2008">
        <v>6.4000000000000001E-2</v>
      </c>
      <c r="AE90" s="2008">
        <v>2.3696682464454978E-2</v>
      </c>
    </row>
    <row r="91" spans="16:31">
      <c r="P91" s="1070">
        <v>19</v>
      </c>
      <c r="Q91" s="2008">
        <v>4.8000000000000008E-2</v>
      </c>
      <c r="R91" s="2008">
        <v>4.5999999999999999E-2</v>
      </c>
      <c r="S91" s="2008">
        <v>4.1666666666666678E-2</v>
      </c>
      <c r="T91" s="2008">
        <v>0.12</v>
      </c>
      <c r="U91" s="2008">
        <v>7.4925074925074928E-2</v>
      </c>
      <c r="V91" s="2008">
        <v>1.9960079840319365E-2</v>
      </c>
      <c r="W91" s="2008">
        <v>4.1000000000000002E-2</v>
      </c>
      <c r="X91" s="2008">
        <v>6.9999999999999993E-2</v>
      </c>
      <c r="Y91" s="2008">
        <v>2.6865671641791052E-2</v>
      </c>
      <c r="Z91" s="2008">
        <v>4.2743538767395631E-2</v>
      </c>
      <c r="AA91" s="2008">
        <v>4.2743538767395624E-2</v>
      </c>
      <c r="AB91" s="2008">
        <v>7.9522862823061657E-3</v>
      </c>
      <c r="AC91" s="2008">
        <v>7.9522862823061605E-3</v>
      </c>
      <c r="AD91" s="2008">
        <v>7.8E-2</v>
      </c>
      <c r="AE91" s="2008">
        <v>5.6872037914691947E-2</v>
      </c>
    </row>
    <row r="92" spans="16:31">
      <c r="P92" s="1070">
        <v>20</v>
      </c>
      <c r="Q92" s="2008">
        <v>5.3000000000000005E-2</v>
      </c>
      <c r="R92" s="2008">
        <v>4.4999999999999998E-2</v>
      </c>
      <c r="S92" s="2008">
        <v>4.1666666666666678E-2</v>
      </c>
      <c r="T92" s="2008">
        <v>0.08</v>
      </c>
      <c r="U92" s="2008">
        <v>9.9900099900099903E-2</v>
      </c>
      <c r="V92" s="2008">
        <v>1.9960079840319365E-2</v>
      </c>
      <c r="W92" s="2008">
        <v>1.8000000000000006E-2</v>
      </c>
      <c r="X92" s="2008">
        <v>8.1000000000000003E-2</v>
      </c>
      <c r="Y92" s="2008">
        <v>3.1840796019900509E-2</v>
      </c>
      <c r="Z92" s="2008">
        <v>5.3677932405566613E-2</v>
      </c>
      <c r="AA92" s="2008">
        <v>5.3677932405566592E-2</v>
      </c>
      <c r="AB92" s="2008">
        <v>4.9701789264413529E-3</v>
      </c>
      <c r="AC92" s="2008">
        <v>4.9701789264413494E-3</v>
      </c>
      <c r="AD92" s="2008">
        <v>9.2999999999999999E-2</v>
      </c>
      <c r="AE92" s="2008">
        <v>5.6872037914691947E-2</v>
      </c>
    </row>
    <row r="93" spans="16:31">
      <c r="P93" s="1070">
        <v>21</v>
      </c>
      <c r="Q93" s="2008">
        <v>5.1000000000000011E-2</v>
      </c>
      <c r="R93" s="2008">
        <v>4.4999999999999998E-2</v>
      </c>
      <c r="S93" s="2008">
        <v>4.1666666666666678E-2</v>
      </c>
      <c r="T93" s="2008">
        <v>0.05</v>
      </c>
      <c r="U93" s="2008">
        <v>5.8941058941058944E-2</v>
      </c>
      <c r="V93" s="2008">
        <v>1.9960079840319365E-2</v>
      </c>
      <c r="W93" s="2008">
        <v>2.7999999999999994E-2</v>
      </c>
      <c r="X93" s="2008">
        <v>8.699999999999998E-2</v>
      </c>
      <c r="Y93" s="2008">
        <v>3.681592039800996E-2</v>
      </c>
      <c r="Z93" s="2008">
        <v>4.2743538767395631E-2</v>
      </c>
      <c r="AA93" s="2008">
        <v>4.2743538767395624E-2</v>
      </c>
      <c r="AB93" s="2008">
        <v>2.982107355864811E-3</v>
      </c>
      <c r="AC93" s="2008">
        <v>2.9821073558648093E-3</v>
      </c>
      <c r="AD93" s="2008">
        <v>8.6999999999999994E-2</v>
      </c>
      <c r="AE93" s="2008">
        <v>5.6872037914691947E-2</v>
      </c>
    </row>
    <row r="94" spans="16:31">
      <c r="P94" s="1070">
        <v>22</v>
      </c>
      <c r="Q94" s="2008">
        <v>5.000000000000001E-2</v>
      </c>
      <c r="R94" s="2008">
        <v>4.4999999999999998E-2</v>
      </c>
      <c r="S94" s="2008">
        <v>4.1666666666666678E-2</v>
      </c>
      <c r="T94" s="2008">
        <v>0.02</v>
      </c>
      <c r="U94" s="2008">
        <v>1.798201798201798E-2</v>
      </c>
      <c r="V94" s="2008">
        <v>1.9960079840319365E-2</v>
      </c>
      <c r="W94" s="2008">
        <v>3.7000000000000012E-2</v>
      </c>
      <c r="X94" s="2008">
        <v>9.2999999999999999E-2</v>
      </c>
      <c r="Y94" s="2008">
        <v>3.681592039800996E-2</v>
      </c>
      <c r="Z94" s="2008">
        <v>4.2743538767395631E-2</v>
      </c>
      <c r="AA94" s="2008">
        <v>4.2743538767395624E-2</v>
      </c>
      <c r="AB94" s="2008">
        <v>2.982107355864811E-3</v>
      </c>
      <c r="AC94" s="2008">
        <v>2.9821073558648093E-3</v>
      </c>
      <c r="AD94" s="2008">
        <v>0.08</v>
      </c>
      <c r="AE94" s="2008">
        <v>5.6872037914691947E-2</v>
      </c>
    </row>
    <row r="95" spans="16:31">
      <c r="P95" s="1070">
        <v>23</v>
      </c>
      <c r="Q95" s="2008">
        <v>4.7000000000000014E-2</v>
      </c>
      <c r="R95" s="2008">
        <v>4.4000000000000004E-2</v>
      </c>
      <c r="S95" s="2008">
        <v>4.1666666666666678E-2</v>
      </c>
      <c r="T95" s="2008">
        <v>1.4999999999999999E-2</v>
      </c>
      <c r="U95" s="2008">
        <v>8.9910089910089901E-3</v>
      </c>
      <c r="V95" s="2008">
        <v>9.9800399201596824E-3</v>
      </c>
      <c r="W95" s="2008">
        <v>3.6000000000000011E-2</v>
      </c>
      <c r="X95" s="2008">
        <v>8.1000000000000003E-2</v>
      </c>
      <c r="Y95" s="2008">
        <v>3.681592039800996E-2</v>
      </c>
      <c r="Z95" s="2008">
        <v>2.186878727634195E-2</v>
      </c>
      <c r="AA95" s="2008">
        <v>2.186878727634195E-2</v>
      </c>
      <c r="AB95" s="2008">
        <v>2.982107355864811E-3</v>
      </c>
      <c r="AC95" s="2008">
        <v>2.9821073558648093E-3</v>
      </c>
      <c r="AD95" s="2008">
        <v>6.8000000000000005E-2</v>
      </c>
      <c r="AE95" s="2008">
        <v>5.6872037914691947E-2</v>
      </c>
    </row>
    <row r="96" spans="16:31">
      <c r="P96" s="1070">
        <v>24</v>
      </c>
      <c r="Q96" s="2008">
        <v>4.4000000000000011E-2</v>
      </c>
      <c r="R96" s="2008">
        <v>4.299999999999999E-2</v>
      </c>
      <c r="S96" s="2008">
        <v>4.1666666666666678E-2</v>
      </c>
      <c r="T96" s="2008">
        <v>0.01</v>
      </c>
      <c r="U96" s="2008">
        <v>9.9900099900099922E-4</v>
      </c>
      <c r="V96" s="2008">
        <v>0</v>
      </c>
      <c r="W96" s="2008">
        <v>3.500000000000001E-2</v>
      </c>
      <c r="X96" s="2008">
        <v>6.8999999999999992E-2</v>
      </c>
      <c r="Y96" s="2008">
        <v>3.1840796019900509E-2</v>
      </c>
      <c r="Z96" s="2008">
        <v>2.186878727634195E-2</v>
      </c>
      <c r="AA96" s="2008">
        <v>2.186878727634195E-2</v>
      </c>
      <c r="AB96" s="2008">
        <v>2.982107355864811E-3</v>
      </c>
      <c r="AC96" s="2008">
        <v>2.9821073558648093E-3</v>
      </c>
      <c r="AD96" s="2008">
        <v>5.5E-2</v>
      </c>
      <c r="AE96" s="2008">
        <v>5.6872037914691947E-2</v>
      </c>
    </row>
    <row r="99" spans="16:31">
      <c r="P99" s="2007" t="str">
        <f>Q1</f>
        <v>Summer (April - September)</v>
      </c>
    </row>
    <row r="100" spans="16:31">
      <c r="P100" s="1070" t="s">
        <v>1277</v>
      </c>
      <c r="Q100" s="1070" t="s">
        <v>6436</v>
      </c>
      <c r="R100" s="1070" t="s">
        <v>1158</v>
      </c>
      <c r="S100" s="1070" t="s">
        <v>992</v>
      </c>
      <c r="T100" s="1070" t="s">
        <v>6437</v>
      </c>
      <c r="U100" s="1070" t="s">
        <v>526</v>
      </c>
      <c r="V100" s="1070" t="s">
        <v>6423</v>
      </c>
      <c r="W100" s="1070" t="s">
        <v>6424</v>
      </c>
      <c r="X100" s="1070" t="s">
        <v>814</v>
      </c>
      <c r="Y100" s="1070" t="s">
        <v>6425</v>
      </c>
      <c r="Z100" s="1070" t="s">
        <v>6501</v>
      </c>
      <c r="AA100" s="1070" t="s">
        <v>6426</v>
      </c>
      <c r="AB100" s="1070" t="s">
        <v>6502</v>
      </c>
      <c r="AC100" s="1070" t="s">
        <v>6441</v>
      </c>
      <c r="AD100" s="1070" t="s">
        <v>6428</v>
      </c>
      <c r="AE100" s="1070" t="s">
        <v>6443</v>
      </c>
    </row>
    <row r="101" spans="16:31">
      <c r="P101" s="1623">
        <v>1</v>
      </c>
      <c r="Q101" s="2008">
        <v>1.4042126379137409E-2</v>
      </c>
      <c r="R101" s="2008">
        <v>3.992015968063873E-2</v>
      </c>
      <c r="S101" s="2008">
        <v>3.9039039039039027E-2</v>
      </c>
      <c r="T101" s="2008">
        <v>3.0000000000000005E-3</v>
      </c>
      <c r="U101" s="2008">
        <v>5.9820538384845467E-3</v>
      </c>
      <c r="V101" s="2008">
        <v>5.0050050050050041E-3</v>
      </c>
      <c r="W101" s="2008">
        <v>8.9820359281437123E-3</v>
      </c>
      <c r="X101" s="2008">
        <v>4.187437686939182E-2</v>
      </c>
      <c r="Y101" s="2008">
        <v>3.7037037037037042E-2</v>
      </c>
      <c r="Z101" s="2008">
        <v>2.5819265143992055E-2</v>
      </c>
      <c r="AA101" s="2008">
        <v>2.5819265143992059E-2</v>
      </c>
      <c r="AB101" s="2008">
        <v>4.000000000000001E-3</v>
      </c>
      <c r="AC101" s="2008">
        <v>4.0000000000000001E-3</v>
      </c>
      <c r="AD101" s="2008">
        <v>4.8000000000000008E-2</v>
      </c>
      <c r="AE101" s="2008">
        <v>5.6872037914691947E-2</v>
      </c>
    </row>
    <row r="102" spans="16:31">
      <c r="P102" s="1623">
        <v>2</v>
      </c>
      <c r="Q102" s="2008">
        <v>1.0030090270812435E-2</v>
      </c>
      <c r="R102" s="2008">
        <v>3.8922155688622763E-2</v>
      </c>
      <c r="S102" s="2008">
        <v>3.9039039039039027E-2</v>
      </c>
      <c r="T102" s="2008">
        <v>2.0000000000000009E-3</v>
      </c>
      <c r="U102" s="2008">
        <v>0</v>
      </c>
      <c r="V102" s="2008">
        <v>1.0010010010010008E-3</v>
      </c>
      <c r="W102" s="2008">
        <v>2.9940119760479039E-3</v>
      </c>
      <c r="X102" s="2008">
        <v>1.196410767696909E-2</v>
      </c>
      <c r="Y102" s="2008">
        <v>3.7037037037037042E-2</v>
      </c>
      <c r="Z102" s="2008">
        <v>2.5819265143992055E-2</v>
      </c>
      <c r="AA102" s="2008">
        <v>2.5819265143992059E-2</v>
      </c>
      <c r="AB102" s="2008">
        <v>4.000000000000001E-3</v>
      </c>
      <c r="AC102" s="2008">
        <v>4.0000000000000001E-3</v>
      </c>
      <c r="AD102" s="2008">
        <v>2.2999999999999996E-2</v>
      </c>
      <c r="AE102" s="2008">
        <v>5.6872037914691947E-2</v>
      </c>
    </row>
    <row r="103" spans="16:31">
      <c r="P103" s="1623">
        <v>3</v>
      </c>
      <c r="Q103" s="2008">
        <v>1.3039117352056167E-2</v>
      </c>
      <c r="R103" s="2008">
        <v>3.7924151696606796E-2</v>
      </c>
      <c r="S103" s="2008">
        <v>3.9039039039039027E-2</v>
      </c>
      <c r="T103" s="2008">
        <v>2.0000000000000009E-3</v>
      </c>
      <c r="U103" s="2008">
        <v>0</v>
      </c>
      <c r="V103" s="2008">
        <v>1.0010010010010008E-3</v>
      </c>
      <c r="W103" s="2008">
        <v>2.9940119760479039E-3</v>
      </c>
      <c r="X103" s="2008">
        <v>5.982053838484545E-3</v>
      </c>
      <c r="Y103" s="2008">
        <v>5.9059059059059067E-2</v>
      </c>
      <c r="Z103" s="2008">
        <v>2.5819265143992055E-2</v>
      </c>
      <c r="AA103" s="2008">
        <v>2.5819265143992059E-2</v>
      </c>
      <c r="AB103" s="2008">
        <v>5.0000000000000001E-3</v>
      </c>
      <c r="AC103" s="2008">
        <v>5.0000000000000001E-3</v>
      </c>
      <c r="AD103" s="2008">
        <v>1.9E-2</v>
      </c>
      <c r="AE103" s="2008">
        <v>5.6872037914691947E-2</v>
      </c>
    </row>
    <row r="104" spans="16:31">
      <c r="P104" s="1623">
        <v>4</v>
      </c>
      <c r="Q104" s="2008">
        <v>1.60481444332999E-2</v>
      </c>
      <c r="R104" s="2008">
        <v>3.6926147704590823E-2</v>
      </c>
      <c r="S104" s="2008">
        <v>3.9039039039039027E-2</v>
      </c>
      <c r="T104" s="2008">
        <v>3.0000000000000005E-3</v>
      </c>
      <c r="U104" s="2008">
        <v>0</v>
      </c>
      <c r="V104" s="2008">
        <v>1.0010010010010008E-3</v>
      </c>
      <c r="W104" s="2008">
        <v>1.9960079840319364E-3</v>
      </c>
      <c r="X104" s="2008">
        <v>0</v>
      </c>
      <c r="Y104" s="2008">
        <v>7.4074074074074084E-2</v>
      </c>
      <c r="Z104" s="2008">
        <v>2.5819265143992055E-2</v>
      </c>
      <c r="AA104" s="2008">
        <v>2.5819265143992059E-2</v>
      </c>
      <c r="AB104" s="2008">
        <v>5.0000000000000001E-3</v>
      </c>
      <c r="AC104" s="2008">
        <v>5.0000000000000001E-3</v>
      </c>
      <c r="AD104" s="2008">
        <v>1.4999999999999999E-2</v>
      </c>
      <c r="AE104" s="2008">
        <v>5.6872037914691947E-2</v>
      </c>
    </row>
    <row r="105" spans="16:31">
      <c r="P105" s="1623">
        <v>5</v>
      </c>
      <c r="Q105" s="2008">
        <v>3.3099297893681039E-2</v>
      </c>
      <c r="R105" s="2008">
        <v>3.6926147704590823E-2</v>
      </c>
      <c r="S105" s="2008">
        <v>3.8038038038038034E-2</v>
      </c>
      <c r="T105" s="2008">
        <v>1.3000000000000003E-2</v>
      </c>
      <c r="U105" s="2008">
        <v>3.9880358923230315E-3</v>
      </c>
      <c r="V105" s="2008">
        <v>9.0090090090090055E-3</v>
      </c>
      <c r="W105" s="2008">
        <v>4.9900199600798412E-3</v>
      </c>
      <c r="X105" s="2008">
        <v>0</v>
      </c>
      <c r="Y105" s="2008">
        <v>5.2052052052052065E-2</v>
      </c>
      <c r="Z105" s="2008">
        <v>5.0645481628599803E-2</v>
      </c>
      <c r="AA105" s="2008">
        <v>5.0645481628599796E-2</v>
      </c>
      <c r="AB105" s="2008">
        <v>1.1000000000000005E-2</v>
      </c>
      <c r="AC105" s="2008">
        <v>1.1000000000000003E-2</v>
      </c>
      <c r="AD105" s="2008">
        <v>1.6E-2</v>
      </c>
      <c r="AE105" s="2008">
        <v>5.6872037914691947E-2</v>
      </c>
    </row>
    <row r="106" spans="16:31">
      <c r="P106" s="1623">
        <v>6</v>
      </c>
      <c r="Q106" s="2008">
        <v>5.0150451354062181E-2</v>
      </c>
      <c r="R106" s="2008">
        <v>3.6926147704590823E-2</v>
      </c>
      <c r="S106" s="2008">
        <v>3.7037037037037035E-2</v>
      </c>
      <c r="T106" s="2008">
        <v>2.3000000000000003E-2</v>
      </c>
      <c r="U106" s="2008">
        <v>6.9790628115653031E-3</v>
      </c>
      <c r="V106" s="2008">
        <v>1.8018018018018011E-2</v>
      </c>
      <c r="W106" s="2008">
        <v>6.9860279441117754E-3</v>
      </c>
      <c r="X106" s="2008">
        <v>0</v>
      </c>
      <c r="Y106" s="2008">
        <v>6.006006006006008E-2</v>
      </c>
      <c r="Z106" s="2008">
        <v>7.9443892750744788E-2</v>
      </c>
      <c r="AA106" s="2008">
        <v>7.9443892750744788E-2</v>
      </c>
      <c r="AB106" s="2008">
        <v>1.5000000000000001E-2</v>
      </c>
      <c r="AC106" s="2008">
        <v>1.4999999999999999E-2</v>
      </c>
      <c r="AD106" s="2008">
        <v>1.9E-2</v>
      </c>
      <c r="AE106" s="2008">
        <v>5.6872037914691947E-2</v>
      </c>
    </row>
    <row r="107" spans="16:31">
      <c r="P107" s="1623">
        <v>7</v>
      </c>
      <c r="Q107" s="2008">
        <v>6.3189568706118346E-2</v>
      </c>
      <c r="R107" s="2008">
        <v>3.7924151696606796E-2</v>
      </c>
      <c r="S107" s="2008">
        <v>3.7037037037037035E-2</v>
      </c>
      <c r="T107" s="2008">
        <v>3.2000000000000015E-2</v>
      </c>
      <c r="U107" s="2008">
        <v>2.8913260219341975E-2</v>
      </c>
      <c r="V107" s="2008">
        <v>4.3043043043043031E-2</v>
      </c>
      <c r="W107" s="2008">
        <v>2.2954091816367265E-2</v>
      </c>
      <c r="X107" s="2008">
        <v>4.9850448654037878E-3</v>
      </c>
      <c r="Y107" s="2008">
        <v>6.7067067067067068E-2</v>
      </c>
      <c r="Z107" s="2008">
        <v>5.9582919563058591E-2</v>
      </c>
      <c r="AA107" s="2008">
        <v>5.9582919563058591E-2</v>
      </c>
      <c r="AB107" s="2008">
        <v>2.4000000000000004E-2</v>
      </c>
      <c r="AC107" s="2008">
        <v>2.3999999999999997E-2</v>
      </c>
      <c r="AD107" s="2008">
        <v>2.4000000000000004E-2</v>
      </c>
      <c r="AE107" s="2008">
        <v>5.6872037914691947E-2</v>
      </c>
    </row>
    <row r="108" spans="16:31">
      <c r="P108" s="1623">
        <v>8</v>
      </c>
      <c r="Q108" s="2008">
        <v>7.6228686058174511E-2</v>
      </c>
      <c r="R108" s="2008">
        <v>3.8922155688622763E-2</v>
      </c>
      <c r="S108" s="2008">
        <v>3.8038038038038034E-2</v>
      </c>
      <c r="T108" s="2008">
        <v>4.2000000000000016E-2</v>
      </c>
      <c r="U108" s="2008">
        <v>4.9850448654037885E-2</v>
      </c>
      <c r="V108" s="2008">
        <v>6.9069069069069067E-2</v>
      </c>
      <c r="W108" s="2008">
        <v>3.8922155688622756E-2</v>
      </c>
      <c r="X108" s="2008">
        <v>8.9730807577268201E-3</v>
      </c>
      <c r="Y108" s="2008">
        <v>5.9059059059059067E-2</v>
      </c>
      <c r="Z108" s="2008">
        <v>1.6881827209533268E-2</v>
      </c>
      <c r="AA108" s="2008">
        <v>1.6881827209533268E-2</v>
      </c>
      <c r="AB108" s="2008">
        <v>4.8000000000000008E-2</v>
      </c>
      <c r="AC108" s="2008">
        <v>4.7999999999999994E-2</v>
      </c>
      <c r="AD108" s="2008">
        <v>2.7999999999999997E-2</v>
      </c>
      <c r="AE108" s="2008">
        <v>2.3696682464454978E-2</v>
      </c>
    </row>
    <row r="109" spans="16:31">
      <c r="P109" s="1623">
        <v>9</v>
      </c>
      <c r="Q109" s="2008">
        <v>6.9207622868605809E-2</v>
      </c>
      <c r="R109" s="2008">
        <v>3.8922155688622763E-2</v>
      </c>
      <c r="S109" s="2008">
        <v>3.9039039039039027E-2</v>
      </c>
      <c r="T109" s="2008">
        <v>4.2000000000000016E-2</v>
      </c>
      <c r="U109" s="2008">
        <v>5.3838484546360914E-2</v>
      </c>
      <c r="V109" s="2008">
        <v>8.0080080080080066E-2</v>
      </c>
      <c r="W109" s="2008">
        <v>5.8882235528942124E-2</v>
      </c>
      <c r="X109" s="2008">
        <v>1.8943170488534396E-2</v>
      </c>
      <c r="Y109" s="2008">
        <v>5.9059059059059067E-2</v>
      </c>
      <c r="Z109" s="2008">
        <v>2.5819265143992055E-2</v>
      </c>
      <c r="AA109" s="2008">
        <v>2.5819265143992059E-2</v>
      </c>
      <c r="AB109" s="2008">
        <v>9.5000000000000015E-2</v>
      </c>
      <c r="AC109" s="2008">
        <v>9.5000000000000001E-2</v>
      </c>
      <c r="AD109" s="2008">
        <v>3.1000000000000003E-2</v>
      </c>
      <c r="AE109" s="2008">
        <v>2.3696682464454978E-2</v>
      </c>
    </row>
    <row r="110" spans="16:31">
      <c r="P110" s="1623">
        <v>10</v>
      </c>
      <c r="Q110" s="2008">
        <v>6.3189568706118346E-2</v>
      </c>
      <c r="R110" s="2008">
        <v>3.992015968063873E-2</v>
      </c>
      <c r="S110" s="2008">
        <v>4.1041041041041025E-2</v>
      </c>
      <c r="T110" s="2008">
        <v>4.2000000000000016E-2</v>
      </c>
      <c r="U110" s="2008">
        <v>5.782652043868395E-2</v>
      </c>
      <c r="V110" s="2008">
        <v>9.1091091091091078E-2</v>
      </c>
      <c r="W110" s="2008">
        <v>7.7844311377245512E-2</v>
      </c>
      <c r="X110" s="2008">
        <v>2.8913260219341971E-2</v>
      </c>
      <c r="Y110" s="2008">
        <v>5.9059059059059067E-2</v>
      </c>
      <c r="Z110" s="2008">
        <v>1.6881827209533268E-2</v>
      </c>
      <c r="AA110" s="2008">
        <v>1.6881827209533268E-2</v>
      </c>
      <c r="AB110" s="2008">
        <v>0.12800000000000003</v>
      </c>
      <c r="AC110" s="2008">
        <v>0.128</v>
      </c>
      <c r="AD110" s="2008">
        <v>3.4000000000000009E-2</v>
      </c>
      <c r="AE110" s="2008">
        <v>2.3696682464454978E-2</v>
      </c>
    </row>
    <row r="111" spans="16:31">
      <c r="P111" s="1623">
        <v>11</v>
      </c>
      <c r="Q111" s="2008">
        <v>5.3159478435305912E-2</v>
      </c>
      <c r="R111" s="2008">
        <v>4.0918163672654696E-2</v>
      </c>
      <c r="S111" s="2008">
        <v>4.2042042042042038E-2</v>
      </c>
      <c r="T111" s="2008">
        <v>4.7000000000000014E-2</v>
      </c>
      <c r="U111" s="2008">
        <v>4.6859421734795619E-2</v>
      </c>
      <c r="V111" s="2008">
        <v>8.0080080080080066E-2</v>
      </c>
      <c r="W111" s="2008">
        <v>8.0838323353293426E-2</v>
      </c>
      <c r="X111" s="2008">
        <v>3.1904287138584252E-2</v>
      </c>
      <c r="Y111" s="2008">
        <v>4.4044044044044051E-2</v>
      </c>
      <c r="Z111" s="2008">
        <v>8.9374379344587876E-3</v>
      </c>
      <c r="AA111" s="2008">
        <v>8.9374379344587893E-3</v>
      </c>
      <c r="AB111" s="2008">
        <v>0.11500000000000003</v>
      </c>
      <c r="AC111" s="2008">
        <v>0.115</v>
      </c>
      <c r="AD111" s="2008">
        <v>3.5000000000000003E-2</v>
      </c>
      <c r="AE111" s="2008">
        <v>2.3696682464454978E-2</v>
      </c>
    </row>
    <row r="112" spans="16:31">
      <c r="P112" s="1623">
        <v>12</v>
      </c>
      <c r="Q112" s="2008">
        <v>4.3129388164493479E-2</v>
      </c>
      <c r="R112" s="2008">
        <v>4.2914171656686644E-2</v>
      </c>
      <c r="S112" s="2008">
        <v>4.4044044044044037E-2</v>
      </c>
      <c r="T112" s="2008">
        <v>5.2000000000000011E-2</v>
      </c>
      <c r="U112" s="2008">
        <v>3.589232303090728E-2</v>
      </c>
      <c r="V112" s="2008">
        <v>6.9069069069069067E-2</v>
      </c>
      <c r="W112" s="2008">
        <v>8.3832335329341312E-2</v>
      </c>
      <c r="X112" s="2008">
        <v>3.4895314057826518E-2</v>
      </c>
      <c r="Y112" s="2008">
        <v>3.7037037037037042E-2</v>
      </c>
      <c r="Z112" s="2008">
        <v>1.6881827209533268E-2</v>
      </c>
      <c r="AA112" s="2008">
        <v>1.6881827209533268E-2</v>
      </c>
      <c r="AB112" s="2008">
        <v>0.10200000000000001</v>
      </c>
      <c r="AC112" s="2008">
        <v>0.10199999999999999</v>
      </c>
      <c r="AD112" s="2008">
        <v>3.7000000000000005E-2</v>
      </c>
      <c r="AE112" s="2008">
        <v>2.3696682464454978E-2</v>
      </c>
    </row>
    <row r="113" spans="16:31">
      <c r="P113" s="1623">
        <v>13</v>
      </c>
      <c r="Q113" s="2008">
        <v>4.0120361083249741E-2</v>
      </c>
      <c r="R113" s="2008">
        <v>4.2914171656686644E-2</v>
      </c>
      <c r="S113" s="2008">
        <v>4.504504504504505E-2</v>
      </c>
      <c r="T113" s="2008">
        <v>4.4000000000000018E-2</v>
      </c>
      <c r="U113" s="2008">
        <v>3.9880358923230309E-2</v>
      </c>
      <c r="V113" s="2008">
        <v>6.3063063063063043E-2</v>
      </c>
      <c r="W113" s="2008">
        <v>7.3852295409181631E-2</v>
      </c>
      <c r="X113" s="2008">
        <v>3.6889332003988029E-2</v>
      </c>
      <c r="Y113" s="2008">
        <v>3.003003003003004E-2</v>
      </c>
      <c r="Z113" s="2008">
        <v>1.6881827209533268E-2</v>
      </c>
      <c r="AA113" s="2008">
        <v>1.6881827209533268E-2</v>
      </c>
      <c r="AB113" s="2008">
        <v>0.10000000000000003</v>
      </c>
      <c r="AC113" s="2008">
        <v>9.9999999999999992E-2</v>
      </c>
      <c r="AD113" s="2008">
        <v>3.6000000000000011E-2</v>
      </c>
      <c r="AE113" s="2008">
        <v>2.3696682464454978E-2</v>
      </c>
    </row>
    <row r="114" spans="16:31">
      <c r="P114" s="1623">
        <v>14</v>
      </c>
      <c r="Q114" s="2008">
        <v>3.7111334002006016E-2</v>
      </c>
      <c r="R114" s="2008">
        <v>4.2914171656686644E-2</v>
      </c>
      <c r="S114" s="2008">
        <v>4.6046046046046035E-2</v>
      </c>
      <c r="T114" s="2008">
        <v>3.6000000000000011E-2</v>
      </c>
      <c r="U114" s="2008">
        <v>4.2871385842472583E-2</v>
      </c>
      <c r="V114" s="2008">
        <v>5.805805805805804E-2</v>
      </c>
      <c r="W114" s="2008">
        <v>6.2874251497005998E-2</v>
      </c>
      <c r="X114" s="2008">
        <v>3.7886340977068791E-2</v>
      </c>
      <c r="Y114" s="2008">
        <v>3.003003003003004E-2</v>
      </c>
      <c r="Z114" s="2008">
        <v>1.6881827209533268E-2</v>
      </c>
      <c r="AA114" s="2008">
        <v>1.6881827209533268E-2</v>
      </c>
      <c r="AB114" s="2008">
        <v>9.1000000000000011E-2</v>
      </c>
      <c r="AC114" s="2008">
        <v>9.0999999999999984E-2</v>
      </c>
      <c r="AD114" s="2008">
        <v>3.6000000000000011E-2</v>
      </c>
      <c r="AE114" s="2008">
        <v>2.3696682464454978E-2</v>
      </c>
    </row>
    <row r="115" spans="16:31">
      <c r="P115" s="1623">
        <v>15</v>
      </c>
      <c r="Q115" s="2008">
        <v>3.7111334002006016E-2</v>
      </c>
      <c r="R115" s="2008">
        <v>4.391217564870261E-2</v>
      </c>
      <c r="S115" s="2008">
        <v>4.7047047047047048E-2</v>
      </c>
      <c r="T115" s="2008">
        <v>4.7000000000000014E-2</v>
      </c>
      <c r="U115" s="2008">
        <v>3.589232303090728E-2</v>
      </c>
      <c r="V115" s="2008">
        <v>5.3053053053053037E-2</v>
      </c>
      <c r="W115" s="2008">
        <v>5.8882235528942124E-2</v>
      </c>
      <c r="X115" s="2008">
        <v>4.0877367896311058E-2</v>
      </c>
      <c r="Y115" s="2008">
        <v>2.2022022022022025E-2</v>
      </c>
      <c r="Z115" s="2008">
        <v>2.5819265143992055E-2</v>
      </c>
      <c r="AA115" s="2008">
        <v>2.5819265143992059E-2</v>
      </c>
      <c r="AB115" s="2008">
        <v>7.9000000000000015E-2</v>
      </c>
      <c r="AC115" s="2008">
        <v>7.9000000000000001E-2</v>
      </c>
      <c r="AD115" s="2008">
        <v>3.6000000000000011E-2</v>
      </c>
      <c r="AE115" s="2008">
        <v>2.3696682464454978E-2</v>
      </c>
    </row>
    <row r="116" spans="16:31">
      <c r="P116" s="1623">
        <v>16</v>
      </c>
      <c r="Q116" s="2008">
        <v>3.6108324974924763E-2</v>
      </c>
      <c r="R116" s="2008">
        <v>4.4910179640718577E-2</v>
      </c>
      <c r="S116" s="2008">
        <v>4.8048048048048041E-2</v>
      </c>
      <c r="T116" s="2008">
        <v>5.800000000000001E-2</v>
      </c>
      <c r="U116" s="2008">
        <v>2.8913260219341975E-2</v>
      </c>
      <c r="V116" s="2008">
        <v>4.9049049049049033E-2</v>
      </c>
      <c r="W116" s="2008">
        <v>5.389221556886227E-2</v>
      </c>
      <c r="X116" s="2008">
        <v>4.2871385842472576E-2</v>
      </c>
      <c r="Y116" s="2008">
        <v>2.2022022022022025E-2</v>
      </c>
      <c r="Z116" s="2008">
        <v>9.3346573982125133E-2</v>
      </c>
      <c r="AA116" s="2008">
        <v>9.3346573982125133E-2</v>
      </c>
      <c r="AB116" s="2008">
        <v>6.3000000000000028E-2</v>
      </c>
      <c r="AC116" s="2008">
        <v>6.3E-2</v>
      </c>
      <c r="AD116" s="2008">
        <v>3.6000000000000011E-2</v>
      </c>
      <c r="AE116" s="2008">
        <v>2.3696682464454978E-2</v>
      </c>
    </row>
    <row r="117" spans="16:31">
      <c r="P117" s="1623">
        <v>17</v>
      </c>
      <c r="Q117" s="2008">
        <v>4.6138415245737197E-2</v>
      </c>
      <c r="R117" s="2008">
        <v>4.5908183632734544E-2</v>
      </c>
      <c r="S117" s="2008">
        <v>4.6046046046046035E-2</v>
      </c>
      <c r="T117" s="2008">
        <v>0.11000000000000001</v>
      </c>
      <c r="U117" s="2008">
        <v>6.0817547357926223E-2</v>
      </c>
      <c r="V117" s="2008">
        <v>5.0050050050050032E-2</v>
      </c>
      <c r="W117" s="2008">
        <v>5.4890219560878237E-2</v>
      </c>
      <c r="X117" s="2008">
        <v>4.6859421734795619E-2</v>
      </c>
      <c r="Y117" s="2008">
        <v>2.2022022022022025E-2</v>
      </c>
      <c r="Z117" s="2008">
        <v>5.9582919563058591E-2</v>
      </c>
      <c r="AA117" s="2008">
        <v>5.9582919563058591E-2</v>
      </c>
      <c r="AB117" s="2008">
        <v>3.7000000000000012E-2</v>
      </c>
      <c r="AC117" s="2008">
        <v>3.7000000000000005E-2</v>
      </c>
      <c r="AD117" s="2008">
        <v>4.2999999999999997E-2</v>
      </c>
      <c r="AE117" s="2008">
        <v>2.3696682464454978E-2</v>
      </c>
    </row>
    <row r="118" spans="16:31">
      <c r="P118" s="1623">
        <v>18</v>
      </c>
      <c r="Q118" s="2008">
        <v>5.6168505516549637E-2</v>
      </c>
      <c r="R118" s="2008">
        <v>4.690618762475051E-2</v>
      </c>
      <c r="S118" s="2008">
        <v>4.504504504504505E-2</v>
      </c>
      <c r="T118" s="2008">
        <v>0.16200000000000003</v>
      </c>
      <c r="U118" s="2008">
        <v>9.2721834496510461E-2</v>
      </c>
      <c r="V118" s="2008">
        <v>5.2052052052052045E-2</v>
      </c>
      <c r="W118" s="2008">
        <v>5.4890219560878237E-2</v>
      </c>
      <c r="X118" s="2008">
        <v>4.9850448654037885E-2</v>
      </c>
      <c r="Y118" s="2008">
        <v>2.2022022022022025E-2</v>
      </c>
      <c r="Z118" s="2008">
        <v>9.3346573982125133E-2</v>
      </c>
      <c r="AA118" s="2008">
        <v>9.3346573982125133E-2</v>
      </c>
      <c r="AB118" s="2008">
        <v>3.0000000000000002E-2</v>
      </c>
      <c r="AC118" s="2008">
        <v>0.03</v>
      </c>
      <c r="AD118" s="2008">
        <v>0.05</v>
      </c>
      <c r="AE118" s="2008">
        <v>2.3696682464454978E-2</v>
      </c>
    </row>
    <row r="119" spans="16:31">
      <c r="P119" s="1623">
        <v>19</v>
      </c>
      <c r="Q119" s="2008">
        <v>5.5165496489468398E-2</v>
      </c>
      <c r="R119" s="2008">
        <v>4.5908183632734544E-2</v>
      </c>
      <c r="S119" s="2008">
        <v>4.4044044044044037E-2</v>
      </c>
      <c r="T119" s="2008">
        <v>0.11000000000000001</v>
      </c>
      <c r="U119" s="2008">
        <v>0.10368893320039881</v>
      </c>
      <c r="V119" s="2008">
        <v>5.2052052052052045E-2</v>
      </c>
      <c r="W119" s="2008">
        <v>5.389221556886227E-2</v>
      </c>
      <c r="X119" s="2008">
        <v>6.9790628115653036E-2</v>
      </c>
      <c r="Y119" s="2008">
        <v>2.2022022022022025E-2</v>
      </c>
      <c r="Z119" s="2008">
        <v>9.3346573982125133E-2</v>
      </c>
      <c r="AA119" s="2008">
        <v>9.3346573982125133E-2</v>
      </c>
      <c r="AB119" s="2008">
        <v>1.9000000000000003E-2</v>
      </c>
      <c r="AC119" s="2008">
        <v>1.9E-2</v>
      </c>
      <c r="AD119" s="2008">
        <v>5.4000000000000006E-2</v>
      </c>
      <c r="AE119" s="2008">
        <v>5.6872037914691947E-2</v>
      </c>
    </row>
    <row r="120" spans="16:31">
      <c r="P120" s="1623">
        <v>20</v>
      </c>
      <c r="Q120" s="2008">
        <v>5.3159478435305912E-2</v>
      </c>
      <c r="R120" s="2008">
        <v>4.5908183632734544E-2</v>
      </c>
      <c r="S120" s="2008">
        <v>4.3043043043043031E-2</v>
      </c>
      <c r="T120" s="2008">
        <v>5.9000000000000018E-2</v>
      </c>
      <c r="U120" s="2008">
        <v>0.11465603190428712</v>
      </c>
      <c r="V120" s="2008">
        <v>5.3053053053053037E-2</v>
      </c>
      <c r="W120" s="2008">
        <v>5.2894211576846303E-2</v>
      </c>
      <c r="X120" s="2008">
        <v>8.9730807577268201E-2</v>
      </c>
      <c r="Y120" s="2008">
        <v>3.7037037037037042E-2</v>
      </c>
      <c r="Z120" s="2008">
        <v>6.8520357497517378E-2</v>
      </c>
      <c r="AA120" s="2008">
        <v>6.8520357497517378E-2</v>
      </c>
      <c r="AB120" s="2008">
        <v>1.1000000000000005E-2</v>
      </c>
      <c r="AC120" s="2008">
        <v>1.1000000000000003E-2</v>
      </c>
      <c r="AD120" s="2008">
        <v>5.7999999999999996E-2</v>
      </c>
      <c r="AE120" s="2008">
        <v>5.6872037914691947E-2</v>
      </c>
    </row>
    <row r="121" spans="16:31">
      <c r="P121" s="1623">
        <v>21</v>
      </c>
      <c r="Q121" s="2008">
        <v>4.7141424272818457E-2</v>
      </c>
      <c r="R121" s="2008">
        <v>4.4910179640718577E-2</v>
      </c>
      <c r="S121" s="2008">
        <v>4.2042042042042038E-2</v>
      </c>
      <c r="T121" s="2008">
        <v>3.7999999999999999E-2</v>
      </c>
      <c r="U121" s="2008">
        <v>8.6739780658025914E-2</v>
      </c>
      <c r="V121" s="2008">
        <v>4.2042042042042024E-2</v>
      </c>
      <c r="W121" s="2008">
        <v>4.9900199600798403E-2</v>
      </c>
      <c r="X121" s="2008">
        <v>0.10667996011964108</v>
      </c>
      <c r="Y121" s="2008">
        <v>4.4044044044044051E-2</v>
      </c>
      <c r="Z121" s="2008">
        <v>5.9582919563058591E-2</v>
      </c>
      <c r="AA121" s="2008">
        <v>5.9582919563058591E-2</v>
      </c>
      <c r="AB121" s="2008">
        <v>5.0000000000000001E-3</v>
      </c>
      <c r="AC121" s="2008">
        <v>5.0000000000000001E-3</v>
      </c>
      <c r="AD121" s="2008">
        <v>7.4999999999999997E-2</v>
      </c>
      <c r="AE121" s="2008">
        <v>5.6872037914691947E-2</v>
      </c>
    </row>
    <row r="122" spans="16:31">
      <c r="P122" s="1623">
        <v>22</v>
      </c>
      <c r="Q122" s="2008">
        <v>4.1123370110330987E-2</v>
      </c>
      <c r="R122" s="2008">
        <v>4.391217564870261E-2</v>
      </c>
      <c r="S122" s="2008">
        <v>4.1041041041041025E-2</v>
      </c>
      <c r="T122" s="2008">
        <v>1.8000000000000006E-2</v>
      </c>
      <c r="U122" s="2008">
        <v>5.782652043868395E-2</v>
      </c>
      <c r="V122" s="2008">
        <v>3.1031031031031026E-2</v>
      </c>
      <c r="W122" s="2008">
        <v>4.6906187624750496E-2</v>
      </c>
      <c r="X122" s="2008">
        <v>0.12263210368893321</v>
      </c>
      <c r="Y122" s="2008">
        <v>3.003003003003004E-2</v>
      </c>
      <c r="Z122" s="2008">
        <v>4.270109235352533E-2</v>
      </c>
      <c r="AA122" s="2008">
        <v>4.2701092353525323E-2</v>
      </c>
      <c r="AB122" s="2008">
        <v>3.0000000000000005E-3</v>
      </c>
      <c r="AC122" s="2008">
        <v>2.9999999999999996E-3</v>
      </c>
      <c r="AD122" s="2008">
        <v>9.1000000000000011E-2</v>
      </c>
      <c r="AE122" s="2008">
        <v>5.6872037914691947E-2</v>
      </c>
    </row>
    <row r="123" spans="16:31">
      <c r="P123" s="1623">
        <v>23</v>
      </c>
      <c r="Q123" s="2008">
        <v>2.9087261785356065E-2</v>
      </c>
      <c r="R123" s="2008">
        <v>4.2914171656686644E-2</v>
      </c>
      <c r="S123" s="2008">
        <v>4.0040040040040033E-2</v>
      </c>
      <c r="T123" s="2008">
        <v>1.1000000000000005E-2</v>
      </c>
      <c r="U123" s="2008">
        <v>3.4895314057826511E-2</v>
      </c>
      <c r="V123" s="2008">
        <v>2.0020020020020016E-2</v>
      </c>
      <c r="W123" s="2008">
        <v>3.0938123752495009E-2</v>
      </c>
      <c r="X123" s="2008">
        <v>9.6709870388833497E-2</v>
      </c>
      <c r="Y123" s="2008">
        <v>3.003003003003004E-2</v>
      </c>
      <c r="Z123" s="2008">
        <v>2.5819265143992055E-2</v>
      </c>
      <c r="AA123" s="2008">
        <v>2.5819265143992059E-2</v>
      </c>
      <c r="AB123" s="2008">
        <v>3.0000000000000005E-3</v>
      </c>
      <c r="AC123" s="2008">
        <v>2.9999999999999996E-3</v>
      </c>
      <c r="AD123" s="2008">
        <v>8.199999999999999E-2</v>
      </c>
      <c r="AE123" s="2008">
        <v>5.6872037914691947E-2</v>
      </c>
    </row>
    <row r="124" spans="16:31">
      <c r="P124" s="1623">
        <v>24</v>
      </c>
      <c r="Q124" s="2008">
        <v>1.7051153460381142E-2</v>
      </c>
      <c r="R124" s="2008">
        <v>4.1916167664670677E-2</v>
      </c>
      <c r="S124" s="2008">
        <v>4.0040040040040033E-2</v>
      </c>
      <c r="T124" s="2008">
        <v>4.0000000000000018E-3</v>
      </c>
      <c r="U124" s="2008">
        <v>1.0967098703888338E-2</v>
      </c>
      <c r="V124" s="2008">
        <v>9.0090090090090055E-3</v>
      </c>
      <c r="W124" s="2008">
        <v>1.3972055888223551E-2</v>
      </c>
      <c r="X124" s="2008">
        <v>7.0787637088733799E-2</v>
      </c>
      <c r="Y124" s="2008">
        <v>4.4044044044044051E-2</v>
      </c>
      <c r="Z124" s="2008">
        <v>2.5819265143992055E-2</v>
      </c>
      <c r="AA124" s="2008">
        <v>2.5819265143992059E-2</v>
      </c>
      <c r="AB124" s="2008">
        <v>3.0000000000000005E-3</v>
      </c>
      <c r="AC124" s="2008">
        <v>2.9999999999999996E-3</v>
      </c>
      <c r="AD124" s="2008">
        <v>7.400000000000001E-2</v>
      </c>
      <c r="AE124" s="2008">
        <v>5.6872037914691947E-2</v>
      </c>
    </row>
    <row r="127" spans="16:31">
      <c r="P127" s="2007" t="str">
        <f>R1</f>
        <v>Annual Average</v>
      </c>
    </row>
    <row r="128" spans="16:31">
      <c r="P128" s="1070" t="s">
        <v>1277</v>
      </c>
      <c r="Q128" s="1070" t="s">
        <v>6436</v>
      </c>
      <c r="R128" s="1070" t="s">
        <v>1158</v>
      </c>
      <c r="S128" s="1070" t="s">
        <v>992</v>
      </c>
      <c r="T128" s="1070" t="s">
        <v>6437</v>
      </c>
      <c r="U128" s="1070" t="s">
        <v>526</v>
      </c>
      <c r="V128" s="1070" t="s">
        <v>6423</v>
      </c>
      <c r="W128" s="1070" t="s">
        <v>6424</v>
      </c>
      <c r="X128" s="1070" t="s">
        <v>814</v>
      </c>
      <c r="Y128" s="1070" t="s">
        <v>6425</v>
      </c>
      <c r="Z128" s="1070" t="s">
        <v>6501</v>
      </c>
      <c r="AA128" s="1070" t="s">
        <v>6426</v>
      </c>
      <c r="AB128" s="1070" t="s">
        <v>6502</v>
      </c>
      <c r="AC128" s="1070" t="s">
        <v>6441</v>
      </c>
      <c r="AD128" s="1070" t="s">
        <v>6428</v>
      </c>
      <c r="AE128" s="1070" t="s">
        <v>6443</v>
      </c>
    </row>
    <row r="129" spans="16:31">
      <c r="P129" s="1623">
        <v>1</v>
      </c>
      <c r="Q129" s="2008">
        <f>AVERAGE(Q73,Q101)</f>
        <v>2.5521063189568712E-2</v>
      </c>
      <c r="R129" s="2008">
        <f t="shared" ref="R129:AE129" si="60">AVERAGE(R73,R101)</f>
        <v>4.0960079840319366E-2</v>
      </c>
      <c r="S129" s="2008">
        <f t="shared" si="60"/>
        <v>4.0352852852852852E-2</v>
      </c>
      <c r="T129" s="2008">
        <f t="shared" si="60"/>
        <v>4.0000000000000001E-3</v>
      </c>
      <c r="U129" s="2008">
        <f t="shared" si="60"/>
        <v>3.4905274187427729E-3</v>
      </c>
      <c r="V129" s="2008">
        <f t="shared" si="60"/>
        <v>2.502502502502502E-3</v>
      </c>
      <c r="W129" s="2008">
        <f t="shared" si="60"/>
        <v>1.2991017964071858E-2</v>
      </c>
      <c r="X129" s="2008">
        <f t="shared" si="60"/>
        <v>4.4937188434695907E-2</v>
      </c>
      <c r="Y129" s="2008">
        <f t="shared" si="60"/>
        <v>3.4438916528468776E-2</v>
      </c>
      <c r="Z129" s="2008">
        <f t="shared" si="60"/>
        <v>2.3844026210167003E-2</v>
      </c>
      <c r="AA129" s="2008">
        <f t="shared" si="60"/>
        <v>2.3844026210167006E-2</v>
      </c>
      <c r="AB129" s="2008">
        <f t="shared" si="60"/>
        <v>2.994035785288271E-3</v>
      </c>
      <c r="AC129" s="2008">
        <f t="shared" si="60"/>
        <v>2.9940357852882701E-3</v>
      </c>
      <c r="AD129" s="2008">
        <f t="shared" si="60"/>
        <v>4.3500000000000004E-2</v>
      </c>
      <c r="AE129" s="2008">
        <f t="shared" si="60"/>
        <v>5.6872037914691947E-2</v>
      </c>
    </row>
    <row r="130" spans="16:31">
      <c r="P130" s="1623">
        <v>2</v>
      </c>
      <c r="Q130" s="2008">
        <f t="shared" ref="Q130:AE145" si="61">AVERAGE(Q74,Q102)</f>
        <v>2.051504513540622E-2</v>
      </c>
      <c r="R130" s="2008">
        <f t="shared" si="61"/>
        <v>3.9961077844311382E-2</v>
      </c>
      <c r="S130" s="2008">
        <f t="shared" si="61"/>
        <v>4.0352852852852852E-2</v>
      </c>
      <c r="T130" s="2008">
        <f t="shared" si="61"/>
        <v>1.0000000000000005E-3</v>
      </c>
      <c r="U130" s="2008">
        <f t="shared" si="61"/>
        <v>0</v>
      </c>
      <c r="V130" s="2008">
        <f t="shared" si="61"/>
        <v>5.0050050050050039E-4</v>
      </c>
      <c r="W130" s="2008">
        <f t="shared" si="61"/>
        <v>1.497005988023952E-3</v>
      </c>
      <c r="X130" s="2008">
        <f t="shared" si="61"/>
        <v>1.9482053838484545E-2</v>
      </c>
      <c r="Y130" s="2008">
        <f t="shared" si="61"/>
        <v>3.6926478717523498E-2</v>
      </c>
      <c r="Z130" s="2008">
        <f t="shared" si="61"/>
        <v>2.8814205136608356E-2</v>
      </c>
      <c r="AA130" s="2008">
        <f t="shared" si="61"/>
        <v>2.8814205136608359E-2</v>
      </c>
      <c r="AB130" s="2008">
        <f t="shared" si="61"/>
        <v>2.994035785288271E-3</v>
      </c>
      <c r="AC130" s="2008">
        <f t="shared" si="61"/>
        <v>2.9940357852882701E-3</v>
      </c>
      <c r="AD130" s="2008">
        <f t="shared" si="61"/>
        <v>2.2999999999999993E-2</v>
      </c>
      <c r="AE130" s="2008">
        <f t="shared" si="61"/>
        <v>5.6872037914691947E-2</v>
      </c>
    </row>
    <row r="131" spans="16:31">
      <c r="P131" s="1623">
        <v>3</v>
      </c>
      <c r="Q131" s="2008">
        <f t="shared" si="61"/>
        <v>1.8519558676028086E-2</v>
      </c>
      <c r="R131" s="2008">
        <f t="shared" si="61"/>
        <v>3.8962075848303399E-2</v>
      </c>
      <c r="S131" s="2008">
        <f t="shared" si="61"/>
        <v>4.0352852852852852E-2</v>
      </c>
      <c r="T131" s="2008">
        <f t="shared" si="61"/>
        <v>1.0000000000000005E-3</v>
      </c>
      <c r="U131" s="2008">
        <f t="shared" si="61"/>
        <v>0</v>
      </c>
      <c r="V131" s="2008">
        <f t="shared" si="61"/>
        <v>5.0050050050050039E-4</v>
      </c>
      <c r="W131" s="2008">
        <f t="shared" si="61"/>
        <v>1.497005988023952E-3</v>
      </c>
      <c r="X131" s="2008">
        <f t="shared" si="61"/>
        <v>9.9910269192422709E-3</v>
      </c>
      <c r="Y131" s="2008">
        <f t="shared" si="61"/>
        <v>5.0425051917589239E-2</v>
      </c>
      <c r="Z131" s="2008">
        <f t="shared" si="61"/>
        <v>2.3844026210167003E-2</v>
      </c>
      <c r="AA131" s="2008">
        <f t="shared" si="61"/>
        <v>2.3844026210167006E-2</v>
      </c>
      <c r="AB131" s="2008">
        <f t="shared" si="61"/>
        <v>3.4940357852882705E-3</v>
      </c>
      <c r="AC131" s="2008">
        <f t="shared" si="61"/>
        <v>3.4940357852882701E-3</v>
      </c>
      <c r="AD131" s="2008">
        <f t="shared" si="61"/>
        <v>1.9E-2</v>
      </c>
      <c r="AE131" s="2008">
        <f t="shared" si="61"/>
        <v>5.6872037914691947E-2</v>
      </c>
    </row>
    <row r="132" spans="16:31">
      <c r="P132" s="1623">
        <v>4</v>
      </c>
      <c r="Q132" s="2008">
        <f t="shared" si="61"/>
        <v>1.6524072216649952E-2</v>
      </c>
      <c r="R132" s="2008">
        <f t="shared" si="61"/>
        <v>3.7963073852295415E-2</v>
      </c>
      <c r="S132" s="2008">
        <f t="shared" si="61"/>
        <v>4.0352852852852852E-2</v>
      </c>
      <c r="T132" s="2008">
        <f t="shared" si="61"/>
        <v>1.5000000000000002E-3</v>
      </c>
      <c r="U132" s="2008">
        <f t="shared" si="61"/>
        <v>0</v>
      </c>
      <c r="V132" s="2008">
        <f t="shared" si="61"/>
        <v>5.0050050050050039E-4</v>
      </c>
      <c r="W132" s="2008">
        <f t="shared" si="61"/>
        <v>9.980039920159682E-4</v>
      </c>
      <c r="X132" s="2008">
        <f t="shared" si="61"/>
        <v>9.999999999999998E-4</v>
      </c>
      <c r="Y132" s="2008">
        <f t="shared" si="61"/>
        <v>5.7932559425096751E-2</v>
      </c>
      <c r="Z132" s="2008">
        <f t="shared" si="61"/>
        <v>2.8814205136608356E-2</v>
      </c>
      <c r="AA132" s="2008">
        <f t="shared" si="61"/>
        <v>2.8814205136608359E-2</v>
      </c>
      <c r="AB132" s="2008">
        <f t="shared" si="61"/>
        <v>3.991053677932406E-3</v>
      </c>
      <c r="AC132" s="2008">
        <f t="shared" si="61"/>
        <v>3.9910536779324043E-3</v>
      </c>
      <c r="AD132" s="2008">
        <f t="shared" si="61"/>
        <v>1.4999999999999999E-2</v>
      </c>
      <c r="AE132" s="2008">
        <f t="shared" si="61"/>
        <v>5.6872037914691947E-2</v>
      </c>
    </row>
    <row r="133" spans="16:31">
      <c r="P133" s="1623">
        <v>5</v>
      </c>
      <c r="Q133" s="2008">
        <f t="shared" si="61"/>
        <v>2.3549648946840519E-2</v>
      </c>
      <c r="R133" s="2008">
        <f t="shared" si="61"/>
        <v>3.6963073852295414E-2</v>
      </c>
      <c r="S133" s="2008">
        <f t="shared" si="61"/>
        <v>4.0348384098384101E-2</v>
      </c>
      <c r="T133" s="2008">
        <f t="shared" si="61"/>
        <v>6.5000000000000014E-3</v>
      </c>
      <c r="U133" s="2008">
        <f t="shared" si="61"/>
        <v>1.9940179461615157E-3</v>
      </c>
      <c r="V133" s="2008">
        <f t="shared" si="61"/>
        <v>4.5045045045045027E-3</v>
      </c>
      <c r="W133" s="2008">
        <f t="shared" si="61"/>
        <v>2.4950099800399206E-3</v>
      </c>
      <c r="X133" s="2008">
        <f t="shared" si="61"/>
        <v>4.999999999999999E-4</v>
      </c>
      <c r="Y133" s="2008">
        <f t="shared" si="61"/>
        <v>4.9906623040951413E-2</v>
      </c>
      <c r="Z133" s="2008">
        <f t="shared" si="61"/>
        <v>4.6694510197997717E-2</v>
      </c>
      <c r="AA133" s="2008">
        <f t="shared" si="61"/>
        <v>4.669451019799771E-2</v>
      </c>
      <c r="AB133" s="2008">
        <f t="shared" si="61"/>
        <v>8.4821073558648125E-3</v>
      </c>
      <c r="AC133" s="2008">
        <f t="shared" si="61"/>
        <v>8.4821073558648107E-3</v>
      </c>
      <c r="AD133" s="2008">
        <f t="shared" si="61"/>
        <v>1.6E-2</v>
      </c>
      <c r="AE133" s="2008">
        <f t="shared" si="61"/>
        <v>5.6872037914691947E-2</v>
      </c>
    </row>
    <row r="134" spans="16:31">
      <c r="P134" s="1623">
        <v>6</v>
      </c>
      <c r="Q134" s="2008">
        <f t="shared" si="61"/>
        <v>3.1075225677031092E-2</v>
      </c>
      <c r="R134" s="2008">
        <f t="shared" si="61"/>
        <v>3.6463073852295413E-2</v>
      </c>
      <c r="S134" s="2008">
        <f t="shared" si="61"/>
        <v>4.0343915343915349E-2</v>
      </c>
      <c r="T134" s="2008">
        <f t="shared" si="61"/>
        <v>1.1500000000000002E-2</v>
      </c>
      <c r="U134" s="2008">
        <f t="shared" si="61"/>
        <v>3.4895314057826515E-3</v>
      </c>
      <c r="V134" s="2008">
        <f t="shared" si="61"/>
        <v>9.0090090090090055E-3</v>
      </c>
      <c r="W134" s="2008">
        <f t="shared" si="61"/>
        <v>3.4930139720558877E-3</v>
      </c>
      <c r="X134" s="2008">
        <f t="shared" si="61"/>
        <v>4.999999999999999E-4</v>
      </c>
      <c r="Y134" s="2008">
        <f t="shared" si="61"/>
        <v>5.3910627044955417E-2</v>
      </c>
      <c r="Z134" s="2008">
        <f t="shared" si="61"/>
        <v>6.6560912578155704E-2</v>
      </c>
      <c r="AA134" s="2008">
        <f t="shared" si="61"/>
        <v>6.656091257815569E-2</v>
      </c>
      <c r="AB134" s="2008">
        <f t="shared" si="61"/>
        <v>1.4955268389662031E-2</v>
      </c>
      <c r="AC134" s="2008">
        <f t="shared" si="61"/>
        <v>1.4955268389662024E-2</v>
      </c>
      <c r="AD134" s="2008">
        <f t="shared" si="61"/>
        <v>1.7500000000000002E-2</v>
      </c>
      <c r="AE134" s="2008">
        <f t="shared" si="61"/>
        <v>5.6872037914691947E-2</v>
      </c>
    </row>
    <row r="135" spans="16:31">
      <c r="P135" s="1623">
        <v>7</v>
      </c>
      <c r="Q135" s="2008">
        <f t="shared" si="61"/>
        <v>4.1594784353059175E-2</v>
      </c>
      <c r="R135" s="2008">
        <f t="shared" si="61"/>
        <v>3.6962075848303397E-2</v>
      </c>
      <c r="S135" s="2008">
        <f t="shared" si="61"/>
        <v>4.0343915343915349E-2</v>
      </c>
      <c r="T135" s="2008">
        <f t="shared" si="61"/>
        <v>2.8500000000000008E-2</v>
      </c>
      <c r="U135" s="2008">
        <f t="shared" si="61"/>
        <v>1.4956130609171487E-2</v>
      </c>
      <c r="V135" s="2008">
        <f t="shared" si="61"/>
        <v>2.1521521521521515E-2</v>
      </c>
      <c r="W135" s="2008">
        <f t="shared" si="61"/>
        <v>1.5977045908183635E-2</v>
      </c>
      <c r="X135" s="2008">
        <f t="shared" si="61"/>
        <v>4.9925224327018935E-3</v>
      </c>
      <c r="Y135" s="2008">
        <f t="shared" si="61"/>
        <v>5.990169273751364E-2</v>
      </c>
      <c r="Z135" s="2008">
        <f t="shared" si="61"/>
        <v>5.6630425984312602E-2</v>
      </c>
      <c r="AA135" s="2008">
        <f t="shared" si="61"/>
        <v>5.6630425984312588E-2</v>
      </c>
      <c r="AB135" s="2008">
        <f t="shared" si="61"/>
        <v>2.591650099403579E-2</v>
      </c>
      <c r="AC135" s="2008">
        <f t="shared" si="61"/>
        <v>2.5916500994035779E-2</v>
      </c>
      <c r="AD135" s="2008">
        <f t="shared" si="61"/>
        <v>2.5500000000000002E-2</v>
      </c>
      <c r="AE135" s="2008">
        <f t="shared" si="61"/>
        <v>5.6872037914691947E-2</v>
      </c>
    </row>
    <row r="136" spans="16:31">
      <c r="P136" s="1623">
        <v>8</v>
      </c>
      <c r="Q136" s="2008">
        <f t="shared" si="61"/>
        <v>5.2114343029087254E-2</v>
      </c>
      <c r="R136" s="2008">
        <f t="shared" si="61"/>
        <v>3.746107784431138E-2</v>
      </c>
      <c r="S136" s="2008">
        <f t="shared" si="61"/>
        <v>4.0844415844415852E-2</v>
      </c>
      <c r="T136" s="2008">
        <f t="shared" si="61"/>
        <v>4.6000000000000013E-2</v>
      </c>
      <c r="U136" s="2008">
        <f t="shared" si="61"/>
        <v>2.5424724826519442E-2</v>
      </c>
      <c r="V136" s="2008">
        <f t="shared" si="61"/>
        <v>3.4534534534534533E-2</v>
      </c>
      <c r="W136" s="2008">
        <f t="shared" si="61"/>
        <v>2.8461077844311379E-2</v>
      </c>
      <c r="X136" s="2008">
        <f t="shared" si="61"/>
        <v>9.4865403788634093E-3</v>
      </c>
      <c r="Y136" s="2008">
        <f t="shared" si="61"/>
        <v>5.8385250922564372E-2</v>
      </c>
      <c r="Z136" s="2008">
        <f t="shared" si="61"/>
        <v>2.4345486169378962E-2</v>
      </c>
      <c r="AA136" s="2008">
        <f t="shared" si="61"/>
        <v>2.4345486169378962E-2</v>
      </c>
      <c r="AB136" s="2008">
        <f t="shared" si="61"/>
        <v>4.3880715705765419E-2</v>
      </c>
      <c r="AC136" s="2008">
        <f t="shared" si="61"/>
        <v>4.3880715705765391E-2</v>
      </c>
      <c r="AD136" s="2008">
        <f t="shared" si="61"/>
        <v>3.2500000000000001E-2</v>
      </c>
      <c r="AE136" s="2008">
        <f t="shared" si="61"/>
        <v>2.3696682464454978E-2</v>
      </c>
    </row>
    <row r="137" spans="16:31">
      <c r="P137" s="1623">
        <v>9</v>
      </c>
      <c r="Q137" s="2008">
        <f t="shared" si="61"/>
        <v>5.4603811434302908E-2</v>
      </c>
      <c r="R137" s="2008">
        <f t="shared" si="61"/>
        <v>3.7961077844311381E-2</v>
      </c>
      <c r="S137" s="2008">
        <f t="shared" si="61"/>
        <v>4.1344916344916341E-2</v>
      </c>
      <c r="T137" s="2008">
        <f t="shared" si="61"/>
        <v>4.3500000000000011E-2</v>
      </c>
      <c r="U137" s="2008">
        <f t="shared" si="61"/>
        <v>5.2393767747705933E-2</v>
      </c>
      <c r="V137" s="2008">
        <f t="shared" si="61"/>
        <v>6.4491137844431251E-2</v>
      </c>
      <c r="W137" s="2008">
        <f t="shared" si="61"/>
        <v>4.3441117764471057E-2</v>
      </c>
      <c r="X137" s="2008">
        <f t="shared" si="61"/>
        <v>1.7971585244267195E-2</v>
      </c>
      <c r="Y137" s="2008">
        <f t="shared" si="61"/>
        <v>6.1370325549430046E-2</v>
      </c>
      <c r="Z137" s="2008">
        <f t="shared" si="61"/>
        <v>2.3844026210167003E-2</v>
      </c>
      <c r="AA137" s="2008">
        <f t="shared" si="61"/>
        <v>2.3844026210167006E-2</v>
      </c>
      <c r="AB137" s="2008">
        <f t="shared" si="61"/>
        <v>8.4279324055666016E-2</v>
      </c>
      <c r="AC137" s="2008">
        <f t="shared" si="61"/>
        <v>8.4279324055665988E-2</v>
      </c>
      <c r="AD137" s="2008">
        <f t="shared" si="61"/>
        <v>3.2500000000000001E-2</v>
      </c>
      <c r="AE137" s="2008">
        <f t="shared" si="61"/>
        <v>2.3696682464454978E-2</v>
      </c>
    </row>
    <row r="138" spans="16:31">
      <c r="P138" s="1623">
        <v>10</v>
      </c>
      <c r="Q138" s="2008">
        <f t="shared" si="61"/>
        <v>5.8094784353059176E-2</v>
      </c>
      <c r="R138" s="2008">
        <f t="shared" si="61"/>
        <v>3.9460079840319365E-2</v>
      </c>
      <c r="S138" s="2008">
        <f t="shared" si="61"/>
        <v>4.2345917345917347E-2</v>
      </c>
      <c r="T138" s="2008">
        <f t="shared" si="61"/>
        <v>4.1000000000000009E-2</v>
      </c>
      <c r="U138" s="2008">
        <f t="shared" si="61"/>
        <v>7.8863310169391923E-2</v>
      </c>
      <c r="V138" s="2008">
        <f t="shared" si="61"/>
        <v>9.4447741154327997E-2</v>
      </c>
      <c r="W138" s="2008">
        <f t="shared" si="61"/>
        <v>5.7422155688622759E-2</v>
      </c>
      <c r="X138" s="2008">
        <f t="shared" si="61"/>
        <v>2.6456630109670986E-2</v>
      </c>
      <c r="Y138" s="2008">
        <f t="shared" si="61"/>
        <v>6.3857887738484775E-2</v>
      </c>
      <c r="Z138" s="2008">
        <f t="shared" si="61"/>
        <v>1.9375307242937609E-2</v>
      </c>
      <c r="AA138" s="2008">
        <f t="shared" si="61"/>
        <v>1.9375307242937609E-2</v>
      </c>
      <c r="AB138" s="2008">
        <f t="shared" si="61"/>
        <v>0.12066003976143144</v>
      </c>
      <c r="AC138" s="2008">
        <f t="shared" si="61"/>
        <v>0.12066003976143139</v>
      </c>
      <c r="AD138" s="2008">
        <f t="shared" si="61"/>
        <v>3.2000000000000001E-2</v>
      </c>
      <c r="AE138" s="2008">
        <f t="shared" si="61"/>
        <v>2.3696682464454978E-2</v>
      </c>
    </row>
    <row r="139" spans="16:31">
      <c r="P139" s="1623">
        <v>11</v>
      </c>
      <c r="Q139" s="2008">
        <f t="shared" si="61"/>
        <v>5.5079739217652954E-2</v>
      </c>
      <c r="R139" s="2008">
        <f t="shared" si="61"/>
        <v>4.0459081836327349E-2</v>
      </c>
      <c r="S139" s="2008">
        <f t="shared" si="61"/>
        <v>4.1854354354354362E-2</v>
      </c>
      <c r="T139" s="2008">
        <f t="shared" si="61"/>
        <v>4.3500000000000011E-2</v>
      </c>
      <c r="U139" s="2008">
        <f t="shared" si="61"/>
        <v>7.3379760817447764E-2</v>
      </c>
      <c r="V139" s="2008">
        <f t="shared" si="61"/>
        <v>0.10141728554902209</v>
      </c>
      <c r="W139" s="2008">
        <f t="shared" si="61"/>
        <v>7.6419161676646724E-2</v>
      </c>
      <c r="X139" s="2008">
        <f t="shared" si="61"/>
        <v>3.2452143569292123E-2</v>
      </c>
      <c r="Y139" s="2008">
        <f t="shared" si="61"/>
        <v>5.6350380230977264E-2</v>
      </c>
      <c r="Z139" s="2008">
        <f t="shared" si="61"/>
        <v>1.5403112605400369E-2</v>
      </c>
      <c r="AA139" s="2008">
        <f t="shared" si="61"/>
        <v>1.5403112605400369E-2</v>
      </c>
      <c r="AB139" s="2008">
        <f t="shared" si="61"/>
        <v>0.12708250497017895</v>
      </c>
      <c r="AC139" s="2008">
        <f t="shared" si="61"/>
        <v>0.12708250497017889</v>
      </c>
      <c r="AD139" s="2008">
        <f t="shared" si="61"/>
        <v>3.2500000000000001E-2</v>
      </c>
      <c r="AE139" s="2008">
        <f t="shared" si="61"/>
        <v>2.3696682464454978E-2</v>
      </c>
    </row>
    <row r="140" spans="16:31">
      <c r="P140" s="1623">
        <v>12</v>
      </c>
      <c r="Q140" s="2008">
        <f t="shared" si="61"/>
        <v>5.1564694082246745E-2</v>
      </c>
      <c r="R140" s="2008">
        <f t="shared" si="61"/>
        <v>4.2457085828343323E-2</v>
      </c>
      <c r="S140" s="2008">
        <f t="shared" si="61"/>
        <v>4.1863291863291865E-2</v>
      </c>
      <c r="T140" s="2008">
        <f t="shared" si="61"/>
        <v>4.6000000000000006E-2</v>
      </c>
      <c r="U140" s="2008">
        <f t="shared" si="61"/>
        <v>6.7896211465503592E-2</v>
      </c>
      <c r="V140" s="2008">
        <f t="shared" si="61"/>
        <v>0.10788782794770821</v>
      </c>
      <c r="W140" s="2008">
        <f t="shared" si="61"/>
        <v>9.4916167664670675E-2</v>
      </c>
      <c r="X140" s="2008">
        <f t="shared" si="61"/>
        <v>3.8447657028913257E-2</v>
      </c>
      <c r="Y140" s="2008">
        <f t="shared" si="61"/>
        <v>5.0359314538419034E-2</v>
      </c>
      <c r="Z140" s="2008">
        <f t="shared" si="61"/>
        <v>1.3908110423852121E-2</v>
      </c>
      <c r="AA140" s="2008">
        <f t="shared" si="61"/>
        <v>1.3908110423852121E-2</v>
      </c>
      <c r="AB140" s="2008">
        <f t="shared" si="61"/>
        <v>0.12058250497017894</v>
      </c>
      <c r="AC140" s="2008">
        <f t="shared" si="61"/>
        <v>0.12058250497017889</v>
      </c>
      <c r="AD140" s="2008">
        <f t="shared" si="61"/>
        <v>3.3000000000000002E-2</v>
      </c>
      <c r="AE140" s="2008">
        <f t="shared" si="61"/>
        <v>2.3696682464454978E-2</v>
      </c>
    </row>
    <row r="141" spans="16:31">
      <c r="P141" s="1623">
        <v>13</v>
      </c>
      <c r="Q141" s="2008">
        <f t="shared" si="61"/>
        <v>4.9560180541624879E-2</v>
      </c>
      <c r="R141" s="2008">
        <f t="shared" si="61"/>
        <v>4.2457085828343323E-2</v>
      </c>
      <c r="S141" s="2008">
        <f t="shared" si="61"/>
        <v>4.2363792363792369E-2</v>
      </c>
      <c r="T141" s="2008">
        <f t="shared" si="61"/>
        <v>4.200000000000001E-2</v>
      </c>
      <c r="U141" s="2008">
        <f t="shared" si="61"/>
        <v>6.4895224416660111E-2</v>
      </c>
      <c r="V141" s="2008">
        <f t="shared" si="61"/>
        <v>8.0433727140313965E-2</v>
      </c>
      <c r="W141" s="2008">
        <f t="shared" si="61"/>
        <v>9.2426147704590816E-2</v>
      </c>
      <c r="X141" s="2008">
        <f t="shared" si="61"/>
        <v>3.9944666001994006E-2</v>
      </c>
      <c r="Y141" s="2008">
        <f t="shared" si="61"/>
        <v>3.5910537403074733E-2</v>
      </c>
      <c r="Z141" s="2008">
        <f t="shared" si="61"/>
        <v>1.3908110423852121E-2</v>
      </c>
      <c r="AA141" s="2008">
        <f t="shared" si="61"/>
        <v>1.3908110423852121E-2</v>
      </c>
      <c r="AB141" s="2008">
        <f t="shared" si="61"/>
        <v>0.11958250497017896</v>
      </c>
      <c r="AC141" s="2008">
        <f t="shared" si="61"/>
        <v>0.11958250497017889</v>
      </c>
      <c r="AD141" s="2008">
        <f t="shared" si="61"/>
        <v>3.2000000000000001E-2</v>
      </c>
      <c r="AE141" s="2008">
        <f t="shared" si="61"/>
        <v>2.3696682464454978E-2</v>
      </c>
    </row>
    <row r="142" spans="16:31">
      <c r="P142" s="1623">
        <v>14</v>
      </c>
      <c r="Q142" s="2008">
        <f t="shared" si="61"/>
        <v>4.7555667001003013E-2</v>
      </c>
      <c r="R142" s="2008">
        <f t="shared" si="61"/>
        <v>4.2957085828343317E-2</v>
      </c>
      <c r="S142" s="2008">
        <f t="shared" si="61"/>
        <v>4.2864292864292865E-2</v>
      </c>
      <c r="T142" s="2008">
        <f t="shared" si="61"/>
        <v>3.8000000000000006E-2</v>
      </c>
      <c r="U142" s="2008">
        <f t="shared" si="61"/>
        <v>6.1395732881276255E-2</v>
      </c>
      <c r="V142" s="2008">
        <f t="shared" si="61"/>
        <v>5.3480126833420245E-2</v>
      </c>
      <c r="W142" s="2008">
        <f t="shared" si="61"/>
        <v>8.8937125748503015E-2</v>
      </c>
      <c r="X142" s="2008">
        <f t="shared" si="61"/>
        <v>4.0943170488534394E-2</v>
      </c>
      <c r="Y142" s="2008">
        <f t="shared" si="61"/>
        <v>2.8447850835910546E-2</v>
      </c>
      <c r="Z142" s="2008">
        <f t="shared" si="61"/>
        <v>1.3908110423852121E-2</v>
      </c>
      <c r="AA142" s="2008">
        <f t="shared" si="61"/>
        <v>1.3908110423852121E-2</v>
      </c>
      <c r="AB142" s="2008">
        <f t="shared" si="61"/>
        <v>9.0231610337972168E-2</v>
      </c>
      <c r="AC142" s="2008">
        <f t="shared" si="61"/>
        <v>9.023161033797214E-2</v>
      </c>
      <c r="AD142" s="2008">
        <f t="shared" si="61"/>
        <v>3.1500000000000007E-2</v>
      </c>
      <c r="AE142" s="2008">
        <f t="shared" si="61"/>
        <v>2.3696682464454978E-2</v>
      </c>
    </row>
    <row r="143" spans="16:31">
      <c r="P143" s="1623">
        <v>15</v>
      </c>
      <c r="Q143" s="2008">
        <f t="shared" si="61"/>
        <v>4.6055667001003012E-2</v>
      </c>
      <c r="R143" s="2008">
        <f t="shared" si="61"/>
        <v>4.3956087824351307E-2</v>
      </c>
      <c r="S143" s="2008">
        <f t="shared" si="61"/>
        <v>4.3364793364793375E-2</v>
      </c>
      <c r="T143" s="2008">
        <f t="shared" si="61"/>
        <v>4.8500000000000008E-2</v>
      </c>
      <c r="U143" s="2008">
        <f t="shared" si="61"/>
        <v>5.0413693982986112E-2</v>
      </c>
      <c r="V143" s="2008">
        <f t="shared" si="61"/>
        <v>7.5428722135308962E-2</v>
      </c>
      <c r="W143" s="2008">
        <f t="shared" si="61"/>
        <v>7.5441117764471072E-2</v>
      </c>
      <c r="X143" s="2008">
        <f t="shared" si="61"/>
        <v>4.3438683948155525E-2</v>
      </c>
      <c r="Y143" s="2008">
        <f t="shared" si="61"/>
        <v>2.4443846831906538E-2</v>
      </c>
      <c r="Z143" s="2008">
        <f t="shared" si="61"/>
        <v>2.3844026210167003E-2</v>
      </c>
      <c r="AA143" s="2008">
        <f t="shared" si="61"/>
        <v>2.3844026210167006E-2</v>
      </c>
      <c r="AB143" s="2008">
        <f t="shared" si="61"/>
        <v>7.4788270377733612E-2</v>
      </c>
      <c r="AC143" s="2008">
        <f t="shared" si="61"/>
        <v>7.4788270377733584E-2</v>
      </c>
      <c r="AD143" s="2008">
        <f t="shared" si="61"/>
        <v>3.2000000000000001E-2</v>
      </c>
      <c r="AE143" s="2008">
        <f t="shared" si="61"/>
        <v>2.3696682464454978E-2</v>
      </c>
    </row>
    <row r="144" spans="16:31">
      <c r="P144" s="1623">
        <v>16</v>
      </c>
      <c r="Q144" s="2008">
        <f t="shared" si="61"/>
        <v>4.3554162487462383E-2</v>
      </c>
      <c r="R144" s="2008">
        <f t="shared" si="61"/>
        <v>4.4955089820359284E-2</v>
      </c>
      <c r="S144" s="2008">
        <f t="shared" si="61"/>
        <v>4.3865293865293864E-2</v>
      </c>
      <c r="T144" s="2008">
        <f t="shared" si="61"/>
        <v>5.9000000000000004E-2</v>
      </c>
      <c r="U144" s="2008">
        <f t="shared" si="61"/>
        <v>3.9431655084695962E-2</v>
      </c>
      <c r="V144" s="2008">
        <f t="shared" si="61"/>
        <v>9.7877817937698189E-2</v>
      </c>
      <c r="W144" s="2008">
        <f t="shared" si="61"/>
        <v>6.1446107784431138E-2</v>
      </c>
      <c r="X144" s="2008">
        <f t="shared" si="61"/>
        <v>4.5435692921236288E-2</v>
      </c>
      <c r="Y144" s="2008">
        <f t="shared" si="61"/>
        <v>2.4443846831906538E-2</v>
      </c>
      <c r="Z144" s="2008">
        <f t="shared" si="61"/>
        <v>5.7607680629233542E-2</v>
      </c>
      <c r="AA144" s="2008">
        <f t="shared" si="61"/>
        <v>5.7607680629233542E-2</v>
      </c>
      <c r="AB144" s="2008">
        <f t="shared" si="61"/>
        <v>6.1321073558648131E-2</v>
      </c>
      <c r="AC144" s="2008">
        <f t="shared" si="61"/>
        <v>6.1321073558648097E-2</v>
      </c>
      <c r="AD144" s="2008">
        <f t="shared" si="61"/>
        <v>3.3000000000000002E-2</v>
      </c>
      <c r="AE144" s="2008">
        <f t="shared" si="61"/>
        <v>2.3696682464454978E-2</v>
      </c>
    </row>
    <row r="145" spans="16:31">
      <c r="P145" s="1623">
        <v>17</v>
      </c>
      <c r="Q145" s="2008">
        <f t="shared" si="61"/>
        <v>4.6569207622868605E-2</v>
      </c>
      <c r="R145" s="2008">
        <f t="shared" si="61"/>
        <v>4.5954091816367268E-2</v>
      </c>
      <c r="S145" s="2008">
        <f t="shared" si="61"/>
        <v>4.3360324610324609E-2</v>
      </c>
      <c r="T145" s="2008">
        <f t="shared" si="61"/>
        <v>0.11000000000000001</v>
      </c>
      <c r="U145" s="2008">
        <f t="shared" si="61"/>
        <v>5.5383798653988084E-2</v>
      </c>
      <c r="V145" s="2008">
        <f t="shared" si="61"/>
        <v>6.6442190693687703E-2</v>
      </c>
      <c r="W145" s="2008">
        <f t="shared" si="61"/>
        <v>6.0945109780439127E-2</v>
      </c>
      <c r="X145" s="2008">
        <f t="shared" si="61"/>
        <v>5.0429710867397809E-2</v>
      </c>
      <c r="Y145" s="2008">
        <f t="shared" si="61"/>
        <v>2.4443846831906538E-2</v>
      </c>
      <c r="Z145" s="2008">
        <f t="shared" si="61"/>
        <v>0.12621293095449151</v>
      </c>
      <c r="AA145" s="2008">
        <f t="shared" si="61"/>
        <v>0.12621293095449151</v>
      </c>
      <c r="AB145" s="2008">
        <f t="shared" si="61"/>
        <v>3.6889662027833017E-2</v>
      </c>
      <c r="AC145" s="2008">
        <f t="shared" si="61"/>
        <v>3.6889662027832996E-2</v>
      </c>
      <c r="AD145" s="2008">
        <f t="shared" si="61"/>
        <v>4.4999999999999998E-2</v>
      </c>
      <c r="AE145" s="2008">
        <f t="shared" si="61"/>
        <v>2.3696682464454978E-2</v>
      </c>
    </row>
    <row r="146" spans="16:31">
      <c r="P146" s="1623">
        <v>18</v>
      </c>
      <c r="Q146" s="2008">
        <f t="shared" ref="Q146:AE152" si="62">AVERAGE(Q90,Q118)</f>
        <v>5.0084252758274828E-2</v>
      </c>
      <c r="R146" s="2008">
        <f t="shared" si="62"/>
        <v>4.6953093812375252E-2</v>
      </c>
      <c r="S146" s="2008">
        <f t="shared" si="62"/>
        <v>4.3355855855855864E-2</v>
      </c>
      <c r="T146" s="2008">
        <f t="shared" si="62"/>
        <v>0.16100000000000003</v>
      </c>
      <c r="U146" s="2008">
        <f t="shared" si="62"/>
        <v>7.1335942223280213E-2</v>
      </c>
      <c r="V146" s="2008">
        <f t="shared" si="62"/>
        <v>3.6006065946185703E-2</v>
      </c>
      <c r="W146" s="2008">
        <f t="shared" si="62"/>
        <v>5.9445109780439119E-2</v>
      </c>
      <c r="X146" s="2008">
        <f t="shared" si="62"/>
        <v>5.4925224327018934E-2</v>
      </c>
      <c r="Y146" s="2008">
        <f t="shared" si="62"/>
        <v>2.4443846831906538E-2</v>
      </c>
      <c r="Z146" s="2008">
        <f t="shared" si="62"/>
        <v>0.12172298878032697</v>
      </c>
      <c r="AA146" s="2008">
        <f t="shared" si="62"/>
        <v>0.12172298878032697</v>
      </c>
      <c r="AB146" s="2008">
        <f t="shared" si="62"/>
        <v>2.3449304174950301E-2</v>
      </c>
      <c r="AC146" s="2008">
        <f t="shared" si="62"/>
        <v>2.3449304174950295E-2</v>
      </c>
      <c r="AD146" s="2008">
        <f t="shared" si="62"/>
        <v>5.7000000000000002E-2</v>
      </c>
      <c r="AE146" s="2008">
        <f t="shared" si="62"/>
        <v>2.3696682464454978E-2</v>
      </c>
    </row>
    <row r="147" spans="16:31">
      <c r="P147" s="1623">
        <v>19</v>
      </c>
      <c r="Q147" s="2008">
        <f t="shared" si="62"/>
        <v>5.1582748244734203E-2</v>
      </c>
      <c r="R147" s="2008">
        <f t="shared" si="62"/>
        <v>4.5954091816367268E-2</v>
      </c>
      <c r="S147" s="2008">
        <f t="shared" si="62"/>
        <v>4.2855355355355354E-2</v>
      </c>
      <c r="T147" s="2008">
        <f t="shared" si="62"/>
        <v>0.115</v>
      </c>
      <c r="U147" s="2008">
        <f t="shared" si="62"/>
        <v>8.9307004062736867E-2</v>
      </c>
      <c r="V147" s="2008">
        <f t="shared" si="62"/>
        <v>3.6006065946185703E-2</v>
      </c>
      <c r="W147" s="2008">
        <f t="shared" si="62"/>
        <v>4.7446107784431132E-2</v>
      </c>
      <c r="X147" s="2008">
        <f t="shared" si="62"/>
        <v>6.9895314057826508E-2</v>
      </c>
      <c r="Y147" s="2008">
        <f t="shared" si="62"/>
        <v>2.4443846831906538E-2</v>
      </c>
      <c r="Z147" s="2008">
        <f t="shared" si="62"/>
        <v>6.8045056374760382E-2</v>
      </c>
      <c r="AA147" s="2008">
        <f t="shared" si="62"/>
        <v>6.8045056374760382E-2</v>
      </c>
      <c r="AB147" s="2008">
        <f t="shared" si="62"/>
        <v>1.3476143141153085E-2</v>
      </c>
      <c r="AC147" s="2008">
        <f t="shared" si="62"/>
        <v>1.347614314115308E-2</v>
      </c>
      <c r="AD147" s="2008">
        <f t="shared" si="62"/>
        <v>6.6000000000000003E-2</v>
      </c>
      <c r="AE147" s="2008">
        <f t="shared" si="62"/>
        <v>5.6872037914691947E-2</v>
      </c>
    </row>
    <row r="148" spans="16:31">
      <c r="P148" s="1623">
        <v>20</v>
      </c>
      <c r="Q148" s="2008">
        <f t="shared" si="62"/>
        <v>5.3079739217652959E-2</v>
      </c>
      <c r="R148" s="2008">
        <f t="shared" si="62"/>
        <v>4.5454091816367267E-2</v>
      </c>
      <c r="S148" s="2008">
        <f t="shared" si="62"/>
        <v>4.2354854854854851E-2</v>
      </c>
      <c r="T148" s="2008">
        <f t="shared" si="62"/>
        <v>6.9500000000000006E-2</v>
      </c>
      <c r="U148" s="2008">
        <f t="shared" si="62"/>
        <v>0.10727806590219352</v>
      </c>
      <c r="V148" s="2008">
        <f t="shared" si="62"/>
        <v>3.6506566446686199E-2</v>
      </c>
      <c r="W148" s="2008">
        <f t="shared" si="62"/>
        <v>3.5447105788423153E-2</v>
      </c>
      <c r="X148" s="2008">
        <f t="shared" si="62"/>
        <v>8.5365403788634109E-2</v>
      </c>
      <c r="Y148" s="2008">
        <f t="shared" si="62"/>
        <v>3.4438916528468776E-2</v>
      </c>
      <c r="Z148" s="2008">
        <f t="shared" si="62"/>
        <v>6.1099144951541992E-2</v>
      </c>
      <c r="AA148" s="2008">
        <f t="shared" si="62"/>
        <v>6.1099144951541985E-2</v>
      </c>
      <c r="AB148" s="2008">
        <f t="shared" si="62"/>
        <v>7.9850894632206779E-3</v>
      </c>
      <c r="AC148" s="2008">
        <f t="shared" si="62"/>
        <v>7.9850894632206761E-3</v>
      </c>
      <c r="AD148" s="2008">
        <f t="shared" si="62"/>
        <v>7.5499999999999998E-2</v>
      </c>
      <c r="AE148" s="2008">
        <f t="shared" si="62"/>
        <v>5.6872037914691947E-2</v>
      </c>
    </row>
    <row r="149" spans="16:31">
      <c r="P149" s="1623">
        <v>21</v>
      </c>
      <c r="Q149" s="2008">
        <f t="shared" si="62"/>
        <v>4.9070712136409234E-2</v>
      </c>
      <c r="R149" s="2008">
        <f t="shared" si="62"/>
        <v>4.4955089820359284E-2</v>
      </c>
      <c r="S149" s="2008">
        <f t="shared" si="62"/>
        <v>4.1854354354354362E-2</v>
      </c>
      <c r="T149" s="2008">
        <f t="shared" si="62"/>
        <v>4.3999999999999997E-2</v>
      </c>
      <c r="U149" s="2008">
        <f t="shared" si="62"/>
        <v>7.2840419799542422E-2</v>
      </c>
      <c r="V149" s="2008">
        <f t="shared" si="62"/>
        <v>3.1001060941180693E-2</v>
      </c>
      <c r="W149" s="2008">
        <f t="shared" si="62"/>
        <v>3.89500998003992E-2</v>
      </c>
      <c r="X149" s="2008">
        <f t="shared" si="62"/>
        <v>9.683998005982053E-2</v>
      </c>
      <c r="Y149" s="2008">
        <f t="shared" si="62"/>
        <v>4.0429982221027005E-2</v>
      </c>
      <c r="Z149" s="2008">
        <f t="shared" si="62"/>
        <v>5.1163229165227114E-2</v>
      </c>
      <c r="AA149" s="2008">
        <f t="shared" si="62"/>
        <v>5.1163229165227107E-2</v>
      </c>
      <c r="AB149" s="2008">
        <f t="shared" si="62"/>
        <v>3.991053677932406E-3</v>
      </c>
      <c r="AC149" s="2008">
        <f t="shared" si="62"/>
        <v>3.9910536779324043E-3</v>
      </c>
      <c r="AD149" s="2008">
        <f t="shared" si="62"/>
        <v>8.0999999999999989E-2</v>
      </c>
      <c r="AE149" s="2008">
        <f t="shared" si="62"/>
        <v>5.6872037914691947E-2</v>
      </c>
    </row>
    <row r="150" spans="16:31">
      <c r="P150" s="1623">
        <v>22</v>
      </c>
      <c r="Q150" s="2008">
        <f t="shared" si="62"/>
        <v>4.5561685055165502E-2</v>
      </c>
      <c r="R150" s="2008">
        <f t="shared" si="62"/>
        <v>4.4456087824351301E-2</v>
      </c>
      <c r="S150" s="2008">
        <f t="shared" si="62"/>
        <v>4.1353853853853852E-2</v>
      </c>
      <c r="T150" s="2008">
        <f t="shared" si="62"/>
        <v>1.9000000000000003E-2</v>
      </c>
      <c r="U150" s="2008">
        <f t="shared" si="62"/>
        <v>3.7904269210350963E-2</v>
      </c>
      <c r="V150" s="2008">
        <f t="shared" si="62"/>
        <v>2.5495555435675193E-2</v>
      </c>
      <c r="W150" s="2008">
        <f t="shared" si="62"/>
        <v>4.1953093812375254E-2</v>
      </c>
      <c r="X150" s="2008">
        <f t="shared" si="62"/>
        <v>0.1078160518444666</v>
      </c>
      <c r="Y150" s="2008">
        <f t="shared" si="62"/>
        <v>3.3422975214020004E-2</v>
      </c>
      <c r="Z150" s="2008">
        <f t="shared" si="62"/>
        <v>4.272231556046048E-2</v>
      </c>
      <c r="AA150" s="2008">
        <f t="shared" si="62"/>
        <v>4.2722315560460473E-2</v>
      </c>
      <c r="AB150" s="2008">
        <f t="shared" si="62"/>
        <v>2.991053677932406E-3</v>
      </c>
      <c r="AC150" s="2008">
        <f t="shared" si="62"/>
        <v>2.9910536779324043E-3</v>
      </c>
      <c r="AD150" s="2008">
        <f t="shared" si="62"/>
        <v>8.5500000000000007E-2</v>
      </c>
      <c r="AE150" s="2008">
        <f t="shared" si="62"/>
        <v>5.6872037914691947E-2</v>
      </c>
    </row>
    <row r="151" spans="16:31">
      <c r="P151" s="1623">
        <v>23</v>
      </c>
      <c r="Q151" s="2008">
        <f t="shared" si="62"/>
        <v>3.8043630892678038E-2</v>
      </c>
      <c r="R151" s="2008">
        <f t="shared" si="62"/>
        <v>4.3457085828343324E-2</v>
      </c>
      <c r="S151" s="2008">
        <f t="shared" si="62"/>
        <v>4.0853353353353355E-2</v>
      </c>
      <c r="T151" s="2008">
        <f t="shared" si="62"/>
        <v>1.3000000000000001E-2</v>
      </c>
      <c r="U151" s="2008">
        <f t="shared" si="62"/>
        <v>2.1943161524417752E-2</v>
      </c>
      <c r="V151" s="2008">
        <f t="shared" si="62"/>
        <v>1.500002997008985E-2</v>
      </c>
      <c r="W151" s="2008">
        <f t="shared" si="62"/>
        <v>3.3469061876247513E-2</v>
      </c>
      <c r="X151" s="2008">
        <f t="shared" si="62"/>
        <v>8.8854935194416756E-2</v>
      </c>
      <c r="Y151" s="2008">
        <f t="shared" si="62"/>
        <v>3.3422975214020004E-2</v>
      </c>
      <c r="Z151" s="2008">
        <f t="shared" si="62"/>
        <v>2.3844026210167003E-2</v>
      </c>
      <c r="AA151" s="2008">
        <f t="shared" si="62"/>
        <v>2.3844026210167006E-2</v>
      </c>
      <c r="AB151" s="2008">
        <f t="shared" si="62"/>
        <v>2.991053677932406E-3</v>
      </c>
      <c r="AC151" s="2008">
        <f t="shared" si="62"/>
        <v>2.9910536779324043E-3</v>
      </c>
      <c r="AD151" s="2008">
        <f t="shared" si="62"/>
        <v>7.4999999999999997E-2</v>
      </c>
      <c r="AE151" s="2008">
        <f t="shared" si="62"/>
        <v>5.6872037914691947E-2</v>
      </c>
    </row>
    <row r="152" spans="16:31">
      <c r="P152" s="1623">
        <v>24</v>
      </c>
      <c r="Q152" s="2008">
        <f t="shared" si="62"/>
        <v>3.0525576730190577E-2</v>
      </c>
      <c r="R152" s="2008">
        <f t="shared" si="62"/>
        <v>4.2458083832335333E-2</v>
      </c>
      <c r="S152" s="2008">
        <f t="shared" si="62"/>
        <v>4.0853353353353355E-2</v>
      </c>
      <c r="T152" s="2008">
        <f t="shared" si="62"/>
        <v>7.000000000000001E-3</v>
      </c>
      <c r="U152" s="2008">
        <f t="shared" si="62"/>
        <v>5.9830498514446689E-3</v>
      </c>
      <c r="V152" s="2008">
        <f t="shared" si="62"/>
        <v>4.5045045045045027E-3</v>
      </c>
      <c r="W152" s="2008">
        <f t="shared" si="62"/>
        <v>2.4486027944111782E-2</v>
      </c>
      <c r="X152" s="2008">
        <f t="shared" si="62"/>
        <v>6.9893818544366895E-2</v>
      </c>
      <c r="Y152" s="2008">
        <f t="shared" si="62"/>
        <v>3.7942420031972277E-2</v>
      </c>
      <c r="Z152" s="2008">
        <f t="shared" si="62"/>
        <v>2.3844026210167003E-2</v>
      </c>
      <c r="AA152" s="2008">
        <f t="shared" si="62"/>
        <v>2.3844026210167006E-2</v>
      </c>
      <c r="AB152" s="2008">
        <f t="shared" si="62"/>
        <v>2.991053677932406E-3</v>
      </c>
      <c r="AC152" s="2008">
        <f t="shared" si="62"/>
        <v>2.9910536779324043E-3</v>
      </c>
      <c r="AD152" s="2008">
        <f t="shared" si="62"/>
        <v>6.4500000000000002E-2</v>
      </c>
      <c r="AE152" s="2008">
        <f t="shared" si="62"/>
        <v>5.6872037914691947E-2</v>
      </c>
    </row>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sheetData>
  <mergeCells count="26">
    <mergeCell ref="P39:R39"/>
    <mergeCell ref="B2:AJ2"/>
    <mergeCell ref="CA6:CC6"/>
    <mergeCell ref="CD6:CF6"/>
    <mergeCell ref="BX6:BZ6"/>
    <mergeCell ref="BA2:BX2"/>
    <mergeCell ref="BF5:BH5"/>
    <mergeCell ref="BJ5:BL5"/>
    <mergeCell ref="P3:AD3"/>
    <mergeCell ref="P5:R5"/>
    <mergeCell ref="CG6:CI6"/>
    <mergeCell ref="BS9:BS32"/>
    <mergeCell ref="BS43:BS66"/>
    <mergeCell ref="CG40:CI40"/>
    <mergeCell ref="O3:O6"/>
    <mergeCell ref="P4:AD4"/>
    <mergeCell ref="P38:AD38"/>
    <mergeCell ref="O37:O40"/>
    <mergeCell ref="CA40:CC40"/>
    <mergeCell ref="CD40:CF40"/>
    <mergeCell ref="B36:AG36"/>
    <mergeCell ref="BX40:BZ40"/>
    <mergeCell ref="BA36:BX36"/>
    <mergeCell ref="BB39:BE39"/>
    <mergeCell ref="BJ39:BL39"/>
    <mergeCell ref="P37:AD37"/>
  </mergeCells>
  <conditionalFormatting sqref="P5">
    <cfRule type="expression" dxfId="8" priority="1">
      <formula>NOT(CELL("protect",P5))</formula>
    </cfRule>
  </conditionalFormatting>
  <dataValidations disablePrompts="1" count="1">
    <dataValidation type="list" allowBlank="1" showInputMessage="1" showErrorMessage="1" sqref="P5:R5">
      <formula1>$P$1:$R$1</formula1>
    </dataValidation>
  </dataValidations>
  <pageMargins left="0.7" right="0.7" top="0.75" bottom="0.75" header="0.3" footer="0.3"/>
  <pageSetup orientation="portrait" r:id="rId1"/>
  <legacyDrawing r:id="rId2"/>
  <controls>
    <control shapeId="463873" r:id="rId3" name="chkMELdisagg"/>
  </controls>
</worksheet>
</file>

<file path=xl/worksheets/sheet3.xml><?xml version="1.0" encoding="utf-8"?>
<worksheet xmlns="http://schemas.openxmlformats.org/spreadsheetml/2006/main" xmlns:r="http://schemas.openxmlformats.org/officeDocument/2006/relationships">
  <sheetPr codeName="Sheet3">
    <tabColor theme="6" tint="0.79998168889431442"/>
  </sheetPr>
  <dimension ref="A1:CC290"/>
  <sheetViews>
    <sheetView zoomScale="85" zoomScaleNormal="85" workbookViewId="0">
      <selection activeCell="H25" sqref="H25:S25"/>
    </sheetView>
  </sheetViews>
  <sheetFormatPr defaultRowHeight="12.75"/>
  <cols>
    <col min="1" max="2" width="9.140625" style="1070"/>
    <col min="3" max="3" width="8.28515625" style="1070" customWidth="1"/>
    <col min="4" max="4" width="8" style="1070" customWidth="1"/>
    <col min="5" max="5" width="9.140625" style="1070" customWidth="1"/>
    <col min="6" max="6" width="8.85546875" style="1070" customWidth="1"/>
    <col min="7" max="7" width="8.42578125" style="1070" customWidth="1"/>
    <col min="8" max="8" width="5.85546875" style="1070" customWidth="1"/>
    <col min="9" max="9" width="9.140625" style="1070" customWidth="1"/>
    <col min="10" max="28" width="9.140625" style="1070"/>
    <col min="29" max="29" width="15.28515625" style="1070" customWidth="1"/>
    <col min="30" max="34" width="9.140625" style="1070"/>
    <col min="35" max="45" width="9.85546875" style="1070" customWidth="1"/>
    <col min="46" max="46" width="5.28515625" style="1070" customWidth="1"/>
    <col min="47" max="57" width="9.140625" style="1070"/>
    <col min="58" max="58" width="3" style="1070" customWidth="1"/>
    <col min="59" max="69" width="9.140625" style="1070"/>
    <col min="70" max="70" width="3.5703125" style="1070" customWidth="1"/>
    <col min="71" max="16384" width="9.140625" style="1070"/>
  </cols>
  <sheetData>
    <row r="1" spans="1:33">
      <c r="B1" s="16"/>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row>
    <row r="2" spans="1:33">
      <c r="A2" s="1082" t="s">
        <v>1142</v>
      </c>
      <c r="B2" s="1083"/>
      <c r="C2" s="1083"/>
      <c r="D2" s="1083"/>
      <c r="E2" s="1083"/>
      <c r="F2" s="1083"/>
      <c r="G2" s="1083"/>
      <c r="H2" s="1296"/>
      <c r="I2" s="1296"/>
      <c r="J2" s="1296"/>
      <c r="K2" s="1296"/>
      <c r="L2" s="1296"/>
      <c r="M2" s="1296"/>
      <c r="N2" s="1296"/>
      <c r="O2" s="1296"/>
      <c r="P2" s="1296"/>
      <c r="Q2" s="1296"/>
      <c r="R2" s="1296"/>
      <c r="S2" s="1296"/>
      <c r="T2" s="1083"/>
      <c r="U2" s="1083"/>
      <c r="V2" s="1083"/>
      <c r="W2" s="1083"/>
      <c r="X2" s="1083"/>
      <c r="Y2" s="1083"/>
      <c r="Z2" s="595"/>
      <c r="AA2" s="595"/>
      <c r="AB2" s="595"/>
      <c r="AC2" s="595"/>
      <c r="AD2" s="596"/>
      <c r="AE2" s="13"/>
      <c r="AF2" s="13"/>
      <c r="AG2" s="13"/>
    </row>
    <row r="3" spans="1:33" s="1281" customFormat="1" ht="22.5" customHeight="1">
      <c r="A3" s="1533"/>
      <c r="B3" s="1279"/>
      <c r="C3" s="1534"/>
      <c r="D3" s="1524"/>
      <c r="E3" s="1524"/>
      <c r="F3" s="1524"/>
      <c r="G3" s="1524"/>
      <c r="H3" s="2208" t="s">
        <v>6429</v>
      </c>
      <c r="I3" s="2209"/>
      <c r="J3" s="2209"/>
      <c r="K3" s="2209"/>
      <c r="L3" s="2209"/>
      <c r="M3" s="2209"/>
      <c r="N3" s="2209"/>
      <c r="O3" s="2209"/>
      <c r="P3" s="2209"/>
      <c r="Q3" s="2209"/>
      <c r="R3" s="2209"/>
      <c r="S3" s="2210"/>
      <c r="T3" s="1524"/>
      <c r="U3" s="1524"/>
      <c r="V3" s="1524"/>
      <c r="W3" s="1535"/>
      <c r="X3" s="1536"/>
      <c r="Y3" s="1535"/>
      <c r="Z3" s="1535" t="s">
        <v>4705</v>
      </c>
      <c r="AA3" s="1535" t="s">
        <v>4712</v>
      </c>
      <c r="AB3" s="1535" t="s">
        <v>4712</v>
      </c>
      <c r="AC3" s="1535" t="s">
        <v>1220</v>
      </c>
      <c r="AD3" s="1535" t="s">
        <v>862</v>
      </c>
      <c r="AE3" s="1535" t="s">
        <v>862</v>
      </c>
      <c r="AF3" s="1537" t="s">
        <v>862</v>
      </c>
      <c r="AG3" s="1538"/>
    </row>
    <row r="4" spans="1:33" s="1281" customFormat="1" ht="45">
      <c r="B4" s="1279"/>
      <c r="C4" s="755" t="s">
        <v>506</v>
      </c>
      <c r="D4" s="753" t="s">
        <v>508</v>
      </c>
      <c r="E4" s="753" t="s">
        <v>6420</v>
      </c>
      <c r="F4" s="753" t="s">
        <v>6419</v>
      </c>
      <c r="G4" s="753"/>
      <c r="H4" s="755" t="s">
        <v>1158</v>
      </c>
      <c r="I4" s="753" t="s">
        <v>992</v>
      </c>
      <c r="J4" s="753" t="s">
        <v>6422</v>
      </c>
      <c r="K4" s="753" t="s">
        <v>6418</v>
      </c>
      <c r="L4" s="753" t="s">
        <v>526</v>
      </c>
      <c r="M4" s="753" t="s">
        <v>6423</v>
      </c>
      <c r="N4" s="753" t="s">
        <v>6424</v>
      </c>
      <c r="O4" s="753" t="s">
        <v>814</v>
      </c>
      <c r="P4" s="753" t="s">
        <v>6425</v>
      </c>
      <c r="Q4" s="753" t="s">
        <v>6426</v>
      </c>
      <c r="R4" s="753" t="s">
        <v>6427</v>
      </c>
      <c r="S4" s="754" t="s">
        <v>6428</v>
      </c>
      <c r="T4" s="753" t="s">
        <v>917</v>
      </c>
      <c r="U4" s="753" t="s">
        <v>6421</v>
      </c>
      <c r="V4" s="753" t="s">
        <v>919</v>
      </c>
      <c r="W4" s="1282" t="s">
        <v>286</v>
      </c>
      <c r="X4" s="1282" t="s">
        <v>287</v>
      </c>
      <c r="Y4" s="1282" t="s">
        <v>1270</v>
      </c>
      <c r="Z4" s="1282" t="s">
        <v>1051</v>
      </c>
      <c r="AA4" s="1282" t="s">
        <v>4715</v>
      </c>
      <c r="AB4" s="1282" t="s">
        <v>4716</v>
      </c>
      <c r="AC4" s="1282" t="s">
        <v>4714</v>
      </c>
      <c r="AD4" s="1282" t="s">
        <v>287</v>
      </c>
      <c r="AE4" s="1282" t="s">
        <v>286</v>
      </c>
      <c r="AF4" s="1531" t="s">
        <v>1270</v>
      </c>
      <c r="AG4" s="1532" t="s">
        <v>2879</v>
      </c>
    </row>
    <row r="5" spans="1:33" ht="22.5">
      <c r="B5" s="39" t="s">
        <v>1143</v>
      </c>
      <c r="C5" s="161" t="s">
        <v>507</v>
      </c>
      <c r="D5" s="72" t="s">
        <v>507</v>
      </c>
      <c r="E5" s="72" t="s">
        <v>492</v>
      </c>
      <c r="F5" s="72" t="s">
        <v>368</v>
      </c>
      <c r="G5" s="72" t="s">
        <v>1144</v>
      </c>
      <c r="H5" s="1540"/>
      <c r="I5" s="1530"/>
      <c r="J5" s="1530"/>
      <c r="K5" s="1530"/>
      <c r="L5" s="1530"/>
      <c r="M5" s="1530"/>
      <c r="N5" s="1530"/>
      <c r="O5" s="1530"/>
      <c r="P5" s="1530"/>
      <c r="Q5" s="1530"/>
      <c r="R5" s="1530"/>
      <c r="S5" s="1541"/>
      <c r="T5" s="72" t="s">
        <v>918</v>
      </c>
      <c r="U5" s="72" t="s">
        <v>918</v>
      </c>
      <c r="V5" s="72" t="s">
        <v>918</v>
      </c>
      <c r="W5" s="590" t="s">
        <v>918</v>
      </c>
      <c r="X5" s="590" t="s">
        <v>918</v>
      </c>
      <c r="Y5" s="590" t="s">
        <v>918</v>
      </c>
      <c r="Z5" s="590" t="s">
        <v>918</v>
      </c>
      <c r="AA5" s="590" t="s">
        <v>918</v>
      </c>
      <c r="AB5" s="590" t="s">
        <v>918</v>
      </c>
      <c r="AC5" s="590" t="s">
        <v>1221</v>
      </c>
      <c r="AD5" s="590" t="s">
        <v>918</v>
      </c>
      <c r="AE5" s="590" t="s">
        <v>918</v>
      </c>
      <c r="AF5" s="594" t="s">
        <v>918</v>
      </c>
      <c r="AG5" s="736" t="s">
        <v>877</v>
      </c>
    </row>
    <row r="6" spans="1:33">
      <c r="A6" s="15">
        <v>1</v>
      </c>
      <c r="B6" s="31" t="s">
        <v>1145</v>
      </c>
      <c r="C6" s="414">
        <f>1</f>
        <v>1</v>
      </c>
      <c r="D6" s="415">
        <f>1</f>
        <v>1</v>
      </c>
      <c r="E6" s="418">
        <f>Locations!CI2</f>
        <v>0.85</v>
      </c>
      <c r="F6" s="416">
        <f>IF(NewConst!$F$111="Electric", DHW!J53,DHW!K53)</f>
        <v>0.76566868865834126</v>
      </c>
      <c r="G6" s="417">
        <f>Locations!AA2</f>
        <v>48.718290388117268</v>
      </c>
      <c r="H6" s="1542">
        <v>0.83664164971592903</v>
      </c>
      <c r="I6" s="1525">
        <v>0.83664164971592903</v>
      </c>
      <c r="J6" s="1525">
        <v>0.83664164971592903</v>
      </c>
      <c r="K6" s="1525">
        <v>1.0967699665858615</v>
      </c>
      <c r="L6" s="1525">
        <v>1.0967699665858615</v>
      </c>
      <c r="M6" s="1525">
        <v>1.010625275424766</v>
      </c>
      <c r="N6" s="1525">
        <v>1.1509530689285548</v>
      </c>
      <c r="O6" s="1525">
        <v>1.1369170125928769</v>
      </c>
      <c r="P6" s="1525">
        <v>1.2725933719095215</v>
      </c>
      <c r="Q6" s="1525">
        <v>0.92131381900420672</v>
      </c>
      <c r="R6" s="417">
        <v>0</v>
      </c>
      <c r="S6" s="1543">
        <v>1.154258712676234</v>
      </c>
      <c r="T6" s="418">
        <f>Appliances!$AD$125</f>
        <v>4.9989999999999997</v>
      </c>
      <c r="U6" s="1047">
        <f t="shared" ref="U6:U18" si="0">0.1428*(2.5+0.833*1.56)</f>
        <v>0.54256574400000002</v>
      </c>
      <c r="V6" s="597">
        <f>IF(AND(HomeType=2,NewConst!F$249="Yes"), 2.47*NewConst!$F$38,2.35+0.78*N_br)</f>
        <v>4.6899999999999995</v>
      </c>
      <c r="W6" s="597">
        <f t="shared" ref="W6:W17" si="1">(3.5+1.17*N_br)*MAX((105-G6)/(120-G6),0)</f>
        <v>5.5348670300905436</v>
      </c>
      <c r="X6" s="597">
        <f t="shared" ref="X6:X17" si="2">(14+4.67*N_br)*MAX((105-G6)/(120-G6),0)</f>
        <v>22.115781100261927</v>
      </c>
      <c r="Y6" s="597">
        <f t="shared" ref="Y6:Y17" si="3">(12.5+4.16*N_br)*MAX((105-G6)/(120-G6),0)</f>
        <v>19.723392070137201</v>
      </c>
      <c r="Z6" s="1047">
        <f>IF(NewConst!F$135&gt;0,0.028*NewConst!$F$38*MAX((105-G6)/(120-G6),0),0)</f>
        <v>4.4215770853790364</v>
      </c>
      <c r="AA6" s="597">
        <f>IF(AND(HomeType=2,NewConst!F$249="YES"),SUM(T6,W6:Y6),SUM(T6,V6:Y6))</f>
        <v>57.063040200489674</v>
      </c>
      <c r="AB6" s="1047">
        <f>IF(HomeType=2,IF(NewConst!F$249="YES",IF(NewConst!$F$135&gt;0,IF(NewConst!$F$303="YES",SUM(U6,V6,Z6),SUM(V6,Z6)),IF(NewConst!$F$303="YES",SUM(U6,V6),V6)),IF(NewConst!$F$135&gt;0,IF(NewConst!$F$303="YES",SUM(U6,Z6),SUM(Z6)),IF(NewConst!$F$303="YES",SUM(U6),0))),0)</f>
        <v>0</v>
      </c>
      <c r="AC6" s="605">
        <f t="shared" ref="AC6:AC17" si="4">($Z$20+735*(N_br-3))*(1+1/$Z$20*(362+(63*(N_br-3)))*SIN(2*PI()*(A6/12)+0.3))</f>
        <v>4522.5618428124599</v>
      </c>
      <c r="AD6" s="597">
        <f t="shared" ref="AD6:AD17" si="5">(1.6+0.3*N_br)</f>
        <v>2.5</v>
      </c>
      <c r="AE6" s="597">
        <f t="shared" ref="AE6:AE17" si="6">(0.2+0.05*N_br)</f>
        <v>0.35000000000000003</v>
      </c>
      <c r="AF6" s="598">
        <f t="shared" ref="AF6:AF17" si="7">(2.55+1.15*N_br)</f>
        <v>6</v>
      </c>
      <c r="AG6" s="734">
        <f>IF(NewConst!$F$203=NewConst!$I$203,'Detailed Lighting'!BB11,Lighting!BC21)</f>
        <v>0.11591771923020544</v>
      </c>
    </row>
    <row r="7" spans="1:33">
      <c r="A7" s="15">
        <v>2</v>
      </c>
      <c r="B7" s="32" t="s">
        <v>1146</v>
      </c>
      <c r="C7" s="21">
        <f>1</f>
        <v>1</v>
      </c>
      <c r="D7" s="68">
        <f>1</f>
        <v>1</v>
      </c>
      <c r="E7" s="80">
        <f>Locations!CJ2</f>
        <v>0.85</v>
      </c>
      <c r="F7" s="92">
        <f>IF(NewConst!$F$111="Electric", DHW!J54,DHW!K54)</f>
        <v>0.76566868865834126</v>
      </c>
      <c r="G7" s="81">
        <f>Locations!AB2</f>
        <v>47.641339778292384</v>
      </c>
      <c r="H7" s="1544">
        <v>0.83495826611489121</v>
      </c>
      <c r="I7" s="1526">
        <v>0.83495826611489121</v>
      </c>
      <c r="J7" s="1526">
        <v>0.83495826611489121</v>
      </c>
      <c r="K7" s="1526">
        <v>1.0967699665858615</v>
      </c>
      <c r="L7" s="1526">
        <v>1.0967699665858615</v>
      </c>
      <c r="M7" s="1526">
        <v>1.0018116829065269</v>
      </c>
      <c r="N7" s="1526">
        <v>1.1442419723167263</v>
      </c>
      <c r="O7" s="1526">
        <v>1.1289636167021313</v>
      </c>
      <c r="P7" s="1526">
        <v>1.2654392425039453</v>
      </c>
      <c r="Q7" s="1526">
        <v>0.9284852177785069</v>
      </c>
      <c r="R7" s="81">
        <v>0</v>
      </c>
      <c r="S7" s="1545">
        <v>1.1605684359598141</v>
      </c>
      <c r="T7" s="80">
        <f>Appliances!$AD$125</f>
        <v>4.9989999999999997</v>
      </c>
      <c r="U7" s="818">
        <f t="shared" si="0"/>
        <v>0.54256574400000002</v>
      </c>
      <c r="V7" s="599">
        <f>IF(AND(HomeType=2,NewConst!F$249="Yes"), 2.47*NewConst!$F$38,2.35+0.78*N_br)</f>
        <v>4.6899999999999995</v>
      </c>
      <c r="W7" s="599">
        <f t="shared" si="1"/>
        <v>5.5568221816459911</v>
      </c>
      <c r="X7" s="599">
        <f t="shared" si="2"/>
        <v>22.203507747204593</v>
      </c>
      <c r="Y7" s="599">
        <f t="shared" si="3"/>
        <v>19.801628829888283</v>
      </c>
      <c r="Z7" s="818">
        <f>IF(NewConst!F$135&gt;0,0.028*NewConst!$F$38*MAX((105-G7)/(120-G7),0),0)</f>
        <v>4.4391161508156287</v>
      </c>
      <c r="AA7" s="599">
        <f>IF(AND(HomeType=2,NewConst!F$249="YES"),SUM(T7,W7:Y7),SUM(T7,V7:Y7))</f>
        <v>57.250958758738875</v>
      </c>
      <c r="AB7" s="818">
        <f>IF(HomeType=2,IF(NewConst!F$249="YES",IF(NewConst!$F$135&gt;0,IF(NewConst!$F$303="YES",SUM(U7,V7,Z7),SUM(V7,Z7)),IF(NewConst!$F$303="YES",SUM(U7,V7),V7)),IF(NewConst!$F$135&gt;0,IF(NewConst!$F$303="YES",SUM(U7,Z7),SUM(Z7)),IF(NewConst!$F$303="YES",SUM(U7),0))),0)</f>
        <v>0</v>
      </c>
      <c r="AC7" s="604">
        <f t="shared" si="4"/>
        <v>4609.9882894913962</v>
      </c>
      <c r="AD7" s="599">
        <f t="shared" si="5"/>
        <v>2.5</v>
      </c>
      <c r="AE7" s="599">
        <f t="shared" si="6"/>
        <v>0.35000000000000003</v>
      </c>
      <c r="AF7" s="600">
        <f t="shared" si="7"/>
        <v>6</v>
      </c>
      <c r="AG7" s="734">
        <f>IF(NewConst!$F$203=NewConst!$I$203,'Detailed Lighting'!BB12,Lighting!BC22)</f>
        <v>9.173891494051005E-2</v>
      </c>
    </row>
    <row r="8" spans="1:33">
      <c r="A8" s="15">
        <v>3</v>
      </c>
      <c r="B8" s="32" t="s">
        <v>1003</v>
      </c>
      <c r="C8" s="21">
        <f>1</f>
        <v>1</v>
      </c>
      <c r="D8" s="68">
        <f>1</f>
        <v>1</v>
      </c>
      <c r="E8" s="80">
        <f>Locations!CK2</f>
        <v>0.85</v>
      </c>
      <c r="F8" s="92">
        <f>IF(NewConst!$F$111="Electric", DHW!J55,DHW!K55)</f>
        <v>0.76566868865834126</v>
      </c>
      <c r="G8" s="81">
        <f>Locations!AC2</f>
        <v>49.150569276918105</v>
      </c>
      <c r="H8" s="1544">
        <v>1.0840990390685279</v>
      </c>
      <c r="I8" s="1526">
        <v>1.0840990390685279</v>
      </c>
      <c r="J8" s="1526">
        <v>1.0840990390685279</v>
      </c>
      <c r="K8" s="1526">
        <v>0.99063093756142329</v>
      </c>
      <c r="L8" s="1526">
        <v>0.99063093756142329</v>
      </c>
      <c r="M8" s="1526">
        <v>1.0223767321157518</v>
      </c>
      <c r="N8" s="1526">
        <v>1.0100200400801602</v>
      </c>
      <c r="O8" s="1526">
        <v>0.96110510342902988</v>
      </c>
      <c r="P8" s="1526">
        <v>0.90731194108364022</v>
      </c>
      <c r="Q8" s="1526">
        <v>0.92131381900420672</v>
      </c>
      <c r="R8" s="81">
        <v>0</v>
      </c>
      <c r="S8" s="1545">
        <v>1.012920911124042</v>
      </c>
      <c r="T8" s="80">
        <f>Appliances!$AD$125</f>
        <v>4.9989999999999997</v>
      </c>
      <c r="U8" s="818">
        <f t="shared" si="0"/>
        <v>0.54256574400000002</v>
      </c>
      <c r="V8" s="599">
        <f>IF(AND(HomeType=2,NewConst!F$249="Yes"), 2.47*NewConst!$F$38,2.35+0.78*N_br)</f>
        <v>4.6899999999999995</v>
      </c>
      <c r="W8" s="599">
        <f t="shared" si="1"/>
        <v>5.5258666918442385</v>
      </c>
      <c r="X8" s="599">
        <f t="shared" si="2"/>
        <v>22.079818265129401</v>
      </c>
      <c r="Y8" s="599">
        <f t="shared" si="3"/>
        <v>19.69131953812683</v>
      </c>
      <c r="Z8" s="818">
        <f>IF(NewConst!F$135&gt;0,0.028*NewConst!$F$38*MAX((105-G8)/(120-G8),0),0)</f>
        <v>4.4143870862093779</v>
      </c>
      <c r="AA8" s="599">
        <f>IF(AND(HomeType=2,NewConst!F$249="YES"),SUM(T8,W8:Y8),SUM(T8,V8:Y8))</f>
        <v>56.986004495100474</v>
      </c>
      <c r="AB8" s="818">
        <f>IF(HomeType=2,IF(NewConst!F$249="YES",IF(NewConst!$F$135&gt;0,IF(NewConst!$F$303="YES",SUM(U8,V8,Z8),SUM(V8,Z8)),IF(NewConst!$F$303="YES",SUM(U8,V8),V8)),IF(NewConst!$F$135&gt;0,IF(NewConst!$F$303="YES",SUM(U8,Z8),SUM(Z8)),IF(NewConst!$F$303="YES",SUM(U8),0))),0)</f>
        <v>0</v>
      </c>
      <c r="AC8" s="604">
        <f t="shared" si="4"/>
        <v>4602.8318090634693</v>
      </c>
      <c r="AD8" s="599">
        <f t="shared" si="5"/>
        <v>2.5</v>
      </c>
      <c r="AE8" s="599">
        <f t="shared" si="6"/>
        <v>0.35000000000000003</v>
      </c>
      <c r="AF8" s="600">
        <f t="shared" si="7"/>
        <v>6</v>
      </c>
      <c r="AG8" s="734">
        <f>IF(NewConst!$F$203=NewConst!$I$203,'Detailed Lighting'!BB13,Lighting!BC23)</f>
        <v>8.5802989807230542E-2</v>
      </c>
    </row>
    <row r="9" spans="1:33">
      <c r="A9" s="15">
        <v>4</v>
      </c>
      <c r="B9" s="32" t="s">
        <v>1004</v>
      </c>
      <c r="C9" s="21">
        <f>1</f>
        <v>1</v>
      </c>
      <c r="D9" s="68">
        <f>1</f>
        <v>1</v>
      </c>
      <c r="E9" s="80">
        <f>Locations!CL2</f>
        <v>0.85</v>
      </c>
      <c r="F9" s="92">
        <f>IF(NewConst!$F$111="Electric", DHW!J56,DHW!K56)</f>
        <v>0.76566868865834126</v>
      </c>
      <c r="G9" s="81">
        <f>Locations!AD2</f>
        <v>52.85257495724705</v>
      </c>
      <c r="H9" s="1544">
        <v>1.083706249561619</v>
      </c>
      <c r="I9" s="1526">
        <v>1.083706249561619</v>
      </c>
      <c r="J9" s="1526">
        <v>1.083706249561619</v>
      </c>
      <c r="K9" s="1526">
        <v>0.98709296992727535</v>
      </c>
      <c r="L9" s="1526">
        <v>0.98709296992727535</v>
      </c>
      <c r="M9" s="1526">
        <v>1.0200264407775546</v>
      </c>
      <c r="N9" s="1526">
        <v>1.0072796756303304</v>
      </c>
      <c r="O9" s="1526">
        <v>0.96891896605853411</v>
      </c>
      <c r="P9" s="1526">
        <v>0.91320357706470279</v>
      </c>
      <c r="Q9" s="1526">
        <v>0.91540796119007728</v>
      </c>
      <c r="R9" s="81">
        <v>0</v>
      </c>
      <c r="S9" s="1545">
        <v>1.0101726760938607</v>
      </c>
      <c r="T9" s="80">
        <f>Appliances!$AD$125</f>
        <v>4.9989999999999997</v>
      </c>
      <c r="U9" s="818">
        <f t="shared" si="0"/>
        <v>0.54256574400000002</v>
      </c>
      <c r="V9" s="599">
        <f>IF(AND(HomeType=2,NewConst!F$249="Yes"), 2.47*NewConst!$F$38,2.35+0.78*N_br)</f>
        <v>4.6899999999999995</v>
      </c>
      <c r="W9" s="599">
        <f t="shared" si="1"/>
        <v>5.4440427062832155</v>
      </c>
      <c r="X9" s="599">
        <f t="shared" si="2"/>
        <v>21.752872496860608</v>
      </c>
      <c r="Y9" s="599">
        <f t="shared" si="3"/>
        <v>19.399741341363015</v>
      </c>
      <c r="Z9" s="818">
        <f>IF(NewConst!F$135&gt;0,0.028*NewConst!$F$38*MAX((105-G9)/(120-G9),0),0)</f>
        <v>4.3490212774873056</v>
      </c>
      <c r="AA9" s="599">
        <f>IF(AND(HomeType=2,NewConst!F$249="YES"),SUM(T9,W9:Y9),SUM(T9,V9:Y9))</f>
        <v>56.285656544506836</v>
      </c>
      <c r="AB9" s="818">
        <f>IF(HomeType=2,IF(NewConst!F$249="YES",IF(NewConst!$F$135&gt;0,IF(NewConst!$F$303="YES",SUM(U9,V9,Z9),SUM(V9,Z9)),IF(NewConst!$F$303="YES",SUM(U9,V9),V9)),IF(NewConst!$F$135&gt;0,IF(NewConst!$F$303="YES",SUM(U9,Z9),SUM(Z9)),IF(NewConst!$F$303="YES",SUM(U9),0))),0)</f>
        <v>0</v>
      </c>
      <c r="AC9" s="604">
        <f t="shared" si="4"/>
        <v>4503.0099746799915</v>
      </c>
      <c r="AD9" s="599">
        <f t="shared" si="5"/>
        <v>2.5</v>
      </c>
      <c r="AE9" s="599">
        <f t="shared" si="6"/>
        <v>0.35000000000000003</v>
      </c>
      <c r="AF9" s="600">
        <f t="shared" si="7"/>
        <v>6</v>
      </c>
      <c r="AG9" s="734">
        <f>IF(NewConst!$F$203=NewConst!$I$203,'Detailed Lighting'!BB14,Lighting!BC24)</f>
        <v>6.7960689257294551E-2</v>
      </c>
    </row>
    <row r="10" spans="1:33">
      <c r="A10" s="15">
        <v>5</v>
      </c>
      <c r="B10" s="32" t="s">
        <v>1005</v>
      </c>
      <c r="C10" s="21">
        <f>1</f>
        <v>1</v>
      </c>
      <c r="D10" s="68">
        <f>1</f>
        <v>1</v>
      </c>
      <c r="E10" s="80">
        <f>Locations!CM2</f>
        <v>0.85</v>
      </c>
      <c r="F10" s="92">
        <f>IF(NewConst!$F$111="Electric", DHW!J57,DHW!K57)</f>
        <v>0.76566868865834126</v>
      </c>
      <c r="G10" s="81">
        <f>Locations!AE2</f>
        <v>57.782371989067066</v>
      </c>
      <c r="H10" s="1544">
        <v>1.0840990390685279</v>
      </c>
      <c r="I10" s="1526">
        <v>1.0840990390685279</v>
      </c>
      <c r="J10" s="1526">
        <v>1.0840990390685279</v>
      </c>
      <c r="K10" s="1526">
        <v>0.99063093756142329</v>
      </c>
      <c r="L10" s="1526">
        <v>0.99063093756142329</v>
      </c>
      <c r="M10" s="1526">
        <v>1.0223767321157518</v>
      </c>
      <c r="N10" s="1526">
        <v>1.0100200400801602</v>
      </c>
      <c r="O10" s="1526">
        <v>0.96110510342902988</v>
      </c>
      <c r="P10" s="1526">
        <v>0.90731194108364022</v>
      </c>
      <c r="Q10" s="1526">
        <v>0.92131381900420672</v>
      </c>
      <c r="R10" s="81">
        <v>1.5</v>
      </c>
      <c r="S10" s="1545">
        <v>1.012920911124042</v>
      </c>
      <c r="T10" s="80">
        <f>Appliances!$AD$125</f>
        <v>4.9989999999999997</v>
      </c>
      <c r="U10" s="818">
        <f t="shared" si="0"/>
        <v>0.54256574400000002</v>
      </c>
      <c r="V10" s="599">
        <f>IF(AND(HomeType=2,NewConst!F$249="Yes"), 2.47*NewConst!$F$38,2.35+0.78*N_br)</f>
        <v>4.6899999999999995</v>
      </c>
      <c r="W10" s="599">
        <f t="shared" si="1"/>
        <v>5.3199645010330041</v>
      </c>
      <c r="X10" s="599">
        <f t="shared" si="2"/>
        <v>21.25709068101775</v>
      </c>
      <c r="Y10" s="599">
        <f t="shared" si="3"/>
        <v>18.957591046477095</v>
      </c>
      <c r="Z10" s="818">
        <f>IF(NewConst!F$135&gt;0,0.028*NewConst!$F$38*MAX((105-G10)/(120-G10),0),0)</f>
        <v>4.2499003146626002</v>
      </c>
      <c r="AA10" s="599">
        <f>IF(AND(HomeType=2,NewConst!F$249="YES"),SUM(T10,W10:Y10),SUM(T10,V10:Y10))</f>
        <v>55.223646228527855</v>
      </c>
      <c r="AB10" s="818">
        <f>IF(HomeType=2,IF(NewConst!F$249="YES",IF(NewConst!$F$135&gt;0,IF(NewConst!$F$303="YES",SUM(U10,V10,Z10),SUM(V10,Z10)),IF(NewConst!$F$303="YES",SUM(U10,V10),V10)),IF(NewConst!$F$135&gt;0,IF(NewConst!$F$303="YES",SUM(U10,Z10),SUM(Z10)),IF(NewConst!$F$303="YES",SUM(U10),0))),0)</f>
        <v>0</v>
      </c>
      <c r="AC10" s="604">
        <f t="shared" si="4"/>
        <v>4337.2699662510095</v>
      </c>
      <c r="AD10" s="599">
        <f t="shared" si="5"/>
        <v>2.5</v>
      </c>
      <c r="AE10" s="599">
        <f t="shared" si="6"/>
        <v>0.35000000000000003</v>
      </c>
      <c r="AF10" s="600">
        <f t="shared" si="7"/>
        <v>6</v>
      </c>
      <c r="AG10" s="734">
        <f>IF(NewConst!$F$203=NewConst!$I$203,'Detailed Lighting'!BB15,Lighting!BC25)</f>
        <v>6.1138912853048587E-2</v>
      </c>
    </row>
    <row r="11" spans="1:33">
      <c r="A11" s="15">
        <v>6</v>
      </c>
      <c r="B11" s="32" t="s">
        <v>1006</v>
      </c>
      <c r="C11" s="21">
        <f>1</f>
        <v>1</v>
      </c>
      <c r="D11" s="68">
        <f>1</f>
        <v>1</v>
      </c>
      <c r="E11" s="80">
        <f>Locations!CN2</f>
        <v>0.85</v>
      </c>
      <c r="F11" s="92">
        <f>IF(NewConst!$F$111="Electric", DHW!J58,DHW!K58)</f>
        <v>0.76720076667410919</v>
      </c>
      <c r="G11" s="81">
        <f>Locations!AF2</f>
        <v>62.654932805562403</v>
      </c>
      <c r="H11" s="1544">
        <v>1.0958827242757947</v>
      </c>
      <c r="I11" s="1526">
        <v>1.0958827242757947</v>
      </c>
      <c r="J11" s="1526">
        <v>1.0958827242757947</v>
      </c>
      <c r="K11" s="1526">
        <v>0.88960230623075431</v>
      </c>
      <c r="L11" s="1526">
        <v>0.88960230623075431</v>
      </c>
      <c r="M11" s="1526">
        <v>0.99574009694951759</v>
      </c>
      <c r="N11" s="1526">
        <v>0.87378477886004557</v>
      </c>
      <c r="O11" s="1526">
        <v>0.99314194020999746</v>
      </c>
      <c r="P11" s="1526">
        <v>0.91320357706470279</v>
      </c>
      <c r="Q11" s="1526">
        <v>1.1595167508407644</v>
      </c>
      <c r="R11" s="81">
        <v>3</v>
      </c>
      <c r="S11" s="1545">
        <v>0.88846512475725092</v>
      </c>
      <c r="T11" s="80">
        <f>Appliances!$AD$125</f>
        <v>4.9989999999999997</v>
      </c>
      <c r="U11" s="818">
        <f t="shared" si="0"/>
        <v>0.54256574400000002</v>
      </c>
      <c r="V11" s="599">
        <f>IF(AND(HomeType=2,NewConst!F$249="Yes"), 2.47*NewConst!$F$38,2.35+0.78*N_br)</f>
        <v>4.6899999999999995</v>
      </c>
      <c r="W11" s="599">
        <f t="shared" si="1"/>
        <v>5.1763636447844386</v>
      </c>
      <c r="X11" s="599">
        <f t="shared" si="2"/>
        <v>20.683301810329834</v>
      </c>
      <c r="Y11" s="599">
        <f t="shared" si="3"/>
        <v>18.445872160729714</v>
      </c>
      <c r="Z11" s="818">
        <f>IF(NewConst!F$135&gt;0,0.028*NewConst!$F$38*MAX((105-G11)/(120-G11),0),0)</f>
        <v>4.135183510812106</v>
      </c>
      <c r="AA11" s="599">
        <f>IF(AND(HomeType=2,NewConst!F$249="YES"),SUM(T11,W11:Y11),SUM(T11,V11:Y11))</f>
        <v>53.994537615843988</v>
      </c>
      <c r="AB11" s="818">
        <f>IF(HomeType=2,IF(NewConst!F$249="YES",IF(NewConst!$F$135&gt;0,IF(NewConst!$F$303="YES",SUM(U11,V11,Z11),SUM(V11,Z11)),IF(NewConst!$F$303="YES",SUM(U11,V11),V11)),IF(NewConst!$F$135&gt;0,IF(NewConst!$F$303="YES",SUM(U11,Z11),SUM(Z11)),IF(NewConst!$F$303="YES",SUM(U11),0))),0)</f>
        <v>0</v>
      </c>
      <c r="AC11" s="604">
        <f t="shared" si="4"/>
        <v>4150.0216851885953</v>
      </c>
      <c r="AD11" s="599">
        <f t="shared" si="5"/>
        <v>2.5</v>
      </c>
      <c r="AE11" s="599">
        <f t="shared" si="6"/>
        <v>0.35000000000000003</v>
      </c>
      <c r="AF11" s="600">
        <f t="shared" si="7"/>
        <v>6</v>
      </c>
      <c r="AG11" s="734">
        <f>IF(NewConst!$F$203=NewConst!$I$203,'Detailed Lighting'!BB16,Lighting!BC26)</f>
        <v>5.5334985704423606E-2</v>
      </c>
    </row>
    <row r="12" spans="1:33">
      <c r="A12" s="15">
        <v>7</v>
      </c>
      <c r="B12" s="32" t="s">
        <v>1007</v>
      </c>
      <c r="C12" s="21">
        <f>1</f>
        <v>1</v>
      </c>
      <c r="D12" s="68">
        <f>1</f>
        <v>1</v>
      </c>
      <c r="E12" s="80">
        <f>Locations!CO2</f>
        <v>0.7</v>
      </c>
      <c r="F12" s="92">
        <f>IF(NewConst!$F$111="Electric", DHW!J59,DHW!K59)</f>
        <v>0.76720076667410919</v>
      </c>
      <c r="G12" s="81">
        <f>Locations!AG2</f>
        <v>66.200149341478465</v>
      </c>
      <c r="H12" s="1544">
        <v>1.0958827242757947</v>
      </c>
      <c r="I12" s="1526">
        <v>1.0958827242757947</v>
      </c>
      <c r="J12" s="1526">
        <v>1.0958827242757947</v>
      </c>
      <c r="K12" s="1526">
        <v>0.89628513398414478</v>
      </c>
      <c r="L12" s="1526">
        <v>0.89628513398414478</v>
      </c>
      <c r="M12" s="1526">
        <v>0.99887381873378056</v>
      </c>
      <c r="N12" s="1526">
        <v>0.88083143030246547</v>
      </c>
      <c r="O12" s="1526">
        <v>0.99626748526179942</v>
      </c>
      <c r="P12" s="1526">
        <v>0.90731194108364022</v>
      </c>
      <c r="Q12" s="1526">
        <v>1.1575481315693881</v>
      </c>
      <c r="R12" s="81">
        <v>3</v>
      </c>
      <c r="S12" s="1545">
        <v>0.88336125970119961</v>
      </c>
      <c r="T12" s="80">
        <f>Appliances!$AD$125</f>
        <v>4.9989999999999997</v>
      </c>
      <c r="U12" s="818">
        <f t="shared" si="0"/>
        <v>0.54256574400000002</v>
      </c>
      <c r="V12" s="599">
        <f>IF(AND(HomeType=2,NewConst!F$249="Yes"), 2.47*NewConst!$F$38,2.35+0.78*N_br)</f>
        <v>4.6899999999999995</v>
      </c>
      <c r="W12" s="599">
        <f t="shared" si="1"/>
        <v>5.0555336081245246</v>
      </c>
      <c r="X12" s="599">
        <f t="shared" si="2"/>
        <v>20.200498767984012</v>
      </c>
      <c r="Y12" s="599">
        <f t="shared" si="3"/>
        <v>18.01529665206143</v>
      </c>
      <c r="Z12" s="818">
        <f>IF(NewConst!F$135&gt;0,0.028*NewConst!$F$38*MAX((105-G12)/(120-G12),0),0)</f>
        <v>4.038657375962531</v>
      </c>
      <c r="AA12" s="599">
        <f>IF(AND(HomeType=2,NewConst!F$249="YES"),SUM(T12,W12:Y12),SUM(T12,V12:Y12))</f>
        <v>52.960329028169966</v>
      </c>
      <c r="AB12" s="818">
        <f>IF(HomeType=2,IF(NewConst!F$249="YES",IF(NewConst!$F$135&gt;0,IF(NewConst!$F$303="YES",SUM(U12,V12,Z12),SUM(V12,Z12)),IF(NewConst!$F$303="YES",SUM(U12,V12),V12)),IF(NewConst!$F$135&gt;0,IF(NewConst!$F$303="YES",SUM(U12,Z12),SUM(Z12)),IF(NewConst!$F$303="YES",SUM(U12),0))),0)</f>
        <v>0</v>
      </c>
      <c r="AC12" s="604">
        <f t="shared" si="4"/>
        <v>3991.4381571875397</v>
      </c>
      <c r="AD12" s="599">
        <f t="shared" si="5"/>
        <v>2.5</v>
      </c>
      <c r="AE12" s="599">
        <f t="shared" si="6"/>
        <v>0.35000000000000003</v>
      </c>
      <c r="AF12" s="600">
        <f t="shared" si="7"/>
        <v>6</v>
      </c>
      <c r="AG12" s="734">
        <f>IF(NewConst!$F$203=NewConst!$I$203,'Detailed Lighting'!BB17,Lighting!BC27)</f>
        <v>5.8249592301554083E-2</v>
      </c>
    </row>
    <row r="13" spans="1:33">
      <c r="A13" s="15">
        <v>8</v>
      </c>
      <c r="B13" s="32" t="s">
        <v>481</v>
      </c>
      <c r="C13" s="21">
        <f>1</f>
        <v>1</v>
      </c>
      <c r="D13" s="68">
        <f>1</f>
        <v>1</v>
      </c>
      <c r="E13" s="80">
        <f>Locations!CP2</f>
        <v>0.7</v>
      </c>
      <c r="F13" s="92">
        <f>IF(NewConst!$F$111="Electric", DHW!J60,DHW!K60)</f>
        <v>0.76720076667410919</v>
      </c>
      <c r="G13" s="81">
        <f>Locations!AH2</f>
        <v>67.493906273288161</v>
      </c>
      <c r="H13" s="1544">
        <v>1.0958827242757947</v>
      </c>
      <c r="I13" s="1526">
        <v>1.0958827242757947</v>
      </c>
      <c r="J13" s="1526">
        <v>1.0958827242757947</v>
      </c>
      <c r="K13" s="1526">
        <v>0.89628513398414478</v>
      </c>
      <c r="L13" s="1526">
        <v>0.89628513398414478</v>
      </c>
      <c r="M13" s="1526">
        <v>0.99887381873378056</v>
      </c>
      <c r="N13" s="1526">
        <v>0.88083143030246547</v>
      </c>
      <c r="O13" s="1526">
        <v>0.99626748526179942</v>
      </c>
      <c r="P13" s="1526">
        <v>0.90731194108364022</v>
      </c>
      <c r="Q13" s="1526">
        <v>1.1575481315693881</v>
      </c>
      <c r="R13" s="81">
        <v>3</v>
      </c>
      <c r="S13" s="1545">
        <v>0.88336125970119961</v>
      </c>
      <c r="T13" s="80">
        <f>Appliances!$AD$125</f>
        <v>4.9989999999999997</v>
      </c>
      <c r="U13" s="818">
        <f t="shared" si="0"/>
        <v>0.54256574400000002</v>
      </c>
      <c r="V13" s="599">
        <f>IF(AND(HomeType=2,NewConst!F$249="Yes"), 2.47*NewConst!$F$38,2.35+0.78*N_br)</f>
        <v>4.6899999999999995</v>
      </c>
      <c r="W13" s="599">
        <f t="shared" si="1"/>
        <v>5.0073753037639088</v>
      </c>
      <c r="X13" s="599">
        <f t="shared" si="2"/>
        <v>20.008071648848372</v>
      </c>
      <c r="Y13" s="599">
        <f t="shared" si="3"/>
        <v>17.843685461914756</v>
      </c>
      <c r="Z13" s="818">
        <f>IF(NewConst!F$135&gt;0,0.028*NewConst!$F$38*MAX((105-G13)/(120-G13),0),0)</f>
        <v>4.0001856920225238</v>
      </c>
      <c r="AA13" s="599">
        <f>IF(AND(HomeType=2,NewConst!F$249="YES"),SUM(T13,W13:Y13),SUM(T13,V13:Y13))</f>
        <v>52.548132414527032</v>
      </c>
      <c r="AB13" s="818">
        <f>IF(HomeType=2,IF(NewConst!F$249="YES",IF(NewConst!$F$135&gt;0,IF(NewConst!$F$303="YES",SUM(U13,V13,Z13),SUM(V13,Z13)),IF(NewConst!$F$303="YES",SUM(U13,V13),V13)),IF(NewConst!$F$135&gt;0,IF(NewConst!$F$303="YES",SUM(U13,Z13),SUM(Z13)),IF(NewConst!$F$303="YES",SUM(U13),0))),0)</f>
        <v>0</v>
      </c>
      <c r="AC13" s="604">
        <f t="shared" si="4"/>
        <v>3904.0117105086038</v>
      </c>
      <c r="AD13" s="599">
        <f t="shared" si="5"/>
        <v>2.5</v>
      </c>
      <c r="AE13" s="599">
        <f t="shared" si="6"/>
        <v>0.35000000000000003</v>
      </c>
      <c r="AF13" s="600">
        <f t="shared" si="7"/>
        <v>6</v>
      </c>
      <c r="AG13" s="734">
        <f>IF(NewConst!$F$203=NewConst!$I$203,'Detailed Lighting'!BB18,Lighting!BC28)</f>
        <v>6.5473480080343274E-2</v>
      </c>
    </row>
    <row r="14" spans="1:33">
      <c r="A14" s="15">
        <v>9</v>
      </c>
      <c r="B14" s="32" t="s">
        <v>482</v>
      </c>
      <c r="C14" s="21">
        <f>1</f>
        <v>1</v>
      </c>
      <c r="D14" s="68">
        <f>1</f>
        <v>1</v>
      </c>
      <c r="E14" s="80">
        <f>Locations!CQ2</f>
        <v>0.7</v>
      </c>
      <c r="F14" s="92">
        <f>IF(NewConst!$F$111="Electric", DHW!J61,DHW!K61)</f>
        <v>0.76720076667410919</v>
      </c>
      <c r="G14" s="81">
        <f>Locations!AI2</f>
        <v>66.198965919317473</v>
      </c>
      <c r="H14" s="1544">
        <v>1.0958827242757947</v>
      </c>
      <c r="I14" s="1526">
        <v>1.0958827242757947</v>
      </c>
      <c r="J14" s="1526">
        <v>1.0958827242757947</v>
      </c>
      <c r="K14" s="1526">
        <v>0.88960230623075431</v>
      </c>
      <c r="L14" s="1526">
        <v>0.88960230623075431</v>
      </c>
      <c r="M14" s="1526">
        <v>0.99574009694951759</v>
      </c>
      <c r="N14" s="1526">
        <v>0.87378477886004557</v>
      </c>
      <c r="O14" s="1526">
        <v>0.99314194020999746</v>
      </c>
      <c r="P14" s="1526">
        <v>0.91320357706470279</v>
      </c>
      <c r="Q14" s="1526">
        <v>1.1595167508407644</v>
      </c>
      <c r="R14" s="81">
        <v>1.5</v>
      </c>
      <c r="S14" s="1545">
        <v>0.88846512475725092</v>
      </c>
      <c r="T14" s="80">
        <f>Appliances!$AD$125</f>
        <v>4.9989999999999997</v>
      </c>
      <c r="U14" s="818">
        <f t="shared" si="0"/>
        <v>0.54256574400000002</v>
      </c>
      <c r="V14" s="599">
        <f>IF(AND(HomeType=2,NewConst!F$249="Yes"), 2.47*NewConst!$F$38,2.35+0.78*N_br)</f>
        <v>4.6899999999999995</v>
      </c>
      <c r="W14" s="599">
        <f t="shared" si="1"/>
        <v>5.055576599098222</v>
      </c>
      <c r="X14" s="599">
        <f t="shared" si="2"/>
        <v>20.200670547894607</v>
      </c>
      <c r="Y14" s="599">
        <f t="shared" si="3"/>
        <v>18.015449849568274</v>
      </c>
      <c r="Z14" s="818">
        <f>IF(NewConst!F$135&gt;0,0.028*NewConst!$F$38*MAX((105-G14)/(120-G14),0),0)</f>
        <v>4.0386917196790364</v>
      </c>
      <c r="AA14" s="599">
        <f>IF(AND(HomeType=2,NewConst!F$249="YES"),SUM(T14,W14:Y14),SUM(T14,V14:Y14))</f>
        <v>52.960696996561097</v>
      </c>
      <c r="AB14" s="818">
        <f>IF(HomeType=2,IF(NewConst!F$249="YES",IF(NewConst!$F$135&gt;0,IF(NewConst!$F$303="YES",SUM(U14,V14,Z14),SUM(V14,Z14)),IF(NewConst!$F$303="YES",SUM(U14,V14),V14)),IF(NewConst!$F$135&gt;0,IF(NewConst!$F$303="YES",SUM(U14,Z14),SUM(Z14)),IF(NewConst!$F$303="YES",SUM(U14),0))),0)</f>
        <v>0</v>
      </c>
      <c r="AC14" s="604">
        <f t="shared" si="4"/>
        <v>3911.1681909365307</v>
      </c>
      <c r="AD14" s="599">
        <f t="shared" si="5"/>
        <v>2.5</v>
      </c>
      <c r="AE14" s="599">
        <f t="shared" si="6"/>
        <v>0.35000000000000003</v>
      </c>
      <c r="AF14" s="600">
        <f t="shared" si="7"/>
        <v>6</v>
      </c>
      <c r="AG14" s="734">
        <f>IF(NewConst!$F$203=NewConst!$I$203,'Detailed Lighting'!BB19,Lighting!BC29)</f>
        <v>7.5633588935449747E-2</v>
      </c>
    </row>
    <row r="15" spans="1:33">
      <c r="A15" s="15">
        <v>10</v>
      </c>
      <c r="B15" s="32" t="s">
        <v>483</v>
      </c>
      <c r="C15" s="21">
        <f>1</f>
        <v>1</v>
      </c>
      <c r="D15" s="68">
        <f>1</f>
        <v>1</v>
      </c>
      <c r="E15" s="80">
        <f>Locations!CR2</f>
        <v>0.85</v>
      </c>
      <c r="F15" s="92">
        <f>IF(NewConst!$F$111="Electric", DHW!J62,DHW!K62)</f>
        <v>0.76566868865834126</v>
      </c>
      <c r="G15" s="81">
        <f>Locations!AJ2</f>
        <v>62.65287443846379</v>
      </c>
      <c r="H15" s="1544">
        <v>0.93091113137406212</v>
      </c>
      <c r="I15" s="1526">
        <v>0.93091113137406212</v>
      </c>
      <c r="J15" s="1526">
        <v>0.93091113137406212</v>
      </c>
      <c r="K15" s="1526">
        <v>1.0849767411387015</v>
      </c>
      <c r="L15" s="1526">
        <v>1.0849767411387015</v>
      </c>
      <c r="M15" s="1526">
        <v>0.9636194486608235</v>
      </c>
      <c r="N15" s="1526">
        <v>1.0100200400801602</v>
      </c>
      <c r="O15" s="1526">
        <v>0.86733875187497811</v>
      </c>
      <c r="P15" s="1526">
        <v>0.90731194108364022</v>
      </c>
      <c r="Q15" s="1526">
        <v>0.92131381900420672</v>
      </c>
      <c r="R15" s="81">
        <v>0</v>
      </c>
      <c r="S15" s="1545">
        <v>0.97758646073599431</v>
      </c>
      <c r="T15" s="80">
        <f>Appliances!$AD$125</f>
        <v>4.9989999999999997</v>
      </c>
      <c r="U15" s="818">
        <f t="shared" si="0"/>
        <v>0.54256574400000002</v>
      </c>
      <c r="V15" s="599">
        <f>IF(AND(HomeType=2,NewConst!F$249="Yes"), 2.47*NewConst!$F$38,2.35+0.78*N_br)</f>
        <v>4.6899999999999995</v>
      </c>
      <c r="W15" s="599">
        <f t="shared" si="1"/>
        <v>5.1764294597090306</v>
      </c>
      <c r="X15" s="599">
        <f t="shared" si="2"/>
        <v>20.683564788366613</v>
      </c>
      <c r="Y15" s="599">
        <f t="shared" si="3"/>
        <v>18.446106690946021</v>
      </c>
      <c r="Z15" s="818">
        <f>IF(NewConst!F$135&gt;0,0.028*NewConst!$F$38*MAX((105-G15)/(120-G15),0),0)</f>
        <v>4.1352360876420224</v>
      </c>
      <c r="AA15" s="599">
        <f>IF(AND(HomeType=2,NewConst!F$249="YES"),SUM(T15,W15:Y15),SUM(T15,V15:Y15))</f>
        <v>53.995100939021668</v>
      </c>
      <c r="AB15" s="818">
        <f>IF(HomeType=2,IF(NewConst!F$249="YES",IF(NewConst!$F$135&gt;0,IF(NewConst!$F$303="YES",SUM(U15,V15,Z15),SUM(V15,Z15)),IF(NewConst!$F$303="YES",SUM(U15,V15),V15)),IF(NewConst!$F$135&gt;0,IF(NewConst!$F$303="YES",SUM(U15,Z15),SUM(Z15)),IF(NewConst!$F$303="YES",SUM(U15),0))),0)</f>
        <v>0</v>
      </c>
      <c r="AC15" s="604">
        <f t="shared" si="4"/>
        <v>4010.9900253200085</v>
      </c>
      <c r="AD15" s="599">
        <f t="shared" si="5"/>
        <v>2.5</v>
      </c>
      <c r="AE15" s="599">
        <f t="shared" si="6"/>
        <v>0.35000000000000003</v>
      </c>
      <c r="AF15" s="600">
        <f t="shared" si="7"/>
        <v>6</v>
      </c>
      <c r="AG15" s="734">
        <f>IF(NewConst!$F$203=NewConst!$I$203,'Detailed Lighting'!BB20,Lighting!BC30)</f>
        <v>9.4449084525061039E-2</v>
      </c>
    </row>
    <row r="16" spans="1:33">
      <c r="A16" s="15">
        <v>11</v>
      </c>
      <c r="B16" s="32" t="s">
        <v>484</v>
      </c>
      <c r="C16" s="21">
        <f>1</f>
        <v>1</v>
      </c>
      <c r="D16" s="68">
        <f>1</f>
        <v>1</v>
      </c>
      <c r="E16" s="80">
        <f>Locations!CS2</f>
        <v>0.85</v>
      </c>
      <c r="F16" s="92">
        <f>IF(NewConst!$F$111="Electric", DHW!J63,DHW!K63)</f>
        <v>0.76566868865834126</v>
      </c>
      <c r="G16" s="81">
        <f>Locations!AK2</f>
        <v>57.779975222135477</v>
      </c>
      <c r="H16" s="1544">
        <v>0.92541207827733762</v>
      </c>
      <c r="I16" s="1526">
        <v>0.92541207827733762</v>
      </c>
      <c r="J16" s="1526">
        <v>0.92541207827733762</v>
      </c>
      <c r="K16" s="1526">
        <v>1.0845836336237962</v>
      </c>
      <c r="L16" s="1526">
        <v>1.0845836336237962</v>
      </c>
      <c r="M16" s="1526">
        <v>0.95931058120746215</v>
      </c>
      <c r="N16" s="1526">
        <v>1.0072796756303304</v>
      </c>
      <c r="O16" s="1526">
        <v>0.85991558237694909</v>
      </c>
      <c r="P16" s="1526">
        <v>0.91320357706470279</v>
      </c>
      <c r="Q16" s="1526">
        <v>0.91540796119007728</v>
      </c>
      <c r="R16" s="81">
        <v>0</v>
      </c>
      <c r="S16" s="1545">
        <v>0.97366041069287768</v>
      </c>
      <c r="T16" s="80">
        <f>Appliances!$AD$125</f>
        <v>4.9989999999999997</v>
      </c>
      <c r="U16" s="818">
        <f t="shared" si="0"/>
        <v>0.54256574400000002</v>
      </c>
      <c r="V16" s="599">
        <f>IF(AND(HomeType=2,NewConst!F$249="Yes"), 2.47*NewConst!$F$38,2.35+0.78*N_br)</f>
        <v>4.6899999999999995</v>
      </c>
      <c r="W16" s="599">
        <f t="shared" si="1"/>
        <v>5.3200296026013749</v>
      </c>
      <c r="X16" s="599">
        <f t="shared" si="2"/>
        <v>21.257350808682528</v>
      </c>
      <c r="Y16" s="599">
        <f t="shared" si="3"/>
        <v>18.957823034662248</v>
      </c>
      <c r="Z16" s="818">
        <f>IF(NewConst!F$135&gt;0,0.028*NewConst!$F$38*MAX((105-G16)/(120-G16),0),0)</f>
        <v>4.2499523216216408</v>
      </c>
      <c r="AA16" s="599">
        <f>IF(AND(HomeType=2,NewConst!F$249="YES"),SUM(T16,W16:Y16),SUM(T16,V16:Y16))</f>
        <v>55.224203445946152</v>
      </c>
      <c r="AB16" s="818">
        <f>IF(HomeType=2,IF(NewConst!F$249="YES",IF(NewConst!$F$135&gt;0,IF(NewConst!$F$303="YES",SUM(U16,V16,Z16),SUM(V16,Z16)),IF(NewConst!$F$303="YES",SUM(U16,V16),V16)),IF(NewConst!$F$135&gt;0,IF(NewConst!$F$303="YES",SUM(U16,Z16),SUM(Z16)),IF(NewConst!$F$303="YES",SUM(U16),0))),0)</f>
        <v>0</v>
      </c>
      <c r="AC16" s="604">
        <f t="shared" si="4"/>
        <v>4176.7300337489905</v>
      </c>
      <c r="AD16" s="599">
        <f t="shared" si="5"/>
        <v>2.5</v>
      </c>
      <c r="AE16" s="599">
        <f t="shared" si="6"/>
        <v>0.35000000000000003</v>
      </c>
      <c r="AF16" s="600">
        <f t="shared" si="7"/>
        <v>6</v>
      </c>
      <c r="AG16" s="734">
        <f>IF(NewConst!$F$203=NewConst!$I$203,'Detailed Lighting'!BB21,Lighting!BC31)</f>
        <v>0.10789130895095178</v>
      </c>
    </row>
    <row r="17" spans="1:81">
      <c r="A17" s="15">
        <v>12</v>
      </c>
      <c r="B17" s="33" t="s">
        <v>485</v>
      </c>
      <c r="C17" s="82">
        <f>1</f>
        <v>1</v>
      </c>
      <c r="D17" s="69">
        <f>1</f>
        <v>1</v>
      </c>
      <c r="E17" s="413">
        <f>Locations!CT2</f>
        <v>0.85</v>
      </c>
      <c r="F17" s="419">
        <f>IF(NewConst!$F$111="Electric", DHW!J64,DHW!K64)</f>
        <v>0.76566868865834126</v>
      </c>
      <c r="G17" s="420">
        <f>Locations!AL2</f>
        <v>52.850464544718484</v>
      </c>
      <c r="H17" s="1546">
        <v>0.83664164971592903</v>
      </c>
      <c r="I17" s="1527">
        <v>0.83664164971592903</v>
      </c>
      <c r="J17" s="1527">
        <v>0.83664164971592903</v>
      </c>
      <c r="K17" s="1527">
        <v>1.0967699665858615</v>
      </c>
      <c r="L17" s="1527">
        <v>1.0967699665858615</v>
      </c>
      <c r="M17" s="1527">
        <v>1.010625275424766</v>
      </c>
      <c r="N17" s="1527">
        <v>1.1509530689285548</v>
      </c>
      <c r="O17" s="1527">
        <v>1.1369170125928769</v>
      </c>
      <c r="P17" s="1527">
        <v>1.2725933719095215</v>
      </c>
      <c r="Q17" s="1527">
        <v>0.92131381900420672</v>
      </c>
      <c r="R17" s="420">
        <v>0</v>
      </c>
      <c r="S17" s="1547">
        <v>1.154258712676234</v>
      </c>
      <c r="T17" s="413">
        <f>Appliances!$AD$125</f>
        <v>4.9989999999999997</v>
      </c>
      <c r="U17" s="1048">
        <f t="shared" si="0"/>
        <v>0.54256574400000002</v>
      </c>
      <c r="V17" s="601">
        <f>IF(AND(HomeType=2,NewConst!F$249="Yes"), 2.47*NewConst!$F$38,2.35+0.78*N_br)</f>
        <v>4.6899999999999995</v>
      </c>
      <c r="W17" s="601">
        <f t="shared" si="1"/>
        <v>5.4440919220502266</v>
      </c>
      <c r="X17" s="601">
        <f t="shared" si="2"/>
        <v>21.753069149304828</v>
      </c>
      <c r="Y17" s="601">
        <f t="shared" si="3"/>
        <v>19.399916720800952</v>
      </c>
      <c r="Z17" s="1048">
        <f>IF(NewConst!F$135&gt;0,0.028*NewConst!$F$38*MAX((105-G17)/(120-G17),0),0)</f>
        <v>4.3490605939345608</v>
      </c>
      <c r="AA17" s="601">
        <f>IF(AND(HomeType=2,NewConst!F$249="YES"),SUM(T17,W17:Y17),SUM(T17,V17:Y17))</f>
        <v>56.286077792156007</v>
      </c>
      <c r="AB17" s="1048">
        <f>IF(HomeType=2,IF(NewConst!F$249="YES",IF(NewConst!$F$135&gt;0,IF(NewConst!$F$303="YES",SUM(U17,V17,Z17),SUM(V17,Z17)),IF(NewConst!$F$303="YES",SUM(U17,V17),V17)),IF(NewConst!$F$135&gt;0,IF(NewConst!$F$303="YES",SUM(U17,Z17),SUM(Z17)),IF(NewConst!$F$303="YES",SUM(U17),0))),0)</f>
        <v>0</v>
      </c>
      <c r="AC17" s="603">
        <f t="shared" si="4"/>
        <v>4363.9783148114047</v>
      </c>
      <c r="AD17" s="601">
        <f t="shared" si="5"/>
        <v>2.5</v>
      </c>
      <c r="AE17" s="601">
        <f t="shared" si="6"/>
        <v>0.35000000000000003</v>
      </c>
      <c r="AF17" s="602">
        <f t="shared" si="7"/>
        <v>6</v>
      </c>
      <c r="AG17" s="734">
        <f>IF(NewConst!$F$203=NewConst!$I$203,'Detailed Lighting'!BB22,Lighting!BC32)</f>
        <v>0.1204087334139272</v>
      </c>
    </row>
    <row r="18" spans="1:81" ht="22.5">
      <c r="A18" s="30"/>
      <c r="B18" s="16"/>
      <c r="C18" s="13"/>
      <c r="D18" s="13"/>
      <c r="E18" s="13"/>
      <c r="F18" s="412" t="s">
        <v>82</v>
      </c>
      <c r="G18" s="413">
        <f>(G6*'Monthly Profiles'!D47+G7*'Monthly Profiles'!D48+G8*'Monthly Profiles'!D49+G9*'Monthly Profiles'!D50+G10*'Monthly Profiles'!D51+G11*'Monthly Profiles'!D52+G12*'Monthly Profiles'!D53+G13*'Monthly Profiles'!D54+G14*'Monthly Profiles'!D55+G15*'Monthly Profiles'!D56+G16*'Monthly Profiles'!D57+G17*'Monthly Profiles'!D58)/365</f>
        <v>57.722899711599034</v>
      </c>
      <c r="H18" s="1548">
        <f t="shared" ref="H18:S18" si="8">SUM(H6:H17)</f>
        <v>12.000000000000002</v>
      </c>
      <c r="I18" s="1528">
        <f t="shared" si="8"/>
        <v>12.000000000000002</v>
      </c>
      <c r="J18" s="1528">
        <f t="shared" si="8"/>
        <v>12.000000000000002</v>
      </c>
      <c r="K18" s="1528">
        <f t="shared" si="8"/>
        <v>12.000000000000002</v>
      </c>
      <c r="L18" s="1528">
        <f t="shared" si="8"/>
        <v>12.000000000000002</v>
      </c>
      <c r="M18" s="1528">
        <f t="shared" si="8"/>
        <v>12</v>
      </c>
      <c r="N18" s="1528">
        <f t="shared" si="8"/>
        <v>12</v>
      </c>
      <c r="O18" s="1528">
        <f t="shared" si="8"/>
        <v>11.999999999999998</v>
      </c>
      <c r="P18" s="1528">
        <f t="shared" si="8"/>
        <v>12</v>
      </c>
      <c r="Q18" s="1528">
        <f t="shared" si="8"/>
        <v>11.999999999999998</v>
      </c>
      <c r="R18" s="1528">
        <f t="shared" si="8"/>
        <v>12</v>
      </c>
      <c r="S18" s="1528">
        <f t="shared" si="8"/>
        <v>12</v>
      </c>
      <c r="T18" s="413">
        <f>Appliances!$AD$125</f>
        <v>4.9989999999999997</v>
      </c>
      <c r="U18" s="819">
        <f t="shared" si="0"/>
        <v>0.54256574400000002</v>
      </c>
      <c r="V18" s="601">
        <f>IF(HomeType=2, 2.47*NewConst!$F$38,7.5+2.5*N_br)</f>
        <v>15</v>
      </c>
      <c r="W18" s="601">
        <f>(W6*'Monthly Profiles'!$D$47+W7*'Monthly Profiles'!$D$48+W8*'Monthly Profiles'!$D$49+W9*'Monthly Profiles'!$D$50+W10*'Monthly Profiles'!$D$51+W11*'Monthly Profiles'!$D$52+W12*'Monthly Profiles'!$D$53+W13*'Monthly Profiles'!$D$54+W14*'Monthly Profiles'!$D$55+W15*'Monthly Profiles'!$D$56+W16*'Monthly Profiles'!$D$57+W17*'Monthly Profiles'!$D$58)/365</f>
        <v>5.2998887169429718</v>
      </c>
      <c r="X18" s="601">
        <f>(X6*'Monthly Profiles'!$D$47+X7*'Monthly Profiles'!$D$48+X8*'Monthly Profiles'!$D$49+X9*'Monthly Profiles'!$D$50+X10*'Monthly Profiles'!$D$51+X11*'Monthly Profiles'!$D$52+X12*'Monthly Profiles'!$D$53+X13*'Monthly Profiles'!$D$54+X14*'Monthly Profiles'!$D$55+X15*'Monthly Profiles'!$D$56+X16*'Monthly Profiles'!$D$57+X17*'Monthly Profiles'!$D$58)/365</f>
        <v>21.176873460994674</v>
      </c>
      <c r="Y18" s="601">
        <f>(Y6*'Monthly Profiles'!D47+Y7*'Monthly Profiles'!D48+Y8*'Monthly Profiles'!D49+Y9*'Monthly Profiles'!D50+Y10*'Monthly Profiles'!D51+Y11*'Monthly Profiles'!D52+Y12*'Monthly Profiles'!D53+Y13*'Monthly Profiles'!D54+Y14*'Monthly Profiles'!D55+Y15*'Monthly Profiles'!D56+Y16*'Monthly Profiles'!D57+Y17*'Monthly Profiles'!D58)/365</f>
        <v>18.886051376495789</v>
      </c>
      <c r="Z18" s="819">
        <f>IF(NewConst!F$135&gt;0,0.028*NewConst!$F$38*MAX((105-G18)/(120-G18),0),0)</f>
        <v>4.2511896088449559</v>
      </c>
      <c r="AA18" s="601">
        <f>IF(AND(HomeType=2,NewConst!F$249="YES"),SUM(T18,W18:Y18),SUM(T18,V18:Y18))</f>
        <v>65.361813554433425</v>
      </c>
      <c r="AB18" s="819">
        <f>IF(HomeType=2,IF(NewConst!F$249="YES",IF(NewConst!$F$135&gt;0,IF(NewConst!$F$303="YES",SUM(U18,V18,Z18),SUM(V18,Z18)),IF(NewConst!$F$303="YES",SUM(U18,V18),V18)),IF(NewConst!$F$135&gt;0,IF(NewConst!$F$303="YES",SUM(U18,Z18),SUM(Z18)),IF(NewConst!$F$303="YES",SUM(U18),0))),0)</f>
        <v>0</v>
      </c>
      <c r="AC18" s="613">
        <f>(AC6*'Monthly Profiles'!$D$47+AC7*'Monthly Profiles'!$D$48+AC8*'Monthly Profiles'!$D$49+AC9*'Monthly Profiles'!$D$50+AC10*'Monthly Profiles'!$D$51+AC11*'Monthly Profiles'!$D$52+AC12*'Monthly Profiles'!$D$53+AC13*'Monthly Profiles'!$D$54+AC14*'Monthly Profiles'!$D$55+AC15*'Monthly Profiles'!$D$56+AC16*'Monthly Profiles'!$D$57+AC17*'Monthly Profiles'!$D$58)/365</f>
        <v>4254.8852198547174</v>
      </c>
      <c r="AD18" s="610">
        <f>(AD6*'Monthly Profiles'!$D$47+AD7*'Monthly Profiles'!$D$48+AD8*'Monthly Profiles'!$D$49+AD9*'Monthly Profiles'!$D$50+AD10*'Monthly Profiles'!$D$51+AD11*'Monthly Profiles'!$D$52+AD12*'Monthly Profiles'!$D$53+AD13*'Monthly Profiles'!$D$54+AD14*'Monthly Profiles'!$D$55+AD15*'Monthly Profiles'!$D$56+AD16*'Monthly Profiles'!$D$57+AD17*'Monthly Profiles'!$D$58)/365</f>
        <v>2.5</v>
      </c>
      <c r="AE18" s="610">
        <f>(AE6*'Monthly Profiles'!$D$47+AE7*'Monthly Profiles'!$D$48+AE8*'Monthly Profiles'!$D$49+AE9*'Monthly Profiles'!$D$50+AE10*'Monthly Profiles'!$D$51+AE11*'Monthly Profiles'!$D$52+AE12*'Monthly Profiles'!$D$53+AE13*'Monthly Profiles'!$D$54+AE14*'Monthly Profiles'!$D$55+AE15*'Monthly Profiles'!$D$56+AE16*'Monthly Profiles'!$D$57+AE17*'Monthly Profiles'!$D$58)/365</f>
        <v>0.35</v>
      </c>
      <c r="AF18" s="1046">
        <f>(AF6*'Monthly Profiles'!$D$47+AF7*'Monthly Profiles'!$D$48+AF8*'Monthly Profiles'!$D$49+AF9*'Monthly Profiles'!$D$50+AF10*'Monthly Profiles'!$D$51+AF11*'Monthly Profiles'!$D$52+AF12*'Monthly Profiles'!$D$53+AF13*'Monthly Profiles'!$D$54+AF14*'Monthly Profiles'!$D$55+AF15*'Monthly Profiles'!$D$56+AF16*'Monthly Profiles'!$D$57+AF17*'Monthly Profiles'!$D$58)/365</f>
        <v>6</v>
      </c>
      <c r="AG18" s="735">
        <f>SUM(AG6:AG17)</f>
        <v>1</v>
      </c>
    </row>
    <row r="19" spans="1:81">
      <c r="A19" s="30"/>
      <c r="B19" s="16"/>
      <c r="C19" s="13"/>
      <c r="D19" s="13"/>
      <c r="E19" s="13"/>
      <c r="F19" s="13"/>
      <c r="G19" s="13"/>
      <c r="H19" s="13"/>
      <c r="I19" s="13"/>
      <c r="J19" s="13"/>
      <c r="K19" s="13"/>
      <c r="L19" s="13"/>
      <c r="M19" s="13"/>
      <c r="N19" s="13"/>
      <c r="O19" s="13"/>
      <c r="P19" s="13"/>
      <c r="Q19" s="13"/>
      <c r="R19" s="13"/>
      <c r="S19" s="13" t="s">
        <v>854</v>
      </c>
      <c r="T19" s="13"/>
      <c r="U19" s="13"/>
      <c r="V19" s="13"/>
      <c r="W19" s="13"/>
      <c r="X19" s="13"/>
      <c r="Y19" s="13"/>
      <c r="Z19" s="13"/>
      <c r="AA19" s="13"/>
      <c r="AB19" s="13"/>
      <c r="AC19" s="13"/>
      <c r="AD19" s="13"/>
      <c r="AE19" s="13"/>
      <c r="AF19" s="13"/>
      <c r="AG19" s="13"/>
    </row>
    <row r="20" spans="1:81">
      <c r="A20" s="30"/>
      <c r="B20" s="16"/>
      <c r="C20" s="13"/>
      <c r="D20" s="13"/>
      <c r="E20" s="13"/>
      <c r="F20" s="13"/>
      <c r="G20" s="13"/>
      <c r="H20" s="13"/>
      <c r="I20" s="13"/>
      <c r="J20" s="13"/>
      <c r="K20" s="13"/>
      <c r="L20" s="13"/>
      <c r="M20" s="13"/>
      <c r="N20" s="13"/>
      <c r="O20" s="13"/>
      <c r="P20" s="13"/>
      <c r="Q20" s="13"/>
      <c r="R20" s="13"/>
      <c r="S20" s="13"/>
      <c r="T20" s="13"/>
      <c r="U20" s="13"/>
      <c r="V20" s="13"/>
      <c r="W20" s="13"/>
      <c r="X20" s="13"/>
      <c r="Y20" s="13"/>
      <c r="Z20" s="2030">
        <v>4257</v>
      </c>
      <c r="AA20" s="13"/>
      <c r="AB20" s="13"/>
      <c r="AC20" s="13"/>
      <c r="AD20" s="13"/>
      <c r="AE20" s="13"/>
      <c r="AF20" s="13"/>
      <c r="AG20" s="13"/>
      <c r="AJ20" s="101"/>
      <c r="AK20" s="101"/>
      <c r="AL20" s="101"/>
      <c r="AM20" s="101"/>
      <c r="AN20" s="101"/>
      <c r="AO20" s="101"/>
      <c r="AP20" s="101"/>
      <c r="AQ20" s="101"/>
      <c r="AR20" s="101"/>
      <c r="AS20" s="101"/>
    </row>
    <row r="21" spans="1:81" ht="13.5" thickBot="1">
      <c r="A21" s="30"/>
      <c r="B21" s="16"/>
      <c r="C21" s="13"/>
      <c r="D21" s="13"/>
      <c r="E21" s="13"/>
      <c r="F21" s="13"/>
      <c r="G21" s="13"/>
      <c r="H21" s="13"/>
      <c r="I21" s="13"/>
      <c r="J21" s="13"/>
      <c r="K21" s="13"/>
      <c r="L21" s="13"/>
      <c r="M21" s="13"/>
      <c r="N21" s="13"/>
      <c r="O21" s="13"/>
      <c r="P21" s="13"/>
      <c r="Q21" s="13"/>
      <c r="R21" s="13"/>
      <c r="S21" s="13"/>
      <c r="T21" s="13"/>
      <c r="U21" s="13"/>
      <c r="V21" s="13"/>
      <c r="W21" s="13"/>
      <c r="X21" s="13"/>
      <c r="Y21" s="13"/>
      <c r="Z21" s="2031"/>
      <c r="AA21" s="13"/>
      <c r="AB21" s="13"/>
      <c r="AC21" s="13"/>
      <c r="AD21" s="13"/>
      <c r="AE21" s="13"/>
      <c r="AF21" s="13"/>
      <c r="AG21" s="13"/>
    </row>
    <row r="22" spans="1:81" ht="34.5">
      <c r="A22" s="30"/>
      <c r="B22" s="16"/>
      <c r="C22" s="13"/>
      <c r="D22" s="13"/>
      <c r="E22" s="13"/>
      <c r="F22" s="13"/>
      <c r="G22" s="13"/>
      <c r="H22" s="13"/>
      <c r="I22" s="13"/>
      <c r="J22" s="13"/>
      <c r="K22" s="13"/>
      <c r="L22" s="13"/>
      <c r="M22" s="13"/>
      <c r="N22" s="13"/>
      <c r="O22" s="13"/>
      <c r="P22" s="13"/>
      <c r="Q22" s="13"/>
      <c r="R22" s="13"/>
      <c r="S22" s="13"/>
      <c r="T22" s="13"/>
      <c r="U22" s="13"/>
      <c r="V22" s="13"/>
      <c r="W22" s="13"/>
      <c r="X22" s="13"/>
      <c r="Y22" s="13"/>
      <c r="Z22" s="2032" t="s">
        <v>4713</v>
      </c>
      <c r="AA22" s="13"/>
      <c r="AB22" s="13"/>
      <c r="AC22" s="13"/>
      <c r="AD22" s="13"/>
      <c r="AE22" s="13"/>
      <c r="AF22" s="13"/>
      <c r="AG22" s="13"/>
      <c r="AI22" s="2033" t="s">
        <v>6193</v>
      </c>
      <c r="AJ22" s="1213"/>
      <c r="AK22" s="1213"/>
      <c r="AL22" s="1213"/>
      <c r="AM22" s="1213"/>
      <c r="AN22" s="1213"/>
      <c r="AO22" s="1213"/>
      <c r="AP22" s="1213"/>
      <c r="AQ22" s="1213"/>
      <c r="AR22" s="1213"/>
      <c r="AS22" s="1213"/>
      <c r="AT22" s="1213"/>
      <c r="AU22" s="1213"/>
      <c r="AV22" s="1213"/>
      <c r="AW22" s="1213"/>
      <c r="AX22" s="1213"/>
      <c r="AY22" s="1213"/>
      <c r="AZ22" s="1213"/>
      <c r="BA22" s="1213"/>
      <c r="BB22" s="1213"/>
      <c r="BC22" s="1213"/>
      <c r="BD22" s="1213"/>
      <c r="BE22" s="1213"/>
      <c r="BF22" s="1213"/>
      <c r="BG22" s="1213"/>
      <c r="BH22" s="1213"/>
      <c r="BI22" s="1213"/>
      <c r="BJ22" s="1213"/>
      <c r="BK22" s="1213"/>
      <c r="BL22" s="1213"/>
      <c r="BM22" s="1213"/>
      <c r="BN22" s="1213"/>
      <c r="BO22" s="1213"/>
      <c r="BP22" s="1213"/>
      <c r="BQ22" s="1213"/>
      <c r="BR22" s="1213"/>
      <c r="BS22" s="1213"/>
      <c r="BT22" s="1213"/>
      <c r="BU22" s="1213"/>
      <c r="BV22" s="1213"/>
      <c r="BW22" s="1213"/>
      <c r="BX22" s="1213"/>
      <c r="BY22" s="1213"/>
      <c r="BZ22" s="1213"/>
      <c r="CA22" s="1213"/>
      <c r="CB22" s="1213"/>
      <c r="CC22" s="1220"/>
    </row>
    <row r="23" spans="1:81">
      <c r="AI23" s="1214" t="s">
        <v>6194</v>
      </c>
      <c r="AJ23" s="1219"/>
      <c r="AK23" s="1219"/>
      <c r="AL23" s="1219"/>
      <c r="AM23" s="1219"/>
      <c r="AN23" s="1219"/>
      <c r="AO23" s="1219"/>
      <c r="AP23" s="1219"/>
      <c r="AQ23" s="1219"/>
      <c r="AR23" s="1219"/>
      <c r="AS23" s="1219"/>
      <c r="AT23" s="1219"/>
      <c r="AU23" s="1219"/>
      <c r="AV23" s="1219"/>
      <c r="AW23" s="1219"/>
      <c r="AX23" s="1219"/>
      <c r="AY23" s="1219"/>
      <c r="AZ23" s="1219"/>
      <c r="BA23" s="1219"/>
      <c r="BB23" s="1219"/>
      <c r="BC23" s="1219"/>
      <c r="BD23" s="1219"/>
      <c r="BE23" s="1219"/>
      <c r="BF23" s="1219"/>
      <c r="BG23" s="1219"/>
      <c r="BH23" s="1219"/>
      <c r="BI23" s="1219"/>
      <c r="BJ23" s="1219"/>
      <c r="BK23" s="1219"/>
      <c r="BL23" s="1219"/>
      <c r="BM23" s="1219"/>
      <c r="BN23" s="1219"/>
      <c r="BO23" s="1219"/>
      <c r="BP23" s="1219"/>
      <c r="BQ23" s="1219"/>
      <c r="BR23" s="1219"/>
      <c r="BS23" s="1219"/>
      <c r="BT23" s="1219"/>
      <c r="BU23" s="1219"/>
      <c r="BV23" s="1219"/>
      <c r="BW23" s="1219"/>
      <c r="BX23" s="1219"/>
      <c r="BY23" s="1219"/>
      <c r="BZ23" s="1219"/>
      <c r="CA23" s="1219"/>
      <c r="CB23" s="1219"/>
      <c r="CC23" s="1216"/>
    </row>
    <row r="24" spans="1:81">
      <c r="A24" s="2195" t="s">
        <v>4768</v>
      </c>
      <c r="B24" s="2196"/>
      <c r="C24" s="2196"/>
      <c r="D24" s="2196"/>
      <c r="E24" s="2196"/>
      <c r="F24" s="2196"/>
      <c r="G24" s="2196"/>
      <c r="H24" s="2196"/>
      <c r="I24" s="2196"/>
      <c r="J24" s="2196"/>
      <c r="K24" s="2196"/>
      <c r="L24" s="2196"/>
      <c r="M24" s="2196"/>
      <c r="N24" s="2196"/>
      <c r="O24" s="2196"/>
      <c r="P24" s="2196"/>
      <c r="Q24" s="2196"/>
      <c r="R24" s="2196"/>
      <c r="S24" s="2196"/>
      <c r="T24" s="2196"/>
      <c r="U24" s="2196"/>
      <c r="V24" s="2196"/>
      <c r="W24" s="2196"/>
      <c r="X24" s="2196"/>
      <c r="Y24" s="2217"/>
      <c r="Z24" s="175"/>
      <c r="AA24" s="175"/>
      <c r="AB24" s="175"/>
      <c r="AC24" s="175"/>
      <c r="AD24" s="175"/>
      <c r="AE24" s="175"/>
      <c r="AI24" s="1212" t="s">
        <v>860</v>
      </c>
      <c r="AJ24" s="461"/>
      <c r="AK24" s="461"/>
      <c r="AL24" s="461"/>
      <c r="AM24" s="461"/>
      <c r="AN24" s="461"/>
      <c r="AO24" s="461"/>
      <c r="AP24" s="461"/>
      <c r="AQ24" s="461"/>
      <c r="AR24" s="461"/>
      <c r="AS24" s="461"/>
      <c r="AT24" s="1219"/>
      <c r="AU24" s="459" t="s">
        <v>861</v>
      </c>
      <c r="AV24" s="461"/>
      <c r="AW24" s="461"/>
      <c r="AX24" s="461"/>
      <c r="AY24" s="461"/>
      <c r="AZ24" s="461"/>
      <c r="BA24" s="461"/>
      <c r="BB24" s="461"/>
      <c r="BC24" s="461"/>
      <c r="BD24" s="461"/>
      <c r="BE24" s="461"/>
      <c r="BF24" s="1219"/>
      <c r="BG24" s="459" t="s">
        <v>863</v>
      </c>
      <c r="BH24" s="461"/>
      <c r="BI24" s="461"/>
      <c r="BJ24" s="461"/>
      <c r="BK24" s="461"/>
      <c r="BL24" s="461"/>
      <c r="BM24" s="461"/>
      <c r="BN24" s="461"/>
      <c r="BO24" s="461"/>
      <c r="BP24" s="461"/>
      <c r="BQ24" s="461"/>
      <c r="BR24" s="1219"/>
      <c r="BS24" s="459" t="s">
        <v>596</v>
      </c>
      <c r="BT24" s="461"/>
      <c r="BU24" s="461"/>
      <c r="BV24" s="461"/>
      <c r="BW24" s="461"/>
      <c r="BX24" s="461"/>
      <c r="BY24" s="461"/>
      <c r="BZ24" s="461"/>
      <c r="CA24" s="461"/>
      <c r="CB24" s="461"/>
      <c r="CC24" s="1218"/>
    </row>
    <row r="25" spans="1:81" ht="27.75" customHeight="1">
      <c r="A25" s="3"/>
      <c r="B25" s="32"/>
      <c r="C25" s="31"/>
      <c r="D25" s="36"/>
      <c r="E25" s="36"/>
      <c r="F25" s="36"/>
      <c r="G25" s="36"/>
      <c r="H25" s="2208" t="s">
        <v>6429</v>
      </c>
      <c r="I25" s="2209"/>
      <c r="J25" s="2209"/>
      <c r="K25" s="2209"/>
      <c r="L25" s="2209"/>
      <c r="M25" s="2209"/>
      <c r="N25" s="2209"/>
      <c r="O25" s="2209"/>
      <c r="P25" s="2209"/>
      <c r="Q25" s="2209"/>
      <c r="R25" s="2209"/>
      <c r="S25" s="2210"/>
      <c r="T25" s="1524"/>
      <c r="U25" s="1524"/>
      <c r="V25" s="1524"/>
      <c r="W25" s="1535"/>
      <c r="X25" s="1536"/>
      <c r="Y25" s="1535"/>
      <c r="Z25" s="1535" t="s">
        <v>4705</v>
      </c>
      <c r="AA25" s="1535" t="s">
        <v>4712</v>
      </c>
      <c r="AB25" s="1535" t="s">
        <v>4712</v>
      </c>
      <c r="AC25" s="1535" t="s">
        <v>1220</v>
      </c>
      <c r="AD25" s="1537" t="s">
        <v>597</v>
      </c>
      <c r="AE25" s="733"/>
      <c r="AI25" s="2218" t="s">
        <v>1025</v>
      </c>
      <c r="AJ25" s="2211" t="s">
        <v>175</v>
      </c>
      <c r="AK25" s="2211" t="s">
        <v>326</v>
      </c>
      <c r="AL25" s="2211" t="s">
        <v>176</v>
      </c>
      <c r="AM25" s="2211" t="s">
        <v>327</v>
      </c>
      <c r="AN25" s="2211" t="s">
        <v>328</v>
      </c>
      <c r="AO25" s="2211" t="s">
        <v>329</v>
      </c>
      <c r="AP25" s="2211" t="s">
        <v>330</v>
      </c>
      <c r="AQ25" s="2211" t="s">
        <v>331</v>
      </c>
      <c r="AR25" s="2211" t="s">
        <v>332</v>
      </c>
      <c r="AS25" s="2211" t="str">
        <f>NewConst!$F$153 &amp; ", " &amp; NewConst!$F$151 &amp; ", " &amp; NewConst!$F$156 &amp; ", " &amp; NewConst!$F$154</f>
        <v>Trunk and branch, Copper, Basement or interior space, None</v>
      </c>
      <c r="AT25" s="1219"/>
      <c r="AU25" s="2211" t="s">
        <v>1025</v>
      </c>
      <c r="AV25" s="2211" t="s">
        <v>175</v>
      </c>
      <c r="AW25" s="2211" t="s">
        <v>326</v>
      </c>
      <c r="AX25" s="2211" t="s">
        <v>176</v>
      </c>
      <c r="AY25" s="2211" t="s">
        <v>327</v>
      </c>
      <c r="AZ25" s="2211" t="s">
        <v>328</v>
      </c>
      <c r="BA25" s="2211" t="s">
        <v>329</v>
      </c>
      <c r="BB25" s="2211" t="s">
        <v>330</v>
      </c>
      <c r="BC25" s="2211" t="s">
        <v>331</v>
      </c>
      <c r="BD25" s="2211" t="s">
        <v>332</v>
      </c>
      <c r="BE25" s="2211" t="str">
        <f>NewConst!$F$153 &amp; ", " &amp; NewConst!$F$151 &amp; ", " &amp; NewConst!$F$156 &amp; ", " &amp; NewConst!$F$154</f>
        <v>Trunk and branch, Copper, Basement or interior space, None</v>
      </c>
      <c r="BF25" s="1219"/>
      <c r="BG25" s="2211" t="s">
        <v>1025</v>
      </c>
      <c r="BH25" s="2211" t="s">
        <v>175</v>
      </c>
      <c r="BI25" s="2211" t="s">
        <v>326</v>
      </c>
      <c r="BJ25" s="2211" t="s">
        <v>176</v>
      </c>
      <c r="BK25" s="2211" t="s">
        <v>327</v>
      </c>
      <c r="BL25" s="2211" t="s">
        <v>328</v>
      </c>
      <c r="BM25" s="2211" t="s">
        <v>329</v>
      </c>
      <c r="BN25" s="2211" t="s">
        <v>330</v>
      </c>
      <c r="BO25" s="2211" t="s">
        <v>331</v>
      </c>
      <c r="BP25" s="2211" t="s">
        <v>332</v>
      </c>
      <c r="BQ25" s="2211" t="str">
        <f>NewConst!$F$153 &amp; ", " &amp; NewConst!$F$151 &amp; ", " &amp; NewConst!$F$156 &amp; ", " &amp; NewConst!$F$154</f>
        <v>Trunk and branch, Copper, Basement or interior space, None</v>
      </c>
      <c r="BR25" s="1219"/>
      <c r="BS25" s="2211" t="s">
        <v>1025</v>
      </c>
      <c r="BT25" s="2211" t="s">
        <v>175</v>
      </c>
      <c r="BU25" s="2211" t="s">
        <v>326</v>
      </c>
      <c r="BV25" s="2211" t="s">
        <v>176</v>
      </c>
      <c r="BW25" s="2211" t="s">
        <v>327</v>
      </c>
      <c r="BX25" s="2211" t="s">
        <v>328</v>
      </c>
      <c r="BY25" s="2211" t="s">
        <v>329</v>
      </c>
      <c r="BZ25" s="2211" t="s">
        <v>330</v>
      </c>
      <c r="CA25" s="2211" t="s">
        <v>331</v>
      </c>
      <c r="CB25" s="2211" t="s">
        <v>332</v>
      </c>
      <c r="CC25" s="2214" t="str">
        <f>NewConst!$F$153 &amp; ", " &amp; NewConst!$F$151 &amp; ", " &amp; NewConst!$F$156 &amp; ", " &amp; NewConst!$F$154</f>
        <v>Trunk and branch, Copper, Basement or interior space, None</v>
      </c>
    </row>
    <row r="26" spans="1:81" ht="48" customHeight="1">
      <c r="A26" s="3"/>
      <c r="B26" s="32"/>
      <c r="C26" s="755" t="s">
        <v>506</v>
      </c>
      <c r="D26" s="753" t="s">
        <v>508</v>
      </c>
      <c r="E26" s="753" t="s">
        <v>6420</v>
      </c>
      <c r="F26" s="753" t="s">
        <v>6419</v>
      </c>
      <c r="G26" s="753"/>
      <c r="H26" s="1539" t="str">
        <f>H4</f>
        <v>Refrigerator</v>
      </c>
      <c r="I26" s="1529" t="str">
        <f t="shared" ref="I26:S26" si="9">I4</f>
        <v>Freezer</v>
      </c>
      <c r="J26" s="1529" t="str">
        <f t="shared" si="9"/>
        <v>Spa Heater</v>
      </c>
      <c r="K26" s="1529" t="str">
        <f t="shared" si="9"/>
        <v>Cooking Appliances</v>
      </c>
      <c r="L26" s="1529" t="str">
        <f t="shared" si="9"/>
        <v>Dishwasher</v>
      </c>
      <c r="M26" s="1529" t="str">
        <f t="shared" si="9"/>
        <v>Clothes washer</v>
      </c>
      <c r="N26" s="1529" t="str">
        <f t="shared" si="9"/>
        <v>Clothes dryer</v>
      </c>
      <c r="O26" s="1529" t="str">
        <f t="shared" si="9"/>
        <v>Home Entertainment</v>
      </c>
      <c r="P26" s="1529" t="str">
        <f t="shared" si="9"/>
        <v>Waterbed heater</v>
      </c>
      <c r="Q26" s="1529" t="str">
        <f t="shared" si="9"/>
        <v>Spa pump</v>
      </c>
      <c r="R26" s="1529" t="str">
        <f t="shared" si="9"/>
        <v>Ceiling Fans</v>
      </c>
      <c r="S26" s="1549" t="str">
        <f t="shared" si="9"/>
        <v>Other MELs</v>
      </c>
      <c r="T26" s="753" t="s">
        <v>917</v>
      </c>
      <c r="U26" s="753" t="s">
        <v>6421</v>
      </c>
      <c r="V26" s="753" t="s">
        <v>919</v>
      </c>
      <c r="W26" s="1282" t="s">
        <v>286</v>
      </c>
      <c r="X26" s="1282" t="s">
        <v>287</v>
      </c>
      <c r="Y26" s="1282" t="s">
        <v>1270</v>
      </c>
      <c r="Z26" s="1282" t="s">
        <v>1051</v>
      </c>
      <c r="AA26" s="1282" t="s">
        <v>4715</v>
      </c>
      <c r="AB26" s="1282" t="s">
        <v>4716</v>
      </c>
      <c r="AC26" s="1282" t="s">
        <v>4714</v>
      </c>
      <c r="AD26" s="1531" t="s">
        <v>598</v>
      </c>
      <c r="AE26" s="1532" t="s">
        <v>2879</v>
      </c>
      <c r="AI26" s="2219"/>
      <c r="AJ26" s="2212"/>
      <c r="AK26" s="2212"/>
      <c r="AL26" s="2212"/>
      <c r="AM26" s="2212"/>
      <c r="AN26" s="2212"/>
      <c r="AO26" s="2212"/>
      <c r="AP26" s="2212"/>
      <c r="AQ26" s="2212"/>
      <c r="AR26" s="2212"/>
      <c r="AS26" s="2212"/>
      <c r="AT26" s="1219"/>
      <c r="AU26" s="2212"/>
      <c r="AV26" s="2212"/>
      <c r="AW26" s="2212"/>
      <c r="AX26" s="2212"/>
      <c r="AY26" s="2212"/>
      <c r="AZ26" s="2212"/>
      <c r="BA26" s="2212"/>
      <c r="BB26" s="2212"/>
      <c r="BC26" s="2212"/>
      <c r="BD26" s="2212"/>
      <c r="BE26" s="2212"/>
      <c r="BF26" s="1219"/>
      <c r="BG26" s="2212"/>
      <c r="BH26" s="2212"/>
      <c r="BI26" s="2212"/>
      <c r="BJ26" s="2212"/>
      <c r="BK26" s="2212"/>
      <c r="BL26" s="2212"/>
      <c r="BM26" s="2212"/>
      <c r="BN26" s="2212"/>
      <c r="BO26" s="2212"/>
      <c r="BP26" s="2212"/>
      <c r="BQ26" s="2212"/>
      <c r="BR26" s="1219"/>
      <c r="BS26" s="2212"/>
      <c r="BT26" s="2212"/>
      <c r="BU26" s="2212"/>
      <c r="BV26" s="2212"/>
      <c r="BW26" s="2212"/>
      <c r="BX26" s="2212"/>
      <c r="BY26" s="2212"/>
      <c r="BZ26" s="2212"/>
      <c r="CA26" s="2212"/>
      <c r="CB26" s="2212"/>
      <c r="CC26" s="2215"/>
    </row>
    <row r="27" spans="1:81" ht="22.5">
      <c r="A27" s="13"/>
      <c r="B27" s="33" t="s">
        <v>1143</v>
      </c>
      <c r="C27" s="161" t="s">
        <v>507</v>
      </c>
      <c r="D27" s="72" t="s">
        <v>507</v>
      </c>
      <c r="E27" s="72" t="s">
        <v>492</v>
      </c>
      <c r="F27" s="72" t="s">
        <v>368</v>
      </c>
      <c r="G27" s="72" t="s">
        <v>1144</v>
      </c>
      <c r="H27" s="1540"/>
      <c r="I27" s="1530"/>
      <c r="J27" s="1530"/>
      <c r="K27" s="1530"/>
      <c r="L27" s="1530"/>
      <c r="M27" s="1530"/>
      <c r="N27" s="1530"/>
      <c r="O27" s="1530"/>
      <c r="P27" s="1530"/>
      <c r="Q27" s="1530"/>
      <c r="R27" s="1530"/>
      <c r="S27" s="1541"/>
      <c r="T27" s="72" t="s">
        <v>918</v>
      </c>
      <c r="U27" s="72" t="s">
        <v>918</v>
      </c>
      <c r="V27" s="72" t="s">
        <v>918</v>
      </c>
      <c r="W27" s="590" t="s">
        <v>918</v>
      </c>
      <c r="X27" s="590" t="s">
        <v>918</v>
      </c>
      <c r="Y27" s="590" t="s">
        <v>918</v>
      </c>
      <c r="Z27" s="590" t="s">
        <v>918</v>
      </c>
      <c r="AA27" s="590" t="s">
        <v>918</v>
      </c>
      <c r="AB27" s="590" t="s">
        <v>918</v>
      </c>
      <c r="AC27" s="590" t="s">
        <v>1221</v>
      </c>
      <c r="AD27" s="594" t="s">
        <v>918</v>
      </c>
      <c r="AE27" s="736" t="s">
        <v>877</v>
      </c>
      <c r="AI27" s="2220"/>
      <c r="AJ27" s="2213"/>
      <c r="AK27" s="2213"/>
      <c r="AL27" s="2213"/>
      <c r="AM27" s="2213"/>
      <c r="AN27" s="2213"/>
      <c r="AO27" s="2213"/>
      <c r="AP27" s="2213"/>
      <c r="AQ27" s="2213"/>
      <c r="AR27" s="2213"/>
      <c r="AS27" s="2213"/>
      <c r="AT27" s="1219"/>
      <c r="AU27" s="2213"/>
      <c r="AV27" s="2213"/>
      <c r="AW27" s="2213"/>
      <c r="AX27" s="2213"/>
      <c r="AY27" s="2213"/>
      <c r="AZ27" s="2213"/>
      <c r="BA27" s="2213"/>
      <c r="BB27" s="2213"/>
      <c r="BC27" s="2213"/>
      <c r="BD27" s="2213"/>
      <c r="BE27" s="2213"/>
      <c r="BF27" s="1219"/>
      <c r="BG27" s="2213"/>
      <c r="BH27" s="2213"/>
      <c r="BI27" s="2213"/>
      <c r="BJ27" s="2213"/>
      <c r="BK27" s="2213"/>
      <c r="BL27" s="2213"/>
      <c r="BM27" s="2213"/>
      <c r="BN27" s="2213"/>
      <c r="BO27" s="2213"/>
      <c r="BP27" s="2213"/>
      <c r="BQ27" s="2213"/>
      <c r="BR27" s="1219"/>
      <c r="BS27" s="2213"/>
      <c r="BT27" s="2213"/>
      <c r="BU27" s="2213"/>
      <c r="BV27" s="2213"/>
      <c r="BW27" s="2213"/>
      <c r="BX27" s="2213"/>
      <c r="BY27" s="2213"/>
      <c r="BZ27" s="2213"/>
      <c r="CA27" s="2213"/>
      <c r="CB27" s="2213"/>
      <c r="CC27" s="2216"/>
    </row>
    <row r="28" spans="1:81">
      <c r="A28" s="15">
        <v>1</v>
      </c>
      <c r="B28" s="32" t="s">
        <v>1145</v>
      </c>
      <c r="C28" s="611">
        <f>'Monthly Profiles'!C6</f>
        <v>1</v>
      </c>
      <c r="D28" s="68">
        <f>'Monthly Profiles'!D6</f>
        <v>1</v>
      </c>
      <c r="E28" s="42">
        <f>'Monthly Profiles'!E6</f>
        <v>0.85</v>
      </c>
      <c r="F28" s="42">
        <f>DHW!N53</f>
        <v>0.76582056075532934</v>
      </c>
      <c r="G28" s="90">
        <f>'Monthly Profiles'!G6</f>
        <v>48.718290388117268</v>
      </c>
      <c r="H28" s="58">
        <f>H6</f>
        <v>0.83664164971592903</v>
      </c>
      <c r="I28" s="59">
        <f t="shared" ref="I28:S28" si="10">I6</f>
        <v>0.83664164971592903</v>
      </c>
      <c r="J28" s="59">
        <f t="shared" si="10"/>
        <v>0.83664164971592903</v>
      </c>
      <c r="K28" s="59">
        <f t="shared" si="10"/>
        <v>1.0967699665858615</v>
      </c>
      <c r="L28" s="59">
        <f t="shared" si="10"/>
        <v>1.0967699665858615</v>
      </c>
      <c r="M28" s="59">
        <f t="shared" si="10"/>
        <v>1.010625275424766</v>
      </c>
      <c r="N28" s="59">
        <f t="shared" si="10"/>
        <v>1.1509530689285548</v>
      </c>
      <c r="O28" s="59">
        <f t="shared" si="10"/>
        <v>1.1369170125928769</v>
      </c>
      <c r="P28" s="59">
        <f t="shared" si="10"/>
        <v>1.2725933719095215</v>
      </c>
      <c r="Q28" s="59">
        <f t="shared" si="10"/>
        <v>0.92131381900420672</v>
      </c>
      <c r="R28" s="59">
        <f t="shared" si="10"/>
        <v>0</v>
      </c>
      <c r="S28" s="728">
        <f t="shared" si="10"/>
        <v>1.154258712676234</v>
      </c>
      <c r="T28" s="14">
        <f>IF(NewConst!$F$286="yes", Appliances!$AF$125, 'Monthly Profiles'!T6)</f>
        <v>2.0456097066410499</v>
      </c>
      <c r="U28" s="818">
        <f>IF(NewConst!$F$303="YES", IF(NewConst!$F$304="yes", Appliances!$AG$125, 'Monthly Profiles'!$U6), 0)</f>
        <v>0.70511546706187678</v>
      </c>
      <c r="V28" s="14">
        <f>IF(NewConst!F$247="yes", (IF(Appliances!AF$237="yes",IF(AND(Appliances!AF$238="yes",G28&lt;70),Appliances!AF$267+(Appliances!AF$267*((1/Appliances!AF$257)*(70-G28)+(G28-NewConst!F$112))/(NewConst!F$112-G28)),0),IF(Appliances!AF$238="yes",Appliances!AF$267+(Appliances!AF$267*((1/Appliances!AF$257)*(Appliances!AF$258-G28)+(G28-NewConst!F$112))/(NewConst!F$112-G28)),Appliances!AF$267)*(Appliances!AF$261/365))), 'Monthly Profiles'!V6)</f>
        <v>8.8094921419918624</v>
      </c>
      <c r="W28" s="599">
        <f>(3.5+1.17*N_br)*MAX((105-G28)/(NewConst!$F$112-G28),0)+HLOOKUP(NewConst!$F$153 &amp; ", " &amp; NewConst!$F$151 &amp; ", " &amp; NewConst!$F$156 &amp; ", " &amp; NewConst!$F$154,'Monthly Profiles'!$BG$25:$BQ$40,A28+3,FALSE )</f>
        <v>4.8539183816775937</v>
      </c>
      <c r="X28" s="599">
        <f>(14+4.67*N_br)*MAX((105-G28)/(NewConst!$F$112-G28),0)+HLOOKUP(NewConst!$F$153 &amp; ", " &amp; NewConst!$F$151 &amp; ", " &amp; NewConst!$F$156 &amp; ", " &amp; NewConst!$F$154,'Monthly Profiles'!$AU$25:$BE$39,A28+3,FALSE )</f>
        <v>19.394900694834437</v>
      </c>
      <c r="Y28" s="599">
        <f>(12.5+4.16*N_br)*MAX((105-G28)/(NewConst!$F$112-G28),0)+HLOOKUP(NewConst!$F$153 &amp; ", " &amp; NewConst!$F$151 &amp; ", " &amp; NewConst!$F$156 &amp; ", " &amp; NewConst!$F$154,'Monthly Profiles'!$BS$25:$CC$39,A28+3,FALSE )</f>
        <v>17.296844675364664</v>
      </c>
      <c r="Z28" s="818">
        <f>IF(NewConst!F$135&gt;0,(0.028*NewConst!$F$38)*MAX((105-$G28)/(NewConst!$F$112-$G28),0),0)</f>
        <v>3.8775952835084921</v>
      </c>
      <c r="AA28" s="597">
        <f t="shared" ref="AA28:AA39" si="11">SUM(AD28, T28,V28:Y28)</f>
        <v>52.400765600509615</v>
      </c>
      <c r="AB28" s="818">
        <f>IF(HomeType=2,IF(NewConst!F$249="YES",IF(NewConst!$F$135&gt;0,IF(NewConst!$F$303="YES",SUM(U28,V28,Z28),SUM(V28,Z28)),IF(NewConst!$F$303="YES",SUM(U28,V28),V28)),IF(NewConst!$F$135&gt;0,IF(NewConst!$F$303="YES",SUM(U28,Z28),SUM(Z28)),IF(NewConst!$F$303="YES",SUM(U28),0))),0)</f>
        <v>0</v>
      </c>
      <c r="AC28" s="604">
        <f>HLOOKUP(NewConst!$F$153 &amp; ", " &amp; NewConst!$F$151 &amp; ", " &amp; NewConst!$F$156 &amp; ", " &amp; NewConst!$F$154,'Monthly Profiles'!$AI$25:$AS$40,A28+3,FALSE )</f>
        <v>4522.5618428124599</v>
      </c>
      <c r="AD28" s="609">
        <f>IF(NewConst!$F$154="Timer control",(18135+2538*N_br+(-12265-1495*N_br)*R_ins/2)/(8.33*((120-'Monthly Profiles'!G28)*4184*0.00023886)),IF(NewConst!$F$154="Demand control",(-3648+2344*N_br+(-1328-761*N_br)*R_ins/2)/(8.33*((120-'Monthly Profiles'!G28)*4184*0.000238861)),0))</f>
        <v>0</v>
      </c>
      <c r="AE28" s="734">
        <f>IF(NewConst!$F$203=NewConst!$I$203,'Detailed Lighting'!BB11,Lighting!BC21)</f>
        <v>0.11591771923020544</v>
      </c>
      <c r="AI28" s="1211">
        <f>('Monthly Profiles'!$Z$20+735*(N_br-3)-(948+158*(N_br-3))*R_ins/2)*(1+1/'Monthly Profiles'!$Z$20*(362+(63*(N_br-3)))*SIN(2*PI()*('Monthly Profiles'!$A28/12)+0.3))</f>
        <v>4522.5618428124599</v>
      </c>
      <c r="AJ28" s="460">
        <f>('Monthly Profiles'!$Z$20-1047-732*R_ins/2)*(1+1/'Monthly Profiles'!$Z$20*735*(N_br-3)+1/'Monthly Profiles'!$Z$20*(362+(63*(N_br-3)))*SIN(2*PI()*('Monthly Profiles'!$A28/12)+0.3))</f>
        <v>3410.2474783716225</v>
      </c>
      <c r="AK28" s="460">
        <f>('Monthly Profiles'!$Z$20+735*(N_br-3)-(3356+589*(N_br-3))-(90+11*(N_br-3))*R_ins/2)*(1+1/'Monthly Profiles'!$Z$20*(362+(63*(N_br-3)))*SIN(2*PI()*('Monthly Profiles'!$A28/12)+0.3))</f>
        <v>957.20653520648966</v>
      </c>
      <c r="AL28" s="460">
        <f>('Monthly Profiles'!$Z$20-1047)*(1+1/'Monthly Profiles'!$Z$20*735*(N_br-3)-1/'Monthly Profiles'!$Z$20*(3356+589*(N_br-3)+(90+11*(N_br-3))*R_ins/2))*(1+1/'Monthly Profiles'!$Z$20*(362+(63*(N_br-3)))*SIN(2*PI()*('Monthly Profiles'!$A28/12)+0.3))</f>
        <v>721.78364529312466</v>
      </c>
      <c r="AM28" s="460">
        <f>('Monthly Profiles'!$Z$20+735*(N_br-3)-(1142+378*(N_br-3))-(649+73*(N_br-3))*R_ins/2)*(1+1/'Monthly Profiles'!$Z$20*(362+(63*(N_br-3)))*SIN(2*PI()*('Monthly Profiles'!$A28/12)+0.3))</f>
        <v>3309.3211511300947</v>
      </c>
      <c r="AN28" s="463">
        <f>('Monthly Profiles'!$Z$20+735*(N_br-3)-(1142+378*(N_br-3)))*(1-1/'Monthly Profiles'!$Z$20*(3356+589*(N_br-3)+(90+11*(N_br-3))*R_ins/2))*(1+1/'Monthly Profiles'!$Z$20*(362+(63*(N_br-3)))*SIN(2*PI()*('Monthly Profiles'!$A28/12)+0.3))</f>
        <v>700.42244706793861</v>
      </c>
      <c r="AO28" s="464">
        <f>('Monthly Profiles'!$Z$20+735*(N_br-3)+(20148+2140*(N_br-3))-(11956+1355*(N_br-3))*R_ins/2)*(1+1/'Monthly Profiles'!$Z$20*(362+(63*(N_br-3)))*SIN(2*PI()*('Monthly Profiles'!$A28/12)+0.3))</f>
        <v>25927.442277152477</v>
      </c>
      <c r="AP28" s="464">
        <f>('Monthly Profiles'!$Z$20+735*(N_br-3)+(1458+1066*(N_br-3))-(1332+545*(N_br-3))*R_ins/2)*(1+1/'Monthly Profiles'!$Z$20*(362+(63*(N_br-3)))*SIN(2*PI()*('Monthly Profiles'!$A28/12)+0.3))</f>
        <v>6071.515370371907</v>
      </c>
      <c r="AQ28" s="464">
        <f>('Monthly Profiles'!$Z$20-1047)*(1+1/'Monthly Profiles'!$Z$20*735*(N_br-3)+1/'Monthly Profiles'!$Z$20*(20148+2140*(N_br-3))-1/'Monthly Profiles'!$Z$20*((11956+1355*(N_br-3))*R_ins/2))*(1+1/'Monthly Profiles'!$Z$20*(362+(63*(N_br-3)))*SIN(2*PI()*('Monthly Profiles'!$A28/12)+0.3))</f>
        <v>19550.643577556835</v>
      </c>
      <c r="AR28" s="464">
        <f>('Monthly Profiles'!$Z$20-1047)*(1+1/'Monthly Profiles'!$Z$20*735*(N_br-3)+1/'Monthly Profiles'!$Z$20*(1458+1066*(N_br-3))-1/'Monthly Profiles'!$Z$20*((1332+545*(N_br-3))*R_ins/2))*(1+1/'Monthly Profiles'!$Z$20*(362+(63*(N_br-3)))*SIN(2*PI()*('Monthly Profiles'!$A28/12)+0.3))</f>
        <v>4578.2392151500644</v>
      </c>
      <c r="AS28" s="462">
        <f>'Monthly Profiles'!AC6</f>
        <v>4522.5618428124599</v>
      </c>
      <c r="AT28" s="1219"/>
      <c r="AU28" s="467">
        <f t="shared" ref="AU28:AU39" si="12">(-0.305-0.075*N_br)*R_ins/2</f>
        <v>0</v>
      </c>
      <c r="AV28" s="467">
        <f t="shared" ref="AV28:AV39" si="13">-0.85-0.44*R_ins/2</f>
        <v>-0.85</v>
      </c>
      <c r="AW28" s="468">
        <f>(-1.14-0.36*(N_br)+(-0.34-0.08*(N_br))*R_ins/2)*(1+0.11*SIN(2*PI()*('Monthly Profiles'!$A28/12)+0.3))</f>
        <v>-2.3991442044607809</v>
      </c>
      <c r="AX28" s="468">
        <f>-0.85+('Monthly Profiles'!$X$18-0.85)/'Monthly Profiles'!$X$18*((-1.14-0.36*(N_br)+(-0.34-0.08*(N_br))*R_ins/2)*(1+0.11*SIN(2*PI()*('Monthly Profiles'!$A28/12)+0.3)))</f>
        <v>-3.1528470538191735</v>
      </c>
      <c r="AY28" s="468">
        <f t="shared" ref="AY28:AY39" si="14">-0.52-0.23*N_br+(-0.35+0.02*N_br)*R_ins/2</f>
        <v>-1.21</v>
      </c>
      <c r="AZ28" s="466">
        <f>-0.52-0.23*N_br+('Monthly Profiles'!$X$18-0.52-0.23*N_br)/'Monthly Profiles'!$X$18*((-1.14-0.36*(N_br)+(-0.34-0.08*(N_br))*R_ins/2)*(1+0.11*SIN(2*PI()*('Monthly Profiles'!$A28/12)+0.3)))</f>
        <v>-3.472062378253316</v>
      </c>
      <c r="BA28" s="469">
        <f t="shared" ref="BA28:BA39" si="15">-2.15+0.25*N_br+(-0.16-0.08*N_br)*R_ins/2</f>
        <v>-1.4</v>
      </c>
      <c r="BB28" s="469">
        <f t="shared" ref="BB28:BB39" si="16">-2.61+0.35*N_br+(0.05-0.13*N_br)*R_ins/2</f>
        <v>-1.56</v>
      </c>
      <c r="BC28" s="469">
        <f>-0.85+('Monthly Profiles'!$X$18-0.85)/'Monthly Profiles'!$X$18*((-2.15+0.25*(N_br)+(-0.16-0.08*(N_br))*R_ins/2))</f>
        <v>-2.1938066246090648</v>
      </c>
      <c r="BD28" s="469">
        <f>-0.85+('Monthly Profiles'!$X$18-0.85)/'Monthly Profiles'!$X$18*((-2.61+0.35*(N_br)+(0.05-0.13*(N_br))*R_ins/2))</f>
        <v>-2.347384524564387</v>
      </c>
      <c r="BE28" s="467">
        <f>0</f>
        <v>0</v>
      </c>
      <c r="BF28" s="1219"/>
      <c r="BG28" s="467">
        <f t="shared" ref="BG28:BG39" si="17">(0.03-0.03*N_br)*R_ins/2</f>
        <v>0</v>
      </c>
      <c r="BH28" s="467">
        <f t="shared" ref="BH28:BH39" si="18">-0.12-0.06*R_ins/2</f>
        <v>-0.12</v>
      </c>
      <c r="BI28" s="468">
        <f>(-0.28-0.11*(N_br)+(0.06-0.04*(N_br))*R_ins/2)*(1+0.13*SIN(2*PI()*('Monthly Profiles'!$A28/12)+0.3))</f>
        <v>-0.66817418269344797</v>
      </c>
      <c r="BJ28" s="468">
        <f>-0.12+('Monthly Profiles'!$W$18-0.12)/'Monthly Profiles'!$W$18*((-0.28-0.11*(N_br)+(0.06-0.04*(N_br))*R_ins/2)*(1+0.13*SIN(2*PI()*('Monthly Profiles'!$A28/12)+0.3)))</f>
        <v>-0.77304539297624364</v>
      </c>
      <c r="BK28" s="468">
        <f t="shared" ref="BK28:BK39" si="19">-0.06-0.05*N_br+(-0.11+0.03*N_br)*R_ins/2</f>
        <v>-0.21000000000000002</v>
      </c>
      <c r="BL28" s="466">
        <f>-0.06-0.05*N_br+('Monthly Profiles'!$W$18-0.06-0.05*N_br)/'Monthly Profiles'!$W$18*((-0.28-0.11*(N_br)+(0.06-0.04*(N_br))*R_ins/2)*(1+0.13*SIN(2*PI()*('Monthly Profiles'!$A28/12)+0.3)))</f>
        <v>-0.85169880068834058</v>
      </c>
      <c r="BM28" s="469">
        <f t="shared" ref="BM28:BM39" si="20">-0.27+0.04*N_br+(-0.01-0.03*N_br)*R_ins/2</f>
        <v>-0.15000000000000002</v>
      </c>
      <c r="BN28" s="469">
        <f t="shared" ref="BN28:BN39" si="21">-0.26+0.01*N_br+(-0.03-0*N_br)*R_ins/2</f>
        <v>-0.23</v>
      </c>
      <c r="BO28" s="469">
        <f>-0.12+('Monthly Profiles'!$W$18-0.12)/'Monthly Profiles'!$W$18*((-0.27+0.04*(N_br)+(-0.01-0.03*(N_br))*R_ins/2))</f>
        <v>-0.26660370227351066</v>
      </c>
      <c r="BP28" s="469">
        <f>-0.12+('Monthly Profiles'!$W$18-0.12)/'Monthly Profiles'!$W$18*((-0.26+0.01*(N_br)+(-0.03-0*(N_br))*R_ins/2))</f>
        <v>-0.34479234348604965</v>
      </c>
      <c r="BQ28" s="467">
        <f>0</f>
        <v>0</v>
      </c>
      <c r="BR28" s="1219"/>
      <c r="BS28" s="467">
        <f t="shared" ref="BS28:BS39" si="22">(-0.755-0.245*N_br)*R_ins/2</f>
        <v>0</v>
      </c>
      <c r="BT28" s="467">
        <f t="shared" ref="BT28:BT39" si="23">-1.69-1.74*R_ins/2</f>
        <v>-1.69</v>
      </c>
      <c r="BU28" s="468">
        <f>(-0.89-0.32*(N_br)+(-1.86+0.31*(N_br))*R_ins/2)*(1+0.16*SIN(2*PI()*('Monthly Profiles'!$A28/12)+0.3))</f>
        <v>-2.0671444902554925</v>
      </c>
      <c r="BV28" s="468">
        <f>-1.69+('Monthly Profiles'!$Y$18-1.69)/'Monthly Profiles'!$Y$18*((-0.89-0.32*(N_br)+(-1.86+0.31*(N_br))*R_ins/2)*(1+0.16*SIN(2*PI()*('Monthly Profiles'!$A28/12)+0.3)))</f>
        <v>-3.5721680693568651</v>
      </c>
      <c r="BW28" s="468">
        <f t="shared" ref="BW28:BW39" si="24">0.21-0.72*N_br+(-0.75-0.15*N_br)*R_ins/2</f>
        <v>-1.9500000000000002</v>
      </c>
      <c r="BX28" s="466">
        <f>0.21-0.72*N_br+('Monthly Profiles'!$Y$18+0.21-0.72*N_br)/'Monthly Profiles'!$Y$18*((-0.89-0.32*(N_br)+(-1.86+0.31*(N_br))*R_ins/2)*(1+0.16*SIN(2*PI()*('Monthly Profiles'!$A28/12)+0.3)))</f>
        <v>-3.8037101584493844</v>
      </c>
      <c r="BY28" s="469">
        <f t="shared" ref="BY28:BY39" si="25">-2.01-0.95*N_br+(-0.36-0.13*N_br)*R_ins/2</f>
        <v>-4.8599999999999994</v>
      </c>
      <c r="BZ28" s="469">
        <f t="shared" ref="BZ28:BZ39" si="26">-1.34-0.91*N_br+(-0.64-0.07*N_br)*R_ins/2</f>
        <v>-4.07</v>
      </c>
      <c r="CA28" s="469">
        <f>-1.69+('Monthly Profiles'!$Y$18-1.69)/'Monthly Profiles'!$Y$18*((-2.01-0.95*(N_br)+(-0.36-0.13*(N_br))*R_ins/2))</f>
        <v>-6.1151076111006546</v>
      </c>
      <c r="CB28" s="469">
        <f>-1.69+('Monthly Profiles'!$Y$18-1.69)/'Monthly Profiles'!$Y$18*((-1.34-0.91*(N_br)+(-0.64-0.07*(N_br))*R_ins/2))</f>
        <v>-5.3957999953044595</v>
      </c>
      <c r="CC28" s="1210">
        <f>0</f>
        <v>0</v>
      </c>
    </row>
    <row r="29" spans="1:81">
      <c r="A29" s="15">
        <v>2</v>
      </c>
      <c r="B29" s="32" t="s">
        <v>1146</v>
      </c>
      <c r="C29" s="611">
        <f>'Monthly Profiles'!C7</f>
        <v>1</v>
      </c>
      <c r="D29" s="68">
        <f>'Monthly Profiles'!D7</f>
        <v>1</v>
      </c>
      <c r="E29" s="42">
        <f>'Monthly Profiles'!E7</f>
        <v>0.85</v>
      </c>
      <c r="F29" s="42">
        <f>DHW!N54</f>
        <v>0.76582056075532934</v>
      </c>
      <c r="G29" s="90">
        <f>'Monthly Profiles'!G7</f>
        <v>47.641339778292384</v>
      </c>
      <c r="H29" s="58">
        <f t="shared" ref="H29:S29" si="27">H7</f>
        <v>0.83495826611489121</v>
      </c>
      <c r="I29" s="59">
        <f t="shared" si="27"/>
        <v>0.83495826611489121</v>
      </c>
      <c r="J29" s="59">
        <f t="shared" si="27"/>
        <v>0.83495826611489121</v>
      </c>
      <c r="K29" s="59">
        <f t="shared" si="27"/>
        <v>1.0967699665858615</v>
      </c>
      <c r="L29" s="59">
        <f t="shared" si="27"/>
        <v>1.0967699665858615</v>
      </c>
      <c r="M29" s="59">
        <f t="shared" si="27"/>
        <v>1.0018116829065269</v>
      </c>
      <c r="N29" s="59">
        <f t="shared" si="27"/>
        <v>1.1442419723167263</v>
      </c>
      <c r="O29" s="59">
        <f t="shared" si="27"/>
        <v>1.1289636167021313</v>
      </c>
      <c r="P29" s="59">
        <f t="shared" si="27"/>
        <v>1.2654392425039453</v>
      </c>
      <c r="Q29" s="59">
        <f t="shared" si="27"/>
        <v>0.9284852177785069</v>
      </c>
      <c r="R29" s="59">
        <f t="shared" si="27"/>
        <v>0</v>
      </c>
      <c r="S29" s="729">
        <f t="shared" si="27"/>
        <v>1.1605684359598141</v>
      </c>
      <c r="T29" s="14">
        <f>IF(NewConst!$F$286="yes", Appliances!$AF$125, 'Monthly Profiles'!T7)</f>
        <v>2.0456097066410499</v>
      </c>
      <c r="U29" s="818">
        <f>IF(NewConst!$F$303="YES", IF(NewConst!$F$304="yes", Appliances!$AG$125, 'Monthly Profiles'!$U7), 0)</f>
        <v>0.70511546706187678</v>
      </c>
      <c r="V29" s="14">
        <f>IF(NewConst!F$247="yes", (IF(Appliances!AF$237="yes",IF(AND(Appliances!AF$238="yes",G29&lt;70),Appliances!AF$267+(Appliances!AF$267*((1/Appliances!AF$257)*(70-G29)+(G29-NewConst!F$112))/(NewConst!F$112-G29)),0),IF(Appliances!AF$238="yes",Appliances!AF$267+(Appliances!AF$267*((1/Appliances!AF$257)*(Appliances!AF$258-G29)+(G29-NewConst!F$112))/(NewConst!F$112-G29)),Appliances!AF$267)*(Appliances!AF$261/365))), 'Monthly Profiles'!V7)</f>
        <v>8.9081600539351982</v>
      </c>
      <c r="W29" s="599">
        <f>(3.5+1.17*N_br)*MAX((105-G29)/(NewConst!$F$112-G29),0)+HLOOKUP(NewConst!$F$153 &amp; ", " &amp; NewConst!$F$151 &amp; ", " &amp; NewConst!$F$156 &amp; ", " &amp; NewConst!$F$154,'Monthly Profiles'!$BG$25:$BQ$40,A29+3,FALSE )</f>
        <v>4.8821120580612769</v>
      </c>
      <c r="X29" s="599">
        <f>(14+4.67*N_br)*MAX((105-G29)/(NewConst!$F$112-G29),0)+HLOOKUP(NewConst!$F$153 &amp; ", " &amp; NewConst!$F$151 &amp; ", " &amp; NewConst!$F$156 &amp; ", " &amp; NewConst!$F$154,'Monthly Profiles'!$AU$25:$BE$39,A29+3,FALSE )</f>
        <v>19.507554742695628</v>
      </c>
      <c r="Y29" s="599">
        <f>(12.5+4.16*N_br)*MAX((105-G29)/(NewConst!$F$112-G29),0)+HLOOKUP(NewConst!$F$153 &amp; ", " &amp; NewConst!$F$151 &amp; ", " &amp; NewConst!$F$156 &amp; ", " &amp; NewConst!$F$154,'Monthly Profiles'!$BS$25:$CC$39,A29+3,FALSE )</f>
        <v>17.397312298198386</v>
      </c>
      <c r="Z29" s="818">
        <f>IF(NewConst!F$135&gt;0,(0.028*NewConst!$F$38)*MAX((105-$G29)/(NewConst!$F$112-$G29),0),0)</f>
        <v>3.9001180492358278</v>
      </c>
      <c r="AA29" s="599">
        <f t="shared" si="11"/>
        <v>52.740748859531536</v>
      </c>
      <c r="AB29" s="818">
        <f>IF(HomeType=2,IF(NewConst!F$249="YES",IF(NewConst!$F$135&gt;0,IF(NewConst!$F$303="YES",SUM(U29,V29,Z29),SUM(V29,Z29)),IF(NewConst!$F$303="YES",SUM(U29,V29),V29)),IF(NewConst!$F$135&gt;0,IF(NewConst!$F$303="YES",SUM(U29,Z29),SUM(Z29)),IF(NewConst!$F$303="YES",SUM(U29),0))),0)</f>
        <v>0</v>
      </c>
      <c r="AC29" s="604">
        <f>HLOOKUP(NewConst!$F$153 &amp; ", " &amp; NewConst!$F$151 &amp; ", " &amp; NewConst!$F$156 &amp; ", " &amp; NewConst!$F$154,'Monthly Profiles'!$AI$25:$AS$40,A29+3,FALSE )</f>
        <v>4609.9882894913962</v>
      </c>
      <c r="AD29" s="609">
        <f>IF(NewConst!$F$154="Timer control",(18135+2538*N_br+(-12265-1495*N_br)*R_ins/2)/(8.33*((120-'Monthly Profiles'!G29)*4184*0.00023886)),IF(NewConst!$F$154="Demand control",(-3648+2344*N_br+(-1328-761*N_br)*R_ins/2)/(8.33*((120-'Monthly Profiles'!G29)*4184*0.000238861)),0))</f>
        <v>0</v>
      </c>
      <c r="AE29" s="734">
        <f>IF(NewConst!$F$203=NewConst!$I$203,'Detailed Lighting'!BB12,Lighting!BC22)</f>
        <v>9.173891494051005E-2</v>
      </c>
      <c r="AI29" s="1211">
        <f>('Monthly Profiles'!$Z$20+735*(N_br-3)-(948+158*(N_br-3))*R_ins/2)*(1+1/'Monthly Profiles'!$Z$20*(362+(63*(N_br-3)))*SIN(2*PI()*('Monthly Profiles'!$A29/12)+0.3))</f>
        <v>4609.9882894913962</v>
      </c>
      <c r="AJ29" s="460">
        <f>('Monthly Profiles'!$Z$20-1047-732*R_ins/2)*(1+1/'Monthly Profiles'!$Z$20*735*(N_br-3)+1/'Monthly Profiles'!$Z$20*(362+(63*(N_br-3)))*SIN(2*PI()*('Monthly Profiles'!$A29/12)+0.3))</f>
        <v>3476.1715784043649</v>
      </c>
      <c r="AK29" s="460">
        <f>('Monthly Profiles'!$Z$20+735*(N_br-3)-(3356+589*(N_br-3))-(90+11*(N_br-3))*R_ins/2)*(1+1/'Monthly Profiles'!$Z$20*(362+(63*(N_br-3)))*SIN(2*PI()*('Monthly Profiles'!$A29/12)+0.3))</f>
        <v>975.71046484184831</v>
      </c>
      <c r="AL29" s="460">
        <f>('Monthly Profiles'!$Z$20-1047)*(1+1/'Monthly Profiles'!$Z$20*735*(N_br-3)-1/'Monthly Profiles'!$Z$20*(3356+589*(N_br-3)+(90+11*(N_br-3))*R_ins/2))*(1+1/'Monthly Profiles'!$Z$20*(362+(63*(N_br-3)))*SIN(2*PI()*('Monthly Profiles'!$A29/12)+0.3))</f>
        <v>735.73657320703137</v>
      </c>
      <c r="AM29" s="460">
        <f>('Monthly Profiles'!$Z$20+735*(N_br-3)-(1142+378*(N_br-3))-(649+73*(N_br-3))*R_ins/2)*(1+1/'Monthly Profiles'!$Z$20*(362+(63*(N_br-3)))*SIN(2*PI()*('Monthly Profiles'!$A29/12)+0.3))</f>
        <v>3373.2942263955133</v>
      </c>
      <c r="AN29" s="463">
        <f>('Monthly Profiles'!$Z$20+735*(N_br-3)-(1142+378*(N_br-3)))*(1-1/'Monthly Profiles'!$Z$20*(3356+589*(N_br-3)+(90+11*(N_br-3))*R_ins/2))*(1+1/'Monthly Profiles'!$Z$20*(362+(63*(N_br-3)))*SIN(2*PI()*('Monthly Profiles'!$A29/12)+0.3))</f>
        <v>713.96243786289801</v>
      </c>
      <c r="AO29" s="462">
        <f>('Monthly Profiles'!$Z$20+735*(N_br-3)+(20148+2140*(N_br-3))-(11956+1355*(N_br-3))*R_ins/2)*(1+1/'Monthly Profiles'!$Z$20*(362+(63*(N_br-3)))*SIN(2*PI()*('Monthly Profiles'!$A29/12)+0.3))</f>
        <v>26428.650271326645</v>
      </c>
      <c r="AP29" s="462">
        <f>('Monthly Profiles'!$Z$20+735*(N_br-3)+(1458+1066*(N_br-3))-(1332+545*(N_br-3))*R_ins/2)*(1+1/'Monthly Profiles'!$Z$20*(362+(63*(N_br-3)))*SIN(2*PI()*('Monthly Profiles'!$A29/12)+0.3))</f>
        <v>6188.8849129535656</v>
      </c>
      <c r="AQ29" s="462">
        <f>('Monthly Profiles'!$Z$20-1047)*(1+1/'Monthly Profiles'!$Z$20*735*(N_br-3)+1/'Monthly Profiles'!$Z$20*(20148+2140*(N_br-3))-1/'Monthly Profiles'!$Z$20*((11956+1355*(N_br-3))*R_ins/2))*(1+1/'Monthly Profiles'!$Z$20*(362+(63*(N_br-3)))*SIN(2*PI()*('Monthly Profiles'!$A29/12)+0.3))</f>
        <v>19928.580542860826</v>
      </c>
      <c r="AR29" s="462">
        <f>('Monthly Profiles'!$Z$20-1047)*(1+1/'Monthly Profiles'!$Z$20*735*(N_br-3)+1/'Monthly Profiles'!$Z$20*(1458+1066*(N_br-3))-1/'Monthly Profiles'!$Z$20*((1332+545*(N_br-3))*R_ins/2))*(1+1/'Monthly Profiles'!$Z$20*(362+(63*(N_br-3)))*SIN(2*PI()*('Monthly Profiles'!$A29/12)+0.3))</f>
        <v>4666.7419710079739</v>
      </c>
      <c r="AS29" s="462">
        <f>'Monthly Profiles'!AC7</f>
        <v>4609.9882894913962</v>
      </c>
      <c r="AT29" s="1219"/>
      <c r="AU29" s="467">
        <f t="shared" si="12"/>
        <v>0</v>
      </c>
      <c r="AV29" s="467">
        <f t="shared" si="13"/>
        <v>-0.85</v>
      </c>
      <c r="AW29" s="468">
        <f>(-1.14-0.36*(N_br)+(-0.34-0.08*(N_br))*R_ins/2)*(1+0.11*SIN(2*PI()*('Monthly Profiles'!$A29/12)+0.3))</f>
        <v>-2.458120829540881</v>
      </c>
      <c r="AX29" s="468">
        <f>-0.85+('Monthly Profiles'!$X$18-0.85)/'Monthly Profiles'!$X$18*((-1.14-0.36*(N_br)+(-0.34-0.08*(N_br))*R_ins/2)*(1+0.11*SIN(2*PI()*('Monthly Profiles'!$A29/12)+0.3)))</f>
        <v>-3.2094564677332618</v>
      </c>
      <c r="AY29" s="468">
        <f t="shared" si="14"/>
        <v>-1.21</v>
      </c>
      <c r="AZ29" s="466">
        <f>-0.52-0.23*N_br+('Monthly Profiles'!$X$18-0.52-0.23*N_br)/'Monthly Profiles'!$X$18*((-1.14-0.36*(N_br)+(-0.34-0.08*(N_br))*R_ins/2)*(1+0.11*SIN(2*PI()*('Monthly Profiles'!$A29/12)+0.3)))</f>
        <v>-3.5276692086147405</v>
      </c>
      <c r="BA29" s="469">
        <f t="shared" si="15"/>
        <v>-1.4</v>
      </c>
      <c r="BB29" s="469">
        <f t="shared" si="16"/>
        <v>-1.56</v>
      </c>
      <c r="BC29" s="469">
        <f>-0.85+('Monthly Profiles'!$X$18-0.85)/'Monthly Profiles'!$X$18*((-2.15+0.25*(N_br)+(-0.16-0.08*(N_br))*R_ins/2))</f>
        <v>-2.1938066246090648</v>
      </c>
      <c r="BD29" s="469">
        <f>-0.85+('Monthly Profiles'!$X$18-0.85)/'Monthly Profiles'!$X$18*((-2.61+0.35*(N_br)+(0.05-0.13*(N_br))*R_ins/2))</f>
        <v>-2.347384524564387</v>
      </c>
      <c r="BE29" s="467">
        <f>0</f>
        <v>0</v>
      </c>
      <c r="BF29" s="1219"/>
      <c r="BG29" s="467">
        <f t="shared" si="17"/>
        <v>0</v>
      </c>
      <c r="BH29" s="467">
        <f t="shared" si="18"/>
        <v>-0.12</v>
      </c>
      <c r="BI29" s="468">
        <f>(-0.28-0.11*(N_br)+(0.06-0.04*(N_br))*R_ins/2)*(1+0.13*SIN(2*PI()*('Monthly Profiles'!$A29/12)+0.3))</f>
        <v>-0.68732588772560155</v>
      </c>
      <c r="BJ29" s="468">
        <f>-0.12+('Monthly Profiles'!$W$18-0.12)/'Monthly Profiles'!$W$18*((-0.28-0.11*(N_br)+(0.06-0.04*(N_br))*R_ins/2)*(1+0.13*SIN(2*PI()*('Monthly Profiles'!$A29/12)+0.3)))</f>
        <v>-0.79176346539333664</v>
      </c>
      <c r="BK29" s="468">
        <f t="shared" si="19"/>
        <v>-0.21000000000000002</v>
      </c>
      <c r="BL29" s="466">
        <f>-0.06-0.05*N_br+('Monthly Profiles'!$W$18-0.06-0.05*N_br)/'Monthly Profiles'!$W$18*((-0.28-0.11*(N_br)+(0.06-0.04*(N_br))*R_ins/2)*(1+0.13*SIN(2*PI()*('Monthly Profiles'!$A29/12)+0.3)))</f>
        <v>-0.8700916486441379</v>
      </c>
      <c r="BM29" s="469">
        <f t="shared" si="20"/>
        <v>-0.15000000000000002</v>
      </c>
      <c r="BN29" s="469">
        <f t="shared" si="21"/>
        <v>-0.23</v>
      </c>
      <c r="BO29" s="469">
        <f>-0.12+('Monthly Profiles'!$W$18-0.12)/'Monthly Profiles'!$W$18*((-0.27+0.04*(N_br)+(-0.01-0.03*(N_br))*R_ins/2))</f>
        <v>-0.26660370227351066</v>
      </c>
      <c r="BP29" s="469">
        <f>-0.12+('Monthly Profiles'!$W$18-0.12)/'Monthly Profiles'!$W$18*((-0.26+0.01*(N_br)+(-0.03-0*(N_br))*R_ins/2))</f>
        <v>-0.34479234348604965</v>
      </c>
      <c r="BQ29" s="467">
        <f>0</f>
        <v>0</v>
      </c>
      <c r="BR29" s="1219"/>
      <c r="BS29" s="467">
        <f t="shared" si="22"/>
        <v>0</v>
      </c>
      <c r="BT29" s="467">
        <f t="shared" si="23"/>
        <v>-1.69</v>
      </c>
      <c r="BU29" s="468">
        <f>(-0.89-0.32*(N_br)+(-1.86+0.31*(N_br))*R_ins/2)*(1+0.16*SIN(2*PI()*('Monthly Profiles'!$A29/12)+0.3))</f>
        <v>-2.1386313085344018</v>
      </c>
      <c r="BV29" s="468">
        <f>-1.69+('Monthly Profiles'!$Y$18-1.69)/'Monthly Profiles'!$Y$18*((-0.89-0.32*(N_br)+(-1.86+0.31*(N_br))*R_ins/2)*(1+0.16*SIN(2*PI()*('Monthly Profiles'!$A29/12)+0.3)))</f>
        <v>-3.6372579589987111</v>
      </c>
      <c r="BW29" s="468">
        <f t="shared" si="24"/>
        <v>-1.9500000000000002</v>
      </c>
      <c r="BX29" s="466">
        <f>0.21-0.72*N_br+('Monthly Profiles'!$Y$18+0.21-0.72*N_br)/'Monthly Profiles'!$Y$18*((-0.89-0.32*(N_br)+(-1.86+0.31*(N_br))*R_ins/2)*(1+0.16*SIN(2*PI()*('Monthly Profiles'!$A29/12)+0.3)))</f>
        <v>-3.8678159052239898</v>
      </c>
      <c r="BY29" s="469">
        <f t="shared" si="25"/>
        <v>-4.8599999999999994</v>
      </c>
      <c r="BZ29" s="469">
        <f t="shared" si="26"/>
        <v>-4.07</v>
      </c>
      <c r="CA29" s="469">
        <f>-1.69+('Monthly Profiles'!$Y$18-1.69)/'Monthly Profiles'!$Y$18*((-2.01-0.95*(N_br)+(-0.36-0.13*(N_br))*R_ins/2))</f>
        <v>-6.1151076111006546</v>
      </c>
      <c r="CB29" s="469">
        <f>-1.69+('Monthly Profiles'!$Y$18-1.69)/'Monthly Profiles'!$Y$18*((-1.34-0.91*(N_br)+(-0.64-0.07*(N_br))*R_ins/2))</f>
        <v>-5.3957999953044595</v>
      </c>
      <c r="CC29" s="1210">
        <f>0</f>
        <v>0</v>
      </c>
    </row>
    <row r="30" spans="1:81">
      <c r="A30" s="15">
        <v>3</v>
      </c>
      <c r="B30" s="32" t="s">
        <v>1003</v>
      </c>
      <c r="C30" s="611">
        <f>'Monthly Profiles'!C8</f>
        <v>1</v>
      </c>
      <c r="D30" s="68">
        <f>'Monthly Profiles'!D8</f>
        <v>1</v>
      </c>
      <c r="E30" s="42">
        <f>'Monthly Profiles'!E8</f>
        <v>0.85</v>
      </c>
      <c r="F30" s="42">
        <f>DHW!N55</f>
        <v>0.76582056075532934</v>
      </c>
      <c r="G30" s="90">
        <f>'Monthly Profiles'!G8</f>
        <v>49.150569276918105</v>
      </c>
      <c r="H30" s="58">
        <f t="shared" ref="H30:S30" si="28">H8</f>
        <v>1.0840990390685279</v>
      </c>
      <c r="I30" s="59">
        <f t="shared" si="28"/>
        <v>1.0840990390685279</v>
      </c>
      <c r="J30" s="59">
        <f t="shared" si="28"/>
        <v>1.0840990390685279</v>
      </c>
      <c r="K30" s="59">
        <f t="shared" si="28"/>
        <v>0.99063093756142329</v>
      </c>
      <c r="L30" s="59">
        <f t="shared" si="28"/>
        <v>0.99063093756142329</v>
      </c>
      <c r="M30" s="59">
        <f t="shared" si="28"/>
        <v>1.0223767321157518</v>
      </c>
      <c r="N30" s="59">
        <f t="shared" si="28"/>
        <v>1.0100200400801602</v>
      </c>
      <c r="O30" s="59">
        <f t="shared" si="28"/>
        <v>0.96110510342902988</v>
      </c>
      <c r="P30" s="59">
        <f t="shared" si="28"/>
        <v>0.90731194108364022</v>
      </c>
      <c r="Q30" s="59">
        <f t="shared" si="28"/>
        <v>0.92131381900420672</v>
      </c>
      <c r="R30" s="59">
        <f t="shared" si="28"/>
        <v>0</v>
      </c>
      <c r="S30" s="729">
        <f t="shared" si="28"/>
        <v>1.012920911124042</v>
      </c>
      <c r="T30" s="14">
        <f>IF(NewConst!$F$286="yes", Appliances!$AF$125, 'Monthly Profiles'!T8)</f>
        <v>2.0456097066410499</v>
      </c>
      <c r="U30" s="818">
        <f>IF(NewConst!$F$303="YES", IF(NewConst!$F$304="yes", Appliances!$AG$125, 'Monthly Profiles'!$U8), 0)</f>
        <v>0.70511546706187678</v>
      </c>
      <c r="V30" s="14">
        <f>IF(NewConst!F$247="yes", (IF(Appliances!AF$237="yes",IF(AND(Appliances!AF$238="yes",G30&lt;70),Appliances!AF$267+(Appliances!AF$267*((1/Appliances!AF$257)*(70-G30)+(G30-NewConst!F$112))/(NewConst!F$112-G30)),0),IF(Appliances!AF$238="yes",Appliances!AF$267+(Appliances!AF$267*((1/Appliances!AF$257)*(Appliances!AF$258-G30)+(G30-NewConst!F$112))/(NewConst!F$112-G30)),Appliances!AF$267)*(Appliances!AF$261/365))), 'Monthly Profiles'!V8)</f>
        <v>8.7691483715288872</v>
      </c>
      <c r="W30" s="599">
        <f>(3.5+1.17*N_br)*MAX((105-G30)/(NewConst!$F$112-G30),0)+HLOOKUP(NewConst!$F$153 &amp; ", " &amp; NewConst!$F$151 &amp; ", " &amp; NewConst!$F$156 &amp; ", " &amp; NewConst!$F$154,'Monthly Profiles'!$BG$25:$BQ$40,A30+3,FALSE )</f>
        <v>4.842390427085995</v>
      </c>
      <c r="X30" s="599">
        <f>(14+4.67*N_br)*MAX((105-G30)/(NewConst!$F$112-G30),0)+HLOOKUP(NewConst!$F$153 &amp; ", " &amp; NewConst!$F$151 &amp; ", " &amp; NewConst!$F$156 &amp; ", " &amp; NewConst!$F$154,'Monthly Profiles'!$AU$25:$BE$39,A30+3,FALSE )</f>
        <v>19.348838211509086</v>
      </c>
      <c r="Y30" s="599">
        <f>(12.5+4.16*N_br)*MAX((105-G30)/(NewConst!$F$112-G30),0)+HLOOKUP(NewConst!$F$153 &amp; ", " &amp; NewConst!$F$151 &amp; ", " &amp; NewConst!$F$156 &amp; ", " &amp; NewConst!$F$154,'Monthly Profiles'!$BS$25:$CC$39,A30+3,FALSE )</f>
        <v>17.255765031185184</v>
      </c>
      <c r="Z30" s="818">
        <f>IF(NewConst!F$135&gt;0,(0.028*NewConst!$F$38)*MAX((105-$G30)/(NewConst!$F$112-$G30),0),0)</f>
        <v>3.8683860758461588</v>
      </c>
      <c r="AA30" s="599">
        <f t="shared" si="11"/>
        <v>52.261751747950207</v>
      </c>
      <c r="AB30" s="818">
        <f>IF(HomeType=2,IF(NewConst!F$249="YES",IF(NewConst!$F$135&gt;0,IF(NewConst!$F$303="YES",SUM(U30,V30,Z30),SUM(V30,Z30)),IF(NewConst!$F$303="YES",SUM(U30,V30),V30)),IF(NewConst!$F$135&gt;0,IF(NewConst!$F$303="YES",SUM(U30,Z30),SUM(Z30)),IF(NewConst!$F$303="YES",SUM(U30),0))),0)</f>
        <v>0</v>
      </c>
      <c r="AC30" s="604">
        <f>HLOOKUP(NewConst!$F$153 &amp; ", " &amp; NewConst!$F$151 &amp; ", " &amp; NewConst!$F$156 &amp; ", " &amp; NewConst!$F$154,'Monthly Profiles'!$AI$25:$AS$40,A30+3,FALSE )</f>
        <v>4602.8318090634693</v>
      </c>
      <c r="AD30" s="609">
        <f>IF(NewConst!$F$154="Timer control",(18135+2538*N_br+(-12265-1495*N_br)*R_ins/2)/(8.33*((120-'Monthly Profiles'!G30)*4184*0.00023886)),IF(NewConst!$F$154="Demand control",(-3648+2344*N_br+(-1328-761*N_br)*R_ins/2)/(8.33*((120-'Monthly Profiles'!G30)*4184*0.000238861)),0))</f>
        <v>0</v>
      </c>
      <c r="AE30" s="734">
        <f>IF(NewConst!$F$203=NewConst!$I$203,'Detailed Lighting'!BB13,Lighting!BC23)</f>
        <v>8.5802989807230542E-2</v>
      </c>
      <c r="AI30" s="1211">
        <f>('Monthly Profiles'!$Z$20+735*(N_br-3)-(948+158*(N_br-3))*R_ins/2)*(1+1/'Monthly Profiles'!$Z$20*(362+(63*(N_br-3)))*SIN(2*PI()*('Monthly Profiles'!$A30/12)+0.3))</f>
        <v>4602.8318090634693</v>
      </c>
      <c r="AJ30" s="460">
        <f>('Monthly Profiles'!$Z$20-1047-732*R_ins/2)*(1+1/'Monthly Profiles'!$Z$20*735*(N_br-3)+1/'Monthly Profiles'!$Z$20*(362+(63*(N_br-3)))*SIN(2*PI()*('Monthly Profiles'!$A30/12)+0.3))</f>
        <v>3470.7752189555408</v>
      </c>
      <c r="AK30" s="460">
        <f>('Monthly Profiles'!$Z$20+735*(N_br-3)-(3356+589*(N_br-3))-(90+11*(N_br-3))*R_ins/2)*(1+1/'Monthly Profiles'!$Z$20*(362+(63*(N_br-3)))*SIN(2*PI()*('Monthly Profiles'!$A30/12)+0.3))</f>
        <v>974.19578575667981</v>
      </c>
      <c r="AL30" s="460">
        <f>('Monthly Profiles'!$Z$20-1047)*(1+1/'Monthly Profiles'!$Z$20*735*(N_br-3)-1/'Monthly Profiles'!$Z$20*(3356+589*(N_br-3)+(90+11*(N_br-3))*R_ins/2))*(1+1/'Monthly Profiles'!$Z$20*(362+(63*(N_br-3)))*SIN(2*PI()*('Monthly Profiles'!$A30/12)+0.3))</f>
        <v>734.59442618720743</v>
      </c>
      <c r="AM30" s="460">
        <f>('Monthly Profiles'!$Z$20+735*(N_br-3)-(1142+378*(N_br-3))-(649+73*(N_br-3))*R_ins/2)*(1+1/'Monthly Profiles'!$Z$20*(362+(63*(N_br-3)))*SIN(2*PI()*('Monthly Profiles'!$A30/12)+0.3))</f>
        <v>3368.0575722886319</v>
      </c>
      <c r="AN30" s="463">
        <f>('Monthly Profiles'!$Z$20+735*(N_br-3)-(1142+378*(N_br-3)))*(1-1/'Monthly Profiles'!$Z$20*(3356+589*(N_br-3)+(90+11*(N_br-3))*R_ins/2))*(1+1/'Monthly Profiles'!$Z$20*(362+(63*(N_br-3)))*SIN(2*PI()*('Monthly Profiles'!$A30/12)+0.3))</f>
        <v>712.8540927019161</v>
      </c>
      <c r="AO30" s="462">
        <f>('Monthly Profiles'!$Z$20+735*(N_br-3)+(20148+2140*(N_br-3))-(11956+1355*(N_br-3))*R_ins/2)*(1+1/'Monthly Profiles'!$Z$20*(362+(63*(N_br-3)))*SIN(2*PI()*('Monthly Profiles'!$A30/12)+0.3))</f>
        <v>26387.622809535816</v>
      </c>
      <c r="AP30" s="462">
        <f>('Monthly Profiles'!$Z$20+735*(N_br-3)+(1458+1066*(N_br-3))-(1332+545*(N_br-3))*R_ins/2)*(1+1/'Monthly Profiles'!$Z$20*(362+(63*(N_br-3)))*SIN(2*PI()*('Monthly Profiles'!$A30/12)+0.3))</f>
        <v>6179.277375804023</v>
      </c>
      <c r="AQ30" s="462">
        <f>('Monthly Profiles'!$Z$20-1047)*(1+1/'Monthly Profiles'!$Z$20*735*(N_br-3)+1/'Monthly Profiles'!$Z$20*(20148+2140*(N_br-3))-1/'Monthly Profiles'!$Z$20*((11956+1355*(N_br-3))*R_ins/2))*(1+1/'Monthly Profiles'!$Z$20*(362+(63*(N_br-3)))*SIN(2*PI()*('Monthly Profiles'!$A30/12)+0.3))</f>
        <v>19897.643697112984</v>
      </c>
      <c r="AR30" s="462">
        <f>('Monthly Profiles'!$Z$20-1047)*(1+1/'Monthly Profiles'!$Z$20*735*(N_br-3)+1/'Monthly Profiles'!$Z$20*(1458+1066*(N_br-3))-1/'Monthly Profiles'!$Z$20*((1332+545*(N_br-3))*R_ins/2))*(1+1/'Monthly Profiles'!$Z$20*(362+(63*(N_br-3)))*SIN(2*PI()*('Monthly Profiles'!$A30/12)+0.3))</f>
        <v>4659.4973869699115</v>
      </c>
      <c r="AS30" s="462">
        <f>'Monthly Profiles'!AC8</f>
        <v>4602.8318090634693</v>
      </c>
      <c r="AT30" s="1219"/>
      <c r="AU30" s="467">
        <f t="shared" si="12"/>
        <v>0</v>
      </c>
      <c r="AV30" s="467">
        <f t="shared" si="13"/>
        <v>-0.85</v>
      </c>
      <c r="AW30" s="468">
        <f>(-1.14-0.36*(N_br)+(-0.34-0.08*(N_br))*R_ins/2)*(1+0.11*SIN(2*PI()*('Monthly Profiles'!$A30/12)+0.3))</f>
        <v>-2.4532931706444727</v>
      </c>
      <c r="AX30" s="468">
        <f>-0.85+('Monthly Profiles'!$X$18-0.85)/'Monthly Profiles'!$X$18*((-1.14-0.36*(N_br)+(-0.34-0.08*(N_br))*R_ins/2)*(1+0.11*SIN(2*PI()*('Monthly Profiles'!$A30/12)+0.3)))</f>
        <v>-3.2048225820144429</v>
      </c>
      <c r="AY30" s="468">
        <f t="shared" si="14"/>
        <v>-1.21</v>
      </c>
      <c r="AZ30" s="466">
        <f>-0.52-0.23*N_br+('Monthly Profiles'!$X$18-0.52-0.23*N_br)/'Monthly Profiles'!$X$18*((-1.14-0.36*(N_br)+(-0.34-0.08*(N_br))*R_ins/2)*(1+0.11*SIN(2*PI()*('Monthly Profiles'!$A30/12)+0.3)))</f>
        <v>-3.523117391535842</v>
      </c>
      <c r="BA30" s="469">
        <f t="shared" si="15"/>
        <v>-1.4</v>
      </c>
      <c r="BB30" s="469">
        <f t="shared" si="16"/>
        <v>-1.56</v>
      </c>
      <c r="BC30" s="469">
        <f>-0.85+('Monthly Profiles'!$X$18-0.85)/'Monthly Profiles'!$X$18*((-2.15+0.25*(N_br)+(-0.16-0.08*(N_br))*R_ins/2))</f>
        <v>-2.1938066246090648</v>
      </c>
      <c r="BD30" s="469">
        <f>-0.85+('Monthly Profiles'!$X$18-0.85)/'Monthly Profiles'!$X$18*((-2.61+0.35*(N_br)+(0.05-0.13*(N_br))*R_ins/2))</f>
        <v>-2.347384524564387</v>
      </c>
      <c r="BE30" s="467">
        <f>0</f>
        <v>0</v>
      </c>
      <c r="BF30" s="1219"/>
      <c r="BG30" s="467">
        <f t="shared" si="17"/>
        <v>0</v>
      </c>
      <c r="BH30" s="467">
        <f t="shared" si="18"/>
        <v>-0.12</v>
      </c>
      <c r="BI30" s="468">
        <f>(-0.28-0.11*(N_br)+(0.06-0.04*(N_br))*R_ins/2)*(1+0.13*SIN(2*PI()*('Monthly Profiles'!$A30/12)+0.3))</f>
        <v>-0.68575818358766061</v>
      </c>
      <c r="BJ30" s="468">
        <f>-0.12+('Monthly Profiles'!$W$18-0.12)/'Monthly Profiles'!$W$18*((-0.28-0.11*(N_br)+(0.06-0.04*(N_br))*R_ins/2)*(1+0.13*SIN(2*PI()*('Monthly Profiles'!$A30/12)+0.3)))</f>
        <v>-0.79023125718872567</v>
      </c>
      <c r="BK30" s="468">
        <f t="shared" si="19"/>
        <v>-0.21000000000000002</v>
      </c>
      <c r="BL30" s="466">
        <f>-0.06-0.05*N_br+('Monthly Profiles'!$W$18-0.06-0.05*N_br)/'Monthly Profiles'!$W$18*((-0.28-0.11*(N_br)+(0.06-0.04*(N_br))*R_ins/2)*(1+0.13*SIN(2*PI()*('Monthly Profiles'!$A30/12)+0.3)))</f>
        <v>-0.86858606238952452</v>
      </c>
      <c r="BM30" s="469">
        <f t="shared" si="20"/>
        <v>-0.15000000000000002</v>
      </c>
      <c r="BN30" s="469">
        <f t="shared" si="21"/>
        <v>-0.23</v>
      </c>
      <c r="BO30" s="469">
        <f>-0.12+('Monthly Profiles'!$W$18-0.12)/'Monthly Profiles'!$W$18*((-0.27+0.04*(N_br)+(-0.01-0.03*(N_br))*R_ins/2))</f>
        <v>-0.26660370227351066</v>
      </c>
      <c r="BP30" s="469">
        <f>-0.12+('Monthly Profiles'!$W$18-0.12)/'Monthly Profiles'!$W$18*((-0.26+0.01*(N_br)+(-0.03-0*(N_br))*R_ins/2))</f>
        <v>-0.34479234348604965</v>
      </c>
      <c r="BQ30" s="467">
        <f>0</f>
        <v>0</v>
      </c>
      <c r="BR30" s="1219"/>
      <c r="BS30" s="467">
        <f t="shared" si="22"/>
        <v>0</v>
      </c>
      <c r="BT30" s="467">
        <f t="shared" si="23"/>
        <v>-1.69</v>
      </c>
      <c r="BU30" s="468">
        <f>(-0.89-0.32*(N_br)+(-1.86+0.31*(N_br))*R_ins/2)*(1+0.16*SIN(2*PI()*('Monthly Profiles'!$A30/12)+0.3))</f>
        <v>-2.1327796007811797</v>
      </c>
      <c r="BV30" s="468">
        <f>-1.69+('Monthly Profiles'!$Y$18-1.69)/'Monthly Profiles'!$Y$18*((-0.89-0.32*(N_br)+(-1.86+0.31*(N_br))*R_ins/2)*(1+0.16*SIN(2*PI()*('Monthly Profiles'!$A30/12)+0.3)))</f>
        <v>-3.6319298856413615</v>
      </c>
      <c r="BW30" s="468">
        <f t="shared" si="24"/>
        <v>-1.9500000000000002</v>
      </c>
      <c r="BX30" s="466">
        <f>0.21-0.72*N_br+('Monthly Profiles'!$Y$18+0.21-0.72*N_br)/'Monthly Profiles'!$Y$18*((-0.89-0.32*(N_br)+(-1.86+0.31*(N_br))*R_ins/2)*(1+0.16*SIN(2*PI()*('Monthly Profiles'!$A30/12)+0.3)))</f>
        <v>-3.8625683910044666</v>
      </c>
      <c r="BY30" s="469">
        <f t="shared" si="25"/>
        <v>-4.8599999999999994</v>
      </c>
      <c r="BZ30" s="469">
        <f t="shared" si="26"/>
        <v>-4.07</v>
      </c>
      <c r="CA30" s="469">
        <f>-1.69+('Monthly Profiles'!$Y$18-1.69)/'Monthly Profiles'!$Y$18*((-2.01-0.95*(N_br)+(-0.36-0.13*(N_br))*R_ins/2))</f>
        <v>-6.1151076111006546</v>
      </c>
      <c r="CB30" s="469">
        <f>-1.69+('Monthly Profiles'!$Y$18-1.69)/'Monthly Profiles'!$Y$18*((-1.34-0.91*(N_br)+(-0.64-0.07*(N_br))*R_ins/2))</f>
        <v>-5.3957999953044595</v>
      </c>
      <c r="CC30" s="1210">
        <f>0</f>
        <v>0</v>
      </c>
    </row>
    <row r="31" spans="1:81">
      <c r="A31" s="15">
        <v>4</v>
      </c>
      <c r="B31" s="32" t="s">
        <v>1004</v>
      </c>
      <c r="C31" s="611">
        <f>'Monthly Profiles'!C9</f>
        <v>1</v>
      </c>
      <c r="D31" s="68">
        <f>'Monthly Profiles'!D9</f>
        <v>1</v>
      </c>
      <c r="E31" s="42">
        <f>'Monthly Profiles'!E9</f>
        <v>0.85</v>
      </c>
      <c r="F31" s="42">
        <f>DHW!N56</f>
        <v>0.76582056075532934</v>
      </c>
      <c r="G31" s="90">
        <f>'Monthly Profiles'!G9</f>
        <v>52.85257495724705</v>
      </c>
      <c r="H31" s="58">
        <f t="shared" ref="H31:S31" si="29">H9</f>
        <v>1.083706249561619</v>
      </c>
      <c r="I31" s="59">
        <f t="shared" si="29"/>
        <v>1.083706249561619</v>
      </c>
      <c r="J31" s="59">
        <f t="shared" si="29"/>
        <v>1.083706249561619</v>
      </c>
      <c r="K31" s="59">
        <f t="shared" si="29"/>
        <v>0.98709296992727535</v>
      </c>
      <c r="L31" s="59">
        <f t="shared" si="29"/>
        <v>0.98709296992727535</v>
      </c>
      <c r="M31" s="59">
        <f t="shared" si="29"/>
        <v>1.0200264407775546</v>
      </c>
      <c r="N31" s="59">
        <f t="shared" si="29"/>
        <v>1.0072796756303304</v>
      </c>
      <c r="O31" s="59">
        <f t="shared" si="29"/>
        <v>0.96891896605853411</v>
      </c>
      <c r="P31" s="59">
        <f t="shared" si="29"/>
        <v>0.91320357706470279</v>
      </c>
      <c r="Q31" s="59">
        <f t="shared" si="29"/>
        <v>0.91540796119007728</v>
      </c>
      <c r="R31" s="59">
        <f t="shared" si="29"/>
        <v>0</v>
      </c>
      <c r="S31" s="729">
        <f t="shared" si="29"/>
        <v>1.0101726760938607</v>
      </c>
      <c r="T31" s="14">
        <f>IF(NewConst!$F$286="yes", Appliances!$AF$125, 'Monthly Profiles'!T9)</f>
        <v>2.0456097066410499</v>
      </c>
      <c r="U31" s="818">
        <f>IF(NewConst!$F$303="YES", IF(NewConst!$F$304="yes", Appliances!$AG$125, 'Monthly Profiles'!$U9), 0)</f>
        <v>0.70511546706187678</v>
      </c>
      <c r="V31" s="14">
        <f>IF(NewConst!F$247="yes", (IF(Appliances!AF$237="yes",IF(AND(Appliances!AF$238="yes",G31&lt;70),Appliances!AF$267+(Appliances!AF$267*((1/Appliances!AF$257)*(70-G31)+(G31-NewConst!F$112))/(NewConst!F$112-G31)),0),IF(Appliances!AF$238="yes",Appliances!AF$267+(Appliances!AF$267*((1/Appliances!AF$257)*(Appliances!AF$258-G31)+(G31-NewConst!F$112))/(NewConst!F$112-G31)),Appliances!AF$267)*(Appliances!AF$261/365))), 'Monthly Profiles'!V9)</f>
        <v>8.4051319859812619</v>
      </c>
      <c r="W31" s="599">
        <f>(3.5+1.17*N_br)*MAX((105-G31)/(NewConst!$F$112-G31),0)+HLOOKUP(NewConst!$F$153 &amp; ", " &amp; NewConst!$F$151 &amp; ", " &amp; NewConst!$F$156 &amp; ", " &amp; NewConst!$F$154,'Monthly Profiles'!$BG$25:$BQ$40,A31+3,FALSE )</f>
        <v>4.7383752516317772</v>
      </c>
      <c r="X31" s="599">
        <f>(14+4.67*N_br)*MAX((105-G31)/(NewConst!$F$112-G31),0)+HLOOKUP(NewConst!$F$153 &amp; ", " &amp; NewConst!$F$151 &amp; ", " &amp; NewConst!$F$156 &amp; ", " &amp; NewConst!$F$154,'Monthly Profiles'!$AU$25:$BE$39,A31+3,FALSE )</f>
        <v>18.933222653096443</v>
      </c>
      <c r="Y31" s="599">
        <f>(12.5+4.16*N_br)*MAX((105-G31)/(NewConst!$F$112-G31),0)+HLOOKUP(NewConst!$F$153 &amp; ", " &amp; NewConst!$F$151 &amp; ", " &amp; NewConst!$F$156 &amp; ", " &amp; NewConst!$F$154,'Monthly Profiles'!$BS$25:$CC$39,A31+3,FALSE )</f>
        <v>16.885108956599399</v>
      </c>
      <c r="Z31" s="818">
        <f>IF(NewConst!F$135&gt;0,(0.028*NewConst!$F$38)*MAX((105-$G31)/(NewConst!$F$112-$G31),0),0)</f>
        <v>3.7852926403905784</v>
      </c>
      <c r="AA31" s="599">
        <f t="shared" si="11"/>
        <v>51.007448553949928</v>
      </c>
      <c r="AB31" s="818">
        <f>IF(HomeType=2,IF(NewConst!F$249="YES",IF(NewConst!$F$135&gt;0,IF(NewConst!$F$303="YES",SUM(U31,V31,Z31),SUM(V31,Z31)),IF(NewConst!$F$303="YES",SUM(U31,V31),V31)),IF(NewConst!$F$135&gt;0,IF(NewConst!$F$303="YES",SUM(U31,Z31),SUM(Z31)),IF(NewConst!$F$303="YES",SUM(U31),0))),0)</f>
        <v>0</v>
      </c>
      <c r="AC31" s="604">
        <f>HLOOKUP(NewConst!$F$153 &amp; ", " &amp; NewConst!$F$151 &amp; ", " &amp; NewConst!$F$156 &amp; ", " &amp; NewConst!$F$154,'Monthly Profiles'!$AI$25:$AS$40,A31+3,FALSE )</f>
        <v>4503.0099746799915</v>
      </c>
      <c r="AD31" s="609">
        <f>IF(NewConst!$F$154="Timer control",(18135+2538*N_br+(-12265-1495*N_br)*R_ins/2)/(8.33*((120-'Monthly Profiles'!G31)*4184*0.00023886)),IF(NewConst!$F$154="Demand control",(-3648+2344*N_br+(-1328-761*N_br)*R_ins/2)/(8.33*((120-'Monthly Profiles'!G31)*4184*0.000238861)),0))</f>
        <v>0</v>
      </c>
      <c r="AE31" s="734">
        <f>IF(NewConst!$F$203=NewConst!$I$203,'Detailed Lighting'!BB14,Lighting!BC24)</f>
        <v>6.7960689257294551E-2</v>
      </c>
      <c r="AI31" s="1211">
        <f>('Monthly Profiles'!$Z$20+735*(N_br-3)-(948+158*(N_br-3))*R_ins/2)*(1+1/'Monthly Profiles'!$Z$20*(362+(63*(N_br-3)))*SIN(2*PI()*('Monthly Profiles'!$A31/12)+0.3))</f>
        <v>4503.0099746799915</v>
      </c>
      <c r="AJ31" s="460">
        <f>('Monthly Profiles'!$Z$20-1047-732*R_ins/2)*(1+1/'Monthly Profiles'!$Z$20*735*(N_br-3)+1/'Monthly Profiles'!$Z$20*(362+(63*(N_br-3)))*SIN(2*PI()*('Monthly Profiles'!$A31/12)+0.3))</f>
        <v>3395.5043501815303</v>
      </c>
      <c r="AK31" s="460">
        <f>('Monthly Profiles'!$Z$20+735*(N_br-3)-(3356+589*(N_br-3))-(90+11*(N_br-3))*R_ins/2)*(1+1/'Monthly Profiles'!$Z$20*(362+(63*(N_br-3)))*SIN(2*PI()*('Monthly Profiles'!$A31/12)+0.3))</f>
        <v>953.06835498864757</v>
      </c>
      <c r="AL31" s="460">
        <f>('Monthly Profiles'!$Z$20-1047)*(1+1/'Monthly Profiles'!$Z$20*735*(N_br-3)-1/'Monthly Profiles'!$Z$20*(3356+589*(N_br-3)+(90+11*(N_br-3))*R_ins/2))*(1+1/'Monthly Profiles'!$Z$20*(362+(63*(N_br-3)))*SIN(2*PI()*('Monthly Profiles'!$A31/12)+0.3))</f>
        <v>718.66324160525221</v>
      </c>
      <c r="AM31" s="460">
        <f>('Monthly Profiles'!$Z$20+735*(N_br-3)-(1142+378*(N_br-3))-(649+73*(N_br-3))*R_ins/2)*(1+1/'Monthly Profiles'!$Z$20*(362+(63*(N_br-3)))*SIN(2*PI()*('Monthly Profiles'!$A31/12)+0.3))</f>
        <v>3295.0143460484319</v>
      </c>
      <c r="AN31" s="463">
        <f>('Monthly Profiles'!$Z$20+735*(N_br-3)-(1142+378*(N_br-3)))*(1-1/'Monthly Profiles'!$Z$20*(3356+589*(N_br-3)+(90+11*(N_br-3))*R_ins/2))*(1+1/'Monthly Profiles'!$Z$20*(362+(63*(N_br-3)))*SIN(2*PI()*('Monthly Profiles'!$A31/12)+0.3))</f>
        <v>697.39439177581312</v>
      </c>
      <c r="AO31" s="462">
        <f>('Monthly Profiles'!$Z$20+735*(N_br-3)+(20148+2140*(N_br-3))-(11956+1355*(N_br-3))*R_ins/2)*(1+1/'Monthly Profiles'!$Z$20*(362+(63*(N_br-3)))*SIN(2*PI()*('Monthly Profiles'!$A31/12)+0.3))</f>
        <v>25815.353167034344</v>
      </c>
      <c r="AP31" s="462">
        <f>('Monthly Profiles'!$Z$20+735*(N_br-3)+(1458+1066*(N_br-3))-(1332+545*(N_br-3))*R_ins/2)*(1+1/'Monthly Profiles'!$Z$20*(362+(63*(N_br-3)))*SIN(2*PI()*('Monthly Profiles'!$A31/12)+0.3))</f>
        <v>6045.2670907437523</v>
      </c>
      <c r="AQ31" s="462">
        <f>('Monthly Profiles'!$Z$20-1047)*(1+1/'Monthly Profiles'!$Z$20*735*(N_br-3)+1/'Monthly Profiles'!$Z$20*(20148+2140*(N_br-3))-1/'Monthly Profiles'!$Z$20*((11956+1355*(N_br-3))*R_ins/2))*(1+1/'Monthly Profiles'!$Z$20*(362+(63*(N_br-3)))*SIN(2*PI()*('Monthly Profiles'!$A31/12)+0.3))</f>
        <v>19466.122543147816</v>
      </c>
      <c r="AR31" s="462">
        <f>('Monthly Profiles'!$Z$20-1047)*(1+1/'Monthly Profiles'!$Z$20*735*(N_br-3)+1/'Monthly Profiles'!$Z$20*(1458+1066*(N_br-3))-1/'Monthly Profiles'!$Z$20*((1332+545*(N_br-3))*R_ins/2))*(1+1/'Monthly Profiles'!$Z$20*(362+(63*(N_br-3)))*SIN(2*PI()*('Monthly Profiles'!$A31/12)+0.3))</f>
        <v>4558.4466434783753</v>
      </c>
      <c r="AS31" s="462">
        <f>'Monthly Profiles'!AC9</f>
        <v>4503.0099746799915</v>
      </c>
      <c r="AT31" s="1219"/>
      <c r="AU31" s="467">
        <f t="shared" si="12"/>
        <v>0</v>
      </c>
      <c r="AV31" s="467">
        <f t="shared" si="13"/>
        <v>-0.85</v>
      </c>
      <c r="AW31" s="468">
        <f>(-1.14-0.36*(N_br)+(-0.34-0.08*(N_br))*R_ins/2)*(1+0.11*SIN(2*PI()*('Monthly Profiles'!$A31/12)+0.3))</f>
        <v>-2.385954795074182</v>
      </c>
      <c r="AX31" s="468">
        <f>-0.85+('Monthly Profiles'!$X$18-0.85)/'Monthly Profiles'!$X$18*((-1.14-0.36*(N_br)+(-0.34-0.08*(N_br))*R_ins/2)*(1+0.11*SIN(2*PI()*('Monthly Profiles'!$A31/12)+0.3)))</f>
        <v>-3.1401870425988929</v>
      </c>
      <c r="AY31" s="468">
        <f t="shared" si="14"/>
        <v>-1.21</v>
      </c>
      <c r="AZ31" s="466">
        <f>-0.52-0.23*N_br+('Monthly Profiles'!$X$18-0.52-0.23*N_br)/'Monthly Profiles'!$X$18*((-1.14-0.36*(N_br)+(-0.34-0.08*(N_br))*R_ins/2)*(1+0.11*SIN(2*PI()*('Monthly Profiles'!$A31/12)+0.3)))</f>
        <v>-3.4596265827270059</v>
      </c>
      <c r="BA31" s="469">
        <f t="shared" si="15"/>
        <v>-1.4</v>
      </c>
      <c r="BB31" s="469">
        <f t="shared" si="16"/>
        <v>-1.56</v>
      </c>
      <c r="BC31" s="469">
        <f>-0.85+('Monthly Profiles'!$X$18-0.85)/'Monthly Profiles'!$X$18*((-2.15+0.25*(N_br)+(-0.16-0.08*(N_br))*R_ins/2))</f>
        <v>-2.1938066246090648</v>
      </c>
      <c r="BD31" s="469">
        <f>-0.85+('Monthly Profiles'!$X$18-0.85)/'Monthly Profiles'!$X$18*((-2.61+0.35*(N_br)+(0.05-0.13*(N_br))*R_ins/2))</f>
        <v>-2.347384524564387</v>
      </c>
      <c r="BE31" s="467">
        <f>0</f>
        <v>0</v>
      </c>
      <c r="BF31" s="1219"/>
      <c r="BG31" s="467">
        <f t="shared" si="17"/>
        <v>0</v>
      </c>
      <c r="BH31" s="467">
        <f t="shared" si="18"/>
        <v>-0.12</v>
      </c>
      <c r="BI31" s="468">
        <f>(-0.28-0.11*(N_br)+(0.06-0.04*(N_br))*R_ins/2)*(1+0.13*SIN(2*PI()*('Monthly Profiles'!$A31/12)+0.3))</f>
        <v>-0.66389113533735744</v>
      </c>
      <c r="BJ31" s="468">
        <f>-0.12+('Monthly Profiles'!$W$18-0.12)/'Monthly Profiles'!$W$18*((-0.28-0.11*(N_br)+(0.06-0.04*(N_br))*R_ins/2)*(1+0.13*SIN(2*PI()*('Monthly Profiles'!$A31/12)+0.3)))</f>
        <v>-0.76885932231347276</v>
      </c>
      <c r="BK31" s="468">
        <f t="shared" si="19"/>
        <v>-0.21000000000000002</v>
      </c>
      <c r="BL31" s="466">
        <f>-0.06-0.05*N_br+('Monthly Profiles'!$W$18-0.06-0.05*N_br)/'Monthly Profiles'!$W$18*((-0.28-0.11*(N_br)+(0.06-0.04*(N_br))*R_ins/2)*(1+0.13*SIN(2*PI()*('Monthly Profiles'!$A31/12)+0.3)))</f>
        <v>-0.84758546254555922</v>
      </c>
      <c r="BM31" s="469">
        <f t="shared" si="20"/>
        <v>-0.15000000000000002</v>
      </c>
      <c r="BN31" s="469">
        <f t="shared" si="21"/>
        <v>-0.23</v>
      </c>
      <c r="BO31" s="469">
        <f>-0.12+('Monthly Profiles'!$W$18-0.12)/'Monthly Profiles'!$W$18*((-0.27+0.04*(N_br)+(-0.01-0.03*(N_br))*R_ins/2))</f>
        <v>-0.26660370227351066</v>
      </c>
      <c r="BP31" s="469">
        <f>-0.12+('Monthly Profiles'!$W$18-0.12)/'Monthly Profiles'!$W$18*((-0.26+0.01*(N_br)+(-0.03-0*(N_br))*R_ins/2))</f>
        <v>-0.34479234348604965</v>
      </c>
      <c r="BQ31" s="467">
        <f>0</f>
        <v>0</v>
      </c>
      <c r="BR31" s="1219"/>
      <c r="BS31" s="467">
        <f t="shared" si="22"/>
        <v>0</v>
      </c>
      <c r="BT31" s="467">
        <f t="shared" si="23"/>
        <v>-1.69</v>
      </c>
      <c r="BU31" s="468">
        <f>(-0.89-0.32*(N_br)+(-1.86+0.31*(N_br))*R_ins/2)*(1+0.16*SIN(2*PI()*('Monthly Profiles'!$A31/12)+0.3))</f>
        <v>-2.0511573273626449</v>
      </c>
      <c r="BV31" s="468">
        <f>-1.69+('Monthly Profiles'!$Y$18-1.69)/'Monthly Profiles'!$Y$18*((-0.89-0.32*(N_br)+(-1.86+0.31*(N_br))*R_ins/2)*(1+0.16*SIN(2*PI()*('Monthly Profiles'!$A31/12)+0.3)))</f>
        <v>-3.5576115022381316</v>
      </c>
      <c r="BW31" s="468">
        <f t="shared" si="24"/>
        <v>-1.9500000000000002</v>
      </c>
      <c r="BX31" s="466">
        <f>0.21-0.72*N_br+('Monthly Profiles'!$Y$18+0.21-0.72*N_br)/'Monthly Profiles'!$Y$18*((-0.89-0.32*(N_br)+(-1.86+0.31*(N_br))*R_ins/2)*(1+0.16*SIN(2*PI()*('Monthly Profiles'!$A31/12)+0.3)))</f>
        <v>-3.7893736829882068</v>
      </c>
      <c r="BY31" s="469">
        <f t="shared" si="25"/>
        <v>-4.8599999999999994</v>
      </c>
      <c r="BZ31" s="469">
        <f t="shared" si="26"/>
        <v>-4.07</v>
      </c>
      <c r="CA31" s="469">
        <f>-1.69+('Monthly Profiles'!$Y$18-1.69)/'Monthly Profiles'!$Y$18*((-2.01-0.95*(N_br)+(-0.36-0.13*(N_br))*R_ins/2))</f>
        <v>-6.1151076111006546</v>
      </c>
      <c r="CB31" s="469">
        <f>-1.69+('Monthly Profiles'!$Y$18-1.69)/'Monthly Profiles'!$Y$18*((-1.34-0.91*(N_br)+(-0.64-0.07*(N_br))*R_ins/2))</f>
        <v>-5.3957999953044595</v>
      </c>
      <c r="CC31" s="1210">
        <f>0</f>
        <v>0</v>
      </c>
    </row>
    <row r="32" spans="1:81">
      <c r="A32" s="15">
        <v>5</v>
      </c>
      <c r="B32" s="32" t="s">
        <v>1005</v>
      </c>
      <c r="C32" s="611">
        <f>'Monthly Profiles'!C10</f>
        <v>1</v>
      </c>
      <c r="D32" s="68">
        <f>'Monthly Profiles'!D10</f>
        <v>1</v>
      </c>
      <c r="E32" s="42">
        <f>'Monthly Profiles'!E10</f>
        <v>0.85</v>
      </c>
      <c r="F32" s="42">
        <f>DHW!N57</f>
        <v>0.76582056075532934</v>
      </c>
      <c r="G32" s="90">
        <f>'Monthly Profiles'!G10</f>
        <v>57.782371989067066</v>
      </c>
      <c r="H32" s="58">
        <f t="shared" ref="H32:S32" si="30">H10</f>
        <v>1.0840990390685279</v>
      </c>
      <c r="I32" s="59">
        <f t="shared" si="30"/>
        <v>1.0840990390685279</v>
      </c>
      <c r="J32" s="59">
        <f t="shared" si="30"/>
        <v>1.0840990390685279</v>
      </c>
      <c r="K32" s="59">
        <f t="shared" si="30"/>
        <v>0.99063093756142329</v>
      </c>
      <c r="L32" s="59">
        <f t="shared" si="30"/>
        <v>0.99063093756142329</v>
      </c>
      <c r="M32" s="59">
        <f t="shared" si="30"/>
        <v>1.0223767321157518</v>
      </c>
      <c r="N32" s="59">
        <f t="shared" si="30"/>
        <v>1.0100200400801602</v>
      </c>
      <c r="O32" s="59">
        <f t="shared" si="30"/>
        <v>0.96110510342902988</v>
      </c>
      <c r="P32" s="59">
        <f t="shared" si="30"/>
        <v>0.90731194108364022</v>
      </c>
      <c r="Q32" s="59">
        <f t="shared" si="30"/>
        <v>0.92131381900420672</v>
      </c>
      <c r="R32" s="59">
        <f t="shared" si="30"/>
        <v>1.5</v>
      </c>
      <c r="S32" s="729">
        <f t="shared" si="30"/>
        <v>1.012920911124042</v>
      </c>
      <c r="T32" s="14">
        <f>IF(NewConst!$F$286="yes", Appliances!$AF$125, 'Monthly Profiles'!T10)</f>
        <v>2.0456097066410499</v>
      </c>
      <c r="U32" s="818">
        <f>IF(NewConst!$F$303="YES", IF(NewConst!$F$304="yes", Appliances!$AG$125, 'Monthly Profiles'!$U10), 0)</f>
        <v>0.70511546706187678</v>
      </c>
      <c r="V32" s="14">
        <f>IF(NewConst!F$247="yes", (IF(Appliances!AF$237="yes",IF(AND(Appliances!AF$238="yes",G32&lt;70),Appliances!AF$267+(Appliances!AF$267*((1/Appliances!AF$257)*(70-G32)+(G32-NewConst!F$112))/(NewConst!F$112-G32)),0),IF(Appliances!AF$238="yes",Appliances!AF$267+(Appliances!AF$267*((1/Appliances!AF$257)*(Appliances!AF$258-G32)+(G32-NewConst!F$112))/(NewConst!F$112-G32)),Appliances!AF$267)*(Appliances!AF$261/365))), 'Monthly Profiles'!V10)</f>
        <v>7.8624484605205236</v>
      </c>
      <c r="W32" s="599">
        <f>(3.5+1.17*N_br)*MAX((105-G32)/(NewConst!$F$112-G32),0)+HLOOKUP(NewConst!$F$153 &amp; ", " &amp; NewConst!$F$151 &amp; ", " &amp; NewConst!$F$156 &amp; ", " &amp; NewConst!$F$154,'Monthly Profiles'!$BG$25:$BQ$40,A32+3,FALSE )</f>
        <v>4.583307171297994</v>
      </c>
      <c r="X32" s="599">
        <f>(14+4.67*N_br)*MAX((105-G32)/(NewConst!$F$112-G32),0)+HLOOKUP(NewConst!$F$153 &amp; ", " &amp; NewConst!$F$151 &amp; ", " &amp; NewConst!$F$156 &amp; ", " &amp; NewConst!$F$154,'Monthly Profiles'!$AU$25:$BE$39,A32+3,FALSE )</f>
        <v>18.313613961206393</v>
      </c>
      <c r="Y32" s="599">
        <f>(12.5+4.16*N_br)*MAX((105-G32)/(NewConst!$F$112-G32),0)+HLOOKUP(NewConst!$F$153 &amp; ", " &amp; NewConst!$F$151 &amp; ", " &amp; NewConst!$F$156 &amp; ", " &amp; NewConst!$F$154,'Monthly Profiles'!$BS$25:$CC$39,A32+3,FALSE )</f>
        <v>16.332526838662467</v>
      </c>
      <c r="Z32" s="818">
        <f>IF(NewConst!F$135&gt;0,(0.028*NewConst!$F$38)*MAX((105-$G32)/(NewConst!$F$112-$G32),0),0)</f>
        <v>3.6614151439755735</v>
      </c>
      <c r="AA32" s="599">
        <f t="shared" si="11"/>
        <v>49.137506138328426</v>
      </c>
      <c r="AB32" s="818">
        <f>IF(HomeType=2,IF(NewConst!F$249="YES",IF(NewConst!$F$135&gt;0,IF(NewConst!$F$303="YES",SUM(U32,V32,Z32),SUM(V32,Z32)),IF(NewConst!$F$303="YES",SUM(U32,V32),V32)),IF(NewConst!$F$135&gt;0,IF(NewConst!$F$303="YES",SUM(U32,Z32),SUM(Z32)),IF(NewConst!$F$303="YES",SUM(U32),0))),0)</f>
        <v>0</v>
      </c>
      <c r="AC32" s="604">
        <f>HLOOKUP(NewConst!$F$153 &amp; ", " &amp; NewConst!$F$151 &amp; ", " &amp; NewConst!$F$156 &amp; ", " &amp; NewConst!$F$154,'Monthly Profiles'!$AI$25:$AS$40,A32+3,FALSE )</f>
        <v>4337.2699662510095</v>
      </c>
      <c r="AD32" s="609">
        <f>IF(NewConst!$F$154="Timer control",(18135+2538*N_br+(-12265-1495*N_br)*R_ins/2)/(8.33*((120-'Monthly Profiles'!G32)*4184*0.00023886)),IF(NewConst!$F$154="Demand control",(-3648+2344*N_br+(-1328-761*N_br)*R_ins/2)/(8.33*((120-'Monthly Profiles'!G32)*4184*0.000238861)),0))</f>
        <v>0</v>
      </c>
      <c r="AE32" s="734">
        <f>IF(NewConst!$F$203=NewConst!$I$203,'Detailed Lighting'!BB15,Lighting!BC25)</f>
        <v>6.1138912853048587E-2</v>
      </c>
      <c r="AI32" s="1211">
        <f>('Monthly Profiles'!$Z$20+735*(N_br-3)-(948+158*(N_br-3))*R_ins/2)*(1+1/'Monthly Profiles'!$Z$20*(362+(63*(N_br-3)))*SIN(2*PI()*('Monthly Profiles'!$A32/12)+0.3))</f>
        <v>4337.2699662510095</v>
      </c>
      <c r="AJ32" s="460">
        <f>('Monthly Profiles'!$Z$20-1047-732*R_ins/2)*(1+1/'Monthly Profiles'!$Z$20*735*(N_br-3)+1/'Monthly Profiles'!$Z$20*(362+(63*(N_br-3)))*SIN(2*PI()*('Monthly Profiles'!$A32/12)+0.3))</f>
        <v>3270.5277405839183</v>
      </c>
      <c r="AK32" s="460">
        <f>('Monthly Profiles'!$Z$20+735*(N_br-3)-(3356+589*(N_br-3))-(90+11*(N_br-3))*R_ins/2)*(1+1/'Monthly Profiles'!$Z$20*(362+(63*(N_br-3)))*SIN(2*PI()*('Monthly Profiles'!$A32/12)+0.3))</f>
        <v>917.98925055019015</v>
      </c>
      <c r="AL32" s="460">
        <f>('Monthly Profiles'!$Z$20-1047)*(1+1/'Monthly Profiles'!$Z$20*735*(N_br-3)-1/'Monthly Profiles'!$Z$20*(3356+589*(N_br-3)+(90+11*(N_br-3))*R_ins/2))*(1+1/'Monthly Profiles'!$Z$20*(362+(63*(N_br-3)))*SIN(2*PI()*('Monthly Profiles'!$A32/12)+0.3))</f>
        <v>692.21176750437166</v>
      </c>
      <c r="AM32" s="460">
        <f>('Monthly Profiles'!$Z$20+735*(N_br-3)-(1142+378*(N_br-3))-(649+73*(N_br-3))*R_ins/2)*(1+1/'Monthly Profiles'!$Z$20*(362+(63*(N_br-3)))*SIN(2*PI()*('Monthly Profiles'!$A32/12)+0.3))</f>
        <v>3173.7364211585373</v>
      </c>
      <c r="AN32" s="463">
        <f>('Monthly Profiles'!$Z$20+735*(N_br-3)-(1142+378*(N_br-3)))*(1-1/'Monthly Profiles'!$Z$20*(3356+589*(N_br-3)+(90+11*(N_br-3))*R_ins/2))*(1+1/'Monthly Profiles'!$Z$20*(362+(63*(N_br-3)))*SIN(2*PI()*('Monthly Profiles'!$A32/12)+0.3))</f>
        <v>671.72574946296493</v>
      </c>
      <c r="AO32" s="462">
        <f>('Monthly Profiles'!$Z$20+735*(N_br-3)+(20148+2140*(N_br-3))-(11956+1355*(N_br-3))*R_ins/2)*(1+1/'Monthly Profiles'!$Z$20*(362+(63*(N_br-3)))*SIN(2*PI()*('Monthly Profiles'!$A32/12)+0.3))</f>
        <v>24865.18053238334</v>
      </c>
      <c r="AP32" s="462">
        <f>('Monthly Profiles'!$Z$20+735*(N_br-3)+(1458+1066*(N_br-3))-(1332+545*(N_br-3))*R_ins/2)*(1+1/'Monthly Profiles'!$Z$20*(362+(63*(N_br-3)))*SIN(2*PI()*('Monthly Profiles'!$A32/12)+0.3))</f>
        <v>5822.762005432116</v>
      </c>
      <c r="AQ32" s="462">
        <f>('Monthly Profiles'!$Z$20-1047)*(1+1/'Monthly Profiles'!$Z$20*735*(N_br-3)+1/'Monthly Profiles'!$Z$20*(20148+2140*(N_br-3))-1/'Monthly Profiles'!$Z$20*((11956+1355*(N_br-3))*R_ins/2))*(1+1/'Monthly Profiles'!$Z$20*(362+(63*(N_br-3)))*SIN(2*PI()*('Monthly Profiles'!$A32/12)+0.3))</f>
        <v>18749.642825687228</v>
      </c>
      <c r="AR32" s="462">
        <f>('Monthly Profiles'!$Z$20-1047)*(1+1/'Monthly Profiles'!$Z$20*735*(N_br-3)+1/'Monthly Profiles'!$Z$20*(1458+1066*(N_br-3))-1/'Monthly Profiles'!$Z$20*((1332+545*(N_br-3))*R_ins/2))*(1+1/'Monthly Profiles'!$Z$20*(362+(63*(N_br-3)))*SIN(2*PI()*('Monthly Profiles'!$A32/12)+0.3))</f>
        <v>4390.6662056464866</v>
      </c>
      <c r="AS32" s="462">
        <f>'Monthly Profiles'!AC10</f>
        <v>4337.2699662510095</v>
      </c>
      <c r="AT32" s="1219"/>
      <c r="AU32" s="467">
        <f t="shared" si="12"/>
        <v>0</v>
      </c>
      <c r="AV32" s="467">
        <f t="shared" si="13"/>
        <v>-0.85</v>
      </c>
      <c r="AW32" s="468">
        <f>(-1.14-0.36*(N_br)+(-0.34-0.08*(N_br))*R_ins/2)*(1+0.11*SIN(2*PI()*('Monthly Profiles'!$A32/12)+0.3))</f>
        <v>-2.2741489661836911</v>
      </c>
      <c r="AX32" s="468">
        <f>-0.85+('Monthly Profiles'!$X$18-0.85)/'Monthly Profiles'!$X$18*((-1.14-0.36*(N_br)+(-0.34-0.08*(N_br))*R_ins/2)*(1+0.11*SIN(2*PI()*('Monthly Profiles'!$A32/12)+0.3)))</f>
        <v>-3.032868890075358</v>
      </c>
      <c r="AY32" s="468">
        <f t="shared" si="14"/>
        <v>-1.21</v>
      </c>
      <c r="AZ32" s="466">
        <f>-0.52-0.23*N_br+('Monthly Profiles'!$X$18-0.52-0.23*N_br)/'Monthly Profiles'!$X$18*((-1.14-0.36*(N_br)+(-0.34-0.08*(N_br))*R_ins/2)*(1+0.11*SIN(2*PI()*('Monthly Profiles'!$A32/12)+0.3)))</f>
        <v>-3.3542090931353576</v>
      </c>
      <c r="BA32" s="469">
        <f t="shared" si="15"/>
        <v>-1.4</v>
      </c>
      <c r="BB32" s="469">
        <f t="shared" si="16"/>
        <v>-1.56</v>
      </c>
      <c r="BC32" s="469">
        <f>-0.85+('Monthly Profiles'!$X$18-0.85)/'Monthly Profiles'!$X$18*((-2.15+0.25*(N_br)+(-0.16-0.08*(N_br))*R_ins/2))</f>
        <v>-2.1938066246090648</v>
      </c>
      <c r="BD32" s="469">
        <f>-0.85+('Monthly Profiles'!$X$18-0.85)/'Monthly Profiles'!$X$18*((-2.61+0.35*(N_br)+(0.05-0.13*(N_br))*R_ins/2))</f>
        <v>-2.347384524564387</v>
      </c>
      <c r="BE32" s="467">
        <f>0</f>
        <v>0</v>
      </c>
      <c r="BF32" s="1219"/>
      <c r="BG32" s="467">
        <f t="shared" si="17"/>
        <v>0</v>
      </c>
      <c r="BH32" s="467">
        <f t="shared" si="18"/>
        <v>-0.12</v>
      </c>
      <c r="BI32" s="468">
        <f>(-0.28-0.11*(N_br)+(0.06-0.04*(N_br))*R_ins/2)*(1+0.13*SIN(2*PI()*('Monthly Profiles'!$A32/12)+0.3))</f>
        <v>-0.62758400089421285</v>
      </c>
      <c r="BJ32" s="468">
        <f>-0.12+('Monthly Profiles'!$W$18-0.12)/'Monthly Profiles'!$W$18*((-0.28-0.11*(N_br)+(0.06-0.04*(N_br))*R_ins/2)*(1+0.13*SIN(2*PI()*('Monthly Profiles'!$A32/12)+0.3)))</f>
        <v>-0.73337425345809204</v>
      </c>
      <c r="BK32" s="468">
        <f t="shared" si="19"/>
        <v>-0.21000000000000002</v>
      </c>
      <c r="BL32" s="466">
        <f>-0.06-0.05*N_br+('Monthly Profiles'!$W$18-0.06-0.05*N_br)/'Monthly Profiles'!$W$18*((-0.28-0.11*(N_br)+(0.06-0.04*(N_br))*R_ins/2)*(1+0.13*SIN(2*PI()*('Monthly Profiles'!$A32/12)+0.3)))</f>
        <v>-0.81271694288100149</v>
      </c>
      <c r="BM32" s="469">
        <f t="shared" si="20"/>
        <v>-0.15000000000000002</v>
      </c>
      <c r="BN32" s="469">
        <f t="shared" si="21"/>
        <v>-0.23</v>
      </c>
      <c r="BO32" s="469">
        <f>-0.12+('Monthly Profiles'!$W$18-0.12)/'Monthly Profiles'!$W$18*((-0.27+0.04*(N_br)+(-0.01-0.03*(N_br))*R_ins/2))</f>
        <v>-0.26660370227351066</v>
      </c>
      <c r="BP32" s="469">
        <f>-0.12+('Monthly Profiles'!$W$18-0.12)/'Monthly Profiles'!$W$18*((-0.26+0.01*(N_br)+(-0.03-0*(N_br))*R_ins/2))</f>
        <v>-0.34479234348604965</v>
      </c>
      <c r="BQ32" s="467">
        <f>0</f>
        <v>0</v>
      </c>
      <c r="BR32" s="1219"/>
      <c r="BS32" s="467">
        <f t="shared" si="22"/>
        <v>0</v>
      </c>
      <c r="BT32" s="467">
        <f t="shared" si="23"/>
        <v>-1.69</v>
      </c>
      <c r="BU32" s="468">
        <f>(-0.89-0.32*(N_br)+(-1.86+0.31*(N_br))*R_ins/2)*(1+0.16*SIN(2*PI()*('Monthly Profiles'!$A32/12)+0.3))</f>
        <v>-1.9156351105256872</v>
      </c>
      <c r="BV32" s="468">
        <f>-1.69+('Monthly Profiles'!$Y$18-1.69)/'Monthly Profiles'!$Y$18*((-0.89-0.32*(N_br)+(-1.86+0.31*(N_br))*R_ins/2)*(1+0.16*SIN(2*PI()*('Monthly Profiles'!$A32/12)+0.3)))</f>
        <v>-3.4342163596047044</v>
      </c>
      <c r="BW32" s="468">
        <f t="shared" si="24"/>
        <v>-1.9500000000000002</v>
      </c>
      <c r="BX32" s="466">
        <f>0.21-0.72*N_br+('Monthly Profiles'!$Y$18+0.21-0.72*N_br)/'Monthly Profiles'!$Y$18*((-0.89-0.32*(N_br)+(-1.86+0.31*(N_br))*R_ins/2)*(1+0.16*SIN(2*PI()*('Monthly Profiles'!$A32/12)+0.3)))</f>
        <v>-3.6678442440783998</v>
      </c>
      <c r="BY32" s="469">
        <f t="shared" si="25"/>
        <v>-4.8599999999999994</v>
      </c>
      <c r="BZ32" s="469">
        <f t="shared" si="26"/>
        <v>-4.07</v>
      </c>
      <c r="CA32" s="469">
        <f>-1.69+('Monthly Profiles'!$Y$18-1.69)/'Monthly Profiles'!$Y$18*((-2.01-0.95*(N_br)+(-0.36-0.13*(N_br))*R_ins/2))</f>
        <v>-6.1151076111006546</v>
      </c>
      <c r="CB32" s="469">
        <f>-1.69+('Monthly Profiles'!$Y$18-1.69)/'Monthly Profiles'!$Y$18*((-1.34-0.91*(N_br)+(-0.64-0.07*(N_br))*R_ins/2))</f>
        <v>-5.3957999953044595</v>
      </c>
      <c r="CC32" s="1210">
        <f>0</f>
        <v>0</v>
      </c>
    </row>
    <row r="33" spans="1:81">
      <c r="A33" s="15">
        <v>6</v>
      </c>
      <c r="B33" s="32" t="s">
        <v>1006</v>
      </c>
      <c r="C33" s="611">
        <f>'Monthly Profiles'!C11</f>
        <v>1</v>
      </c>
      <c r="D33" s="68">
        <f>'Monthly Profiles'!D11</f>
        <v>1</v>
      </c>
      <c r="E33" s="42">
        <f>'Monthly Profiles'!E11</f>
        <v>0.85</v>
      </c>
      <c r="F33" s="42">
        <f>DHW!N58</f>
        <v>0.7673936852837967</v>
      </c>
      <c r="G33" s="90">
        <f>'Monthly Profiles'!G11</f>
        <v>62.654932805562403</v>
      </c>
      <c r="H33" s="58">
        <f t="shared" ref="H33:S33" si="31">H11</f>
        <v>1.0958827242757947</v>
      </c>
      <c r="I33" s="59">
        <f t="shared" si="31"/>
        <v>1.0958827242757947</v>
      </c>
      <c r="J33" s="59">
        <f t="shared" si="31"/>
        <v>1.0958827242757947</v>
      </c>
      <c r="K33" s="59">
        <f t="shared" si="31"/>
        <v>0.88960230623075431</v>
      </c>
      <c r="L33" s="59">
        <f t="shared" si="31"/>
        <v>0.88960230623075431</v>
      </c>
      <c r="M33" s="59">
        <f t="shared" si="31"/>
        <v>0.99574009694951759</v>
      </c>
      <c r="N33" s="59">
        <f t="shared" si="31"/>
        <v>0.87378477886004557</v>
      </c>
      <c r="O33" s="59">
        <f t="shared" si="31"/>
        <v>0.99314194020999746</v>
      </c>
      <c r="P33" s="59">
        <f t="shared" si="31"/>
        <v>0.91320357706470279</v>
      </c>
      <c r="Q33" s="59">
        <f t="shared" si="31"/>
        <v>1.1595167508407644</v>
      </c>
      <c r="R33" s="59">
        <f t="shared" si="31"/>
        <v>3</v>
      </c>
      <c r="S33" s="729">
        <f t="shared" si="31"/>
        <v>0.88846512475725092</v>
      </c>
      <c r="T33" s="14">
        <f>IF(NewConst!$F$286="yes", Appliances!$AF$125, 'Monthly Profiles'!T11)</f>
        <v>2.0456097066410499</v>
      </c>
      <c r="U33" s="818">
        <f>IF(NewConst!$F$303="YES", IF(NewConst!$F$304="yes", Appliances!$AG$125, 'Monthly Profiles'!$U11), 0)</f>
        <v>0.70511546706187678</v>
      </c>
      <c r="V33" s="14">
        <f>IF(NewConst!F$247="yes", (IF(Appliances!AF$237="yes",IF(AND(Appliances!AF$238="yes",G33&lt;70),Appliances!AF$267+(Appliances!AF$267*((1/Appliances!AF$257)*(70-G33)+(G33-NewConst!F$112))/(NewConst!F$112-G33)),0),IF(Appliances!AF$238="yes",Appliances!AF$267+(Appliances!AF$267*((1/Appliances!AF$257)*(Appliances!AF$258-G33)+(G33-NewConst!F$112))/(NewConst!F$112-G33)),Appliances!AF$267)*(Appliances!AF$261/365))), 'Monthly Profiles'!V11)</f>
        <v>7.2479928533820068</v>
      </c>
      <c r="W33" s="599">
        <f>(3.5+1.17*N_br)*MAX((105-G33)/(NewConst!$F$112-G33),0)+HLOOKUP(NewConst!$F$153 &amp; ", " &amp; NewConst!$F$151 &amp; ", " &amp; NewConst!$F$156 &amp; ", " &amp; NewConst!$F$154,'Monthly Profiles'!$BG$25:$BQ$40,A33+3,FALSE )</f>
        <v>4.407730712866897</v>
      </c>
      <c r="X33" s="599">
        <f>(14+4.67*N_br)*MAX((105-G33)/(NewConst!$F$112-G33),0)+HLOOKUP(NewConst!$F$153 &amp; ", " &amp; NewConst!$F$151 &amp; ", " &amp; NewConst!$F$156 &amp; ", " &amp; NewConst!$F$154,'Monthly Profiles'!$AU$25:$BE$39,A33+3,FALSE )</f>
        <v>17.61205952459369</v>
      </c>
      <c r="Y33" s="599">
        <f>(12.5+4.16*N_br)*MAX((105-G33)/(NewConst!$F$112-G33),0)+HLOOKUP(NewConst!$F$153 &amp; ", " &amp; NewConst!$F$151 &amp; ", " &amp; NewConst!$F$156 &amp; ", " &amp; NewConst!$F$154,'Monthly Profiles'!$BS$25:$CC$39,A33+3,FALSE )</f>
        <v>15.706863510330255</v>
      </c>
      <c r="Z33" s="818">
        <f>IF(NewConst!F$135&gt;0,(0.028*NewConst!$F$38)*MAX((105-$G33)/(NewConst!$F$112-$G33),0),0)</f>
        <v>3.5211543497938123</v>
      </c>
      <c r="AA33" s="599">
        <f t="shared" si="11"/>
        <v>47.020256307813895</v>
      </c>
      <c r="AB33" s="818">
        <f>IF(HomeType=2,IF(NewConst!F$249="YES",IF(NewConst!$F$135&gt;0,IF(NewConst!$F$303="YES",SUM(U33,V33,Z33),SUM(V33,Z33)),IF(NewConst!$F$303="YES",SUM(U33,V33),V33)),IF(NewConst!$F$135&gt;0,IF(NewConst!$F$303="YES",SUM(U33,Z33),SUM(Z33)),IF(NewConst!$F$303="YES",SUM(U33),0))),0)</f>
        <v>0</v>
      </c>
      <c r="AC33" s="604">
        <f>HLOOKUP(NewConst!$F$153 &amp; ", " &amp; NewConst!$F$151 &amp; ", " &amp; NewConst!$F$156 &amp; ", " &amp; NewConst!$F$154,'Monthly Profiles'!$AI$25:$AS$40,A33+3,FALSE )</f>
        <v>4150.0216851885953</v>
      </c>
      <c r="AD33" s="609">
        <f>IF(NewConst!$F$154="Timer control",(18135+2538*N_br+(-12265-1495*N_br)*R_ins/2)/(8.33*((120-'Monthly Profiles'!G33)*4184*0.00023886)),IF(NewConst!$F$154="Demand control",(-3648+2344*N_br+(-1328-761*N_br)*R_ins/2)/(8.33*((120-'Monthly Profiles'!G33)*4184*0.000238861)),0))</f>
        <v>0</v>
      </c>
      <c r="AE33" s="734">
        <f>IF(NewConst!$F$203=NewConst!$I$203,'Detailed Lighting'!BB16,Lighting!BC26)</f>
        <v>5.5334985704423606E-2</v>
      </c>
      <c r="AI33" s="1211">
        <f>('Monthly Profiles'!$Z$20+735*(N_br-3)-(948+158*(N_br-3))*R_ins/2)*(1+1/'Monthly Profiles'!$Z$20*(362+(63*(N_br-3)))*SIN(2*PI()*('Monthly Profiles'!$A33/12)+0.3))</f>
        <v>4150.0216851885953</v>
      </c>
      <c r="AJ33" s="460">
        <f>('Monthly Profiles'!$Z$20-1047-732*R_ins/2)*(1+1/'Monthly Profiles'!$Z$20*735*(N_br-3)+1/'Monthly Profiles'!$Z$20*(362+(63*(N_br-3)))*SIN(2*PI()*('Monthly Profiles'!$A33/12)+0.3))</f>
        <v>3129.3327717771649</v>
      </c>
      <c r="AK33" s="460">
        <f>('Monthly Profiles'!$Z$20+735*(N_br-3)-(3356+589*(N_br-3))-(90+11*(N_br-3))*R_ins/2)*(1+1/'Monthly Profiles'!$Z$20*(362+(63*(N_br-3)))*SIN(2*PI()*('Monthly Profiles'!$A33/12)+0.3))</f>
        <v>878.35789014679926</v>
      </c>
      <c r="AL33" s="460">
        <f>('Monthly Profiles'!$Z$20-1047)*(1+1/'Monthly Profiles'!$Z$20*735*(N_br-3)-1/'Monthly Profiles'!$Z$20*(3356+589*(N_br-3)+(90+11*(N_br-3))*R_ins/2))*(1+1/'Monthly Profiles'!$Z$20*(362+(63*(N_br-3)))*SIN(2*PI()*('Monthly Profiles'!$A33/12)+0.3))</f>
        <v>662.32765500850962</v>
      </c>
      <c r="AM33" s="460">
        <f>('Monthly Profiles'!$Z$20+735*(N_br-3)-(1142+378*(N_br-3))-(649+73*(N_br-3))*R_ins/2)*(1+1/'Monthly Profiles'!$Z$20*(362+(63*(N_br-3)))*SIN(2*PI()*('Monthly Profiles'!$A33/12)+0.3))</f>
        <v>3036.7201196529186</v>
      </c>
      <c r="AN33" s="463">
        <f>('Monthly Profiles'!$Z$20+735*(N_br-3)-(1142+378*(N_br-3)))*(1-1/'Monthly Profiles'!$Z$20*(3356+589*(N_br-3)+(90+11*(N_br-3))*R_ins/2))*(1+1/'Monthly Profiles'!$Z$20*(362+(63*(N_br-3)))*SIN(2*PI()*('Monthly Profiles'!$A33/12)+0.3))</f>
        <v>642.72605774190254</v>
      </c>
      <c r="AO33" s="462">
        <f>('Monthly Profiles'!$Z$20+735*(N_br-3)+(20148+2140*(N_br-3))-(11956+1355*(N_br-3))*R_ins/2)*(1+1/'Monthly Profiles'!$Z$20*(362+(63*(N_br-3)))*SIN(2*PI()*('Monthly Profiles'!$A33/12)+0.3))</f>
        <v>23791.702895707698</v>
      </c>
      <c r="AP33" s="462">
        <f>('Monthly Profiles'!$Z$20+735*(N_br-3)+(1458+1066*(N_br-3))-(1332+545*(N_br-3))*R_ins/2)*(1+1/'Monthly Profiles'!$Z$20*(362+(63*(N_br-3)))*SIN(2*PI()*('Monthly Profiles'!$A33/12)+0.3))</f>
        <v>5571.3821777901858</v>
      </c>
      <c r="AQ33" s="462">
        <f>('Monthly Profiles'!$Z$20-1047)*(1+1/'Monthly Profiles'!$Z$20*735*(N_br-3)+1/'Monthly Profiles'!$Z$20*(20148+2140*(N_br-3))-1/'Monthly Profiles'!$Z$20*((11956+1355*(N_br-3))*R_ins/2))*(1+1/'Monthly Profiles'!$Z$20*(362+(63*(N_br-3)))*SIN(2*PI()*('Monthly Profiles'!$A33/12)+0.3))</f>
        <v>17940.184706418066</v>
      </c>
      <c r="AR33" s="462">
        <f>('Monthly Profiles'!$Z$20-1047)*(1+1/'Monthly Profiles'!$Z$20*735*(N_br-3)+1/'Monthly Profiles'!$Z$20*(1458+1066*(N_br-3))-1/'Monthly Profiles'!$Z$20*((1332+545*(N_br-3))*R_ins/2))*(1+1/'Monthly Profiles'!$Z$20*(362+(63*(N_br-3)))*SIN(2*PI()*('Monthly Profiles'!$A33/12)+0.3))</f>
        <v>4201.112706297039</v>
      </c>
      <c r="AS33" s="462">
        <f>'Monthly Profiles'!AC11</f>
        <v>4150.0216851885953</v>
      </c>
      <c r="AT33" s="1219"/>
      <c r="AU33" s="467">
        <f t="shared" si="12"/>
        <v>0</v>
      </c>
      <c r="AV33" s="467">
        <f t="shared" si="13"/>
        <v>-0.85</v>
      </c>
      <c r="AW33" s="468">
        <f>(-1.14-0.36*(N_br)+(-0.34-0.08*(N_br))*R_ins/2)*(1+0.11*SIN(2*PI()*('Monthly Profiles'!$A33/12)+0.3))</f>
        <v>-2.1478339655333007</v>
      </c>
      <c r="AX33" s="468">
        <f>-0.85+('Monthly Profiles'!$X$18-0.85)/'Monthly Profiles'!$X$18*((-1.14-0.36*(N_br)+(-0.34-0.08*(N_br))*R_ins/2)*(1+0.11*SIN(2*PI()*('Monthly Profiles'!$A33/12)+0.3)))</f>
        <v>-2.9116239367457202</v>
      </c>
      <c r="AY33" s="468">
        <f t="shared" si="14"/>
        <v>-1.21</v>
      </c>
      <c r="AZ33" s="466">
        <f>-0.52-0.23*N_br+('Monthly Profiles'!$X$18-0.52-0.23*N_br)/'Monthly Profiles'!$X$18*((-1.14-0.36*(N_br)+(-0.34-0.08*(N_br))*R_ins/2)*(1+0.11*SIN(2*PI()*('Monthly Profiles'!$A33/12)+0.3)))</f>
        <v>-3.2351114539650974</v>
      </c>
      <c r="BA33" s="469">
        <f t="shared" si="15"/>
        <v>-1.4</v>
      </c>
      <c r="BB33" s="469">
        <f t="shared" si="16"/>
        <v>-1.56</v>
      </c>
      <c r="BC33" s="469">
        <f>-0.85+('Monthly Profiles'!$X$18-0.85)/'Monthly Profiles'!$X$18*((-2.15+0.25*(N_br)+(-0.16-0.08*(N_br))*R_ins/2))</f>
        <v>-2.1938066246090648</v>
      </c>
      <c r="BD33" s="469">
        <f>-0.85+('Monthly Profiles'!$X$18-0.85)/'Monthly Profiles'!$X$18*((-2.61+0.35*(N_br)+(0.05-0.13*(N_br))*R_ins/2))</f>
        <v>-2.347384524564387</v>
      </c>
      <c r="BE33" s="467">
        <f>0</f>
        <v>0</v>
      </c>
      <c r="BF33" s="1219"/>
      <c r="BG33" s="467">
        <f t="shared" si="17"/>
        <v>0</v>
      </c>
      <c r="BH33" s="467">
        <f t="shared" si="18"/>
        <v>-0.12</v>
      </c>
      <c r="BI33" s="468">
        <f>(-0.28-0.11*(N_br)+(0.06-0.04*(N_br))*R_ins/2)*(1+0.13*SIN(2*PI()*('Monthly Profiles'!$A33/12)+0.3))</f>
        <v>-0.58656524761175588</v>
      </c>
      <c r="BJ33" s="468">
        <f>-0.12+('Monthly Profiles'!$W$18-0.12)/'Monthly Profiles'!$W$18*((-0.28-0.11*(N_br)+(0.06-0.04*(N_br))*R_ins/2)*(1+0.13*SIN(2*PI()*('Monthly Profiles'!$A33/12)+0.3)))</f>
        <v>-0.69328424616574602</v>
      </c>
      <c r="BK33" s="468">
        <f t="shared" si="19"/>
        <v>-0.21000000000000002</v>
      </c>
      <c r="BL33" s="466">
        <f>-0.06-0.05*N_br+('Monthly Profiles'!$W$18-0.06-0.05*N_br)/'Monthly Profiles'!$W$18*((-0.28-0.11*(N_br)+(0.06-0.04*(N_br))*R_ins/2)*(1+0.13*SIN(2*PI()*('Monthly Profiles'!$A33/12)+0.3)))</f>
        <v>-0.77332349508123865</v>
      </c>
      <c r="BM33" s="469">
        <f t="shared" si="20"/>
        <v>-0.15000000000000002</v>
      </c>
      <c r="BN33" s="469">
        <f t="shared" si="21"/>
        <v>-0.23</v>
      </c>
      <c r="BO33" s="469">
        <f>-0.12+('Monthly Profiles'!$W$18-0.12)/'Monthly Profiles'!$W$18*((-0.27+0.04*(N_br)+(-0.01-0.03*(N_br))*R_ins/2))</f>
        <v>-0.26660370227351066</v>
      </c>
      <c r="BP33" s="469">
        <f>-0.12+('Monthly Profiles'!$W$18-0.12)/'Monthly Profiles'!$W$18*((-0.26+0.01*(N_br)+(-0.03-0*(N_br))*R_ins/2))</f>
        <v>-0.34479234348604965</v>
      </c>
      <c r="BQ33" s="467">
        <f>0</f>
        <v>0</v>
      </c>
      <c r="BR33" s="1219"/>
      <c r="BS33" s="467">
        <f t="shared" si="22"/>
        <v>0</v>
      </c>
      <c r="BT33" s="467">
        <f t="shared" si="23"/>
        <v>-1.69</v>
      </c>
      <c r="BU33" s="468">
        <f>(-0.89-0.32*(N_br)+(-1.86+0.31*(N_br))*R_ins/2)*(1+0.16*SIN(2*PI()*('Monthly Profiles'!$A33/12)+0.3))</f>
        <v>-1.7625260188282437</v>
      </c>
      <c r="BV33" s="468">
        <f>-1.69+('Monthly Profiles'!$Y$18-1.69)/'Monthly Profiles'!$Y$18*((-0.89-0.32*(N_br)+(-1.86+0.31*(N_br))*R_ins/2)*(1+0.16*SIN(2*PI()*('Monthly Profiles'!$A33/12)+0.3)))</f>
        <v>-3.2948080865596294</v>
      </c>
      <c r="BW33" s="468">
        <f t="shared" si="24"/>
        <v>-1.9500000000000002</v>
      </c>
      <c r="BX33" s="466">
        <f>0.21-0.72*N_br+('Monthly Profiles'!$Y$18+0.21-0.72*N_br)/'Monthly Profiles'!$Y$18*((-0.89-0.32*(N_br)+(-1.86+0.31*(N_br))*R_ins/2)*(1+0.16*SIN(2*PI()*('Monthly Profiles'!$A33/12)+0.3)))</f>
        <v>-3.5305437892875351</v>
      </c>
      <c r="BY33" s="469">
        <f t="shared" si="25"/>
        <v>-4.8599999999999994</v>
      </c>
      <c r="BZ33" s="469">
        <f t="shared" si="26"/>
        <v>-4.07</v>
      </c>
      <c r="CA33" s="469">
        <f>-1.69+('Monthly Profiles'!$Y$18-1.69)/'Monthly Profiles'!$Y$18*((-2.01-0.95*(N_br)+(-0.36-0.13*(N_br))*R_ins/2))</f>
        <v>-6.1151076111006546</v>
      </c>
      <c r="CB33" s="469">
        <f>-1.69+('Monthly Profiles'!$Y$18-1.69)/'Monthly Profiles'!$Y$18*((-1.34-0.91*(N_br)+(-0.64-0.07*(N_br))*R_ins/2))</f>
        <v>-5.3957999953044595</v>
      </c>
      <c r="CC33" s="1210">
        <f>0</f>
        <v>0</v>
      </c>
    </row>
    <row r="34" spans="1:81">
      <c r="A34" s="15">
        <v>7</v>
      </c>
      <c r="B34" s="32" t="s">
        <v>1007</v>
      </c>
      <c r="C34" s="611">
        <f>'Monthly Profiles'!C12</f>
        <v>1</v>
      </c>
      <c r="D34" s="68">
        <f>'Monthly Profiles'!D12</f>
        <v>1</v>
      </c>
      <c r="E34" s="42">
        <f>'Monthly Profiles'!E12</f>
        <v>0.7</v>
      </c>
      <c r="F34" s="42">
        <f>DHW!N59</f>
        <v>0.7673936852837967</v>
      </c>
      <c r="G34" s="90">
        <f>'Monthly Profiles'!G12</f>
        <v>66.200149341478465</v>
      </c>
      <c r="H34" s="58">
        <f t="shared" ref="H34:S34" si="32">H12</f>
        <v>1.0958827242757947</v>
      </c>
      <c r="I34" s="59">
        <f t="shared" si="32"/>
        <v>1.0958827242757947</v>
      </c>
      <c r="J34" s="59">
        <f t="shared" si="32"/>
        <v>1.0958827242757947</v>
      </c>
      <c r="K34" s="59">
        <f t="shared" si="32"/>
        <v>0.89628513398414478</v>
      </c>
      <c r="L34" s="59">
        <f t="shared" si="32"/>
        <v>0.89628513398414478</v>
      </c>
      <c r="M34" s="59">
        <f t="shared" si="32"/>
        <v>0.99887381873378056</v>
      </c>
      <c r="N34" s="59">
        <f t="shared" si="32"/>
        <v>0.88083143030246547</v>
      </c>
      <c r="O34" s="59">
        <f t="shared" si="32"/>
        <v>0.99626748526179942</v>
      </c>
      <c r="P34" s="59">
        <f t="shared" si="32"/>
        <v>0.90731194108364022</v>
      </c>
      <c r="Q34" s="59">
        <f t="shared" si="32"/>
        <v>1.1575481315693881</v>
      </c>
      <c r="R34" s="59">
        <f t="shared" si="32"/>
        <v>3</v>
      </c>
      <c r="S34" s="729">
        <f t="shared" si="32"/>
        <v>0.88336125970119961</v>
      </c>
      <c r="T34" s="14">
        <f>IF(NewConst!$F$286="yes", Appliances!$AF$125, 'Monthly Profiles'!T12)</f>
        <v>2.0456097066410499</v>
      </c>
      <c r="U34" s="818">
        <f>IF(NewConst!$F$303="YES", IF(NewConst!$F$304="yes", Appliances!$AG$125, 'Monthly Profiles'!$U12), 0)</f>
        <v>0.70511546706187678</v>
      </c>
      <c r="V34" s="14">
        <f>IF(NewConst!F$247="yes", (IF(Appliances!AF$237="yes",IF(AND(Appliances!AF$238="yes",G34&lt;70),Appliances!AF$267+(Appliances!AF$267*((1/Appliances!AF$257)*(70-G34)+(G34-NewConst!F$112))/(NewConst!F$112-G34)),0),IF(Appliances!AF$238="yes",Appliances!AF$267+(Appliances!AF$267*((1/Appliances!AF$257)*(Appliances!AF$258-G34)+(G34-NewConst!F$112))/(NewConst!F$112-G34)),Appliances!AF$267)*(Appliances!AF$261/365))), 'Monthly Profiles'!V12)</f>
        <v>6.7419357010251213</v>
      </c>
      <c r="W34" s="599">
        <f>(3.5+1.17*N_br)*MAX((105-G34)/(NewConst!$F$112-G34),0)+HLOOKUP(NewConst!$F$153 &amp; ", " &amp; NewConst!$F$151 &amp; ", " &amp; NewConst!$F$156 &amp; ", " &amp; NewConst!$F$154,'Monthly Profiles'!$BG$25:$BQ$40,A34+3,FALSE )</f>
        <v>4.2631283664283552</v>
      </c>
      <c r="X34" s="599">
        <f>(14+4.67*N_br)*MAX((105-G34)/(NewConst!$F$112-G34),0)+HLOOKUP(NewConst!$F$153 &amp; ", " &amp; NewConst!$F$151 &amp; ", " &amp; NewConst!$F$156 &amp; ", " &amp; NewConst!$F$154,'Monthly Profiles'!$AU$25:$BE$39,A34+3,FALSE )</f>
        <v>17.034268979123858</v>
      </c>
      <c r="Y34" s="599">
        <f>(12.5+4.16*N_br)*MAX((105-G34)/(NewConst!$F$112-G34),0)+HLOOKUP(NewConst!$F$153 &amp; ", " &amp; NewConst!$F$151 &amp; ", " &amp; NewConst!$F$156 &amp; ", " &amp; NewConst!$F$154,'Monthly Profiles'!$BS$25:$CC$39,A34+3,FALSE )</f>
        <v>15.191575833577794</v>
      </c>
      <c r="Z34" s="818">
        <f>IF(NewConst!F$135&gt;0,(0.028*NewConst!$F$38)*MAX((105-$G34)/(NewConst!$F$112-$G34),0),0)</f>
        <v>3.4056374967188008</v>
      </c>
      <c r="AA34" s="599">
        <f t="shared" si="11"/>
        <v>45.276518586796179</v>
      </c>
      <c r="AB34" s="818">
        <f>IF(HomeType=2,IF(NewConst!F$249="YES",IF(NewConst!$F$135&gt;0,IF(NewConst!$F$303="YES",SUM(U34,V34,Z34),SUM(V34,Z34)),IF(NewConst!$F$303="YES",SUM(U34,V34),V34)),IF(NewConst!$F$135&gt;0,IF(NewConst!$F$303="YES",SUM(U34,Z34),SUM(Z34)),IF(NewConst!$F$303="YES",SUM(U34),0))),0)</f>
        <v>0</v>
      </c>
      <c r="AC34" s="604">
        <f>HLOOKUP(NewConst!$F$153 &amp; ", " &amp; NewConst!$F$151 &amp; ", " &amp; NewConst!$F$156 &amp; ", " &amp; NewConst!$F$154,'Monthly Profiles'!$AI$25:$AS$40,A34+3,FALSE )</f>
        <v>3991.4381571875397</v>
      </c>
      <c r="AD34" s="609">
        <f>IF(NewConst!$F$154="Timer control",(18135+2538*N_br+(-12265-1495*N_br)*R_ins/2)/(8.33*((120-'Monthly Profiles'!G34)*4184*0.00023886)),IF(NewConst!$F$154="Demand control",(-3648+2344*N_br+(-1328-761*N_br)*R_ins/2)/(8.33*((120-'Monthly Profiles'!G34)*4184*0.000238861)),0))</f>
        <v>0</v>
      </c>
      <c r="AE34" s="734">
        <f>IF(NewConst!$F$203=NewConst!$I$203,'Detailed Lighting'!BB17,Lighting!BC27)</f>
        <v>5.8249592301554083E-2</v>
      </c>
      <c r="AI34" s="1211">
        <f>('Monthly Profiles'!$Z$20+735*(N_br-3)-(948+158*(N_br-3))*R_ins/2)*(1+1/'Monthly Profiles'!$Z$20*(362+(63*(N_br-3)))*SIN(2*PI()*('Monthly Profiles'!$A34/12)+0.3))</f>
        <v>3991.4381571875397</v>
      </c>
      <c r="AJ34" s="460">
        <f>('Monthly Profiles'!$Z$20-1047-732*R_ins/2)*(1+1/'Monthly Profiles'!$Z$20*735*(N_br-3)+1/'Monthly Profiles'!$Z$20*(362+(63*(N_br-3)))*SIN(2*PI()*('Monthly Profiles'!$A34/12)+0.3))</f>
        <v>3009.7525216283771</v>
      </c>
      <c r="AK34" s="460">
        <f>('Monthly Profiles'!$Z$20+735*(N_br-3)-(3356+589*(N_br-3))-(90+11*(N_br-3))*R_ins/2)*(1+1/'Monthly Profiles'!$Z$20*(362+(63*(N_br-3)))*SIN(2*PI()*('Monthly Profiles'!$A34/12)+0.3))</f>
        <v>844.79346479351022</v>
      </c>
      <c r="AL34" s="460">
        <f>('Monthly Profiles'!$Z$20-1047)*(1+1/'Monthly Profiles'!$Z$20*735*(N_br-3)-1/'Monthly Profiles'!$Z$20*(3356+589*(N_br-3)+(90+11*(N_br-3))*R_ins/2))*(1+1/'Monthly Profiles'!$Z$20*(362+(63*(N_br-3)))*SIN(2*PI()*('Monthly Profiles'!$A34/12)+0.3))</f>
        <v>637.01832792745302</v>
      </c>
      <c r="AM34" s="460">
        <f>('Monthly Profiles'!$Z$20+735*(N_br-3)-(1142+378*(N_br-3))-(649+73*(N_br-3))*R_ins/2)*(1+1/'Monthly Profiles'!$Z$20*(362+(63*(N_br-3)))*SIN(2*PI()*('Monthly Profiles'!$A34/12)+0.3))</f>
        <v>2920.6788488699049</v>
      </c>
      <c r="AN34" s="463">
        <f>('Monthly Profiles'!$Z$20+735*(N_br-3)-(1142+378*(N_br-3)))*(1-1/'Monthly Profiles'!$Z$20*(3356+589*(N_br-3)+(90+11*(N_br-3))*R_ins/2))*(1+1/'Monthly Profiles'!$Z$20*(362+(63*(N_br-3)))*SIN(2*PI()*('Monthly Profiles'!$A34/12)+0.3))</f>
        <v>618.16576059003614</v>
      </c>
      <c r="AO34" s="462">
        <f>('Monthly Profiles'!$Z$20+735*(N_br-3)+(20148+2140*(N_br-3))-(11956+1355*(N_br-3))*R_ins/2)*(1+1/'Monthly Profiles'!$Z$20*(362+(63*(N_br-3)))*SIN(2*PI()*('Monthly Profiles'!$A34/12)+0.3))</f>
        <v>22882.557722847523</v>
      </c>
      <c r="AP34" s="462">
        <f>('Monthly Profiles'!$Z$20+735*(N_br-3)+(1458+1066*(N_br-3))-(1332+545*(N_br-3))*R_ins/2)*(1+1/'Monthly Profiles'!$Z$20*(362+(63*(N_br-3)))*SIN(2*PI()*('Monthly Profiles'!$A34/12)+0.3))</f>
        <v>5358.4846296280921</v>
      </c>
      <c r="AQ34" s="462">
        <f>('Monthly Profiles'!$Z$20-1047)*(1+1/'Monthly Profiles'!$Z$20*735*(N_br-3)+1/'Monthly Profiles'!$Z$20*(20148+2140*(N_br-3))-1/'Monthly Profiles'!$Z$20*((11956+1355*(N_br-3))*R_ins/2))*(1+1/'Monthly Profiles'!$Z$20*(362+(63*(N_br-3)))*SIN(2*PI()*('Monthly Profiles'!$A34/12)+0.3))</f>
        <v>17254.641834705319</v>
      </c>
      <c r="AR34" s="462">
        <f>('Monthly Profiles'!$Z$20-1047)*(1+1/'Monthly Profiles'!$Z$20*735*(N_br-3)+1/'Monthly Profiles'!$Z$20*(1458+1066*(N_br-3))-1/'Monthly Profiles'!$Z$20*((1332+545*(N_br-3))*R_ins/2))*(1+1/'Monthly Profiles'!$Z$20*(362+(63*(N_br-3)))*SIN(2*PI()*('Monthly Profiles'!$A34/12)+0.3))</f>
        <v>4040.5768525032126</v>
      </c>
      <c r="AS34" s="462">
        <f>'Monthly Profiles'!AC12</f>
        <v>3991.4381571875397</v>
      </c>
      <c r="AT34" s="1219"/>
      <c r="AU34" s="467">
        <f t="shared" si="12"/>
        <v>0</v>
      </c>
      <c r="AV34" s="467">
        <f t="shared" si="13"/>
        <v>-0.85</v>
      </c>
      <c r="AW34" s="468">
        <f>(-1.14-0.36*(N_br)+(-0.34-0.08*(N_br))*R_ins/2)*(1+0.11*SIN(2*PI()*('Monthly Profiles'!$A34/12)+0.3))</f>
        <v>-2.0408557955392186</v>
      </c>
      <c r="AX34" s="468">
        <f>-0.85+('Monthly Profiles'!$X$18-0.85)/'Monthly Profiles'!$X$18*((-1.14-0.36*(N_br)+(-0.34-0.08*(N_br))*R_ins/2)*(1+0.11*SIN(2*PI()*('Monthly Profiles'!$A34/12)+0.3)))</f>
        <v>-2.8089396699410041</v>
      </c>
      <c r="AY34" s="468">
        <f t="shared" si="14"/>
        <v>-1.21</v>
      </c>
      <c r="AZ34" s="466">
        <f>-0.52-0.23*N_br+('Monthly Profiles'!$X$18-0.52-0.23*N_br)/'Monthly Profiles'!$X$18*((-1.14-0.36*(N_br)+(-0.34-0.08*(N_br))*R_ins/2)*(1+0.11*SIN(2*PI()*('Monthly Profiles'!$A34/12)+0.3)))</f>
        <v>-3.1342457814523481</v>
      </c>
      <c r="BA34" s="469">
        <f t="shared" si="15"/>
        <v>-1.4</v>
      </c>
      <c r="BB34" s="469">
        <f t="shared" si="16"/>
        <v>-1.56</v>
      </c>
      <c r="BC34" s="469">
        <f>-0.85+('Monthly Profiles'!$X$18-0.85)/'Monthly Profiles'!$X$18*((-2.15+0.25*(N_br)+(-0.16-0.08*(N_br))*R_ins/2))</f>
        <v>-2.1938066246090648</v>
      </c>
      <c r="BD34" s="469">
        <f>-0.85+('Monthly Profiles'!$X$18-0.85)/'Monthly Profiles'!$X$18*((-2.61+0.35*(N_br)+(0.05-0.13*(N_br))*R_ins/2))</f>
        <v>-2.347384524564387</v>
      </c>
      <c r="BE34" s="467">
        <f>0</f>
        <v>0</v>
      </c>
      <c r="BF34" s="1219"/>
      <c r="BG34" s="467">
        <f t="shared" si="17"/>
        <v>0</v>
      </c>
      <c r="BH34" s="467">
        <f t="shared" si="18"/>
        <v>-0.12</v>
      </c>
      <c r="BI34" s="468">
        <f>(-0.28-0.11*(N_br)+(0.06-0.04*(N_br))*R_ins/2)*(1+0.13*SIN(2*PI()*('Monthly Profiles'!$A34/12)+0.3))</f>
        <v>-0.55182581730655222</v>
      </c>
      <c r="BJ34" s="468">
        <f>-0.12+('Monthly Profiles'!$W$18-0.12)/'Monthly Profiles'!$W$18*((-0.28-0.11*(N_br)+(0.06-0.04*(N_br))*R_ins/2)*(1+0.13*SIN(2*PI()*('Monthly Profiles'!$A34/12)+0.3)))</f>
        <v>-0.65933138551497639</v>
      </c>
      <c r="BK34" s="468">
        <f t="shared" si="19"/>
        <v>-0.21000000000000002</v>
      </c>
      <c r="BL34" s="466">
        <f>-0.06-0.05*N_br+('Monthly Profiles'!$W$18-0.06-0.05*N_br)/'Monthly Profiles'!$W$18*((-0.28-0.11*(N_br)+(0.06-0.04*(N_br))*R_ins/2)*(1+0.13*SIN(2*PI()*('Monthly Profiles'!$A34/12)+0.3)))</f>
        <v>-0.73996056167129454</v>
      </c>
      <c r="BM34" s="469">
        <f t="shared" si="20"/>
        <v>-0.15000000000000002</v>
      </c>
      <c r="BN34" s="469">
        <f t="shared" si="21"/>
        <v>-0.23</v>
      </c>
      <c r="BO34" s="469">
        <f>-0.12+('Monthly Profiles'!$W$18-0.12)/'Monthly Profiles'!$W$18*((-0.27+0.04*(N_br)+(-0.01-0.03*(N_br))*R_ins/2))</f>
        <v>-0.26660370227351066</v>
      </c>
      <c r="BP34" s="469">
        <f>-0.12+('Monthly Profiles'!$W$18-0.12)/'Monthly Profiles'!$W$18*((-0.26+0.01*(N_br)+(-0.03-0*(N_br))*R_ins/2))</f>
        <v>-0.34479234348604965</v>
      </c>
      <c r="BQ34" s="467">
        <f>0</f>
        <v>0</v>
      </c>
      <c r="BR34" s="1219"/>
      <c r="BS34" s="467">
        <f t="shared" si="22"/>
        <v>0</v>
      </c>
      <c r="BT34" s="467">
        <f t="shared" si="23"/>
        <v>-1.69</v>
      </c>
      <c r="BU34" s="468">
        <f>(-0.89-0.32*(N_br)+(-1.86+0.31*(N_br))*R_ins/2)*(1+0.16*SIN(2*PI()*('Monthly Profiles'!$A34/12)+0.3))</f>
        <v>-1.6328555097445074</v>
      </c>
      <c r="BV34" s="468">
        <f>-1.69+('Monthly Profiles'!$Y$18-1.69)/'Monthly Profiles'!$Y$18*((-0.89-0.32*(N_br)+(-1.86+0.31*(N_br))*R_ins/2)*(1+0.16*SIN(2*PI()*('Monthly Profiles'!$A34/12)+0.3)))</f>
        <v>-3.1767410172835513</v>
      </c>
      <c r="BW34" s="468">
        <f t="shared" si="24"/>
        <v>-1.9500000000000002</v>
      </c>
      <c r="BX34" s="466">
        <f>0.21-0.72*N_br+('Monthly Profiles'!$Y$18+0.21-0.72*N_br)/'Monthly Profiles'!$Y$18*((-0.89-0.32*(N_br)+(-1.86+0.31*(N_br))*R_ins/2)*(1+0.16*SIN(2*PI()*('Monthly Profiles'!$A34/12)+0.3)))</f>
        <v>-3.4142618645972509</v>
      </c>
      <c r="BY34" s="469">
        <f t="shared" si="25"/>
        <v>-4.8599999999999994</v>
      </c>
      <c r="BZ34" s="469">
        <f t="shared" si="26"/>
        <v>-4.07</v>
      </c>
      <c r="CA34" s="469">
        <f>-1.69+('Monthly Profiles'!$Y$18-1.69)/'Monthly Profiles'!$Y$18*((-2.01-0.95*(N_br)+(-0.36-0.13*(N_br))*R_ins/2))</f>
        <v>-6.1151076111006546</v>
      </c>
      <c r="CB34" s="469">
        <f>-1.69+('Monthly Profiles'!$Y$18-1.69)/'Monthly Profiles'!$Y$18*((-1.34-0.91*(N_br)+(-0.64-0.07*(N_br))*R_ins/2))</f>
        <v>-5.3957999953044595</v>
      </c>
      <c r="CC34" s="1210">
        <f>0</f>
        <v>0</v>
      </c>
    </row>
    <row r="35" spans="1:81">
      <c r="A35" s="15">
        <v>8</v>
      </c>
      <c r="B35" s="32" t="s">
        <v>481</v>
      </c>
      <c r="C35" s="611">
        <f>'Monthly Profiles'!C13</f>
        <v>1</v>
      </c>
      <c r="D35" s="68">
        <f>'Monthly Profiles'!D13</f>
        <v>1</v>
      </c>
      <c r="E35" s="42">
        <f>'Monthly Profiles'!E13</f>
        <v>0.7</v>
      </c>
      <c r="F35" s="42">
        <f>DHW!N60</f>
        <v>0.7673936852837967</v>
      </c>
      <c r="G35" s="90">
        <f>'Monthly Profiles'!G13</f>
        <v>67.493906273288161</v>
      </c>
      <c r="H35" s="58">
        <f t="shared" ref="H35:S35" si="33">H13</f>
        <v>1.0958827242757947</v>
      </c>
      <c r="I35" s="59">
        <f t="shared" si="33"/>
        <v>1.0958827242757947</v>
      </c>
      <c r="J35" s="59">
        <f t="shared" si="33"/>
        <v>1.0958827242757947</v>
      </c>
      <c r="K35" s="59">
        <f t="shared" si="33"/>
        <v>0.89628513398414478</v>
      </c>
      <c r="L35" s="59">
        <f t="shared" si="33"/>
        <v>0.89628513398414478</v>
      </c>
      <c r="M35" s="59">
        <f t="shared" si="33"/>
        <v>0.99887381873378056</v>
      </c>
      <c r="N35" s="59">
        <f t="shared" si="33"/>
        <v>0.88083143030246547</v>
      </c>
      <c r="O35" s="59">
        <f t="shared" si="33"/>
        <v>0.99626748526179942</v>
      </c>
      <c r="P35" s="59">
        <f t="shared" si="33"/>
        <v>0.90731194108364022</v>
      </c>
      <c r="Q35" s="59">
        <f t="shared" si="33"/>
        <v>1.1575481315693881</v>
      </c>
      <c r="R35" s="59">
        <f t="shared" si="33"/>
        <v>3</v>
      </c>
      <c r="S35" s="729">
        <f t="shared" si="33"/>
        <v>0.88336125970119961</v>
      </c>
      <c r="T35" s="14">
        <f>IF(NewConst!$F$286="yes", Appliances!$AF$125, 'Monthly Profiles'!T13)</f>
        <v>2.0456097066410499</v>
      </c>
      <c r="U35" s="818">
        <f>IF(NewConst!$F$303="YES", IF(NewConst!$F$304="yes", Appliances!$AG$125, 'Monthly Profiles'!$U13), 0)</f>
        <v>0.70511546706187678</v>
      </c>
      <c r="V35" s="14">
        <f>IF(NewConst!F$247="yes", (IF(Appliances!AF$237="yes",IF(AND(Appliances!AF$238="yes",G35&lt;70),Appliances!AF$267+(Appliances!AF$267*((1/Appliances!AF$257)*(70-G35)+(G35-NewConst!F$112))/(NewConst!F$112-G35)),0),IF(Appliances!AF$238="yes",Appliances!AF$267+(Appliances!AF$267*((1/Appliances!AF$257)*(Appliances!AF$258-G35)+(G35-NewConst!F$112))/(NewConst!F$112-G35)),Appliances!AF$267)*(Appliances!AF$261/365))), 'Monthly Profiles'!V13)</f>
        <v>6.5429632625148688</v>
      </c>
      <c r="W35" s="599">
        <f>(3.5+1.17*N_br)*MAX((105-G35)/(NewConst!$F$112-G35),0)+HLOOKUP(NewConst!$F$153 &amp; ", " &amp; NewConst!$F$151 &amp; ", " &amp; NewConst!$F$156 &amp; ", " &amp; NewConst!$F$154,'Monthly Profiles'!$BG$25:$BQ$40,A35+3,FALSE )</f>
        <v>4.2062733623024773</v>
      </c>
      <c r="X35" s="599">
        <f>(14+4.67*N_br)*MAX((105-G35)/(NewConst!$F$112-G35),0)+HLOOKUP(NewConst!$F$153 &amp; ", " &amp; NewConst!$F$151 &amp; ", " &amp; NewConst!$F$156 &amp; ", " &amp; NewConst!$F$154,'Monthly Profiles'!$AU$25:$BE$39,A35+3,FALSE )</f>
        <v>16.807092279328444</v>
      </c>
      <c r="Y35" s="599">
        <f>(12.5+4.16*N_br)*MAX((105-G35)/(NewConst!$F$112-G35),0)+HLOOKUP(NewConst!$F$153 &amp; ", " &amp; NewConst!$F$151 &amp; ", " &amp; NewConst!$F$156 &amp; ", " &amp; NewConst!$F$154,'Monthly Profiles'!$BS$25:$CC$39,A35+3,FALSE )</f>
        <v>14.988974121300412</v>
      </c>
      <c r="Z35" s="818">
        <f>IF(NewConst!F$135&gt;0,(0.028*NewConst!$F$38)*MAX((105-$G35)/(NewConst!$F$112-$G35),0),0)</f>
        <v>3.3602183778735917</v>
      </c>
      <c r="AA35" s="599">
        <f t="shared" si="11"/>
        <v>44.590912732087247</v>
      </c>
      <c r="AB35" s="818">
        <f>IF(HomeType=2,IF(NewConst!F$249="YES",IF(NewConst!$F$135&gt;0,IF(NewConst!$F$303="YES",SUM(U35,V35,Z35),SUM(V35,Z35)),IF(NewConst!$F$303="YES",SUM(U35,V35),V35)),IF(NewConst!$F$135&gt;0,IF(NewConst!$F$303="YES",SUM(U35,Z35),SUM(Z35)),IF(NewConst!$F$303="YES",SUM(U35),0))),0)</f>
        <v>0</v>
      </c>
      <c r="AC35" s="604">
        <f>HLOOKUP(NewConst!$F$153 &amp; ", " &amp; NewConst!$F$151 &amp; ", " &amp; NewConst!$F$156 &amp; ", " &amp; NewConst!$F$154,'Monthly Profiles'!$AI$25:$AS$40,A35+3,FALSE )</f>
        <v>3904.0117105086038</v>
      </c>
      <c r="AD35" s="609">
        <f>IF(NewConst!$F$154="Timer control",(18135+2538*N_br+(-12265-1495*N_br)*R_ins/2)/(8.33*((120-'Monthly Profiles'!G35)*4184*0.00023886)),IF(NewConst!$F$154="Demand control",(-3648+2344*N_br+(-1328-761*N_br)*R_ins/2)/(8.33*((120-'Monthly Profiles'!G35)*4184*0.000238861)),0))</f>
        <v>0</v>
      </c>
      <c r="AE35" s="734">
        <f>IF(NewConst!$F$203=NewConst!$I$203,'Detailed Lighting'!BB18,Lighting!BC28)</f>
        <v>6.5473480080343274E-2</v>
      </c>
      <c r="AI35" s="1211">
        <f>('Monthly Profiles'!$Z$20+735*(N_br-3)-(948+158*(N_br-3))*R_ins/2)*(1+1/'Monthly Profiles'!$Z$20*(362+(63*(N_br-3)))*SIN(2*PI()*('Monthly Profiles'!$A35/12)+0.3))</f>
        <v>3904.0117105086038</v>
      </c>
      <c r="AJ35" s="460">
        <f>('Monthly Profiles'!$Z$20-1047-732*R_ins/2)*(1+1/'Monthly Profiles'!$Z$20*735*(N_br-3)+1/'Monthly Profiles'!$Z$20*(362+(63*(N_br-3)))*SIN(2*PI()*('Monthly Profiles'!$A35/12)+0.3))</f>
        <v>2943.8284215956351</v>
      </c>
      <c r="AK35" s="460">
        <f>('Monthly Profiles'!$Z$20+735*(N_br-3)-(3356+589*(N_br-3))-(90+11*(N_br-3))*R_ins/2)*(1+1/'Monthly Profiles'!$Z$20*(362+(63*(N_br-3)))*SIN(2*PI()*('Monthly Profiles'!$A35/12)+0.3))</f>
        <v>826.28953515815169</v>
      </c>
      <c r="AL35" s="460">
        <f>('Monthly Profiles'!$Z$20-1047)*(1+1/'Monthly Profiles'!$Z$20*735*(N_br-3)-1/'Monthly Profiles'!$Z$20*(3356+589*(N_br-3)+(90+11*(N_br-3))*R_ins/2))*(1+1/'Monthly Profiles'!$Z$20*(362+(63*(N_br-3)))*SIN(2*PI()*('Monthly Profiles'!$A35/12)+0.3))</f>
        <v>623.06540001354642</v>
      </c>
      <c r="AM35" s="460">
        <f>('Monthly Profiles'!$Z$20+735*(N_br-3)-(1142+378*(N_br-3))-(649+73*(N_br-3))*R_ins/2)*(1+1/'Monthly Profiles'!$Z$20*(362+(63*(N_br-3)))*SIN(2*PI()*('Monthly Profiles'!$A35/12)+0.3))</f>
        <v>2856.7057736044867</v>
      </c>
      <c r="AN35" s="463">
        <f>('Monthly Profiles'!$Z$20+735*(N_br-3)-(1142+378*(N_br-3)))*(1-1/'Monthly Profiles'!$Z$20*(3356+589*(N_br-3)+(90+11*(N_br-3))*R_ins/2))*(1+1/'Monthly Profiles'!$Z$20*(362+(63*(N_br-3)))*SIN(2*PI()*('Monthly Profiles'!$A35/12)+0.3))</f>
        <v>604.62576979507685</v>
      </c>
      <c r="AO35" s="462">
        <f>('Monthly Profiles'!$Z$20+735*(N_br-3)+(20148+2140*(N_br-3))-(11956+1355*(N_br-3))*R_ins/2)*(1+1/'Monthly Profiles'!$Z$20*(362+(63*(N_br-3)))*SIN(2*PI()*('Monthly Profiles'!$A35/12)+0.3))</f>
        <v>22381.349728673355</v>
      </c>
      <c r="AP35" s="462">
        <f>('Monthly Profiles'!$Z$20+735*(N_br-3)+(1458+1066*(N_br-3))-(1332+545*(N_br-3))*R_ins/2)*(1+1/'Monthly Profiles'!$Z$20*(362+(63*(N_br-3)))*SIN(2*PI()*('Monthly Profiles'!$A35/12)+0.3))</f>
        <v>5241.1150870464344</v>
      </c>
      <c r="AQ35" s="462">
        <f>('Monthly Profiles'!$Z$20-1047)*(1+1/'Monthly Profiles'!$Z$20*735*(N_br-3)+1/'Monthly Profiles'!$Z$20*(20148+2140*(N_br-3))-1/'Monthly Profiles'!$Z$20*((11956+1355*(N_br-3))*R_ins/2))*(1+1/'Monthly Profiles'!$Z$20*(362+(63*(N_br-3)))*SIN(2*PI()*('Monthly Profiles'!$A35/12)+0.3))</f>
        <v>16876.704869401332</v>
      </c>
      <c r="AR35" s="462">
        <f>('Monthly Profiles'!$Z$20-1047)*(1+1/'Monthly Profiles'!$Z$20*735*(N_br-3)+1/'Monthly Profiles'!$Z$20*(1458+1066*(N_br-3))-1/'Monthly Profiles'!$Z$20*((1332+545*(N_br-3))*R_ins/2))*(1+1/'Monthly Profiles'!$Z$20*(362+(63*(N_br-3)))*SIN(2*PI()*('Monthly Profiles'!$A35/12)+0.3))</f>
        <v>3952.0740966453027</v>
      </c>
      <c r="AS35" s="462">
        <f>'Monthly Profiles'!AC13</f>
        <v>3904.0117105086038</v>
      </c>
      <c r="AT35" s="1219"/>
      <c r="AU35" s="467">
        <f t="shared" si="12"/>
        <v>0</v>
      </c>
      <c r="AV35" s="467">
        <f t="shared" si="13"/>
        <v>-0.85</v>
      </c>
      <c r="AW35" s="468">
        <f>(-1.14-0.36*(N_br)+(-0.34-0.08*(N_br))*R_ins/2)*(1+0.11*SIN(2*PI()*('Monthly Profiles'!$A35/12)+0.3))</f>
        <v>-1.9818791704591185</v>
      </c>
      <c r="AX35" s="468">
        <f>-0.85+('Monthly Profiles'!$X$18-0.85)/'Monthly Profiles'!$X$18*((-1.14-0.36*(N_br)+(-0.34-0.08*(N_br))*R_ins/2)*(1+0.11*SIN(2*PI()*('Monthly Profiles'!$A35/12)+0.3)))</f>
        <v>-2.7523302560269158</v>
      </c>
      <c r="AY35" s="468">
        <f t="shared" si="14"/>
        <v>-1.21</v>
      </c>
      <c r="AZ35" s="466">
        <f>-0.52-0.23*N_br+('Monthly Profiles'!$X$18-0.52-0.23*N_br)/'Monthly Profiles'!$X$18*((-1.14-0.36*(N_br)+(-0.34-0.08*(N_br))*R_ins/2)*(1+0.11*SIN(2*PI()*('Monthly Profiles'!$A35/12)+0.3)))</f>
        <v>-3.078638951090924</v>
      </c>
      <c r="BA35" s="469">
        <f t="shared" si="15"/>
        <v>-1.4</v>
      </c>
      <c r="BB35" s="469">
        <f t="shared" si="16"/>
        <v>-1.56</v>
      </c>
      <c r="BC35" s="469">
        <f>-0.85+('Monthly Profiles'!$X$18-0.85)/'Monthly Profiles'!$X$18*((-2.15+0.25*(N_br)+(-0.16-0.08*(N_br))*R_ins/2))</f>
        <v>-2.1938066246090648</v>
      </c>
      <c r="BD35" s="469">
        <f>-0.85+('Monthly Profiles'!$X$18-0.85)/'Monthly Profiles'!$X$18*((-2.61+0.35*(N_br)+(0.05-0.13*(N_br))*R_ins/2))</f>
        <v>-2.347384524564387</v>
      </c>
      <c r="BE35" s="467">
        <f>0</f>
        <v>0</v>
      </c>
      <c r="BF35" s="1219"/>
      <c r="BG35" s="467">
        <f t="shared" si="17"/>
        <v>0</v>
      </c>
      <c r="BH35" s="467">
        <f t="shared" si="18"/>
        <v>-0.12</v>
      </c>
      <c r="BI35" s="468">
        <f>(-0.28-0.11*(N_br)+(0.06-0.04*(N_br))*R_ins/2)*(1+0.13*SIN(2*PI()*('Monthly Profiles'!$A35/12)+0.3))</f>
        <v>-0.53267411227439865</v>
      </c>
      <c r="BJ35" s="468">
        <f>-0.12+('Monthly Profiles'!$W$18-0.12)/'Monthly Profiles'!$W$18*((-0.28-0.11*(N_br)+(0.06-0.04*(N_br))*R_ins/2)*(1+0.13*SIN(2*PI()*('Monthly Profiles'!$A35/12)+0.3)))</f>
        <v>-0.6406133130978835</v>
      </c>
      <c r="BK35" s="468">
        <f t="shared" si="19"/>
        <v>-0.21000000000000002</v>
      </c>
      <c r="BL35" s="466">
        <f>-0.06-0.05*N_br+('Monthly Profiles'!$W$18-0.06-0.05*N_br)/'Monthly Profiles'!$W$18*((-0.28-0.11*(N_br)+(0.06-0.04*(N_br))*R_ins/2)*(1+0.13*SIN(2*PI()*('Monthly Profiles'!$A35/12)+0.3)))</f>
        <v>-0.72156771371549722</v>
      </c>
      <c r="BM35" s="469">
        <f t="shared" si="20"/>
        <v>-0.15000000000000002</v>
      </c>
      <c r="BN35" s="469">
        <f t="shared" si="21"/>
        <v>-0.23</v>
      </c>
      <c r="BO35" s="469">
        <f>-0.12+('Monthly Profiles'!$W$18-0.12)/'Monthly Profiles'!$W$18*((-0.27+0.04*(N_br)+(-0.01-0.03*(N_br))*R_ins/2))</f>
        <v>-0.26660370227351066</v>
      </c>
      <c r="BP35" s="469">
        <f>-0.12+('Monthly Profiles'!$W$18-0.12)/'Monthly Profiles'!$W$18*((-0.26+0.01*(N_br)+(-0.03-0*(N_br))*R_ins/2))</f>
        <v>-0.34479234348604965</v>
      </c>
      <c r="BQ35" s="467">
        <f>0</f>
        <v>0</v>
      </c>
      <c r="BR35" s="1219"/>
      <c r="BS35" s="467">
        <f t="shared" si="22"/>
        <v>0</v>
      </c>
      <c r="BT35" s="467">
        <f t="shared" si="23"/>
        <v>-1.69</v>
      </c>
      <c r="BU35" s="468">
        <f>(-0.89-0.32*(N_br)+(-1.86+0.31*(N_br))*R_ins/2)*(1+0.16*SIN(2*PI()*('Monthly Profiles'!$A35/12)+0.3))</f>
        <v>-1.5613686914655984</v>
      </c>
      <c r="BV35" s="468">
        <f>-1.69+('Monthly Profiles'!$Y$18-1.69)/'Monthly Profiles'!$Y$18*((-0.89-0.32*(N_br)+(-1.86+0.31*(N_br))*R_ins/2)*(1+0.16*SIN(2*PI()*('Monthly Profiles'!$A35/12)+0.3)))</f>
        <v>-3.1116511276417063</v>
      </c>
      <c r="BW35" s="468">
        <f t="shared" si="24"/>
        <v>-1.9500000000000002</v>
      </c>
      <c r="BX35" s="466">
        <f>0.21-0.72*N_br+('Monthly Profiles'!$Y$18+0.21-0.72*N_br)/'Monthly Profiles'!$Y$18*((-0.89-0.32*(N_br)+(-1.86+0.31*(N_br))*R_ins/2)*(1+0.16*SIN(2*PI()*('Monthly Profiles'!$A35/12)+0.3)))</f>
        <v>-3.350156117822646</v>
      </c>
      <c r="BY35" s="469">
        <f t="shared" si="25"/>
        <v>-4.8599999999999994</v>
      </c>
      <c r="BZ35" s="469">
        <f t="shared" si="26"/>
        <v>-4.07</v>
      </c>
      <c r="CA35" s="469">
        <f>-1.69+('Monthly Profiles'!$Y$18-1.69)/'Monthly Profiles'!$Y$18*((-2.01-0.95*(N_br)+(-0.36-0.13*(N_br))*R_ins/2))</f>
        <v>-6.1151076111006546</v>
      </c>
      <c r="CB35" s="469">
        <f>-1.69+('Monthly Profiles'!$Y$18-1.69)/'Monthly Profiles'!$Y$18*((-1.34-0.91*(N_br)+(-0.64-0.07*(N_br))*R_ins/2))</f>
        <v>-5.3957999953044595</v>
      </c>
      <c r="CC35" s="1210">
        <f>0</f>
        <v>0</v>
      </c>
    </row>
    <row r="36" spans="1:81">
      <c r="A36" s="15">
        <v>9</v>
      </c>
      <c r="B36" s="32" t="s">
        <v>482</v>
      </c>
      <c r="C36" s="611">
        <f>'Monthly Profiles'!C14</f>
        <v>1</v>
      </c>
      <c r="D36" s="68">
        <f>'Monthly Profiles'!D14</f>
        <v>1</v>
      </c>
      <c r="E36" s="42">
        <f>'Monthly Profiles'!E14</f>
        <v>0.7</v>
      </c>
      <c r="F36" s="42">
        <f>DHW!N61</f>
        <v>0.7673936852837967</v>
      </c>
      <c r="G36" s="90">
        <f>'Monthly Profiles'!G14</f>
        <v>66.198965919317473</v>
      </c>
      <c r="H36" s="58">
        <f t="shared" ref="H36:S36" si="34">H14</f>
        <v>1.0958827242757947</v>
      </c>
      <c r="I36" s="59">
        <f t="shared" si="34"/>
        <v>1.0958827242757947</v>
      </c>
      <c r="J36" s="59">
        <f t="shared" si="34"/>
        <v>1.0958827242757947</v>
      </c>
      <c r="K36" s="59">
        <f t="shared" si="34"/>
        <v>0.88960230623075431</v>
      </c>
      <c r="L36" s="59">
        <f t="shared" si="34"/>
        <v>0.88960230623075431</v>
      </c>
      <c r="M36" s="59">
        <f t="shared" si="34"/>
        <v>0.99574009694951759</v>
      </c>
      <c r="N36" s="59">
        <f t="shared" si="34"/>
        <v>0.87378477886004557</v>
      </c>
      <c r="O36" s="59">
        <f t="shared" si="34"/>
        <v>0.99314194020999746</v>
      </c>
      <c r="P36" s="59">
        <f t="shared" si="34"/>
        <v>0.91320357706470279</v>
      </c>
      <c r="Q36" s="59">
        <f t="shared" si="34"/>
        <v>1.1595167508407644</v>
      </c>
      <c r="R36" s="59">
        <f t="shared" si="34"/>
        <v>1.5</v>
      </c>
      <c r="S36" s="729">
        <f t="shared" si="34"/>
        <v>0.88846512475725092</v>
      </c>
      <c r="T36" s="14">
        <f>IF(NewConst!$F$286="yes", Appliances!$AF$125, 'Monthly Profiles'!T14)</f>
        <v>2.0456097066410499</v>
      </c>
      <c r="U36" s="818">
        <f>IF(NewConst!$F$303="YES", IF(NewConst!$F$304="yes", Appliances!$AG$125, 'Monthly Profiles'!$U14), 0)</f>
        <v>0.70511546706187678</v>
      </c>
      <c r="V36" s="14">
        <f>IF(NewConst!F$247="yes", (IF(Appliances!AF$237="yes",IF(AND(Appliances!AF$238="yes",G36&lt;70),Appliances!AF$267+(Appliances!AF$267*((1/Appliances!AF$257)*(70-G36)+(G36-NewConst!F$112))/(NewConst!F$112-G36)),0),IF(Appliances!AF$238="yes",Appliances!AF$267+(Appliances!AF$267*((1/Appliances!AF$257)*(Appliances!AF$258-G36)+(G36-NewConst!F$112))/(NewConst!F$112-G36)),Appliances!AF$267)*(Appliances!AF$261/365))), 'Monthly Profiles'!V14)</f>
        <v>6.7421140105617949</v>
      </c>
      <c r="W36" s="599">
        <f>(3.5+1.17*N_br)*MAX((105-G36)/(NewConst!$F$112-G36),0)+HLOOKUP(NewConst!$F$153 &amp; ", " &amp; NewConst!$F$151 &amp; ", " &amp; NewConst!$F$156 &amp; ", " &amp; NewConst!$F$154,'Monthly Profiles'!$BG$25:$BQ$40,A36+3,FALSE )</f>
        <v>4.2631793171505716</v>
      </c>
      <c r="X36" s="599">
        <f>(14+4.67*N_br)*MAX((105-G36)/(NewConst!$F$112-G36),0)+HLOOKUP(NewConst!$F$153 &amp; ", " &amp; NewConst!$F$151 &amp; ", " &amp; NewConst!$F$156 &amp; ", " &amp; NewConst!$F$154,'Monthly Profiles'!$AU$25:$BE$39,A36+3,FALSE )</f>
        <v>17.034472563963984</v>
      </c>
      <c r="Y36" s="599">
        <f>(12.5+4.16*N_br)*MAX((105-G36)/(NewConst!$F$112-G36),0)+HLOOKUP(NewConst!$F$153 &amp; ", " &amp; NewConst!$F$151 &amp; ", " &amp; NewConst!$F$156 &amp; ", " &amp; NewConst!$F$154,'Monthly Profiles'!$BS$25:$CC$39,A36+3,FALSE )</f>
        <v>15.191757395495191</v>
      </c>
      <c r="Z36" s="818">
        <f>IF(NewConst!F$135&gt;0,(0.028*NewConst!$F$38)*MAX((105-$G36)/(NewConst!$F$112-$G36),0),0)</f>
        <v>3.4056781991502434</v>
      </c>
      <c r="AA36" s="599">
        <f t="shared" si="11"/>
        <v>45.277132993812586</v>
      </c>
      <c r="AB36" s="818">
        <f>IF(HomeType=2,IF(NewConst!F$249="YES",IF(NewConst!$F$135&gt;0,IF(NewConst!$F$303="YES",SUM(U36,V36,Z36),SUM(V36,Z36)),IF(NewConst!$F$303="YES",SUM(U36,V36),V36)),IF(NewConst!$F$135&gt;0,IF(NewConst!$F$303="YES",SUM(U36,Z36),SUM(Z36)),IF(NewConst!$F$303="YES",SUM(U36),0))),0)</f>
        <v>0</v>
      </c>
      <c r="AC36" s="604">
        <f>HLOOKUP(NewConst!$F$153 &amp; ", " &amp; NewConst!$F$151 &amp; ", " &amp; NewConst!$F$156 &amp; ", " &amp; NewConst!$F$154,'Monthly Profiles'!$AI$25:$AS$40,A36+3,FALSE )</f>
        <v>3911.1681909365307</v>
      </c>
      <c r="AD36" s="609">
        <f>IF(NewConst!$F$154="Timer control",(18135+2538*N_br+(-12265-1495*N_br)*R_ins/2)/(8.33*((120-'Monthly Profiles'!G36)*4184*0.00023886)),IF(NewConst!$F$154="Demand control",(-3648+2344*N_br+(-1328-761*N_br)*R_ins/2)/(8.33*((120-'Monthly Profiles'!G36)*4184*0.000238861)),0))</f>
        <v>0</v>
      </c>
      <c r="AE36" s="734">
        <f>IF(NewConst!$F$203=NewConst!$I$203,'Detailed Lighting'!BB19,Lighting!BC29)</f>
        <v>7.5633588935449747E-2</v>
      </c>
      <c r="AI36" s="1211">
        <f>('Monthly Profiles'!$Z$20+735*(N_br-3)-(948+158*(N_br-3))*R_ins/2)*(1+1/'Monthly Profiles'!$Z$20*(362+(63*(N_br-3)))*SIN(2*PI()*('Monthly Profiles'!$A36/12)+0.3))</f>
        <v>3911.1681909365307</v>
      </c>
      <c r="AJ36" s="460">
        <f>('Monthly Profiles'!$Z$20-1047-732*R_ins/2)*(1+1/'Monthly Profiles'!$Z$20*735*(N_br-3)+1/'Monthly Profiles'!$Z$20*(362+(63*(N_br-3)))*SIN(2*PI()*('Monthly Profiles'!$A36/12)+0.3))</f>
        <v>2949.2247810444592</v>
      </c>
      <c r="AK36" s="460">
        <f>('Monthly Profiles'!$Z$20+735*(N_br-3)-(3356+589*(N_br-3))-(90+11*(N_br-3))*R_ins/2)*(1+1/'Monthly Profiles'!$Z$20*(362+(63*(N_br-3)))*SIN(2*PI()*('Monthly Profiles'!$A36/12)+0.3))</f>
        <v>827.80421424332019</v>
      </c>
      <c r="AL36" s="460">
        <f>('Monthly Profiles'!$Z$20-1047)*(1+1/'Monthly Profiles'!$Z$20*735*(N_br-3)-1/'Monthly Profiles'!$Z$20*(3356+589*(N_br-3)+(90+11*(N_br-3))*R_ins/2))*(1+1/'Monthly Profiles'!$Z$20*(362+(63*(N_br-3)))*SIN(2*PI()*('Monthly Profiles'!$A36/12)+0.3))</f>
        <v>624.20754703337036</v>
      </c>
      <c r="AM36" s="460">
        <f>('Monthly Profiles'!$Z$20+735*(N_br-3)-(1142+378*(N_br-3))-(649+73*(N_br-3))*R_ins/2)*(1+1/'Monthly Profiles'!$Z$20*(362+(63*(N_br-3)))*SIN(2*PI()*('Monthly Profiles'!$A36/12)+0.3))</f>
        <v>2861.9424277113681</v>
      </c>
      <c r="AN36" s="463">
        <f>('Monthly Profiles'!$Z$20+735*(N_br-3)-(1142+378*(N_br-3)))*(1-1/'Monthly Profiles'!$Z$20*(3356+589*(N_br-3)+(90+11*(N_br-3))*R_ins/2))*(1+1/'Monthly Profiles'!$Z$20*(362+(63*(N_br-3)))*SIN(2*PI()*('Monthly Profiles'!$A36/12)+0.3))</f>
        <v>605.73411495605876</v>
      </c>
      <c r="AO36" s="462">
        <f>('Monthly Profiles'!$Z$20+735*(N_br-3)+(20148+2140*(N_br-3))-(11956+1355*(N_br-3))*R_ins/2)*(1+1/'Monthly Profiles'!$Z$20*(362+(63*(N_br-3)))*SIN(2*PI()*('Monthly Profiles'!$A36/12)+0.3))</f>
        <v>22422.377190464184</v>
      </c>
      <c r="AP36" s="462">
        <f>('Monthly Profiles'!$Z$20+735*(N_br-3)+(1458+1066*(N_br-3))-(1332+545*(N_br-3))*R_ins/2)*(1+1/'Monthly Profiles'!$Z$20*(362+(63*(N_br-3)))*SIN(2*PI()*('Monthly Profiles'!$A36/12)+0.3))</f>
        <v>5250.722624195977</v>
      </c>
      <c r="AQ36" s="462">
        <f>('Monthly Profiles'!$Z$20-1047)*(1+1/'Monthly Profiles'!$Z$20*735*(N_br-3)+1/'Monthly Profiles'!$Z$20*(20148+2140*(N_br-3))-1/'Monthly Profiles'!$Z$20*((11956+1355*(N_br-3))*R_ins/2))*(1+1/'Monthly Profiles'!$Z$20*(362+(63*(N_br-3)))*SIN(2*PI()*('Monthly Profiles'!$A36/12)+0.3))</f>
        <v>16907.641715149173</v>
      </c>
      <c r="AR36" s="462">
        <f>('Monthly Profiles'!$Z$20-1047)*(1+1/'Monthly Profiles'!$Z$20*735*(N_br-3)+1/'Monthly Profiles'!$Z$20*(1458+1066*(N_br-3))-1/'Monthly Profiles'!$Z$20*((1332+545*(N_br-3))*R_ins/2))*(1+1/'Monthly Profiles'!$Z$20*(362+(63*(N_br-3)))*SIN(2*PI()*('Monthly Profiles'!$A36/12)+0.3))</f>
        <v>3959.3186806833651</v>
      </c>
      <c r="AS36" s="462">
        <f>'Monthly Profiles'!AC14</f>
        <v>3911.1681909365307</v>
      </c>
      <c r="AT36" s="1219"/>
      <c r="AU36" s="467">
        <f t="shared" si="12"/>
        <v>0</v>
      </c>
      <c r="AV36" s="467">
        <f t="shared" si="13"/>
        <v>-0.85</v>
      </c>
      <c r="AW36" s="468">
        <f>(-1.14-0.36*(N_br)+(-0.34-0.08*(N_br))*R_ins/2)*(1+0.11*SIN(2*PI()*('Monthly Profiles'!$A36/12)+0.3))</f>
        <v>-1.9867068293555268</v>
      </c>
      <c r="AX36" s="468">
        <f>-0.85+('Monthly Profiles'!$X$18-0.85)/'Monthly Profiles'!$X$18*((-1.14-0.36*(N_br)+(-0.34-0.08*(N_br))*R_ins/2)*(1+0.11*SIN(2*PI()*('Monthly Profiles'!$A36/12)+0.3)))</f>
        <v>-2.7569641417457347</v>
      </c>
      <c r="AY36" s="468">
        <f t="shared" si="14"/>
        <v>-1.21</v>
      </c>
      <c r="AZ36" s="466">
        <f>-0.52-0.23*N_br+('Monthly Profiles'!$X$18-0.52-0.23*N_br)/'Monthly Profiles'!$X$18*((-1.14-0.36*(N_br)+(-0.34-0.08*(N_br))*R_ins/2)*(1+0.11*SIN(2*PI()*('Monthly Profiles'!$A36/12)+0.3)))</f>
        <v>-3.0831907681698225</v>
      </c>
      <c r="BA36" s="469">
        <f t="shared" si="15"/>
        <v>-1.4</v>
      </c>
      <c r="BB36" s="469">
        <f t="shared" si="16"/>
        <v>-1.56</v>
      </c>
      <c r="BC36" s="469">
        <f>-0.85+('Monthly Profiles'!$X$18-0.85)/'Monthly Profiles'!$X$18*((-2.15+0.25*(N_br)+(-0.16-0.08*(N_br))*R_ins/2))</f>
        <v>-2.1938066246090648</v>
      </c>
      <c r="BD36" s="469">
        <f>-0.85+('Monthly Profiles'!$X$18-0.85)/'Monthly Profiles'!$X$18*((-2.61+0.35*(N_br)+(0.05-0.13*(N_br))*R_ins/2))</f>
        <v>-2.347384524564387</v>
      </c>
      <c r="BE36" s="467">
        <f>0</f>
        <v>0</v>
      </c>
      <c r="BF36" s="1219"/>
      <c r="BG36" s="467">
        <f t="shared" si="17"/>
        <v>0</v>
      </c>
      <c r="BH36" s="467">
        <f t="shared" si="18"/>
        <v>-0.12</v>
      </c>
      <c r="BI36" s="468">
        <f>(-0.28-0.11*(N_br)+(0.06-0.04*(N_br))*R_ins/2)*(1+0.13*SIN(2*PI()*('Monthly Profiles'!$A36/12)+0.3))</f>
        <v>-0.53424181641233948</v>
      </c>
      <c r="BJ36" s="468">
        <f>-0.12+('Monthly Profiles'!$W$18-0.12)/'Monthly Profiles'!$W$18*((-0.28-0.11*(N_br)+(0.06-0.04*(N_br))*R_ins/2)*(1+0.13*SIN(2*PI()*('Monthly Profiles'!$A36/12)+0.3)))</f>
        <v>-0.64214552130249425</v>
      </c>
      <c r="BK36" s="468">
        <f t="shared" si="19"/>
        <v>-0.21000000000000002</v>
      </c>
      <c r="BL36" s="466">
        <f>-0.06-0.05*N_br+('Monthly Profiles'!$W$18-0.06-0.05*N_br)/'Monthly Profiles'!$W$18*((-0.28-0.11*(N_br)+(0.06-0.04*(N_br))*R_ins/2)*(1+0.13*SIN(2*PI()*('Monthly Profiles'!$A36/12)+0.3)))</f>
        <v>-0.72307329997011038</v>
      </c>
      <c r="BM36" s="469">
        <f t="shared" si="20"/>
        <v>-0.15000000000000002</v>
      </c>
      <c r="BN36" s="469">
        <f t="shared" si="21"/>
        <v>-0.23</v>
      </c>
      <c r="BO36" s="469">
        <f>-0.12+('Monthly Profiles'!$W$18-0.12)/'Monthly Profiles'!$W$18*((-0.27+0.04*(N_br)+(-0.01-0.03*(N_br))*R_ins/2))</f>
        <v>-0.26660370227351066</v>
      </c>
      <c r="BP36" s="469">
        <f>-0.12+('Monthly Profiles'!$W$18-0.12)/'Monthly Profiles'!$W$18*((-0.26+0.01*(N_br)+(-0.03-0*(N_br))*R_ins/2))</f>
        <v>-0.34479234348604965</v>
      </c>
      <c r="BQ36" s="467">
        <f>0</f>
        <v>0</v>
      </c>
      <c r="BR36" s="1219"/>
      <c r="BS36" s="467">
        <f t="shared" si="22"/>
        <v>0</v>
      </c>
      <c r="BT36" s="467">
        <f t="shared" si="23"/>
        <v>-1.69</v>
      </c>
      <c r="BU36" s="468">
        <f>(-0.89-0.32*(N_br)+(-1.86+0.31*(N_br))*R_ins/2)*(1+0.16*SIN(2*PI()*('Monthly Profiles'!$A36/12)+0.3))</f>
        <v>-1.5672203992188205</v>
      </c>
      <c r="BV36" s="468">
        <f>-1.69+('Monthly Profiles'!$Y$18-1.69)/'Monthly Profiles'!$Y$18*((-0.89-0.32*(N_br)+(-1.86+0.31*(N_br))*R_ins/2)*(1+0.16*SIN(2*PI()*('Monthly Profiles'!$A36/12)+0.3)))</f>
        <v>-3.1169792009990558</v>
      </c>
      <c r="BW36" s="468">
        <f t="shared" si="24"/>
        <v>-1.9500000000000002</v>
      </c>
      <c r="BX36" s="466">
        <f>0.21-0.72*N_br+('Monthly Profiles'!$Y$18+0.21-0.72*N_br)/'Monthly Profiles'!$Y$18*((-0.89-0.32*(N_br)+(-1.86+0.31*(N_br))*R_ins/2)*(1+0.16*SIN(2*PI()*('Monthly Profiles'!$A36/12)+0.3)))</f>
        <v>-3.3554036320421687</v>
      </c>
      <c r="BY36" s="469">
        <f t="shared" si="25"/>
        <v>-4.8599999999999994</v>
      </c>
      <c r="BZ36" s="469">
        <f t="shared" si="26"/>
        <v>-4.07</v>
      </c>
      <c r="CA36" s="469">
        <f>-1.69+('Monthly Profiles'!$Y$18-1.69)/'Monthly Profiles'!$Y$18*((-2.01-0.95*(N_br)+(-0.36-0.13*(N_br))*R_ins/2))</f>
        <v>-6.1151076111006546</v>
      </c>
      <c r="CB36" s="469">
        <f>-1.69+('Monthly Profiles'!$Y$18-1.69)/'Monthly Profiles'!$Y$18*((-1.34-0.91*(N_br)+(-0.64-0.07*(N_br))*R_ins/2))</f>
        <v>-5.3957999953044595</v>
      </c>
      <c r="CC36" s="1210">
        <f>0</f>
        <v>0</v>
      </c>
    </row>
    <row r="37" spans="1:81">
      <c r="A37" s="15">
        <v>10</v>
      </c>
      <c r="B37" s="32" t="s">
        <v>483</v>
      </c>
      <c r="C37" s="611">
        <f>'Monthly Profiles'!C15</f>
        <v>1</v>
      </c>
      <c r="D37" s="68">
        <f>'Monthly Profiles'!D15</f>
        <v>1</v>
      </c>
      <c r="E37" s="42">
        <f>'Monthly Profiles'!E15</f>
        <v>0.85</v>
      </c>
      <c r="F37" s="42">
        <f>DHW!N62</f>
        <v>0.76582056075532934</v>
      </c>
      <c r="G37" s="90">
        <f>'Monthly Profiles'!G15</f>
        <v>62.65287443846379</v>
      </c>
      <c r="H37" s="58">
        <f t="shared" ref="H37:S37" si="35">H15</f>
        <v>0.93091113137406212</v>
      </c>
      <c r="I37" s="59">
        <f t="shared" si="35"/>
        <v>0.93091113137406212</v>
      </c>
      <c r="J37" s="59">
        <f t="shared" si="35"/>
        <v>0.93091113137406212</v>
      </c>
      <c r="K37" s="59">
        <f t="shared" si="35"/>
        <v>1.0849767411387015</v>
      </c>
      <c r="L37" s="59">
        <f t="shared" si="35"/>
        <v>1.0849767411387015</v>
      </c>
      <c r="M37" s="59">
        <f t="shared" si="35"/>
        <v>0.9636194486608235</v>
      </c>
      <c r="N37" s="59">
        <f t="shared" si="35"/>
        <v>1.0100200400801602</v>
      </c>
      <c r="O37" s="59">
        <f t="shared" si="35"/>
        <v>0.86733875187497811</v>
      </c>
      <c r="P37" s="59">
        <f t="shared" si="35"/>
        <v>0.90731194108364022</v>
      </c>
      <c r="Q37" s="59">
        <f t="shared" si="35"/>
        <v>0.92131381900420672</v>
      </c>
      <c r="R37" s="59">
        <f t="shared" si="35"/>
        <v>0</v>
      </c>
      <c r="S37" s="729">
        <f t="shared" si="35"/>
        <v>0.97758646073599431</v>
      </c>
      <c r="T37" s="14">
        <f>IF(NewConst!$F$286="yes", Appliances!$AF$125, 'Monthly Profiles'!T15)</f>
        <v>2.0456097066410499</v>
      </c>
      <c r="U37" s="818">
        <f>IF(NewConst!$F$303="YES", IF(NewConst!$F$304="yes", Appliances!$AG$125, 'Monthly Profiles'!$U15), 0)</f>
        <v>0.70511546706187678</v>
      </c>
      <c r="V37" s="14">
        <f>IF(NewConst!F$247="yes", (IF(Appliances!AF$237="yes",IF(AND(Appliances!AF$238="yes",G37&lt;70),Appliances!AF$267+(Appliances!AF$267*((1/Appliances!AF$257)*(70-G37)+(G37-NewConst!F$112))/(NewConst!F$112-G37)),0),IF(Appliances!AF$238="yes",Appliances!AF$267+(Appliances!AF$267*((1/Appliances!AF$257)*(Appliances!AF$258-G37)+(G37-NewConst!F$112))/(NewConst!F$112-G37)),Appliances!AF$267)*(Appliances!AF$261/365))), 'Monthly Profiles'!V15)</f>
        <v>7.2482711963348478</v>
      </c>
      <c r="W37" s="599">
        <f>(3.5+1.17*N_br)*MAX((105-G37)/(NewConst!$F$112-G37),0)+HLOOKUP(NewConst!$F$153 &amp; ", " &amp; NewConst!$F$151 &amp; ", " &amp; NewConst!$F$156 &amp; ", " &amp; NewConst!$F$154,'Monthly Profiles'!$BG$25:$BQ$40,A37+3,FALSE )</f>
        <v>4.4078102474489258</v>
      </c>
      <c r="X37" s="599">
        <f>(14+4.67*N_br)*MAX((105-G37)/(NewConst!$F$112-G37),0)+HLOOKUP(NewConst!$F$153 &amp; ", " &amp; NewConst!$F$151 &amp; ", " &amp; NewConst!$F$156 &amp; ", " &amp; NewConst!$F$154,'Monthly Profiles'!$AU$25:$BE$39,A37+3,FALSE )</f>
        <v>17.612377322545566</v>
      </c>
      <c r="Y37" s="599">
        <f>(12.5+4.16*N_br)*MAX((105-G37)/(NewConst!$F$112-G37),0)+HLOOKUP(NewConst!$F$153 &amp; ", " &amp; NewConst!$F$151 &amp; ", " &amp; NewConst!$F$156 &amp; ", " &amp; NewConst!$F$154,'Monthly Profiles'!$BS$25:$CC$39,A37+3,FALSE )</f>
        <v>15.707146930281622</v>
      </c>
      <c r="Z37" s="818">
        <f>IF(NewConst!F$135&gt;0,(0.028*NewConst!$F$38)*MAX((105-$G37)/(NewConst!$F$112-$G37),0),0)</f>
        <v>3.5212178866924377</v>
      </c>
      <c r="AA37" s="599">
        <f t="shared" si="11"/>
        <v>47.021215403252015</v>
      </c>
      <c r="AB37" s="818">
        <f>IF(HomeType=2,IF(NewConst!F$249="YES",IF(NewConst!$F$135&gt;0,IF(NewConst!$F$303="YES",SUM(U37,V37,Z37),SUM(V37,Z37)),IF(NewConst!$F$303="YES",SUM(U37,V37),V37)),IF(NewConst!$F$135&gt;0,IF(NewConst!$F$303="YES",SUM(U37,Z37),SUM(Z37)),IF(NewConst!$F$303="YES",SUM(U37),0))),0)</f>
        <v>0</v>
      </c>
      <c r="AC37" s="604">
        <f>HLOOKUP(NewConst!$F$153 &amp; ", " &amp; NewConst!$F$151 &amp; ", " &amp; NewConst!$F$156 &amp; ", " &amp; NewConst!$F$154,'Monthly Profiles'!$AI$25:$AS$40,A37+3,FALSE )</f>
        <v>4010.9900253200085</v>
      </c>
      <c r="AD37" s="609">
        <f>IF(NewConst!$F$154="Timer control",(18135+2538*N_br+(-12265-1495*N_br)*R_ins/2)/(8.33*((120-'Monthly Profiles'!G37)*4184*0.00023886)),IF(NewConst!$F$154="Demand control",(-3648+2344*N_br+(-1328-761*N_br)*R_ins/2)/(8.33*((120-'Monthly Profiles'!G37)*4184*0.000238861)),0))</f>
        <v>0</v>
      </c>
      <c r="AE37" s="734">
        <f>IF(NewConst!$F$203=NewConst!$I$203,'Detailed Lighting'!BB20,Lighting!BC30)</f>
        <v>9.4449084525061039E-2</v>
      </c>
      <c r="AI37" s="1211">
        <f>('Monthly Profiles'!$Z$20+735*(N_br-3)-(948+158*(N_br-3))*R_ins/2)*(1+1/'Monthly Profiles'!$Z$20*(362+(63*(N_br-3)))*SIN(2*PI()*('Monthly Profiles'!$A37/12)+0.3))</f>
        <v>4010.9900253200085</v>
      </c>
      <c r="AJ37" s="460">
        <f>('Monthly Profiles'!$Z$20-1047-732*R_ins/2)*(1+1/'Monthly Profiles'!$Z$20*735*(N_br-3)+1/'Monthly Profiles'!$Z$20*(362+(63*(N_br-3)))*SIN(2*PI()*('Monthly Profiles'!$A37/12)+0.3))</f>
        <v>3024.4956498184702</v>
      </c>
      <c r="AK37" s="460">
        <f>('Monthly Profiles'!$Z$20+735*(N_br-3)-(3356+589*(N_br-3))-(90+11*(N_br-3))*R_ins/2)*(1+1/'Monthly Profiles'!$Z$20*(362+(63*(N_br-3)))*SIN(2*PI()*('Monthly Profiles'!$A37/12)+0.3))</f>
        <v>848.93164501135254</v>
      </c>
      <c r="AL37" s="460">
        <f>('Monthly Profiles'!$Z$20-1047)*(1+1/'Monthly Profiles'!$Z$20*735*(N_br-3)-1/'Monthly Profiles'!$Z$20*(3356+589*(N_br-3)+(90+11*(N_br-3))*R_ins/2))*(1+1/'Monthly Profiles'!$Z$20*(362+(63*(N_br-3)))*SIN(2*PI()*('Monthly Profiles'!$A37/12)+0.3))</f>
        <v>640.1387316153257</v>
      </c>
      <c r="AM37" s="460">
        <f>('Monthly Profiles'!$Z$20+735*(N_br-3)-(1142+378*(N_br-3))-(649+73*(N_br-3))*R_ins/2)*(1+1/'Monthly Profiles'!$Z$20*(362+(63*(N_br-3)))*SIN(2*PI()*('Monthly Profiles'!$A37/12)+0.3))</f>
        <v>2934.9856539515686</v>
      </c>
      <c r="AN37" s="463">
        <f>('Monthly Profiles'!$Z$20+735*(N_br-3)-(1142+378*(N_br-3)))*(1-1/'Monthly Profiles'!$Z$20*(3356+589*(N_br-3)+(90+11*(N_br-3))*R_ins/2))*(1+1/'Monthly Profiles'!$Z$20*(362+(63*(N_br-3)))*SIN(2*PI()*('Monthly Profiles'!$A37/12)+0.3))</f>
        <v>621.19381588216174</v>
      </c>
      <c r="AO37" s="462">
        <f>('Monthly Profiles'!$Z$20+735*(N_br-3)+(20148+2140*(N_br-3))-(11956+1355*(N_br-3))*R_ins/2)*(1+1/'Monthly Profiles'!$Z$20*(362+(63*(N_br-3)))*SIN(2*PI()*('Monthly Profiles'!$A37/12)+0.3))</f>
        <v>22994.64683296566</v>
      </c>
      <c r="AP37" s="462">
        <f>('Monthly Profiles'!$Z$20+735*(N_br-3)+(1458+1066*(N_br-3))-(1332+545*(N_br-3))*R_ins/2)*(1+1/'Monthly Profiles'!$Z$20*(362+(63*(N_br-3)))*SIN(2*PI()*('Monthly Profiles'!$A37/12)+0.3))</f>
        <v>5384.7329092562486</v>
      </c>
      <c r="AQ37" s="462">
        <f>('Monthly Profiles'!$Z$20-1047)*(1+1/'Monthly Profiles'!$Z$20*735*(N_br-3)+1/'Monthly Profiles'!$Z$20*(20148+2140*(N_br-3))-1/'Monthly Profiles'!$Z$20*((11956+1355*(N_br-3))*R_ins/2))*(1+1/'Monthly Profiles'!$Z$20*(362+(63*(N_br-3)))*SIN(2*PI()*('Monthly Profiles'!$A37/12)+0.3))</f>
        <v>17339.162869114345</v>
      </c>
      <c r="AR37" s="462">
        <f>('Monthly Profiles'!$Z$20-1047)*(1+1/'Monthly Profiles'!$Z$20*735*(N_br-3)+1/'Monthly Profiles'!$Z$20*(1458+1066*(N_br-3))-1/'Monthly Profiles'!$Z$20*((1332+545*(N_br-3))*R_ins/2))*(1+1/'Monthly Profiles'!$Z$20*(362+(63*(N_br-3)))*SIN(2*PI()*('Monthly Profiles'!$A37/12)+0.3))</f>
        <v>4060.3694241749017</v>
      </c>
      <c r="AS37" s="462">
        <f>'Monthly Profiles'!AC15</f>
        <v>4010.9900253200085</v>
      </c>
      <c r="AT37" s="1219"/>
      <c r="AU37" s="467">
        <f t="shared" si="12"/>
        <v>0</v>
      </c>
      <c r="AV37" s="467">
        <f t="shared" si="13"/>
        <v>-0.85</v>
      </c>
      <c r="AW37" s="468">
        <f>(-1.14-0.36*(N_br)+(-0.34-0.08*(N_br))*R_ins/2)*(1+0.11*SIN(2*PI()*('Monthly Profiles'!$A37/12)+0.3))</f>
        <v>-2.0540452049258175</v>
      </c>
      <c r="AX37" s="468">
        <f>-0.85+('Monthly Profiles'!$X$18-0.85)/'Monthly Profiles'!$X$18*((-1.14-0.36*(N_br)+(-0.34-0.08*(N_br))*R_ins/2)*(1+0.11*SIN(2*PI()*('Monthly Profiles'!$A37/12)+0.3)))</f>
        <v>-2.8215996811612847</v>
      </c>
      <c r="AY37" s="468">
        <f t="shared" si="14"/>
        <v>-1.21</v>
      </c>
      <c r="AZ37" s="466">
        <f>-0.52-0.23*N_br+('Monthly Profiles'!$X$18-0.52-0.23*N_br)/'Monthly Profiles'!$X$18*((-1.14-0.36*(N_br)+(-0.34-0.08*(N_br))*R_ins/2)*(1+0.11*SIN(2*PI()*('Monthly Profiles'!$A37/12)+0.3)))</f>
        <v>-3.1466815769786587</v>
      </c>
      <c r="BA37" s="469">
        <f t="shared" si="15"/>
        <v>-1.4</v>
      </c>
      <c r="BB37" s="469">
        <f t="shared" si="16"/>
        <v>-1.56</v>
      </c>
      <c r="BC37" s="469">
        <f>-0.85+('Monthly Profiles'!$X$18-0.85)/'Monthly Profiles'!$X$18*((-2.15+0.25*(N_br)+(-0.16-0.08*(N_br))*R_ins/2))</f>
        <v>-2.1938066246090648</v>
      </c>
      <c r="BD37" s="469">
        <f>-0.85+('Monthly Profiles'!$X$18-0.85)/'Monthly Profiles'!$X$18*((-2.61+0.35*(N_br)+(0.05-0.13*(N_br))*R_ins/2))</f>
        <v>-2.347384524564387</v>
      </c>
      <c r="BE37" s="467">
        <f>0</f>
        <v>0</v>
      </c>
      <c r="BF37" s="1219"/>
      <c r="BG37" s="467">
        <f t="shared" si="17"/>
        <v>0</v>
      </c>
      <c r="BH37" s="467">
        <f t="shared" si="18"/>
        <v>-0.12</v>
      </c>
      <c r="BI37" s="468">
        <f>(-0.28-0.11*(N_br)+(0.06-0.04*(N_br))*R_ins/2)*(1+0.13*SIN(2*PI()*('Monthly Profiles'!$A37/12)+0.3))</f>
        <v>-0.55610886466264275</v>
      </c>
      <c r="BJ37" s="468">
        <f>-0.12+('Monthly Profiles'!$W$18-0.12)/'Monthly Profiles'!$W$18*((-0.28-0.11*(N_br)+(0.06-0.04*(N_br))*R_ins/2)*(1+0.13*SIN(2*PI()*('Monthly Profiles'!$A37/12)+0.3)))</f>
        <v>-0.66351745617774738</v>
      </c>
      <c r="BK37" s="468">
        <f t="shared" si="19"/>
        <v>-0.21000000000000002</v>
      </c>
      <c r="BL37" s="466">
        <f>-0.06-0.05*N_br+('Monthly Profiles'!$W$18-0.06-0.05*N_br)/'Monthly Profiles'!$W$18*((-0.28-0.11*(N_br)+(0.06-0.04*(N_br))*R_ins/2)*(1+0.13*SIN(2*PI()*('Monthly Profiles'!$A37/12)+0.3)))</f>
        <v>-0.7440738998140759</v>
      </c>
      <c r="BM37" s="469">
        <f t="shared" si="20"/>
        <v>-0.15000000000000002</v>
      </c>
      <c r="BN37" s="469">
        <f t="shared" si="21"/>
        <v>-0.23</v>
      </c>
      <c r="BO37" s="469">
        <f>-0.12+('Monthly Profiles'!$W$18-0.12)/'Monthly Profiles'!$W$18*((-0.27+0.04*(N_br)+(-0.01-0.03*(N_br))*R_ins/2))</f>
        <v>-0.26660370227351066</v>
      </c>
      <c r="BP37" s="469">
        <f>-0.12+('Monthly Profiles'!$W$18-0.12)/'Monthly Profiles'!$W$18*((-0.26+0.01*(N_br)+(-0.03-0*(N_br))*R_ins/2))</f>
        <v>-0.34479234348604965</v>
      </c>
      <c r="BQ37" s="467">
        <f>0</f>
        <v>0</v>
      </c>
      <c r="BR37" s="1219"/>
      <c r="BS37" s="467">
        <f t="shared" si="22"/>
        <v>0</v>
      </c>
      <c r="BT37" s="467">
        <f t="shared" si="23"/>
        <v>-1.69</v>
      </c>
      <c r="BU37" s="468">
        <f>(-0.89-0.32*(N_br)+(-1.86+0.31*(N_br))*R_ins/2)*(1+0.16*SIN(2*PI()*('Monthly Profiles'!$A37/12)+0.3))</f>
        <v>-1.6488426726373551</v>
      </c>
      <c r="BV37" s="468">
        <f>-1.69+('Monthly Profiles'!$Y$18-1.69)/'Monthly Profiles'!$Y$18*((-0.89-0.32*(N_br)+(-1.86+0.31*(N_br))*R_ins/2)*(1+0.16*SIN(2*PI()*('Monthly Profiles'!$A37/12)+0.3)))</f>
        <v>-3.1912975844022853</v>
      </c>
      <c r="BW37" s="468">
        <f t="shared" si="24"/>
        <v>-1.9500000000000002</v>
      </c>
      <c r="BX37" s="466">
        <f>0.21-0.72*N_br+('Monthly Profiles'!$Y$18+0.21-0.72*N_br)/'Monthly Profiles'!$Y$18*((-0.89-0.32*(N_br)+(-1.86+0.31*(N_br))*R_ins/2)*(1+0.16*SIN(2*PI()*('Monthly Profiles'!$A37/12)+0.3)))</f>
        <v>-3.4285983400584286</v>
      </c>
      <c r="BY37" s="469">
        <f t="shared" si="25"/>
        <v>-4.8599999999999994</v>
      </c>
      <c r="BZ37" s="469">
        <f t="shared" si="26"/>
        <v>-4.07</v>
      </c>
      <c r="CA37" s="469">
        <f>-1.69+('Monthly Profiles'!$Y$18-1.69)/'Monthly Profiles'!$Y$18*((-2.01-0.95*(N_br)+(-0.36-0.13*(N_br))*R_ins/2))</f>
        <v>-6.1151076111006546</v>
      </c>
      <c r="CB37" s="469">
        <f>-1.69+('Monthly Profiles'!$Y$18-1.69)/'Monthly Profiles'!$Y$18*((-1.34-0.91*(N_br)+(-0.64-0.07*(N_br))*R_ins/2))</f>
        <v>-5.3957999953044595</v>
      </c>
      <c r="CC37" s="1210">
        <f>0</f>
        <v>0</v>
      </c>
    </row>
    <row r="38" spans="1:81">
      <c r="A38" s="15">
        <v>11</v>
      </c>
      <c r="B38" s="32" t="s">
        <v>484</v>
      </c>
      <c r="C38" s="611">
        <f>'Monthly Profiles'!C16</f>
        <v>1</v>
      </c>
      <c r="D38" s="68">
        <f>'Monthly Profiles'!D16</f>
        <v>1</v>
      </c>
      <c r="E38" s="42">
        <f>'Monthly Profiles'!E16</f>
        <v>0.85</v>
      </c>
      <c r="F38" s="42">
        <f>DHW!N63</f>
        <v>0.76582056075532934</v>
      </c>
      <c r="G38" s="90">
        <f>'Monthly Profiles'!G16</f>
        <v>57.779975222135477</v>
      </c>
      <c r="H38" s="58">
        <f t="shared" ref="H38:S38" si="36">H16</f>
        <v>0.92541207827733762</v>
      </c>
      <c r="I38" s="59">
        <f t="shared" si="36"/>
        <v>0.92541207827733762</v>
      </c>
      <c r="J38" s="59">
        <f t="shared" si="36"/>
        <v>0.92541207827733762</v>
      </c>
      <c r="K38" s="59">
        <f t="shared" si="36"/>
        <v>1.0845836336237962</v>
      </c>
      <c r="L38" s="59">
        <f t="shared" si="36"/>
        <v>1.0845836336237962</v>
      </c>
      <c r="M38" s="59">
        <f t="shared" si="36"/>
        <v>0.95931058120746215</v>
      </c>
      <c r="N38" s="59">
        <f t="shared" si="36"/>
        <v>1.0072796756303304</v>
      </c>
      <c r="O38" s="59">
        <f t="shared" si="36"/>
        <v>0.85991558237694909</v>
      </c>
      <c r="P38" s="59">
        <f t="shared" si="36"/>
        <v>0.91320357706470279</v>
      </c>
      <c r="Q38" s="59">
        <f t="shared" si="36"/>
        <v>0.91540796119007728</v>
      </c>
      <c r="R38" s="59">
        <f t="shared" si="36"/>
        <v>0</v>
      </c>
      <c r="S38" s="729">
        <f t="shared" si="36"/>
        <v>0.97366041069287768</v>
      </c>
      <c r="T38" s="14">
        <f>IF(NewConst!$F$286="yes", Appliances!$AF$125, 'Monthly Profiles'!T16)</f>
        <v>2.0456097066410499</v>
      </c>
      <c r="U38" s="818">
        <f>IF(NewConst!$F$303="YES", IF(NewConst!$F$304="yes", Appliances!$AG$125, 'Monthly Profiles'!$U16), 0)</f>
        <v>0.70511546706187678</v>
      </c>
      <c r="V38" s="14">
        <f>IF(NewConst!F$247="yes", (IF(Appliances!AF$237="yes",IF(AND(Appliances!AF$238="yes",G38&lt;70),Appliances!AF$267+(Appliances!AF$267*((1/Appliances!AF$257)*(70-G38)+(G38-NewConst!F$112))/(NewConst!F$112-G38)),0),IF(Appliances!AF$238="yes",Appliances!AF$267+(Appliances!AF$267*((1/Appliances!AF$257)*(Appliances!AF$258-G38)+(G38-NewConst!F$112))/(NewConst!F$112-G38)),Appliances!AF$267)*(Appliances!AF$261/365))), 'Monthly Profiles'!V16)</f>
        <v>7.8627303034892844</v>
      </c>
      <c r="W38" s="599">
        <f>(3.5+1.17*N_br)*MAX((105-G38)/(NewConst!$F$112-G38),0)+HLOOKUP(NewConst!$F$153 &amp; ", " &amp; NewConst!$F$151 &amp; ", " &amp; NewConst!$F$156 &amp; ", " &amp; NewConst!$F$154,'Monthly Profiles'!$BG$25:$BQ$40,A38+3,FALSE )</f>
        <v>4.5833877059854711</v>
      </c>
      <c r="X38" s="599">
        <f>(14+4.67*N_br)*MAX((105-G38)/(NewConst!$F$112-G38),0)+HLOOKUP(NewConst!$F$153 &amp; ", " &amp; NewConst!$F$151 &amp; ", " &amp; NewConst!$F$156 &amp; ", " &amp; NewConst!$F$154,'Monthly Profiles'!$AU$25:$BE$39,A38+3,FALSE )</f>
        <v>18.313935755300005</v>
      </c>
      <c r="Y38" s="599">
        <f>(12.5+4.16*N_br)*MAX((105-G38)/(NewConst!$F$112-G38),0)+HLOOKUP(NewConst!$F$153 &amp; ", " &amp; NewConst!$F$151 &amp; ", " &amp; NewConst!$F$156 &amp; ", " &amp; NewConst!$F$154,'Monthly Profiles'!$BS$25:$CC$39,A38+3,FALSE )</f>
        <v>16.332813822470335</v>
      </c>
      <c r="Z38" s="818">
        <f>IF(NewConst!F$135&gt;0,(0.028*NewConst!$F$38)*MAX((105-$G38)/(NewConst!$F$112-$G38),0),0)</f>
        <v>3.6614794798172094</v>
      </c>
      <c r="AA38" s="599">
        <f t="shared" si="11"/>
        <v>49.138477293886147</v>
      </c>
      <c r="AB38" s="818">
        <f>IF(HomeType=2,IF(NewConst!F$249="YES",IF(NewConst!$F$135&gt;0,IF(NewConst!$F$303="YES",SUM(U38,V38,Z38),SUM(V38,Z38)),IF(NewConst!$F$303="YES",SUM(U38,V38),V38)),IF(NewConst!$F$135&gt;0,IF(NewConst!$F$303="YES",SUM(U38,Z38),SUM(Z38)),IF(NewConst!$F$303="YES",SUM(U38),0))),0)</f>
        <v>0</v>
      </c>
      <c r="AC38" s="604">
        <f>HLOOKUP(NewConst!$F$153 &amp; ", " &amp; NewConst!$F$151 &amp; ", " &amp; NewConst!$F$156 &amp; ", " &amp; NewConst!$F$154,'Monthly Profiles'!$AI$25:$AS$40,A38+3,FALSE )</f>
        <v>4176.7300337489905</v>
      </c>
      <c r="AD38" s="609">
        <f>IF(NewConst!$F$154="Timer control",(18135+2538*N_br+(-12265-1495*N_br)*R_ins/2)/(8.33*((120-'Monthly Profiles'!G38)*4184*0.00023886)),IF(NewConst!$F$154="Demand control",(-3648+2344*N_br+(-1328-761*N_br)*R_ins/2)/(8.33*((120-'Monthly Profiles'!G38)*4184*0.000238861)),0))</f>
        <v>0</v>
      </c>
      <c r="AE38" s="734">
        <f>IF(NewConst!$F$203=NewConst!$I$203,'Detailed Lighting'!BB21,Lighting!BC31)</f>
        <v>0.10789130895095178</v>
      </c>
      <c r="AI38" s="1211">
        <f>('Monthly Profiles'!$Z$20+735*(N_br-3)-(948+158*(N_br-3))*R_ins/2)*(1+1/'Monthly Profiles'!$Z$20*(362+(63*(N_br-3)))*SIN(2*PI()*('Monthly Profiles'!$A38/12)+0.3))</f>
        <v>4176.7300337489905</v>
      </c>
      <c r="AJ38" s="460">
        <f>('Monthly Profiles'!$Z$20-1047-732*R_ins/2)*(1+1/'Monthly Profiles'!$Z$20*735*(N_br-3)+1/'Monthly Profiles'!$Z$20*(362+(63*(N_br-3)))*SIN(2*PI()*('Monthly Profiles'!$A38/12)+0.3))</f>
        <v>3149.4722594160817</v>
      </c>
      <c r="AK38" s="460">
        <f>('Monthly Profiles'!$Z$20+735*(N_br-3)-(3356+589*(N_br-3))-(90+11*(N_br-3))*R_ins/2)*(1+1/'Monthly Profiles'!$Z$20*(362+(63*(N_br-3)))*SIN(2*PI()*('Monthly Profiles'!$A38/12)+0.3))</f>
        <v>884.01074944980985</v>
      </c>
      <c r="AL38" s="460">
        <f>('Monthly Profiles'!$Z$20-1047)*(1+1/'Monthly Profiles'!$Z$20*735*(N_br-3)-1/'Monthly Profiles'!$Z$20*(3356+589*(N_br-3)+(90+11*(N_br-3))*R_ins/2))*(1+1/'Monthly Profiles'!$Z$20*(362+(63*(N_br-3)))*SIN(2*PI()*('Monthly Profiles'!$A38/12)+0.3))</f>
        <v>666.59020571620613</v>
      </c>
      <c r="AM38" s="460">
        <f>('Monthly Profiles'!$Z$20+735*(N_br-3)-(1142+378*(N_br-3))-(649+73*(N_br-3))*R_ins/2)*(1+1/'Monthly Profiles'!$Z$20*(362+(63*(N_br-3)))*SIN(2*PI()*('Monthly Profiles'!$A38/12)+0.3))</f>
        <v>3056.2635788414627</v>
      </c>
      <c r="AN38" s="463">
        <f>('Monthly Profiles'!$Z$20+735*(N_br-3)-(1142+378*(N_br-3)))*(1-1/'Monthly Profiles'!$Z$20*(3356+589*(N_br-3)+(90+11*(N_br-3))*R_ins/2))*(1+1/'Monthly Profiles'!$Z$20*(362+(63*(N_br-3)))*SIN(2*PI()*('Monthly Profiles'!$A38/12)+0.3))</f>
        <v>646.86245819500994</v>
      </c>
      <c r="AO38" s="462">
        <f>('Monthly Profiles'!$Z$20+735*(N_br-3)+(20148+2140*(N_br-3))-(11956+1355*(N_br-3))*R_ins/2)*(1+1/'Monthly Profiles'!$Z$20*(362+(63*(N_br-3)))*SIN(2*PI()*('Monthly Profiles'!$A38/12)+0.3))</f>
        <v>23944.81946761666</v>
      </c>
      <c r="AP38" s="462">
        <f>('Monthly Profiles'!$Z$20+735*(N_br-3)+(1458+1066*(N_br-3))-(1332+545*(N_br-3))*R_ins/2)*(1+1/'Monthly Profiles'!$Z$20*(362+(63*(N_br-3)))*SIN(2*PI()*('Monthly Profiles'!$A38/12)+0.3))</f>
        <v>5607.237994567884</v>
      </c>
      <c r="AQ38" s="462">
        <f>('Monthly Profiles'!$Z$20-1047)*(1+1/'Monthly Profiles'!$Z$20*735*(N_br-3)+1/'Monthly Profiles'!$Z$20*(20148+2140*(N_br-3))-1/'Monthly Profiles'!$Z$20*((11956+1355*(N_br-3))*R_ins/2))*(1+1/'Monthly Profiles'!$Z$20*(362+(63*(N_br-3)))*SIN(2*PI()*('Monthly Profiles'!$A38/12)+0.3))</f>
        <v>18055.64258657493</v>
      </c>
      <c r="AR38" s="462">
        <f>('Monthly Profiles'!$Z$20-1047)*(1+1/'Monthly Profiles'!$Z$20*735*(N_br-3)+1/'Monthly Profiles'!$Z$20*(1458+1066*(N_br-3))-1/'Monthly Profiles'!$Z$20*((1332+545*(N_br-3))*R_ins/2))*(1+1/'Monthly Profiles'!$Z$20*(362+(63*(N_br-3)))*SIN(2*PI()*('Monthly Profiles'!$A38/12)+0.3))</f>
        <v>4228.1498620067905</v>
      </c>
      <c r="AS38" s="462">
        <f>'Monthly Profiles'!AC16</f>
        <v>4176.7300337489905</v>
      </c>
      <c r="AT38" s="1219"/>
      <c r="AU38" s="467">
        <f t="shared" si="12"/>
        <v>0</v>
      </c>
      <c r="AV38" s="467">
        <f t="shared" si="13"/>
        <v>-0.85</v>
      </c>
      <c r="AW38" s="468">
        <f>(-1.14-0.36*(N_br)+(-0.34-0.08*(N_br))*R_ins/2)*(1+0.11*SIN(2*PI()*('Monthly Profiles'!$A38/12)+0.3))</f>
        <v>-2.1658510338163079</v>
      </c>
      <c r="AX38" s="468">
        <f>-0.85+('Monthly Profiles'!$X$18-0.85)/'Monthly Profiles'!$X$18*((-1.14-0.36*(N_br)+(-0.34-0.08*(N_br))*R_ins/2)*(1+0.11*SIN(2*PI()*('Monthly Profiles'!$A38/12)+0.3)))</f>
        <v>-2.9289178336848192</v>
      </c>
      <c r="AY38" s="468">
        <f t="shared" si="14"/>
        <v>-1.21</v>
      </c>
      <c r="AZ38" s="466">
        <f>-0.52-0.23*N_br+('Monthly Profiles'!$X$18-0.52-0.23*N_br)/'Monthly Profiles'!$X$18*((-1.14-0.36*(N_br)+(-0.34-0.08*(N_br))*R_ins/2)*(1+0.11*SIN(2*PI()*('Monthly Profiles'!$A38/12)+0.3)))</f>
        <v>-3.2520990665703065</v>
      </c>
      <c r="BA38" s="469">
        <f t="shared" si="15"/>
        <v>-1.4</v>
      </c>
      <c r="BB38" s="469">
        <f t="shared" si="16"/>
        <v>-1.56</v>
      </c>
      <c r="BC38" s="469">
        <f>-0.85+('Monthly Profiles'!$X$18-0.85)/'Monthly Profiles'!$X$18*((-2.15+0.25*(N_br)+(-0.16-0.08*(N_br))*R_ins/2))</f>
        <v>-2.1938066246090648</v>
      </c>
      <c r="BD38" s="469">
        <f>-0.85+('Monthly Profiles'!$X$18-0.85)/'Monthly Profiles'!$X$18*((-2.61+0.35*(N_br)+(0.05-0.13*(N_br))*R_ins/2))</f>
        <v>-2.347384524564387</v>
      </c>
      <c r="BE38" s="467">
        <f>0</f>
        <v>0</v>
      </c>
      <c r="BF38" s="1219"/>
      <c r="BG38" s="467">
        <f t="shared" si="17"/>
        <v>0</v>
      </c>
      <c r="BH38" s="467">
        <f t="shared" si="18"/>
        <v>-0.12</v>
      </c>
      <c r="BI38" s="468">
        <f>(-0.28-0.11*(N_br)+(0.06-0.04*(N_br))*R_ins/2)*(1+0.13*SIN(2*PI()*('Monthly Profiles'!$A38/12)+0.3))</f>
        <v>-0.59241599910578735</v>
      </c>
      <c r="BJ38" s="468">
        <f>-0.12+('Monthly Profiles'!$W$18-0.12)/'Monthly Profiles'!$W$18*((-0.28-0.11*(N_br)+(0.06-0.04*(N_br))*R_ins/2)*(1+0.13*SIN(2*PI()*('Monthly Profiles'!$A38/12)+0.3)))</f>
        <v>-0.69900252503312799</v>
      </c>
      <c r="BK38" s="468">
        <f t="shared" si="19"/>
        <v>-0.21000000000000002</v>
      </c>
      <c r="BL38" s="466">
        <f>-0.06-0.05*N_br+('Monthly Profiles'!$W$18-0.06-0.05*N_br)/'Monthly Profiles'!$W$18*((-0.28-0.11*(N_br)+(0.06-0.04*(N_br))*R_ins/2)*(1+0.13*SIN(2*PI()*('Monthly Profiles'!$A38/12)+0.3)))</f>
        <v>-0.77894241947863341</v>
      </c>
      <c r="BM38" s="469">
        <f t="shared" si="20"/>
        <v>-0.15000000000000002</v>
      </c>
      <c r="BN38" s="469">
        <f t="shared" si="21"/>
        <v>-0.23</v>
      </c>
      <c r="BO38" s="469">
        <f>-0.12+('Monthly Profiles'!$W$18-0.12)/'Monthly Profiles'!$W$18*((-0.27+0.04*(N_br)+(-0.01-0.03*(N_br))*R_ins/2))</f>
        <v>-0.26660370227351066</v>
      </c>
      <c r="BP38" s="469">
        <f>-0.12+('Monthly Profiles'!$W$18-0.12)/'Monthly Profiles'!$W$18*((-0.26+0.01*(N_br)+(-0.03-0*(N_br))*R_ins/2))</f>
        <v>-0.34479234348604965</v>
      </c>
      <c r="BQ38" s="467">
        <f>0</f>
        <v>0</v>
      </c>
      <c r="BR38" s="1219"/>
      <c r="BS38" s="467">
        <f t="shared" si="22"/>
        <v>0</v>
      </c>
      <c r="BT38" s="467">
        <f t="shared" si="23"/>
        <v>-1.69</v>
      </c>
      <c r="BU38" s="468">
        <f>(-0.89-0.32*(N_br)+(-1.86+0.31*(N_br))*R_ins/2)*(1+0.16*SIN(2*PI()*('Monthly Profiles'!$A38/12)+0.3))</f>
        <v>-1.7843648894743129</v>
      </c>
      <c r="BV38" s="468">
        <f>-1.69+('Monthly Profiles'!$Y$18-1.69)/'Monthly Profiles'!$Y$18*((-0.89-0.32*(N_br)+(-1.86+0.31*(N_br))*R_ins/2)*(1+0.16*SIN(2*PI()*('Monthly Profiles'!$A38/12)+0.3)))</f>
        <v>-3.3146927270357125</v>
      </c>
      <c r="BW38" s="468">
        <f t="shared" si="24"/>
        <v>-1.9500000000000002</v>
      </c>
      <c r="BX38" s="466">
        <f>0.21-0.72*N_br+('Monthly Profiles'!$Y$18+0.21-0.72*N_br)/'Monthly Profiles'!$Y$18*((-0.89-0.32*(N_br)+(-1.86+0.31*(N_br))*R_ins/2)*(1+0.16*SIN(2*PI()*('Monthly Profiles'!$A38/12)+0.3)))</f>
        <v>-3.5501277789682355</v>
      </c>
      <c r="BY38" s="469">
        <f t="shared" si="25"/>
        <v>-4.8599999999999994</v>
      </c>
      <c r="BZ38" s="469">
        <f t="shared" si="26"/>
        <v>-4.07</v>
      </c>
      <c r="CA38" s="469">
        <f>-1.69+('Monthly Profiles'!$Y$18-1.69)/'Monthly Profiles'!$Y$18*((-2.01-0.95*(N_br)+(-0.36-0.13*(N_br))*R_ins/2))</f>
        <v>-6.1151076111006546</v>
      </c>
      <c r="CB38" s="469">
        <f>-1.69+('Monthly Profiles'!$Y$18-1.69)/'Monthly Profiles'!$Y$18*((-1.34-0.91*(N_br)+(-0.64-0.07*(N_br))*R_ins/2))</f>
        <v>-5.3957999953044595</v>
      </c>
      <c r="CC38" s="1210">
        <f>0</f>
        <v>0</v>
      </c>
    </row>
    <row r="39" spans="1:81">
      <c r="A39" s="15">
        <v>12</v>
      </c>
      <c r="B39" s="33" t="s">
        <v>485</v>
      </c>
      <c r="C39" s="612">
        <f>'Monthly Profiles'!C17</f>
        <v>1</v>
      </c>
      <c r="D39" s="69">
        <f>'Monthly Profiles'!D17</f>
        <v>1</v>
      </c>
      <c r="E39" s="64">
        <f>'Monthly Profiles'!E17</f>
        <v>0.85</v>
      </c>
      <c r="F39" s="42">
        <f>DHW!N64</f>
        <v>0.76582056075532934</v>
      </c>
      <c r="G39" s="90">
        <f>'Monthly Profiles'!G17</f>
        <v>52.850464544718484</v>
      </c>
      <c r="H39" s="58">
        <f t="shared" ref="H39:S39" si="37">H17</f>
        <v>0.83664164971592903</v>
      </c>
      <c r="I39" s="59">
        <f t="shared" si="37"/>
        <v>0.83664164971592903</v>
      </c>
      <c r="J39" s="59">
        <f t="shared" si="37"/>
        <v>0.83664164971592903</v>
      </c>
      <c r="K39" s="59">
        <f t="shared" si="37"/>
        <v>1.0967699665858615</v>
      </c>
      <c r="L39" s="59">
        <f t="shared" si="37"/>
        <v>1.0967699665858615</v>
      </c>
      <c r="M39" s="59">
        <f t="shared" si="37"/>
        <v>1.010625275424766</v>
      </c>
      <c r="N39" s="59">
        <f t="shared" si="37"/>
        <v>1.1509530689285548</v>
      </c>
      <c r="O39" s="59">
        <f t="shared" si="37"/>
        <v>1.1369170125928769</v>
      </c>
      <c r="P39" s="59">
        <f t="shared" si="37"/>
        <v>1.2725933719095215</v>
      </c>
      <c r="Q39" s="59">
        <f t="shared" si="37"/>
        <v>0.92131381900420672</v>
      </c>
      <c r="R39" s="59">
        <f t="shared" si="37"/>
        <v>0</v>
      </c>
      <c r="S39" s="732">
        <f t="shared" si="37"/>
        <v>1.154258712676234</v>
      </c>
      <c r="T39" s="14">
        <f>IF(NewConst!$F$286="yes", Appliances!$AF$125, 'Monthly Profiles'!T17)</f>
        <v>2.0456097066410499</v>
      </c>
      <c r="U39" s="818">
        <f>IF(NewConst!$F$303="YES", IF(NewConst!$F$304="yes", Appliances!$AG$125, 'Monthly Profiles'!$U17), 0)</f>
        <v>0.70511546706187678</v>
      </c>
      <c r="V39" s="14">
        <f>IF(NewConst!F$247="yes", (IF(Appliances!AF$237="yes",IF(AND(Appliances!AF$238="yes",G39&lt;70),Appliances!AF$267+(Appliances!AF$267*((1/Appliances!AF$257)*(70-G39)+(G39-NewConst!F$112))/(NewConst!F$112-G39)),0),IF(Appliances!AF$238="yes",Appliances!AF$267+(Appliances!AF$267*((1/Appliances!AF$257)*(Appliances!AF$258-G39)+(G39-NewConst!F$112))/(NewConst!F$112-G39)),Appliances!AF$267)*(Appliances!AF$261/365))), 'Monthly Profiles'!V17)</f>
        <v>8.4053494537305156</v>
      </c>
      <c r="W39" s="599">
        <f>(3.5+1.17*N_br)*MAX((105-G39)/(NewConst!$F$112-G39),0)+HLOOKUP(NewConst!$F$153 &amp; ", " &amp; NewConst!$F$151 &amp; ", " &amp; NewConst!$F$156 &amp; ", " &amp; NewConst!$F$154,'Monthly Profiles'!$BG$25:$BQ$40,A39+3,FALSE )</f>
        <v>4.7384373915435836</v>
      </c>
      <c r="X39" s="599">
        <f>(14+4.67*N_br)*MAX((105-G39)/(NewConst!$F$112-G39),0)+HLOOKUP(NewConst!$F$153 &amp; ", " &amp; NewConst!$F$151 &amp; ", " &amp; NewConst!$F$156 &amp; ", " &amp; NewConst!$F$154,'Monthly Profiles'!$AU$25:$BE$39,A39+3,FALSE )</f>
        <v>18.933470946809667</v>
      </c>
      <c r="Y39" s="599">
        <f>(12.5+4.16*N_br)*MAX((105-G39)/(NewConst!$F$112-G39),0)+HLOOKUP(NewConst!$F$153 &amp; ", " &amp; NewConst!$F$151 &amp; ", " &amp; NewConst!$F$156 &amp; ", " &amp; NewConst!$F$154,'Monthly Profiles'!$BS$25:$CC$39,A39+3,FALSE )</f>
        <v>16.885330390978421</v>
      </c>
      <c r="Z39" s="818">
        <f>IF(NewConst!F$135&gt;0,(0.028*NewConst!$F$38)*MAX((105-$G39)/(NewConst!$F$112-$G39),0),0)</f>
        <v>3.7853422814042896</v>
      </c>
      <c r="AA39" s="599">
        <f t="shared" si="11"/>
        <v>51.00819788970324</v>
      </c>
      <c r="AB39" s="818">
        <f>IF(HomeType=2,IF(NewConst!F$249="YES",IF(NewConst!$F$135&gt;0,IF(NewConst!$F$303="YES",SUM(U39,V39,Z39),SUM(V39,Z39)),IF(NewConst!$F$303="YES",SUM(U39,V39),V39)),IF(NewConst!$F$135&gt;0,IF(NewConst!$F$303="YES",SUM(U39,Z39),SUM(Z39)),IF(NewConst!$F$303="YES",SUM(U39),0))),0)</f>
        <v>0</v>
      </c>
      <c r="AC39" s="604">
        <f>HLOOKUP(NewConst!$F$153 &amp; ", " &amp; NewConst!$F$151 &amp; ", " &amp; NewConst!$F$156 &amp; ", " &amp; NewConst!$F$154,'Monthly Profiles'!$AI$25:$AS$40,A39+3,FALSE )</f>
        <v>4363.9783148114047</v>
      </c>
      <c r="AD39" s="609">
        <f>IF(NewConst!$F$154="Timer control",(18135+2538*N_br+(-12265-1495*N_br)*R_ins/2)/(8.33*((120-'Monthly Profiles'!G39)*4184*0.00023886)),IF(NewConst!$F$154="Demand control",(-3648+2344*N_br+(-1328-761*N_br)*R_ins/2)/(8.33*((120-'Monthly Profiles'!G39)*4184*0.000238861)),0))</f>
        <v>0</v>
      </c>
      <c r="AE39" s="734">
        <f>IF(NewConst!$F$203=NewConst!$I$203,'Detailed Lighting'!BB22,Lighting!BC32)</f>
        <v>0.1204087334139272</v>
      </c>
      <c r="AI39" s="1211">
        <f>('Monthly Profiles'!$Z$20+735*(N_br-3)-(948+158*(N_br-3))*R_ins/2)*(1+1/'Monthly Profiles'!$Z$20*(362+(63*(N_br-3)))*SIN(2*PI()*('Monthly Profiles'!$A39/12)+0.3))</f>
        <v>4363.9783148114047</v>
      </c>
      <c r="AJ39" s="460">
        <f>('Monthly Profiles'!$Z$20-1047-732*R_ins/2)*(1+1/'Monthly Profiles'!$Z$20*735*(N_br-3)+1/'Monthly Profiles'!$Z$20*(362+(63*(N_br-3)))*SIN(2*PI()*('Monthly Profiles'!$A39/12)+0.3))</f>
        <v>3290.6672282228346</v>
      </c>
      <c r="AK39" s="460">
        <f>('Monthly Profiles'!$Z$20+735*(N_br-3)-(3356+589*(N_br-3))-(90+11*(N_br-3))*R_ins/2)*(1+1/'Monthly Profiles'!$Z$20*(362+(63*(N_br-3)))*SIN(2*PI()*('Monthly Profiles'!$A39/12)+0.3))</f>
        <v>923.64210985320074</v>
      </c>
      <c r="AL39" s="460">
        <f>('Monthly Profiles'!$Z$20-1047)*(1+1/'Monthly Profiles'!$Z$20*735*(N_br-3)-1/'Monthly Profiles'!$Z$20*(3356+589*(N_br-3)+(90+11*(N_br-3))*R_ins/2))*(1+1/'Monthly Profiles'!$Z$20*(362+(63*(N_br-3)))*SIN(2*PI()*('Monthly Profiles'!$A39/12)+0.3))</f>
        <v>696.47431821206817</v>
      </c>
      <c r="AM39" s="460">
        <f>('Monthly Profiles'!$Z$20+735*(N_br-3)-(1142+378*(N_br-3))-(649+73*(N_br-3))*R_ins/2)*(1+1/'Monthly Profiles'!$Z$20*(362+(63*(N_br-3)))*SIN(2*PI()*('Monthly Profiles'!$A39/12)+0.3))</f>
        <v>3193.279880347081</v>
      </c>
      <c r="AN39" s="463">
        <f>('Monthly Profiles'!$Z$20+735*(N_br-3)-(1142+378*(N_br-3)))*(1-1/'Monthly Profiles'!$Z$20*(3356+589*(N_br-3)+(90+11*(N_br-3))*R_ins/2))*(1+1/'Monthly Profiles'!$Z$20*(362+(63*(N_br-3)))*SIN(2*PI()*('Monthly Profiles'!$A39/12)+0.3))</f>
        <v>675.86214991607221</v>
      </c>
      <c r="AO39" s="465">
        <f>('Monthly Profiles'!$Z$20+735*(N_br-3)+(20148+2140*(N_br-3))-(11956+1355*(N_br-3))*R_ins/2)*(1+1/'Monthly Profiles'!$Z$20*(362+(63*(N_br-3)))*SIN(2*PI()*('Monthly Profiles'!$A39/12)+0.3))</f>
        <v>25018.297104292302</v>
      </c>
      <c r="AP39" s="465">
        <f>('Monthly Profiles'!$Z$20+735*(N_br-3)+(1458+1066*(N_br-3))-(1332+545*(N_br-3))*R_ins/2)*(1+1/'Monthly Profiles'!$Z$20*(362+(63*(N_br-3)))*SIN(2*PI()*('Monthly Profiles'!$A39/12)+0.3))</f>
        <v>5858.6178222098133</v>
      </c>
      <c r="AQ39" s="465">
        <f>('Monthly Profiles'!$Z$20-1047)*(1+1/'Monthly Profiles'!$Z$20*735*(N_br-3)+1/'Monthly Profiles'!$Z$20*(20148+2140*(N_br-3))-1/'Monthly Profiles'!$Z$20*((11956+1355*(N_br-3))*R_ins/2))*(1+1/'Monthly Profiles'!$Z$20*(362+(63*(N_br-3)))*SIN(2*PI()*('Monthly Profiles'!$A39/12)+0.3))</f>
        <v>18865.100705844088</v>
      </c>
      <c r="AR39" s="465">
        <f>('Monthly Profiles'!$Z$20-1047)*(1+1/'Monthly Profiles'!$Z$20*735*(N_br-3)+1/'Monthly Profiles'!$Z$20*(1458+1066*(N_br-3))-1/'Monthly Profiles'!$Z$20*((1332+545*(N_br-3))*R_ins/2))*(1+1/'Monthly Profiles'!$Z$20*(362+(63*(N_br-3)))*SIN(2*PI()*('Monthly Profiles'!$A39/12)+0.3))</f>
        <v>4417.7033613562371</v>
      </c>
      <c r="AS39" s="462">
        <f>'Monthly Profiles'!AC17</f>
        <v>4363.9783148114047</v>
      </c>
      <c r="AT39" s="1219"/>
      <c r="AU39" s="467">
        <f t="shared" si="12"/>
        <v>0</v>
      </c>
      <c r="AV39" s="467">
        <f t="shared" si="13"/>
        <v>-0.85</v>
      </c>
      <c r="AW39" s="468">
        <f>(-1.14-0.36*(N_br)+(-0.34-0.08*(N_br))*R_ins/2)*(1+0.11*SIN(2*PI()*('Monthly Profiles'!$A39/12)+0.3))</f>
        <v>-2.2921660344666983</v>
      </c>
      <c r="AX39" s="468">
        <f>-0.85+('Monthly Profiles'!$X$18-0.85)/'Monthly Profiles'!$X$18*((-1.14-0.36*(N_br)+(-0.34-0.08*(N_br))*R_ins/2)*(1+0.11*SIN(2*PI()*('Monthly Profiles'!$A39/12)+0.3)))</f>
        <v>-3.050162787014457</v>
      </c>
      <c r="AY39" s="468">
        <f t="shared" si="14"/>
        <v>-1.21</v>
      </c>
      <c r="AZ39" s="466">
        <f>-0.52-0.23*N_br+('Monthly Profiles'!$X$18-0.52-0.23*N_br)/'Monthly Profiles'!$X$18*((-1.14-0.36*(N_br)+(-0.34-0.08*(N_br))*R_ins/2)*(1+0.11*SIN(2*PI()*('Monthly Profiles'!$A39/12)+0.3)))</f>
        <v>-3.3711967057405667</v>
      </c>
      <c r="BA39" s="469">
        <f t="shared" si="15"/>
        <v>-1.4</v>
      </c>
      <c r="BB39" s="469">
        <f t="shared" si="16"/>
        <v>-1.56</v>
      </c>
      <c r="BC39" s="469">
        <f>-0.85+('Monthly Profiles'!$X$18-0.85)/'Monthly Profiles'!$X$18*((-2.15+0.25*(N_br)+(-0.16-0.08*(N_br))*R_ins/2))</f>
        <v>-2.1938066246090648</v>
      </c>
      <c r="BD39" s="469">
        <f>-0.85+('Monthly Profiles'!$X$18-0.85)/'Monthly Profiles'!$X$18*((-2.61+0.35*(N_br)+(0.05-0.13*(N_br))*R_ins/2))</f>
        <v>-2.347384524564387</v>
      </c>
      <c r="BE39" s="467">
        <f>0</f>
        <v>0</v>
      </c>
      <c r="BF39" s="1219"/>
      <c r="BG39" s="467">
        <f t="shared" si="17"/>
        <v>0</v>
      </c>
      <c r="BH39" s="467">
        <f t="shared" si="18"/>
        <v>-0.12</v>
      </c>
      <c r="BI39" s="468">
        <f>(-0.28-0.11*(N_br)+(0.06-0.04*(N_br))*R_ins/2)*(1+0.13*SIN(2*PI()*('Monthly Profiles'!$A39/12)+0.3))</f>
        <v>-0.63343475238824432</v>
      </c>
      <c r="BJ39" s="468">
        <f>-0.12+('Monthly Profiles'!$W$18-0.12)/'Monthly Profiles'!$W$18*((-0.28-0.11*(N_br)+(0.06-0.04*(N_br))*R_ins/2)*(1+0.13*SIN(2*PI()*('Monthly Profiles'!$A39/12)+0.3)))</f>
        <v>-0.73909253232547401</v>
      </c>
      <c r="BK39" s="468">
        <f t="shared" si="19"/>
        <v>-0.21000000000000002</v>
      </c>
      <c r="BL39" s="466">
        <f>-0.06-0.05*N_br+('Monthly Profiles'!$W$18-0.06-0.05*N_br)/'Monthly Profiles'!$W$18*((-0.28-0.11*(N_br)+(0.06-0.04*(N_br))*R_ins/2)*(1+0.13*SIN(2*PI()*('Monthly Profiles'!$A39/12)+0.3)))</f>
        <v>-0.81833586727839625</v>
      </c>
      <c r="BM39" s="469">
        <f t="shared" si="20"/>
        <v>-0.15000000000000002</v>
      </c>
      <c r="BN39" s="469">
        <f t="shared" si="21"/>
        <v>-0.23</v>
      </c>
      <c r="BO39" s="469">
        <f>-0.12+('Monthly Profiles'!$W$18-0.12)/'Monthly Profiles'!$W$18*((-0.27+0.04*(N_br)+(-0.01-0.03*(N_br))*R_ins/2))</f>
        <v>-0.26660370227351066</v>
      </c>
      <c r="BP39" s="469">
        <f>-0.12+('Monthly Profiles'!$W$18-0.12)/'Monthly Profiles'!$W$18*((-0.26+0.01*(N_br)+(-0.03-0*(N_br))*R_ins/2))</f>
        <v>-0.34479234348604965</v>
      </c>
      <c r="BQ39" s="467">
        <f>0</f>
        <v>0</v>
      </c>
      <c r="BR39" s="1219"/>
      <c r="BS39" s="467">
        <f t="shared" si="22"/>
        <v>0</v>
      </c>
      <c r="BT39" s="467">
        <f t="shared" si="23"/>
        <v>-1.69</v>
      </c>
      <c r="BU39" s="468">
        <f>(-0.89-0.32*(N_br)+(-1.86+0.31*(N_br))*R_ins/2)*(1+0.16*SIN(2*PI()*('Monthly Profiles'!$A39/12)+0.3))</f>
        <v>-1.9374739811717563</v>
      </c>
      <c r="BV39" s="468">
        <f>-1.69+('Monthly Profiles'!$Y$18-1.69)/'Monthly Profiles'!$Y$18*((-0.89-0.32*(N_br)+(-1.86+0.31*(N_br))*R_ins/2)*(1+0.16*SIN(2*PI()*('Monthly Profiles'!$A39/12)+0.3)))</f>
        <v>-3.4541010000807875</v>
      </c>
      <c r="BW39" s="468">
        <f t="shared" si="24"/>
        <v>-1.9500000000000002</v>
      </c>
      <c r="BX39" s="466">
        <f>0.21-0.72*N_br+('Monthly Profiles'!$Y$18+0.21-0.72*N_br)/'Monthly Profiles'!$Y$18*((-0.89-0.32*(N_br)+(-1.86+0.31*(N_br))*R_ins/2)*(1+0.16*SIN(2*PI()*('Monthly Profiles'!$A39/12)+0.3)))</f>
        <v>-3.6874282337591002</v>
      </c>
      <c r="BY39" s="469">
        <f t="shared" si="25"/>
        <v>-4.8599999999999994</v>
      </c>
      <c r="BZ39" s="469">
        <f t="shared" si="26"/>
        <v>-4.07</v>
      </c>
      <c r="CA39" s="469">
        <f>-1.69+('Monthly Profiles'!$Y$18-1.69)/'Monthly Profiles'!$Y$18*((-2.01-0.95*(N_br)+(-0.36-0.13*(N_br))*R_ins/2))</f>
        <v>-6.1151076111006546</v>
      </c>
      <c r="CB39" s="469">
        <f>-1.69+('Monthly Profiles'!$Y$18-1.69)/'Monthly Profiles'!$Y$18*((-1.34-0.91*(N_br)+(-0.64-0.07*(N_br))*R_ins/2))</f>
        <v>-5.3957999953044595</v>
      </c>
      <c r="CC39" s="1210">
        <f>0</f>
        <v>0</v>
      </c>
    </row>
    <row r="40" spans="1:81" ht="23.25" thickBot="1">
      <c r="A40" s="13"/>
      <c r="B40" s="13"/>
      <c r="C40" s="13"/>
      <c r="D40" s="13"/>
      <c r="E40" s="13"/>
      <c r="F40" s="70" t="s">
        <v>82</v>
      </c>
      <c r="G40" s="89">
        <f>'Monthly Profiles'!G18</f>
        <v>57.722899711599034</v>
      </c>
      <c r="H40" s="1550">
        <f t="shared" ref="H40:S40" si="38">SUM(H28:H39)</f>
        <v>12.000000000000002</v>
      </c>
      <c r="I40" s="1551">
        <f t="shared" si="38"/>
        <v>12.000000000000002</v>
      </c>
      <c r="J40" s="1551">
        <f t="shared" si="38"/>
        <v>12.000000000000002</v>
      </c>
      <c r="K40" s="1551">
        <f t="shared" si="38"/>
        <v>12.000000000000002</v>
      </c>
      <c r="L40" s="1551">
        <f t="shared" si="38"/>
        <v>12.000000000000002</v>
      </c>
      <c r="M40" s="1551">
        <f t="shared" si="38"/>
        <v>12</v>
      </c>
      <c r="N40" s="1551">
        <f t="shared" si="38"/>
        <v>12</v>
      </c>
      <c r="O40" s="1551">
        <f t="shared" si="38"/>
        <v>11.999999999999998</v>
      </c>
      <c r="P40" s="1551">
        <f t="shared" si="38"/>
        <v>12</v>
      </c>
      <c r="Q40" s="1551">
        <f t="shared" si="38"/>
        <v>11.999999999999998</v>
      </c>
      <c r="R40" s="1551">
        <f t="shared" si="38"/>
        <v>12</v>
      </c>
      <c r="S40" s="1552">
        <f t="shared" si="38"/>
        <v>12</v>
      </c>
      <c r="T40" s="89">
        <f>IF(NewConst!$F$286="yes", Appliances!$AF$125, 'Monthly Profiles'!T18)</f>
        <v>2.0456097066410499</v>
      </c>
      <c r="U40" s="819">
        <f>IF(NewConst!$F$303="YES", IF(NewConst!$F$304="yes", Appliances!$AG$125, 'Monthly Profiles'!$U18), 0)</f>
        <v>0.70511546706187678</v>
      </c>
      <c r="V40" s="89">
        <f>IF(NewConst!F247="yes", (V28*'Monthly Profiles'!D47+V29*'Monthly Profiles'!D48+V30*'Monthly Profiles'!D49+V31*'Monthly Profiles'!D50+V32*'Monthly Profiles'!D51+V33*'Monthly Profiles'!D52+V34*'Monthly Profiles'!D53+V35*'Monthly Profiles'!D54+V36*'Monthly Profiles'!D55+V37*'Monthly Profiles'!D56+V38*'Monthly Profiles'!D57+V39*'Monthly Profiles'!D58)/365, 'Monthly Profiles'!V18)</f>
        <v>7.7888641707661952</v>
      </c>
      <c r="W40" s="610">
        <f>(W28*'Monthly Profiles'!$D$47+W29*'Monthly Profiles'!$D$48+W30*'Monthly Profiles'!$D$49+W31*'Monthly Profiles'!$D$50+W32*'Monthly Profiles'!$D$51+W33*'Monthly Profiles'!$D$52+W34*'Monthly Profiles'!$D$53+W35*'Monthly Profiles'!$D$54+W36*'Monthly Profiles'!$D$55+W37*'Monthly Profiles'!$D$56+W38*'Monthly Profiles'!$D$57+W39*'Monthly Profiles'!$D$58)/365</f>
        <v>4.562280967222164</v>
      </c>
      <c r="X40" s="610">
        <f>(X28*'Monthly Profiles'!$D$47+X29*'Monthly Profiles'!$D$48+X30*'Monthly Profiles'!$D$49+X31*'Monthly Profiles'!$D$50+X32*'Monthly Profiles'!$D$51+X33*'Monthly Profiles'!$D$52+X34*'Monthly Profiles'!$D$53+X35*'Monthly Profiles'!$D$54+X36*'Monthly Profiles'!$D$55+X37*'Monthly Profiles'!$D$56+X38*'Monthly Profiles'!$D$57+X39*'Monthly Profiles'!$D$58)/365</f>
        <v>18.229599128658034</v>
      </c>
      <c r="Y40" s="610">
        <f>(Y28*'Monthly Profiles'!D47+Y29*'Monthly Profiles'!D48+Y30*'Monthly Profiles'!D49+Y31*'Monthly Profiles'!D50+Y32*'Monthly Profiles'!D51+Y33*'Monthly Profiles'!D52+Y34*'Monthly Profiles'!D53+Y35*'Monthly Profiles'!D54+Y36*'Monthly Profiles'!D55+Y37*'Monthly Profiles'!D56+Y38*'Monthly Profiles'!D57+Y39*'Monthly Profiles'!D58)/365</f>
        <v>16.257600365365143</v>
      </c>
      <c r="Z40" s="819">
        <f>(0.028*NewConst!$F$38)*MAX((105-$G40)/(NewConst!$F$112-$G40),0)+HLOOKUP(NewConst!$F$153 &amp; ", " &amp; NewConst!$F$151 &amp; ", " &amp; NewConst!$F$156 &amp; ", " &amp; NewConst!$F$154,'Monthly Profiles'!$BS$25:$CC$39,$A40+3,FALSE )</f>
        <v>3.6630102834594878</v>
      </c>
      <c r="AA40" s="610">
        <f>(AA28*'Monthly Profiles'!$D$47+AA29*'Monthly Profiles'!$D$48+AA30*'Monthly Profiles'!$D$49+AA31*'Monthly Profiles'!$D$50+AA32*'Monthly Profiles'!$D$51+AA33*'Monthly Profiles'!$D$52+AA34*'Monthly Profiles'!$D$53+AA35*'Monthly Profiles'!$D$54+AA36*'Monthly Profiles'!$D$55+AA37*'Monthly Profiles'!$D$56+AA38*'Monthly Profiles'!$D$57+AA39*'Monthly Profiles'!$D$58)/365</f>
        <v>48.883954338652593</v>
      </c>
      <c r="AB40" s="819">
        <f>IF(HomeType=2,IF(NewConst!F$249="YES",IF(NewConst!$F$135&gt;0,IF(NewConst!$F$303="YES",SUM(U40,V40,Z40),SUM(V40,Z40)),IF(NewConst!$F$303="YES",SUM(U40,V40),V40)),IF(NewConst!$F$135&gt;0,IF(NewConst!$F$303="YES",SUM(U40,Z40),SUM(Z40)),IF(NewConst!$F$303="YES",SUM(U40),0))),0)</f>
        <v>0</v>
      </c>
      <c r="AC40" s="613">
        <f>(AC28*'Monthly Profiles'!$D$47+AC29*'Monthly Profiles'!$D$48+AC30*'Monthly Profiles'!$D$49+AC31*'Monthly Profiles'!$D$50+AC32*'Monthly Profiles'!$D$51+AC33*'Monthly Profiles'!$D$52+AC34*'Monthly Profiles'!$D$53+AC35*'Monthly Profiles'!$D$54+AC36*'Monthly Profiles'!$D$55+AC37*'Monthly Profiles'!$D$56+AC38*'Monthly Profiles'!$D$57+AC39*'Monthly Profiles'!$D$58)/365</f>
        <v>4254.8852198547174</v>
      </c>
      <c r="AD40" s="614">
        <f>(AD28*'Monthly Profiles'!$D$47+AD29*'Monthly Profiles'!$D$48+AD30*'Monthly Profiles'!$D$49+AD31*'Monthly Profiles'!$D$50+AD32*'Monthly Profiles'!$D$51+AD33*'Monthly Profiles'!$D$52+AD34*'Monthly Profiles'!$D$53+AD35*'Monthly Profiles'!$D$54+AD36*'Monthly Profiles'!$D$55+AD37*'Monthly Profiles'!$D$56+AD38*'Monthly Profiles'!$D$57+AD39*'Monthly Profiles'!$D$58)/365</f>
        <v>0</v>
      </c>
      <c r="AE40" s="735">
        <f>SUM(AE28:AE39)</f>
        <v>1</v>
      </c>
      <c r="AI40" s="1209">
        <f>(AI28*'Monthly Profiles'!$D$47+AI29*'Monthly Profiles'!$D$48+AI30*'Monthly Profiles'!$D$49+AI31*'Monthly Profiles'!$D$50+AI32*'Monthly Profiles'!$D$51+AI33*'Monthly Profiles'!$D$52+AI34*'Monthly Profiles'!$D$53+AI35*'Monthly Profiles'!$D$54+AI36*'Monthly Profiles'!$D$55+AI37*'Monthly Profiles'!$D$56+AI38*'Monthly Profiles'!$D$57+AI39*'Monthly Profiles'!$D$58)/365</f>
        <v>4254.8852198547174</v>
      </c>
      <c r="AJ40" s="1208">
        <f>(AJ28*'Monthly Profiles'!$D$47+AJ29*'Monthly Profiles'!$D$48+AJ30*'Monthly Profiles'!$D$49+AJ31*'Monthly Profiles'!$D$50+AJ32*'Monthly Profiles'!$D$51+AJ33*'Monthly Profiles'!$D$52+AJ34*'Monthly Profiles'!$D$53+AJ35*'Monthly Profiles'!$D$54+AJ36*'Monthly Profiles'!$D$55+AJ37*'Monthly Profiles'!$D$56+AJ38*'Monthly Profiles'!$D$57+AJ39*'Monthly Profiles'!$D$58)/365</f>
        <v>3208.4053454859386</v>
      </c>
      <c r="AK40" s="1208">
        <f>(AK28*'Monthly Profiles'!$D$47+AK29*'Monthly Profiles'!$D$48+AK30*'Monthly Profiles'!$D$49+AK31*'Monthly Profiles'!$D$50+AK32*'Monthly Profiles'!$D$51+AK33*'Monthly Profiles'!$D$52+AK34*'Monthly Profiles'!$D$53+AK35*'Monthly Profiles'!$D$54+AK36*'Monthly Profiles'!$D$55+AK37*'Monthly Profiles'!$D$56+AK38*'Monthly Profiles'!$D$57+AK39*'Monthly Profiles'!$D$58)/365</f>
        <v>900.55240382642694</v>
      </c>
      <c r="AL40" s="1208">
        <f>(AL28*'Monthly Profiles'!$D$47+AL29*'Monthly Profiles'!$D$48+AL30*'Monthly Profiles'!$D$49+AL31*'Monthly Profiles'!$D$50+AL32*'Monthly Profiles'!$D$51+AL33*'Monthly Profiles'!$D$52+AL34*'Monthly Profiles'!$D$53+AL35*'Monthly Profiles'!$D$54+AL36*'Monthly Profiles'!$D$55+AL37*'Monthly Profiles'!$D$56+AL38*'Monthly Profiles'!$D$57+AL39*'Monthly Profiles'!$D$58)/365</f>
        <v>679.06347575354255</v>
      </c>
      <c r="AM40" s="1208">
        <f>(AM28*'Monthly Profiles'!$D$47+AM29*'Monthly Profiles'!$D$48+AM30*'Monthly Profiles'!$D$49+AM31*'Monthly Profiles'!$D$50+AM32*'Monthly Profiles'!$D$51+AM33*'Monthly Profiles'!$D$52+AM34*'Monthly Profiles'!$D$53+AM35*'Monthly Profiles'!$D$54+AM36*'Monthly Profiles'!$D$55+AM37*'Monthly Profiles'!$D$56+AM38*'Monthly Profiles'!$D$57+AM39*'Monthly Profiles'!$D$58)/365</f>
        <v>3113.4525393111212</v>
      </c>
      <c r="AN40" s="1208">
        <f>(AN28*'Monthly Profiles'!$D$47+AN29*'Monthly Profiles'!$D$48+AN30*'Monthly Profiles'!$D$49+AN31*'Monthly Profiles'!$D$50+AN32*'Monthly Profiles'!$D$51+AN33*'Monthly Profiles'!$D$52+AN34*'Monthly Profiles'!$D$53+AN35*'Monthly Profiles'!$D$54+AN36*'Monthly Profiles'!$D$55+AN37*'Monthly Profiles'!$D$56+AN38*'Monthly Profiles'!$D$57+AN39*'Monthly Profiles'!$D$58)/365</f>
        <v>658.96658161130358</v>
      </c>
      <c r="AO40" s="1207">
        <f>(AO28*'Monthly Profiles'!$D$47+AO29*'Monthly Profiles'!$D$48+AO30*'Monthly Profiles'!$D$49+AO31*'Monthly Profiles'!$D$50+AO32*'Monthly Profiles'!$D$51+AO33*'Monthly Profiles'!$D$52+AO34*'Monthly Profiles'!$D$53+AO35*'Monthly Profiles'!$D$54+AO36*'Monthly Profiles'!$D$55+AO37*'Monthly Profiles'!$D$56+AO38*'Monthly Profiles'!$D$57+AO39*'Monthly Profiles'!$D$58)/365</f>
        <v>24392.87615469917</v>
      </c>
      <c r="AP40" s="1207">
        <f>(AP28*'Monthly Profiles'!$D$47+AP29*'Monthly Profiles'!$D$48+AP30*'Monthly Profiles'!$D$49+AP31*'Monthly Profiles'!$D$50+AP32*'Monthly Profiles'!$D$51+AP33*'Monthly Profiles'!$D$52+AP34*'Monthly Profiles'!$D$53+AP35*'Monthly Profiles'!$D$54+AP36*'Monthly Profiles'!$D$55+AP37*'Monthly Profiles'!$D$56+AP38*'Monthly Profiles'!$D$57+AP39*'Monthly Profiles'!$D$58)/365</f>
        <v>5712.1609188324437</v>
      </c>
      <c r="AQ40" s="1207">
        <f>(AQ28*'Monthly Profiles'!$D$47+AQ29*'Monthly Profiles'!$D$48+AQ30*'Monthly Profiles'!$D$49+AQ31*'Monthly Profiles'!$D$50+AQ32*'Monthly Profiles'!$D$51+AQ33*'Monthly Profiles'!$D$52+AQ34*'Monthly Profiles'!$D$53+AQ35*'Monthly Profiles'!$D$54+AQ36*'Monthly Profiles'!$D$55+AQ37*'Monthly Profiles'!$D$56+AQ38*'Monthly Profiles'!$D$57+AQ39*'Monthly Profiles'!$D$58)/365</f>
        <v>18393.50069452298</v>
      </c>
      <c r="AR40" s="1207">
        <f>(AR28*'Monthly Profiles'!$D$47+AR29*'Monthly Profiles'!$D$48+AR30*'Monthly Profiles'!$D$49+AR31*'Monthly Profiles'!$D$50+AR32*'Monthly Profiles'!$D$51+AR33*'Monthly Profiles'!$D$52+AR34*'Monthly Profiles'!$D$53+AR35*'Monthly Profiles'!$D$54+AR36*'Monthly Profiles'!$D$55+AR37*'Monthly Profiles'!$D$56+AR38*'Monthly Profiles'!$D$57+AR39*'Monthly Profiles'!$D$58)/365</f>
        <v>4307.2672185699175</v>
      </c>
      <c r="AS40" s="1206">
        <f>(AS28*'Monthly Profiles'!$D$47+AS29*'Monthly Profiles'!$D$48+AS30*'Monthly Profiles'!$D$49+AS31*'Monthly Profiles'!$D$50+AS32*'Monthly Profiles'!$D$51+AS33*'Monthly Profiles'!$D$52+AS34*'Monthly Profiles'!$D$53+AS35*'Monthly Profiles'!$D$54+AS36*'Monthly Profiles'!$D$55+AS37*'Monthly Profiles'!$D$56+AS38*'Monthly Profiles'!$D$57+AS39*'Monthly Profiles'!$D$58)/365</f>
        <v>4254.8852198547174</v>
      </c>
      <c r="AT40" s="1205"/>
      <c r="AU40" s="1204">
        <f>(AU28*'Monthly Profiles'!$D$47+AU29*'Monthly Profiles'!$D$48+AU30*'Monthly Profiles'!$D$49+AU31*'Monthly Profiles'!$D$50+AU32*'Monthly Profiles'!$D$51+AU33*'Monthly Profiles'!$D$52+AU34*'Monthly Profiles'!$D$53+AU35*'Monthly Profiles'!$D$54+AU36*'Monthly Profiles'!$D$55+AU37*'Monthly Profiles'!$D$56+AU38*'Monthly Profiles'!$D$57+AU39*'Monthly Profiles'!$D$58)/365</f>
        <v>0</v>
      </c>
      <c r="AV40" s="1203">
        <f>(AV28*'Monthly Profiles'!$D$47+AV29*'Monthly Profiles'!$D$48+AV30*'Monthly Profiles'!$D$49+AV31*'Monthly Profiles'!$D$50+AV32*'Monthly Profiles'!$D$51+AV33*'Monthly Profiles'!$D$52+AV34*'Monthly Profiles'!$D$53+AV35*'Monthly Profiles'!$D$54+AV36*'Monthly Profiles'!$D$55+AV37*'Monthly Profiles'!$D$56+AV38*'Monthly Profiles'!$D$57+AV39*'Monthly Profiles'!$D$58)/365</f>
        <v>-0.85</v>
      </c>
      <c r="AW40" s="1203">
        <f>(AW28*'Monthly Profiles'!$D$47+AW29*'Monthly Profiles'!$D$48+AW30*'Monthly Profiles'!$D$49+AW31*'Monthly Profiles'!$D$50+AW32*'Monthly Profiles'!$D$51+AW33*'Monthly Profiles'!$D$52+AW34*'Monthly Profiles'!$D$53+AW35*'Monthly Profiles'!$D$54+AW36*'Monthly Profiles'!$D$55+AW37*'Monthly Profiles'!$D$56+AW38*'Monthly Profiles'!$D$57+AW39*'Monthly Profiles'!$D$58)/365</f>
        <v>-2.2185733996920489</v>
      </c>
      <c r="AX40" s="1203">
        <f>(AX28*'Monthly Profiles'!$D$47+AX29*'Monthly Profiles'!$D$48+AX30*'Monthly Profiles'!$D$49+AX31*'Monthly Profiles'!$D$50+AX32*'Monthly Profiles'!$D$51+AX33*'Monthly Profiles'!$D$52+AX34*'Monthly Profiles'!$D$53+AX35*'Monthly Profiles'!$D$54+AX36*'Monthly Profiles'!$D$55+AX37*'Monthly Profiles'!$D$56+AX38*'Monthly Profiles'!$D$57+AX39*'Monthly Profiles'!$D$58)/365</f>
        <v>-2.9795240226340223</v>
      </c>
      <c r="AY40" s="1203">
        <f>(AY28*'Monthly Profiles'!$D$47+AY29*'Monthly Profiles'!$D$48+AY30*'Monthly Profiles'!$D$49+AY31*'Monthly Profiles'!$D$50+AY32*'Monthly Profiles'!$D$51+AY33*'Monthly Profiles'!$D$52+AY34*'Monthly Profiles'!$D$53+AY35*'Monthly Profiles'!$D$54+AY36*'Monthly Profiles'!$D$55+AY37*'Monthly Profiles'!$D$56+AY38*'Monthly Profiles'!$D$57+AY39*'Monthly Profiles'!$D$58)/365</f>
        <v>-1.21</v>
      </c>
      <c r="AZ40" s="1203">
        <f>(AZ28*'Monthly Profiles'!$D$47+AZ29*'Monthly Profiles'!$D$48+AZ30*'Monthly Profiles'!$D$49+AZ31*'Monthly Profiles'!$D$50+AZ32*'Monthly Profiles'!$D$51+AZ33*'Monthly Profiles'!$D$52+AZ34*'Monthly Profiles'!$D$53+AZ35*'Monthly Profiles'!$D$54+AZ36*'Monthly Profiles'!$D$55+AZ37*'Monthly Profiles'!$D$56+AZ38*'Monthly Profiles'!$D$57+AZ39*'Monthly Profiles'!$D$58)/365</f>
        <v>-3.3018089923506224</v>
      </c>
      <c r="BA40" s="1202">
        <f>(BA28*'Monthly Profiles'!$D$47+BA29*'Monthly Profiles'!$D$48+BA30*'Monthly Profiles'!$D$49+BA31*'Monthly Profiles'!$D$50+BA32*'Monthly Profiles'!$D$51+BA33*'Monthly Profiles'!$D$52+BA34*'Monthly Profiles'!$D$53+BA35*'Monthly Profiles'!$D$54+BA36*'Monthly Profiles'!$D$55+BA37*'Monthly Profiles'!$D$56+BA38*'Monthly Profiles'!$D$57+BA39*'Monthly Profiles'!$D$58)/365</f>
        <v>-1.4</v>
      </c>
      <c r="BB40" s="1202">
        <f>(BB28*'Monthly Profiles'!$D$47+BB29*'Monthly Profiles'!$D$48+BB30*'Monthly Profiles'!$D$49+BB31*'Monthly Profiles'!$D$50+BB32*'Monthly Profiles'!$D$51+BB33*'Monthly Profiles'!$D$52+BB34*'Monthly Profiles'!$D$53+BB35*'Monthly Profiles'!$D$54+BB36*'Monthly Profiles'!$D$55+BB37*'Monthly Profiles'!$D$56+BB38*'Monthly Profiles'!$D$57+BB39*'Monthly Profiles'!$D$58)/365</f>
        <v>-1.5600000000000003</v>
      </c>
      <c r="BC40" s="1202">
        <f>(BC28*'Monthly Profiles'!$D$47+BC29*'Monthly Profiles'!$D$48+BC30*'Monthly Profiles'!$D$49+BC31*'Monthly Profiles'!$D$50+BC32*'Monthly Profiles'!$D$51+BC33*'Monthly Profiles'!$D$52+BC34*'Monthly Profiles'!$D$53+BC35*'Monthly Profiles'!$D$54+BC36*'Monthly Profiles'!$D$55+BC37*'Monthly Profiles'!$D$56+BC38*'Monthly Profiles'!$D$57+BC39*'Monthly Profiles'!$D$58)/365</f>
        <v>-2.1938066246090648</v>
      </c>
      <c r="BD40" s="1202">
        <f>(BD28*'Monthly Profiles'!$D$47+BD29*'Monthly Profiles'!$D$48+BD30*'Monthly Profiles'!$D$49+BD31*'Monthly Profiles'!$D$50+BD32*'Monthly Profiles'!$D$51+BD33*'Monthly Profiles'!$D$52+BD34*'Monthly Profiles'!$D$53+BD35*'Monthly Profiles'!$D$54+BD36*'Monthly Profiles'!$D$55+BD37*'Monthly Profiles'!$D$56+BD38*'Monthly Profiles'!$D$57+BD39*'Monthly Profiles'!$D$58)/365</f>
        <v>-2.3473845245643865</v>
      </c>
      <c r="BE40" s="1204">
        <f>(BE28*'Monthly Profiles'!$D$47+BE29*'Monthly Profiles'!$D$48+BE30*'Monthly Profiles'!$D$49+BE31*'Monthly Profiles'!$D$50+BE32*'Monthly Profiles'!$D$51+BE33*'Monthly Profiles'!$D$52+BE34*'Monthly Profiles'!$D$53+BE35*'Monthly Profiles'!$D$54+BE36*'Monthly Profiles'!$D$55+BE37*'Monthly Profiles'!$D$56+BE38*'Monthly Profiles'!$D$57+BE39*'Monthly Profiles'!$D$58)/365</f>
        <v>0</v>
      </c>
      <c r="BF40" s="1205"/>
      <c r="BG40" s="1204">
        <f>(BG28*'Monthly Profiles'!$D$47+BG29*'Monthly Profiles'!$D$48+BG30*'Monthly Profiles'!$D$49+BG31*'Monthly Profiles'!$D$50+BG32*'Monthly Profiles'!$D$51+BG33*'Monthly Profiles'!$D$52+BG34*'Monthly Profiles'!$D$53+BG35*'Monthly Profiles'!$D$54+BG36*'Monthly Profiles'!$D$55+BG37*'Monthly Profiles'!$D$56+BG38*'Monthly Profiles'!$D$57+BG39*'Monthly Profiles'!$D$58)/365</f>
        <v>0</v>
      </c>
      <c r="BH40" s="1203">
        <f>(BH28*'Monthly Profiles'!$D$47+BH29*'Monthly Profiles'!$D$48+BH30*'Monthly Profiles'!$D$49+BH31*'Monthly Profiles'!$D$50+BH32*'Monthly Profiles'!$D$51+BH33*'Monthly Profiles'!$D$52+BH34*'Monthly Profiles'!$D$53+BH35*'Monthly Profiles'!$D$54+BH36*'Monthly Profiles'!$D$55+BH37*'Monthly Profiles'!$D$56+BH38*'Monthly Profiles'!$D$57+BH39*'Monthly Profiles'!$D$58)/365</f>
        <v>-0.12</v>
      </c>
      <c r="BI40" s="1203">
        <f>(BI28*'Monthly Profiles'!$D$47+BI29*'Monthly Profiles'!$D$48+BI30*'Monthly Profiles'!$D$49+BI31*'Monthly Profiles'!$D$50+BI32*'Monthly Profiles'!$D$51+BI33*'Monthly Profiles'!$D$52+BI34*'Monthly Profiles'!$D$53+BI35*'Monthly Profiles'!$D$54+BI36*'Monthly Profiles'!$D$55+BI37*'Monthly Profiles'!$D$56+BI38*'Monthly Profiles'!$D$57+BI39*'Monthly Profiles'!$D$58)/365</f>
        <v>-0.60953673462563296</v>
      </c>
      <c r="BJ40" s="1203">
        <f>(BJ28*'Monthly Profiles'!$D$47+BJ29*'Monthly Profiles'!$D$48+BJ30*'Monthly Profiles'!$D$49+BJ31*'Monthly Profiles'!$D$50+BJ32*'Monthly Profiles'!$D$51+BJ33*'Monthly Profiles'!$D$52+BJ34*'Monthly Profiles'!$D$53+BJ35*'Monthly Profiles'!$D$54+BJ36*'Monthly Profiles'!$D$55+BJ37*'Monthly Profiles'!$D$56+BJ38*'Monthly Profiles'!$D$57+BJ39*'Monthly Profiles'!$D$58)/365</f>
        <v>-0.7157356131188275</v>
      </c>
      <c r="BK40" s="1203">
        <f>(BK28*'Monthly Profiles'!$D$47+BK29*'Monthly Profiles'!$D$48+BK30*'Monthly Profiles'!$D$49+BK31*'Monthly Profiles'!$D$50+BK32*'Monthly Profiles'!$D$51+BK33*'Monthly Profiles'!$D$52+BK34*'Monthly Profiles'!$D$53+BK35*'Monthly Profiles'!$D$54+BK36*'Monthly Profiles'!$D$55+BK37*'Monthly Profiles'!$D$56+BK38*'Monthly Profiles'!$D$57+BK39*'Monthly Profiles'!$D$58)/365</f>
        <v>-0.21000000000000002</v>
      </c>
      <c r="BL40" s="1203">
        <f>(BL28*'Monthly Profiles'!$D$47+BL29*'Monthly Profiles'!$D$48+BL30*'Monthly Profiles'!$D$49+BL31*'Monthly Profiles'!$D$50+BL32*'Monthly Profiles'!$D$51+BL33*'Monthly Profiles'!$D$52+BL34*'Monthly Profiles'!$D$53+BL35*'Monthly Profiles'!$D$54+BL36*'Monthly Profiles'!$D$55+BL37*'Monthly Profiles'!$D$56+BL38*'Monthly Profiles'!$D$57+BL39*'Monthly Profiles'!$D$58)/365</f>
        <v>-0.7953847719887237</v>
      </c>
      <c r="BM40" s="1202">
        <f>(BM28*'Monthly Profiles'!$D$47+BM29*'Monthly Profiles'!$D$48+BM30*'Monthly Profiles'!$D$49+BM31*'Monthly Profiles'!$D$50+BM32*'Monthly Profiles'!$D$51+BM33*'Monthly Profiles'!$D$52+BM34*'Monthly Profiles'!$D$53+BM35*'Monthly Profiles'!$D$54+BM36*'Monthly Profiles'!$D$55+BM37*'Monthly Profiles'!$D$56+BM38*'Monthly Profiles'!$D$57+BM39*'Monthly Profiles'!$D$58)/365</f>
        <v>-0.15</v>
      </c>
      <c r="BN40" s="1202">
        <f>(BN28*'Monthly Profiles'!$D$47+BN29*'Monthly Profiles'!$D$48+BN30*'Monthly Profiles'!$D$49+BN31*'Monthly Profiles'!$D$50+BN32*'Monthly Profiles'!$D$51+BN33*'Monthly Profiles'!$D$52+BN34*'Monthly Profiles'!$D$53+BN35*'Monthly Profiles'!$D$54+BN36*'Monthly Profiles'!$D$55+BN37*'Monthly Profiles'!$D$56+BN38*'Monthly Profiles'!$D$57+BN39*'Monthly Profiles'!$D$58)/365</f>
        <v>-0.23</v>
      </c>
      <c r="BO40" s="1202">
        <f>(BO28*'Monthly Profiles'!$D$47+BO29*'Monthly Profiles'!$D$48+BO30*'Monthly Profiles'!$D$49+BO31*'Monthly Profiles'!$D$50+BO32*'Monthly Profiles'!$D$51+BO33*'Monthly Profiles'!$D$52+BO34*'Monthly Profiles'!$D$53+BO35*'Monthly Profiles'!$D$54+BO36*'Monthly Profiles'!$D$55+BO37*'Monthly Profiles'!$D$56+BO38*'Monthly Profiles'!$D$57+BO39*'Monthly Profiles'!$D$58)/365</f>
        <v>-0.26660370227351066</v>
      </c>
      <c r="BP40" s="1202">
        <f>(BP28*'Monthly Profiles'!$D$47+BP29*'Monthly Profiles'!$D$48+BP30*'Monthly Profiles'!$D$49+BP31*'Monthly Profiles'!$D$50+BP32*'Monthly Profiles'!$D$51+BP33*'Monthly Profiles'!$D$52+BP34*'Monthly Profiles'!$D$53+BP35*'Monthly Profiles'!$D$54+BP36*'Monthly Profiles'!$D$55+BP37*'Monthly Profiles'!$D$56+BP38*'Monthly Profiles'!$D$57+BP39*'Monthly Profiles'!$D$58)/365</f>
        <v>-0.3447923434860497</v>
      </c>
      <c r="BQ40" s="1204">
        <f>(BQ28*'Monthly Profiles'!$D$47+BQ29*'Monthly Profiles'!$D$48+BQ30*'Monthly Profiles'!$D$49+BQ31*'Monthly Profiles'!$D$50+BQ32*'Monthly Profiles'!$D$51+BQ33*'Monthly Profiles'!$D$52+BQ34*'Monthly Profiles'!$D$53+BQ35*'Monthly Profiles'!$D$54+BQ36*'Monthly Profiles'!$D$55+BQ37*'Monthly Profiles'!$D$56+BQ38*'Monthly Profiles'!$D$57+BQ39*'Monthly Profiles'!$D$58)/365</f>
        <v>0</v>
      </c>
      <c r="BR40" s="1205"/>
      <c r="BS40" s="1204">
        <f>(BS28*'Monthly Profiles'!$D$47+BS29*'Monthly Profiles'!$D$48+BS30*'Monthly Profiles'!$D$49+BS31*'Monthly Profiles'!$D$50+BS32*'Monthly Profiles'!$D$51+BS33*'Monthly Profiles'!$D$52+BS34*'Monthly Profiles'!$D$53+BS35*'Monthly Profiles'!$D$54+BS36*'Monthly Profiles'!$D$55+BS37*'Monthly Profiles'!$D$56+BS38*'Monthly Profiles'!$D$57+BS39*'Monthly Profiles'!$D$58)/365</f>
        <v>0</v>
      </c>
      <c r="BT40" s="1203">
        <f>(BT28*'Monthly Profiles'!$D$47+BT29*'Monthly Profiles'!$D$48+BT30*'Monthly Profiles'!$D$49+BT31*'Monthly Profiles'!$D$50+BT32*'Monthly Profiles'!$D$51+BT33*'Monthly Profiles'!$D$52+BT34*'Monthly Profiles'!$D$53+BT35*'Monthly Profiles'!$D$54+BT36*'Monthly Profiles'!$D$55+BT37*'Monthly Profiles'!$D$56+BT38*'Monthly Profiles'!$D$57+BT39*'Monthly Profiles'!$D$58)/365</f>
        <v>-1.6900000000000002</v>
      </c>
      <c r="BU40" s="1203">
        <f>(BU28*'Monthly Profiles'!$D$47+BU29*'Monthly Profiles'!$D$48+BU30*'Monthly Profiles'!$D$49+BU31*'Monthly Profiles'!$D$50+BU32*'Monthly Profiles'!$D$51+BU33*'Monthly Profiles'!$D$52+BU34*'Monthly Profiles'!$D$53+BU35*'Monthly Profiles'!$D$54+BU36*'Monthly Profiles'!$D$55+BU37*'Monthly Profiles'!$D$56+BU38*'Monthly Profiles'!$D$57+BU39*'Monthly Profiles'!$D$58)/365</f>
        <v>-1.8482707875055147</v>
      </c>
      <c r="BV40" s="1203">
        <f>(BV28*'Monthly Profiles'!$D$47+BV29*'Monthly Profiles'!$D$48+BV30*'Monthly Profiles'!$D$49+BV31*'Monthly Profiles'!$D$50+BV32*'Monthly Profiles'!$D$51+BV33*'Monthly Profiles'!$D$52+BV34*'Monthly Profiles'!$D$53+BV35*'Monthly Profiles'!$D$54+BV36*'Monthly Profiles'!$D$55+BV37*'Monthly Profiles'!$D$56+BV38*'Monthly Profiles'!$D$57+BV39*'Monthly Profiles'!$D$58)/365</f>
        <v>-3.3728800677295587</v>
      </c>
      <c r="BW40" s="1203">
        <f>(BW28*'Monthly Profiles'!$D$47+BW29*'Monthly Profiles'!$D$48+BW30*'Monthly Profiles'!$D$49+BW31*'Monthly Profiles'!$D$50+BW32*'Monthly Profiles'!$D$51+BW33*'Monthly Profiles'!$D$52+BW34*'Monthly Profiles'!$D$53+BW35*'Monthly Profiles'!$D$54+BW36*'Monthly Profiles'!$D$55+BW37*'Monthly Profiles'!$D$56+BW38*'Monthly Profiles'!$D$57+BW39*'Monthly Profiles'!$D$58)/365</f>
        <v>-1.9500000000000004</v>
      </c>
      <c r="BX40" s="1203">
        <f>(BX28*'Monthly Profiles'!$D$47+BX29*'Monthly Profiles'!$D$48+BX30*'Monthly Profiles'!$D$49+BX31*'Monthly Profiles'!$D$50+BX32*'Monthly Profiles'!$D$51+BX33*'Monthly Profiles'!$D$52+BX34*'Monthly Profiles'!$D$53+BX35*'Monthly Profiles'!$D$54+BX36*'Monthly Profiles'!$D$55+BX37*'Monthly Profiles'!$D$56+BX38*'Monthly Profiles'!$D$57+BX39*'Monthly Profiles'!$D$58)/365</f>
        <v>-3.6074353416101803</v>
      </c>
      <c r="BY40" s="1202">
        <f>(BY28*'Monthly Profiles'!$D$47+BY29*'Monthly Profiles'!$D$48+BY30*'Monthly Profiles'!$D$49+BY31*'Monthly Profiles'!$D$50+BY32*'Monthly Profiles'!$D$51+BY33*'Monthly Profiles'!$D$52+BY34*'Monthly Profiles'!$D$53+BY35*'Monthly Profiles'!$D$54+BY36*'Monthly Profiles'!$D$55+BY37*'Monthly Profiles'!$D$56+BY38*'Monthly Profiles'!$D$57+BY39*'Monthly Profiles'!$D$58)/365</f>
        <v>-4.8599999999999994</v>
      </c>
      <c r="BZ40" s="1202">
        <f>(BZ28*'Monthly Profiles'!$D$47+BZ29*'Monthly Profiles'!$D$48+BZ30*'Monthly Profiles'!$D$49+BZ31*'Monthly Profiles'!$D$50+BZ32*'Monthly Profiles'!$D$51+BZ33*'Monthly Profiles'!$D$52+BZ34*'Monthly Profiles'!$D$53+BZ35*'Monthly Profiles'!$D$54+BZ36*'Monthly Profiles'!$D$55+BZ37*'Monthly Profiles'!$D$56+BZ38*'Monthly Profiles'!$D$57+BZ39*'Monthly Profiles'!$D$58)/365</f>
        <v>-4.07</v>
      </c>
      <c r="CA40" s="1202">
        <f>(CA28*'Monthly Profiles'!$D$47+CA29*'Monthly Profiles'!$D$48+CA30*'Monthly Profiles'!$D$49+CA31*'Monthly Profiles'!$D$50+CA32*'Monthly Profiles'!$D$51+CA33*'Monthly Profiles'!$D$52+CA34*'Monthly Profiles'!$D$53+CA35*'Monthly Profiles'!$D$54+CA36*'Monthly Profiles'!$D$55+CA37*'Monthly Profiles'!$D$56+CA38*'Monthly Profiles'!$D$57+CA39*'Monthly Profiles'!$D$58)/365</f>
        <v>-6.1151076111006546</v>
      </c>
      <c r="CB40" s="1202">
        <f>(CB28*'Monthly Profiles'!$D$47+CB29*'Monthly Profiles'!$D$48+CB30*'Monthly Profiles'!$D$49+CB31*'Monthly Profiles'!$D$50+CB32*'Monthly Profiles'!$D$51+CB33*'Monthly Profiles'!$D$52+CB34*'Monthly Profiles'!$D$53+CB35*'Monthly Profiles'!$D$54+CB36*'Monthly Profiles'!$D$55+CB37*'Monthly Profiles'!$D$56+CB38*'Monthly Profiles'!$D$57+CB39*'Monthly Profiles'!$D$58)/365</f>
        <v>-5.3957999953044595</v>
      </c>
      <c r="CC40" s="1215">
        <f>(CC28*'Monthly Profiles'!$D$47+CC29*'Monthly Profiles'!$D$48+CC30*'Monthly Profiles'!$D$49+CC31*'Monthly Profiles'!$D$50+CC32*'Monthly Profiles'!$D$51+CC33*'Monthly Profiles'!$D$52+CC34*'Monthly Profiles'!$D$53+CC35*'Monthly Profiles'!$D$54+CC36*'Monthly Profiles'!$D$55+CC37*'Monthly Profiles'!$D$56+CC38*'Monthly Profiles'!$D$57+CC39*'Monthly Profiles'!$D$58)/365</f>
        <v>0</v>
      </c>
    </row>
    <row r="46" spans="1:81">
      <c r="B46" s="49" t="s">
        <v>424</v>
      </c>
      <c r="C46" s="54"/>
      <c r="D46" s="2029"/>
    </row>
    <row r="47" spans="1:81">
      <c r="B47" s="18" t="s">
        <v>186</v>
      </c>
      <c r="C47" s="4" t="s">
        <v>956</v>
      </c>
      <c r="D47" s="47">
        <v>31</v>
      </c>
    </row>
    <row r="48" spans="1:81">
      <c r="B48" s="19" t="s">
        <v>187</v>
      </c>
      <c r="C48" s="5" t="s">
        <v>956</v>
      </c>
      <c r="D48" s="47">
        <v>28</v>
      </c>
    </row>
    <row r="49" spans="2:45">
      <c r="B49" s="19" t="s">
        <v>188</v>
      </c>
      <c r="C49" s="5" t="s">
        <v>956</v>
      </c>
      <c r="D49" s="47">
        <v>31</v>
      </c>
    </row>
    <row r="50" spans="2:45">
      <c r="B50" s="19" t="s">
        <v>189</v>
      </c>
      <c r="C50" s="5" t="s">
        <v>956</v>
      </c>
      <c r="D50" s="47">
        <v>30</v>
      </c>
    </row>
    <row r="51" spans="2:45">
      <c r="B51" s="19" t="s">
        <v>405</v>
      </c>
      <c r="C51" s="5" t="s">
        <v>956</v>
      </c>
      <c r="D51" s="47">
        <v>31</v>
      </c>
    </row>
    <row r="52" spans="2:45">
      <c r="B52" s="19" t="s">
        <v>406</v>
      </c>
      <c r="C52" s="5" t="s">
        <v>956</v>
      </c>
      <c r="D52" s="47">
        <v>30</v>
      </c>
    </row>
    <row r="53" spans="2:45">
      <c r="B53" s="19" t="s">
        <v>407</v>
      </c>
      <c r="C53" s="5" t="s">
        <v>956</v>
      </c>
      <c r="D53" s="47">
        <v>31</v>
      </c>
    </row>
    <row r="54" spans="2:45">
      <c r="B54" s="19" t="s">
        <v>408</v>
      </c>
      <c r="C54" s="5" t="s">
        <v>956</v>
      </c>
      <c r="D54" s="47">
        <v>31</v>
      </c>
    </row>
    <row r="55" spans="2:45">
      <c r="B55" s="19" t="s">
        <v>138</v>
      </c>
      <c r="C55" s="5" t="s">
        <v>956</v>
      </c>
      <c r="D55" s="47">
        <v>30</v>
      </c>
    </row>
    <row r="56" spans="2:45">
      <c r="B56" s="19" t="s">
        <v>401</v>
      </c>
      <c r="C56" s="5" t="s">
        <v>956</v>
      </c>
      <c r="D56" s="47">
        <v>31</v>
      </c>
    </row>
    <row r="57" spans="2:45">
      <c r="B57" s="19" t="s">
        <v>402</v>
      </c>
      <c r="C57" s="5" t="s">
        <v>956</v>
      </c>
      <c r="D57" s="47">
        <v>30</v>
      </c>
      <c r="AI57" s="102"/>
      <c r="AJ57" s="102"/>
      <c r="AK57" s="102"/>
      <c r="AL57" s="102"/>
      <c r="AM57" s="102"/>
      <c r="AN57" s="102"/>
      <c r="AO57" s="102"/>
      <c r="AP57" s="102"/>
      <c r="AQ57" s="102"/>
      <c r="AR57" s="102"/>
      <c r="AS57" s="102"/>
    </row>
    <row r="58" spans="2:45">
      <c r="B58" s="20" t="s">
        <v>449</v>
      </c>
      <c r="C58" s="6" t="s">
        <v>956</v>
      </c>
      <c r="D58" s="41">
        <v>31</v>
      </c>
      <c r="AI58" s="127"/>
      <c r="AJ58" s="127"/>
      <c r="AK58" s="127"/>
      <c r="AL58" s="127"/>
      <c r="AM58" s="127"/>
      <c r="AN58" s="127"/>
      <c r="AO58" s="127"/>
      <c r="AP58" s="127"/>
      <c r="AQ58" s="127"/>
      <c r="AR58" s="127"/>
      <c r="AS58" s="127"/>
    </row>
    <row r="59" spans="2:45">
      <c r="AI59" s="102"/>
      <c r="AJ59" s="102"/>
      <c r="AK59" s="102"/>
      <c r="AL59" s="102"/>
      <c r="AM59" s="102"/>
      <c r="AN59" s="102"/>
      <c r="AO59" s="102"/>
      <c r="AP59" s="102"/>
      <c r="AQ59" s="102"/>
      <c r="AR59" s="102"/>
      <c r="AS59" s="102"/>
    </row>
    <row r="60" spans="2:45">
      <c r="AI60" s="102"/>
      <c r="AJ60" s="102"/>
      <c r="AK60" s="102"/>
      <c r="AL60" s="102"/>
      <c r="AM60" s="102"/>
      <c r="AN60" s="102"/>
      <c r="AO60" s="102"/>
      <c r="AP60" s="102"/>
      <c r="AQ60" s="102"/>
      <c r="AR60" s="102"/>
      <c r="AS60" s="102"/>
    </row>
    <row r="61" spans="2:45">
      <c r="AI61" s="102"/>
      <c r="AJ61" s="102"/>
      <c r="AK61" s="102"/>
      <c r="AL61" s="102"/>
      <c r="AM61" s="102"/>
      <c r="AN61" s="102"/>
      <c r="AO61" s="102"/>
      <c r="AP61" s="102"/>
      <c r="AQ61" s="102"/>
      <c r="AR61" s="102"/>
      <c r="AS61" s="102"/>
    </row>
    <row r="62" spans="2:45">
      <c r="AI62" s="102"/>
      <c r="AJ62" s="102"/>
      <c r="AK62" s="102"/>
      <c r="AL62" s="102"/>
      <c r="AM62" s="102"/>
      <c r="AN62" s="102"/>
      <c r="AO62" s="102"/>
      <c r="AP62" s="102"/>
      <c r="AQ62" s="102"/>
      <c r="AR62" s="102"/>
      <c r="AS62" s="102"/>
    </row>
    <row r="63" spans="2:45">
      <c r="AI63" s="102"/>
      <c r="AJ63" s="102"/>
      <c r="AK63" s="102"/>
      <c r="AL63" s="102"/>
      <c r="AM63" s="102"/>
      <c r="AN63" s="102"/>
      <c r="AO63" s="102"/>
      <c r="AP63" s="102"/>
      <c r="AQ63" s="102"/>
      <c r="AR63" s="102"/>
      <c r="AS63" s="102"/>
    </row>
    <row r="64" spans="2:45">
      <c r="AI64" s="102"/>
      <c r="AJ64" s="102"/>
      <c r="AK64" s="102"/>
      <c r="AL64" s="102"/>
      <c r="AM64" s="102"/>
      <c r="AN64" s="102"/>
      <c r="AO64" s="102"/>
      <c r="AP64" s="102"/>
      <c r="AQ64" s="102"/>
      <c r="AR64" s="102"/>
      <c r="AS64" s="102"/>
    </row>
    <row r="65" spans="35:45">
      <c r="AI65" s="102"/>
      <c r="AJ65" s="102"/>
      <c r="AK65" s="102"/>
      <c r="AL65" s="102"/>
      <c r="AM65" s="102"/>
      <c r="AN65" s="102"/>
      <c r="AO65" s="102"/>
      <c r="AP65" s="102"/>
      <c r="AQ65" s="102"/>
      <c r="AR65" s="102"/>
      <c r="AS65" s="102"/>
    </row>
    <row r="66" spans="35:45">
      <c r="AI66" s="102"/>
      <c r="AJ66" s="102"/>
      <c r="AK66" s="102"/>
      <c r="AL66" s="102"/>
      <c r="AM66" s="102"/>
      <c r="AN66" s="102"/>
      <c r="AO66" s="102"/>
      <c r="AP66" s="102"/>
      <c r="AQ66" s="102"/>
      <c r="AR66" s="102"/>
      <c r="AS66" s="102"/>
    </row>
    <row r="67" spans="35:45">
      <c r="AI67" s="102"/>
      <c r="AJ67" s="102"/>
      <c r="AK67" s="102"/>
      <c r="AL67" s="102"/>
      <c r="AM67" s="102"/>
      <c r="AN67" s="102"/>
      <c r="AO67" s="102"/>
      <c r="AP67" s="102"/>
      <c r="AQ67" s="102"/>
      <c r="AR67" s="102"/>
      <c r="AS67" s="102"/>
    </row>
    <row r="68" spans="35:45">
      <c r="AI68" s="102"/>
      <c r="AJ68" s="102"/>
      <c r="AK68" s="102"/>
      <c r="AL68" s="102"/>
      <c r="AM68" s="102"/>
      <c r="AN68" s="102"/>
      <c r="AO68" s="102"/>
      <c r="AP68" s="102"/>
      <c r="AQ68" s="102"/>
      <c r="AR68" s="102"/>
      <c r="AS68" s="102"/>
    </row>
    <row r="69" spans="35:45">
      <c r="AI69" s="102"/>
      <c r="AJ69" s="102"/>
      <c r="AK69" s="102"/>
      <c r="AL69" s="102"/>
      <c r="AM69" s="102"/>
      <c r="AN69" s="102"/>
      <c r="AO69" s="102"/>
      <c r="AP69" s="102"/>
      <c r="AQ69" s="102"/>
      <c r="AR69" s="102"/>
      <c r="AS69" s="102"/>
    </row>
    <row r="70" spans="35:45">
      <c r="AI70" s="102"/>
      <c r="AJ70" s="102"/>
      <c r="AK70" s="102"/>
      <c r="AL70" s="102"/>
      <c r="AM70" s="102"/>
      <c r="AN70" s="102"/>
      <c r="AO70" s="102"/>
      <c r="AP70" s="102"/>
      <c r="AQ70" s="102"/>
      <c r="AR70" s="102"/>
      <c r="AS70" s="102"/>
    </row>
    <row r="71" spans="35:45">
      <c r="AI71" s="816"/>
      <c r="AJ71" s="816"/>
      <c r="AK71" s="816"/>
      <c r="AL71" s="816"/>
      <c r="AM71" s="816"/>
      <c r="AN71" s="816"/>
      <c r="AO71" s="816"/>
      <c r="AP71" s="816"/>
      <c r="AQ71" s="816"/>
      <c r="AR71" s="816"/>
      <c r="AS71" s="816"/>
    </row>
    <row r="72" spans="35:45">
      <c r="AI72" s="816"/>
      <c r="AJ72" s="816"/>
      <c r="AK72" s="816"/>
      <c r="AL72" s="816"/>
      <c r="AM72" s="816"/>
      <c r="AN72" s="816"/>
      <c r="AO72" s="816"/>
      <c r="AP72" s="816"/>
      <c r="AQ72" s="816"/>
      <c r="AR72" s="816"/>
      <c r="AS72" s="816"/>
    </row>
    <row r="90" spans="35:45">
      <c r="AI90" s="816"/>
      <c r="AJ90" s="816"/>
      <c r="AK90" s="816"/>
      <c r="AL90" s="816"/>
      <c r="AM90" s="816"/>
      <c r="AN90" s="816"/>
      <c r="AO90" s="816"/>
      <c r="AP90" s="816"/>
      <c r="AQ90" s="816"/>
      <c r="AR90" s="816"/>
      <c r="AS90" s="816"/>
    </row>
    <row r="91" spans="35:45">
      <c r="AI91" s="816"/>
      <c r="AJ91" s="816"/>
      <c r="AK91" s="816"/>
      <c r="AL91" s="816"/>
      <c r="AM91" s="816"/>
      <c r="AN91" s="816"/>
      <c r="AO91" s="816"/>
      <c r="AP91" s="816"/>
      <c r="AQ91" s="816"/>
      <c r="AR91" s="816"/>
      <c r="AS91" s="816"/>
    </row>
    <row r="92" spans="35:45">
      <c r="AI92" s="816"/>
      <c r="AJ92" s="816"/>
      <c r="AK92" s="816"/>
      <c r="AL92" s="816"/>
      <c r="AM92" s="816"/>
      <c r="AN92" s="816"/>
      <c r="AO92" s="816"/>
      <c r="AP92" s="816"/>
      <c r="AQ92" s="816"/>
      <c r="AR92" s="816"/>
      <c r="AS92" s="816"/>
    </row>
    <row r="93" spans="35:45">
      <c r="AI93" s="816"/>
      <c r="AJ93" s="816"/>
      <c r="AK93" s="816"/>
      <c r="AL93" s="816"/>
      <c r="AM93" s="816"/>
      <c r="AN93" s="816"/>
      <c r="AO93" s="816"/>
      <c r="AP93" s="816"/>
      <c r="AQ93" s="816"/>
      <c r="AR93" s="816"/>
      <c r="AS93" s="816"/>
    </row>
    <row r="94" spans="35:45">
      <c r="AI94" s="816"/>
      <c r="AJ94" s="816"/>
      <c r="AK94" s="816"/>
      <c r="AL94" s="816"/>
      <c r="AM94" s="816"/>
      <c r="AN94" s="816"/>
      <c r="AO94" s="816"/>
      <c r="AP94" s="816"/>
      <c r="AQ94" s="816"/>
      <c r="AR94" s="816"/>
      <c r="AS94" s="816"/>
    </row>
    <row r="95" spans="35:45">
      <c r="AI95" s="816"/>
      <c r="AJ95" s="816"/>
      <c r="AK95" s="816"/>
      <c r="AL95" s="816"/>
      <c r="AM95" s="816"/>
      <c r="AN95" s="816"/>
      <c r="AO95" s="816"/>
      <c r="AP95" s="816"/>
      <c r="AQ95" s="816"/>
      <c r="AR95" s="816"/>
      <c r="AS95" s="816"/>
    </row>
    <row r="96" spans="35:45">
      <c r="AI96" s="816"/>
      <c r="AJ96" s="816"/>
      <c r="AK96" s="816"/>
      <c r="AL96" s="816"/>
      <c r="AM96" s="816"/>
      <c r="AN96" s="816"/>
      <c r="AO96" s="816"/>
      <c r="AP96" s="816"/>
      <c r="AQ96" s="816"/>
      <c r="AR96" s="816"/>
      <c r="AS96" s="816"/>
    </row>
    <row r="97" spans="35:45">
      <c r="AI97" s="816"/>
      <c r="AJ97" s="816"/>
      <c r="AK97" s="816"/>
      <c r="AL97" s="816"/>
      <c r="AM97" s="816"/>
      <c r="AN97" s="816"/>
      <c r="AO97" s="816"/>
      <c r="AP97" s="816"/>
      <c r="AQ97" s="816"/>
      <c r="AR97" s="816"/>
      <c r="AS97" s="816"/>
    </row>
    <row r="98" spans="35:45">
      <c r="AI98" s="816"/>
      <c r="AJ98" s="816"/>
      <c r="AK98" s="816"/>
      <c r="AL98" s="816"/>
      <c r="AM98" s="816"/>
      <c r="AN98" s="816"/>
      <c r="AO98" s="816"/>
      <c r="AP98" s="816"/>
      <c r="AQ98" s="816"/>
      <c r="AR98" s="816"/>
      <c r="AS98" s="816"/>
    </row>
    <row r="99" spans="35:45">
      <c r="AI99" s="13"/>
      <c r="AJ99" s="13"/>
      <c r="AK99" s="13"/>
      <c r="AL99" s="13"/>
      <c r="AM99" s="13"/>
      <c r="AN99" s="13"/>
      <c r="AO99" s="13"/>
      <c r="AP99" s="13"/>
      <c r="AQ99" s="13"/>
      <c r="AR99" s="13"/>
      <c r="AS99" s="13"/>
    </row>
    <row r="100" spans="35:45">
      <c r="AI100" s="127"/>
      <c r="AJ100" s="127"/>
      <c r="AK100" s="127"/>
      <c r="AL100" s="127"/>
      <c r="AM100" s="127"/>
      <c r="AN100" s="127"/>
      <c r="AO100" s="127"/>
      <c r="AP100" s="127"/>
      <c r="AQ100" s="127"/>
      <c r="AR100" s="127"/>
      <c r="AS100" s="127"/>
    </row>
    <row r="101" spans="35:45">
      <c r="AI101" s="127"/>
      <c r="AJ101" s="127"/>
      <c r="AK101" s="127"/>
      <c r="AL101" s="127"/>
      <c r="AM101" s="127"/>
      <c r="AN101" s="127"/>
      <c r="AO101" s="127"/>
      <c r="AP101" s="127"/>
      <c r="AQ101" s="127"/>
      <c r="AR101" s="127"/>
      <c r="AS101" s="127"/>
    </row>
    <row r="102" spans="35:45">
      <c r="AI102" s="127"/>
      <c r="AJ102" s="127"/>
      <c r="AK102" s="127"/>
      <c r="AL102" s="127"/>
      <c r="AM102" s="127"/>
      <c r="AN102" s="127"/>
      <c r="AO102" s="127"/>
      <c r="AP102" s="127"/>
      <c r="AQ102" s="127"/>
      <c r="AR102" s="127"/>
      <c r="AS102" s="127"/>
    </row>
    <row r="103" spans="35:45">
      <c r="AI103" s="102"/>
      <c r="AJ103" s="102"/>
      <c r="AK103" s="102"/>
      <c r="AL103" s="102"/>
      <c r="AM103" s="102"/>
      <c r="AN103" s="102"/>
      <c r="AO103" s="102"/>
      <c r="AP103" s="102"/>
      <c r="AQ103" s="102"/>
      <c r="AR103" s="102"/>
      <c r="AS103" s="102"/>
    </row>
    <row r="104" spans="35:45">
      <c r="AI104" s="132"/>
      <c r="AJ104" s="132"/>
      <c r="AK104" s="132"/>
      <c r="AL104" s="132"/>
      <c r="AM104" s="132"/>
      <c r="AN104" s="132"/>
      <c r="AO104" s="132"/>
      <c r="AP104" s="132"/>
      <c r="AQ104" s="132"/>
      <c r="AR104" s="132"/>
      <c r="AS104" s="132"/>
    </row>
    <row r="105" spans="35:45">
      <c r="AI105" s="102"/>
      <c r="AJ105" s="102"/>
      <c r="AK105" s="102"/>
      <c r="AL105" s="102"/>
      <c r="AM105" s="102"/>
      <c r="AN105" s="102"/>
      <c r="AO105" s="102"/>
      <c r="AP105" s="102"/>
      <c r="AQ105" s="102"/>
      <c r="AR105" s="102"/>
      <c r="AS105" s="102"/>
    </row>
    <row r="106" spans="35:45">
      <c r="AI106" s="102"/>
      <c r="AJ106" s="102"/>
      <c r="AK106" s="102"/>
      <c r="AL106" s="102"/>
      <c r="AM106" s="102"/>
      <c r="AN106" s="102"/>
      <c r="AO106" s="102"/>
      <c r="AP106" s="102"/>
      <c r="AQ106" s="102"/>
      <c r="AR106" s="102"/>
      <c r="AS106" s="102"/>
    </row>
    <row r="107" spans="35:45">
      <c r="AI107" s="102"/>
      <c r="AJ107" s="102"/>
      <c r="AK107" s="102"/>
      <c r="AL107" s="102"/>
      <c r="AM107" s="102"/>
      <c r="AN107" s="102"/>
      <c r="AO107" s="102"/>
      <c r="AP107" s="102"/>
      <c r="AQ107" s="102"/>
      <c r="AR107" s="102"/>
      <c r="AS107" s="102"/>
    </row>
    <row r="108" spans="35:45">
      <c r="AI108" s="102"/>
      <c r="AJ108" s="102"/>
      <c r="AK108" s="102"/>
      <c r="AL108" s="102"/>
      <c r="AM108" s="102"/>
      <c r="AN108" s="102"/>
      <c r="AO108" s="102"/>
      <c r="AP108" s="102"/>
      <c r="AQ108" s="102"/>
      <c r="AR108" s="102"/>
      <c r="AS108" s="102"/>
    </row>
    <row r="109" spans="35:45">
      <c r="AI109" s="102"/>
      <c r="AJ109" s="102"/>
      <c r="AK109" s="102"/>
      <c r="AL109" s="102"/>
      <c r="AM109" s="102"/>
      <c r="AN109" s="102"/>
      <c r="AO109" s="102"/>
      <c r="AP109" s="102"/>
      <c r="AQ109" s="102"/>
      <c r="AR109" s="102"/>
      <c r="AS109" s="102"/>
    </row>
    <row r="110" spans="35:45">
      <c r="AI110" s="127"/>
      <c r="AJ110" s="127"/>
      <c r="AK110" s="127"/>
      <c r="AL110" s="127"/>
      <c r="AM110" s="127"/>
      <c r="AN110" s="127"/>
      <c r="AO110" s="127"/>
      <c r="AP110" s="127"/>
      <c r="AQ110" s="127"/>
      <c r="AR110" s="127"/>
      <c r="AS110" s="127"/>
    </row>
    <row r="111" spans="35:45">
      <c r="AI111" s="102"/>
      <c r="AJ111" s="102"/>
      <c r="AK111" s="102"/>
      <c r="AL111" s="102"/>
      <c r="AM111" s="102"/>
      <c r="AN111" s="102"/>
      <c r="AO111" s="102"/>
      <c r="AP111" s="102"/>
      <c r="AQ111" s="102"/>
      <c r="AR111" s="102"/>
      <c r="AS111" s="102"/>
    </row>
    <row r="112" spans="35:45">
      <c r="AI112" s="102"/>
      <c r="AJ112" s="102"/>
      <c r="AK112" s="102"/>
      <c r="AL112" s="102"/>
      <c r="AM112" s="102"/>
      <c r="AN112" s="102"/>
      <c r="AO112" s="102"/>
      <c r="AP112" s="102"/>
      <c r="AQ112" s="102"/>
      <c r="AR112" s="102"/>
      <c r="AS112" s="102"/>
    </row>
    <row r="113" spans="35:45">
      <c r="AI113" s="102"/>
      <c r="AJ113" s="102"/>
      <c r="AK113" s="102"/>
      <c r="AL113" s="102"/>
      <c r="AM113" s="102"/>
      <c r="AN113" s="102"/>
      <c r="AO113" s="102"/>
      <c r="AP113" s="102"/>
      <c r="AQ113" s="102"/>
      <c r="AR113" s="102"/>
      <c r="AS113" s="102"/>
    </row>
    <row r="114" spans="35:45">
      <c r="AI114" s="127"/>
      <c r="AJ114" s="127"/>
      <c r="AK114" s="127"/>
      <c r="AL114" s="127"/>
      <c r="AM114" s="127"/>
      <c r="AN114" s="127"/>
      <c r="AO114" s="127"/>
      <c r="AP114" s="127"/>
      <c r="AQ114" s="127"/>
      <c r="AR114" s="127"/>
      <c r="AS114" s="127"/>
    </row>
    <row r="115" spans="35:45">
      <c r="AI115" s="127"/>
      <c r="AJ115" s="127"/>
      <c r="AK115" s="127"/>
      <c r="AL115" s="127"/>
      <c r="AM115" s="127"/>
      <c r="AN115" s="127"/>
      <c r="AO115" s="127"/>
      <c r="AP115" s="127"/>
      <c r="AQ115" s="127"/>
      <c r="AR115" s="127"/>
      <c r="AS115" s="127"/>
    </row>
    <row r="116" spans="35:45">
      <c r="AI116" s="127"/>
      <c r="AJ116" s="127"/>
      <c r="AK116" s="127"/>
      <c r="AL116" s="127"/>
      <c r="AM116" s="127"/>
      <c r="AN116" s="127"/>
      <c r="AO116" s="127"/>
      <c r="AP116" s="127"/>
      <c r="AQ116" s="127"/>
      <c r="AR116" s="127"/>
      <c r="AS116" s="127"/>
    </row>
    <row r="117" spans="35:45">
      <c r="AI117" s="127"/>
      <c r="AJ117" s="127"/>
      <c r="AK117" s="127"/>
      <c r="AL117" s="127"/>
      <c r="AM117" s="127"/>
      <c r="AN117" s="127"/>
      <c r="AO117" s="127"/>
      <c r="AP117" s="127"/>
      <c r="AQ117" s="127"/>
      <c r="AR117" s="127"/>
      <c r="AS117" s="127"/>
    </row>
    <row r="118" spans="35:45">
      <c r="AI118" s="127"/>
      <c r="AJ118" s="127"/>
      <c r="AK118" s="127"/>
      <c r="AL118" s="127"/>
      <c r="AM118" s="127"/>
      <c r="AN118" s="127"/>
      <c r="AO118" s="127"/>
      <c r="AP118" s="127"/>
      <c r="AQ118" s="127"/>
      <c r="AR118" s="127"/>
      <c r="AS118" s="127"/>
    </row>
    <row r="119" spans="35:45">
      <c r="AI119" s="127"/>
      <c r="AJ119" s="127"/>
      <c r="AK119" s="127"/>
      <c r="AL119" s="127"/>
      <c r="AM119" s="127"/>
      <c r="AN119" s="127"/>
      <c r="AO119" s="127"/>
      <c r="AP119" s="127"/>
      <c r="AQ119" s="127"/>
      <c r="AR119" s="127"/>
      <c r="AS119" s="127"/>
    </row>
    <row r="120" spans="35:45">
      <c r="AI120" s="127"/>
      <c r="AJ120" s="127"/>
      <c r="AK120" s="127"/>
      <c r="AL120" s="127"/>
      <c r="AM120" s="127"/>
      <c r="AN120" s="127"/>
      <c r="AO120" s="127"/>
      <c r="AP120" s="127"/>
      <c r="AQ120" s="127"/>
      <c r="AR120" s="127"/>
      <c r="AS120" s="127"/>
    </row>
    <row r="121" spans="35:45">
      <c r="AI121" s="127"/>
      <c r="AJ121" s="127"/>
      <c r="AK121" s="127"/>
      <c r="AL121" s="127"/>
      <c r="AM121" s="127"/>
      <c r="AN121" s="127"/>
      <c r="AO121" s="127"/>
      <c r="AP121" s="127"/>
      <c r="AQ121" s="127"/>
      <c r="AR121" s="127"/>
      <c r="AS121" s="127"/>
    </row>
    <row r="122" spans="35:45">
      <c r="AI122" s="127"/>
      <c r="AJ122" s="127"/>
      <c r="AK122" s="127"/>
      <c r="AL122" s="127"/>
      <c r="AM122" s="127"/>
      <c r="AN122" s="127"/>
      <c r="AO122" s="127"/>
      <c r="AP122" s="127"/>
      <c r="AQ122" s="127"/>
      <c r="AR122" s="127"/>
      <c r="AS122" s="127"/>
    </row>
    <row r="123" spans="35:45">
      <c r="AI123" s="127"/>
      <c r="AJ123" s="127"/>
      <c r="AK123" s="127"/>
      <c r="AL123" s="127"/>
      <c r="AM123" s="127"/>
      <c r="AN123" s="127"/>
      <c r="AO123" s="127"/>
      <c r="AP123" s="127"/>
      <c r="AQ123" s="127"/>
      <c r="AR123" s="127"/>
      <c r="AS123" s="127"/>
    </row>
    <row r="124" spans="35:45">
      <c r="AI124" s="127"/>
      <c r="AJ124" s="127"/>
      <c r="AK124" s="127"/>
      <c r="AL124" s="127"/>
      <c r="AM124" s="127"/>
      <c r="AN124" s="127"/>
      <c r="AO124" s="127"/>
      <c r="AP124" s="127"/>
      <c r="AQ124" s="127"/>
      <c r="AR124" s="127"/>
      <c r="AS124" s="127"/>
    </row>
    <row r="125" spans="35:45">
      <c r="AI125" s="127"/>
      <c r="AJ125" s="127"/>
      <c r="AK125" s="127"/>
      <c r="AL125" s="127"/>
      <c r="AM125" s="127"/>
      <c r="AN125" s="127"/>
      <c r="AO125" s="127"/>
      <c r="AP125" s="127"/>
      <c r="AQ125" s="127"/>
      <c r="AR125" s="127"/>
      <c r="AS125" s="127"/>
    </row>
    <row r="126" spans="35:45">
      <c r="AI126" s="127"/>
      <c r="AJ126" s="127"/>
      <c r="AK126" s="127"/>
      <c r="AL126" s="127"/>
      <c r="AM126" s="127"/>
      <c r="AN126" s="127"/>
      <c r="AO126" s="127"/>
      <c r="AP126" s="127"/>
      <c r="AQ126" s="127"/>
      <c r="AR126" s="127"/>
      <c r="AS126" s="127"/>
    </row>
    <row r="127" spans="35:45">
      <c r="AI127" s="127"/>
      <c r="AJ127" s="127"/>
      <c r="AK127" s="127"/>
      <c r="AL127" s="127"/>
      <c r="AM127" s="127"/>
      <c r="AN127" s="127"/>
      <c r="AO127" s="127"/>
      <c r="AP127" s="127"/>
      <c r="AQ127" s="127"/>
      <c r="AR127" s="127"/>
      <c r="AS127" s="127"/>
    </row>
    <row r="128" spans="35:45">
      <c r="AI128" s="127"/>
      <c r="AJ128" s="127"/>
      <c r="AK128" s="127"/>
      <c r="AL128" s="127"/>
      <c r="AM128" s="127"/>
      <c r="AN128" s="127"/>
      <c r="AO128" s="127"/>
      <c r="AP128" s="127"/>
      <c r="AQ128" s="127"/>
      <c r="AR128" s="127"/>
      <c r="AS128" s="127"/>
    </row>
    <row r="129" spans="35:45">
      <c r="AI129" s="127"/>
      <c r="AJ129" s="127"/>
      <c r="AK129" s="127"/>
      <c r="AL129" s="127"/>
      <c r="AM129" s="127"/>
      <c r="AN129" s="127"/>
      <c r="AO129" s="127"/>
      <c r="AP129" s="127"/>
      <c r="AQ129" s="127"/>
      <c r="AR129" s="127"/>
      <c r="AS129" s="127"/>
    </row>
    <row r="130" spans="35:45">
      <c r="AI130" s="127"/>
      <c r="AJ130" s="127"/>
      <c r="AK130" s="127"/>
      <c r="AL130" s="127"/>
      <c r="AM130" s="127"/>
      <c r="AN130" s="127"/>
      <c r="AO130" s="127"/>
      <c r="AP130" s="127"/>
      <c r="AQ130" s="127"/>
      <c r="AR130" s="127"/>
      <c r="AS130" s="127"/>
    </row>
    <row r="131" spans="35:45">
      <c r="AI131" s="127"/>
      <c r="AJ131" s="127"/>
      <c r="AK131" s="127"/>
      <c r="AL131" s="127"/>
      <c r="AM131" s="127"/>
      <c r="AN131" s="127"/>
      <c r="AO131" s="127"/>
      <c r="AP131" s="127"/>
      <c r="AQ131" s="127"/>
      <c r="AR131" s="127"/>
      <c r="AS131" s="127"/>
    </row>
    <row r="132" spans="35:45">
      <c r="AI132" s="127"/>
      <c r="AJ132" s="127"/>
      <c r="AK132" s="127"/>
      <c r="AL132" s="127"/>
      <c r="AM132" s="127"/>
      <c r="AN132" s="127"/>
      <c r="AO132" s="127"/>
      <c r="AP132" s="127"/>
      <c r="AQ132" s="127"/>
      <c r="AR132" s="127"/>
      <c r="AS132" s="127"/>
    </row>
    <row r="133" spans="35:45">
      <c r="AI133" s="127"/>
      <c r="AJ133" s="127"/>
      <c r="AK133" s="127"/>
      <c r="AL133" s="127"/>
      <c r="AM133" s="127"/>
      <c r="AN133" s="127"/>
      <c r="AO133" s="127"/>
      <c r="AP133" s="127"/>
      <c r="AQ133" s="127"/>
      <c r="AR133" s="127"/>
      <c r="AS133" s="127"/>
    </row>
    <row r="134" spans="35:45">
      <c r="AI134" s="127"/>
      <c r="AJ134" s="127"/>
      <c r="AK134" s="127"/>
      <c r="AL134" s="127"/>
      <c r="AM134" s="127"/>
      <c r="AN134" s="127"/>
      <c r="AO134" s="127"/>
      <c r="AP134" s="127"/>
      <c r="AQ134" s="127"/>
      <c r="AR134" s="127"/>
      <c r="AS134" s="127"/>
    </row>
    <row r="135" spans="35:45">
      <c r="AI135" s="127"/>
      <c r="AJ135" s="127"/>
      <c r="AK135" s="127"/>
      <c r="AL135" s="127"/>
      <c r="AM135" s="127"/>
      <c r="AN135" s="127"/>
      <c r="AO135" s="127"/>
      <c r="AP135" s="127"/>
      <c r="AQ135" s="127"/>
      <c r="AR135" s="127"/>
      <c r="AS135" s="127"/>
    </row>
    <row r="136" spans="35:45">
      <c r="AI136" s="127"/>
      <c r="AJ136" s="127"/>
      <c r="AK136" s="127"/>
      <c r="AL136" s="127"/>
      <c r="AM136" s="127"/>
      <c r="AN136" s="127"/>
      <c r="AO136" s="127"/>
      <c r="AP136" s="127"/>
      <c r="AQ136" s="127"/>
      <c r="AR136" s="127"/>
      <c r="AS136" s="127"/>
    </row>
    <row r="137" spans="35:45">
      <c r="AI137" s="127"/>
      <c r="AJ137" s="127"/>
      <c r="AK137" s="127"/>
      <c r="AL137" s="127"/>
      <c r="AM137" s="127"/>
      <c r="AN137" s="127"/>
      <c r="AO137" s="127"/>
      <c r="AP137" s="127"/>
      <c r="AQ137" s="127"/>
      <c r="AR137" s="127"/>
      <c r="AS137" s="127"/>
    </row>
    <row r="138" spans="35:45">
      <c r="AI138" s="127"/>
      <c r="AJ138" s="127"/>
      <c r="AK138" s="127"/>
      <c r="AL138" s="127"/>
      <c r="AM138" s="127"/>
      <c r="AN138" s="127"/>
      <c r="AO138" s="127"/>
      <c r="AP138" s="127"/>
      <c r="AQ138" s="127"/>
      <c r="AR138" s="127"/>
      <c r="AS138" s="127"/>
    </row>
    <row r="139" spans="35:45">
      <c r="AI139" s="102"/>
      <c r="AJ139" s="102"/>
      <c r="AK139" s="102"/>
      <c r="AL139" s="102"/>
      <c r="AM139" s="102"/>
      <c r="AN139" s="102"/>
      <c r="AO139" s="102"/>
      <c r="AP139" s="102"/>
      <c r="AQ139" s="102"/>
      <c r="AR139" s="102"/>
      <c r="AS139" s="102"/>
    </row>
    <row r="140" spans="35:45">
      <c r="AI140" s="102"/>
      <c r="AJ140" s="102"/>
      <c r="AK140" s="102"/>
      <c r="AL140" s="102"/>
      <c r="AM140" s="102"/>
      <c r="AN140" s="102"/>
      <c r="AO140" s="102"/>
      <c r="AP140" s="102"/>
      <c r="AQ140" s="102"/>
      <c r="AR140" s="102"/>
      <c r="AS140" s="102"/>
    </row>
    <row r="141" spans="35:45">
      <c r="AI141" s="102"/>
      <c r="AJ141" s="102"/>
      <c r="AK141" s="102"/>
      <c r="AL141" s="102"/>
      <c r="AM141" s="102"/>
      <c r="AN141" s="102"/>
      <c r="AO141" s="102"/>
      <c r="AP141" s="102"/>
      <c r="AQ141" s="102"/>
      <c r="AR141" s="102"/>
      <c r="AS141" s="102"/>
    </row>
    <row r="142" spans="35:45">
      <c r="AI142" s="102"/>
      <c r="AJ142" s="102"/>
      <c r="AK142" s="102"/>
      <c r="AL142" s="102"/>
      <c r="AM142" s="102"/>
      <c r="AN142" s="102"/>
      <c r="AO142" s="102"/>
      <c r="AP142" s="102"/>
      <c r="AQ142" s="102"/>
      <c r="AR142" s="102"/>
      <c r="AS142" s="102"/>
    </row>
    <row r="143" spans="35:45">
      <c r="AI143" s="102"/>
      <c r="AJ143" s="102"/>
      <c r="AK143" s="102"/>
      <c r="AL143" s="102"/>
      <c r="AM143" s="102"/>
      <c r="AN143" s="102"/>
      <c r="AO143" s="102"/>
      <c r="AP143" s="102"/>
      <c r="AQ143" s="102"/>
      <c r="AR143" s="102"/>
      <c r="AS143" s="102"/>
    </row>
    <row r="144" spans="35:45">
      <c r="AI144" s="102"/>
      <c r="AJ144" s="102"/>
      <c r="AK144" s="102"/>
      <c r="AL144" s="102"/>
      <c r="AM144" s="102"/>
      <c r="AN144" s="102"/>
      <c r="AO144" s="102"/>
      <c r="AP144" s="102"/>
      <c r="AQ144" s="102"/>
      <c r="AR144" s="102"/>
      <c r="AS144" s="102"/>
    </row>
    <row r="145" spans="35:45">
      <c r="AI145" s="127"/>
      <c r="AJ145" s="127"/>
      <c r="AK145" s="127"/>
      <c r="AL145" s="127"/>
      <c r="AM145" s="127"/>
      <c r="AN145" s="127"/>
      <c r="AO145" s="127"/>
      <c r="AP145" s="127"/>
      <c r="AQ145" s="127"/>
      <c r="AR145" s="127"/>
      <c r="AS145" s="127"/>
    </row>
    <row r="146" spans="35:45">
      <c r="AI146" s="127"/>
      <c r="AJ146" s="127"/>
      <c r="AK146" s="127"/>
      <c r="AL146" s="127"/>
      <c r="AM146" s="127"/>
      <c r="AN146" s="127"/>
      <c r="AO146" s="127"/>
      <c r="AP146" s="127"/>
      <c r="AQ146" s="127"/>
      <c r="AR146" s="127"/>
      <c r="AS146" s="127"/>
    </row>
    <row r="147" spans="35:45">
      <c r="AI147" s="102"/>
      <c r="AJ147" s="102"/>
      <c r="AK147" s="102"/>
      <c r="AL147" s="102"/>
      <c r="AM147" s="102"/>
      <c r="AN147" s="102"/>
      <c r="AO147" s="102"/>
      <c r="AP147" s="102"/>
      <c r="AQ147" s="102"/>
      <c r="AR147" s="102"/>
      <c r="AS147" s="102"/>
    </row>
    <row r="148" spans="35:45">
      <c r="AI148" s="127"/>
      <c r="AJ148" s="127"/>
      <c r="AK148" s="127"/>
      <c r="AL148" s="127"/>
      <c r="AM148" s="127"/>
      <c r="AN148" s="127"/>
      <c r="AO148" s="127"/>
      <c r="AP148" s="127"/>
      <c r="AQ148" s="127"/>
      <c r="AR148" s="127"/>
      <c r="AS148" s="127"/>
    </row>
    <row r="149" spans="35:45">
      <c r="AI149" s="127"/>
      <c r="AJ149" s="127"/>
      <c r="AK149" s="127"/>
      <c r="AL149" s="127"/>
      <c r="AM149" s="127"/>
      <c r="AN149" s="127"/>
      <c r="AO149" s="127"/>
      <c r="AP149" s="127"/>
      <c r="AQ149" s="127"/>
      <c r="AR149" s="127"/>
      <c r="AS149" s="127"/>
    </row>
    <row r="150" spans="35:45">
      <c r="AI150" s="127"/>
      <c r="AJ150" s="127"/>
      <c r="AK150" s="127"/>
      <c r="AL150" s="127"/>
      <c r="AM150" s="127"/>
      <c r="AN150" s="127"/>
      <c r="AO150" s="127"/>
      <c r="AP150" s="127"/>
      <c r="AQ150" s="127"/>
      <c r="AR150" s="127"/>
      <c r="AS150" s="127"/>
    </row>
    <row r="151" spans="35:45">
      <c r="AI151" s="127"/>
      <c r="AJ151" s="127"/>
      <c r="AK151" s="127"/>
      <c r="AL151" s="102"/>
      <c r="AM151" s="102"/>
      <c r="AN151" s="102"/>
      <c r="AO151" s="102"/>
      <c r="AP151" s="102"/>
      <c r="AQ151" s="102"/>
      <c r="AR151" s="102"/>
      <c r="AS151" s="102"/>
    </row>
    <row r="152" spans="35:45">
      <c r="AI152" s="127"/>
      <c r="AJ152" s="127"/>
      <c r="AK152" s="127"/>
      <c r="AL152" s="132"/>
      <c r="AM152" s="132"/>
      <c r="AN152" s="132"/>
      <c r="AO152" s="132"/>
      <c r="AP152" s="132"/>
      <c r="AQ152" s="132"/>
      <c r="AR152" s="132"/>
      <c r="AS152" s="132"/>
    </row>
    <row r="153" spans="35:45">
      <c r="AI153" s="102"/>
      <c r="AJ153" s="102"/>
      <c r="AK153" s="102"/>
      <c r="AL153" s="102"/>
      <c r="AM153" s="102"/>
      <c r="AN153" s="102"/>
      <c r="AO153" s="102"/>
      <c r="AP153" s="102"/>
      <c r="AQ153" s="102"/>
      <c r="AR153" s="102"/>
      <c r="AS153" s="102"/>
    </row>
    <row r="154" spans="35:45">
      <c r="AI154" s="102"/>
      <c r="AJ154" s="102"/>
      <c r="AK154" s="102"/>
      <c r="AL154" s="102"/>
      <c r="AM154" s="102"/>
      <c r="AN154" s="102"/>
      <c r="AO154" s="102"/>
      <c r="AP154" s="102"/>
      <c r="AQ154" s="102"/>
      <c r="AR154" s="102"/>
      <c r="AS154" s="102"/>
    </row>
    <row r="155" spans="35:45">
      <c r="AI155" s="102"/>
      <c r="AJ155" s="102"/>
      <c r="AK155" s="102"/>
      <c r="AL155" s="127"/>
      <c r="AM155" s="127"/>
      <c r="AN155" s="127"/>
      <c r="AO155" s="127"/>
      <c r="AP155" s="127"/>
      <c r="AQ155" s="127"/>
      <c r="AR155" s="127"/>
      <c r="AS155" s="127"/>
    </row>
    <row r="156" spans="35:45">
      <c r="AI156" s="102"/>
      <c r="AJ156" s="102"/>
      <c r="AK156" s="102"/>
      <c r="AL156" s="102"/>
      <c r="AM156" s="102"/>
      <c r="AN156" s="102"/>
      <c r="AO156" s="102"/>
      <c r="AP156" s="102"/>
      <c r="AQ156" s="102"/>
      <c r="AR156" s="102"/>
      <c r="AS156" s="102"/>
    </row>
    <row r="157" spans="35:45">
      <c r="AI157" s="102"/>
      <c r="AJ157" s="102"/>
      <c r="AK157" s="102"/>
      <c r="AL157" s="102"/>
      <c r="AM157" s="102"/>
      <c r="AN157" s="102"/>
      <c r="AO157" s="102"/>
      <c r="AP157" s="102"/>
      <c r="AQ157" s="102"/>
      <c r="AR157" s="102"/>
      <c r="AS157" s="102"/>
    </row>
    <row r="158" spans="35:45">
      <c r="AI158" s="127"/>
      <c r="AJ158" s="127"/>
      <c r="AK158" s="127"/>
      <c r="AL158" s="127"/>
      <c r="AM158" s="127"/>
      <c r="AN158" s="127"/>
      <c r="AO158" s="127"/>
      <c r="AP158" s="127"/>
      <c r="AQ158" s="127"/>
      <c r="AR158" s="127"/>
      <c r="AS158" s="127"/>
    </row>
    <row r="159" spans="35:45">
      <c r="AI159" s="102"/>
      <c r="AJ159" s="102"/>
      <c r="AK159" s="102"/>
      <c r="AL159" s="102"/>
      <c r="AM159" s="102"/>
      <c r="AN159" s="102"/>
      <c r="AO159" s="102"/>
      <c r="AP159" s="102"/>
      <c r="AQ159" s="102"/>
      <c r="AR159" s="102"/>
      <c r="AS159" s="102"/>
    </row>
    <row r="160" spans="35:45">
      <c r="AI160" s="102"/>
      <c r="AJ160" s="102"/>
      <c r="AK160" s="102"/>
      <c r="AL160" s="102"/>
      <c r="AM160" s="102"/>
      <c r="AN160" s="102"/>
      <c r="AO160" s="102"/>
      <c r="AP160" s="102"/>
      <c r="AQ160" s="102"/>
      <c r="AR160" s="102"/>
      <c r="AS160" s="102"/>
    </row>
    <row r="161" spans="35:45">
      <c r="AI161" s="102"/>
      <c r="AJ161" s="102"/>
      <c r="AK161" s="102"/>
      <c r="AL161" s="102"/>
      <c r="AM161" s="102"/>
      <c r="AN161" s="102"/>
      <c r="AO161" s="102"/>
      <c r="AP161" s="102"/>
      <c r="AQ161" s="102"/>
      <c r="AR161" s="102"/>
      <c r="AS161" s="102"/>
    </row>
    <row r="162" spans="35:45">
      <c r="AI162" s="102"/>
      <c r="AJ162" s="102"/>
      <c r="AK162" s="102"/>
      <c r="AL162" s="102"/>
      <c r="AM162" s="102"/>
      <c r="AN162" s="102"/>
      <c r="AO162" s="102"/>
      <c r="AP162" s="102"/>
      <c r="AQ162" s="102"/>
      <c r="AR162" s="102"/>
      <c r="AS162" s="102"/>
    </row>
    <row r="163" spans="35:45">
      <c r="AI163" s="127"/>
      <c r="AJ163" s="127"/>
      <c r="AK163" s="127"/>
      <c r="AL163" s="127"/>
      <c r="AM163" s="127"/>
      <c r="AN163" s="127"/>
      <c r="AO163" s="127"/>
      <c r="AP163" s="127"/>
      <c r="AQ163" s="127"/>
      <c r="AR163" s="127"/>
      <c r="AS163" s="127"/>
    </row>
    <row r="164" spans="35:45">
      <c r="AI164" s="102"/>
      <c r="AJ164" s="102"/>
      <c r="AK164" s="102"/>
      <c r="AL164" s="102"/>
      <c r="AM164" s="102"/>
      <c r="AN164" s="102"/>
      <c r="AO164" s="102"/>
      <c r="AP164" s="102"/>
      <c r="AQ164" s="102"/>
      <c r="AR164" s="102"/>
      <c r="AS164" s="102"/>
    </row>
    <row r="165" spans="35:45">
      <c r="AI165" s="102"/>
      <c r="AJ165" s="102"/>
      <c r="AK165" s="102"/>
      <c r="AL165" s="102"/>
      <c r="AM165" s="102"/>
      <c r="AN165" s="102"/>
      <c r="AO165" s="102"/>
      <c r="AP165" s="102"/>
      <c r="AQ165" s="102"/>
      <c r="AR165" s="102"/>
      <c r="AS165" s="102"/>
    </row>
    <row r="166" spans="35:45">
      <c r="AI166" s="127"/>
      <c r="AJ166" s="127"/>
      <c r="AK166" s="127"/>
      <c r="AL166" s="127"/>
      <c r="AM166" s="127"/>
      <c r="AN166" s="127"/>
      <c r="AO166" s="127"/>
      <c r="AP166" s="127"/>
      <c r="AQ166" s="127"/>
      <c r="AR166" s="127"/>
      <c r="AS166" s="127"/>
    </row>
    <row r="167" spans="35:45">
      <c r="AI167" s="127"/>
      <c r="AJ167" s="127"/>
      <c r="AK167" s="127"/>
      <c r="AL167" s="127"/>
      <c r="AM167" s="127"/>
      <c r="AN167" s="127"/>
      <c r="AO167" s="127"/>
      <c r="AP167" s="127"/>
      <c r="AQ167" s="127"/>
      <c r="AR167" s="127"/>
      <c r="AS167" s="127"/>
    </row>
    <row r="168" spans="35:45">
      <c r="AI168" s="127"/>
      <c r="AJ168" s="127"/>
      <c r="AK168" s="127"/>
      <c r="AL168" s="127"/>
      <c r="AM168" s="127"/>
      <c r="AN168" s="127"/>
      <c r="AO168" s="127"/>
      <c r="AP168" s="127"/>
      <c r="AQ168" s="127"/>
      <c r="AR168" s="127"/>
      <c r="AS168" s="127"/>
    </row>
    <row r="169" spans="35:45">
      <c r="AI169" s="127"/>
      <c r="AJ169" s="127"/>
      <c r="AK169" s="127"/>
      <c r="AL169" s="127"/>
      <c r="AM169" s="127"/>
      <c r="AN169" s="127"/>
      <c r="AO169" s="127"/>
      <c r="AP169" s="127"/>
      <c r="AQ169" s="127"/>
      <c r="AR169" s="127"/>
      <c r="AS169" s="127"/>
    </row>
    <row r="170" spans="35:45">
      <c r="AI170" s="127"/>
      <c r="AJ170" s="127"/>
      <c r="AK170" s="127"/>
      <c r="AL170" s="127"/>
      <c r="AM170" s="127"/>
      <c r="AN170" s="127"/>
      <c r="AO170" s="127"/>
      <c r="AP170" s="127"/>
      <c r="AQ170" s="127"/>
      <c r="AR170" s="127"/>
      <c r="AS170" s="127"/>
    </row>
    <row r="171" spans="35:45">
      <c r="AI171" s="127"/>
      <c r="AJ171" s="127"/>
      <c r="AK171" s="127"/>
      <c r="AL171" s="127"/>
      <c r="AM171" s="127"/>
      <c r="AN171" s="127"/>
      <c r="AO171" s="127"/>
      <c r="AP171" s="127"/>
      <c r="AQ171" s="127"/>
      <c r="AR171" s="127"/>
      <c r="AS171" s="127"/>
    </row>
    <row r="172" spans="35:45">
      <c r="AI172" s="127"/>
      <c r="AJ172" s="127"/>
      <c r="AK172" s="127"/>
      <c r="AL172" s="127"/>
      <c r="AM172" s="127"/>
      <c r="AN172" s="127"/>
      <c r="AO172" s="127"/>
      <c r="AP172" s="127"/>
      <c r="AQ172" s="127"/>
      <c r="AR172" s="127"/>
      <c r="AS172" s="127"/>
    </row>
    <row r="173" spans="35:45">
      <c r="AI173" s="127"/>
      <c r="AJ173" s="127"/>
      <c r="AK173" s="127"/>
      <c r="AL173" s="127"/>
      <c r="AM173" s="127"/>
      <c r="AN173" s="127"/>
      <c r="AO173" s="127"/>
      <c r="AP173" s="127"/>
      <c r="AQ173" s="127"/>
      <c r="AR173" s="127"/>
      <c r="AS173" s="127"/>
    </row>
    <row r="174" spans="35:45">
      <c r="AI174" s="127"/>
      <c r="AJ174" s="127"/>
      <c r="AK174" s="127"/>
      <c r="AL174" s="127"/>
      <c r="AM174" s="127"/>
      <c r="AN174" s="127"/>
      <c r="AO174" s="127"/>
      <c r="AP174" s="127"/>
      <c r="AQ174" s="127"/>
      <c r="AR174" s="127"/>
      <c r="AS174" s="127"/>
    </row>
    <row r="175" spans="35:45">
      <c r="AI175" s="127"/>
      <c r="AJ175" s="127"/>
      <c r="AK175" s="127"/>
      <c r="AL175" s="127"/>
      <c r="AM175" s="127"/>
      <c r="AN175" s="127"/>
      <c r="AO175" s="127"/>
      <c r="AP175" s="127"/>
      <c r="AQ175" s="127"/>
      <c r="AR175" s="127"/>
      <c r="AS175" s="127"/>
    </row>
    <row r="176" spans="35:45">
      <c r="AI176" s="127"/>
      <c r="AJ176" s="127"/>
      <c r="AK176" s="127"/>
      <c r="AL176" s="127"/>
      <c r="AM176" s="127"/>
      <c r="AN176" s="127"/>
      <c r="AO176" s="127"/>
      <c r="AP176" s="127"/>
      <c r="AQ176" s="127"/>
      <c r="AR176" s="127"/>
      <c r="AS176" s="127"/>
    </row>
    <row r="177" spans="35:45">
      <c r="AI177" s="127"/>
      <c r="AJ177" s="127"/>
      <c r="AK177" s="127"/>
      <c r="AL177" s="127"/>
      <c r="AM177" s="127"/>
      <c r="AN177" s="127"/>
      <c r="AO177" s="127"/>
      <c r="AP177" s="127"/>
      <c r="AQ177" s="127"/>
      <c r="AR177" s="127"/>
      <c r="AS177" s="127"/>
    </row>
    <row r="178" spans="35:45">
      <c r="AI178" s="127"/>
      <c r="AJ178" s="127"/>
      <c r="AK178" s="127"/>
      <c r="AL178" s="127"/>
      <c r="AM178" s="127"/>
      <c r="AN178" s="127"/>
      <c r="AO178" s="127"/>
      <c r="AP178" s="127"/>
      <c r="AQ178" s="127"/>
      <c r="AR178" s="127"/>
      <c r="AS178" s="127"/>
    </row>
    <row r="179" spans="35:45">
      <c r="AI179" s="127"/>
      <c r="AJ179" s="127"/>
      <c r="AK179" s="127"/>
      <c r="AL179" s="127"/>
      <c r="AM179" s="127"/>
      <c r="AN179" s="127"/>
      <c r="AO179" s="127"/>
      <c r="AP179" s="127"/>
      <c r="AQ179" s="127"/>
      <c r="AR179" s="127"/>
      <c r="AS179" s="127"/>
    </row>
    <row r="180" spans="35:45">
      <c r="AI180" s="127"/>
      <c r="AJ180" s="127"/>
      <c r="AK180" s="127"/>
      <c r="AL180" s="127"/>
      <c r="AM180" s="127"/>
      <c r="AN180" s="127"/>
      <c r="AO180" s="127"/>
      <c r="AP180" s="127"/>
      <c r="AQ180" s="127"/>
      <c r="AR180" s="127"/>
      <c r="AS180" s="127"/>
    </row>
    <row r="181" spans="35:45">
      <c r="AI181" s="127"/>
      <c r="AJ181" s="127"/>
      <c r="AK181" s="127"/>
      <c r="AL181" s="127"/>
      <c r="AM181" s="127"/>
      <c r="AN181" s="127"/>
      <c r="AO181" s="127"/>
      <c r="AP181" s="127"/>
      <c r="AQ181" s="127"/>
      <c r="AR181" s="127"/>
      <c r="AS181" s="127"/>
    </row>
    <row r="182" spans="35:45">
      <c r="AI182" s="127"/>
      <c r="AJ182" s="127"/>
      <c r="AK182" s="127"/>
      <c r="AL182" s="127"/>
      <c r="AM182" s="127"/>
      <c r="AN182" s="127"/>
      <c r="AO182" s="127"/>
      <c r="AP182" s="127"/>
      <c r="AQ182" s="127"/>
      <c r="AR182" s="127"/>
      <c r="AS182" s="127"/>
    </row>
    <row r="183" spans="35:45">
      <c r="AI183" s="127"/>
      <c r="AJ183" s="127"/>
      <c r="AK183" s="127"/>
      <c r="AL183" s="127"/>
      <c r="AM183" s="127"/>
      <c r="AN183" s="127"/>
      <c r="AO183" s="127"/>
      <c r="AP183" s="127"/>
      <c r="AQ183" s="127"/>
      <c r="AR183" s="127"/>
      <c r="AS183" s="127"/>
    </row>
    <row r="184" spans="35:45">
      <c r="AI184" s="127"/>
      <c r="AJ184" s="127"/>
      <c r="AK184" s="127"/>
      <c r="AL184" s="127"/>
      <c r="AM184" s="127"/>
      <c r="AN184" s="127"/>
      <c r="AO184" s="127"/>
      <c r="AP184" s="127"/>
      <c r="AQ184" s="127"/>
      <c r="AR184" s="127"/>
      <c r="AS184" s="127"/>
    </row>
    <row r="185" spans="35:45">
      <c r="AI185" s="127"/>
      <c r="AJ185" s="127"/>
      <c r="AK185" s="127"/>
      <c r="AL185" s="127"/>
      <c r="AM185" s="127"/>
      <c r="AN185" s="127"/>
      <c r="AO185" s="127"/>
      <c r="AP185" s="127"/>
      <c r="AQ185" s="127"/>
      <c r="AR185" s="127"/>
      <c r="AS185" s="127"/>
    </row>
    <row r="186" spans="35:45">
      <c r="AI186" s="127"/>
      <c r="AJ186" s="127"/>
      <c r="AK186" s="127"/>
      <c r="AL186" s="127"/>
      <c r="AM186" s="127"/>
      <c r="AN186" s="127"/>
      <c r="AO186" s="127"/>
      <c r="AP186" s="127"/>
      <c r="AQ186" s="127"/>
      <c r="AR186" s="127"/>
      <c r="AS186" s="127"/>
    </row>
    <row r="187" spans="35:45">
      <c r="AI187" s="127"/>
      <c r="AJ187" s="127"/>
      <c r="AK187" s="127"/>
      <c r="AL187" s="127"/>
      <c r="AM187" s="127"/>
      <c r="AN187" s="127"/>
      <c r="AO187" s="127"/>
      <c r="AP187" s="127"/>
      <c r="AQ187" s="127"/>
      <c r="AR187" s="127"/>
      <c r="AS187" s="127"/>
    </row>
    <row r="188" spans="35:45">
      <c r="AI188" s="127"/>
      <c r="AJ188" s="127"/>
      <c r="AK188" s="127"/>
      <c r="AL188" s="127"/>
      <c r="AM188" s="127"/>
      <c r="AN188" s="127"/>
      <c r="AO188" s="127"/>
      <c r="AP188" s="127"/>
      <c r="AQ188" s="127"/>
      <c r="AR188" s="127"/>
      <c r="AS188" s="127"/>
    </row>
    <row r="189" spans="35:45">
      <c r="AI189" s="127"/>
      <c r="AJ189" s="127"/>
      <c r="AK189" s="127"/>
      <c r="AL189" s="127"/>
      <c r="AM189" s="127"/>
      <c r="AN189" s="127"/>
      <c r="AO189" s="127"/>
      <c r="AP189" s="127"/>
      <c r="AQ189" s="127"/>
      <c r="AR189" s="127"/>
      <c r="AS189" s="127"/>
    </row>
    <row r="190" spans="35:45">
      <c r="AI190" s="127"/>
      <c r="AJ190" s="127"/>
      <c r="AK190" s="127"/>
      <c r="AL190" s="127"/>
      <c r="AM190" s="127"/>
      <c r="AN190" s="127"/>
      <c r="AO190" s="127"/>
      <c r="AP190" s="127"/>
      <c r="AQ190" s="127"/>
      <c r="AR190" s="127"/>
      <c r="AS190" s="127"/>
    </row>
    <row r="191" spans="35:45">
      <c r="AI191" s="127"/>
      <c r="AJ191" s="127"/>
      <c r="AK191" s="127"/>
      <c r="AL191" s="127"/>
      <c r="AM191" s="127"/>
      <c r="AN191" s="127"/>
      <c r="AO191" s="127"/>
      <c r="AP191" s="127"/>
      <c r="AQ191" s="127"/>
      <c r="AR191" s="127"/>
      <c r="AS191" s="127"/>
    </row>
    <row r="192" spans="35:45">
      <c r="AI192" s="127"/>
      <c r="AJ192" s="127"/>
      <c r="AK192" s="127"/>
      <c r="AL192" s="127"/>
      <c r="AM192" s="127"/>
      <c r="AN192" s="127"/>
      <c r="AO192" s="127"/>
      <c r="AP192" s="127"/>
      <c r="AQ192" s="127"/>
      <c r="AR192" s="127"/>
      <c r="AS192" s="127"/>
    </row>
    <row r="193" spans="35:45">
      <c r="AI193" s="127"/>
      <c r="AJ193" s="127"/>
      <c r="AK193" s="127"/>
      <c r="AL193" s="127"/>
      <c r="AM193" s="127"/>
      <c r="AN193" s="127"/>
      <c r="AO193" s="127"/>
      <c r="AP193" s="127"/>
      <c r="AQ193" s="127"/>
      <c r="AR193" s="127"/>
      <c r="AS193" s="127"/>
    </row>
    <row r="194" spans="35:45">
      <c r="AI194" s="127"/>
      <c r="AJ194" s="127"/>
      <c r="AK194" s="127"/>
      <c r="AL194" s="127"/>
      <c r="AM194" s="127"/>
      <c r="AN194" s="127"/>
      <c r="AO194" s="127"/>
      <c r="AP194" s="127"/>
      <c r="AQ194" s="127"/>
      <c r="AR194" s="127"/>
      <c r="AS194" s="127"/>
    </row>
    <row r="195" spans="35:45">
      <c r="AI195" s="127"/>
      <c r="AJ195" s="127"/>
      <c r="AK195" s="127"/>
      <c r="AL195" s="127"/>
      <c r="AM195" s="127"/>
      <c r="AN195" s="127"/>
      <c r="AO195" s="127"/>
      <c r="AP195" s="127"/>
      <c r="AQ195" s="127"/>
      <c r="AR195" s="127"/>
      <c r="AS195" s="127"/>
    </row>
    <row r="196" spans="35:45">
      <c r="AI196" s="127"/>
      <c r="AJ196" s="127"/>
      <c r="AK196" s="127"/>
      <c r="AL196" s="127"/>
      <c r="AM196" s="127"/>
      <c r="AN196" s="127"/>
      <c r="AO196" s="127"/>
      <c r="AP196" s="127"/>
      <c r="AQ196" s="127"/>
      <c r="AR196" s="127"/>
      <c r="AS196" s="127"/>
    </row>
    <row r="197" spans="35:45">
      <c r="AI197" s="127"/>
      <c r="AJ197" s="127"/>
      <c r="AK197" s="127"/>
      <c r="AL197" s="127"/>
      <c r="AM197" s="127"/>
      <c r="AN197" s="127"/>
      <c r="AO197" s="127"/>
      <c r="AP197" s="127"/>
      <c r="AQ197" s="127"/>
      <c r="AR197" s="127"/>
      <c r="AS197" s="127"/>
    </row>
    <row r="198" spans="35:45">
      <c r="AI198" s="101"/>
      <c r="AJ198" s="101"/>
      <c r="AK198" s="101"/>
      <c r="AL198" s="101"/>
      <c r="AM198" s="101"/>
      <c r="AN198" s="101"/>
      <c r="AO198" s="101"/>
      <c r="AP198" s="101"/>
      <c r="AQ198" s="101"/>
      <c r="AR198" s="101"/>
      <c r="AS198" s="101"/>
    </row>
    <row r="199" spans="35:45">
      <c r="AI199" s="116"/>
      <c r="AJ199" s="116"/>
      <c r="AK199" s="116"/>
      <c r="AL199" s="116"/>
      <c r="AM199" s="116"/>
      <c r="AN199" s="116"/>
      <c r="AO199" s="116"/>
      <c r="AP199" s="116"/>
      <c r="AQ199" s="116"/>
      <c r="AR199" s="116"/>
      <c r="AS199" s="116"/>
    </row>
    <row r="200" spans="35:45">
      <c r="AI200" s="102"/>
      <c r="AJ200" s="102"/>
      <c r="AK200" s="102"/>
      <c r="AL200" s="102"/>
      <c r="AM200" s="102"/>
      <c r="AN200" s="102"/>
      <c r="AO200" s="102"/>
      <c r="AP200" s="102"/>
      <c r="AQ200" s="102"/>
      <c r="AR200" s="102"/>
      <c r="AS200" s="102"/>
    </row>
    <row r="201" spans="35:45">
      <c r="AI201" s="102"/>
      <c r="AJ201" s="102"/>
      <c r="AK201" s="102"/>
      <c r="AL201" s="102"/>
      <c r="AM201" s="102"/>
      <c r="AN201" s="102"/>
      <c r="AO201" s="102"/>
      <c r="AP201" s="102"/>
      <c r="AQ201" s="102"/>
      <c r="AR201" s="102"/>
      <c r="AS201" s="102"/>
    </row>
    <row r="202" spans="35:45">
      <c r="AI202" s="102"/>
      <c r="AJ202" s="102"/>
      <c r="AK202" s="102"/>
      <c r="AL202" s="102"/>
      <c r="AM202" s="102"/>
      <c r="AN202" s="102"/>
      <c r="AO202" s="102"/>
      <c r="AP202" s="102"/>
      <c r="AQ202" s="102"/>
      <c r="AR202" s="102"/>
      <c r="AS202" s="102"/>
    </row>
    <row r="203" spans="35:45">
      <c r="AI203" s="102"/>
      <c r="AJ203" s="102"/>
      <c r="AK203" s="102"/>
      <c r="AL203" s="102"/>
      <c r="AM203" s="102"/>
      <c r="AN203" s="102"/>
      <c r="AO203" s="102"/>
      <c r="AP203" s="102"/>
      <c r="AQ203" s="102"/>
      <c r="AR203" s="102"/>
      <c r="AS203" s="102"/>
    </row>
    <row r="204" spans="35:45">
      <c r="AI204" s="102"/>
      <c r="AJ204" s="102"/>
      <c r="AK204" s="102"/>
      <c r="AL204" s="102"/>
      <c r="AM204" s="102"/>
      <c r="AN204" s="102"/>
      <c r="AO204" s="102"/>
      <c r="AP204" s="102"/>
      <c r="AQ204" s="102"/>
      <c r="AR204" s="102"/>
      <c r="AS204" s="102"/>
    </row>
    <row r="205" spans="35:45">
      <c r="AI205" s="127"/>
      <c r="AJ205" s="127"/>
      <c r="AK205" s="127"/>
      <c r="AL205" s="127"/>
      <c r="AM205" s="127"/>
      <c r="AN205" s="127"/>
      <c r="AO205" s="127"/>
      <c r="AP205" s="127"/>
      <c r="AQ205" s="127"/>
      <c r="AR205" s="127"/>
      <c r="AS205" s="127"/>
    </row>
    <row r="206" spans="35:45">
      <c r="AI206" s="127"/>
      <c r="AJ206" s="127"/>
      <c r="AK206" s="127"/>
      <c r="AL206" s="127"/>
      <c r="AM206" s="127"/>
      <c r="AN206" s="127"/>
      <c r="AO206" s="127"/>
      <c r="AP206" s="127"/>
      <c r="AQ206" s="127"/>
      <c r="AR206" s="127"/>
      <c r="AS206" s="127"/>
    </row>
    <row r="207" spans="35:45">
      <c r="AI207" s="102"/>
      <c r="AJ207" s="102"/>
      <c r="AK207" s="102"/>
      <c r="AL207" s="102"/>
      <c r="AM207" s="1067"/>
      <c r="AN207" s="127"/>
      <c r="AO207" s="127"/>
      <c r="AP207" s="127"/>
      <c r="AQ207" s="127"/>
      <c r="AR207" s="127"/>
      <c r="AS207" s="127"/>
    </row>
    <row r="208" spans="35:45">
      <c r="AI208" s="127"/>
      <c r="AJ208" s="127"/>
      <c r="AK208" s="127"/>
      <c r="AL208" s="127"/>
      <c r="AM208" s="425"/>
      <c r="AN208" s="102"/>
      <c r="AO208" s="102"/>
      <c r="AP208" s="102"/>
      <c r="AQ208" s="102"/>
      <c r="AR208" s="102"/>
      <c r="AS208" s="102"/>
    </row>
    <row r="209" spans="35:45">
      <c r="AI209" s="127"/>
      <c r="AJ209" s="127"/>
      <c r="AK209" s="127"/>
      <c r="AL209" s="127"/>
      <c r="AM209" s="448"/>
      <c r="AN209" s="132"/>
      <c r="AO209" s="132"/>
      <c r="AP209" s="132"/>
      <c r="AQ209" s="132"/>
      <c r="AR209" s="132"/>
      <c r="AS209" s="132"/>
    </row>
    <row r="210" spans="35:45">
      <c r="AI210" s="127"/>
      <c r="AJ210" s="127"/>
      <c r="AK210" s="127"/>
      <c r="AL210" s="127"/>
      <c r="AM210" s="1067"/>
      <c r="AN210" s="127"/>
      <c r="AO210" s="127"/>
      <c r="AP210" s="127"/>
      <c r="AQ210" s="127"/>
      <c r="AR210" s="127"/>
      <c r="AS210" s="127"/>
    </row>
    <row r="211" spans="35:45">
      <c r="AI211" s="127"/>
      <c r="AJ211" s="127"/>
      <c r="AK211" s="436"/>
      <c r="AL211" s="102"/>
      <c r="AM211" s="102"/>
      <c r="AN211" s="102"/>
      <c r="AO211" s="102"/>
      <c r="AP211" s="102"/>
      <c r="AQ211" s="102"/>
      <c r="AR211" s="102"/>
      <c r="AS211" s="102"/>
    </row>
    <row r="212" spans="35:45">
      <c r="AI212" s="127"/>
      <c r="AJ212" s="127"/>
      <c r="AK212" s="1067"/>
      <c r="AL212" s="127"/>
      <c r="AM212" s="127"/>
      <c r="AN212" s="127"/>
      <c r="AO212" s="127"/>
      <c r="AP212" s="127"/>
      <c r="AQ212" s="127"/>
      <c r="AR212" s="127"/>
      <c r="AS212" s="127"/>
    </row>
    <row r="213" spans="35:45">
      <c r="AI213" s="127"/>
      <c r="AJ213" s="127"/>
      <c r="AK213" s="449"/>
      <c r="AL213" s="102"/>
      <c r="AM213" s="102"/>
      <c r="AN213" s="102"/>
      <c r="AO213" s="102"/>
      <c r="AP213" s="102"/>
      <c r="AQ213" s="102"/>
      <c r="AR213" s="102"/>
      <c r="AS213" s="102"/>
    </row>
    <row r="214" spans="35:45">
      <c r="AI214" s="127"/>
      <c r="AJ214" s="127"/>
      <c r="AK214" s="1067"/>
      <c r="AL214" s="127"/>
      <c r="AM214" s="127"/>
      <c r="AN214" s="127"/>
      <c r="AO214" s="127"/>
      <c r="AP214" s="127"/>
      <c r="AQ214" s="127"/>
      <c r="AR214" s="127"/>
      <c r="AS214" s="127"/>
    </row>
    <row r="215" spans="35:45">
      <c r="AI215" s="127"/>
      <c r="AJ215" s="127"/>
      <c r="AK215" s="449"/>
      <c r="AL215" s="102"/>
      <c r="AM215" s="102"/>
      <c r="AN215" s="102"/>
      <c r="AO215" s="102"/>
      <c r="AP215" s="102"/>
      <c r="AQ215" s="102"/>
      <c r="AR215" s="102"/>
      <c r="AS215" s="102"/>
    </row>
    <row r="216" spans="35:45">
      <c r="AI216" s="127"/>
      <c r="AJ216" s="127"/>
      <c r="AK216" s="102"/>
      <c r="AL216" s="102"/>
      <c r="AM216" s="102"/>
      <c r="AN216" s="102"/>
      <c r="AO216" s="102"/>
      <c r="AP216" s="102"/>
      <c r="AQ216" s="102"/>
      <c r="AR216" s="102"/>
      <c r="AS216" s="102"/>
    </row>
    <row r="217" spans="35:45">
      <c r="AI217" s="127"/>
      <c r="AJ217" s="127"/>
      <c r="AK217" s="127"/>
      <c r="AL217" s="127"/>
      <c r="AM217" s="127"/>
      <c r="AN217" s="127"/>
      <c r="AO217" s="127"/>
      <c r="AP217" s="127"/>
      <c r="AQ217" s="127"/>
      <c r="AR217" s="127"/>
      <c r="AS217" s="127"/>
    </row>
    <row r="218" spans="35:45">
      <c r="AI218" s="127"/>
      <c r="AJ218" s="127"/>
      <c r="AK218" s="127"/>
      <c r="AL218" s="127"/>
      <c r="AM218" s="127"/>
      <c r="AN218" s="127"/>
      <c r="AO218" s="127"/>
      <c r="AP218" s="127"/>
      <c r="AQ218" s="127"/>
      <c r="AR218" s="127"/>
      <c r="AS218" s="127"/>
    </row>
    <row r="219" spans="35:45">
      <c r="AI219" s="127"/>
      <c r="AJ219" s="127"/>
      <c r="AK219" s="127"/>
      <c r="AL219" s="127"/>
      <c r="AM219" s="127"/>
      <c r="AN219" s="127"/>
      <c r="AO219" s="127"/>
      <c r="AP219" s="127"/>
      <c r="AQ219" s="127"/>
      <c r="AR219" s="127"/>
      <c r="AS219" s="127"/>
    </row>
    <row r="220" spans="35:45">
      <c r="AI220" s="127"/>
      <c r="AJ220" s="127"/>
      <c r="AK220" s="127"/>
      <c r="AL220" s="127"/>
      <c r="AM220" s="127"/>
      <c r="AN220" s="127"/>
      <c r="AO220" s="127"/>
      <c r="AP220" s="127"/>
      <c r="AQ220" s="127"/>
      <c r="AR220" s="127"/>
      <c r="AS220" s="127"/>
    </row>
    <row r="221" spans="35:45">
      <c r="AI221" s="127"/>
      <c r="AJ221" s="127"/>
      <c r="AK221" s="127"/>
      <c r="AL221" s="127"/>
      <c r="AM221" s="127"/>
      <c r="AN221" s="127"/>
      <c r="AO221" s="127"/>
      <c r="AP221" s="127"/>
      <c r="AQ221" s="127"/>
      <c r="AR221" s="127"/>
      <c r="AS221" s="127"/>
    </row>
    <row r="222" spans="35:45">
      <c r="AI222" s="127"/>
      <c r="AJ222" s="127"/>
      <c r="AK222" s="127"/>
      <c r="AL222" s="127"/>
      <c r="AM222" s="127"/>
      <c r="AN222" s="127"/>
      <c r="AO222" s="127"/>
      <c r="AP222" s="127"/>
      <c r="AQ222" s="127"/>
      <c r="AR222" s="127"/>
      <c r="AS222" s="127"/>
    </row>
    <row r="223" spans="35:45">
      <c r="AI223" s="127"/>
      <c r="AJ223" s="127"/>
      <c r="AK223" s="127"/>
      <c r="AL223" s="127"/>
      <c r="AM223" s="127"/>
      <c r="AN223" s="127"/>
      <c r="AO223" s="127"/>
      <c r="AP223" s="127"/>
      <c r="AQ223" s="127"/>
      <c r="AR223" s="127"/>
      <c r="AS223" s="127"/>
    </row>
    <row r="224" spans="35:45">
      <c r="AI224" s="127"/>
      <c r="AJ224" s="127"/>
      <c r="AK224" s="127"/>
      <c r="AL224" s="127"/>
      <c r="AM224" s="127"/>
      <c r="AN224" s="127"/>
      <c r="AO224" s="127"/>
      <c r="AP224" s="127"/>
      <c r="AQ224" s="127"/>
      <c r="AR224" s="127"/>
      <c r="AS224" s="127"/>
    </row>
    <row r="225" spans="35:45">
      <c r="AI225" s="127"/>
      <c r="AJ225" s="127"/>
      <c r="AK225" s="127"/>
      <c r="AL225" s="127"/>
      <c r="AM225" s="127"/>
      <c r="AN225" s="127"/>
      <c r="AO225" s="127"/>
      <c r="AP225" s="127"/>
      <c r="AQ225" s="127"/>
      <c r="AR225" s="127"/>
      <c r="AS225" s="127"/>
    </row>
    <row r="226" spans="35:45">
      <c r="AI226" s="127"/>
      <c r="AJ226" s="127"/>
      <c r="AK226" s="127"/>
      <c r="AL226" s="127"/>
      <c r="AM226" s="127"/>
      <c r="AN226" s="127"/>
      <c r="AO226" s="127"/>
      <c r="AP226" s="127"/>
      <c r="AQ226" s="127"/>
      <c r="AR226" s="127"/>
      <c r="AS226" s="127"/>
    </row>
    <row r="227" spans="35:45">
      <c r="AI227" s="127"/>
      <c r="AJ227" s="127"/>
      <c r="AK227" s="127"/>
      <c r="AL227" s="127"/>
      <c r="AM227" s="127"/>
      <c r="AN227" s="127"/>
      <c r="AO227" s="127"/>
      <c r="AP227" s="127"/>
      <c r="AQ227" s="127"/>
      <c r="AR227" s="127"/>
      <c r="AS227" s="127"/>
    </row>
    <row r="228" spans="35:45">
      <c r="AI228" s="127"/>
      <c r="AJ228" s="127"/>
      <c r="AK228" s="127"/>
      <c r="AL228" s="127"/>
      <c r="AM228" s="127"/>
      <c r="AN228" s="127"/>
      <c r="AO228" s="127"/>
      <c r="AP228" s="127"/>
      <c r="AQ228" s="127"/>
      <c r="AR228" s="127"/>
      <c r="AS228" s="127"/>
    </row>
    <row r="229" spans="35:45">
      <c r="AI229" s="127"/>
      <c r="AJ229" s="127"/>
      <c r="AK229" s="127"/>
      <c r="AL229" s="127"/>
      <c r="AM229" s="127"/>
      <c r="AN229" s="127"/>
      <c r="AO229" s="127"/>
      <c r="AP229" s="127"/>
      <c r="AQ229" s="127"/>
      <c r="AR229" s="127"/>
      <c r="AS229" s="127"/>
    </row>
    <row r="230" spans="35:45">
      <c r="AI230" s="127"/>
      <c r="AJ230" s="127"/>
      <c r="AK230" s="127"/>
      <c r="AL230" s="127"/>
      <c r="AM230" s="127"/>
      <c r="AN230" s="127"/>
      <c r="AO230" s="127"/>
      <c r="AP230" s="127"/>
      <c r="AQ230" s="127"/>
      <c r="AR230" s="127"/>
      <c r="AS230" s="127"/>
    </row>
    <row r="231" spans="35:45">
      <c r="AI231" s="127"/>
      <c r="AJ231" s="127"/>
      <c r="AK231" s="127"/>
      <c r="AL231" s="127"/>
      <c r="AM231" s="127"/>
      <c r="AN231" s="127"/>
      <c r="AO231" s="127"/>
      <c r="AP231" s="127"/>
      <c r="AQ231" s="127"/>
      <c r="AR231" s="127"/>
      <c r="AS231" s="127"/>
    </row>
    <row r="232" spans="35:45">
      <c r="AI232" s="127"/>
      <c r="AJ232" s="127"/>
      <c r="AK232" s="127"/>
      <c r="AL232" s="127"/>
      <c r="AM232" s="127"/>
      <c r="AN232" s="127"/>
      <c r="AO232" s="127"/>
      <c r="AP232" s="127"/>
      <c r="AQ232" s="127"/>
      <c r="AR232" s="127"/>
      <c r="AS232" s="127"/>
    </row>
    <row r="233" spans="35:45">
      <c r="AI233" s="127"/>
      <c r="AJ233" s="127"/>
      <c r="AK233" s="127"/>
      <c r="AL233" s="127"/>
      <c r="AM233" s="127"/>
      <c r="AN233" s="127"/>
      <c r="AO233" s="127"/>
      <c r="AP233" s="127"/>
      <c r="AQ233" s="127"/>
      <c r="AR233" s="127"/>
      <c r="AS233" s="127"/>
    </row>
    <row r="234" spans="35:45">
      <c r="AI234" s="127"/>
      <c r="AJ234" s="127"/>
      <c r="AK234" s="127"/>
      <c r="AL234" s="127"/>
      <c r="AM234" s="127"/>
      <c r="AN234" s="127"/>
      <c r="AO234" s="127"/>
      <c r="AP234" s="127"/>
      <c r="AQ234" s="127"/>
      <c r="AR234" s="127"/>
      <c r="AS234" s="127"/>
    </row>
    <row r="235" spans="35:45">
      <c r="AI235" s="127"/>
      <c r="AJ235" s="127"/>
      <c r="AK235" s="127"/>
      <c r="AL235" s="127"/>
      <c r="AM235" s="127"/>
      <c r="AN235" s="127"/>
      <c r="AO235" s="127"/>
      <c r="AP235" s="127"/>
      <c r="AQ235" s="127"/>
      <c r="AR235" s="127"/>
      <c r="AS235" s="127"/>
    </row>
    <row r="236" spans="35:45">
      <c r="AI236" s="127"/>
      <c r="AJ236" s="127"/>
      <c r="AK236" s="127"/>
      <c r="AL236" s="127"/>
      <c r="AM236" s="127"/>
      <c r="AN236" s="127"/>
      <c r="AO236" s="127"/>
      <c r="AP236" s="127"/>
      <c r="AQ236" s="127"/>
      <c r="AR236" s="127"/>
      <c r="AS236" s="127"/>
    </row>
    <row r="237" spans="35:45">
      <c r="AI237" s="127"/>
      <c r="AJ237" s="127"/>
      <c r="AK237" s="127"/>
      <c r="AL237" s="127"/>
      <c r="AM237" s="127"/>
      <c r="AN237" s="127"/>
      <c r="AO237" s="127"/>
      <c r="AP237" s="127"/>
      <c r="AQ237" s="127"/>
      <c r="AR237" s="127"/>
      <c r="AS237" s="127"/>
    </row>
    <row r="238" spans="35:45">
      <c r="AI238" s="127"/>
      <c r="AJ238" s="127"/>
      <c r="AK238" s="127"/>
      <c r="AL238" s="127"/>
      <c r="AM238" s="127"/>
      <c r="AN238" s="127"/>
      <c r="AO238" s="127"/>
      <c r="AP238" s="127"/>
      <c r="AQ238" s="127"/>
      <c r="AR238" s="127"/>
      <c r="AS238" s="127"/>
    </row>
    <row r="239" spans="35:45">
      <c r="AI239" s="127"/>
      <c r="AJ239" s="127"/>
      <c r="AK239" s="127"/>
      <c r="AL239" s="127"/>
      <c r="AM239" s="127"/>
      <c r="AN239" s="127"/>
      <c r="AO239" s="127"/>
      <c r="AP239" s="127"/>
      <c r="AQ239" s="127"/>
      <c r="AR239" s="127"/>
      <c r="AS239" s="127"/>
    </row>
    <row r="240" spans="35:45">
      <c r="AI240" s="101"/>
      <c r="AJ240" s="101"/>
      <c r="AK240" s="101"/>
      <c r="AL240" s="101"/>
      <c r="AM240" s="101"/>
      <c r="AN240" s="101"/>
      <c r="AO240" s="101"/>
      <c r="AP240" s="101"/>
      <c r="AQ240" s="101"/>
      <c r="AR240" s="101"/>
      <c r="AS240" s="101"/>
    </row>
    <row r="241" spans="35:45">
      <c r="AI241" s="127"/>
      <c r="AJ241" s="127"/>
      <c r="AK241" s="127"/>
      <c r="AL241" s="127"/>
      <c r="AM241" s="127"/>
      <c r="AN241" s="127"/>
      <c r="AO241" s="127"/>
      <c r="AP241" s="127"/>
      <c r="AQ241" s="127"/>
      <c r="AR241" s="127"/>
      <c r="AS241" s="127"/>
    </row>
    <row r="242" spans="35:45">
      <c r="AI242" s="127"/>
      <c r="AJ242" s="127"/>
      <c r="AK242" s="127"/>
      <c r="AL242" s="127"/>
      <c r="AM242" s="127"/>
      <c r="AN242" s="127"/>
      <c r="AO242" s="127"/>
      <c r="AP242" s="127"/>
      <c r="AQ242" s="127"/>
      <c r="AR242" s="127"/>
      <c r="AS242" s="127"/>
    </row>
    <row r="243" spans="35:45">
      <c r="AI243" s="102"/>
      <c r="AJ243" s="102"/>
      <c r="AK243" s="127"/>
      <c r="AL243" s="127"/>
      <c r="AM243" s="127"/>
      <c r="AN243" s="127"/>
      <c r="AO243" s="127"/>
      <c r="AP243" s="127"/>
      <c r="AQ243" s="127"/>
      <c r="AR243" s="127"/>
      <c r="AS243" s="127"/>
    </row>
    <row r="244" spans="35:45">
      <c r="AI244" s="102"/>
      <c r="AJ244" s="102"/>
      <c r="AK244" s="127"/>
      <c r="AL244" s="127"/>
      <c r="AM244" s="127"/>
      <c r="AN244" s="127"/>
      <c r="AO244" s="127"/>
      <c r="AP244" s="127"/>
      <c r="AQ244" s="127"/>
      <c r="AR244" s="127"/>
      <c r="AS244" s="127"/>
    </row>
    <row r="245" spans="35:45">
      <c r="AI245" s="102"/>
      <c r="AJ245" s="102"/>
      <c r="AK245" s="127"/>
      <c r="AL245" s="127"/>
      <c r="AM245" s="127"/>
      <c r="AN245" s="127"/>
      <c r="AO245" s="127"/>
      <c r="AP245" s="127"/>
      <c r="AQ245" s="127"/>
      <c r="AR245" s="127"/>
      <c r="AS245" s="127"/>
    </row>
    <row r="246" spans="35:45">
      <c r="AI246" s="102"/>
      <c r="AJ246" s="102"/>
      <c r="AK246" s="127"/>
      <c r="AL246" s="127"/>
      <c r="AM246" s="127"/>
      <c r="AN246" s="127"/>
      <c r="AO246" s="127"/>
      <c r="AP246" s="127"/>
      <c r="AQ246" s="127"/>
      <c r="AR246" s="127"/>
      <c r="AS246" s="127"/>
    </row>
    <row r="247" spans="35:45">
      <c r="AI247" s="102"/>
      <c r="AJ247" s="102"/>
      <c r="AK247" s="102"/>
      <c r="AL247" s="102"/>
      <c r="AM247" s="127"/>
      <c r="AN247" s="127"/>
      <c r="AO247" s="127"/>
      <c r="AP247" s="127"/>
      <c r="AQ247" s="127"/>
      <c r="AR247" s="127"/>
      <c r="AS247" s="127"/>
    </row>
    <row r="248" spans="35:45">
      <c r="AI248" s="102"/>
      <c r="AJ248" s="102"/>
      <c r="AK248" s="102"/>
      <c r="AL248" s="102"/>
      <c r="AM248" s="127"/>
      <c r="AN248" s="127"/>
      <c r="AO248" s="127"/>
      <c r="AP248" s="127"/>
      <c r="AQ248" s="127"/>
      <c r="AR248" s="127"/>
      <c r="AS248" s="127"/>
    </row>
    <row r="249" spans="35:45">
      <c r="AI249" s="102"/>
      <c r="AJ249" s="102"/>
      <c r="AK249" s="102"/>
      <c r="AL249" s="102"/>
      <c r="AM249" s="127"/>
      <c r="AN249" s="127"/>
      <c r="AO249" s="127"/>
      <c r="AP249" s="127"/>
      <c r="AQ249" s="127"/>
      <c r="AR249" s="127"/>
      <c r="AS249" s="127"/>
    </row>
    <row r="250" spans="35:45">
      <c r="AI250" s="102"/>
      <c r="AJ250" s="101"/>
      <c r="AK250" s="101"/>
      <c r="AL250" s="101"/>
      <c r="AM250" s="101"/>
      <c r="AN250" s="101"/>
      <c r="AO250" s="101"/>
      <c r="AP250" s="101"/>
      <c r="AQ250" s="101"/>
      <c r="AR250" s="101"/>
      <c r="AS250" s="101"/>
    </row>
    <row r="251" spans="35:45">
      <c r="AI251" s="102"/>
      <c r="AJ251" s="127"/>
      <c r="AK251" s="127"/>
      <c r="AL251" s="127"/>
      <c r="AM251" s="102"/>
      <c r="AN251" s="102"/>
      <c r="AO251" s="102"/>
      <c r="AP251" s="102"/>
      <c r="AQ251" s="102"/>
      <c r="AR251" s="102"/>
      <c r="AS251" s="102"/>
    </row>
    <row r="252" spans="35:45">
      <c r="AI252" s="102"/>
      <c r="AJ252" s="127"/>
      <c r="AK252" s="102"/>
      <c r="AL252" s="102"/>
      <c r="AM252" s="102"/>
      <c r="AN252" s="102"/>
      <c r="AO252" s="102"/>
      <c r="AP252" s="102"/>
      <c r="AQ252" s="102"/>
      <c r="AR252" s="102"/>
      <c r="AS252" s="102"/>
    </row>
    <row r="253" spans="35:45">
      <c r="AI253" s="102"/>
      <c r="AJ253" s="127"/>
      <c r="AK253" s="132"/>
      <c r="AL253" s="132"/>
      <c r="AM253" s="102"/>
      <c r="AN253" s="102"/>
      <c r="AO253" s="102"/>
      <c r="AP253" s="102"/>
      <c r="AQ253" s="102"/>
      <c r="AR253" s="102"/>
      <c r="AS253" s="102"/>
    </row>
    <row r="254" spans="35:45">
      <c r="AI254" s="102"/>
      <c r="AJ254" s="102"/>
      <c r="AK254" s="102"/>
      <c r="AL254" s="102"/>
      <c r="AM254" s="102"/>
      <c r="AN254" s="102"/>
      <c r="AO254" s="102"/>
      <c r="AP254" s="102"/>
      <c r="AQ254" s="102"/>
      <c r="AR254" s="102"/>
      <c r="AS254" s="102"/>
    </row>
    <row r="255" spans="35:45">
      <c r="AI255" s="102"/>
      <c r="AJ255" s="102"/>
      <c r="AK255" s="102"/>
      <c r="AL255" s="102"/>
      <c r="AM255" s="102"/>
      <c r="AN255" s="102"/>
      <c r="AO255" s="102"/>
      <c r="AP255" s="102"/>
      <c r="AQ255" s="102"/>
      <c r="AR255" s="102"/>
      <c r="AS255" s="102"/>
    </row>
    <row r="256" spans="35:45">
      <c r="AI256" s="102"/>
      <c r="AJ256" s="102"/>
      <c r="AK256" s="127"/>
      <c r="AL256" s="127"/>
      <c r="AM256" s="102"/>
      <c r="AN256" s="102"/>
      <c r="AO256" s="102"/>
      <c r="AP256" s="102"/>
      <c r="AQ256" s="102"/>
      <c r="AR256" s="102"/>
      <c r="AS256" s="102"/>
    </row>
    <row r="257" spans="35:45">
      <c r="AI257" s="102"/>
      <c r="AJ257" s="102"/>
      <c r="AK257" s="102"/>
      <c r="AL257" s="102"/>
      <c r="AM257" s="102"/>
      <c r="AN257" s="102"/>
      <c r="AO257" s="102"/>
      <c r="AP257" s="102"/>
      <c r="AQ257" s="102"/>
      <c r="AR257" s="102"/>
      <c r="AS257" s="102"/>
    </row>
    <row r="258" spans="35:45">
      <c r="AI258" s="102"/>
      <c r="AJ258" s="102"/>
      <c r="AK258" s="102"/>
      <c r="AL258" s="102"/>
      <c r="AM258" s="127"/>
      <c r="AN258" s="127"/>
      <c r="AO258" s="127"/>
      <c r="AP258" s="127"/>
      <c r="AQ258" s="127"/>
      <c r="AR258" s="127"/>
      <c r="AS258" s="127"/>
    </row>
    <row r="259" spans="35:45">
      <c r="AI259" s="102"/>
      <c r="AJ259" s="127"/>
      <c r="AK259" s="127"/>
      <c r="AL259" s="127"/>
      <c r="AM259" s="127"/>
      <c r="AN259" s="127"/>
      <c r="AO259" s="127"/>
      <c r="AP259" s="127"/>
      <c r="AQ259" s="127"/>
      <c r="AR259" s="127"/>
      <c r="AS259" s="127"/>
    </row>
    <row r="260" spans="35:45">
      <c r="AI260" s="102"/>
      <c r="AJ260" s="1067"/>
      <c r="AK260" s="102"/>
      <c r="AL260" s="102"/>
      <c r="AM260" s="127"/>
      <c r="AN260" s="127"/>
      <c r="AO260" s="127"/>
      <c r="AP260" s="127"/>
      <c r="AQ260" s="127"/>
      <c r="AR260" s="127"/>
      <c r="AS260" s="127"/>
    </row>
    <row r="261" spans="35:45">
      <c r="AI261" s="102"/>
      <c r="AJ261" s="426"/>
      <c r="AK261" s="102"/>
      <c r="AL261" s="102"/>
      <c r="AM261" s="102"/>
      <c r="AN261" s="102"/>
      <c r="AO261" s="102"/>
      <c r="AP261" s="102"/>
      <c r="AQ261" s="102"/>
      <c r="AR261" s="102"/>
      <c r="AS261" s="102"/>
    </row>
    <row r="262" spans="35:45">
      <c r="AI262" s="102"/>
      <c r="AJ262" s="102"/>
      <c r="AK262" s="132"/>
      <c r="AL262" s="132"/>
      <c r="AM262" s="132"/>
      <c r="AN262" s="132"/>
      <c r="AO262" s="132"/>
      <c r="AP262" s="132"/>
      <c r="AQ262" s="132"/>
      <c r="AR262" s="132"/>
      <c r="AS262" s="132"/>
    </row>
    <row r="263" spans="35:45">
      <c r="AI263" s="102"/>
      <c r="AJ263" s="102"/>
      <c r="AK263" s="102"/>
      <c r="AL263" s="102"/>
      <c r="AM263" s="102"/>
      <c r="AN263" s="102"/>
      <c r="AO263" s="102"/>
      <c r="AP263" s="102"/>
      <c r="AQ263" s="102"/>
      <c r="AR263" s="102"/>
      <c r="AS263" s="102"/>
    </row>
    <row r="264" spans="35:45">
      <c r="AI264" s="127"/>
      <c r="AJ264" s="127"/>
      <c r="AK264" s="102"/>
      <c r="AL264" s="102"/>
      <c r="AM264" s="102"/>
      <c r="AN264" s="102"/>
      <c r="AO264" s="102"/>
      <c r="AP264" s="102"/>
      <c r="AQ264" s="102"/>
      <c r="AR264" s="102"/>
      <c r="AS264" s="102"/>
    </row>
    <row r="265" spans="35:45">
      <c r="AI265" s="102"/>
      <c r="AJ265" s="102"/>
      <c r="AK265" s="127"/>
      <c r="AL265" s="127"/>
      <c r="AM265" s="127"/>
      <c r="AN265" s="127"/>
      <c r="AO265" s="127"/>
      <c r="AP265" s="127"/>
      <c r="AQ265" s="127"/>
      <c r="AR265" s="127"/>
      <c r="AS265" s="127"/>
    </row>
    <row r="266" spans="35:45">
      <c r="AI266" s="102"/>
      <c r="AJ266" s="102"/>
      <c r="AK266" s="102"/>
      <c r="AL266" s="102"/>
      <c r="AM266" s="102"/>
      <c r="AN266" s="102"/>
      <c r="AO266" s="102"/>
      <c r="AP266" s="102"/>
      <c r="AQ266" s="102"/>
      <c r="AR266" s="102"/>
      <c r="AS266" s="102"/>
    </row>
    <row r="267" spans="35:45">
      <c r="AI267" s="127"/>
      <c r="AJ267" s="127"/>
      <c r="AK267" s="102"/>
      <c r="AL267" s="102"/>
      <c r="AM267" s="102"/>
      <c r="AN267" s="102"/>
      <c r="AO267" s="102"/>
      <c r="AP267" s="102"/>
      <c r="AQ267" s="102"/>
      <c r="AR267" s="102"/>
      <c r="AS267" s="102"/>
    </row>
    <row r="268" spans="35:45">
      <c r="AI268" s="102"/>
      <c r="AJ268" s="102"/>
      <c r="AK268" s="127"/>
      <c r="AL268" s="127"/>
      <c r="AM268" s="127"/>
      <c r="AN268" s="127"/>
      <c r="AO268" s="127"/>
      <c r="AP268" s="127"/>
      <c r="AQ268" s="127"/>
      <c r="AR268" s="127"/>
      <c r="AS268" s="127"/>
    </row>
    <row r="269" spans="35:45">
      <c r="AI269" s="127"/>
      <c r="AJ269" s="127"/>
      <c r="AK269" s="102"/>
      <c r="AL269" s="102"/>
      <c r="AM269" s="102"/>
      <c r="AN269" s="102"/>
      <c r="AO269" s="102"/>
      <c r="AP269" s="102"/>
      <c r="AQ269" s="102"/>
      <c r="AR269" s="102"/>
      <c r="AS269" s="102"/>
    </row>
    <row r="270" spans="35:45">
      <c r="AI270" s="127"/>
      <c r="AJ270" s="127"/>
      <c r="AK270" s="102"/>
      <c r="AL270" s="102"/>
      <c r="AM270" s="102"/>
      <c r="AN270" s="102"/>
      <c r="AO270" s="102"/>
      <c r="AP270" s="102"/>
      <c r="AQ270" s="102"/>
      <c r="AR270" s="102"/>
      <c r="AS270" s="102"/>
    </row>
    <row r="271" spans="35:45">
      <c r="AI271" s="127"/>
      <c r="AJ271" s="127"/>
      <c r="AK271" s="102"/>
      <c r="AL271" s="102"/>
      <c r="AM271" s="102"/>
      <c r="AN271" s="102"/>
      <c r="AO271" s="102"/>
      <c r="AP271" s="102"/>
      <c r="AQ271" s="102"/>
      <c r="AR271" s="102"/>
      <c r="AS271" s="102"/>
    </row>
    <row r="272" spans="35:45">
      <c r="AI272" s="127"/>
      <c r="AJ272" s="127"/>
      <c r="AK272" s="102"/>
      <c r="AL272" s="102"/>
      <c r="AM272" s="102"/>
      <c r="AN272" s="102"/>
      <c r="AO272" s="102"/>
      <c r="AP272" s="102"/>
      <c r="AQ272" s="102"/>
      <c r="AR272" s="102"/>
      <c r="AS272" s="102"/>
    </row>
    <row r="273" spans="35:45">
      <c r="AI273" s="127"/>
      <c r="AJ273" s="127"/>
      <c r="AK273" s="127"/>
      <c r="AL273" s="127"/>
      <c r="AM273" s="127"/>
      <c r="AN273" s="127"/>
      <c r="AO273" s="127"/>
      <c r="AP273" s="127"/>
      <c r="AQ273" s="127"/>
      <c r="AR273" s="127"/>
      <c r="AS273" s="127"/>
    </row>
    <row r="274" spans="35:45">
      <c r="AI274" s="127"/>
      <c r="AJ274" s="127"/>
      <c r="AK274" s="102"/>
      <c r="AL274" s="102"/>
      <c r="AM274" s="102"/>
      <c r="AN274" s="102"/>
      <c r="AO274" s="102"/>
      <c r="AP274" s="102"/>
      <c r="AQ274" s="102"/>
      <c r="AR274" s="102"/>
      <c r="AS274" s="102"/>
    </row>
    <row r="275" spans="35:45">
      <c r="AI275" s="127"/>
      <c r="AJ275" s="127"/>
      <c r="AK275" s="102"/>
      <c r="AL275" s="102"/>
      <c r="AM275" s="102"/>
      <c r="AN275" s="102"/>
      <c r="AO275" s="102"/>
      <c r="AP275" s="102"/>
      <c r="AQ275" s="102"/>
      <c r="AR275" s="102"/>
      <c r="AS275" s="102"/>
    </row>
    <row r="276" spans="35:45">
      <c r="AI276" s="127"/>
      <c r="AJ276" s="127"/>
      <c r="AK276" s="127"/>
      <c r="AL276" s="127"/>
      <c r="AM276" s="127"/>
      <c r="AN276" s="127"/>
      <c r="AO276" s="127"/>
      <c r="AP276" s="127"/>
      <c r="AQ276" s="127"/>
      <c r="AR276" s="127"/>
      <c r="AS276" s="127"/>
    </row>
    <row r="277" spans="35:45">
      <c r="AI277" s="127"/>
      <c r="AJ277" s="127"/>
      <c r="AK277" s="102"/>
      <c r="AL277" s="102"/>
      <c r="AM277" s="102"/>
      <c r="AN277" s="102"/>
      <c r="AO277" s="102"/>
      <c r="AP277" s="102"/>
      <c r="AQ277" s="102"/>
      <c r="AR277" s="102"/>
      <c r="AS277" s="102"/>
    </row>
    <row r="278" spans="35:45">
      <c r="AI278" s="127"/>
      <c r="AJ278" s="127"/>
      <c r="AK278" s="127"/>
      <c r="AL278" s="127"/>
      <c r="AM278" s="127"/>
      <c r="AN278" s="127"/>
      <c r="AO278" s="127"/>
      <c r="AP278" s="127"/>
      <c r="AQ278" s="127"/>
      <c r="AR278" s="127"/>
      <c r="AS278" s="127"/>
    </row>
    <row r="279" spans="35:45">
      <c r="AI279" s="127"/>
      <c r="AJ279" s="127"/>
      <c r="AK279" s="127"/>
      <c r="AL279" s="127"/>
      <c r="AM279" s="127"/>
      <c r="AN279" s="127"/>
      <c r="AO279" s="127"/>
      <c r="AP279" s="127"/>
      <c r="AQ279" s="127"/>
      <c r="AR279" s="127"/>
      <c r="AS279" s="127"/>
    </row>
    <row r="280" spans="35:45">
      <c r="AI280" s="127"/>
      <c r="AJ280" s="127"/>
      <c r="AK280" s="127"/>
      <c r="AL280" s="127"/>
      <c r="AM280" s="127"/>
      <c r="AN280" s="127"/>
      <c r="AO280" s="127"/>
      <c r="AP280" s="127"/>
      <c r="AQ280" s="127"/>
      <c r="AR280" s="127"/>
      <c r="AS280" s="127"/>
    </row>
    <row r="281" spans="35:45">
      <c r="AI281" s="127"/>
      <c r="AJ281" s="127"/>
      <c r="AK281" s="127"/>
      <c r="AL281" s="127"/>
      <c r="AM281" s="127"/>
      <c r="AN281" s="127"/>
      <c r="AO281" s="127"/>
      <c r="AP281" s="127"/>
      <c r="AQ281" s="127"/>
      <c r="AR281" s="127"/>
      <c r="AS281" s="127"/>
    </row>
    <row r="282" spans="35:45">
      <c r="AI282" s="127"/>
      <c r="AJ282" s="127"/>
      <c r="AK282" s="127"/>
      <c r="AL282" s="127"/>
      <c r="AM282" s="127"/>
      <c r="AN282" s="127"/>
      <c r="AO282" s="127"/>
      <c r="AP282" s="127"/>
      <c r="AQ282" s="127"/>
      <c r="AR282" s="127"/>
      <c r="AS282" s="127"/>
    </row>
    <row r="283" spans="35:45">
      <c r="AI283" s="127"/>
      <c r="AJ283" s="127"/>
      <c r="AK283" s="127"/>
      <c r="AL283" s="127"/>
      <c r="AM283" s="127"/>
      <c r="AN283" s="127"/>
      <c r="AO283" s="127"/>
      <c r="AP283" s="127"/>
      <c r="AQ283" s="127"/>
      <c r="AR283" s="127"/>
      <c r="AS283" s="127"/>
    </row>
    <row r="284" spans="35:45">
      <c r="AI284" s="127"/>
      <c r="AJ284" s="127"/>
      <c r="AK284" s="127"/>
      <c r="AL284" s="127"/>
      <c r="AM284" s="127"/>
      <c r="AN284" s="127"/>
      <c r="AO284" s="127"/>
      <c r="AP284" s="127"/>
      <c r="AQ284" s="127"/>
      <c r="AR284" s="127"/>
      <c r="AS284" s="127"/>
    </row>
    <row r="285" spans="35:45">
      <c r="AI285" s="127"/>
      <c r="AJ285" s="127"/>
      <c r="AK285" s="127"/>
      <c r="AL285" s="127"/>
      <c r="AM285" s="127"/>
      <c r="AN285" s="127"/>
      <c r="AO285" s="127"/>
      <c r="AP285" s="127"/>
      <c r="AQ285" s="127"/>
      <c r="AR285" s="127"/>
      <c r="AS285" s="127"/>
    </row>
    <row r="286" spans="35:45">
      <c r="AI286" s="127"/>
      <c r="AJ286" s="127"/>
      <c r="AK286" s="127"/>
      <c r="AL286" s="127"/>
      <c r="AM286" s="127"/>
      <c r="AN286" s="127"/>
      <c r="AO286" s="127"/>
      <c r="AP286" s="127"/>
      <c r="AQ286" s="127"/>
      <c r="AR286" s="127"/>
      <c r="AS286" s="127"/>
    </row>
    <row r="287" spans="35:45">
      <c r="AI287" s="127"/>
      <c r="AJ287" s="127"/>
      <c r="AK287" s="127"/>
      <c r="AL287" s="127"/>
      <c r="AM287" s="127"/>
      <c r="AN287" s="127"/>
      <c r="AO287" s="127"/>
      <c r="AP287" s="127"/>
      <c r="AQ287" s="127"/>
      <c r="AR287" s="127"/>
      <c r="AS287" s="127"/>
    </row>
    <row r="288" spans="35:45">
      <c r="AI288" s="127"/>
      <c r="AJ288" s="127"/>
      <c r="AK288" s="127"/>
      <c r="AL288" s="127"/>
      <c r="AM288" s="127"/>
      <c r="AN288" s="127"/>
      <c r="AO288" s="127"/>
      <c r="AP288" s="127"/>
      <c r="AQ288" s="127"/>
      <c r="AR288" s="127"/>
      <c r="AS288" s="127"/>
    </row>
    <row r="289" spans="35:45">
      <c r="AI289" s="127"/>
      <c r="AJ289" s="127"/>
      <c r="AK289" s="127"/>
      <c r="AL289" s="127"/>
      <c r="AM289" s="127"/>
      <c r="AN289" s="127"/>
      <c r="AO289" s="127"/>
      <c r="AP289" s="127"/>
      <c r="AQ289" s="127"/>
      <c r="AR289" s="127"/>
      <c r="AS289" s="127"/>
    </row>
    <row r="290" spans="35:45">
      <c r="AI290" s="127"/>
      <c r="AJ290" s="127"/>
      <c r="AK290" s="127"/>
      <c r="AL290" s="127"/>
      <c r="AM290" s="127"/>
      <c r="AN290" s="127"/>
      <c r="AO290" s="127"/>
      <c r="AP290" s="127"/>
      <c r="AQ290" s="127"/>
      <c r="AR290" s="127"/>
      <c r="AS290" s="127"/>
    </row>
  </sheetData>
  <mergeCells count="47">
    <mergeCell ref="BM25:BM27"/>
    <mergeCell ref="BJ25:BJ27"/>
    <mergeCell ref="BK25:BK27"/>
    <mergeCell ref="BL25:BL27"/>
    <mergeCell ref="A24:Y24"/>
    <mergeCell ref="AN25:AN27"/>
    <mergeCell ref="AO25:AO27"/>
    <mergeCell ref="AP25:AP27"/>
    <mergeCell ref="AQ25:AQ27"/>
    <mergeCell ref="AI25:AI27"/>
    <mergeCell ref="AK25:AK27"/>
    <mergeCell ref="AJ25:AJ27"/>
    <mergeCell ref="AL25:AL27"/>
    <mergeCell ref="AM25:AM27"/>
    <mergeCell ref="AS25:AS27"/>
    <mergeCell ref="AR25:AR27"/>
    <mergeCell ref="CA25:CA27"/>
    <mergeCell ref="CC25:CC27"/>
    <mergeCell ref="CB25:CB27"/>
    <mergeCell ref="BV25:BV27"/>
    <mergeCell ref="BZ25:BZ27"/>
    <mergeCell ref="BW25:BW27"/>
    <mergeCell ref="BX25:BX27"/>
    <mergeCell ref="BY25:BY27"/>
    <mergeCell ref="BS25:BS27"/>
    <mergeCell ref="BT25:BT27"/>
    <mergeCell ref="BU25:BU27"/>
    <mergeCell ref="BE25:BE27"/>
    <mergeCell ref="AW25:AW27"/>
    <mergeCell ref="AY25:AY27"/>
    <mergeCell ref="AX25:AX27"/>
    <mergeCell ref="BD25:BD27"/>
    <mergeCell ref="BI25:BI27"/>
    <mergeCell ref="BQ25:BQ27"/>
    <mergeCell ref="BP25:BP27"/>
    <mergeCell ref="BO25:BO27"/>
    <mergeCell ref="BC25:BC27"/>
    <mergeCell ref="BN25:BN27"/>
    <mergeCell ref="BB25:BB27"/>
    <mergeCell ref="BA25:BA27"/>
    <mergeCell ref="H3:S3"/>
    <mergeCell ref="H25:S25"/>
    <mergeCell ref="BG25:BG27"/>
    <mergeCell ref="BH25:BH27"/>
    <mergeCell ref="AU25:AU27"/>
    <mergeCell ref="AV25:AV27"/>
    <mergeCell ref="AZ25:AZ27"/>
  </mergeCells>
  <conditionalFormatting sqref="D46:D58">
    <cfRule type="expression" dxfId="7" priority="2">
      <formula>IF(D46=#REF!,1,2)&lt;1.5</formula>
    </cfRule>
  </conditionalFormatting>
  <hyperlinks>
    <hyperlink ref="AI23" r:id="rId1" display="from December 2008 Building America Research Benchmark Definition"/>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1">
    <tabColor theme="9" tint="0.79998168889431442"/>
  </sheetPr>
  <dimension ref="A1:BZ148"/>
  <sheetViews>
    <sheetView topLeftCell="A10" zoomScale="85" zoomScaleNormal="85" workbookViewId="0">
      <selection activeCell="BP43" sqref="BO43:BP51"/>
    </sheetView>
  </sheetViews>
  <sheetFormatPr defaultRowHeight="12.75"/>
  <cols>
    <col min="1" max="1" width="9.140625" style="634"/>
    <col min="2" max="2" width="16.5703125" style="634" customWidth="1"/>
    <col min="3" max="4" width="25.85546875" style="634" customWidth="1"/>
    <col min="5" max="5" width="11.42578125" style="634" customWidth="1"/>
    <col min="6" max="6" width="12.140625" style="634" customWidth="1"/>
    <col min="7" max="9" width="9.140625" style="634"/>
    <col min="10" max="10" width="13.28515625" style="634" customWidth="1"/>
    <col min="11" max="11" width="22.7109375" style="634" customWidth="1"/>
    <col min="12" max="12" width="22.5703125" style="634" customWidth="1"/>
    <col min="13" max="13" width="11" style="634" customWidth="1"/>
    <col min="14" max="14" width="9.85546875" style="634" customWidth="1"/>
    <col min="15" max="15" width="17.140625" style="634" customWidth="1"/>
    <col min="16" max="16" width="16.42578125" style="634" customWidth="1"/>
    <col min="17" max="17" width="14.28515625" style="634" customWidth="1"/>
    <col min="18" max="18" width="17.5703125" style="634" customWidth="1"/>
    <col min="19" max="19" width="16.140625" style="634" customWidth="1"/>
    <col min="20" max="20" width="18.42578125" style="634" customWidth="1"/>
    <col min="21" max="21" width="17" style="634" customWidth="1"/>
    <col min="22" max="22" width="13.42578125" style="634" customWidth="1"/>
    <col min="23" max="23" width="14.140625" style="634" customWidth="1"/>
    <col min="24" max="24" width="16.140625" style="634" customWidth="1"/>
    <col min="25" max="26" width="18" style="634" bestFit="1" customWidth="1"/>
    <col min="27" max="27" width="15.7109375" style="634" customWidth="1"/>
    <col min="28" max="28" width="15.28515625" style="634" customWidth="1"/>
    <col min="29" max="29" width="18.85546875" style="634" customWidth="1"/>
    <col min="30" max="30" width="19.140625" style="634" customWidth="1"/>
    <col min="31" max="31" width="14.7109375" style="634" customWidth="1"/>
    <col min="32" max="32" width="14" style="634" customWidth="1"/>
    <col min="33" max="33" width="21.7109375" style="634" customWidth="1"/>
    <col min="34" max="34" width="15.85546875" style="634" customWidth="1"/>
    <col min="35" max="35" width="17.7109375" style="634" customWidth="1"/>
    <col min="36" max="36" width="14.42578125" style="634" customWidth="1"/>
    <col min="37" max="37" width="17.7109375" style="634" customWidth="1"/>
    <col min="38" max="38" width="20.7109375" style="634" customWidth="1"/>
    <col min="39" max="39" width="10.85546875" style="634" customWidth="1"/>
    <col min="40" max="40" width="9.28515625" style="634" customWidth="1"/>
    <col min="41" max="41" width="9.42578125" style="634" customWidth="1"/>
    <col min="42" max="42" width="17.85546875" style="634" customWidth="1"/>
    <col min="43" max="44" width="15.140625" style="634" customWidth="1"/>
    <col min="45" max="47" width="20.7109375" style="634" customWidth="1"/>
    <col min="48" max="48" width="14.7109375" style="634" customWidth="1"/>
    <col min="49" max="49" width="19.42578125" style="634" customWidth="1"/>
    <col min="50" max="62" width="9.5703125" style="634" customWidth="1"/>
    <col min="63" max="63" width="21.5703125" style="634" customWidth="1"/>
    <col min="64" max="65" width="9.5703125" style="634" customWidth="1"/>
    <col min="66" max="66" width="20.7109375" style="634" customWidth="1"/>
    <col min="67" max="67" width="28.28515625" style="634" customWidth="1"/>
    <col min="68" max="68" width="15.28515625" style="634" customWidth="1"/>
    <col min="69" max="69" width="16.85546875" style="634" customWidth="1"/>
    <col min="70" max="70" width="14.85546875" style="634" customWidth="1"/>
    <col min="71" max="71" width="15.5703125" style="634" customWidth="1"/>
    <col min="72" max="72" width="14.5703125" style="634" customWidth="1"/>
    <col min="73" max="73" width="13.5703125" style="634" customWidth="1"/>
    <col min="74" max="16384" width="9.140625" style="634"/>
  </cols>
  <sheetData>
    <row r="1" spans="1:69" ht="30">
      <c r="A1" s="739" t="s">
        <v>6507</v>
      </c>
    </row>
    <row r="2" spans="1:69" ht="18.75" customHeight="1">
      <c r="A2" s="739"/>
      <c r="H2" s="693"/>
      <c r="I2" s="693"/>
      <c r="J2" s="693"/>
      <c r="K2" s="693"/>
      <c r="L2" s="693"/>
      <c r="M2" s="693"/>
      <c r="N2" s="693"/>
    </row>
    <row r="3" spans="1:69" ht="19.5" customHeight="1">
      <c r="A3" s="739"/>
      <c r="B3" s="2237" t="s">
        <v>1424</v>
      </c>
      <c r="C3" s="2237"/>
      <c r="D3" s="2237"/>
      <c r="G3" s="1051" t="s">
        <v>4717</v>
      </c>
    </row>
    <row r="4" spans="1:69" ht="21.75" customHeight="1">
      <c r="A4" s="739"/>
      <c r="B4" s="2238" t="s">
        <v>2881</v>
      </c>
      <c r="C4" s="2238"/>
      <c r="D4" s="2238"/>
      <c r="G4" s="635" t="s">
        <v>4738</v>
      </c>
    </row>
    <row r="5" spans="1:69" ht="20.25" customHeight="1">
      <c r="A5" s="739"/>
      <c r="B5" s="2239" t="s">
        <v>1425</v>
      </c>
      <c r="C5" s="2239"/>
      <c r="D5" s="2239"/>
      <c r="G5" s="635" t="s">
        <v>4718</v>
      </c>
    </row>
    <row r="6" spans="1:69" ht="25.5" customHeight="1">
      <c r="A6" s="739"/>
      <c r="G6" s="635" t="s">
        <v>4719</v>
      </c>
    </row>
    <row r="7" spans="1:69">
      <c r="B7"/>
      <c r="C7"/>
      <c r="G7" s="635" t="s">
        <v>4720</v>
      </c>
      <c r="Q7" s="635"/>
      <c r="R7" s="635"/>
      <c r="S7" s="635"/>
      <c r="T7" s="635"/>
      <c r="U7" s="635"/>
      <c r="V7" s="635"/>
    </row>
    <row r="8" spans="1:69" ht="18.75">
      <c r="A8" s="639"/>
      <c r="B8" s="638"/>
      <c r="C8" s="638"/>
      <c r="D8" s="638"/>
      <c r="E8" s="638"/>
      <c r="F8" s="711"/>
      <c r="G8" s="635" t="s">
        <v>4721</v>
      </c>
      <c r="Z8" s="685" t="s">
        <v>4696</v>
      </c>
      <c r="AN8" s="661"/>
      <c r="AV8" s="636" t="s">
        <v>1374</v>
      </c>
      <c r="AX8" s="635"/>
      <c r="AY8" s="635"/>
      <c r="AZ8" s="637" t="s">
        <v>1375</v>
      </c>
      <c r="BA8" s="638"/>
      <c r="BB8" s="638"/>
    </row>
    <row r="9" spans="1:69" ht="18.75">
      <c r="A9" s="639"/>
      <c r="B9" s="1050"/>
      <c r="C9" s="1050"/>
      <c r="D9" s="1050"/>
      <c r="E9" s="1050"/>
      <c r="F9" s="1050"/>
      <c r="G9" s="635"/>
      <c r="Z9" s="685"/>
      <c r="AV9" s="636"/>
      <c r="AX9" s="635"/>
      <c r="AY9" s="635"/>
      <c r="AZ9" s="637"/>
      <c r="BA9" s="1050"/>
      <c r="BB9" s="1050"/>
    </row>
    <row r="10" spans="1:69" ht="66" customHeight="1">
      <c r="B10" s="1075" t="s">
        <v>1378</v>
      </c>
      <c r="C10" s="1075" t="s">
        <v>2865</v>
      </c>
      <c r="D10" s="1075" t="s">
        <v>2866</v>
      </c>
      <c r="E10" s="1075" t="s">
        <v>2871</v>
      </c>
      <c r="F10" s="1075" t="s">
        <v>2868</v>
      </c>
      <c r="G10" s="1075" t="s">
        <v>6473</v>
      </c>
      <c r="H10" s="1075" t="s">
        <v>2869</v>
      </c>
      <c r="I10" s="1075" t="s">
        <v>2870</v>
      </c>
      <c r="J10" s="1075" t="s">
        <v>2864</v>
      </c>
      <c r="K10" s="1075" t="s">
        <v>1379</v>
      </c>
      <c r="L10" s="1075" t="s">
        <v>1380</v>
      </c>
      <c r="M10" s="1075" t="s">
        <v>1381</v>
      </c>
      <c r="N10" s="1075" t="s">
        <v>2891</v>
      </c>
      <c r="O10" s="1075" t="s">
        <v>1382</v>
      </c>
      <c r="P10" s="1075" t="s">
        <v>6474</v>
      </c>
      <c r="Q10" s="1075" t="s">
        <v>2863</v>
      </c>
      <c r="R10" s="1075" t="s">
        <v>1383</v>
      </c>
      <c r="S10" s="1075" t="s">
        <v>4747</v>
      </c>
      <c r="T10" s="1075" t="s">
        <v>4748</v>
      </c>
      <c r="U10" s="1075" t="s">
        <v>4749</v>
      </c>
      <c r="V10" s="1075" t="s">
        <v>4750</v>
      </c>
      <c r="W10" s="1075" t="s">
        <v>2899</v>
      </c>
      <c r="X10" s="1076" t="s">
        <v>2900</v>
      </c>
      <c r="Y10" s="641"/>
      <c r="Z10" s="1076" t="s">
        <v>1378</v>
      </c>
      <c r="AA10" s="1076" t="s">
        <v>6475</v>
      </c>
      <c r="AB10" s="1076" t="s">
        <v>1384</v>
      </c>
      <c r="AC10" s="1076" t="s">
        <v>4751</v>
      </c>
      <c r="AD10" s="1076" t="s">
        <v>4752</v>
      </c>
      <c r="AE10" s="1076" t="s">
        <v>4753</v>
      </c>
      <c r="AF10" s="1076" t="s">
        <v>4793</v>
      </c>
      <c r="AG10" s="1076" t="s">
        <v>4754</v>
      </c>
      <c r="AH10" s="1076" t="s">
        <v>4755</v>
      </c>
      <c r="AI10" s="1076" t="s">
        <v>4756</v>
      </c>
      <c r="AJ10" s="1076" t="s">
        <v>4794</v>
      </c>
      <c r="AK10" s="1076" t="s">
        <v>4795</v>
      </c>
      <c r="AL10" s="1076" t="s">
        <v>4796</v>
      </c>
      <c r="AM10" s="1076" t="s">
        <v>4788</v>
      </c>
      <c r="AN10" s="1076" t="s">
        <v>4789</v>
      </c>
      <c r="AO10" s="1076" t="s">
        <v>4787</v>
      </c>
      <c r="AP10" s="1076" t="s">
        <v>1385</v>
      </c>
      <c r="AQ10" s="1076" t="s">
        <v>1386</v>
      </c>
      <c r="AR10" s="1076" t="s">
        <v>4797</v>
      </c>
      <c r="AS10" s="1076" t="s">
        <v>1387</v>
      </c>
      <c r="AT10" s="1076" t="s">
        <v>4790</v>
      </c>
      <c r="AU10" s="1076" t="s">
        <v>4757</v>
      </c>
      <c r="AV10" s="1076" t="s">
        <v>1388</v>
      </c>
      <c r="AW10" s="1076" t="s">
        <v>1378</v>
      </c>
      <c r="AX10"/>
      <c r="AY10" s="634" t="s">
        <v>1143</v>
      </c>
      <c r="AZ10" s="635" t="s">
        <v>492</v>
      </c>
      <c r="BA10" s="635" t="s">
        <v>1532</v>
      </c>
      <c r="BB10" s="640" t="s">
        <v>1376</v>
      </c>
      <c r="BC10" s="638" t="s">
        <v>1277</v>
      </c>
      <c r="BD10" s="638" t="s">
        <v>1145</v>
      </c>
      <c r="BE10" s="638" t="s">
        <v>1146</v>
      </c>
      <c r="BF10" s="638" t="s">
        <v>1003</v>
      </c>
      <c r="BG10" s="638" t="s">
        <v>1004</v>
      </c>
      <c r="BH10" s="638" t="s">
        <v>1005</v>
      </c>
      <c r="BI10" s="638" t="s">
        <v>1006</v>
      </c>
      <c r="BJ10" s="638" t="s">
        <v>1007</v>
      </c>
      <c r="BK10" s="638" t="s">
        <v>481</v>
      </c>
      <c r="BL10" s="638" t="s">
        <v>482</v>
      </c>
      <c r="BM10" s="638" t="s">
        <v>483</v>
      </c>
      <c r="BN10" s="638" t="s">
        <v>484</v>
      </c>
      <c r="BO10" s="638" t="s">
        <v>485</v>
      </c>
      <c r="BP10" s="634" t="s">
        <v>1377</v>
      </c>
      <c r="BQ10" s="642"/>
    </row>
    <row r="11" spans="1:69">
      <c r="A11" s="645"/>
      <c r="B11" s="810"/>
      <c r="C11" s="810"/>
      <c r="D11" s="809"/>
      <c r="E11" s="809"/>
      <c r="F11" s="809"/>
      <c r="G11" s="809"/>
      <c r="H11" s="809"/>
      <c r="I11" s="809"/>
      <c r="J11" s="809"/>
      <c r="K11" s="811"/>
      <c r="L11" s="2005"/>
      <c r="M11" s="812"/>
      <c r="N11" s="812"/>
      <c r="O11" s="650"/>
      <c r="P11" s="651">
        <f>IF(E11="Irregular", G11, H11*I11)</f>
        <v>0</v>
      </c>
      <c r="Q11" s="709" t="e">
        <f t="shared" ref="Q11:Q40" si="0">IF(E11="Rectangular",5*(J11-LOOKUP(B11,Q$106:Q$119,T$106:T$119))*(H11+I11)/(H11*I11),2.5*(J11-LOOKUP(B11,Q$106:Q$119,T$106:T$119))*F11/G11)</f>
        <v>#N/A</v>
      </c>
      <c r="R11" s="651">
        <f>N11*M11</f>
        <v>0</v>
      </c>
      <c r="S11" s="652" t="e">
        <f t="shared" ref="S11:S40" si="1">IF(K11="default",LOOKUP(LOOKUP(B11,C$70:C$83,R$70:R$83),$AG$79:$AG$95,$AH$79:$AH$95),LOOKUP(K11,$AG$79:$AG$95,$AH$79:$AH$95))*(0.0129*Q11^2-0.2624*Q11+1.986)</f>
        <v>#N/A</v>
      </c>
      <c r="T11" s="653" t="e">
        <f t="shared" ref="T11:T30" si="2">R11*IF(L11="Other",O11,LOOKUP(L11,AG$68:AG$77,AH$68:AH$77))</f>
        <v>#N/A</v>
      </c>
      <c r="U11" s="653" t="e">
        <f t="shared" ref="U11:U40" si="3">S11*T11*0.8</f>
        <v>#N/A</v>
      </c>
      <c r="V11" s="654" t="e">
        <f t="shared" ref="V11:V25" si="4">IF(B11="Outdoor","N/A",R11*IF(L11="Other",O11,LOOKUP(L11,AG$68:AG$77,AH$68:AH$77))*S11*0.8/(IF(E11="Irregular", G11, H11*I11)))</f>
        <v>#N/A</v>
      </c>
      <c r="W11" s="652" t="e">
        <f t="shared" ref="W11:W40" si="5">LOOKUP(LOOKUP(B11,C$70:C$83,R$70:R$83),$AG$79:$AG$95,$AH$79:$AH$95)*(0.0129*Q11^2-0.2624*Q11+1.986)</f>
        <v>#N/A</v>
      </c>
      <c r="X11" s="653" t="e">
        <f>IF(B11="Outdoor",T11,LOOKUP(B11,Z$11:Z$24,AB$11:AB$24)*(P11)/W11/0.8)</f>
        <v>#N/A</v>
      </c>
      <c r="Y11" s="641"/>
      <c r="Z11" s="646" t="s">
        <v>651</v>
      </c>
      <c r="AA11" s="655">
        <f t="shared" ref="AA11:AA24" si="6">IF(Z11="Outdoor","N/A",SUMIF(B$11:B$40,Z11,P$11:P$40))</f>
        <v>0</v>
      </c>
      <c r="AB11" s="656">
        <f t="shared" ref="AB11:AB23" si="7">IF(Z11="outdoor", "N/A", VLOOKUP(Z11,$C$106:$M$119,8, FALSE))</f>
        <v>17.5</v>
      </c>
      <c r="AC11" s="651">
        <v>0.8</v>
      </c>
      <c r="AD11" s="657">
        <f t="shared" ref="AD11:AD24" si="8">IF(AA11&gt;0,SUMIF(B$11:B$40,Z11,R$11:R$40),0)</f>
        <v>0</v>
      </c>
      <c r="AE11" s="657">
        <f t="shared" ref="AE11:AE21" si="9">IF($AA11&gt;0,SUMIF(B$11:B$40,Z11,U$11:U$40)/AA11,0)</f>
        <v>0</v>
      </c>
      <c r="AF11" s="656">
        <f t="shared" ref="AF11:AF24" si="10">IF(Z11="Outdoor","N/A",IF(AB11-AE11&gt;0,AB11-AE11,0))</f>
        <v>17.5</v>
      </c>
      <c r="AG11" s="1081">
        <f>BR58</f>
        <v>0</v>
      </c>
      <c r="AH11" s="657">
        <f t="shared" ref="AH11:AH24" si="11">SUMIF(B$11:B$42,Z11,T$11:T$42)</f>
        <v>0</v>
      </c>
      <c r="AI11" s="657">
        <f>AD11*AG11*365/1000</f>
        <v>0</v>
      </c>
      <c r="AJ11" s="657">
        <f>IF(Z11="Outdoor","N/A",AF11*AA11/0.4/0.8)</f>
        <v>0</v>
      </c>
      <c r="AK11" s="657">
        <f t="shared" ref="AK11:AK24" si="12">IF(Z11="Outdoor","N/A",AJ11/G70)</f>
        <v>0</v>
      </c>
      <c r="AL11" s="657">
        <f t="shared" ref="AL11:AL24" si="13">IF(Z11="Outdoor","N/A",AK11*AG11*365/1000)</f>
        <v>0</v>
      </c>
      <c r="AM11" s="657" t="str">
        <f>IF(OR($AD11="N/A",$AH11="N/A"),"N/A",IF($AD11&lt;=0,"N/A",($AH11)/($AD11)))</f>
        <v>N/A</v>
      </c>
      <c r="AN11" s="657" t="str">
        <f>IF(OR($AK11="N/A",$AJ11="N/A"),"N/A",IF($AK11&lt;=0,"N/A",($AJ11)/($AK11)))</f>
        <v>N/A</v>
      </c>
      <c r="AO11" s="657" t="str">
        <f>IF(SUM(AK11,AD11)=0,"N/A",(SUM(AJ11,AH11))/(SUM(AK11,AD11)))</f>
        <v>N/A</v>
      </c>
      <c r="AP11" s="657">
        <f t="shared" ref="AP11:AP24" si="14">IF(Z11="Outdoor",AH11,SUMIF(B$11:B$42,Z11,X$11:X$42))</f>
        <v>0</v>
      </c>
      <c r="AQ11" s="657">
        <f t="shared" ref="AQ11:AQ20" si="15">AP11/G70</f>
        <v>0</v>
      </c>
      <c r="AR11" s="1081">
        <f>BP58</f>
        <v>1.7922377238078355</v>
      </c>
      <c r="AS11" s="657">
        <f t="shared" ref="AS11:AS24" si="16">AQ11*AR11*365/1000*J70</f>
        <v>0</v>
      </c>
      <c r="AT11" s="657">
        <f t="shared" ref="AT11:AT24" si="17">AQ11*AG11*365/1000*K70</f>
        <v>0</v>
      </c>
      <c r="AU11" s="659">
        <f>SUM(AI11,AL11)</f>
        <v>0</v>
      </c>
      <c r="AV11" s="659">
        <f>SUM(AS11:AT11)</f>
        <v>0</v>
      </c>
      <c r="AW11" s="646" t="s">
        <v>651</v>
      </c>
      <c r="AX11"/>
      <c r="AY11" s="638">
        <v>1</v>
      </c>
      <c r="AZ11" s="643">
        <f>Lighting!W$71</f>
        <v>1.3697239228554126</v>
      </c>
      <c r="BA11" s="683">
        <v>31</v>
      </c>
      <c r="BB11" s="644">
        <f>AZ11*BA11/SUMPRODUCT(AZ$11:AZ$22,BA$11:BA$22)</f>
        <v>0.11633271673566517</v>
      </c>
      <c r="BC11" s="634">
        <v>1</v>
      </c>
      <c r="BD11" s="643">
        <f>Lighting!AM21</f>
        <v>2.2958931029971312E-2</v>
      </c>
      <c r="BE11" s="643">
        <f>Lighting!AN21</f>
        <v>2.6195190778883642E-2</v>
      </c>
      <c r="BF11" s="643">
        <f>Lighting!AO21</f>
        <v>3.1239455903513302E-2</v>
      </c>
      <c r="BG11" s="643">
        <f>Lighting!AP21</f>
        <v>3.8111576244204547E-2</v>
      </c>
      <c r="BH11" s="643">
        <f>Lighting!AQ21</f>
        <v>4.3720973085609134E-2</v>
      </c>
      <c r="BI11" s="643">
        <f>Lighting!AR21</f>
        <v>4.6795012448272444E-2</v>
      </c>
      <c r="BJ11" s="643">
        <f>Lighting!AS21</f>
        <v>4.5987762031717699E-2</v>
      </c>
      <c r="BK11" s="643">
        <f>Lighting!AT21</f>
        <v>4.1059124582624729E-2</v>
      </c>
      <c r="BL11" s="643">
        <f>Lighting!AU21</f>
        <v>3.4259434721744648E-2</v>
      </c>
      <c r="BM11" s="643">
        <f>Lighting!AV21</f>
        <v>2.8290361094131959E-2</v>
      </c>
      <c r="BN11" s="643">
        <f>Lighting!AW21</f>
        <v>2.3890754548899936E-2</v>
      </c>
      <c r="BO11" s="643">
        <f>Lighting!AX21</f>
        <v>2.2116829887083123E-2</v>
      </c>
      <c r="BP11" s="643">
        <f>Lighting!AL21</f>
        <v>3.1447397074939161E-2</v>
      </c>
    </row>
    <row r="12" spans="1:69">
      <c r="A12" s="645"/>
      <c r="B12" s="647"/>
      <c r="C12" s="647"/>
      <c r="D12" s="647"/>
      <c r="E12" s="647"/>
      <c r="F12" s="647"/>
      <c r="G12" s="647"/>
      <c r="H12" s="647"/>
      <c r="I12" s="647"/>
      <c r="J12" s="647"/>
      <c r="K12" s="648"/>
      <c r="L12" s="648"/>
      <c r="M12" s="649"/>
      <c r="N12" s="649"/>
      <c r="O12" s="650"/>
      <c r="P12" s="651">
        <f>IF(COUNTIF(C11,C12)=0,IF(E12="Irregular", G12, H12*I12),0)</f>
        <v>0</v>
      </c>
      <c r="Q12" s="709" t="e">
        <f t="shared" si="0"/>
        <v>#N/A</v>
      </c>
      <c r="R12" s="651">
        <f t="shared" ref="R12:R52" si="18">N12*M12</f>
        <v>0</v>
      </c>
      <c r="S12" s="652" t="e">
        <f t="shared" si="1"/>
        <v>#N/A</v>
      </c>
      <c r="T12" s="653" t="e">
        <f t="shared" si="2"/>
        <v>#N/A</v>
      </c>
      <c r="U12" s="653" t="e">
        <f t="shared" si="3"/>
        <v>#N/A</v>
      </c>
      <c r="V12" s="654" t="e">
        <f t="shared" si="4"/>
        <v>#N/A</v>
      </c>
      <c r="W12" s="652" t="e">
        <f t="shared" si="5"/>
        <v>#N/A</v>
      </c>
      <c r="X12" s="653" t="e">
        <f>IF(B12="Outdoor",T12,LOOKUP(B12,Z$11:Z$24,AB$11:AB$24)*P12/W12/0.8)</f>
        <v>#N/A</v>
      </c>
      <c r="Y12" s="641"/>
      <c r="Z12" s="646" t="s">
        <v>1389</v>
      </c>
      <c r="AA12" s="655">
        <f t="shared" si="6"/>
        <v>0</v>
      </c>
      <c r="AB12" s="656">
        <f t="shared" si="7"/>
        <v>12.5</v>
      </c>
      <c r="AC12" s="651">
        <v>0.8</v>
      </c>
      <c r="AD12" s="657">
        <f t="shared" si="8"/>
        <v>0</v>
      </c>
      <c r="AE12" s="657">
        <f t="shared" si="9"/>
        <v>0</v>
      </c>
      <c r="AF12" s="656">
        <f t="shared" si="10"/>
        <v>12.5</v>
      </c>
      <c r="AG12" s="1081">
        <f t="shared" ref="AG12:AG24" si="19">BR59</f>
        <v>0</v>
      </c>
      <c r="AH12" s="657">
        <f t="shared" si="11"/>
        <v>0</v>
      </c>
      <c r="AI12" s="657">
        <f t="shared" ref="AI12:AI39" si="20">AD12*AG12*365/1000</f>
        <v>0</v>
      </c>
      <c r="AJ12" s="657">
        <f t="shared" ref="AJ12:AJ24" si="21">IF(Z12="Outdoor","N/A",AF12*AA12/0.4/0.8)</f>
        <v>0</v>
      </c>
      <c r="AK12" s="657">
        <f t="shared" si="12"/>
        <v>0</v>
      </c>
      <c r="AL12" s="657">
        <f t="shared" si="13"/>
        <v>0</v>
      </c>
      <c r="AM12" s="657" t="str">
        <f t="shared" ref="AM12:AM24" si="22">IF(OR($AD12="N/A",$AH12="N/A"),"N/A",IF($AD12&lt;=0,"N/A",($AH12)/($AD12)))</f>
        <v>N/A</v>
      </c>
      <c r="AN12" s="657" t="str">
        <f t="shared" ref="AN12:AN24" si="23">IF(OR($AK12="N/A",$AJ12="N/A"),"N/A",IF($AK12&lt;=0,"N/A",($AJ12)/($AK12)))</f>
        <v>N/A</v>
      </c>
      <c r="AO12" s="657" t="str">
        <f t="shared" ref="AO12:AO24" si="24">IF(SUM(AK12,AD12)=0,"N/A",(SUM(AJ12,AH12))/(SUM(AK12,AD12)))</f>
        <v>N/A</v>
      </c>
      <c r="AP12" s="657">
        <f t="shared" si="14"/>
        <v>0</v>
      </c>
      <c r="AQ12" s="657">
        <f t="shared" si="15"/>
        <v>0</v>
      </c>
      <c r="AR12" s="1081">
        <f t="shared" ref="AR12:AR24" si="25">BP59</f>
        <v>1.1785519421860886</v>
      </c>
      <c r="AS12" s="657">
        <f t="shared" si="16"/>
        <v>0</v>
      </c>
      <c r="AT12" s="657">
        <f t="shared" si="17"/>
        <v>0</v>
      </c>
      <c r="AU12" s="659">
        <f t="shared" ref="AU12:AU39" si="26">SUM(AI12,AL12)</f>
        <v>0</v>
      </c>
      <c r="AV12" s="659">
        <f t="shared" ref="AV12:AV39" si="27">SUM(AS12:AT12)</f>
        <v>0</v>
      </c>
      <c r="AW12" s="646" t="s">
        <v>1389</v>
      </c>
      <c r="AX12"/>
      <c r="AY12" s="638">
        <v>2</v>
      </c>
      <c r="AZ12" s="643">
        <f>Lighting!X$71</f>
        <v>1.2005026930473592</v>
      </c>
      <c r="BA12" s="683">
        <v>28</v>
      </c>
      <c r="BB12" s="644">
        <f t="shared" ref="BB12:BB22" si="28">AZ12*BA12/SUMPRODUCT(AZ$11:AZ$22,BA$11:BA$22)</f>
        <v>9.2093357274865922E-2</v>
      </c>
      <c r="BC12" s="634">
        <f>1+BC11</f>
        <v>2</v>
      </c>
      <c r="BD12" s="643">
        <f>Lighting!AM22</f>
        <v>1.3775358617982788E-2</v>
      </c>
      <c r="BE12" s="643">
        <f>Lighting!AN22</f>
        <v>1.5717114467330186E-2</v>
      </c>
      <c r="BF12" s="643">
        <f>Lighting!AO22</f>
        <v>1.8743673542107982E-2</v>
      </c>
      <c r="BG12" s="643">
        <f>Lighting!AP22</f>
        <v>2.2866945746522729E-2</v>
      </c>
      <c r="BH12" s="643">
        <f>Lighting!AQ22</f>
        <v>2.6232583851365482E-2</v>
      </c>
      <c r="BI12" s="643">
        <f>Lighting!AR22</f>
        <v>2.8077007468963466E-2</v>
      </c>
      <c r="BJ12" s="643">
        <f>Lighting!AS22</f>
        <v>2.759265721903062E-2</v>
      </c>
      <c r="BK12" s="643">
        <f>Lighting!AT22</f>
        <v>2.4635474749574837E-2</v>
      </c>
      <c r="BL12" s="643">
        <f>Lighting!AU22</f>
        <v>2.0555660833046788E-2</v>
      </c>
      <c r="BM12" s="643">
        <f>Lighting!AV22</f>
        <v>1.6974216656479177E-2</v>
      </c>
      <c r="BN12" s="643">
        <f>Lighting!AW22</f>
        <v>1.4334452729339961E-2</v>
      </c>
      <c r="BO12" s="643">
        <f>Lighting!AX22</f>
        <v>1.3270097932249874E-2</v>
      </c>
      <c r="BP12" s="643">
        <f>Lighting!AL22</f>
        <v>1.8868438244963499E-2</v>
      </c>
    </row>
    <row r="13" spans="1:69">
      <c r="A13" s="645"/>
      <c r="B13" s="647"/>
      <c r="C13" s="647"/>
      <c r="D13" s="647"/>
      <c r="E13" s="647"/>
      <c r="F13" s="647"/>
      <c r="G13" s="647"/>
      <c r="H13" s="647"/>
      <c r="I13" s="647"/>
      <c r="J13" s="647"/>
      <c r="K13" s="648"/>
      <c r="L13" s="648"/>
      <c r="M13" s="649"/>
      <c r="N13" s="649"/>
      <c r="O13" s="650"/>
      <c r="P13" s="651">
        <f>IF(COUNTIF(C$11:C12,C13)=0,IF(E13="Irregular", G13, H13*I13),0)</f>
        <v>0</v>
      </c>
      <c r="Q13" s="709" t="e">
        <f t="shared" si="0"/>
        <v>#N/A</v>
      </c>
      <c r="R13" s="651">
        <f t="shared" si="18"/>
        <v>0</v>
      </c>
      <c r="S13" s="652" t="e">
        <f t="shared" si="1"/>
        <v>#N/A</v>
      </c>
      <c r="T13" s="653" t="e">
        <f t="shared" si="2"/>
        <v>#N/A</v>
      </c>
      <c r="U13" s="653" t="e">
        <f t="shared" si="3"/>
        <v>#N/A</v>
      </c>
      <c r="V13" s="654" t="e">
        <f t="shared" si="4"/>
        <v>#N/A</v>
      </c>
      <c r="W13" s="652" t="e">
        <f t="shared" si="5"/>
        <v>#N/A</v>
      </c>
      <c r="X13" s="653" t="e">
        <f t="shared" ref="X13:X40" si="29">IF(B13="Outdoor",T13,LOOKUP(B13,Z$11:Z$24,AB$11:AB$24)*P13/W13/0.8)</f>
        <v>#N/A</v>
      </c>
      <c r="Y13" s="641"/>
      <c r="Z13" s="646" t="s">
        <v>1393</v>
      </c>
      <c r="AA13" s="655">
        <f t="shared" si="6"/>
        <v>0</v>
      </c>
      <c r="AB13" s="656">
        <f t="shared" si="7"/>
        <v>5</v>
      </c>
      <c r="AC13" s="651">
        <v>0.8</v>
      </c>
      <c r="AD13" s="657">
        <f t="shared" si="8"/>
        <v>0</v>
      </c>
      <c r="AE13" s="657">
        <f t="shared" si="9"/>
        <v>0</v>
      </c>
      <c r="AF13" s="656">
        <f t="shared" si="10"/>
        <v>5</v>
      </c>
      <c r="AG13" s="1081">
        <f t="shared" si="19"/>
        <v>0</v>
      </c>
      <c r="AH13" s="657">
        <f t="shared" si="11"/>
        <v>0</v>
      </c>
      <c r="AI13" s="657">
        <f t="shared" si="20"/>
        <v>0</v>
      </c>
      <c r="AJ13" s="657">
        <f t="shared" si="21"/>
        <v>0</v>
      </c>
      <c r="AK13" s="657">
        <f t="shared" si="12"/>
        <v>0</v>
      </c>
      <c r="AL13" s="657">
        <f t="shared" si="13"/>
        <v>0</v>
      </c>
      <c r="AM13" s="657" t="str">
        <f t="shared" si="22"/>
        <v>N/A</v>
      </c>
      <c r="AN13" s="657" t="str">
        <f t="shared" si="23"/>
        <v>N/A</v>
      </c>
      <c r="AO13" s="657" t="str">
        <f t="shared" si="24"/>
        <v>N/A</v>
      </c>
      <c r="AP13" s="657">
        <f t="shared" si="14"/>
        <v>0</v>
      </c>
      <c r="AQ13" s="657">
        <f t="shared" si="15"/>
        <v>0</v>
      </c>
      <c r="AR13" s="1081">
        <f t="shared" si="25"/>
        <v>1.0510648148148147</v>
      </c>
      <c r="AS13" s="657">
        <f t="shared" si="16"/>
        <v>0</v>
      </c>
      <c r="AT13" s="657">
        <f t="shared" si="17"/>
        <v>0</v>
      </c>
      <c r="AU13" s="659">
        <f t="shared" si="26"/>
        <v>0</v>
      </c>
      <c r="AV13" s="659">
        <f t="shared" si="27"/>
        <v>0</v>
      </c>
      <c r="AW13" s="646" t="s">
        <v>1393</v>
      </c>
      <c r="AX13"/>
      <c r="AY13" s="638">
        <v>3</v>
      </c>
      <c r="AZ13" s="643">
        <f>Lighting!Y$71</f>
        <v>1.0066563634164472</v>
      </c>
      <c r="BA13" s="683">
        <v>31</v>
      </c>
      <c r="BB13" s="644">
        <f t="shared" si="28"/>
        <v>8.5496841824410585E-2</v>
      </c>
      <c r="BC13" s="634">
        <f t="shared" ref="BC13:BC33" si="30">1+BC12</f>
        <v>3</v>
      </c>
      <c r="BD13" s="643">
        <f>Lighting!AM23</f>
        <v>9.1835724119885241E-3</v>
      </c>
      <c r="BE13" s="643">
        <f>Lighting!AN23</f>
        <v>1.0478076311553456E-2</v>
      </c>
      <c r="BF13" s="643">
        <f>Lighting!AO23</f>
        <v>1.2495782361405321E-2</v>
      </c>
      <c r="BG13" s="643">
        <f>Lighting!AP23</f>
        <v>1.5244630497681818E-2</v>
      </c>
      <c r="BH13" s="643">
        <f>Lighting!AQ23</f>
        <v>1.7488389234243652E-2</v>
      </c>
      <c r="BI13" s="643">
        <f>Lighting!AR23</f>
        <v>1.8718004979308978E-2</v>
      </c>
      <c r="BJ13" s="643">
        <f>Lighting!AS23</f>
        <v>1.839510481268708E-2</v>
      </c>
      <c r="BK13" s="643">
        <f>Lighting!AT23</f>
        <v>1.6423649833049891E-2</v>
      </c>
      <c r="BL13" s="643">
        <f>Lighting!AU23</f>
        <v>1.3703773888697857E-2</v>
      </c>
      <c r="BM13" s="643">
        <f>Lighting!AV23</f>
        <v>1.1316144437652784E-2</v>
      </c>
      <c r="BN13" s="643">
        <f>Lighting!AW23</f>
        <v>9.5563018195599734E-3</v>
      </c>
      <c r="BO13" s="643">
        <f>Lighting!AX23</f>
        <v>8.846731954833249E-3</v>
      </c>
      <c r="BP13" s="643">
        <f>Lighting!AL23</f>
        <v>1.2578958829975664E-2</v>
      </c>
    </row>
    <row r="14" spans="1:69">
      <c r="A14" s="645"/>
      <c r="B14" s="647"/>
      <c r="C14" s="647"/>
      <c r="D14" s="712"/>
      <c r="E14" s="647"/>
      <c r="F14" s="647"/>
      <c r="G14" s="647"/>
      <c r="H14" s="647"/>
      <c r="I14" s="647"/>
      <c r="J14" s="647"/>
      <c r="K14" s="648"/>
      <c r="L14" s="648"/>
      <c r="M14" s="649"/>
      <c r="N14" s="649"/>
      <c r="O14" s="650"/>
      <c r="P14" s="651">
        <f>IF(COUNTIF(C$11:C13,C14)=0,IF(E14="Irregular", G14, H14*I14),0)</f>
        <v>0</v>
      </c>
      <c r="Q14" s="709" t="e">
        <f t="shared" si="0"/>
        <v>#N/A</v>
      </c>
      <c r="R14" s="651">
        <f t="shared" si="18"/>
        <v>0</v>
      </c>
      <c r="S14" s="652" t="e">
        <f t="shared" si="1"/>
        <v>#N/A</v>
      </c>
      <c r="T14" s="653" t="e">
        <f t="shared" si="2"/>
        <v>#N/A</v>
      </c>
      <c r="U14" s="653" t="e">
        <f t="shared" si="3"/>
        <v>#N/A</v>
      </c>
      <c r="V14" s="654" t="e">
        <f t="shared" si="4"/>
        <v>#N/A</v>
      </c>
      <c r="W14" s="652" t="e">
        <f t="shared" si="5"/>
        <v>#N/A</v>
      </c>
      <c r="X14" s="653" t="e">
        <f t="shared" si="29"/>
        <v>#N/A</v>
      </c>
      <c r="Y14" s="641"/>
      <c r="Z14" s="646" t="s">
        <v>1396</v>
      </c>
      <c r="AA14" s="655">
        <f t="shared" si="6"/>
        <v>0</v>
      </c>
      <c r="AB14" s="656">
        <f t="shared" si="7"/>
        <v>6.5</v>
      </c>
      <c r="AC14" s="651">
        <v>0.8</v>
      </c>
      <c r="AD14" s="657">
        <f t="shared" si="8"/>
        <v>0</v>
      </c>
      <c r="AE14" s="657">
        <f t="shared" si="9"/>
        <v>0</v>
      </c>
      <c r="AF14" s="656">
        <f t="shared" si="10"/>
        <v>6.5</v>
      </c>
      <c r="AG14" s="1081">
        <f t="shared" si="19"/>
        <v>0</v>
      </c>
      <c r="AH14" s="657">
        <f t="shared" si="11"/>
        <v>0</v>
      </c>
      <c r="AI14" s="657">
        <f t="shared" si="20"/>
        <v>0</v>
      </c>
      <c r="AJ14" s="657">
        <f t="shared" si="21"/>
        <v>0</v>
      </c>
      <c r="AK14" s="657">
        <f t="shared" si="12"/>
        <v>0</v>
      </c>
      <c r="AL14" s="657">
        <f t="shared" si="13"/>
        <v>0</v>
      </c>
      <c r="AM14" s="657" t="str">
        <f t="shared" si="22"/>
        <v>N/A</v>
      </c>
      <c r="AN14" s="657" t="str">
        <f t="shared" si="23"/>
        <v>N/A</v>
      </c>
      <c r="AO14" s="657" t="str">
        <f t="shared" si="24"/>
        <v>N/A</v>
      </c>
      <c r="AP14" s="657">
        <f t="shared" si="14"/>
        <v>0</v>
      </c>
      <c r="AQ14" s="657">
        <f t="shared" si="15"/>
        <v>0</v>
      </c>
      <c r="AR14" s="1081">
        <f t="shared" si="25"/>
        <v>2.5173499043977059</v>
      </c>
      <c r="AS14" s="657">
        <f t="shared" si="16"/>
        <v>0</v>
      </c>
      <c r="AT14" s="657">
        <f t="shared" si="17"/>
        <v>0</v>
      </c>
      <c r="AU14" s="659">
        <f t="shared" si="26"/>
        <v>0</v>
      </c>
      <c r="AV14" s="659">
        <f t="shared" si="27"/>
        <v>0</v>
      </c>
      <c r="AW14" s="646" t="s">
        <v>1396</v>
      </c>
      <c r="AX14"/>
      <c r="AY14" s="638">
        <v>4</v>
      </c>
      <c r="AZ14" s="643">
        <f>Lighting!Z$71</f>
        <v>0.82514029001152178</v>
      </c>
      <c r="BA14" s="683">
        <v>30</v>
      </c>
      <c r="BB14" s="644">
        <f t="shared" si="28"/>
        <v>6.7819749863960693E-2</v>
      </c>
      <c r="BC14" s="634">
        <f t="shared" si="30"/>
        <v>4</v>
      </c>
      <c r="BD14" s="643">
        <f>Lighting!AM24</f>
        <v>9.1835724119885241E-3</v>
      </c>
      <c r="BE14" s="643">
        <f>Lighting!AN24</f>
        <v>1.0478076311553456E-2</v>
      </c>
      <c r="BF14" s="643">
        <f>Lighting!AO24</f>
        <v>1.2495782361405321E-2</v>
      </c>
      <c r="BG14" s="643">
        <f>Lighting!AP24</f>
        <v>1.5244630497681818E-2</v>
      </c>
      <c r="BH14" s="643">
        <f>Lighting!AQ24</f>
        <v>1.7488389234243652E-2</v>
      </c>
      <c r="BI14" s="643">
        <f>Lighting!AR24</f>
        <v>1.8718004979308978E-2</v>
      </c>
      <c r="BJ14" s="643">
        <f>Lighting!AS24</f>
        <v>1.839510481268708E-2</v>
      </c>
      <c r="BK14" s="643">
        <f>Lighting!AT24</f>
        <v>1.6423649833049891E-2</v>
      </c>
      <c r="BL14" s="643">
        <f>Lighting!AU24</f>
        <v>1.3703773888697857E-2</v>
      </c>
      <c r="BM14" s="643">
        <f>Lighting!AV24</f>
        <v>1.1316144437652784E-2</v>
      </c>
      <c r="BN14" s="643">
        <f>Lighting!AW24</f>
        <v>9.5563018195599734E-3</v>
      </c>
      <c r="BO14" s="643">
        <f>Lighting!AX24</f>
        <v>8.846731954833249E-3</v>
      </c>
      <c r="BP14" s="643">
        <f>Lighting!AL24</f>
        <v>1.2578958829975664E-2</v>
      </c>
    </row>
    <row r="15" spans="1:69">
      <c r="A15" s="645"/>
      <c r="B15" s="647"/>
      <c r="C15" s="647"/>
      <c r="D15" s="647"/>
      <c r="E15" s="647"/>
      <c r="F15" s="647"/>
      <c r="G15" s="647"/>
      <c r="H15" s="647"/>
      <c r="I15" s="647"/>
      <c r="J15" s="647"/>
      <c r="K15" s="648"/>
      <c r="L15" s="648"/>
      <c r="M15" s="649"/>
      <c r="N15" s="767"/>
      <c r="O15" s="650"/>
      <c r="P15" s="651">
        <f>IF(COUNTIF(C$11:C14,C15)=0,IF(E15="Irregular", G15, H15*I15),0)</f>
        <v>0</v>
      </c>
      <c r="Q15" s="709" t="e">
        <f t="shared" si="0"/>
        <v>#N/A</v>
      </c>
      <c r="R15" s="651">
        <f t="shared" si="18"/>
        <v>0</v>
      </c>
      <c r="S15" s="652" t="e">
        <f t="shared" si="1"/>
        <v>#N/A</v>
      </c>
      <c r="T15" s="653" t="e">
        <f t="shared" si="2"/>
        <v>#N/A</v>
      </c>
      <c r="U15" s="653" t="e">
        <f t="shared" si="3"/>
        <v>#N/A</v>
      </c>
      <c r="V15" s="654" t="e">
        <f t="shared" si="4"/>
        <v>#N/A</v>
      </c>
      <c r="W15" s="652" t="e">
        <f t="shared" si="5"/>
        <v>#N/A</v>
      </c>
      <c r="X15" s="653" t="e">
        <f t="shared" si="29"/>
        <v>#N/A</v>
      </c>
      <c r="Y15" s="641"/>
      <c r="Z15" s="646" t="s">
        <v>1398</v>
      </c>
      <c r="AA15" s="655">
        <f t="shared" si="6"/>
        <v>0</v>
      </c>
      <c r="AB15" s="656">
        <f t="shared" si="7"/>
        <v>8.75</v>
      </c>
      <c r="AC15" s="651">
        <v>0.8</v>
      </c>
      <c r="AD15" s="657">
        <f t="shared" si="8"/>
        <v>0</v>
      </c>
      <c r="AE15" s="657">
        <f t="shared" si="9"/>
        <v>0</v>
      </c>
      <c r="AF15" s="656">
        <f t="shared" si="10"/>
        <v>8.75</v>
      </c>
      <c r="AG15" s="1081">
        <f t="shared" si="19"/>
        <v>0</v>
      </c>
      <c r="AH15" s="657">
        <f t="shared" si="11"/>
        <v>0</v>
      </c>
      <c r="AI15" s="657">
        <f t="shared" si="20"/>
        <v>0</v>
      </c>
      <c r="AJ15" s="657">
        <f t="shared" si="21"/>
        <v>0</v>
      </c>
      <c r="AK15" s="657">
        <f t="shared" si="12"/>
        <v>0</v>
      </c>
      <c r="AL15" s="657">
        <f t="shared" si="13"/>
        <v>0</v>
      </c>
      <c r="AM15" s="657" t="str">
        <f t="shared" si="22"/>
        <v>N/A</v>
      </c>
      <c r="AN15" s="657" t="str">
        <f t="shared" si="23"/>
        <v>N/A</v>
      </c>
      <c r="AO15" s="657" t="str">
        <f t="shared" si="24"/>
        <v>N/A</v>
      </c>
      <c r="AP15" s="657">
        <f t="shared" si="14"/>
        <v>0</v>
      </c>
      <c r="AQ15" s="657">
        <f t="shared" si="15"/>
        <v>0</v>
      </c>
      <c r="AR15" s="1081">
        <f t="shared" si="25"/>
        <v>1.816118416463202</v>
      </c>
      <c r="AS15" s="657">
        <f t="shared" si="16"/>
        <v>0</v>
      </c>
      <c r="AT15" s="657">
        <f t="shared" si="17"/>
        <v>0</v>
      </c>
      <c r="AU15" s="659">
        <f t="shared" si="26"/>
        <v>0</v>
      </c>
      <c r="AV15" s="659">
        <f t="shared" si="27"/>
        <v>0</v>
      </c>
      <c r="AW15" s="646" t="s">
        <v>1398</v>
      </c>
      <c r="AX15"/>
      <c r="AY15" s="638">
        <v>5</v>
      </c>
      <c r="AZ15" s="643">
        <f>Lighting!AA$71</f>
        <v>0.7192748663979337</v>
      </c>
      <c r="BA15" s="683">
        <v>31</v>
      </c>
      <c r="BB15" s="644">
        <f t="shared" si="28"/>
        <v>6.1089098242016283E-2</v>
      </c>
      <c r="BC15" s="634">
        <f t="shared" si="30"/>
        <v>5</v>
      </c>
      <c r="BD15" s="643">
        <f>Lighting!AM25</f>
        <v>9.1835724119885241E-3</v>
      </c>
      <c r="BE15" s="643">
        <f>Lighting!AN25</f>
        <v>1.0478076311553456E-2</v>
      </c>
      <c r="BF15" s="643">
        <f>Lighting!AO25</f>
        <v>1.2495782361405321E-2</v>
      </c>
      <c r="BG15" s="643">
        <f>Lighting!AP25</f>
        <v>1.5244630497681818E-2</v>
      </c>
      <c r="BH15" s="643">
        <f>Lighting!AQ25</f>
        <v>1.7488389234243652E-2</v>
      </c>
      <c r="BI15" s="643">
        <f>Lighting!AR25</f>
        <v>1.8718004979308978E-2</v>
      </c>
      <c r="BJ15" s="643">
        <f>Lighting!AS25</f>
        <v>1.839510481268708E-2</v>
      </c>
      <c r="BK15" s="643">
        <f>Lighting!AT25</f>
        <v>1.6423649833049891E-2</v>
      </c>
      <c r="BL15" s="643">
        <f>Lighting!AU25</f>
        <v>1.3703773888697857E-2</v>
      </c>
      <c r="BM15" s="643">
        <f>Lighting!AV25</f>
        <v>1.1316144437652784E-2</v>
      </c>
      <c r="BN15" s="643">
        <f>Lighting!AW25</f>
        <v>9.5563018195599734E-3</v>
      </c>
      <c r="BO15" s="643">
        <f>Lighting!AX25</f>
        <v>8.846731954833249E-3</v>
      </c>
      <c r="BP15" s="643">
        <f>Lighting!AL25</f>
        <v>1.2578958829975664E-2</v>
      </c>
    </row>
    <row r="16" spans="1:69">
      <c r="A16" s="645"/>
      <c r="B16" s="647"/>
      <c r="C16" s="647"/>
      <c r="D16" s="647"/>
      <c r="E16" s="647"/>
      <c r="F16" s="647"/>
      <c r="G16" s="647"/>
      <c r="H16" s="647"/>
      <c r="I16" s="647"/>
      <c r="J16" s="647"/>
      <c r="K16" s="648"/>
      <c r="L16" s="648"/>
      <c r="M16" s="649"/>
      <c r="N16" s="649"/>
      <c r="O16" s="650"/>
      <c r="P16" s="651">
        <f>IF(COUNTIF(C$11:C15,C16)=0,IF(E16="Irregular", G16, H16*I16),0)</f>
        <v>0</v>
      </c>
      <c r="Q16" s="709" t="e">
        <f t="shared" si="0"/>
        <v>#N/A</v>
      </c>
      <c r="R16" s="651">
        <f t="shared" si="18"/>
        <v>0</v>
      </c>
      <c r="S16" s="652" t="e">
        <f t="shared" si="1"/>
        <v>#N/A</v>
      </c>
      <c r="T16" s="653" t="e">
        <f t="shared" si="2"/>
        <v>#N/A</v>
      </c>
      <c r="U16" s="653" t="e">
        <f t="shared" si="3"/>
        <v>#N/A</v>
      </c>
      <c r="V16" s="654" t="e">
        <f t="shared" si="4"/>
        <v>#N/A</v>
      </c>
      <c r="W16" s="652" t="e">
        <f t="shared" si="5"/>
        <v>#N/A</v>
      </c>
      <c r="X16" s="653" t="e">
        <f t="shared" si="29"/>
        <v>#N/A</v>
      </c>
      <c r="Y16" s="641"/>
      <c r="Z16" s="646" t="s">
        <v>242</v>
      </c>
      <c r="AA16" s="655">
        <f t="shared" si="6"/>
        <v>0</v>
      </c>
      <c r="AB16" s="656">
        <f t="shared" si="7"/>
        <v>5</v>
      </c>
      <c r="AC16" s="651">
        <v>0.8</v>
      </c>
      <c r="AD16" s="657">
        <f t="shared" si="8"/>
        <v>0</v>
      </c>
      <c r="AE16" s="657">
        <f t="shared" si="9"/>
        <v>0</v>
      </c>
      <c r="AF16" s="656">
        <f t="shared" si="10"/>
        <v>5</v>
      </c>
      <c r="AG16" s="1081">
        <f t="shared" si="19"/>
        <v>0</v>
      </c>
      <c r="AH16" s="657">
        <f t="shared" si="11"/>
        <v>0</v>
      </c>
      <c r="AI16" s="657">
        <f t="shared" si="20"/>
        <v>0</v>
      </c>
      <c r="AJ16" s="657">
        <f t="shared" si="21"/>
        <v>0</v>
      </c>
      <c r="AK16" s="657">
        <f t="shared" si="12"/>
        <v>0</v>
      </c>
      <c r="AL16" s="657">
        <f t="shared" si="13"/>
        <v>0</v>
      </c>
      <c r="AM16" s="657" t="str">
        <f t="shared" si="22"/>
        <v>N/A</v>
      </c>
      <c r="AN16" s="657" t="str">
        <f t="shared" si="23"/>
        <v>N/A</v>
      </c>
      <c r="AO16" s="657" t="str">
        <f t="shared" si="24"/>
        <v>N/A</v>
      </c>
      <c r="AP16" s="657">
        <f t="shared" si="14"/>
        <v>0</v>
      </c>
      <c r="AQ16" s="657">
        <f t="shared" si="15"/>
        <v>0</v>
      </c>
      <c r="AR16" s="1081">
        <f t="shared" si="25"/>
        <v>1.9759220321044277</v>
      </c>
      <c r="AS16" s="657">
        <f t="shared" si="16"/>
        <v>0</v>
      </c>
      <c r="AT16" s="657">
        <f t="shared" si="17"/>
        <v>0</v>
      </c>
      <c r="AU16" s="659">
        <f t="shared" si="26"/>
        <v>0</v>
      </c>
      <c r="AV16" s="659">
        <f t="shared" si="27"/>
        <v>0</v>
      </c>
      <c r="AW16" s="646" t="s">
        <v>242</v>
      </c>
      <c r="AX16"/>
      <c r="AY16" s="638">
        <v>6</v>
      </c>
      <c r="AZ16" s="643">
        <f>Lighting!AB$71</f>
        <v>0.67202454769514919</v>
      </c>
      <c r="BA16" s="683">
        <v>30</v>
      </c>
      <c r="BB16" s="644">
        <f t="shared" si="28"/>
        <v>5.5234894331108154E-2</v>
      </c>
      <c r="BC16" s="634">
        <f t="shared" si="30"/>
        <v>6</v>
      </c>
      <c r="BD16" s="643">
        <f>Lighting!AM26</f>
        <v>1.0056501252779244E-2</v>
      </c>
      <c r="BE16" s="643">
        <f>Lighting!AN26</f>
        <v>1.1273574969145769E-2</v>
      </c>
      <c r="BF16" s="643">
        <f>Lighting!AO26</f>
        <v>1.3082381025789739E-2</v>
      </c>
      <c r="BG16" s="643">
        <f>Lighting!AP26</f>
        <v>1.6060537322136074E-2</v>
      </c>
      <c r="BH16" s="643">
        <f>Lighting!AQ26</f>
        <v>1.8061055359325381E-2</v>
      </c>
      <c r="BI16" s="643">
        <f>Lighting!AR26</f>
        <v>1.9213029365548376E-2</v>
      </c>
      <c r="BJ16" s="643">
        <f>Lighting!AS26</f>
        <v>1.8981429545294651E-2</v>
      </c>
      <c r="BK16" s="643">
        <f>Lighting!AT26</f>
        <v>1.7178168054488772E-2</v>
      </c>
      <c r="BL16" s="643">
        <f>Lighting!AU26</f>
        <v>1.4586507251847092E-2</v>
      </c>
      <c r="BM16" s="643">
        <f>Lighting!AV26</f>
        <v>1.2300374905524349E-2</v>
      </c>
      <c r="BN16" s="643">
        <f>Lighting!AW26</f>
        <v>1.0189967114268252E-2</v>
      </c>
      <c r="BO16" s="643">
        <f>Lighting!AX26</f>
        <v>9.6298917355566588E-3</v>
      </c>
      <c r="BP16" s="643">
        <f>Lighting!AL26</f>
        <v>1.3327366331788434E-2</v>
      </c>
    </row>
    <row r="17" spans="1:68">
      <c r="A17" s="645"/>
      <c r="B17" s="647"/>
      <c r="C17" s="647"/>
      <c r="D17" s="647"/>
      <c r="E17" s="647"/>
      <c r="F17" s="647"/>
      <c r="G17" s="647"/>
      <c r="H17" s="647"/>
      <c r="I17" s="647"/>
      <c r="J17" s="647"/>
      <c r="K17" s="648"/>
      <c r="L17" s="648"/>
      <c r="M17" s="649"/>
      <c r="N17" s="649"/>
      <c r="O17" s="650"/>
      <c r="P17" s="651">
        <f>IF(COUNTIF(C$11:C16,C17)=0,IF(E17="Irregular", G17, H17*I17),0)</f>
        <v>0</v>
      </c>
      <c r="Q17" s="709" t="e">
        <f t="shared" si="0"/>
        <v>#N/A</v>
      </c>
      <c r="R17" s="651">
        <f t="shared" si="18"/>
        <v>0</v>
      </c>
      <c r="S17" s="652" t="e">
        <f t="shared" si="1"/>
        <v>#N/A</v>
      </c>
      <c r="T17" s="653" t="e">
        <f t="shared" si="2"/>
        <v>#N/A</v>
      </c>
      <c r="U17" s="653" t="e">
        <f t="shared" si="3"/>
        <v>#N/A</v>
      </c>
      <c r="V17" s="654" t="e">
        <f t="shared" si="4"/>
        <v>#N/A</v>
      </c>
      <c r="W17" s="652" t="e">
        <f t="shared" si="5"/>
        <v>#N/A</v>
      </c>
      <c r="X17" s="653" t="e">
        <f t="shared" si="29"/>
        <v>#N/A</v>
      </c>
      <c r="Y17" s="641"/>
      <c r="Z17" s="646" t="s">
        <v>1403</v>
      </c>
      <c r="AA17" s="655">
        <f t="shared" si="6"/>
        <v>0</v>
      </c>
      <c r="AB17" s="656">
        <f t="shared" si="7"/>
        <v>3</v>
      </c>
      <c r="AC17" s="651">
        <v>0.8</v>
      </c>
      <c r="AD17" s="657">
        <f t="shared" si="8"/>
        <v>0</v>
      </c>
      <c r="AE17" s="657">
        <f t="shared" si="9"/>
        <v>0</v>
      </c>
      <c r="AF17" s="656">
        <f t="shared" si="10"/>
        <v>3</v>
      </c>
      <c r="AG17" s="1081">
        <f t="shared" si="19"/>
        <v>0</v>
      </c>
      <c r="AH17" s="657">
        <f t="shared" si="11"/>
        <v>0</v>
      </c>
      <c r="AI17" s="657">
        <f t="shared" si="20"/>
        <v>0</v>
      </c>
      <c r="AJ17" s="657">
        <f t="shared" si="21"/>
        <v>0</v>
      </c>
      <c r="AK17" s="657">
        <f t="shared" si="12"/>
        <v>0</v>
      </c>
      <c r="AL17" s="657">
        <f t="shared" si="13"/>
        <v>0</v>
      </c>
      <c r="AM17" s="657" t="str">
        <f t="shared" si="22"/>
        <v>N/A</v>
      </c>
      <c r="AN17" s="657" t="str">
        <f t="shared" si="23"/>
        <v>N/A</v>
      </c>
      <c r="AO17" s="657" t="str">
        <f t="shared" si="24"/>
        <v>N/A</v>
      </c>
      <c r="AP17" s="657">
        <f t="shared" si="14"/>
        <v>0</v>
      </c>
      <c r="AQ17" s="657">
        <f t="shared" si="15"/>
        <v>0</v>
      </c>
      <c r="AR17" s="1081">
        <f t="shared" si="25"/>
        <v>1.5328930797404101</v>
      </c>
      <c r="AS17" s="657">
        <f t="shared" si="16"/>
        <v>0</v>
      </c>
      <c r="AT17" s="657">
        <f t="shared" si="17"/>
        <v>0</v>
      </c>
      <c r="AU17" s="659">
        <f t="shared" si="26"/>
        <v>0</v>
      </c>
      <c r="AV17" s="659">
        <f t="shared" si="27"/>
        <v>0</v>
      </c>
      <c r="AW17" s="646" t="s">
        <v>1403</v>
      </c>
      <c r="AX17"/>
      <c r="AY17" s="638">
        <v>7</v>
      </c>
      <c r="AZ17" s="643">
        <f>Lighting!AC$71</f>
        <v>0.68382099249034856</v>
      </c>
      <c r="BA17" s="683">
        <v>31</v>
      </c>
      <c r="BB17" s="644">
        <f t="shared" si="28"/>
        <v>5.8077947307399465E-2</v>
      </c>
      <c r="BC17" s="634">
        <f t="shared" si="30"/>
        <v>7</v>
      </c>
      <c r="BD17" s="643">
        <f>Lighting!AM27</f>
        <v>2.1705332777767396E-2</v>
      </c>
      <c r="BE17" s="643">
        <f>Lighting!AN27</f>
        <v>2.1889136521967379E-2</v>
      </c>
      <c r="BF17" s="643">
        <f>Lighting!AO27</f>
        <v>2.0910268815598026E-2</v>
      </c>
      <c r="BG17" s="643">
        <f>Lighting!AP27</f>
        <v>2.6948436420012642E-2</v>
      </c>
      <c r="BH17" s="643">
        <f>Lighting!AQ27</f>
        <v>2.5703019857946163E-2</v>
      </c>
      <c r="BI17" s="643">
        <f>Lighting!AR27</f>
        <v>2.5818900779809372E-2</v>
      </c>
      <c r="BJ17" s="643">
        <f>Lighting!AS27</f>
        <v>2.6805661842273856E-2</v>
      </c>
      <c r="BK17" s="643">
        <f>Lighting!AT27</f>
        <v>2.7246864646199187E-2</v>
      </c>
      <c r="BL17" s="643">
        <f>Lighting!AU27</f>
        <v>2.6366175591705357E-2</v>
      </c>
      <c r="BM17" s="643">
        <f>Lighting!AV27</f>
        <v>2.543447515086706E-2</v>
      </c>
      <c r="BN17" s="643">
        <f>Lighting!AW27</f>
        <v>1.8645937310650354E-2</v>
      </c>
      <c r="BO17" s="643">
        <f>Lighting!AX27</f>
        <v>2.008079668507114E-2</v>
      </c>
      <c r="BP17" s="643">
        <f>Lighting!AL27</f>
        <v>2.3314518197176656E-2</v>
      </c>
    </row>
    <row r="18" spans="1:68">
      <c r="A18" s="645"/>
      <c r="B18" s="647"/>
      <c r="C18" s="647"/>
      <c r="D18" s="647"/>
      <c r="E18" s="647"/>
      <c r="F18" s="647"/>
      <c r="G18" s="647"/>
      <c r="H18" s="647"/>
      <c r="I18" s="647"/>
      <c r="J18" s="647"/>
      <c r="K18" s="648"/>
      <c r="L18" s="648"/>
      <c r="M18" s="649"/>
      <c r="N18" s="649"/>
      <c r="O18" s="650"/>
      <c r="P18" s="651">
        <f>IF(COUNTIF(C$11:C17,C18)=0,IF(E18="Irregular", G18, H18*I18),0)</f>
        <v>0</v>
      </c>
      <c r="Q18" s="709" t="e">
        <f t="shared" si="0"/>
        <v>#N/A</v>
      </c>
      <c r="R18" s="651">
        <f t="shared" si="18"/>
        <v>0</v>
      </c>
      <c r="S18" s="652" t="e">
        <f t="shared" si="1"/>
        <v>#N/A</v>
      </c>
      <c r="T18" s="653" t="e">
        <f t="shared" si="2"/>
        <v>#N/A</v>
      </c>
      <c r="U18" s="653" t="e">
        <f t="shared" si="3"/>
        <v>#N/A</v>
      </c>
      <c r="V18" s="654" t="e">
        <f t="shared" si="4"/>
        <v>#N/A</v>
      </c>
      <c r="W18" s="652" t="e">
        <f t="shared" si="5"/>
        <v>#N/A</v>
      </c>
      <c r="X18" s="653" t="e">
        <f t="shared" si="29"/>
        <v>#N/A</v>
      </c>
      <c r="Y18" s="641"/>
      <c r="Z18" s="646" t="s">
        <v>1008</v>
      </c>
      <c r="AA18" s="655">
        <f t="shared" si="6"/>
        <v>0</v>
      </c>
      <c r="AB18" s="656">
        <f t="shared" si="7"/>
        <v>19</v>
      </c>
      <c r="AC18" s="651">
        <v>0.8</v>
      </c>
      <c r="AD18" s="657">
        <f t="shared" si="8"/>
        <v>0</v>
      </c>
      <c r="AE18" s="657">
        <f t="shared" si="9"/>
        <v>0</v>
      </c>
      <c r="AF18" s="656">
        <f t="shared" si="10"/>
        <v>19</v>
      </c>
      <c r="AG18" s="1081">
        <f t="shared" si="19"/>
        <v>0</v>
      </c>
      <c r="AH18" s="657">
        <f t="shared" si="11"/>
        <v>0</v>
      </c>
      <c r="AI18" s="657">
        <f t="shared" si="20"/>
        <v>0</v>
      </c>
      <c r="AJ18" s="657">
        <f t="shared" si="21"/>
        <v>0</v>
      </c>
      <c r="AK18" s="657">
        <f t="shared" si="12"/>
        <v>0</v>
      </c>
      <c r="AL18" s="657">
        <f t="shared" si="13"/>
        <v>0</v>
      </c>
      <c r="AM18" s="657" t="str">
        <f t="shared" si="22"/>
        <v>N/A</v>
      </c>
      <c r="AN18" s="657" t="str">
        <f t="shared" si="23"/>
        <v>N/A</v>
      </c>
      <c r="AO18" s="657" t="str">
        <f t="shared" si="24"/>
        <v>N/A</v>
      </c>
      <c r="AP18" s="657">
        <f t="shared" si="14"/>
        <v>0</v>
      </c>
      <c r="AQ18" s="657">
        <f t="shared" si="15"/>
        <v>0</v>
      </c>
      <c r="AR18" s="1081">
        <f t="shared" si="25"/>
        <v>2.9852163687676394</v>
      </c>
      <c r="AS18" s="657">
        <f t="shared" si="16"/>
        <v>0</v>
      </c>
      <c r="AT18" s="657">
        <f t="shared" si="17"/>
        <v>0</v>
      </c>
      <c r="AU18" s="659">
        <f t="shared" si="26"/>
        <v>0</v>
      </c>
      <c r="AV18" s="659">
        <f t="shared" si="27"/>
        <v>0</v>
      </c>
      <c r="AW18" s="646" t="s">
        <v>1008</v>
      </c>
      <c r="AX18"/>
      <c r="AY18" s="638">
        <v>8</v>
      </c>
      <c r="AZ18" s="643">
        <f>Lighting!AD$71</f>
        <v>0.76590520120945227</v>
      </c>
      <c r="BA18" s="683">
        <v>31</v>
      </c>
      <c r="BB18" s="644">
        <f t="shared" si="28"/>
        <v>6.5049482842446632E-2</v>
      </c>
      <c r="BC18" s="634">
        <f t="shared" si="30"/>
        <v>8</v>
      </c>
      <c r="BD18" s="643">
        <f>Lighting!AM28</f>
        <v>4.5394122115626587E-2</v>
      </c>
      <c r="BE18" s="643">
        <f>Lighting!AN28</f>
        <v>4.3476692388702609E-2</v>
      </c>
      <c r="BF18" s="643">
        <f>Lighting!AO28</f>
        <v>3.6828876996632495E-2</v>
      </c>
      <c r="BG18" s="643">
        <f>Lighting!AP28</f>
        <v>4.908981150198486E-2</v>
      </c>
      <c r="BH18" s="643">
        <f>Lighting!AQ28</f>
        <v>4.1243538814452432E-2</v>
      </c>
      <c r="BI18" s="643">
        <f>Lighting!AR28</f>
        <v>3.9252445250749245E-2</v>
      </c>
      <c r="BJ18" s="643">
        <f>Lighting!AS28</f>
        <v>4.2716836299216049E-2</v>
      </c>
      <c r="BK18" s="643">
        <f>Lighting!AT28</f>
        <v>4.7722328812386562E-2</v>
      </c>
      <c r="BL18" s="643">
        <f>Lighting!AU28</f>
        <v>5.032103159371417E-2</v>
      </c>
      <c r="BM18" s="643">
        <f>Lighting!AV28</f>
        <v>5.2143671964885244E-2</v>
      </c>
      <c r="BN18" s="643">
        <f>Lighting!AW28</f>
        <v>3.5841799075808402E-2</v>
      </c>
      <c r="BO18" s="643">
        <f>Lighting!AX28</f>
        <v>4.1333510762699643E-2</v>
      </c>
      <c r="BP18" s="643">
        <f>Lighting!AL28</f>
        <v>4.3624154929143177E-2</v>
      </c>
    </row>
    <row r="19" spans="1:68">
      <c r="A19" s="645"/>
      <c r="B19" s="647"/>
      <c r="C19" s="647"/>
      <c r="D19" s="647"/>
      <c r="E19" s="647"/>
      <c r="F19" s="647"/>
      <c r="G19" s="647"/>
      <c r="H19" s="647"/>
      <c r="I19" s="647"/>
      <c r="J19" s="647"/>
      <c r="K19" s="648"/>
      <c r="L19" s="648"/>
      <c r="M19" s="649"/>
      <c r="N19" s="649"/>
      <c r="O19" s="650"/>
      <c r="P19" s="651">
        <f>IF(COUNTIF(C$11:C18,C19)=0,IF(E19="Irregular", G19, H19*I19),0)</f>
        <v>0</v>
      </c>
      <c r="Q19" s="709" t="e">
        <f t="shared" si="0"/>
        <v>#N/A</v>
      </c>
      <c r="R19" s="651">
        <f t="shared" si="18"/>
        <v>0</v>
      </c>
      <c r="S19" s="652" t="e">
        <f t="shared" si="1"/>
        <v>#N/A</v>
      </c>
      <c r="T19" s="653" t="e">
        <f t="shared" si="2"/>
        <v>#N/A</v>
      </c>
      <c r="U19" s="653" t="e">
        <f t="shared" si="3"/>
        <v>#N/A</v>
      </c>
      <c r="V19" s="654" t="e">
        <f t="shared" si="4"/>
        <v>#N/A</v>
      </c>
      <c r="W19" s="652" t="e">
        <f t="shared" si="5"/>
        <v>#N/A</v>
      </c>
      <c r="X19" s="653" t="e">
        <f t="shared" si="29"/>
        <v>#N/A</v>
      </c>
      <c r="Y19" s="641"/>
      <c r="Z19" s="646" t="s">
        <v>1264</v>
      </c>
      <c r="AA19" s="655">
        <f t="shared" si="6"/>
        <v>0</v>
      </c>
      <c r="AB19" s="656">
        <f t="shared" si="7"/>
        <v>8.75</v>
      </c>
      <c r="AC19" s="651">
        <v>0.8</v>
      </c>
      <c r="AD19" s="657">
        <f t="shared" si="8"/>
        <v>0</v>
      </c>
      <c r="AE19" s="657">
        <f t="shared" si="9"/>
        <v>0</v>
      </c>
      <c r="AF19" s="656">
        <f t="shared" si="10"/>
        <v>8.75</v>
      </c>
      <c r="AG19" s="1081">
        <f t="shared" si="19"/>
        <v>0</v>
      </c>
      <c r="AH19" s="657">
        <f t="shared" si="11"/>
        <v>0</v>
      </c>
      <c r="AI19" s="657">
        <f t="shared" si="20"/>
        <v>0</v>
      </c>
      <c r="AJ19" s="657">
        <f t="shared" si="21"/>
        <v>0</v>
      </c>
      <c r="AK19" s="657">
        <f t="shared" si="12"/>
        <v>0</v>
      </c>
      <c r="AL19" s="657">
        <f t="shared" si="13"/>
        <v>0</v>
      </c>
      <c r="AM19" s="657" t="str">
        <f t="shared" si="22"/>
        <v>N/A</v>
      </c>
      <c r="AN19" s="657" t="str">
        <f t="shared" si="23"/>
        <v>N/A</v>
      </c>
      <c r="AO19" s="657" t="str">
        <f t="shared" si="24"/>
        <v>N/A</v>
      </c>
      <c r="AP19" s="657">
        <f t="shared" si="14"/>
        <v>0</v>
      </c>
      <c r="AQ19" s="657">
        <f t="shared" si="15"/>
        <v>0</v>
      </c>
      <c r="AR19" s="1081">
        <f t="shared" si="25"/>
        <v>2.7249201430274139</v>
      </c>
      <c r="AS19" s="657">
        <f t="shared" si="16"/>
        <v>0</v>
      </c>
      <c r="AT19" s="657">
        <f t="shared" si="17"/>
        <v>0</v>
      </c>
      <c r="AU19" s="659">
        <f t="shared" si="26"/>
        <v>0</v>
      </c>
      <c r="AV19" s="659">
        <f t="shared" si="27"/>
        <v>0</v>
      </c>
      <c r="AW19" s="646" t="s">
        <v>1264</v>
      </c>
      <c r="AX19"/>
      <c r="AY19" s="638">
        <v>9</v>
      </c>
      <c r="AZ19" s="643">
        <f>Lighting!AE$71</f>
        <v>0.91791932150530586</v>
      </c>
      <c r="BA19" s="683">
        <v>30</v>
      </c>
      <c r="BB19" s="644">
        <f t="shared" si="28"/>
        <v>7.5445423685367607E-2</v>
      </c>
      <c r="BC19" s="634">
        <f t="shared" si="30"/>
        <v>9</v>
      </c>
      <c r="BD19" s="643">
        <f>Lighting!AM29</f>
        <v>4.3367632299515992E-2</v>
      </c>
      <c r="BE19" s="643">
        <f>Lighting!AN29</f>
        <v>3.8774107887683019E-2</v>
      </c>
      <c r="BF19" s="643">
        <f>Lighting!AO29</f>
        <v>2.9657300856219388E-2</v>
      </c>
      <c r="BG19" s="643">
        <f>Lighting!AP29</f>
        <v>3.8734295206579769E-2</v>
      </c>
      <c r="BH19" s="643">
        <f>Lighting!AQ29</f>
        <v>3.0934413909181422E-2</v>
      </c>
      <c r="BI19" s="643">
        <f>Lighting!AR29</f>
        <v>2.9126140749211816E-2</v>
      </c>
      <c r="BJ19" s="643">
        <f>Lighting!AS29</f>
        <v>3.1993551859968022E-2</v>
      </c>
      <c r="BK19" s="643">
        <f>Lighting!AT29</f>
        <v>3.7055454529747178E-2</v>
      </c>
      <c r="BL19" s="643">
        <f>Lighting!AU29</f>
        <v>4.169673085616836E-2</v>
      </c>
      <c r="BM19" s="643">
        <f>Lighting!AV29</f>
        <v>4.6708329597991302E-2</v>
      </c>
      <c r="BN19" s="643">
        <f>Lighting!AW29</f>
        <v>3.4554226629035546E-2</v>
      </c>
      <c r="BO19" s="643">
        <f>Lighting!AX29</f>
        <v>4.0942437834119293E-2</v>
      </c>
      <c r="BP19" s="643">
        <f>Lighting!AL29</f>
        <v>3.7783774718156089E-2</v>
      </c>
    </row>
    <row r="20" spans="1:68" s="635" customFormat="1">
      <c r="A20" s="1978"/>
      <c r="B20" s="765"/>
      <c r="C20" s="765"/>
      <c r="D20" s="765"/>
      <c r="E20" s="765"/>
      <c r="F20" s="765"/>
      <c r="G20" s="765"/>
      <c r="H20" s="765"/>
      <c r="I20" s="765"/>
      <c r="J20" s="765"/>
      <c r="K20" s="744"/>
      <c r="L20" s="744"/>
      <c r="M20" s="767"/>
      <c r="N20" s="767"/>
      <c r="O20" s="784"/>
      <c r="P20" s="1979">
        <f>IF(COUNTIF(C$11:C19,C20)=0,IF(E20="Irregular", G20, H20*I20),0)</f>
        <v>0</v>
      </c>
      <c r="Q20" s="1980" t="e">
        <f t="shared" si="0"/>
        <v>#N/A</v>
      </c>
      <c r="R20" s="1979">
        <f t="shared" si="18"/>
        <v>0</v>
      </c>
      <c r="S20" s="1981" t="e">
        <f t="shared" si="1"/>
        <v>#N/A</v>
      </c>
      <c r="T20" s="1982" t="e">
        <f t="shared" si="2"/>
        <v>#N/A</v>
      </c>
      <c r="U20" s="1982" t="e">
        <f t="shared" si="3"/>
        <v>#N/A</v>
      </c>
      <c r="V20" s="1983" t="e">
        <f t="shared" si="4"/>
        <v>#N/A</v>
      </c>
      <c r="W20" s="1981" t="e">
        <f t="shared" si="5"/>
        <v>#N/A</v>
      </c>
      <c r="X20" s="1982" t="e">
        <f t="shared" si="29"/>
        <v>#N/A</v>
      </c>
      <c r="Y20" s="1984"/>
      <c r="Z20" s="786" t="s">
        <v>1350</v>
      </c>
      <c r="AA20" s="1985">
        <f t="shared" si="6"/>
        <v>0</v>
      </c>
      <c r="AB20" s="785">
        <f t="shared" si="7"/>
        <v>11.75</v>
      </c>
      <c r="AC20" s="1979">
        <v>0.8</v>
      </c>
      <c r="AD20" s="1986">
        <f t="shared" si="8"/>
        <v>0</v>
      </c>
      <c r="AE20" s="1986">
        <f t="shared" si="9"/>
        <v>0</v>
      </c>
      <c r="AF20" s="785">
        <f t="shared" si="10"/>
        <v>11.75</v>
      </c>
      <c r="AG20" s="1081">
        <f t="shared" si="19"/>
        <v>0</v>
      </c>
      <c r="AH20" s="1986">
        <f t="shared" si="11"/>
        <v>0</v>
      </c>
      <c r="AI20" s="1986">
        <f t="shared" si="20"/>
        <v>0</v>
      </c>
      <c r="AJ20" s="1986">
        <f t="shared" si="21"/>
        <v>0</v>
      </c>
      <c r="AK20" s="1986">
        <f t="shared" si="12"/>
        <v>0</v>
      </c>
      <c r="AL20" s="1986">
        <f t="shared" si="13"/>
        <v>0</v>
      </c>
      <c r="AM20" s="1986" t="str">
        <f t="shared" si="22"/>
        <v>N/A</v>
      </c>
      <c r="AN20" s="1986" t="str">
        <f t="shared" si="23"/>
        <v>N/A</v>
      </c>
      <c r="AO20" s="1986" t="str">
        <f t="shared" si="24"/>
        <v>N/A</v>
      </c>
      <c r="AP20" s="1986">
        <f t="shared" si="14"/>
        <v>0</v>
      </c>
      <c r="AQ20" s="1986">
        <f t="shared" si="15"/>
        <v>0</v>
      </c>
      <c r="AR20" s="1081">
        <f t="shared" si="25"/>
        <v>1.5149814118359055</v>
      </c>
      <c r="AS20" s="1986">
        <f t="shared" si="16"/>
        <v>0</v>
      </c>
      <c r="AT20" s="1986">
        <f t="shared" si="17"/>
        <v>0</v>
      </c>
      <c r="AU20" s="659">
        <f t="shared" si="26"/>
        <v>0</v>
      </c>
      <c r="AV20" s="659">
        <f t="shared" si="27"/>
        <v>0</v>
      </c>
      <c r="AW20" s="786" t="s">
        <v>1350</v>
      </c>
      <c r="AX20" s="1229"/>
      <c r="AY20" s="1063">
        <v>10</v>
      </c>
      <c r="AZ20" s="643">
        <f>Lighting!AF$71</f>
        <v>1.1115940503658697</v>
      </c>
      <c r="BA20" s="683">
        <v>31</v>
      </c>
      <c r="BB20" s="644">
        <f t="shared" si="28"/>
        <v>9.4409357702306754E-2</v>
      </c>
      <c r="BC20" s="635">
        <f t="shared" si="30"/>
        <v>10</v>
      </c>
      <c r="BD20" s="643">
        <f>Lighting!AM30</f>
        <v>2.2227285844653537E-2</v>
      </c>
      <c r="BE20" s="643">
        <f>Lighting!AN30</f>
        <v>1.9508943947577486E-2</v>
      </c>
      <c r="BF20" s="643">
        <f>Lighting!AO30</f>
        <v>1.5451218509560763E-2</v>
      </c>
      <c r="BG20" s="643">
        <f>Lighting!AP30</f>
        <v>1.8974891990819972E-2</v>
      </c>
      <c r="BH20" s="643">
        <f>Lighting!AQ30</f>
        <v>1.7065745901574818E-2</v>
      </c>
      <c r="BI20" s="643">
        <f>Lighting!AR30</f>
        <v>1.7137778651761724E-2</v>
      </c>
      <c r="BJ20" s="643">
        <f>Lighting!AS30</f>
        <v>1.7794103516445614E-2</v>
      </c>
      <c r="BK20" s="643">
        <f>Lighting!AT30</f>
        <v>1.878274332767943E-2</v>
      </c>
      <c r="BL20" s="643">
        <f>Lighting!AU30</f>
        <v>2.0318941221749948E-2</v>
      </c>
      <c r="BM20" s="643">
        <f>Lighting!AV30</f>
        <v>2.2872511476334564E-2</v>
      </c>
      <c r="BN20" s="643">
        <f>Lighting!AW30</f>
        <v>1.9208297796599216E-2</v>
      </c>
      <c r="BO20" s="643">
        <f>Lighting!AX30</f>
        <v>2.1976093362088861E-2</v>
      </c>
      <c r="BP20" s="643">
        <f>Lighting!AL30</f>
        <v>1.9659051214452779E-2</v>
      </c>
    </row>
    <row r="21" spans="1:68">
      <c r="A21" s="645"/>
      <c r="B21" s="647"/>
      <c r="C21" s="647"/>
      <c r="D21" s="647"/>
      <c r="E21" s="647"/>
      <c r="F21" s="647"/>
      <c r="G21" s="647"/>
      <c r="H21" s="647"/>
      <c r="I21" s="647"/>
      <c r="J21" s="647"/>
      <c r="K21" s="648"/>
      <c r="L21" s="648"/>
      <c r="M21" s="649"/>
      <c r="N21" s="649"/>
      <c r="O21" s="650"/>
      <c r="P21" s="651">
        <f>IF(COUNTIF(C$11:C20,C21)=0,IF(E21="Irregular", G21, H21*I21),0)</f>
        <v>0</v>
      </c>
      <c r="Q21" s="709" t="e">
        <f t="shared" si="0"/>
        <v>#N/A</v>
      </c>
      <c r="R21" s="651">
        <f t="shared" si="18"/>
        <v>0</v>
      </c>
      <c r="S21" s="652" t="e">
        <f t="shared" si="1"/>
        <v>#N/A</v>
      </c>
      <c r="T21" s="653" t="e">
        <f t="shared" si="2"/>
        <v>#N/A</v>
      </c>
      <c r="U21" s="653" t="e">
        <f t="shared" si="3"/>
        <v>#N/A</v>
      </c>
      <c r="V21" s="654" t="e">
        <f t="shared" si="4"/>
        <v>#N/A</v>
      </c>
      <c r="W21" s="652" t="e">
        <f t="shared" si="5"/>
        <v>#N/A</v>
      </c>
      <c r="X21" s="653" t="e">
        <f t="shared" si="29"/>
        <v>#N/A</v>
      </c>
      <c r="Y21" s="641"/>
      <c r="Z21" s="646" t="s">
        <v>1334</v>
      </c>
      <c r="AA21" s="655">
        <f t="shared" si="6"/>
        <v>0</v>
      </c>
      <c r="AB21" s="656">
        <f t="shared" si="7"/>
        <v>8.75</v>
      </c>
      <c r="AC21" s="651">
        <v>0.8</v>
      </c>
      <c r="AD21" s="657">
        <f t="shared" si="8"/>
        <v>0</v>
      </c>
      <c r="AE21" s="657">
        <f t="shared" si="9"/>
        <v>0</v>
      </c>
      <c r="AF21" s="656">
        <f t="shared" si="10"/>
        <v>8.75</v>
      </c>
      <c r="AG21" s="1081">
        <f t="shared" si="19"/>
        <v>0</v>
      </c>
      <c r="AH21" s="657">
        <f t="shared" si="11"/>
        <v>0</v>
      </c>
      <c r="AI21" s="657">
        <f t="shared" si="20"/>
        <v>0</v>
      </c>
      <c r="AJ21" s="657">
        <f t="shared" si="21"/>
        <v>0</v>
      </c>
      <c r="AK21" s="657">
        <f t="shared" si="12"/>
        <v>0</v>
      </c>
      <c r="AL21" s="657">
        <f t="shared" si="13"/>
        <v>0</v>
      </c>
      <c r="AM21" s="657" t="str">
        <f t="shared" si="22"/>
        <v>N/A</v>
      </c>
      <c r="AN21" s="657" t="str">
        <f t="shared" si="23"/>
        <v>N/A</v>
      </c>
      <c r="AO21" s="657" t="str">
        <f t="shared" si="24"/>
        <v>N/A</v>
      </c>
      <c r="AP21" s="657">
        <f t="shared" si="14"/>
        <v>0</v>
      </c>
      <c r="AQ21" s="657">
        <f>AP21/G81</f>
        <v>0</v>
      </c>
      <c r="AR21" s="1081">
        <f t="shared" si="25"/>
        <v>0.79794712253132305</v>
      </c>
      <c r="AS21" s="657">
        <f t="shared" si="16"/>
        <v>0</v>
      </c>
      <c r="AT21" s="657">
        <f t="shared" si="17"/>
        <v>0</v>
      </c>
      <c r="AU21" s="659">
        <f>AI21</f>
        <v>0</v>
      </c>
      <c r="AV21" s="659">
        <f>AS21</f>
        <v>0</v>
      </c>
      <c r="AW21" s="646" t="s">
        <v>1334</v>
      </c>
      <c r="AX21"/>
      <c r="AY21" s="638">
        <v>11</v>
      </c>
      <c r="AZ21" s="643">
        <f>Lighting!AG$71</f>
        <v>1.316299868661418</v>
      </c>
      <c r="BA21" s="683">
        <v>30</v>
      </c>
      <c r="BB21" s="644">
        <f t="shared" si="28"/>
        <v>0.10818903030093847</v>
      </c>
      <c r="BC21" s="634">
        <f t="shared" si="30"/>
        <v>11</v>
      </c>
      <c r="BD21" s="643">
        <f>Lighting!AM31</f>
        <v>1.8096795502270439E-2</v>
      </c>
      <c r="BE21" s="643">
        <f>Lighting!AN31</f>
        <v>1.574483469946579E-2</v>
      </c>
      <c r="BF21" s="643">
        <f>Lighting!AO31</f>
        <v>1.2675574029880253E-2</v>
      </c>
      <c r="BG21" s="643">
        <f>Lighting!AP31</f>
        <v>1.5114216181735633E-2</v>
      </c>
      <c r="BH21" s="643">
        <f>Lighting!AQ31</f>
        <v>1.4356026863173695E-2</v>
      </c>
      <c r="BI21" s="643">
        <f>Lighting!AR31</f>
        <v>1.4795441738304013E-2</v>
      </c>
      <c r="BJ21" s="643">
        <f>Lighting!AS31</f>
        <v>1.5019755216368592E-2</v>
      </c>
      <c r="BK21" s="643">
        <f>Lighting!AT31</f>
        <v>1.5212543694932339E-2</v>
      </c>
      <c r="BL21" s="643">
        <f>Lighting!AU31</f>
        <v>1.6142058226241953E-2</v>
      </c>
      <c r="BM21" s="643">
        <f>Lighting!AV31</f>
        <v>1.8215368474231206E-2</v>
      </c>
      <c r="BN21" s="643">
        <f>Lighting!AW31</f>
        <v>1.6209945287447354E-2</v>
      </c>
      <c r="BO21" s="643">
        <f>Lighting!AX31</f>
        <v>1.8270368726056994E-2</v>
      </c>
      <c r="BP21" s="643">
        <f>Lighting!AL31</f>
        <v>1.6117766044398671E-2</v>
      </c>
    </row>
    <row r="22" spans="1:68">
      <c r="A22" s="645"/>
      <c r="B22" s="647"/>
      <c r="C22" s="647"/>
      <c r="D22" s="647"/>
      <c r="E22" s="647"/>
      <c r="F22" s="647"/>
      <c r="G22" s="647"/>
      <c r="H22" s="647"/>
      <c r="I22" s="647"/>
      <c r="J22" s="647"/>
      <c r="K22" s="648"/>
      <c r="L22" s="648"/>
      <c r="M22" s="649"/>
      <c r="N22" s="649"/>
      <c r="O22" s="650"/>
      <c r="P22" s="651">
        <f>IF(COUNTIF(C$11:C21,C22)=0,IF(E22="Irregular", G22, H22*I22),0)</f>
        <v>0</v>
      </c>
      <c r="Q22" s="709" t="e">
        <f t="shared" si="0"/>
        <v>#N/A</v>
      </c>
      <c r="R22" s="651">
        <f t="shared" si="18"/>
        <v>0</v>
      </c>
      <c r="S22" s="652" t="e">
        <f t="shared" si="1"/>
        <v>#N/A</v>
      </c>
      <c r="T22" s="653" t="e">
        <f t="shared" si="2"/>
        <v>#N/A</v>
      </c>
      <c r="U22" s="653" t="e">
        <f t="shared" si="3"/>
        <v>#N/A</v>
      </c>
      <c r="V22" s="654" t="e">
        <f t="shared" si="4"/>
        <v>#N/A</v>
      </c>
      <c r="W22" s="652" t="e">
        <f t="shared" si="5"/>
        <v>#N/A</v>
      </c>
      <c r="X22" s="653" t="e">
        <f t="shared" si="29"/>
        <v>#N/A</v>
      </c>
      <c r="Y22" s="641"/>
      <c r="Z22" s="646" t="s">
        <v>1410</v>
      </c>
      <c r="AA22" s="655" t="str">
        <f t="shared" si="6"/>
        <v>N/A</v>
      </c>
      <c r="AB22" s="656" t="str">
        <f t="shared" si="7"/>
        <v>N/A</v>
      </c>
      <c r="AC22" s="651">
        <v>0.8</v>
      </c>
      <c r="AD22" s="657">
        <f t="shared" si="8"/>
        <v>0</v>
      </c>
      <c r="AE22" s="657" t="str">
        <f>IF(Z22="outdoor", "N/A", IF($AA22&gt;0,SUMIF(B$11:B$40,Z22,U$11:U$40)/AA22,0))</f>
        <v>N/A</v>
      </c>
      <c r="AF22" s="656" t="str">
        <f t="shared" si="10"/>
        <v>N/A</v>
      </c>
      <c r="AG22" s="1081">
        <f t="shared" si="19"/>
        <v>0</v>
      </c>
      <c r="AH22" s="657">
        <f t="shared" si="11"/>
        <v>0</v>
      </c>
      <c r="AI22" s="657">
        <f t="shared" si="20"/>
        <v>0</v>
      </c>
      <c r="AJ22" s="657" t="str">
        <f t="shared" si="21"/>
        <v>N/A</v>
      </c>
      <c r="AK22" s="657" t="str">
        <f t="shared" si="12"/>
        <v>N/A</v>
      </c>
      <c r="AL22" s="657" t="str">
        <f t="shared" si="13"/>
        <v>N/A</v>
      </c>
      <c r="AM22" s="657" t="str">
        <f t="shared" si="22"/>
        <v>N/A</v>
      </c>
      <c r="AN22" s="657" t="str">
        <f t="shared" si="23"/>
        <v>N/A</v>
      </c>
      <c r="AO22" s="657" t="str">
        <f t="shared" si="24"/>
        <v>N/A</v>
      </c>
      <c r="AP22" s="657">
        <f t="shared" si="14"/>
        <v>0</v>
      </c>
      <c r="AQ22" s="657">
        <f>AP22/G83</f>
        <v>0</v>
      </c>
      <c r="AR22" s="1081">
        <f t="shared" si="25"/>
        <v>2.9105800932044241</v>
      </c>
      <c r="AS22" s="657">
        <f t="shared" si="16"/>
        <v>0</v>
      </c>
      <c r="AT22" s="657">
        <f t="shared" si="17"/>
        <v>0</v>
      </c>
      <c r="AU22" s="659">
        <f t="shared" si="26"/>
        <v>0</v>
      </c>
      <c r="AV22" s="659">
        <f t="shared" si="27"/>
        <v>0</v>
      </c>
      <c r="AW22" s="646" t="s">
        <v>1410</v>
      </c>
      <c r="AX22"/>
      <c r="AY22" s="638">
        <v>12</v>
      </c>
      <c r="AZ22" s="643">
        <f>Lighting!AH$71</f>
        <v>1.4218763374087968</v>
      </c>
      <c r="BA22" s="683">
        <v>31</v>
      </c>
      <c r="BB22" s="644">
        <f t="shared" si="28"/>
        <v>0.12076209988951425</v>
      </c>
      <c r="BC22" s="634">
        <f t="shared" si="30"/>
        <v>12</v>
      </c>
      <c r="BD22" s="643">
        <f>Lighting!AM32</f>
        <v>1.7930184243351865E-2</v>
      </c>
      <c r="BE22" s="643">
        <f>Lighting!AN32</f>
        <v>1.5593002125473352E-2</v>
      </c>
      <c r="BF22" s="643">
        <f>Lighting!AO32</f>
        <v>1.2563613080274654E-2</v>
      </c>
      <c r="BG22" s="643">
        <f>Lighting!AP32</f>
        <v>1.4958488410088813E-2</v>
      </c>
      <c r="BH22" s="643">
        <f>Lighting!AQ32</f>
        <v>1.4246725142825606E-2</v>
      </c>
      <c r="BI22" s="643">
        <f>Lighting!AR32</f>
        <v>1.4700959081376298E-2</v>
      </c>
      <c r="BJ22" s="643">
        <f>Lighting!AS32</f>
        <v>1.4907846550656098E-2</v>
      </c>
      <c r="BK22" s="643">
        <f>Lighting!AT32</f>
        <v>1.5068532837601675E-2</v>
      </c>
      <c r="BL22" s="643">
        <f>Lighting!AU32</f>
        <v>1.5973575630581011E-2</v>
      </c>
      <c r="BM22" s="643">
        <f>Lighting!AV32</f>
        <v>1.8027513669056531E-2</v>
      </c>
      <c r="BN22" s="643">
        <f>Lighting!AW32</f>
        <v>1.6089000981851124E-2</v>
      </c>
      <c r="BO22" s="643">
        <f>Lighting!AX32</f>
        <v>1.8120891207497148E-2</v>
      </c>
      <c r="BP22" s="643">
        <f>Lighting!AL32</f>
        <v>1.5974921507439413E-2</v>
      </c>
    </row>
    <row r="23" spans="1:68">
      <c r="A23" s="645"/>
      <c r="B23" s="647"/>
      <c r="C23" s="647"/>
      <c r="D23" s="647"/>
      <c r="E23" s="647"/>
      <c r="F23" s="647"/>
      <c r="G23" s="647"/>
      <c r="H23" s="647"/>
      <c r="I23" s="647"/>
      <c r="J23" s="647"/>
      <c r="K23" s="648"/>
      <c r="L23" s="648"/>
      <c r="M23" s="649"/>
      <c r="N23" s="649"/>
      <c r="O23" s="650"/>
      <c r="P23" s="651">
        <f>IF(COUNTIF(C$11:C22,C23)=0,IF(E23="Irregular", G23, H23*I23),0)</f>
        <v>0</v>
      </c>
      <c r="Q23" s="709" t="e">
        <f t="shared" si="0"/>
        <v>#N/A</v>
      </c>
      <c r="R23" s="651">
        <f t="shared" si="18"/>
        <v>0</v>
      </c>
      <c r="S23" s="652" t="e">
        <f t="shared" si="1"/>
        <v>#N/A</v>
      </c>
      <c r="T23" s="653" t="e">
        <f t="shared" si="2"/>
        <v>#N/A</v>
      </c>
      <c r="U23" s="653" t="e">
        <f t="shared" si="3"/>
        <v>#N/A</v>
      </c>
      <c r="V23" s="654" t="e">
        <f t="shared" si="4"/>
        <v>#N/A</v>
      </c>
      <c r="W23" s="652" t="e">
        <f t="shared" si="5"/>
        <v>#N/A</v>
      </c>
      <c r="X23" s="653" t="e">
        <f t="shared" si="29"/>
        <v>#N/A</v>
      </c>
      <c r="Y23" s="641"/>
      <c r="Z23" s="786" t="s">
        <v>1450</v>
      </c>
      <c r="AA23" s="655">
        <f t="shared" si="6"/>
        <v>0</v>
      </c>
      <c r="AB23" s="656">
        <f t="shared" si="7"/>
        <v>5</v>
      </c>
      <c r="AC23" s="651">
        <v>0.8</v>
      </c>
      <c r="AD23" s="657">
        <f t="shared" si="8"/>
        <v>0</v>
      </c>
      <c r="AE23" s="657">
        <f>IF($AA23&gt;0,SUMIF(B$11:B$40,Z23,U$11:U$40)/AA23,0)</f>
        <v>0</v>
      </c>
      <c r="AF23" s="656">
        <f t="shared" si="10"/>
        <v>5</v>
      </c>
      <c r="AG23" s="1081">
        <f t="shared" si="19"/>
        <v>0</v>
      </c>
      <c r="AH23" s="657">
        <f t="shared" si="11"/>
        <v>0</v>
      </c>
      <c r="AI23" s="657">
        <f t="shared" si="20"/>
        <v>0</v>
      </c>
      <c r="AJ23" s="657">
        <f t="shared" si="21"/>
        <v>0</v>
      </c>
      <c r="AK23" s="657">
        <f t="shared" si="12"/>
        <v>0</v>
      </c>
      <c r="AL23" s="657">
        <f t="shared" si="13"/>
        <v>0</v>
      </c>
      <c r="AM23" s="657" t="str">
        <f t="shared" si="22"/>
        <v>N/A</v>
      </c>
      <c r="AN23" s="657" t="str">
        <f t="shared" si="23"/>
        <v>N/A</v>
      </c>
      <c r="AO23" s="657" t="str">
        <f t="shared" si="24"/>
        <v>N/A</v>
      </c>
      <c r="AP23" s="657">
        <f t="shared" si="14"/>
        <v>0</v>
      </c>
      <c r="AQ23" s="657">
        <f>AP23/G80</f>
        <v>0</v>
      </c>
      <c r="AR23" s="1081">
        <f t="shared" si="25"/>
        <v>0.9838184154725953</v>
      </c>
      <c r="AS23" s="657">
        <f t="shared" si="16"/>
        <v>0</v>
      </c>
      <c r="AT23" s="657">
        <f t="shared" si="17"/>
        <v>0</v>
      </c>
      <c r="AU23" s="659">
        <f t="shared" si="26"/>
        <v>0</v>
      </c>
      <c r="AV23" s="659">
        <f t="shared" si="27"/>
        <v>0</v>
      </c>
      <c r="AW23" s="646" t="s">
        <v>1412</v>
      </c>
      <c r="AX23"/>
      <c r="BC23" s="634">
        <f t="shared" si="30"/>
        <v>13</v>
      </c>
      <c r="BD23" s="643">
        <f>Lighting!AM33</f>
        <v>1.794860437380736E-2</v>
      </c>
      <c r="BE23" s="643">
        <f>Lighting!AN33</f>
        <v>1.5601516492816382E-2</v>
      </c>
      <c r="BF23" s="643">
        <f>Lighting!AO33</f>
        <v>1.2568449028167838E-2</v>
      </c>
      <c r="BG23" s="643">
        <f>Lighting!AP33</f>
        <v>1.4957442947170732E-2</v>
      </c>
      <c r="BH23" s="643">
        <f>Lighting!AQ33</f>
        <v>1.4246048069974822E-2</v>
      </c>
      <c r="BI23" s="643">
        <f>Lighting!AR33</f>
        <v>1.4700497554475549E-2</v>
      </c>
      <c r="BJ23" s="643">
        <f>Lighting!AS33</f>
        <v>1.4907237960308621E-2</v>
      </c>
      <c r="BK23" s="643">
        <f>Lighting!AT33</f>
        <v>1.5067633413133743E-2</v>
      </c>
      <c r="BL23" s="643">
        <f>Lighting!AU33</f>
        <v>1.5972952096993613E-2</v>
      </c>
      <c r="BM23" s="643">
        <f>Lighting!AV33</f>
        <v>1.8028482896186786E-2</v>
      </c>
      <c r="BN23" s="643">
        <f>Lighting!AW33</f>
        <v>1.6145857338623823E-2</v>
      </c>
      <c r="BO23" s="643">
        <f>Lighting!AX33</f>
        <v>1.8168186054587903E-2</v>
      </c>
      <c r="BP23" s="643">
        <f>Lighting!AL33</f>
        <v>1.5989937456745464E-2</v>
      </c>
    </row>
    <row r="24" spans="1:68" ht="13.5" thickBot="1">
      <c r="A24" s="645"/>
      <c r="B24" s="647"/>
      <c r="C24" s="647"/>
      <c r="D24" s="647"/>
      <c r="E24" s="647"/>
      <c r="F24" s="647"/>
      <c r="G24" s="647"/>
      <c r="H24" s="647"/>
      <c r="I24" s="647"/>
      <c r="J24" s="647"/>
      <c r="K24" s="648"/>
      <c r="L24" s="648"/>
      <c r="M24" s="649"/>
      <c r="N24" s="649"/>
      <c r="O24" s="650"/>
      <c r="P24" s="651">
        <f>IF(COUNTIF(C$11:C23,C24)=0,IF(E24="Irregular", G24, H24*I24),0)</f>
        <v>0</v>
      </c>
      <c r="Q24" s="709" t="e">
        <f t="shared" si="0"/>
        <v>#N/A</v>
      </c>
      <c r="R24" s="651">
        <f>N24*M24</f>
        <v>0</v>
      </c>
      <c r="S24" s="652" t="e">
        <f t="shared" si="1"/>
        <v>#N/A</v>
      </c>
      <c r="T24" s="653" t="e">
        <f t="shared" si="2"/>
        <v>#N/A</v>
      </c>
      <c r="U24" s="653" t="e">
        <f t="shared" si="3"/>
        <v>#N/A</v>
      </c>
      <c r="V24" s="654" t="e">
        <f t="shared" si="4"/>
        <v>#N/A</v>
      </c>
      <c r="W24" s="652" t="e">
        <f t="shared" si="5"/>
        <v>#N/A</v>
      </c>
      <c r="X24" s="653" t="e">
        <f t="shared" si="29"/>
        <v>#N/A</v>
      </c>
      <c r="Y24" s="641"/>
      <c r="Z24" s="793" t="s">
        <v>1414</v>
      </c>
      <c r="AA24" s="794">
        <f t="shared" si="6"/>
        <v>0</v>
      </c>
      <c r="AB24" s="795">
        <f>IF(Z24="outdoor", "N/A", VLOOKUP(Z24,$C$106:$M$119,8, FALSE))</f>
        <v>17.5</v>
      </c>
      <c r="AC24" s="796">
        <v>0.8</v>
      </c>
      <c r="AD24" s="797">
        <f t="shared" si="8"/>
        <v>0</v>
      </c>
      <c r="AE24" s="797">
        <f>IF($AA24&gt;0,SUMIF(B$11:B$40,Z24,U$11:U$40)/AA24,0)</f>
        <v>0</v>
      </c>
      <c r="AF24" s="795">
        <f t="shared" si="10"/>
        <v>17.5</v>
      </c>
      <c r="AG24" s="1081">
        <f t="shared" si="19"/>
        <v>0</v>
      </c>
      <c r="AH24" s="797">
        <f t="shared" si="11"/>
        <v>0</v>
      </c>
      <c r="AI24" s="797">
        <f t="shared" si="20"/>
        <v>0</v>
      </c>
      <c r="AJ24" s="797">
        <f t="shared" si="21"/>
        <v>0</v>
      </c>
      <c r="AK24" s="797">
        <f t="shared" si="12"/>
        <v>0</v>
      </c>
      <c r="AL24" s="797">
        <f t="shared" si="13"/>
        <v>0</v>
      </c>
      <c r="AM24" s="657" t="str">
        <f t="shared" si="22"/>
        <v>N/A</v>
      </c>
      <c r="AN24" s="657" t="str">
        <f t="shared" si="23"/>
        <v>N/A</v>
      </c>
      <c r="AO24" s="657" t="str">
        <f t="shared" si="24"/>
        <v>N/A</v>
      </c>
      <c r="AP24" s="797">
        <f t="shared" si="14"/>
        <v>0</v>
      </c>
      <c r="AQ24" s="797">
        <f>AP24/G83</f>
        <v>0</v>
      </c>
      <c r="AR24" s="1081">
        <f t="shared" si="25"/>
        <v>1.7223605879281958</v>
      </c>
      <c r="AS24" s="657">
        <f t="shared" si="16"/>
        <v>0</v>
      </c>
      <c r="AT24" s="797">
        <f t="shared" si="17"/>
        <v>0</v>
      </c>
      <c r="AU24" s="799">
        <f t="shared" si="26"/>
        <v>0</v>
      </c>
      <c r="AV24" s="799">
        <f t="shared" si="27"/>
        <v>0</v>
      </c>
      <c r="AW24" s="793" t="s">
        <v>1414</v>
      </c>
      <c r="AX24"/>
      <c r="BC24" s="634">
        <f t="shared" si="30"/>
        <v>14</v>
      </c>
      <c r="BD24" s="643">
        <f>Lighting!AM34</f>
        <v>1.819451331049126E-2</v>
      </c>
      <c r="BE24" s="643">
        <f>Lighting!AN34</f>
        <v>1.5727286556300995E-2</v>
      </c>
      <c r="BF24" s="643">
        <f>Lighting!AO34</f>
        <v>1.2642825872089224E-2</v>
      </c>
      <c r="BG24" s="643">
        <f>Lighting!AP34</f>
        <v>1.4962720815938427E-2</v>
      </c>
      <c r="BH24" s="643">
        <f>Lighting!AQ34</f>
        <v>1.4250322900245983E-2</v>
      </c>
      <c r="BI24" s="643">
        <f>Lighting!AR34</f>
        <v>1.4705397476779701E-2</v>
      </c>
      <c r="BJ24" s="643">
        <f>Lighting!AS34</f>
        <v>1.4912197875032524E-2</v>
      </c>
      <c r="BK24" s="643">
        <f>Lighting!AT34</f>
        <v>1.5072979905924653E-2</v>
      </c>
      <c r="BL24" s="643">
        <f>Lighting!AU34</f>
        <v>1.5985488160429832E-2</v>
      </c>
      <c r="BM24" s="643">
        <f>Lighting!AV34</f>
        <v>1.8064976620279893E-2</v>
      </c>
      <c r="BN24" s="643">
        <f>Lighting!AW34</f>
        <v>1.670935915289613E-2</v>
      </c>
      <c r="BO24" s="643">
        <f>Lighting!AX34</f>
        <v>1.8688607482635292E-2</v>
      </c>
      <c r="BP24" s="643">
        <f>Lighting!AL34</f>
        <v>1.6166214905290927E-2</v>
      </c>
    </row>
    <row r="25" spans="1:68" ht="13.5" thickBot="1">
      <c r="A25" s="645"/>
      <c r="B25" s="647"/>
      <c r="C25" s="765"/>
      <c r="D25" s="647"/>
      <c r="E25" s="647"/>
      <c r="F25" s="647"/>
      <c r="G25" s="647"/>
      <c r="H25" s="647"/>
      <c r="I25" s="647"/>
      <c r="J25" s="647"/>
      <c r="K25" s="648"/>
      <c r="L25" s="648"/>
      <c r="M25" s="649"/>
      <c r="N25" s="649"/>
      <c r="O25" s="650"/>
      <c r="P25" s="651">
        <f>IF(COUNTIF(C$11:C24,C25)=0,IF(E25="Irregular", G25, H25*I25),0)</f>
        <v>0</v>
      </c>
      <c r="Q25" s="709" t="e">
        <f t="shared" si="0"/>
        <v>#N/A</v>
      </c>
      <c r="R25" s="651">
        <f t="shared" ref="R25:R40" si="31">N25*M25</f>
        <v>0</v>
      </c>
      <c r="S25" s="652" t="e">
        <f t="shared" si="1"/>
        <v>#N/A</v>
      </c>
      <c r="T25" s="653" t="e">
        <f t="shared" si="2"/>
        <v>#N/A</v>
      </c>
      <c r="U25" s="653" t="e">
        <f t="shared" si="3"/>
        <v>#N/A</v>
      </c>
      <c r="V25" s="654" t="e">
        <f t="shared" si="4"/>
        <v>#N/A</v>
      </c>
      <c r="W25" s="652" t="e">
        <f t="shared" si="5"/>
        <v>#N/A</v>
      </c>
      <c r="X25" s="653" t="e">
        <f t="shared" si="29"/>
        <v>#N/A</v>
      </c>
      <c r="Y25" s="641"/>
      <c r="Z25" s="800"/>
      <c r="AA25" s="806"/>
      <c r="AB25" s="806"/>
      <c r="AC25" s="806"/>
      <c r="AD25" s="806"/>
      <c r="AE25" s="806"/>
      <c r="AF25" s="806"/>
      <c r="AG25" s="806"/>
      <c r="AH25" s="804">
        <f>SUM(AH11:AH24)</f>
        <v>0</v>
      </c>
      <c r="AI25" s="804">
        <f t="shared" ref="AI25:AV25" si="32">SUM(AI11:AI24)</f>
        <v>0</v>
      </c>
      <c r="AJ25" s="804">
        <f t="shared" si="32"/>
        <v>0</v>
      </c>
      <c r="AK25" s="804">
        <f t="shared" si="32"/>
        <v>0</v>
      </c>
      <c r="AL25" s="804">
        <f t="shared" si="32"/>
        <v>0</v>
      </c>
      <c r="AM25" s="804"/>
      <c r="AN25" s="804"/>
      <c r="AO25" s="804"/>
      <c r="AP25" s="804">
        <f t="shared" si="32"/>
        <v>0</v>
      </c>
      <c r="AQ25" s="804">
        <f t="shared" si="32"/>
        <v>0</v>
      </c>
      <c r="AR25" s="804"/>
      <c r="AS25" s="804">
        <f t="shared" si="32"/>
        <v>0</v>
      </c>
      <c r="AT25" s="804">
        <f t="shared" si="32"/>
        <v>0</v>
      </c>
      <c r="AU25" s="805">
        <f t="shared" si="32"/>
        <v>0</v>
      </c>
      <c r="AV25" s="805">
        <f t="shared" si="32"/>
        <v>0</v>
      </c>
      <c r="AW25" s="808" t="s">
        <v>1416</v>
      </c>
      <c r="AX25"/>
      <c r="BC25" s="634">
        <f t="shared" si="30"/>
        <v>15</v>
      </c>
      <c r="BD25" s="643">
        <f>Lighting!AM35</f>
        <v>1.9820666841575029E-2</v>
      </c>
      <c r="BE25" s="643">
        <f>Lighting!AN35</f>
        <v>1.6617283432253698E-2</v>
      </c>
      <c r="BF25" s="643">
        <f>Lighting!AO35</f>
        <v>1.3185701910018314E-2</v>
      </c>
      <c r="BG25" s="643">
        <f>Lighting!AP35</f>
        <v>1.5015397596374741E-2</v>
      </c>
      <c r="BH25" s="643">
        <f>Lighting!AQ35</f>
        <v>1.4290358098614085E-2</v>
      </c>
      <c r="BI25" s="643">
        <f>Lighting!AR35</f>
        <v>1.474620156654716E-2</v>
      </c>
      <c r="BJ25" s="643">
        <f>Lighting!AS35</f>
        <v>1.4953357281752861E-2</v>
      </c>
      <c r="BK25" s="643">
        <f>Lighting!AT35</f>
        <v>1.5121313762620566E-2</v>
      </c>
      <c r="BL25" s="643">
        <f>Lighting!AU35</f>
        <v>1.6095414277396199E-2</v>
      </c>
      <c r="BM25" s="643">
        <f>Lighting!AV35</f>
        <v>1.8358619210167182E-2</v>
      </c>
      <c r="BN25" s="643">
        <f>Lighting!AW35</f>
        <v>1.9633765206504249E-2</v>
      </c>
      <c r="BO25" s="643">
        <f>Lighting!AX35</f>
        <v>2.1608394832259906E-2</v>
      </c>
      <c r="BP25" s="643">
        <f>Lighting!AL35</f>
        <v>1.7202577683960607E-2</v>
      </c>
    </row>
    <row r="26" spans="1:68">
      <c r="A26" s="645"/>
      <c r="B26" s="647"/>
      <c r="C26" s="765"/>
      <c r="D26" s="647"/>
      <c r="E26" s="647"/>
      <c r="F26" s="647"/>
      <c r="G26" s="647"/>
      <c r="H26" s="647"/>
      <c r="I26" s="647"/>
      <c r="J26" s="647"/>
      <c r="K26" s="648"/>
      <c r="L26" s="648"/>
      <c r="M26" s="649"/>
      <c r="N26" s="649"/>
      <c r="O26" s="650"/>
      <c r="P26" s="651">
        <f>IF(COUNTIF(C$11:C25,C26)=0,IF(E26="Irregular", G26, H26*I26),0)</f>
        <v>0</v>
      </c>
      <c r="Q26" s="709" t="e">
        <f t="shared" si="0"/>
        <v>#N/A</v>
      </c>
      <c r="R26" s="651">
        <f t="shared" si="31"/>
        <v>0</v>
      </c>
      <c r="S26" s="652" t="e">
        <f t="shared" si="1"/>
        <v>#N/A</v>
      </c>
      <c r="T26" s="653" t="e">
        <f t="shared" si="2"/>
        <v>#N/A</v>
      </c>
      <c r="U26" s="653" t="e">
        <f>S26*T26*0.8</f>
        <v>#N/A</v>
      </c>
      <c r="V26" s="654" t="e">
        <f>IF(B26="Outdoor","N/A",R26*IF(L26="Other",O26,LOOKUP(L26,AG$68:AG$77,AH$68:AH$77))*S26*0.8/(IF(E26="Irregular", G26, H26*I26)))</f>
        <v>#N/A</v>
      </c>
      <c r="W26" s="652" t="e">
        <f t="shared" si="5"/>
        <v>#N/A</v>
      </c>
      <c r="X26" s="653" t="e">
        <f t="shared" si="29"/>
        <v>#N/A</v>
      </c>
      <c r="Z26" s="2243" t="s">
        <v>4689</v>
      </c>
      <c r="AA26" s="2244"/>
      <c r="AB26" s="2244"/>
      <c r="AC26" s="2244"/>
      <c r="AD26" s="2243" t="s">
        <v>4689</v>
      </c>
      <c r="AE26" s="2245"/>
      <c r="AF26" s="2245"/>
      <c r="AG26" s="2246"/>
      <c r="AH26" s="2240" t="s">
        <v>4689</v>
      </c>
      <c r="AI26" s="2241"/>
      <c r="AJ26" s="2241"/>
      <c r="AK26" s="2242"/>
      <c r="AL26" s="2240" t="s">
        <v>4689</v>
      </c>
      <c r="AM26" s="2247"/>
      <c r="AN26" s="2247"/>
      <c r="AO26" s="2247"/>
      <c r="AP26" s="2247"/>
      <c r="AQ26" s="2247"/>
      <c r="AR26" s="2247"/>
      <c r="AS26" s="2248"/>
      <c r="AT26" s="2240" t="s">
        <v>4689</v>
      </c>
      <c r="AU26" s="2241"/>
      <c r="AV26" s="2241"/>
      <c r="AW26" s="2242"/>
      <c r="BC26" s="634">
        <f t="shared" si="30"/>
        <v>16</v>
      </c>
      <c r="BD26" s="643">
        <f>Lighting!AM36</f>
        <v>2.7055276508471848E-2</v>
      </c>
      <c r="BE26" s="643">
        <f>Lighting!AN36</f>
        <v>2.1003993007894385E-2</v>
      </c>
      <c r="BF26" s="643">
        <f>Lighting!AO36</f>
        <v>1.6037325404124208E-2</v>
      </c>
      <c r="BG26" s="643">
        <f>Lighting!AP36</f>
        <v>1.5404447874753414E-2</v>
      </c>
      <c r="BH26" s="643">
        <f>Lighting!AQ36</f>
        <v>1.4576102569874981E-2</v>
      </c>
      <c r="BI26" s="643">
        <f>Lighting!AR36</f>
        <v>1.5012910285142388E-2</v>
      </c>
      <c r="BJ26" s="643">
        <f>Lighting!AS36</f>
        <v>1.5221466099055272E-2</v>
      </c>
      <c r="BK26" s="643">
        <f>Lighting!AT36</f>
        <v>1.5454470779700583E-2</v>
      </c>
      <c r="BL26" s="643">
        <f>Lighting!AU36</f>
        <v>1.6809602812864307E-2</v>
      </c>
      <c r="BM26" s="643">
        <f>Lighting!AV36</f>
        <v>2.0057729161237232E-2</v>
      </c>
      <c r="BN26" s="643">
        <f>Lighting!AW36</f>
        <v>3.0211801103251529E-2</v>
      </c>
      <c r="BO26" s="643">
        <f>Lighting!AX36</f>
        <v>3.2619371115137422E-2</v>
      </c>
      <c r="BP26" s="643">
        <f>Lighting!AL36</f>
        <v>2.1476236989729228E-2</v>
      </c>
    </row>
    <row r="27" spans="1:68">
      <c r="A27" s="645"/>
      <c r="B27" s="647"/>
      <c r="C27" s="765"/>
      <c r="D27" s="647"/>
      <c r="E27" s="647"/>
      <c r="F27" s="647"/>
      <c r="G27" s="647"/>
      <c r="H27" s="647"/>
      <c r="I27" s="647"/>
      <c r="J27" s="647"/>
      <c r="K27" s="648"/>
      <c r="L27" s="648"/>
      <c r="M27" s="649"/>
      <c r="N27" s="649"/>
      <c r="O27" s="650"/>
      <c r="P27" s="651">
        <f>IF(COUNTIF(C$11:C26,C27)=0,IF(E27="Irregular", G27, H27*I27),0)</f>
        <v>0</v>
      </c>
      <c r="Q27" s="709" t="e">
        <f t="shared" si="0"/>
        <v>#N/A</v>
      </c>
      <c r="R27" s="651">
        <f t="shared" si="31"/>
        <v>0</v>
      </c>
      <c r="S27" s="652" t="e">
        <f t="shared" si="1"/>
        <v>#N/A</v>
      </c>
      <c r="T27" s="653" t="e">
        <f t="shared" si="2"/>
        <v>#N/A</v>
      </c>
      <c r="U27" s="653" t="e">
        <f t="shared" si="3"/>
        <v>#N/A</v>
      </c>
      <c r="V27" s="654" t="e">
        <f t="shared" ref="V27:V40" si="33">IF(B27="Outdoor","N/A",R27*IF(L27="Other",O27,LOOKUP(L27,AG$68:AG$77,AH$68:AH$77))*S27*0.8/(IF(E27="Irregular", G27, H27*I27)))</f>
        <v>#N/A</v>
      </c>
      <c r="W27" s="652" t="e">
        <f t="shared" si="5"/>
        <v>#N/A</v>
      </c>
      <c r="X27" s="653" t="e">
        <f t="shared" si="29"/>
        <v>#N/A</v>
      </c>
      <c r="Z27" s="646" t="s">
        <v>1354</v>
      </c>
      <c r="AA27" s="655">
        <f t="shared" ref="AA27:AA39" si="34">IF(AB27="N/A","N/A",SUMIF(B$42:B$63,Z27,P$42:P$63))</f>
        <v>150</v>
      </c>
      <c r="AB27" s="656">
        <f>VLOOKUP($Z$27:$Z$39,$C$120:$M$132,3, FALSE)</f>
        <v>15</v>
      </c>
      <c r="AC27" s="651">
        <v>0.8</v>
      </c>
      <c r="AD27" s="657">
        <f t="shared" ref="AD27:AD39" si="35">IF(AA27&gt;0,SUMIF(B$42:B$63,Z27,R$42:R$63),0)</f>
        <v>26</v>
      </c>
      <c r="AE27" s="657">
        <f t="shared" ref="AE27:AE39" si="36">IF(AB27="N/A", "N/A", IF($AA27&gt;0,SUMIF(B$42:B$63,Z27,U$42:U$63)/AA27,0))</f>
        <v>2.7677411666666667</v>
      </c>
      <c r="AF27" s="656">
        <f>IF(AB27="N/A","N/A",IF(AB27-AE27&gt;0,AB27-AE27,0))</f>
        <v>12.232258833333333</v>
      </c>
      <c r="AG27" s="658">
        <f>VLOOKUP(Z27,$C$89:$K$101,2,FALSE)</f>
        <v>1.6</v>
      </c>
      <c r="AH27" s="657">
        <f t="shared" ref="AH27:AH39" si="37">SUMIF(B$42:B$63,Z27,T$42:T$63)</f>
        <v>1430</v>
      </c>
      <c r="AI27" s="657">
        <f t="shared" si="20"/>
        <v>15.183999999999999</v>
      </c>
      <c r="AJ27" s="657">
        <f>IF(AB27="N/A","N/A",AF27*AA27/0.4/0.8)</f>
        <v>5733.8713281249984</v>
      </c>
      <c r="AK27" s="657">
        <f t="shared" ref="AK27:AK39" si="38">IF(AB27="N/A","N/A",AJ27/G89)</f>
        <v>235.96178305041144</v>
      </c>
      <c r="AL27" s="657">
        <f>IF(AA27="N/A","N/A",AK27*AG27*365/1000)</f>
        <v>137.80168130144028</v>
      </c>
      <c r="AM27" s="657"/>
      <c r="AN27" s="657"/>
      <c r="AO27" s="657"/>
      <c r="AP27" s="657">
        <f t="shared" ref="AP27:AP39" si="39">IF(AA27="N/A",AH27,SUMIF(B$42:B$63,Z27,X$42:X$63))</f>
        <v>10951.089998491181</v>
      </c>
      <c r="AQ27" s="657">
        <f t="shared" ref="AQ27:AQ39" si="40">AP27/G89</f>
        <v>450.66213985560415</v>
      </c>
      <c r="AR27" s="1081">
        <f>BK74</f>
        <v>1.6</v>
      </c>
      <c r="AS27" s="657">
        <f t="shared" ref="AS27:AS39" si="41">AQ27*AG27*365/1000*J89</f>
        <v>263.18668967567288</v>
      </c>
      <c r="AT27" s="657">
        <f t="shared" ref="AT27:AT39" si="42">AQ27*AG27*365/1000*K89</f>
        <v>0</v>
      </c>
      <c r="AU27" s="659">
        <f t="shared" si="26"/>
        <v>152.98568130144028</v>
      </c>
      <c r="AV27" s="659">
        <f t="shared" si="27"/>
        <v>263.18668967567288</v>
      </c>
      <c r="AW27" s="646" t="str">
        <f>Z27</f>
        <v>Central Restroom</v>
      </c>
      <c r="AX27" s="661"/>
      <c r="BC27" s="634">
        <f t="shared" si="30"/>
        <v>17</v>
      </c>
      <c r="BD27" s="643">
        <f>Lighting!AM37</f>
        <v>4.7783179391746228E-2</v>
      </c>
      <c r="BE27" s="643">
        <f>Lighting!AN37</f>
        <v>3.5532044314113352E-2</v>
      </c>
      <c r="BF27" s="643">
        <f>Lighting!AO37</f>
        <v>2.6476830301252099E-2</v>
      </c>
      <c r="BG27" s="643">
        <f>Lighting!AP37</f>
        <v>1.7489702210209731E-2</v>
      </c>
      <c r="BH27" s="643">
        <f>Lighting!AQ37</f>
        <v>1.6098414055920655E-2</v>
      </c>
      <c r="BI27" s="643">
        <f>Lighting!AR37</f>
        <v>1.6348462120007179E-2</v>
      </c>
      <c r="BJ27" s="643">
        <f>Lighting!AS37</f>
        <v>1.6559350999131979E-2</v>
      </c>
      <c r="BK27" s="643">
        <f>Lighting!AT37</f>
        <v>1.7167528284221814E-2</v>
      </c>
      <c r="BL27" s="643">
        <f>Lighting!AU37</f>
        <v>2.0167816782794456E-2</v>
      </c>
      <c r="BM27" s="643">
        <f>Lighting!AV37</f>
        <v>2.6933927962713815E-2</v>
      </c>
      <c r="BN27" s="643">
        <f>Lighting!AW37</f>
        <v>5.5378838096215209E-2</v>
      </c>
      <c r="BO27" s="643">
        <f>Lighting!AX37</f>
        <v>5.89931805366887E-2</v>
      </c>
      <c r="BP27" s="643">
        <f>Lighting!AL37</f>
        <v>3.342566752776728E-2</v>
      </c>
    </row>
    <row r="28" spans="1:68" ht="18" customHeight="1">
      <c r="A28" s="645"/>
      <c r="B28" s="647"/>
      <c r="C28" s="647"/>
      <c r="D28" s="647"/>
      <c r="E28" s="647"/>
      <c r="F28" s="647"/>
      <c r="G28" s="647"/>
      <c r="H28" s="647"/>
      <c r="I28" s="647"/>
      <c r="J28" s="647"/>
      <c r="K28" s="648"/>
      <c r="L28" s="648"/>
      <c r="M28" s="649"/>
      <c r="N28" s="649"/>
      <c r="O28" s="650"/>
      <c r="P28" s="651">
        <f>IF(COUNTIF(C$11:C27,C28)=0,IF(E28="Irregular", G28, H28*I28),0)</f>
        <v>0</v>
      </c>
      <c r="Q28" s="709" t="e">
        <f t="shared" si="0"/>
        <v>#N/A</v>
      </c>
      <c r="R28" s="651">
        <f t="shared" si="31"/>
        <v>0</v>
      </c>
      <c r="S28" s="652" t="e">
        <f t="shared" si="1"/>
        <v>#N/A</v>
      </c>
      <c r="T28" s="653" t="e">
        <f t="shared" si="2"/>
        <v>#N/A</v>
      </c>
      <c r="U28" s="653" t="e">
        <f t="shared" si="3"/>
        <v>#N/A</v>
      </c>
      <c r="V28" s="654" t="e">
        <f t="shared" si="33"/>
        <v>#N/A</v>
      </c>
      <c r="W28" s="652" t="e">
        <f t="shared" si="5"/>
        <v>#N/A</v>
      </c>
      <c r="X28" s="653" t="e">
        <f t="shared" si="29"/>
        <v>#N/A</v>
      </c>
      <c r="Z28" s="646" t="s">
        <v>1348</v>
      </c>
      <c r="AA28" s="655">
        <f t="shared" si="34"/>
        <v>450</v>
      </c>
      <c r="AB28" s="656">
        <f>VLOOKUP($Z$27:$Z$39,$C$120:$M$132,3, FALSE)</f>
        <v>30</v>
      </c>
      <c r="AC28" s="651">
        <v>0.8</v>
      </c>
      <c r="AD28" s="657">
        <f t="shared" si="35"/>
        <v>112</v>
      </c>
      <c r="AE28" s="657">
        <f t="shared" si="36"/>
        <v>10.628162844444445</v>
      </c>
      <c r="AF28" s="656">
        <f t="shared" ref="AF28:AF38" si="43">IF(AB28="N/A","N/A",IF(AB28-AE28&gt;0,AB28-AE28,0))</f>
        <v>19.371837155555554</v>
      </c>
      <c r="AG28" s="658">
        <f t="shared" ref="AG28:AG39" si="44">VLOOKUP(Z28,$C$89:$K$101,2,FALSE)</f>
        <v>24</v>
      </c>
      <c r="AH28" s="657">
        <f t="shared" si="37"/>
        <v>9856</v>
      </c>
      <c r="AI28" s="657">
        <f t="shared" si="20"/>
        <v>981.12</v>
      </c>
      <c r="AJ28" s="657">
        <f t="shared" ref="AJ28:AJ39" si="45">IF(AB28="N/A","N/A",AF28*AA28/0.4/0.8)</f>
        <v>27241.645999999993</v>
      </c>
      <c r="AK28" s="657">
        <f t="shared" si="38"/>
        <v>1121.0553909465018</v>
      </c>
      <c r="AL28" s="657">
        <f t="shared" ref="AL28:AL39" si="46">IF(AA28="N/A","N/A",AK28*AG28*365/1000)</f>
        <v>9820.4452246913552</v>
      </c>
      <c r="AM28" s="657"/>
      <c r="AN28" s="657"/>
      <c r="AO28" s="657"/>
      <c r="AP28" s="657">
        <f t="shared" si="39"/>
        <v>27820.424312990075</v>
      </c>
      <c r="AQ28" s="657">
        <f t="shared" si="40"/>
        <v>1144.8734285181101</v>
      </c>
      <c r="AR28" s="1081">
        <f t="shared" ref="AR28:AR39" si="47">BK75</f>
        <v>24</v>
      </c>
      <c r="AS28" s="657">
        <f t="shared" si="41"/>
        <v>10029.091233818644</v>
      </c>
      <c r="AT28" s="657">
        <f t="shared" si="42"/>
        <v>0</v>
      </c>
      <c r="AU28" s="659">
        <f t="shared" si="26"/>
        <v>10801.565224691356</v>
      </c>
      <c r="AV28" s="659">
        <f t="shared" si="27"/>
        <v>10029.091233818644</v>
      </c>
      <c r="AW28" s="646" t="str">
        <f t="shared" ref="AW28:AW39" si="48">Z28</f>
        <v>Common Laundry</v>
      </c>
      <c r="BC28" s="634">
        <f t="shared" si="30"/>
        <v>18</v>
      </c>
      <c r="BD28" s="643">
        <f>Lighting!AM38</f>
        <v>8.4187280463387332E-2</v>
      </c>
      <c r="BE28" s="643">
        <f>Lighting!AN38</f>
        <v>6.6904219690388095E-2</v>
      </c>
      <c r="BF28" s="643">
        <f>Lighting!AO38</f>
        <v>5.2586365910286939E-2</v>
      </c>
      <c r="BG28" s="643">
        <f>Lighting!AP38</f>
        <v>2.5535851497704896E-2</v>
      </c>
      <c r="BH28" s="643">
        <f>Lighting!AQ38</f>
        <v>2.2113742908472799E-2</v>
      </c>
      <c r="BI28" s="643">
        <f>Lighting!AR38</f>
        <v>2.1444161842061316E-2</v>
      </c>
      <c r="BJ28" s="643">
        <f>Lighting!AS38</f>
        <v>2.1645711935460003E-2</v>
      </c>
      <c r="BK28" s="643">
        <f>Lighting!AT38</f>
        <v>2.3694162451726623E-2</v>
      </c>
      <c r="BL28" s="643">
        <f>Lighting!AU38</f>
        <v>3.1481929402994234E-2</v>
      </c>
      <c r="BM28" s="643">
        <f>Lighting!AV38</f>
        <v>4.6076964265967399E-2</v>
      </c>
      <c r="BN28" s="643">
        <f>Lighting!AW38</f>
        <v>9.2452438147088964E-2</v>
      </c>
      <c r="BO28" s="643">
        <f>Lighting!AX38</f>
        <v>9.6304900655428086E-2</v>
      </c>
      <c r="BP28" s="643">
        <f>Lighting!AL38</f>
        <v>5.5874364453370046E-2</v>
      </c>
    </row>
    <row r="29" spans="1:68" ht="18" customHeight="1">
      <c r="A29" s="645"/>
      <c r="B29" s="647"/>
      <c r="C29" s="765"/>
      <c r="D29" s="647"/>
      <c r="E29" s="647"/>
      <c r="F29" s="647"/>
      <c r="G29" s="647"/>
      <c r="H29" s="647"/>
      <c r="I29" s="647"/>
      <c r="J29" s="647"/>
      <c r="K29" s="648"/>
      <c r="L29" s="648"/>
      <c r="M29" s="649"/>
      <c r="N29" s="649"/>
      <c r="O29" s="650"/>
      <c r="P29" s="651">
        <f>IF(COUNTIF(C$11:C28,C29)=0,IF(E29="Irregular", G29, H29*I29),0)</f>
        <v>0</v>
      </c>
      <c r="Q29" s="709" t="e">
        <f t="shared" si="0"/>
        <v>#N/A</v>
      </c>
      <c r="R29" s="651">
        <f t="shared" si="31"/>
        <v>0</v>
      </c>
      <c r="S29" s="652" t="e">
        <f t="shared" si="1"/>
        <v>#N/A</v>
      </c>
      <c r="T29" s="653" t="e">
        <f t="shared" si="2"/>
        <v>#N/A</v>
      </c>
      <c r="U29" s="653" t="e">
        <f t="shared" si="3"/>
        <v>#N/A</v>
      </c>
      <c r="V29" s="654" t="e">
        <f t="shared" si="33"/>
        <v>#N/A</v>
      </c>
      <c r="W29" s="652" t="e">
        <f t="shared" si="5"/>
        <v>#N/A</v>
      </c>
      <c r="X29" s="653" t="e">
        <f t="shared" si="29"/>
        <v>#N/A</v>
      </c>
      <c r="Z29" s="646" t="s">
        <v>2904</v>
      </c>
      <c r="AA29" s="655" t="str">
        <f t="shared" si="34"/>
        <v>N/A</v>
      </c>
      <c r="AB29" s="785" t="s">
        <v>99</v>
      </c>
      <c r="AC29" s="651">
        <v>0.8</v>
      </c>
      <c r="AD29" s="657">
        <f t="shared" si="35"/>
        <v>900</v>
      </c>
      <c r="AE29" s="657" t="str">
        <f t="shared" si="36"/>
        <v>N/A</v>
      </c>
      <c r="AF29" s="656" t="str">
        <f t="shared" si="43"/>
        <v>N/A</v>
      </c>
      <c r="AG29" s="658">
        <f t="shared" si="44"/>
        <v>12</v>
      </c>
      <c r="AH29" s="657">
        <f t="shared" si="37"/>
        <v>67500</v>
      </c>
      <c r="AI29" s="657">
        <f t="shared" si="20"/>
        <v>3942</v>
      </c>
      <c r="AJ29" s="657" t="str">
        <f t="shared" si="45"/>
        <v>N/A</v>
      </c>
      <c r="AK29" s="657" t="str">
        <f t="shared" si="38"/>
        <v>N/A</v>
      </c>
      <c r="AL29" s="657" t="str">
        <f t="shared" si="46"/>
        <v>N/A</v>
      </c>
      <c r="AM29" s="657"/>
      <c r="AN29" s="657"/>
      <c r="AO29" s="657"/>
      <c r="AP29" s="657">
        <f t="shared" si="39"/>
        <v>67500</v>
      </c>
      <c r="AQ29" s="657">
        <f t="shared" si="40"/>
        <v>2777.7777777777778</v>
      </c>
      <c r="AR29" s="1081">
        <f t="shared" si="47"/>
        <v>12</v>
      </c>
      <c r="AS29" s="657">
        <f t="shared" si="41"/>
        <v>12166.666666666668</v>
      </c>
      <c r="AT29" s="657">
        <f t="shared" si="42"/>
        <v>0</v>
      </c>
      <c r="AU29" s="659">
        <f t="shared" si="26"/>
        <v>3942</v>
      </c>
      <c r="AV29" s="659">
        <f t="shared" si="27"/>
        <v>12166.666666666668</v>
      </c>
      <c r="AW29" s="646" t="str">
        <f t="shared" si="48"/>
        <v>Common Mail</v>
      </c>
      <c r="BC29" s="634">
        <f t="shared" si="30"/>
        <v>19</v>
      </c>
      <c r="BD29" s="643">
        <f>Lighting!AM39</f>
        <v>0.11773734557773614</v>
      </c>
      <c r="BE29" s="643">
        <f>Lighting!AN39</f>
        <v>0.10784945819448277</v>
      </c>
      <c r="BF29" s="643">
        <f>Lighting!AO39</f>
        <v>9.5284735139678084E-2</v>
      </c>
      <c r="BG29" s="643">
        <f>Lighting!AP39</f>
        <v>4.7567539508267913E-2</v>
      </c>
      <c r="BH29" s="643">
        <f>Lighting!AQ39</f>
        <v>3.9553892938662003E-2</v>
      </c>
      <c r="BI29" s="643">
        <f>Lighting!AR39</f>
        <v>3.6125706193047176E-2</v>
      </c>
      <c r="BJ29" s="643">
        <f>Lighting!AS39</f>
        <v>3.6245773682684945E-2</v>
      </c>
      <c r="BK29" s="643">
        <f>Lighting!AT39</f>
        <v>4.1906692963341027E-2</v>
      </c>
      <c r="BL29" s="643">
        <f>Lighting!AU39</f>
        <v>5.8288052797964028E-2</v>
      </c>
      <c r="BM29" s="643">
        <f>Lighting!AV39</f>
        <v>8.1490187135324008E-2</v>
      </c>
      <c r="BN29" s="643">
        <f>Lighting!AW39</f>
        <v>0.11980748321655216</v>
      </c>
      <c r="BO29" s="643">
        <f>Lighting!AX39</f>
        <v>0.1196377248016227</v>
      </c>
      <c r="BP29" s="643">
        <f>Lighting!AL39</f>
        <v>8.3744847942743728E-2</v>
      </c>
    </row>
    <row r="30" spans="1:68">
      <c r="A30" s="645"/>
      <c r="B30" s="647"/>
      <c r="C30" s="765"/>
      <c r="D30" s="647"/>
      <c r="E30" s="647"/>
      <c r="F30" s="647"/>
      <c r="G30" s="647"/>
      <c r="H30" s="647"/>
      <c r="I30" s="647"/>
      <c r="J30" s="647"/>
      <c r="K30" s="648"/>
      <c r="L30" s="648"/>
      <c r="M30" s="649"/>
      <c r="N30" s="649"/>
      <c r="O30" s="650"/>
      <c r="P30" s="651">
        <f>IF(COUNTIF(C$11:C29,C30)=0,IF(E30="Irregular", G30, H30*I30),0)</f>
        <v>0</v>
      </c>
      <c r="Q30" s="709" t="e">
        <f t="shared" si="0"/>
        <v>#N/A</v>
      </c>
      <c r="R30" s="651">
        <f t="shared" si="31"/>
        <v>0</v>
      </c>
      <c r="S30" s="652" t="e">
        <f t="shared" si="1"/>
        <v>#N/A</v>
      </c>
      <c r="T30" s="653" t="e">
        <f t="shared" si="2"/>
        <v>#N/A</v>
      </c>
      <c r="U30" s="653" t="e">
        <f t="shared" si="3"/>
        <v>#N/A</v>
      </c>
      <c r="V30" s="654" t="e">
        <f t="shared" si="33"/>
        <v>#N/A</v>
      </c>
      <c r="W30" s="652" t="e">
        <f t="shared" si="5"/>
        <v>#N/A</v>
      </c>
      <c r="X30" s="653" t="e">
        <f t="shared" si="29"/>
        <v>#N/A</v>
      </c>
      <c r="Z30" s="786" t="s">
        <v>2912</v>
      </c>
      <c r="AA30" s="655">
        <f t="shared" si="34"/>
        <v>300</v>
      </c>
      <c r="AB30" s="656">
        <f>VLOOKUP($Z$27:$Z$39,$C$120:$M$132,3, FALSE)</f>
        <v>30</v>
      </c>
      <c r="AC30" s="651">
        <v>0.8</v>
      </c>
      <c r="AD30" s="657">
        <f t="shared" si="35"/>
        <v>168</v>
      </c>
      <c r="AE30" s="657">
        <f t="shared" si="36"/>
        <v>21.269510826666664</v>
      </c>
      <c r="AF30" s="656">
        <f t="shared" si="43"/>
        <v>8.7304891733333356</v>
      </c>
      <c r="AG30" s="658">
        <f t="shared" si="44"/>
        <v>9</v>
      </c>
      <c r="AH30" s="657">
        <f t="shared" si="37"/>
        <v>14784</v>
      </c>
      <c r="AI30" s="657">
        <f t="shared" si="20"/>
        <v>551.88</v>
      </c>
      <c r="AJ30" s="657">
        <f t="shared" si="45"/>
        <v>8184.8336000000018</v>
      </c>
      <c r="AK30" s="657">
        <f t="shared" si="38"/>
        <v>336.82442798353918</v>
      </c>
      <c r="AL30" s="657">
        <f t="shared" si="46"/>
        <v>1106.4682459259261</v>
      </c>
      <c r="AM30" s="657"/>
      <c r="AN30" s="657"/>
      <c r="AO30" s="657"/>
      <c r="AP30" s="657">
        <f t="shared" si="39"/>
        <v>20852.383659145391</v>
      </c>
      <c r="AQ30" s="657">
        <f t="shared" si="40"/>
        <v>858.12278432697076</v>
      </c>
      <c r="AR30" s="1081">
        <f t="shared" si="47"/>
        <v>9</v>
      </c>
      <c r="AS30" s="657">
        <f t="shared" si="41"/>
        <v>2537.040011862689</v>
      </c>
      <c r="AT30" s="657">
        <f t="shared" si="42"/>
        <v>281.89333465140993</v>
      </c>
      <c r="AU30" s="659">
        <f t="shared" si="26"/>
        <v>1658.3482459259262</v>
      </c>
      <c r="AV30" s="659">
        <f t="shared" si="27"/>
        <v>2818.933346514099</v>
      </c>
      <c r="AW30" s="646" t="str">
        <f t="shared" si="48"/>
        <v>Common Office</v>
      </c>
      <c r="BC30" s="634">
        <f t="shared" si="30"/>
        <v>20</v>
      </c>
      <c r="BD30" s="643">
        <f>Lighting!AM40</f>
        <v>0.11999318647125856</v>
      </c>
      <c r="BE30" s="643">
        <f>Lighting!AN40</f>
        <v>0.13151430539915016</v>
      </c>
      <c r="BF30" s="643">
        <f>Lighting!AO40</f>
        <v>0.1354371160380459</v>
      </c>
      <c r="BG30" s="643">
        <f>Lighting!AP40</f>
        <v>8.9162326462543046E-2</v>
      </c>
      <c r="BH30" s="643">
        <f>Lighting!AQ40</f>
        <v>7.5914360473199965E-2</v>
      </c>
      <c r="BI30" s="643">
        <f>Lighting!AR40</f>
        <v>6.7562087250796876E-2</v>
      </c>
      <c r="BJ30" s="643">
        <f>Lighting!AS40</f>
        <v>6.738245740769036E-2</v>
      </c>
      <c r="BK30" s="643">
        <f>Lighting!AT40</f>
        <v>7.8324139487000302E-2</v>
      </c>
      <c r="BL30" s="643">
        <f>Lighting!AU40</f>
        <v>0.10120183680223285</v>
      </c>
      <c r="BM30" s="643">
        <f>Lighting!AV40</f>
        <v>0.12121270952568716</v>
      </c>
      <c r="BN30" s="643">
        <f>Lighting!AW40</f>
        <v>0.11546296644051569</v>
      </c>
      <c r="BO30" s="643">
        <f>Lighting!AX40</f>
        <v>0.10863968716024415</v>
      </c>
      <c r="BP30" s="643">
        <f>Lighting!AL40</f>
        <v>0.10576505643901661</v>
      </c>
    </row>
    <row r="31" spans="1:68">
      <c r="A31" s="645"/>
      <c r="B31" s="809"/>
      <c r="C31" s="810"/>
      <c r="D31" s="809"/>
      <c r="E31" s="809"/>
      <c r="F31" s="809"/>
      <c r="G31" s="809"/>
      <c r="H31" s="809"/>
      <c r="I31" s="809"/>
      <c r="J31" s="809"/>
      <c r="K31" s="811"/>
      <c r="L31" s="811"/>
      <c r="M31" s="812"/>
      <c r="N31" s="812"/>
      <c r="O31" s="813"/>
      <c r="P31" s="651">
        <f>IF(COUNTIF(C$11:C30,C31)=0,IF(E31="Irregular", G31, H31*I31),0)</f>
        <v>0</v>
      </c>
      <c r="Q31" s="709" t="e">
        <f t="shared" si="0"/>
        <v>#N/A</v>
      </c>
      <c r="R31" s="651">
        <f t="shared" si="31"/>
        <v>0</v>
      </c>
      <c r="S31" s="652" t="e">
        <f t="shared" si="1"/>
        <v>#N/A</v>
      </c>
      <c r="T31" s="653" t="e">
        <f t="shared" ref="T31:T40" si="49">R31*IF(L31="Other",O31,LOOKUP(L31,AG$68:AG$77,AH$68:AH$77))</f>
        <v>#N/A</v>
      </c>
      <c r="U31" s="653" t="e">
        <f t="shared" si="3"/>
        <v>#N/A</v>
      </c>
      <c r="V31" s="654" t="e">
        <f t="shared" si="33"/>
        <v>#N/A</v>
      </c>
      <c r="W31" s="652" t="e">
        <f t="shared" si="5"/>
        <v>#N/A</v>
      </c>
      <c r="X31" s="653" t="e">
        <f t="shared" si="29"/>
        <v>#N/A</v>
      </c>
      <c r="Z31" s="646" t="s">
        <v>2905</v>
      </c>
      <c r="AA31" s="655">
        <f t="shared" si="34"/>
        <v>25</v>
      </c>
      <c r="AB31" s="656">
        <f>VLOOKUP($Z$27:$Z$39,$C$120:$M$132,3, FALSE)</f>
        <v>15</v>
      </c>
      <c r="AC31" s="651">
        <v>0.8</v>
      </c>
      <c r="AD31" s="657">
        <f t="shared" si="35"/>
        <v>26</v>
      </c>
      <c r="AE31" s="657">
        <f t="shared" si="36"/>
        <v>12.829273599999997</v>
      </c>
      <c r="AF31" s="656">
        <f t="shared" si="43"/>
        <v>2.1707264000000031</v>
      </c>
      <c r="AG31" s="658">
        <f t="shared" si="44"/>
        <v>24</v>
      </c>
      <c r="AH31" s="657">
        <f t="shared" si="37"/>
        <v>1430</v>
      </c>
      <c r="AI31" s="657">
        <f t="shared" si="20"/>
        <v>227.76</v>
      </c>
      <c r="AJ31" s="657">
        <f t="shared" si="45"/>
        <v>169.58800000000025</v>
      </c>
      <c r="AK31" s="657">
        <f t="shared" si="38"/>
        <v>6.9789300411522737</v>
      </c>
      <c r="AL31" s="657">
        <f t="shared" si="46"/>
        <v>61.135427160493911</v>
      </c>
      <c r="AM31" s="657"/>
      <c r="AN31" s="657"/>
      <c r="AO31" s="657"/>
      <c r="AP31" s="657">
        <f t="shared" si="39"/>
        <v>1997.0603271983641</v>
      </c>
      <c r="AQ31" s="657">
        <f t="shared" si="40"/>
        <v>82.183552559603456</v>
      </c>
      <c r="AR31" s="1081">
        <f t="shared" si="47"/>
        <v>24</v>
      </c>
      <c r="AS31" s="657">
        <f t="shared" si="41"/>
        <v>719.92792042212614</v>
      </c>
      <c r="AT31" s="657">
        <f t="shared" si="42"/>
        <v>0</v>
      </c>
      <c r="AU31" s="659">
        <f t="shared" si="26"/>
        <v>288.89542716049391</v>
      </c>
      <c r="AV31" s="659">
        <f t="shared" si="27"/>
        <v>719.92792042212614</v>
      </c>
      <c r="AW31" s="646" t="str">
        <f t="shared" si="48"/>
        <v>Elevator</v>
      </c>
      <c r="BC31" s="634">
        <f t="shared" si="30"/>
        <v>21</v>
      </c>
      <c r="BD31" s="643">
        <f>Lighting!AM41</f>
        <v>0.10319840540118846</v>
      </c>
      <c r="BE31" s="643">
        <f>Lighting!AN41</f>
        <v>0.12028906511728614</v>
      </c>
      <c r="BF31" s="643">
        <f>Lighting!AO41</f>
        <v>0.14041864713277744</v>
      </c>
      <c r="BG31" s="643">
        <f>Lighting!AP41</f>
        <v>0.13962265300436791</v>
      </c>
      <c r="BH31" s="643">
        <f>Lighting!AQ41</f>
        <v>0.12809747653899098</v>
      </c>
      <c r="BI31" s="643">
        <f>Lighting!AR41</f>
        <v>0.11599809010774424</v>
      </c>
      <c r="BJ31" s="643">
        <f>Lighting!AS41</f>
        <v>0.11513503038478512</v>
      </c>
      <c r="BK31" s="643">
        <f>Lighting!AT41</f>
        <v>0.12802610429743469</v>
      </c>
      <c r="BL31" s="643">
        <f>Lighting!AU41</f>
        <v>0.14270436212569823</v>
      </c>
      <c r="BM31" s="643">
        <f>Lighting!AV41</f>
        <v>0.12716272152771424</v>
      </c>
      <c r="BN31" s="643">
        <f>Lighting!AW41</f>
        <v>0.10738687136866859</v>
      </c>
      <c r="BO31" s="643">
        <f>Lighting!AX41</f>
        <v>9.9413233738834803E-2</v>
      </c>
      <c r="BP31" s="643">
        <f>Lighting!AL41</f>
        <v>0.12020021292875219</v>
      </c>
    </row>
    <row r="32" spans="1:68">
      <c r="A32" s="645"/>
      <c r="B32" s="810"/>
      <c r="C32" s="810"/>
      <c r="D32" s="809"/>
      <c r="E32" s="809"/>
      <c r="F32" s="809"/>
      <c r="G32" s="809"/>
      <c r="H32" s="809"/>
      <c r="I32" s="809"/>
      <c r="J32" s="809"/>
      <c r="K32" s="811"/>
      <c r="L32" s="811"/>
      <c r="M32" s="812"/>
      <c r="N32" s="812"/>
      <c r="O32" s="813"/>
      <c r="P32" s="651">
        <f>IF(COUNTIF(C$11:C25,C32)=0,IF(E32="Irregular", G32, H32*I32),0)</f>
        <v>0</v>
      </c>
      <c r="Q32" s="709" t="e">
        <f t="shared" si="0"/>
        <v>#N/A</v>
      </c>
      <c r="R32" s="651">
        <f t="shared" si="31"/>
        <v>0</v>
      </c>
      <c r="S32" s="652" t="e">
        <f t="shared" si="1"/>
        <v>#N/A</v>
      </c>
      <c r="T32" s="653" t="e">
        <f t="shared" si="49"/>
        <v>#N/A</v>
      </c>
      <c r="U32" s="653" t="e">
        <f t="shared" si="3"/>
        <v>#N/A</v>
      </c>
      <c r="V32" s="654" t="e">
        <f t="shared" si="33"/>
        <v>#N/A</v>
      </c>
      <c r="W32" s="652" t="e">
        <f t="shared" si="5"/>
        <v>#N/A</v>
      </c>
      <c r="X32" s="653" t="e">
        <f t="shared" si="29"/>
        <v>#N/A</v>
      </c>
      <c r="Z32" s="786" t="s">
        <v>2906</v>
      </c>
      <c r="AA32" s="655">
        <f t="shared" si="34"/>
        <v>450</v>
      </c>
      <c r="AB32" s="656">
        <f>VLOOKUP($Z$27:$Z$39,$C$120:$M$132,3, FALSE)</f>
        <v>30</v>
      </c>
      <c r="AC32" s="651">
        <v>0.8</v>
      </c>
      <c r="AD32" s="657">
        <f t="shared" si="35"/>
        <v>13</v>
      </c>
      <c r="AE32" s="657">
        <f t="shared" si="36"/>
        <v>0.8248081111111113</v>
      </c>
      <c r="AF32" s="656">
        <f t="shared" si="43"/>
        <v>29.175191888888889</v>
      </c>
      <c r="AG32" s="658">
        <f t="shared" si="44"/>
        <v>0</v>
      </c>
      <c r="AH32" s="657">
        <f t="shared" si="37"/>
        <v>715</v>
      </c>
      <c r="AI32" s="657">
        <f t="shared" si="20"/>
        <v>0</v>
      </c>
      <c r="AJ32" s="657">
        <f t="shared" si="45"/>
        <v>41027.613593749993</v>
      </c>
      <c r="AK32" s="657">
        <f t="shared" si="38"/>
        <v>1688.3791602366252</v>
      </c>
      <c r="AL32" s="657">
        <f t="shared" si="46"/>
        <v>0</v>
      </c>
      <c r="AM32" s="657"/>
      <c r="AN32" s="657"/>
      <c r="AO32" s="657"/>
      <c r="AP32" s="657">
        <f t="shared" si="39"/>
        <v>27820.424312990075</v>
      </c>
      <c r="AQ32" s="657">
        <f t="shared" si="40"/>
        <v>1144.8734285181101</v>
      </c>
      <c r="AR32" s="1081">
        <f t="shared" si="47"/>
        <v>0</v>
      </c>
      <c r="AS32" s="657">
        <f t="shared" si="41"/>
        <v>0</v>
      </c>
      <c r="AT32" s="657">
        <f t="shared" si="42"/>
        <v>0</v>
      </c>
      <c r="AU32" s="659">
        <f t="shared" si="26"/>
        <v>0</v>
      </c>
      <c r="AV32" s="659">
        <f t="shared" si="27"/>
        <v>0</v>
      </c>
      <c r="AW32" s="646" t="str">
        <f t="shared" si="48"/>
        <v>Equip. Room</v>
      </c>
      <c r="BC32" s="634">
        <f t="shared" si="30"/>
        <v>22</v>
      </c>
      <c r="BD32" s="643">
        <f>Lighting!AM42</f>
        <v>8.8216285795950117E-2</v>
      </c>
      <c r="BE32" s="643">
        <f>Lighting!AN42</f>
        <v>0.10065113367921137</v>
      </c>
      <c r="BF32" s="643">
        <f>Lighting!AO42</f>
        <v>0.11323581628024801</v>
      </c>
      <c r="BG32" s="643">
        <f>Lighting!AP42</f>
        <v>0.14643807665539613</v>
      </c>
      <c r="BH32" s="643">
        <f>Lighting!AQ42</f>
        <v>0.16201905099878697</v>
      </c>
      <c r="BI32" s="643">
        <f>Lighting!AR42</f>
        <v>0.16237132798623327</v>
      </c>
      <c r="BJ32" s="643">
        <f>Lighting!AS42</f>
        <v>0.16010427367408481</v>
      </c>
      <c r="BK32" s="643">
        <f>Lighting!AT42</f>
        <v>0.15520007069248687</v>
      </c>
      <c r="BL32" s="643">
        <f>Lighting!AU42</f>
        <v>0.13163679444290308</v>
      </c>
      <c r="BM32" s="643">
        <f>Lighting!AV42</f>
        <v>0.10870151473048313</v>
      </c>
      <c r="BN32" s="643">
        <f>Lighting!AW42</f>
        <v>9.1796679401814713E-2</v>
      </c>
      <c r="BO32" s="643">
        <f>Lighting!AX42</f>
        <v>8.4980637106856355E-2</v>
      </c>
      <c r="BP32" s="643">
        <f>Lighting!AL42</f>
        <v>0.11779248000936876</v>
      </c>
    </row>
    <row r="33" spans="1:68">
      <c r="A33" s="645"/>
      <c r="B33" s="809"/>
      <c r="C33" s="810"/>
      <c r="D33" s="809"/>
      <c r="E33" s="809"/>
      <c r="F33" s="809"/>
      <c r="G33" s="809"/>
      <c r="H33" s="809"/>
      <c r="I33" s="809"/>
      <c r="J33" s="809"/>
      <c r="K33" s="811"/>
      <c r="L33" s="811"/>
      <c r="M33" s="812"/>
      <c r="N33" s="812"/>
      <c r="O33" s="813"/>
      <c r="P33" s="651">
        <f>IF(COUNTIF(C$11:C32,C33)=0,IF(E33="Irregular", G33, H33*I33),0)</f>
        <v>0</v>
      </c>
      <c r="Q33" s="709" t="e">
        <f t="shared" si="0"/>
        <v>#N/A</v>
      </c>
      <c r="R33" s="651">
        <f t="shared" si="31"/>
        <v>0</v>
      </c>
      <c r="S33" s="652" t="e">
        <f t="shared" si="1"/>
        <v>#N/A</v>
      </c>
      <c r="T33" s="653" t="e">
        <f t="shared" si="49"/>
        <v>#N/A</v>
      </c>
      <c r="U33" s="653" t="e">
        <f t="shared" si="3"/>
        <v>#N/A</v>
      </c>
      <c r="V33" s="654" t="e">
        <f t="shared" si="33"/>
        <v>#N/A</v>
      </c>
      <c r="W33" s="652" t="e">
        <f t="shared" si="5"/>
        <v>#N/A</v>
      </c>
      <c r="X33" s="653" t="e">
        <f t="shared" si="29"/>
        <v>#N/A</v>
      </c>
      <c r="Z33" s="646" t="s">
        <v>1351</v>
      </c>
      <c r="AA33" s="655">
        <f t="shared" si="34"/>
        <v>5000</v>
      </c>
      <c r="AB33" s="656">
        <f>VLOOKUP($Z$27:$Z$39,$C$120:$M$132,3, FALSE)</f>
        <v>15</v>
      </c>
      <c r="AC33" s="651">
        <v>0.8</v>
      </c>
      <c r="AD33" s="657">
        <f t="shared" si="35"/>
        <v>780</v>
      </c>
      <c r="AE33" s="657">
        <f t="shared" si="36"/>
        <v>1.1211763799807994</v>
      </c>
      <c r="AF33" s="656">
        <f t="shared" si="43"/>
        <v>13.878823620019201</v>
      </c>
      <c r="AG33" s="658">
        <f t="shared" si="44"/>
        <v>24</v>
      </c>
      <c r="AH33" s="657">
        <f t="shared" si="37"/>
        <v>42900</v>
      </c>
      <c r="AI33" s="657">
        <f t="shared" si="20"/>
        <v>6832.8</v>
      </c>
      <c r="AJ33" s="657">
        <f t="shared" si="45"/>
        <v>216856.61906280002</v>
      </c>
      <c r="AK33" s="657">
        <f t="shared" si="38"/>
        <v>8924.1407021728392</v>
      </c>
      <c r="AL33" s="657">
        <f t="shared" si="46"/>
        <v>78175.47255103408</v>
      </c>
      <c r="AM33" s="657"/>
      <c r="AN33" s="657"/>
      <c r="AO33" s="657"/>
      <c r="AP33" s="657">
        <f t="shared" si="39"/>
        <v>377167.62154646026</v>
      </c>
      <c r="AQ33" s="657">
        <f t="shared" si="40"/>
        <v>15521.30129820824</v>
      </c>
      <c r="AR33" s="1081">
        <f t="shared" si="47"/>
        <v>24</v>
      </c>
      <c r="AS33" s="657">
        <f t="shared" si="41"/>
        <v>135966.59937230416</v>
      </c>
      <c r="AT33" s="657">
        <f t="shared" si="42"/>
        <v>0</v>
      </c>
      <c r="AU33" s="659">
        <f t="shared" si="26"/>
        <v>85008.272551034082</v>
      </c>
      <c r="AV33" s="659">
        <f t="shared" si="27"/>
        <v>135966.59937230416</v>
      </c>
      <c r="AW33" s="646" t="str">
        <f t="shared" si="48"/>
        <v>Indoor Corridor</v>
      </c>
      <c r="BC33" s="634">
        <f t="shared" si="30"/>
        <v>23</v>
      </c>
      <c r="BD33" s="643">
        <f>Lighting!AM43</f>
        <v>6.6564816516497149E-2</v>
      </c>
      <c r="BE33" s="643">
        <f>Lighting!AN43</f>
        <v>7.5947702684187476E-2</v>
      </c>
      <c r="BF33" s="643">
        <f>Lighting!AO43</f>
        <v>9.0572537875478115E-2</v>
      </c>
      <c r="BG33" s="643">
        <f>Lighting!AP43</f>
        <v>0.11049687272191509</v>
      </c>
      <c r="BH33" s="643">
        <f>Lighting!AQ43</f>
        <v>0.12676019399888927</v>
      </c>
      <c r="BI33" s="643">
        <f>Lighting!AR43</f>
        <v>0.13567275468706119</v>
      </c>
      <c r="BJ33" s="643">
        <f>Lighting!AS43</f>
        <v>0.13333229398396113</v>
      </c>
      <c r="BK33" s="643">
        <f>Lighting!AT43</f>
        <v>0.1190426980508172</v>
      </c>
      <c r="BL33" s="643">
        <f>Lighting!AU43</f>
        <v>9.9328360855949371E-2</v>
      </c>
      <c r="BM33" s="643">
        <f>Lighting!AV43</f>
        <v>8.2022228864141344E-2</v>
      </c>
      <c r="BN33" s="643">
        <f>Lighting!AW43</f>
        <v>6.9266451949012223E-2</v>
      </c>
      <c r="BO33" s="643">
        <f>Lighting!AX43</f>
        <v>6.4123313121086017E-2</v>
      </c>
      <c r="BP33" s="643">
        <f>Lighting!AL43</f>
        <v>9.1175421603127207E-2</v>
      </c>
    </row>
    <row r="34" spans="1:68">
      <c r="A34" s="645"/>
      <c r="B34" s="809"/>
      <c r="C34" s="810"/>
      <c r="D34" s="809"/>
      <c r="E34" s="809"/>
      <c r="F34" s="809"/>
      <c r="G34" s="809"/>
      <c r="H34" s="809"/>
      <c r="I34" s="809"/>
      <c r="J34" s="809"/>
      <c r="K34" s="811"/>
      <c r="L34" s="811"/>
      <c r="M34" s="812"/>
      <c r="N34" s="812"/>
      <c r="O34" s="813"/>
      <c r="P34" s="651">
        <f>IF(COUNTIF(C$11:C27,C34)=0,IF(E34="Irregular", G34, H34*I34),0)</f>
        <v>0</v>
      </c>
      <c r="Q34" s="709" t="e">
        <f t="shared" si="0"/>
        <v>#N/A</v>
      </c>
      <c r="R34" s="651">
        <f>N34*M34</f>
        <v>0</v>
      </c>
      <c r="S34" s="652" t="e">
        <f t="shared" si="1"/>
        <v>#N/A</v>
      </c>
      <c r="T34" s="653" t="e">
        <f t="shared" si="49"/>
        <v>#N/A</v>
      </c>
      <c r="U34" s="653" t="e">
        <f>S34*T34*0.8</f>
        <v>#N/A</v>
      </c>
      <c r="V34" s="654" t="e">
        <f>IF(B34="Outdoor","N/A",R34*IF(L34="Other",O34,LOOKUP(L34,AG$68:AG$77,AH$68:AH$77))*S34*0.8/(IF(E34="Irregular", G34, H34*I34)))</f>
        <v>#N/A</v>
      </c>
      <c r="W34" s="652" t="e">
        <f t="shared" si="5"/>
        <v>#N/A</v>
      </c>
      <c r="X34" s="653" t="e">
        <f>IF(B34="Outdoor",T34,LOOKUP(B34,Z$11:Z$24,AB$11:AB$24)*P34/W34/0.8)</f>
        <v>#N/A</v>
      </c>
      <c r="Z34" s="646" t="s">
        <v>2907</v>
      </c>
      <c r="AA34" s="655">
        <f t="shared" si="34"/>
        <v>1200</v>
      </c>
      <c r="AB34" s="656">
        <f>VLOOKUP($Z$27:$Z$39,$C$120:$M$132,3, FALSE)</f>
        <v>15</v>
      </c>
      <c r="AC34" s="651">
        <v>0.8</v>
      </c>
      <c r="AD34" s="657">
        <f t="shared" si="35"/>
        <v>64</v>
      </c>
      <c r="AE34" s="657">
        <f t="shared" si="36"/>
        <v>1.2524299999999999</v>
      </c>
      <c r="AF34" s="656">
        <f t="shared" si="43"/>
        <v>13.74757</v>
      </c>
      <c r="AG34" s="658">
        <f t="shared" si="44"/>
        <v>12</v>
      </c>
      <c r="AH34" s="657">
        <f t="shared" si="37"/>
        <v>3200</v>
      </c>
      <c r="AI34" s="657">
        <f t="shared" si="20"/>
        <v>280.32</v>
      </c>
      <c r="AJ34" s="657">
        <f t="shared" si="45"/>
        <v>51553.38749999999</v>
      </c>
      <c r="AK34" s="657">
        <f t="shared" si="38"/>
        <v>2121.5385802469132</v>
      </c>
      <c r="AL34" s="657">
        <f t="shared" si="46"/>
        <v>9292.33898148148</v>
      </c>
      <c r="AM34" s="657"/>
      <c r="AN34" s="657"/>
      <c r="AO34" s="657"/>
      <c r="AP34" s="657">
        <f t="shared" si="39"/>
        <v>38325.495237258772</v>
      </c>
      <c r="AQ34" s="657">
        <f t="shared" si="40"/>
        <v>1577.1808739612663</v>
      </c>
      <c r="AR34" s="1081">
        <f t="shared" si="47"/>
        <v>12</v>
      </c>
      <c r="AS34" s="657">
        <f t="shared" si="41"/>
        <v>3454.0261139751733</v>
      </c>
      <c r="AT34" s="657">
        <f t="shared" si="42"/>
        <v>3454.0261139751733</v>
      </c>
      <c r="AU34" s="659">
        <f t="shared" si="26"/>
        <v>9572.6589814814797</v>
      </c>
      <c r="AV34" s="659">
        <f t="shared" si="27"/>
        <v>6908.0522279503466</v>
      </c>
      <c r="AW34" s="646" t="str">
        <f t="shared" si="48"/>
        <v>Multi-Purpose</v>
      </c>
      <c r="BC34" s="634">
        <f>1+BC33</f>
        <v>24</v>
      </c>
      <c r="BD34" s="643">
        <f>Lighting!AM44</f>
        <v>4.6237578428005952E-2</v>
      </c>
      <c r="BE34" s="643">
        <f>Lighting!AN44</f>
        <v>5.2755164711025489E-2</v>
      </c>
      <c r="BF34" s="643">
        <f>Lighting!AO44</f>
        <v>6.291393926404136E-2</v>
      </c>
      <c r="BG34" s="643">
        <f>Lighting!AP44</f>
        <v>7.675387818822757E-2</v>
      </c>
      <c r="BH34" s="643">
        <f>Lighting!AQ44</f>
        <v>8.8050785960182204E-2</v>
      </c>
      <c r="BI34" s="643">
        <f>Lighting!AR44</f>
        <v>9.424167245818045E-2</v>
      </c>
      <c r="BJ34" s="643">
        <f>Lighting!AS44</f>
        <v>9.261593019702008E-2</v>
      </c>
      <c r="BK34" s="643">
        <f>Lighting!AT44</f>
        <v>8.2690021177207668E-2</v>
      </c>
      <c r="BL34" s="643">
        <f>Lighting!AU44</f>
        <v>6.8995951848887002E-2</v>
      </c>
      <c r="BM34" s="643">
        <f>Lighting!AV44</f>
        <v>5.697468179763808E-2</v>
      </c>
      <c r="BN34" s="643">
        <f>Lighting!AW44</f>
        <v>4.8114201646276777E-2</v>
      </c>
      <c r="BO34" s="643">
        <f>Lighting!AX44</f>
        <v>4.4541649397696267E-2</v>
      </c>
      <c r="BP34" s="643">
        <f>Lighting!AL44</f>
        <v>6.3332717307743105E-2</v>
      </c>
    </row>
    <row r="35" spans="1:68">
      <c r="A35" s="645"/>
      <c r="B35" s="809"/>
      <c r="C35" s="810"/>
      <c r="D35" s="809"/>
      <c r="E35" s="809"/>
      <c r="F35" s="809"/>
      <c r="G35" s="809"/>
      <c r="H35" s="809"/>
      <c r="I35" s="809"/>
      <c r="J35" s="809"/>
      <c r="K35" s="811"/>
      <c r="L35" s="811"/>
      <c r="M35" s="812"/>
      <c r="N35" s="812"/>
      <c r="O35" s="813"/>
      <c r="P35" s="651">
        <f>IF(COUNTIF(C$11:C34,C35)=0,IF(E35="Irregular", G35, H35*I35),0)</f>
        <v>0</v>
      </c>
      <c r="Q35" s="709" t="e">
        <f t="shared" si="0"/>
        <v>#N/A</v>
      </c>
      <c r="R35" s="651">
        <f>N35*M35</f>
        <v>0</v>
      </c>
      <c r="S35" s="652" t="e">
        <f t="shared" si="1"/>
        <v>#N/A</v>
      </c>
      <c r="T35" s="653" t="e">
        <f t="shared" si="49"/>
        <v>#N/A</v>
      </c>
      <c r="U35" s="653" t="e">
        <f>S35*T35*0.8</f>
        <v>#N/A</v>
      </c>
      <c r="V35" s="654" t="e">
        <f>IF(B35="Outdoor","N/A",R35*IF(L35="Other",O35,LOOKUP(L35,AG$68:AG$77,AH$68:AH$77))*S35*0.8/(IF(E35="Irregular", G35, H35*I35)))</f>
        <v>#N/A</v>
      </c>
      <c r="W35" s="652" t="e">
        <f t="shared" si="5"/>
        <v>#N/A</v>
      </c>
      <c r="X35" s="653" t="e">
        <f>IF(B35="Outdoor",T35,LOOKUP(B35,Z$11:Z$24,AB$11:AB$24)*P35/W35/0.8)</f>
        <v>#N/A</v>
      </c>
      <c r="Z35" s="646" t="s">
        <v>2903</v>
      </c>
      <c r="AA35" s="655" t="str">
        <f t="shared" si="34"/>
        <v>N/A</v>
      </c>
      <c r="AB35" s="785" t="s">
        <v>99</v>
      </c>
      <c r="AC35" s="651">
        <v>0.8</v>
      </c>
      <c r="AD35" s="657">
        <f t="shared" si="35"/>
        <v>0</v>
      </c>
      <c r="AE35" s="657" t="str">
        <f t="shared" si="36"/>
        <v>N/A</v>
      </c>
      <c r="AF35" s="656" t="str">
        <f t="shared" si="43"/>
        <v>N/A</v>
      </c>
      <c r="AG35" s="658">
        <f t="shared" si="44"/>
        <v>12</v>
      </c>
      <c r="AH35" s="657">
        <f t="shared" si="37"/>
        <v>0</v>
      </c>
      <c r="AI35" s="657">
        <f t="shared" si="20"/>
        <v>0</v>
      </c>
      <c r="AJ35" s="657" t="str">
        <f t="shared" si="45"/>
        <v>N/A</v>
      </c>
      <c r="AK35" s="657" t="str">
        <f t="shared" si="38"/>
        <v>N/A</v>
      </c>
      <c r="AL35" s="657" t="str">
        <f t="shared" si="46"/>
        <v>N/A</v>
      </c>
      <c r="AM35" s="657"/>
      <c r="AN35" s="657"/>
      <c r="AO35" s="657"/>
      <c r="AP35" s="657">
        <f t="shared" si="39"/>
        <v>0</v>
      </c>
      <c r="AQ35" s="657">
        <f t="shared" si="40"/>
        <v>0</v>
      </c>
      <c r="AR35" s="1081">
        <f t="shared" si="47"/>
        <v>12</v>
      </c>
      <c r="AS35" s="657">
        <f t="shared" si="41"/>
        <v>0</v>
      </c>
      <c r="AT35" s="657">
        <f t="shared" si="42"/>
        <v>0</v>
      </c>
      <c r="AU35" s="659">
        <f t="shared" si="26"/>
        <v>0</v>
      </c>
      <c r="AV35" s="659">
        <f t="shared" si="27"/>
        <v>0</v>
      </c>
      <c r="AW35" s="646" t="str">
        <f t="shared" si="48"/>
        <v>Open Parking</v>
      </c>
      <c r="BD35" s="645">
        <f t="shared" ref="BD35:BP35" si="50">SUM(BD11:BD34)</f>
        <v>1.0000000000000002</v>
      </c>
      <c r="BE35" s="645">
        <f t="shared" si="50"/>
        <v>1</v>
      </c>
      <c r="BF35" s="645">
        <f t="shared" si="50"/>
        <v>1.0000000000000002</v>
      </c>
      <c r="BG35" s="645">
        <f t="shared" si="50"/>
        <v>1</v>
      </c>
      <c r="BH35" s="645">
        <f t="shared" si="50"/>
        <v>0.99999999999999978</v>
      </c>
      <c r="BI35" s="645">
        <f t="shared" si="50"/>
        <v>1</v>
      </c>
      <c r="BJ35" s="645">
        <f t="shared" si="50"/>
        <v>1</v>
      </c>
      <c r="BK35" s="645">
        <f t="shared" si="50"/>
        <v>1</v>
      </c>
      <c r="BL35" s="645">
        <f t="shared" si="50"/>
        <v>1</v>
      </c>
      <c r="BM35" s="645">
        <f t="shared" si="50"/>
        <v>1</v>
      </c>
      <c r="BN35" s="645">
        <f t="shared" si="50"/>
        <v>1</v>
      </c>
      <c r="BO35" s="645">
        <f t="shared" si="50"/>
        <v>1</v>
      </c>
      <c r="BP35" s="645">
        <f t="shared" si="50"/>
        <v>0.99999999999999989</v>
      </c>
    </row>
    <row r="36" spans="1:68">
      <c r="A36" s="645"/>
      <c r="B36" s="809"/>
      <c r="C36" s="810"/>
      <c r="D36" s="809"/>
      <c r="E36" s="809"/>
      <c r="F36" s="809"/>
      <c r="G36" s="809"/>
      <c r="H36" s="809"/>
      <c r="I36" s="809"/>
      <c r="J36" s="809"/>
      <c r="K36" s="811"/>
      <c r="L36" s="811"/>
      <c r="M36" s="812"/>
      <c r="N36" s="812"/>
      <c r="O36" s="813"/>
      <c r="P36" s="651">
        <f>IF(COUNTIF(C$11:C29,C36)=0,IF(E36="Irregular", G36, H36*I36),0)</f>
        <v>0</v>
      </c>
      <c r="Q36" s="709" t="e">
        <f t="shared" si="0"/>
        <v>#N/A</v>
      </c>
      <c r="R36" s="651">
        <f>N36*M36</f>
        <v>0</v>
      </c>
      <c r="S36" s="652" t="e">
        <f t="shared" si="1"/>
        <v>#N/A</v>
      </c>
      <c r="T36" s="653" t="e">
        <f t="shared" si="49"/>
        <v>#N/A</v>
      </c>
      <c r="U36" s="653" t="e">
        <f>S36*T36*0.8</f>
        <v>#N/A</v>
      </c>
      <c r="V36" s="654" t="e">
        <f>IF(B36="Outdoor","N/A",R36*IF(L36="Other",O36,LOOKUP(L36,AG$68:AG$77,AH$68:AH$77))*S36*0.8/(IF(E36="Irregular", G36, H36*I36)))</f>
        <v>#N/A</v>
      </c>
      <c r="W36" s="652" t="e">
        <f t="shared" si="5"/>
        <v>#N/A</v>
      </c>
      <c r="X36" s="653" t="e">
        <f>IF(B36="Outdoor",T36,LOOKUP(B36,Z$11:Z$24,AB$11:AB$24)*P36/W36/0.8)</f>
        <v>#N/A</v>
      </c>
      <c r="Z36" s="646" t="s">
        <v>2901</v>
      </c>
      <c r="AA36" s="655" t="str">
        <f t="shared" si="34"/>
        <v>N/A</v>
      </c>
      <c r="AB36" s="785" t="s">
        <v>99</v>
      </c>
      <c r="AC36" s="651">
        <v>0.8</v>
      </c>
      <c r="AD36" s="657">
        <f t="shared" si="35"/>
        <v>1200</v>
      </c>
      <c r="AE36" s="657" t="str">
        <f t="shared" si="36"/>
        <v>N/A</v>
      </c>
      <c r="AF36" s="656" t="str">
        <f t="shared" si="43"/>
        <v>N/A</v>
      </c>
      <c r="AG36" s="658">
        <f t="shared" si="44"/>
        <v>12</v>
      </c>
      <c r="AH36" s="657">
        <f t="shared" si="37"/>
        <v>108000</v>
      </c>
      <c r="AI36" s="657">
        <f t="shared" si="20"/>
        <v>5256</v>
      </c>
      <c r="AJ36" s="657" t="str">
        <f t="shared" si="45"/>
        <v>N/A</v>
      </c>
      <c r="AK36" s="657" t="str">
        <f t="shared" si="38"/>
        <v>N/A</v>
      </c>
      <c r="AL36" s="657" t="str">
        <f t="shared" si="46"/>
        <v>N/A</v>
      </c>
      <c r="AM36" s="657"/>
      <c r="AN36" s="657"/>
      <c r="AO36" s="657"/>
      <c r="AP36" s="657">
        <f t="shared" si="39"/>
        <v>108000</v>
      </c>
      <c r="AQ36" s="657">
        <f t="shared" si="40"/>
        <v>4444.4444444444443</v>
      </c>
      <c r="AR36" s="1081">
        <f t="shared" si="47"/>
        <v>12</v>
      </c>
      <c r="AS36" s="657">
        <f t="shared" si="41"/>
        <v>19466.666666666664</v>
      </c>
      <c r="AT36" s="657">
        <f t="shared" si="42"/>
        <v>0</v>
      </c>
      <c r="AU36" s="659">
        <f t="shared" si="26"/>
        <v>5256</v>
      </c>
      <c r="AV36" s="659">
        <f t="shared" si="27"/>
        <v>19466.666666666664</v>
      </c>
      <c r="AW36" s="646" t="str">
        <f t="shared" si="48"/>
        <v>Outdoor Stairs</v>
      </c>
      <c r="BD36" s="645"/>
      <c r="BE36" s="645"/>
      <c r="BF36" s="645"/>
      <c r="BG36" s="645"/>
      <c r="BH36" s="645"/>
      <c r="BI36" s="645"/>
      <c r="BJ36" s="645"/>
      <c r="BK36" s="645"/>
      <c r="BL36" s="645"/>
      <c r="BM36" s="645"/>
      <c r="BN36" s="645"/>
      <c r="BO36" s="645"/>
      <c r="BP36" s="645"/>
    </row>
    <row r="37" spans="1:68">
      <c r="A37" s="645"/>
      <c r="B37" s="809"/>
      <c r="C37" s="810"/>
      <c r="D37" s="809"/>
      <c r="E37" s="809"/>
      <c r="F37" s="809"/>
      <c r="G37" s="809"/>
      <c r="H37" s="809"/>
      <c r="I37" s="809"/>
      <c r="J37" s="809"/>
      <c r="K37" s="811"/>
      <c r="L37" s="811"/>
      <c r="M37" s="812"/>
      <c r="N37" s="812"/>
      <c r="O37" s="813"/>
      <c r="P37" s="651">
        <f>IF(COUNTIF(C$11:C36,C37)=0,IF(E37="Irregular", G37, H37*I37),0)</f>
        <v>0</v>
      </c>
      <c r="Q37" s="709" t="e">
        <f t="shared" si="0"/>
        <v>#N/A</v>
      </c>
      <c r="R37" s="651">
        <f>N37*M37</f>
        <v>0</v>
      </c>
      <c r="S37" s="652" t="e">
        <f t="shared" si="1"/>
        <v>#N/A</v>
      </c>
      <c r="T37" s="653" t="e">
        <f t="shared" si="49"/>
        <v>#N/A</v>
      </c>
      <c r="U37" s="653" t="e">
        <f>S37*T37*0.8</f>
        <v>#N/A</v>
      </c>
      <c r="V37" s="654" t="e">
        <f>IF(B37="Outdoor","N/A",R37*IF(L37="Other",O37,LOOKUP(L37,AG$68:AG$77,AH$68:AH$77))*S37*0.8/(IF(E37="Irregular", G37, H37*I37)))</f>
        <v>#N/A</v>
      </c>
      <c r="W37" s="652" t="e">
        <f t="shared" si="5"/>
        <v>#N/A</v>
      </c>
      <c r="X37" s="653" t="e">
        <f>IF(B37="Outdoor",T37,LOOKUP(B37,Z$11:Z$24,AB$11:AB$24)*P37/W37/0.8)</f>
        <v>#N/A</v>
      </c>
      <c r="Z37" s="786" t="s">
        <v>2911</v>
      </c>
      <c r="AA37" s="655" t="str">
        <f t="shared" si="34"/>
        <v>N/A</v>
      </c>
      <c r="AB37" s="785" t="s">
        <v>99</v>
      </c>
      <c r="AC37" s="651">
        <v>0.8</v>
      </c>
      <c r="AD37" s="657">
        <f t="shared" si="35"/>
        <v>900</v>
      </c>
      <c r="AE37" s="657" t="str">
        <f t="shared" si="36"/>
        <v>N/A</v>
      </c>
      <c r="AF37" s="656" t="str">
        <f t="shared" si="43"/>
        <v>N/A</v>
      </c>
      <c r="AG37" s="658">
        <f t="shared" si="44"/>
        <v>12</v>
      </c>
      <c r="AH37" s="657">
        <f t="shared" si="37"/>
        <v>81000</v>
      </c>
      <c r="AI37" s="657">
        <f t="shared" si="20"/>
        <v>3942</v>
      </c>
      <c r="AJ37" s="657" t="str">
        <f t="shared" si="45"/>
        <v>N/A</v>
      </c>
      <c r="AK37" s="657" t="str">
        <f t="shared" si="38"/>
        <v>N/A</v>
      </c>
      <c r="AL37" s="657" t="str">
        <f t="shared" si="46"/>
        <v>N/A</v>
      </c>
      <c r="AM37" s="657"/>
      <c r="AN37" s="657"/>
      <c r="AO37" s="657"/>
      <c r="AP37" s="657">
        <f t="shared" si="39"/>
        <v>81000</v>
      </c>
      <c r="AQ37" s="657">
        <f t="shared" si="40"/>
        <v>3333.333333333333</v>
      </c>
      <c r="AR37" s="1081">
        <f t="shared" si="47"/>
        <v>12</v>
      </c>
      <c r="AS37" s="657">
        <f t="shared" si="41"/>
        <v>14600</v>
      </c>
      <c r="AT37" s="657">
        <f t="shared" si="42"/>
        <v>0</v>
      </c>
      <c r="AU37" s="659">
        <f t="shared" si="26"/>
        <v>3942</v>
      </c>
      <c r="AV37" s="659">
        <f t="shared" si="27"/>
        <v>14600</v>
      </c>
      <c r="AW37" s="646" t="str">
        <f t="shared" si="48"/>
        <v>Outdoor Walkways</v>
      </c>
      <c r="BD37" s="645"/>
      <c r="BE37" s="645"/>
      <c r="BF37" s="645"/>
      <c r="BG37" s="645"/>
      <c r="BH37" s="645"/>
      <c r="BI37" s="645"/>
      <c r="BJ37" s="645"/>
      <c r="BK37" s="645"/>
      <c r="BL37" s="645"/>
      <c r="BM37" s="645"/>
      <c r="BN37" s="645"/>
      <c r="BO37" s="645"/>
      <c r="BP37" s="645"/>
    </row>
    <row r="38" spans="1:68">
      <c r="A38" s="645"/>
      <c r="B38" s="809"/>
      <c r="C38" s="810"/>
      <c r="D38" s="809"/>
      <c r="E38" s="809"/>
      <c r="F38" s="809"/>
      <c r="G38" s="809"/>
      <c r="H38" s="809"/>
      <c r="I38" s="809"/>
      <c r="J38" s="809"/>
      <c r="K38" s="811"/>
      <c r="L38" s="811"/>
      <c r="M38" s="812"/>
      <c r="N38" s="812"/>
      <c r="O38" s="813"/>
      <c r="P38" s="651">
        <f>IF(COUNTIF(C$11:C31,C38)=0,IF(E38="Irregular", G38, H38*I38),0)</f>
        <v>0</v>
      </c>
      <c r="Q38" s="709" t="e">
        <f t="shared" si="0"/>
        <v>#N/A</v>
      </c>
      <c r="R38" s="651">
        <f t="shared" si="31"/>
        <v>0</v>
      </c>
      <c r="S38" s="652" t="e">
        <f t="shared" si="1"/>
        <v>#N/A</v>
      </c>
      <c r="T38" s="653" t="e">
        <f t="shared" si="49"/>
        <v>#N/A</v>
      </c>
      <c r="U38" s="653" t="e">
        <f t="shared" si="3"/>
        <v>#N/A</v>
      </c>
      <c r="V38" s="654" t="e">
        <f t="shared" si="33"/>
        <v>#N/A</v>
      </c>
      <c r="W38" s="652" t="e">
        <f t="shared" si="5"/>
        <v>#N/A</v>
      </c>
      <c r="X38" s="653" t="e">
        <f t="shared" si="29"/>
        <v>#N/A</v>
      </c>
      <c r="Z38" s="646" t="s">
        <v>2902</v>
      </c>
      <c r="AA38" s="655" t="str">
        <f t="shared" si="34"/>
        <v>N/A</v>
      </c>
      <c r="AB38" s="785" t="s">
        <v>99</v>
      </c>
      <c r="AC38" s="651">
        <v>0.8</v>
      </c>
      <c r="AD38" s="657">
        <f t="shared" si="35"/>
        <v>900</v>
      </c>
      <c r="AE38" s="657" t="str">
        <f t="shared" si="36"/>
        <v>N/A</v>
      </c>
      <c r="AF38" s="656" t="str">
        <f t="shared" si="43"/>
        <v>N/A</v>
      </c>
      <c r="AG38" s="658">
        <f t="shared" si="44"/>
        <v>24</v>
      </c>
      <c r="AH38" s="657">
        <f t="shared" si="37"/>
        <v>67500</v>
      </c>
      <c r="AI38" s="657">
        <f t="shared" si="20"/>
        <v>7884</v>
      </c>
      <c r="AJ38" s="657" t="str">
        <f t="shared" si="45"/>
        <v>N/A</v>
      </c>
      <c r="AK38" s="657" t="str">
        <f t="shared" si="38"/>
        <v>N/A</v>
      </c>
      <c r="AL38" s="657" t="str">
        <f t="shared" si="46"/>
        <v>N/A</v>
      </c>
      <c r="AM38" s="657"/>
      <c r="AN38" s="657"/>
      <c r="AO38" s="657"/>
      <c r="AP38" s="657">
        <f t="shared" si="39"/>
        <v>67500</v>
      </c>
      <c r="AQ38" s="657">
        <f t="shared" si="40"/>
        <v>2777.7777777777778</v>
      </c>
      <c r="AR38" s="1081">
        <f t="shared" si="47"/>
        <v>24</v>
      </c>
      <c r="AS38" s="657">
        <f t="shared" si="41"/>
        <v>24333.333333333336</v>
      </c>
      <c r="AT38" s="657">
        <f t="shared" si="42"/>
        <v>0</v>
      </c>
      <c r="AU38" s="659">
        <f t="shared" si="26"/>
        <v>7884</v>
      </c>
      <c r="AV38" s="659">
        <f t="shared" si="27"/>
        <v>24333.333333333336</v>
      </c>
      <c r="AW38" s="646" t="str">
        <f t="shared" si="48"/>
        <v>Parking Garage</v>
      </c>
      <c r="BD38" s="645"/>
      <c r="BE38" s="645"/>
      <c r="BF38" s="645"/>
      <c r="BG38" s="645"/>
      <c r="BH38" s="645"/>
      <c r="BI38" s="645"/>
      <c r="BJ38" s="645"/>
      <c r="BK38" s="645"/>
      <c r="BL38" s="645"/>
      <c r="BM38" s="645"/>
      <c r="BN38" s="645"/>
      <c r="BO38" s="645"/>
      <c r="BP38" s="645"/>
    </row>
    <row r="39" spans="1:68" ht="13.5" thickBot="1">
      <c r="A39" s="645"/>
      <c r="B39" s="809"/>
      <c r="C39" s="810"/>
      <c r="D39" s="809"/>
      <c r="E39" s="809"/>
      <c r="F39" s="809"/>
      <c r="G39" s="809"/>
      <c r="H39" s="809"/>
      <c r="I39" s="809"/>
      <c r="J39" s="809"/>
      <c r="K39" s="811"/>
      <c r="L39" s="811"/>
      <c r="M39" s="812"/>
      <c r="N39" s="812"/>
      <c r="O39" s="813"/>
      <c r="P39" s="651">
        <f>IF(COUNTIF(C$11:C38,C39)=0,IF(E39="Irregular", G39, H39*I39),0)</f>
        <v>0</v>
      </c>
      <c r="Q39" s="709" t="e">
        <f t="shared" si="0"/>
        <v>#N/A</v>
      </c>
      <c r="R39" s="651">
        <f t="shared" si="31"/>
        <v>0</v>
      </c>
      <c r="S39" s="652" t="e">
        <f t="shared" si="1"/>
        <v>#N/A</v>
      </c>
      <c r="T39" s="653" t="e">
        <f t="shared" si="49"/>
        <v>#N/A</v>
      </c>
      <c r="U39" s="653" t="e">
        <f t="shared" si="3"/>
        <v>#N/A</v>
      </c>
      <c r="V39" s="654" t="e">
        <f t="shared" si="33"/>
        <v>#N/A</v>
      </c>
      <c r="W39" s="652" t="e">
        <f t="shared" si="5"/>
        <v>#N/A</v>
      </c>
      <c r="X39" s="653" t="e">
        <f t="shared" si="29"/>
        <v>#N/A</v>
      </c>
      <c r="Z39" s="793" t="s">
        <v>1352</v>
      </c>
      <c r="AA39" s="794">
        <f t="shared" si="34"/>
        <v>200</v>
      </c>
      <c r="AB39" s="795">
        <f>VLOOKUP($Z$27:$Z$39,$C$120:$M$132,3, FALSE)</f>
        <v>15</v>
      </c>
      <c r="AC39" s="796">
        <v>0.8</v>
      </c>
      <c r="AD39" s="797">
        <f t="shared" si="35"/>
        <v>180</v>
      </c>
      <c r="AE39" s="797">
        <f t="shared" si="36"/>
        <v>5.1123150000000006</v>
      </c>
      <c r="AF39" s="795">
        <f>IF(AB39="N/A","N/A",IF(AB39-AE39&gt;0,AB39-AE39,0))</f>
        <v>9.8876849999999994</v>
      </c>
      <c r="AG39" s="798">
        <f t="shared" si="44"/>
        <v>16</v>
      </c>
      <c r="AH39" s="797">
        <f t="shared" si="37"/>
        <v>2700</v>
      </c>
      <c r="AI39" s="797">
        <f t="shared" si="20"/>
        <v>1051.2</v>
      </c>
      <c r="AJ39" s="797">
        <f t="shared" si="45"/>
        <v>6179.8031249999985</v>
      </c>
      <c r="AK39" s="797">
        <f t="shared" si="38"/>
        <v>254.31288580246905</v>
      </c>
      <c r="AL39" s="797">
        <f t="shared" si="46"/>
        <v>1485.1872530864193</v>
      </c>
      <c r="AM39" s="797"/>
      <c r="AN39" s="797"/>
      <c r="AO39" s="797"/>
      <c r="AP39" s="797">
        <f t="shared" si="39"/>
        <v>7369.3460994972256</v>
      </c>
      <c r="AQ39" s="797">
        <f t="shared" si="40"/>
        <v>303.26527158424796</v>
      </c>
      <c r="AR39" s="1081">
        <f t="shared" si="47"/>
        <v>16</v>
      </c>
      <c r="AS39" s="797">
        <f t="shared" si="41"/>
        <v>1771.069186052008</v>
      </c>
      <c r="AT39" s="797">
        <f t="shared" si="42"/>
        <v>0</v>
      </c>
      <c r="AU39" s="799">
        <f t="shared" si="26"/>
        <v>2536.3872530864192</v>
      </c>
      <c r="AV39" s="799">
        <f t="shared" si="27"/>
        <v>1771.069186052008</v>
      </c>
      <c r="AW39" s="793" t="str">
        <f t="shared" si="48"/>
        <v>Workout Room</v>
      </c>
      <c r="BD39" s="645"/>
      <c r="BE39" s="645"/>
      <c r="BF39" s="645"/>
      <c r="BG39" s="645"/>
      <c r="BH39" s="645"/>
      <c r="BI39" s="645"/>
      <c r="BJ39" s="645"/>
      <c r="BK39" s="645"/>
      <c r="BL39" s="645"/>
      <c r="BM39" s="645"/>
      <c r="BN39" s="645"/>
      <c r="BO39" s="645"/>
      <c r="BP39" s="645"/>
    </row>
    <row r="40" spans="1:68" ht="13.5" thickBot="1">
      <c r="A40" s="645"/>
      <c r="B40" s="778"/>
      <c r="C40" s="789"/>
      <c r="D40" s="778"/>
      <c r="E40" s="789"/>
      <c r="F40" s="778"/>
      <c r="G40" s="778"/>
      <c r="H40" s="778"/>
      <c r="I40" s="778"/>
      <c r="J40" s="778"/>
      <c r="K40" s="779"/>
      <c r="L40" s="779"/>
      <c r="M40" s="780"/>
      <c r="N40" s="780"/>
      <c r="O40" s="781"/>
      <c r="P40" s="651">
        <f>IF(COUNTIF(C$11:C30,C40)=0,IF(E40="Irregular", G40, H40*I40),0)</f>
        <v>0</v>
      </c>
      <c r="Q40" s="709" t="e">
        <f t="shared" si="0"/>
        <v>#N/A</v>
      </c>
      <c r="R40" s="782">
        <f t="shared" si="31"/>
        <v>0</v>
      </c>
      <c r="S40" s="652" t="e">
        <f t="shared" si="1"/>
        <v>#N/A</v>
      </c>
      <c r="T40" s="783" t="e">
        <f t="shared" si="49"/>
        <v>#N/A</v>
      </c>
      <c r="U40" s="653" t="e">
        <f t="shared" si="3"/>
        <v>#N/A</v>
      </c>
      <c r="V40" s="654" t="e">
        <f t="shared" si="33"/>
        <v>#N/A</v>
      </c>
      <c r="W40" s="652" t="e">
        <f t="shared" si="5"/>
        <v>#N/A</v>
      </c>
      <c r="X40" s="653" t="e">
        <f t="shared" si="29"/>
        <v>#N/A</v>
      </c>
      <c r="Z40" s="801"/>
      <c r="AA40" s="802"/>
      <c r="AB40" s="802"/>
      <c r="AC40" s="803"/>
      <c r="AD40" s="802"/>
      <c r="AE40" s="802"/>
      <c r="AF40" s="802"/>
      <c r="AG40" s="802"/>
      <c r="AH40" s="804">
        <f>SUM(AH27:AH39)</f>
        <v>401015</v>
      </c>
      <c r="AI40" s="804">
        <f t="shared" ref="AI40:AV40" si="51">SUM(AI27:AI39)</f>
        <v>30964.263999999999</v>
      </c>
      <c r="AJ40" s="804">
        <f t="shared" si="51"/>
        <v>356947.36220967496</v>
      </c>
      <c r="AK40" s="804">
        <f t="shared" si="51"/>
        <v>14689.191860480452</v>
      </c>
      <c r="AL40" s="804">
        <f t="shared" si="51"/>
        <v>100078.8493646812</v>
      </c>
      <c r="AM40" s="804"/>
      <c r="AN40" s="804"/>
      <c r="AO40" s="804"/>
      <c r="AP40" s="804">
        <f t="shared" si="51"/>
        <v>836303.84549403121</v>
      </c>
      <c r="AQ40" s="804">
        <f t="shared" si="51"/>
        <v>34415.796110865485</v>
      </c>
      <c r="AR40" s="804"/>
      <c r="AS40" s="804">
        <f t="shared" si="51"/>
        <v>225307.60719477717</v>
      </c>
      <c r="AT40" s="804">
        <f t="shared" si="51"/>
        <v>3735.9194486265833</v>
      </c>
      <c r="AU40" s="805">
        <f t="shared" si="51"/>
        <v>131043.11336468119</v>
      </c>
      <c r="AV40" s="805">
        <f t="shared" si="51"/>
        <v>229043.52664340372</v>
      </c>
      <c r="AW40" s="807" t="s">
        <v>1416</v>
      </c>
      <c r="BD40" s="645"/>
      <c r="BE40" s="645"/>
      <c r="BF40" s="645"/>
      <c r="BG40" s="645"/>
      <c r="BH40" s="645"/>
      <c r="BI40" s="645"/>
      <c r="BJ40" s="645"/>
      <c r="BK40" s="645"/>
      <c r="BL40" s="645"/>
      <c r="BM40" s="645"/>
      <c r="BN40" s="645"/>
      <c r="BO40" s="645"/>
      <c r="BP40" s="645"/>
    </row>
    <row r="41" spans="1:68">
      <c r="A41" s="645"/>
      <c r="B41" s="772"/>
      <c r="C41" s="2230" t="s">
        <v>2910</v>
      </c>
      <c r="D41" s="2231"/>
      <c r="E41" s="772"/>
      <c r="F41" s="2230" t="s">
        <v>2910</v>
      </c>
      <c r="G41" s="2232"/>
      <c r="H41" s="2232"/>
      <c r="I41" s="2232"/>
      <c r="J41" s="2232"/>
      <c r="K41" s="2231"/>
      <c r="L41" s="773"/>
      <c r="M41" s="2233" t="s">
        <v>2910</v>
      </c>
      <c r="N41" s="2234"/>
      <c r="O41" s="2234"/>
      <c r="P41" s="2234"/>
      <c r="Q41" s="2235"/>
      <c r="R41" s="774"/>
      <c r="S41" s="775"/>
      <c r="T41" s="776"/>
      <c r="U41" s="776"/>
      <c r="V41" s="777"/>
      <c r="W41" s="775"/>
      <c r="X41" s="776"/>
      <c r="BD41" s="645"/>
      <c r="BE41" s="645"/>
      <c r="BF41" s="645"/>
      <c r="BG41" s="645"/>
      <c r="BH41" s="645"/>
      <c r="BI41" s="645"/>
      <c r="BJ41" s="645"/>
      <c r="BK41" s="645"/>
      <c r="BL41" s="645"/>
      <c r="BM41" s="645"/>
      <c r="BN41" s="645"/>
      <c r="BO41" s="645"/>
      <c r="BP41" s="645"/>
    </row>
    <row r="42" spans="1:68" ht="13.5" thickBot="1">
      <c r="A42" s="645"/>
      <c r="B42" s="647" t="s">
        <v>1348</v>
      </c>
      <c r="C42" s="765" t="str">
        <f>B42</f>
        <v>Common Laundry</v>
      </c>
      <c r="D42" s="647"/>
      <c r="E42" s="647" t="s">
        <v>2873</v>
      </c>
      <c r="F42" s="647"/>
      <c r="G42" s="647"/>
      <c r="H42" s="647">
        <v>15</v>
      </c>
      <c r="I42" s="647">
        <v>30</v>
      </c>
      <c r="J42" s="647">
        <v>8</v>
      </c>
      <c r="K42" s="648" t="s">
        <v>1475</v>
      </c>
      <c r="L42" s="648" t="s">
        <v>2875</v>
      </c>
      <c r="M42" s="649">
        <v>4</v>
      </c>
      <c r="N42" s="649">
        <v>28</v>
      </c>
      <c r="O42" s="784" t="s">
        <v>99</v>
      </c>
      <c r="P42" s="651">
        <f>IF(E42="Irregular", G42, H42*I42)</f>
        <v>450</v>
      </c>
      <c r="Q42" s="709">
        <f t="shared" ref="Q42:Q63" si="52">IF(E42="Rectangular",5*(J42-LOOKUP(B42,Q$106:Q$119,T$106:T$119))*(H42+I42)/(H42*I42),2.5*(J42-LOOKUP(B42,Q$106:Q$119,T$106:T$119))*F42/G42)</f>
        <v>2.5</v>
      </c>
      <c r="R42" s="651">
        <f t="shared" si="18"/>
        <v>112</v>
      </c>
      <c r="S42" s="652">
        <f t="shared" ref="S42:S63" si="53">IF(K42="default",LOOKUP(LOOKUP(B42,C$70:C$83,R$70:R$83),$AG$79:$AG$95,$AH$79:$AH$95),LOOKUP(K42,$AG$79:$AG$95,$AH$79:$AH$95))*(0.0129*Q42^2-0.2624*Q42+1.986)</f>
        <v>0.60656874999999999</v>
      </c>
      <c r="T42" s="653">
        <f t="shared" ref="T42:T52" si="54">R42*IF(L42="Other",O42,LOOKUP(L42,AG$68:AG$77,AH$68:AH$77))</f>
        <v>9856</v>
      </c>
      <c r="U42" s="653">
        <f>S42*T42*0.8</f>
        <v>4782.67328</v>
      </c>
      <c r="V42" s="654">
        <f>IF(B42="Outdoor","N/A",R42*IF(L42="Other",O42,LOOKUP(L42,AG$68:AG$77,AH$68:AH$77))*S42*0.8/(IF(E42="Irregular", G42, H42*I42)))</f>
        <v>10.628162844444445</v>
      </c>
      <c r="W42" s="652">
        <f t="shared" ref="W42:W63" si="55">LOOKUP(LOOKUP(B42,C$89:C$101,R$89:R$101),$AG$79:$AG$95,$AH$79:$AH$95)*(0.0129*Q42^2-0.2624*Q42+1.986)</f>
        <v>0.60656874999999999</v>
      </c>
      <c r="X42" s="653">
        <f>IF(K42="Outdoor",T42,LOOKUP(B42,Z$27:Z$39,AB$27:AB$39)*P42/W42/0.8)</f>
        <v>27820.424312990075</v>
      </c>
      <c r="AG42"/>
      <c r="AL42" s="635" t="s">
        <v>1419</v>
      </c>
      <c r="AM42" s="635"/>
      <c r="AN42" s="635"/>
      <c r="AO42" s="635"/>
      <c r="AW42" s="661"/>
      <c r="BD42" s="645"/>
      <c r="BE42" s="645"/>
      <c r="BF42" s="645"/>
      <c r="BG42" s="645"/>
      <c r="BH42" s="645"/>
      <c r="BI42" s="645"/>
      <c r="BJ42" s="645"/>
      <c r="BK42" s="645"/>
      <c r="BL42" s="645"/>
      <c r="BM42" s="645"/>
      <c r="BN42" s="645"/>
      <c r="BO42" s="645"/>
      <c r="BP42" s="645"/>
    </row>
    <row r="43" spans="1:68" ht="18">
      <c r="A43" s="645"/>
      <c r="B43" s="647" t="s">
        <v>2912</v>
      </c>
      <c r="C43" s="765" t="str">
        <f t="shared" ref="C43:C63" si="56">B43</f>
        <v>Common Office</v>
      </c>
      <c r="D43" s="647"/>
      <c r="E43" s="647" t="s">
        <v>2872</v>
      </c>
      <c r="F43" s="647">
        <v>80</v>
      </c>
      <c r="G43" s="647">
        <v>300</v>
      </c>
      <c r="H43" s="647"/>
      <c r="I43" s="647"/>
      <c r="J43" s="647">
        <v>8</v>
      </c>
      <c r="K43" s="648" t="s">
        <v>1475</v>
      </c>
      <c r="L43" s="648" t="s">
        <v>2875</v>
      </c>
      <c r="M43" s="649">
        <v>6</v>
      </c>
      <c r="N43" s="649">
        <v>28</v>
      </c>
      <c r="O43" s="784" t="s">
        <v>99</v>
      </c>
      <c r="P43" s="651">
        <f>IF(COUNTIF(C42,C43)=0,IF(E43="Irregular", G43, H43*I43),0)</f>
        <v>300</v>
      </c>
      <c r="Q43" s="709">
        <f t="shared" si="52"/>
        <v>3.3333333333333335</v>
      </c>
      <c r="R43" s="651">
        <f t="shared" si="18"/>
        <v>168</v>
      </c>
      <c r="S43" s="652">
        <f t="shared" si="53"/>
        <v>0.53950666666666658</v>
      </c>
      <c r="T43" s="653">
        <f t="shared" si="54"/>
        <v>14784</v>
      </c>
      <c r="U43" s="653">
        <f t="shared" ref="U43:U63" si="57">S43*T43*0.8</f>
        <v>6380.8532479999994</v>
      </c>
      <c r="V43" s="654">
        <f t="shared" ref="V43:V63" si="58">IF(B43="Outdoor","N/A",R43*IF(L43="Other",O43,LOOKUP(L43,AG$68:AG$77,AH$68:AH$77))*S43*0.8/(IF(E43="Irregular", G43, H43*I43)))</f>
        <v>21.269510826666664</v>
      </c>
      <c r="W43" s="652">
        <f t="shared" si="55"/>
        <v>0.53950666666666658</v>
      </c>
      <c r="X43" s="653">
        <f t="shared" ref="X43:X63" si="59">IF(K43="Outdoor",T43,LOOKUP(B43,Z$27:Z$39,AB$27:AB$39)*P43/W43/0.8)</f>
        <v>20852.383659145391</v>
      </c>
      <c r="AG43"/>
      <c r="AL43" s="635" t="s">
        <v>1420</v>
      </c>
      <c r="AM43" s="635"/>
      <c r="AN43" s="635"/>
      <c r="AO43" s="635"/>
      <c r="AP43" s="661"/>
      <c r="AQ43" s="661"/>
      <c r="AR43" s="661"/>
      <c r="AS43" s="661"/>
      <c r="AT43" s="661"/>
      <c r="AU43" s="2221" t="s">
        <v>4690</v>
      </c>
      <c r="AV43" s="2222"/>
      <c r="AW43" s="2223"/>
      <c r="BD43" s="645"/>
      <c r="BE43" s="645"/>
      <c r="BF43" s="645"/>
      <c r="BG43" s="645"/>
      <c r="BH43" s="645"/>
      <c r="BI43" s="645"/>
      <c r="BJ43" s="645"/>
      <c r="BK43" s="645"/>
      <c r="BL43" s="645"/>
      <c r="BM43" s="645"/>
      <c r="BN43" s="645"/>
      <c r="BO43" s="645"/>
      <c r="BP43" s="645"/>
    </row>
    <row r="44" spans="1:68" ht="18.75" thickBot="1">
      <c r="A44" s="645"/>
      <c r="B44" s="647" t="s">
        <v>1351</v>
      </c>
      <c r="C44" s="765" t="str">
        <f t="shared" si="56"/>
        <v>Indoor Corridor</v>
      </c>
      <c r="D44" s="647"/>
      <c r="E44" s="647" t="s">
        <v>2873</v>
      </c>
      <c r="F44" s="647"/>
      <c r="G44" s="647"/>
      <c r="H44" s="647">
        <v>5</v>
      </c>
      <c r="I44" s="647">
        <v>1000</v>
      </c>
      <c r="J44" s="647">
        <v>8</v>
      </c>
      <c r="K44" s="648" t="s">
        <v>1405</v>
      </c>
      <c r="L44" s="648" t="s">
        <v>1392</v>
      </c>
      <c r="M44" s="649">
        <v>60</v>
      </c>
      <c r="N44" s="649">
        <v>13</v>
      </c>
      <c r="O44" s="784" t="s">
        <v>99</v>
      </c>
      <c r="P44" s="651">
        <f>IF(COUNTIF(C$42:C43,C44)=0,IF(E44="Irregular", G44, H44*I44),0)</f>
        <v>5000</v>
      </c>
      <c r="Q44" s="709">
        <f t="shared" si="52"/>
        <v>8.0399999999999991</v>
      </c>
      <c r="R44" s="651">
        <f t="shared" si="18"/>
        <v>780</v>
      </c>
      <c r="S44" s="652">
        <f t="shared" si="53"/>
        <v>0.16334154719999994</v>
      </c>
      <c r="T44" s="653">
        <f t="shared" si="54"/>
        <v>42900</v>
      </c>
      <c r="U44" s="653">
        <f t="shared" si="57"/>
        <v>5605.8818999039977</v>
      </c>
      <c r="V44" s="654">
        <f t="shared" si="58"/>
        <v>1.1211763799807994</v>
      </c>
      <c r="W44" s="652">
        <f t="shared" si="55"/>
        <v>0.24856322399999989</v>
      </c>
      <c r="X44" s="653">
        <f t="shared" si="59"/>
        <v>377167.62154646026</v>
      </c>
      <c r="AU44" s="2224" t="e">
        <f>(AV25-AU25)/AV25</f>
        <v>#DIV/0!</v>
      </c>
      <c r="AV44" s="2225"/>
      <c r="AW44" s="2226"/>
      <c r="BD44" s="643"/>
      <c r="BE44" s="643"/>
      <c r="BF44" s="643"/>
      <c r="BG44" s="643"/>
      <c r="BH44" s="643"/>
      <c r="BI44" s="643"/>
      <c r="BJ44" s="643"/>
      <c r="BK44" s="643"/>
      <c r="BL44" s="643"/>
      <c r="BM44" s="643"/>
      <c r="BN44" s="643"/>
      <c r="BO44" s="643"/>
      <c r="BP44" s="643"/>
    </row>
    <row r="45" spans="1:68" ht="13.5" thickBot="1">
      <c r="A45" s="645"/>
      <c r="B45" s="647" t="s">
        <v>1352</v>
      </c>
      <c r="C45" s="765" t="str">
        <f t="shared" si="56"/>
        <v>Workout Room</v>
      </c>
      <c r="D45" s="647"/>
      <c r="E45" s="647" t="s">
        <v>2873</v>
      </c>
      <c r="F45" s="647"/>
      <c r="G45" s="647"/>
      <c r="H45" s="647">
        <v>10</v>
      </c>
      <c r="I45" s="647">
        <v>20</v>
      </c>
      <c r="J45" s="647">
        <v>8</v>
      </c>
      <c r="K45" s="648" t="s">
        <v>1397</v>
      </c>
      <c r="L45" s="648" t="s">
        <v>1395</v>
      </c>
      <c r="M45" s="649">
        <v>4</v>
      </c>
      <c r="N45" s="649">
        <v>45</v>
      </c>
      <c r="O45" s="784" t="s">
        <v>99</v>
      </c>
      <c r="P45" s="651">
        <f>IF(COUNTIF(C$42:C44,C45)=0,IF(E45="Irregular", G45, H45*I45),0)</f>
        <v>200</v>
      </c>
      <c r="Q45" s="709">
        <f t="shared" si="52"/>
        <v>3.75</v>
      </c>
      <c r="R45" s="651">
        <f t="shared" si="18"/>
        <v>180</v>
      </c>
      <c r="S45" s="652">
        <f t="shared" si="53"/>
        <v>0.47336250000000002</v>
      </c>
      <c r="T45" s="653">
        <f t="shared" si="54"/>
        <v>2700</v>
      </c>
      <c r="U45" s="653">
        <f t="shared" si="57"/>
        <v>1022.4630000000002</v>
      </c>
      <c r="V45" s="654">
        <f t="shared" si="58"/>
        <v>5.1123150000000006</v>
      </c>
      <c r="W45" s="652">
        <f t="shared" si="55"/>
        <v>0.50886468750000002</v>
      </c>
      <c r="X45" s="653">
        <f t="shared" si="59"/>
        <v>7369.3460994972256</v>
      </c>
      <c r="BD45" s="643"/>
      <c r="BE45" s="643"/>
      <c r="BF45" s="643"/>
      <c r="BG45" s="643"/>
      <c r="BH45" s="643"/>
      <c r="BI45" s="643"/>
      <c r="BJ45"/>
      <c r="BK45" s="643"/>
      <c r="BL45" s="643"/>
      <c r="BM45" s="643"/>
      <c r="BN45" s="643"/>
      <c r="BO45" s="643"/>
      <c r="BP45" s="643"/>
    </row>
    <row r="46" spans="1:68" ht="18">
      <c r="A46" s="645"/>
      <c r="B46" s="647" t="s">
        <v>2906</v>
      </c>
      <c r="C46" s="765" t="str">
        <f t="shared" si="56"/>
        <v>Equip. Room</v>
      </c>
      <c r="D46" s="647"/>
      <c r="E46" s="647" t="s">
        <v>2873</v>
      </c>
      <c r="F46" s="647"/>
      <c r="G46" s="647"/>
      <c r="H46" s="647">
        <v>15</v>
      </c>
      <c r="I46" s="647">
        <v>30</v>
      </c>
      <c r="J46" s="647">
        <v>8</v>
      </c>
      <c r="K46" s="648" t="s">
        <v>1402</v>
      </c>
      <c r="L46" s="648" t="s">
        <v>1392</v>
      </c>
      <c r="M46" s="649">
        <v>1</v>
      </c>
      <c r="N46" s="649">
        <v>13</v>
      </c>
      <c r="O46" s="784" t="s">
        <v>99</v>
      </c>
      <c r="P46" s="651">
        <f>IF(COUNTIF(C$42:C45,C46)=0,IF(E46="Irregular", G46, H46*I46),0)</f>
        <v>450</v>
      </c>
      <c r="Q46" s="709">
        <f t="shared" si="52"/>
        <v>2.5</v>
      </c>
      <c r="R46" s="651">
        <f t="shared" si="18"/>
        <v>13</v>
      </c>
      <c r="S46" s="652">
        <f t="shared" si="53"/>
        <v>0.64888750000000006</v>
      </c>
      <c r="T46" s="653">
        <f t="shared" si="54"/>
        <v>715</v>
      </c>
      <c r="U46" s="653">
        <f t="shared" si="57"/>
        <v>371.16365000000008</v>
      </c>
      <c r="V46" s="654">
        <f t="shared" si="58"/>
        <v>0.8248081111111113</v>
      </c>
      <c r="W46" s="652">
        <f t="shared" si="55"/>
        <v>0.60656874999999999</v>
      </c>
      <c r="X46" s="653">
        <f t="shared" si="59"/>
        <v>27820.424312990075</v>
      </c>
      <c r="AU46" s="2221" t="s">
        <v>4691</v>
      </c>
      <c r="AV46" s="2222"/>
      <c r="AW46" s="2223"/>
    </row>
    <row r="47" spans="1:68" ht="18.75" thickBot="1">
      <c r="A47" s="645"/>
      <c r="B47" s="647" t="s">
        <v>2907</v>
      </c>
      <c r="C47" s="765" t="str">
        <f t="shared" si="56"/>
        <v>Multi-Purpose</v>
      </c>
      <c r="D47" s="647"/>
      <c r="E47" s="647" t="s">
        <v>2873</v>
      </c>
      <c r="F47" s="647"/>
      <c r="G47" s="647"/>
      <c r="H47" s="647">
        <v>30</v>
      </c>
      <c r="I47" s="647">
        <v>40</v>
      </c>
      <c r="J47" s="647">
        <v>8</v>
      </c>
      <c r="K47" s="648" t="s">
        <v>1473</v>
      </c>
      <c r="L47" s="648" t="s">
        <v>1451</v>
      </c>
      <c r="M47" s="649">
        <v>8</v>
      </c>
      <c r="N47" s="649">
        <v>8</v>
      </c>
      <c r="O47" s="784" t="s">
        <v>99</v>
      </c>
      <c r="P47" s="651">
        <f>IF(COUNTIF(C$42:C46,C47)=0,IF(E47="Irregular", G47, H47*I47),0)</f>
        <v>1200</v>
      </c>
      <c r="Q47" s="709">
        <f t="shared" si="52"/>
        <v>1.4583333333333333</v>
      </c>
      <c r="R47" s="651">
        <f t="shared" si="18"/>
        <v>64</v>
      </c>
      <c r="S47" s="652">
        <f t="shared" si="53"/>
        <v>0.58707656249999995</v>
      </c>
      <c r="T47" s="653">
        <f t="shared" si="54"/>
        <v>3200</v>
      </c>
      <c r="U47" s="653">
        <f t="shared" si="57"/>
        <v>1502.9159999999999</v>
      </c>
      <c r="V47" s="654">
        <f t="shared" si="58"/>
        <v>1.2524299999999999</v>
      </c>
      <c r="W47" s="652">
        <f t="shared" si="55"/>
        <v>0.58707656249999995</v>
      </c>
      <c r="X47" s="653">
        <f t="shared" si="59"/>
        <v>38325.495237258772</v>
      </c>
      <c r="AU47" s="2227">
        <f>(AV40-AU40)/AV40</f>
        <v>0.42786807693237577</v>
      </c>
      <c r="AV47" s="2228"/>
      <c r="AW47" s="2229"/>
    </row>
    <row r="48" spans="1:68" s="738" customFormat="1" ht="18">
      <c r="B48" s="647" t="s">
        <v>1354</v>
      </c>
      <c r="C48" s="765" t="str">
        <f t="shared" si="56"/>
        <v>Central Restroom</v>
      </c>
      <c r="D48" s="647"/>
      <c r="E48" s="647" t="s">
        <v>2873</v>
      </c>
      <c r="F48" s="647"/>
      <c r="G48" s="647"/>
      <c r="H48" s="647">
        <v>15</v>
      </c>
      <c r="I48" s="647">
        <v>10</v>
      </c>
      <c r="J48" s="647">
        <v>8</v>
      </c>
      <c r="K48" s="648" t="s">
        <v>1445</v>
      </c>
      <c r="L48" s="648" t="s">
        <v>1392</v>
      </c>
      <c r="M48" s="649">
        <v>1</v>
      </c>
      <c r="N48" s="649">
        <v>13</v>
      </c>
      <c r="O48" s="784" t="s">
        <v>99</v>
      </c>
      <c r="P48" s="651">
        <f>IF(COUNTIF(C$42:C47,C48)=0,IF(E48="Irregular", G48, H48*I48),0)</f>
        <v>150</v>
      </c>
      <c r="Q48" s="709">
        <f t="shared" si="52"/>
        <v>4.166666666666667</v>
      </c>
      <c r="R48" s="651">
        <f t="shared" si="18"/>
        <v>13</v>
      </c>
      <c r="S48" s="652">
        <f t="shared" si="53"/>
        <v>0.46898249999999997</v>
      </c>
      <c r="T48" s="653">
        <f t="shared" si="54"/>
        <v>715</v>
      </c>
      <c r="U48" s="653">
        <f t="shared" si="57"/>
        <v>268.25799000000001</v>
      </c>
      <c r="V48" s="654">
        <f t="shared" si="58"/>
        <v>1.7883865999999999</v>
      </c>
      <c r="W48" s="652">
        <f t="shared" si="55"/>
        <v>0.25682375000000002</v>
      </c>
      <c r="X48" s="653">
        <f t="shared" si="59"/>
        <v>10951.089998491181</v>
      </c>
      <c r="Y48" s="634"/>
      <c r="Z48" s="634"/>
      <c r="AA48" s="634"/>
      <c r="AB48" s="634"/>
      <c r="AC48" s="634"/>
      <c r="AD48" s="634"/>
      <c r="AE48" s="634"/>
      <c r="AF48" s="634"/>
      <c r="AG48" s="634"/>
      <c r="AH48" s="634"/>
      <c r="AI48" s="634"/>
      <c r="AJ48" s="634"/>
      <c r="AK48" s="634"/>
      <c r="AL48" s="634"/>
      <c r="AM48" s="634"/>
      <c r="AN48" s="634"/>
      <c r="AO48" s="634"/>
      <c r="AP48" s="634"/>
      <c r="AQ48" s="634"/>
      <c r="AR48" s="634"/>
      <c r="AS48" s="634"/>
      <c r="AT48" s="634"/>
      <c r="AU48" s="634"/>
      <c r="AV48" s="634"/>
      <c r="AW48" s="634"/>
    </row>
    <row r="49" spans="2:75" s="738" customFormat="1" ht="18">
      <c r="B49" s="647" t="s">
        <v>1354</v>
      </c>
      <c r="C49" s="765" t="str">
        <f t="shared" si="56"/>
        <v>Central Restroom</v>
      </c>
      <c r="D49" s="647"/>
      <c r="E49" s="647" t="s">
        <v>2873</v>
      </c>
      <c r="F49" s="647"/>
      <c r="G49" s="647"/>
      <c r="H49" s="647">
        <v>15</v>
      </c>
      <c r="I49" s="647">
        <v>10</v>
      </c>
      <c r="J49" s="647">
        <v>8</v>
      </c>
      <c r="K49" s="648" t="s">
        <v>1405</v>
      </c>
      <c r="L49" s="648" t="s">
        <v>1392</v>
      </c>
      <c r="M49" s="649">
        <v>1</v>
      </c>
      <c r="N49" s="649">
        <v>13</v>
      </c>
      <c r="O49" s="784" t="s">
        <v>99</v>
      </c>
      <c r="P49" s="651">
        <f>IF(COUNTIF(C$42:C48,C49)=0,IF(E49="Irregular", G49, H49*I49),0)</f>
        <v>0</v>
      </c>
      <c r="Q49" s="709">
        <f t="shared" si="52"/>
        <v>4.166666666666667</v>
      </c>
      <c r="R49" s="651">
        <f t="shared" si="18"/>
        <v>13</v>
      </c>
      <c r="S49" s="652">
        <f t="shared" si="53"/>
        <v>0.25682375000000002</v>
      </c>
      <c r="T49" s="653">
        <f t="shared" si="54"/>
        <v>715</v>
      </c>
      <c r="U49" s="653">
        <f t="shared" si="57"/>
        <v>146.90318500000001</v>
      </c>
      <c r="V49" s="654">
        <f t="shared" si="58"/>
        <v>0.97935456666666676</v>
      </c>
      <c r="W49" s="652">
        <f t="shared" si="55"/>
        <v>0.25682375000000002</v>
      </c>
      <c r="X49" s="653">
        <f t="shared" si="59"/>
        <v>0</v>
      </c>
      <c r="Y49" s="634"/>
      <c r="Z49" s="634"/>
      <c r="AA49" s="634"/>
      <c r="AB49" s="634"/>
      <c r="AC49" s="634"/>
      <c r="AD49" s="634"/>
      <c r="AE49" s="634"/>
      <c r="AF49" s="634"/>
      <c r="AG49" s="634"/>
      <c r="AH49" s="634"/>
      <c r="AI49" s="634"/>
      <c r="AJ49" s="634"/>
      <c r="AK49" s="634"/>
      <c r="AL49" s="634"/>
      <c r="AM49" s="634"/>
      <c r="AN49" s="634"/>
      <c r="AO49" s="634"/>
      <c r="AP49" s="634"/>
      <c r="AQ49" s="634"/>
      <c r="AR49" s="634"/>
      <c r="AS49" s="634"/>
      <c r="AT49" s="634"/>
      <c r="AU49" s="634"/>
      <c r="AV49" s="634"/>
      <c r="AW49" s="634"/>
      <c r="BK49"/>
    </row>
    <row r="50" spans="2:75" s="738" customFormat="1" ht="18">
      <c r="B50" s="647" t="s">
        <v>2911</v>
      </c>
      <c r="C50" s="765" t="str">
        <f t="shared" si="56"/>
        <v>Outdoor Walkways</v>
      </c>
      <c r="D50" s="647"/>
      <c r="E50" s="647" t="s">
        <v>2873</v>
      </c>
      <c r="F50" s="647"/>
      <c r="G50" s="647"/>
      <c r="H50" s="647">
        <v>3</v>
      </c>
      <c r="I50" s="647">
        <v>1000</v>
      </c>
      <c r="J50" s="647">
        <v>8</v>
      </c>
      <c r="K50" s="648" t="s">
        <v>1410</v>
      </c>
      <c r="L50" s="648" t="s">
        <v>1449</v>
      </c>
      <c r="M50" s="649">
        <v>30</v>
      </c>
      <c r="N50" s="649">
        <v>30</v>
      </c>
      <c r="O50" s="784" t="s">
        <v>99</v>
      </c>
      <c r="P50" s="651">
        <f>IF(COUNTIF(C$42:C49,C50)=0,IF(E50="Irregular", G50, H50*I50),0)</f>
        <v>3000</v>
      </c>
      <c r="Q50" s="709">
        <f t="shared" si="52"/>
        <v>13.373333333333333</v>
      </c>
      <c r="R50" s="651">
        <f t="shared" si="18"/>
        <v>900</v>
      </c>
      <c r="S50" s="652">
        <f t="shared" si="53"/>
        <v>0.11759269599999991</v>
      </c>
      <c r="T50" s="653">
        <f t="shared" si="54"/>
        <v>81000</v>
      </c>
      <c r="U50" s="653">
        <f t="shared" si="57"/>
        <v>7620.0067007999942</v>
      </c>
      <c r="V50" s="654">
        <f t="shared" si="58"/>
        <v>2.5400022335999979</v>
      </c>
      <c r="W50" s="652">
        <f t="shared" si="55"/>
        <v>0.11759269599999991</v>
      </c>
      <c r="X50" s="653">
        <f t="shared" si="59"/>
        <v>81000</v>
      </c>
      <c r="Y50" s="634"/>
      <c r="Z50" s="634"/>
      <c r="AA50" s="634"/>
      <c r="AB50" s="634"/>
      <c r="AC50" s="634"/>
      <c r="AD50" s="634"/>
      <c r="AE50" s="634"/>
      <c r="AF50" s="634"/>
      <c r="AG50" s="634"/>
      <c r="AH50" s="634"/>
      <c r="AI50" s="634"/>
      <c r="AJ50" s="634"/>
      <c r="AK50" s="634"/>
      <c r="AL50" s="634"/>
      <c r="AM50" s="634"/>
      <c r="AN50" s="634"/>
      <c r="AO50" s="634"/>
      <c r="AP50" s="634"/>
      <c r="AQ50" s="634"/>
      <c r="AR50" s="634"/>
      <c r="AS50" s="634"/>
      <c r="AT50" s="634"/>
      <c r="AU50" s="634"/>
      <c r="AV50" s="634"/>
      <c r="BJ50"/>
    </row>
    <row r="51" spans="2:75" ht="30.75">
      <c r="B51" s="647" t="s">
        <v>2902</v>
      </c>
      <c r="C51" s="765" t="str">
        <f t="shared" si="56"/>
        <v>Parking Garage</v>
      </c>
      <c r="D51" s="647"/>
      <c r="E51" s="647" t="s">
        <v>2873</v>
      </c>
      <c r="F51" s="647"/>
      <c r="G51" s="647"/>
      <c r="H51" s="647">
        <v>100</v>
      </c>
      <c r="I51" s="647">
        <v>100</v>
      </c>
      <c r="J51" s="647">
        <v>8</v>
      </c>
      <c r="K51" s="648" t="s">
        <v>1410</v>
      </c>
      <c r="L51" s="648" t="s">
        <v>1401</v>
      </c>
      <c r="M51" s="649">
        <v>30</v>
      </c>
      <c r="N51" s="649">
        <v>30</v>
      </c>
      <c r="O51" s="784" t="s">
        <v>99</v>
      </c>
      <c r="P51" s="651">
        <f>IF(COUNTIF(C$42:C50,C51)=0,IF(E51="Irregular", G51, H51*I51),0)</f>
        <v>10000</v>
      </c>
      <c r="Q51" s="709">
        <f t="shared" si="52"/>
        <v>0.8</v>
      </c>
      <c r="R51" s="651">
        <f t="shared" si="18"/>
        <v>900</v>
      </c>
      <c r="S51" s="652">
        <f t="shared" si="53"/>
        <v>0.26765039999999996</v>
      </c>
      <c r="T51" s="653">
        <f t="shared" si="54"/>
        <v>67500</v>
      </c>
      <c r="U51" s="653">
        <f t="shared" si="57"/>
        <v>14453.121599999999</v>
      </c>
      <c r="V51" s="654">
        <f t="shared" si="58"/>
        <v>1.4453121599999998</v>
      </c>
      <c r="W51" s="652">
        <f t="shared" si="55"/>
        <v>0.26765039999999996</v>
      </c>
      <c r="X51" s="653">
        <f t="shared" si="59"/>
        <v>67500</v>
      </c>
      <c r="AW51" s="738"/>
      <c r="AX51" s="790"/>
      <c r="AY51" s="790"/>
      <c r="AZ51" s="790"/>
      <c r="BA51" s="790"/>
      <c r="BB51" s="790"/>
    </row>
    <row r="52" spans="2:75" ht="18">
      <c r="B52" s="647" t="s">
        <v>2904</v>
      </c>
      <c r="C52" s="765" t="str">
        <f t="shared" si="56"/>
        <v>Common Mail</v>
      </c>
      <c r="D52" s="647"/>
      <c r="E52" s="647" t="s">
        <v>2873</v>
      </c>
      <c r="F52" s="647"/>
      <c r="G52" s="647"/>
      <c r="H52" s="647">
        <v>5</v>
      </c>
      <c r="I52" s="647">
        <v>30</v>
      </c>
      <c r="J52" s="647">
        <v>8</v>
      </c>
      <c r="K52" s="648" t="s">
        <v>1410</v>
      </c>
      <c r="L52" s="648" t="s">
        <v>1401</v>
      </c>
      <c r="M52" s="649">
        <v>30</v>
      </c>
      <c r="N52" s="649">
        <v>30</v>
      </c>
      <c r="O52" s="784" t="s">
        <v>99</v>
      </c>
      <c r="P52" s="651">
        <f>IF(COUNTIF(C$42:C51,C52)=0,IF(E52="Irregular", G52, H52*I52),0)</f>
        <v>150</v>
      </c>
      <c r="Q52" s="709">
        <f t="shared" si="52"/>
        <v>5.833333333333333</v>
      </c>
      <c r="R52" s="651">
        <f t="shared" si="18"/>
        <v>900</v>
      </c>
      <c r="S52" s="652">
        <f t="shared" si="53"/>
        <v>0.13414374999999998</v>
      </c>
      <c r="T52" s="653">
        <f t="shared" si="54"/>
        <v>67500</v>
      </c>
      <c r="U52" s="653">
        <f t="shared" si="57"/>
        <v>7243.7624999999989</v>
      </c>
      <c r="V52" s="654">
        <f t="shared" si="58"/>
        <v>48.291749999999993</v>
      </c>
      <c r="W52" s="652">
        <f t="shared" si="55"/>
        <v>0.38454541666666658</v>
      </c>
      <c r="X52" s="653">
        <f t="shared" si="59"/>
        <v>67500</v>
      </c>
      <c r="AW52" s="738"/>
    </row>
    <row r="53" spans="2:75" ht="30.75">
      <c r="B53" s="647" t="s">
        <v>2905</v>
      </c>
      <c r="C53" s="765" t="str">
        <f t="shared" si="56"/>
        <v>Elevator</v>
      </c>
      <c r="D53" s="647"/>
      <c r="E53" s="647" t="s">
        <v>2873</v>
      </c>
      <c r="F53" s="647"/>
      <c r="G53" s="647"/>
      <c r="H53" s="647">
        <v>5</v>
      </c>
      <c r="I53" s="647">
        <v>5</v>
      </c>
      <c r="J53" s="647">
        <v>8</v>
      </c>
      <c r="K53" s="648" t="s">
        <v>1474</v>
      </c>
      <c r="L53" s="648" t="s">
        <v>1392</v>
      </c>
      <c r="M53" s="649">
        <v>2</v>
      </c>
      <c r="N53" s="649">
        <v>13</v>
      </c>
      <c r="O53" s="784" t="s">
        <v>99</v>
      </c>
      <c r="P53" s="651">
        <f>IF(COUNTIF(C$42:C52,C53)=0,IF(E53="Irregular", G53, H53*I53),0)</f>
        <v>25</v>
      </c>
      <c r="Q53" s="709">
        <f t="shared" si="52"/>
        <v>10</v>
      </c>
      <c r="R53" s="651">
        <f t="shared" ref="R53:R63" si="60">N53*M53</f>
        <v>26</v>
      </c>
      <c r="S53" s="652">
        <f t="shared" si="53"/>
        <v>0.28035999999999994</v>
      </c>
      <c r="T53" s="653">
        <f t="shared" ref="T53:T63" si="61">R53*IF(L53="Other",O53,LOOKUP(L53,AG$68:AG$77,AH$68:AH$77))</f>
        <v>1430</v>
      </c>
      <c r="U53" s="653">
        <f t="shared" si="57"/>
        <v>320.73183999999992</v>
      </c>
      <c r="V53" s="654">
        <f t="shared" si="58"/>
        <v>12.829273599999997</v>
      </c>
      <c r="W53" s="652">
        <f t="shared" si="55"/>
        <v>0.23471999999999996</v>
      </c>
      <c r="X53" s="653">
        <f t="shared" si="59"/>
        <v>1997.0603271983641</v>
      </c>
      <c r="AW53" s="790"/>
    </row>
    <row r="54" spans="2:75">
      <c r="B54" s="647" t="s">
        <v>2901</v>
      </c>
      <c r="C54" s="765" t="str">
        <f t="shared" si="56"/>
        <v>Outdoor Stairs</v>
      </c>
      <c r="D54" s="647"/>
      <c r="E54" s="647" t="s">
        <v>2873</v>
      </c>
      <c r="F54" s="647"/>
      <c r="G54" s="647"/>
      <c r="H54" s="647">
        <v>4</v>
      </c>
      <c r="I54" s="647">
        <v>1000</v>
      </c>
      <c r="J54" s="647">
        <v>8</v>
      </c>
      <c r="K54" s="648" t="s">
        <v>1410</v>
      </c>
      <c r="L54" s="648" t="s">
        <v>1449</v>
      </c>
      <c r="M54" s="649">
        <v>20</v>
      </c>
      <c r="N54" s="649">
        <v>60</v>
      </c>
      <c r="O54" s="784" t="s">
        <v>99</v>
      </c>
      <c r="P54" s="651">
        <f>IF(COUNTIF(C$42:C53,C54)=0,IF(E54="Irregular", G54, H54*I54),0)</f>
        <v>4000</v>
      </c>
      <c r="Q54" s="709">
        <f t="shared" si="52"/>
        <v>10.039999999999999</v>
      </c>
      <c r="R54" s="651">
        <f t="shared" si="60"/>
        <v>1200</v>
      </c>
      <c r="S54" s="652">
        <f t="shared" si="53"/>
        <v>9.7776695999999955E-2</v>
      </c>
      <c r="T54" s="653">
        <f t="shared" si="61"/>
        <v>108000</v>
      </c>
      <c r="U54" s="653">
        <f t="shared" si="57"/>
        <v>8447.9065343999955</v>
      </c>
      <c r="V54" s="654">
        <f t="shared" si="58"/>
        <v>2.111976633599999</v>
      </c>
      <c r="W54" s="652">
        <f t="shared" si="55"/>
        <v>9.7776695999999955E-2</v>
      </c>
      <c r="X54" s="653">
        <f t="shared" si="59"/>
        <v>108000</v>
      </c>
    </row>
    <row r="55" spans="2:75" ht="12.75" customHeight="1">
      <c r="B55" s="647"/>
      <c r="C55" s="765">
        <f t="shared" si="56"/>
        <v>0</v>
      </c>
      <c r="D55" s="647"/>
      <c r="E55" s="647"/>
      <c r="F55" s="647"/>
      <c r="G55" s="647"/>
      <c r="H55" s="647"/>
      <c r="I55" s="647"/>
      <c r="J55" s="647"/>
      <c r="K55" s="648"/>
      <c r="L55" s="648"/>
      <c r="M55" s="649"/>
      <c r="N55" s="649"/>
      <c r="O55" s="784" t="s">
        <v>99</v>
      </c>
      <c r="P55" s="651">
        <f>IF(COUNTIF(C$42:C48,C55)=0,IF(E55="Irregular", G55, H55*I55),0)</f>
        <v>0</v>
      </c>
      <c r="Q55" s="709" t="e">
        <f t="shared" si="52"/>
        <v>#N/A</v>
      </c>
      <c r="R55" s="651">
        <f t="shared" si="60"/>
        <v>0</v>
      </c>
      <c r="S55" s="652" t="e">
        <f t="shared" si="53"/>
        <v>#N/A</v>
      </c>
      <c r="T55" s="653" t="e">
        <f t="shared" si="61"/>
        <v>#N/A</v>
      </c>
      <c r="U55" s="653" t="e">
        <f t="shared" si="57"/>
        <v>#N/A</v>
      </c>
      <c r="V55" s="654" t="e">
        <f t="shared" si="58"/>
        <v>#N/A</v>
      </c>
      <c r="W55" s="652" t="e">
        <f t="shared" si="55"/>
        <v>#N/A</v>
      </c>
      <c r="X55" s="653" t="e">
        <f t="shared" si="59"/>
        <v>#N/A</v>
      </c>
    </row>
    <row r="56" spans="2:75" ht="18.75" customHeight="1">
      <c r="B56" s="765"/>
      <c r="C56" s="765">
        <f t="shared" si="56"/>
        <v>0</v>
      </c>
      <c r="D56" s="647"/>
      <c r="E56" s="647"/>
      <c r="F56" s="647"/>
      <c r="G56" s="647"/>
      <c r="H56" s="647"/>
      <c r="I56" s="647"/>
      <c r="J56" s="647"/>
      <c r="K56" s="648"/>
      <c r="L56" s="648"/>
      <c r="M56" s="649"/>
      <c r="N56" s="649"/>
      <c r="O56" s="784" t="s">
        <v>99</v>
      </c>
      <c r="P56" s="651">
        <f>IF(COUNTIF(C$42:C55,C56)=0,IF(E56="Irregular", G56, H56*I56),0)</f>
        <v>0</v>
      </c>
      <c r="Q56" s="709" t="e">
        <f t="shared" si="52"/>
        <v>#N/A</v>
      </c>
      <c r="R56" s="651">
        <f t="shared" si="60"/>
        <v>0</v>
      </c>
      <c r="S56" s="652" t="e">
        <f t="shared" si="53"/>
        <v>#N/A</v>
      </c>
      <c r="T56" s="653" t="e">
        <f t="shared" si="61"/>
        <v>#N/A</v>
      </c>
      <c r="U56" s="653" t="e">
        <f t="shared" si="57"/>
        <v>#N/A</v>
      </c>
      <c r="V56" s="654" t="e">
        <f t="shared" si="58"/>
        <v>#N/A</v>
      </c>
      <c r="W56" s="652" t="e">
        <f t="shared" si="55"/>
        <v>#N/A</v>
      </c>
      <c r="X56" s="653" t="e">
        <f t="shared" si="59"/>
        <v>#N/A</v>
      </c>
      <c r="BJ56" s="1079" t="s">
        <v>4782</v>
      </c>
    </row>
    <row r="57" spans="2:75" ht="32.25" customHeight="1">
      <c r="B57" s="647"/>
      <c r="C57" s="765">
        <f t="shared" si="56"/>
        <v>0</v>
      </c>
      <c r="D57" s="647"/>
      <c r="E57" s="647"/>
      <c r="F57" s="647"/>
      <c r="G57" s="647"/>
      <c r="H57" s="647"/>
      <c r="I57" s="647"/>
      <c r="J57" s="647"/>
      <c r="K57" s="648"/>
      <c r="L57" s="648"/>
      <c r="M57" s="649"/>
      <c r="N57" s="649"/>
      <c r="O57" s="784" t="s">
        <v>99</v>
      </c>
      <c r="P57" s="651">
        <f>IF(COUNTIF(C$42:C56,C57)=0,IF(E57="Irregular", G57, H57*I57),0)</f>
        <v>0</v>
      </c>
      <c r="Q57" s="709" t="e">
        <f t="shared" si="52"/>
        <v>#N/A</v>
      </c>
      <c r="R57" s="651">
        <f t="shared" si="60"/>
        <v>0</v>
      </c>
      <c r="S57" s="652" t="e">
        <f t="shared" si="53"/>
        <v>#N/A</v>
      </c>
      <c r="T57" s="653" t="e">
        <f t="shared" si="61"/>
        <v>#N/A</v>
      </c>
      <c r="U57" s="653" t="e">
        <f t="shared" si="57"/>
        <v>#N/A</v>
      </c>
      <c r="V57" s="654" t="e">
        <f t="shared" si="58"/>
        <v>#N/A</v>
      </c>
      <c r="W57" s="652" t="e">
        <f t="shared" si="55"/>
        <v>#N/A</v>
      </c>
      <c r="X57" s="653" t="e">
        <f t="shared" si="59"/>
        <v>#N/A</v>
      </c>
      <c r="BJ57" s="634" t="s">
        <v>1378</v>
      </c>
      <c r="BK57" s="1080" t="s">
        <v>4784</v>
      </c>
      <c r="BL57" s="634" t="s">
        <v>1427</v>
      </c>
      <c r="BM57" s="634" t="s">
        <v>1428</v>
      </c>
      <c r="BN57" s="668" t="s">
        <v>4732</v>
      </c>
      <c r="BO57" s="635" t="s">
        <v>4731</v>
      </c>
      <c r="BP57" s="668" t="s">
        <v>4733</v>
      </c>
      <c r="BQ57" s="668" t="s">
        <v>4786</v>
      </c>
      <c r="BR57" s="668" t="s">
        <v>4785</v>
      </c>
      <c r="BS57" s="635" t="s">
        <v>6450</v>
      </c>
      <c r="BU57" s="635" t="s">
        <v>6451</v>
      </c>
      <c r="BV57" s="635" t="s">
        <v>6452</v>
      </c>
      <c r="BW57" s="635" t="s">
        <v>4745</v>
      </c>
    </row>
    <row r="58" spans="2:75" ht="12.75" customHeight="1">
      <c r="B58" s="647"/>
      <c r="C58" s="765">
        <f>B58</f>
        <v>0</v>
      </c>
      <c r="D58" s="647"/>
      <c r="E58" s="647"/>
      <c r="F58" s="647"/>
      <c r="G58" s="647"/>
      <c r="H58" s="647"/>
      <c r="I58" s="647"/>
      <c r="J58" s="647"/>
      <c r="K58" s="648"/>
      <c r="L58" s="648"/>
      <c r="M58" s="649"/>
      <c r="N58" s="649"/>
      <c r="O58" s="784" t="s">
        <v>99</v>
      </c>
      <c r="P58" s="651">
        <f>IF(COUNTIF(C$42:C51,C58)=0,IF(E58="Irregular", G58, H58*I58),0)</f>
        <v>0</v>
      </c>
      <c r="Q58" s="709" t="e">
        <f t="shared" si="52"/>
        <v>#N/A</v>
      </c>
      <c r="R58" s="651">
        <f t="shared" si="60"/>
        <v>0</v>
      </c>
      <c r="S58" s="652" t="e">
        <f t="shared" si="53"/>
        <v>#N/A</v>
      </c>
      <c r="T58" s="653" t="e">
        <f t="shared" si="61"/>
        <v>#N/A</v>
      </c>
      <c r="U58" s="653" t="e">
        <f>S58*T58*0.8</f>
        <v>#N/A</v>
      </c>
      <c r="V58" s="654" t="e">
        <f>IF(B58="Outdoor","N/A",R58*IF(L58="Other",O58,LOOKUP(L58,AG$68:AG$77,AH$68:AH$77))*S58*0.8/(IF(E58="Irregular", G58, H58*I58)))</f>
        <v>#N/A</v>
      </c>
      <c r="W58" s="652" t="e">
        <f t="shared" si="55"/>
        <v>#N/A</v>
      </c>
      <c r="X58" s="653" t="e">
        <f>IF(K58="Outdoor",T58,LOOKUP(B58,Z$27:Z$39,AB$27:AB$39)*P58/W58/0.8)</f>
        <v>#N/A</v>
      </c>
      <c r="BB58" s="675"/>
      <c r="BJ58" s="634" t="s">
        <v>651</v>
      </c>
      <c r="BK58" s="634">
        <v>1.67</v>
      </c>
      <c r="BL58" s="634">
        <v>251</v>
      </c>
      <c r="BM58" s="634">
        <v>3</v>
      </c>
      <c r="BN58" s="1063">
        <f>0.892*15+0.057*9+0.006*55+0.045*60</f>
        <v>16.923000000000002</v>
      </c>
      <c r="BO58" s="1069">
        <v>29.310000000000002</v>
      </c>
      <c r="BP58" s="670">
        <f>(0.9+0.1*$BO58/$BN58)*$BK58</f>
        <v>1.7922377238078355</v>
      </c>
      <c r="BQ58" s="677">
        <f>IF(AO11="N/A",0,AO11)</f>
        <v>0</v>
      </c>
      <c r="BR58" s="670">
        <f>IF(BQ58=0,0,(0.9+0.1*$BQ58/$BN58)*$BK58)</f>
        <v>0</v>
      </c>
      <c r="BS58" s="670">
        <f>IF(BR58=0,0,(0.9+0.1*$BQ58/$BO58)*$BP58)</f>
        <v>0</v>
      </c>
      <c r="BU58" s="634">
        <f>BK58/BN58</f>
        <v>9.868226673757606E-2</v>
      </c>
      <c r="BV58" s="634">
        <f>BP58/BO58</f>
        <v>6.1147653490543685E-2</v>
      </c>
      <c r="BW58" s="634" t="e">
        <f>BS58/BQ58</f>
        <v>#DIV/0!</v>
      </c>
    </row>
    <row r="59" spans="2:75" ht="12.75" customHeight="1">
      <c r="B59" s="765"/>
      <c r="C59" s="765">
        <f>B59</f>
        <v>0</v>
      </c>
      <c r="D59" s="647"/>
      <c r="E59" s="647"/>
      <c r="F59" s="647"/>
      <c r="G59" s="647"/>
      <c r="H59" s="647"/>
      <c r="I59" s="647"/>
      <c r="J59" s="647"/>
      <c r="K59" s="648"/>
      <c r="L59" s="648"/>
      <c r="M59" s="649"/>
      <c r="N59" s="649"/>
      <c r="O59" s="784" t="s">
        <v>99</v>
      </c>
      <c r="P59" s="651">
        <f>IF(COUNTIF(C$42:C58,C59)=0,IF(E59="Irregular", G59, H59*I59),0)</f>
        <v>0</v>
      </c>
      <c r="Q59" s="709" t="e">
        <f t="shared" si="52"/>
        <v>#N/A</v>
      </c>
      <c r="R59" s="651">
        <f t="shared" si="60"/>
        <v>0</v>
      </c>
      <c r="S59" s="652" t="e">
        <f t="shared" si="53"/>
        <v>#N/A</v>
      </c>
      <c r="T59" s="653" t="e">
        <f t="shared" si="61"/>
        <v>#N/A</v>
      </c>
      <c r="U59" s="653" t="e">
        <f>S59*T59*0.8</f>
        <v>#N/A</v>
      </c>
      <c r="V59" s="654" t="e">
        <f>IF(B59="Outdoor","N/A",R59*IF(L59="Other",O59,LOOKUP(L59,AG$68:AG$77,AH$68:AH$77))*S59*0.8/(IF(E59="Irregular", G59, H59*I59)))</f>
        <v>#N/A</v>
      </c>
      <c r="W59" s="652" t="e">
        <f t="shared" si="55"/>
        <v>#N/A</v>
      </c>
      <c r="X59" s="653" t="e">
        <f>IF(K59="Outdoor",T59,LOOKUP(B59,Z$27:Z$39,AB$27:AB$39)*P59/W59/0.8)</f>
        <v>#N/A</v>
      </c>
      <c r="BJ59" s="634" t="s">
        <v>1389</v>
      </c>
      <c r="BK59" s="634">
        <v>1.1100000000000001</v>
      </c>
      <c r="BL59" s="634">
        <v>215</v>
      </c>
      <c r="BM59" s="634">
        <v>5</v>
      </c>
      <c r="BN59" s="1063">
        <f>0.946*15+0.012*9+0.004*18+0.009*55+0.029*60</f>
        <v>16.604999999999997</v>
      </c>
      <c r="BO59" s="1069">
        <v>26.86</v>
      </c>
      <c r="BP59" s="670">
        <f t="shared" ref="BP59:BP71" si="62">(0.9+0.1*$BO59/$BN59)*$BK59</f>
        <v>1.1785519421860886</v>
      </c>
      <c r="BQ59" s="677">
        <f t="shared" ref="BQ59:BQ71" si="63">IF(AO12="N/A",0,AO12)</f>
        <v>0</v>
      </c>
      <c r="BR59" s="670">
        <f t="shared" ref="BR59:BR71" si="64">IF(BQ59=0,0,(0.9+0.1*$BQ59/$BN59)*$BK59)</f>
        <v>0</v>
      </c>
      <c r="BS59" s="670">
        <f t="shared" ref="BS59:BS71" si="65">IF(BR59=0,0,(0.9+0.1*$BQ59/$BO59)*$BP59)</f>
        <v>0</v>
      </c>
      <c r="BU59" s="634">
        <f t="shared" ref="BU59:BU71" si="66">BK59/BN59</f>
        <v>6.6847335140018088E-2</v>
      </c>
      <c r="BV59" s="634">
        <f t="shared" ref="BV59:BV71" si="67">BP59/BO59</f>
        <v>4.3877585338275821E-2</v>
      </c>
      <c r="BW59" s="634" t="e">
        <f t="shared" ref="BW59:BW71" si="68">BR59/BQ59</f>
        <v>#DIV/0!</v>
      </c>
    </row>
    <row r="60" spans="2:75" ht="12.75" customHeight="1">
      <c r="B60" s="647"/>
      <c r="C60" s="765">
        <f>B60</f>
        <v>0</v>
      </c>
      <c r="D60" s="647"/>
      <c r="E60" s="647"/>
      <c r="F60" s="647"/>
      <c r="G60" s="647"/>
      <c r="H60" s="647"/>
      <c r="I60" s="647"/>
      <c r="J60" s="647"/>
      <c r="K60" s="648"/>
      <c r="L60" s="648"/>
      <c r="M60" s="649"/>
      <c r="N60" s="649"/>
      <c r="O60" s="784" t="s">
        <v>99</v>
      </c>
      <c r="P60" s="651">
        <f>IF(COUNTIF(C$42:C59,C60)=0,IF(E60="Irregular", G60, H60*I60),0)</f>
        <v>0</v>
      </c>
      <c r="Q60" s="709" t="e">
        <f t="shared" si="52"/>
        <v>#N/A</v>
      </c>
      <c r="R60" s="651">
        <f t="shared" si="60"/>
        <v>0</v>
      </c>
      <c r="S60" s="652" t="e">
        <f t="shared" si="53"/>
        <v>#N/A</v>
      </c>
      <c r="T60" s="653" t="e">
        <f t="shared" si="61"/>
        <v>#N/A</v>
      </c>
      <c r="U60" s="653" t="e">
        <f>S60*T60*0.8</f>
        <v>#N/A</v>
      </c>
      <c r="V60" s="654" t="e">
        <f>IF(B60="Outdoor","N/A",R60*IF(L60="Other",O60,LOOKUP(L60,AG$68:AG$77,AH$68:AH$77))*S60*0.8/(IF(E60="Irregular", G60, H60*I60)))</f>
        <v>#N/A</v>
      </c>
      <c r="W60" s="652" t="e">
        <f t="shared" si="55"/>
        <v>#N/A</v>
      </c>
      <c r="X60" s="653" t="e">
        <f>IF(K60="Outdoor",T60,LOOKUP(B60,Z$27:Z$39,AB$27:AB$39)*P60/W60/0.8)</f>
        <v>#N/A</v>
      </c>
      <c r="BJ60" s="634" t="s">
        <v>1393</v>
      </c>
      <c r="BK60" s="634">
        <v>0.95</v>
      </c>
      <c r="BL60" s="634">
        <v>19</v>
      </c>
      <c r="BM60" s="634">
        <v>13</v>
      </c>
      <c r="BN60" s="1063">
        <f>0.935*15+0.029*9+0.018*55+0.019*60</f>
        <v>16.416</v>
      </c>
      <c r="BO60" s="1069">
        <v>33.880000000000003</v>
      </c>
      <c r="BP60" s="670">
        <f t="shared" si="62"/>
        <v>1.0510648148148147</v>
      </c>
      <c r="BQ60" s="677">
        <f t="shared" si="63"/>
        <v>0</v>
      </c>
      <c r="BR60" s="670">
        <f t="shared" si="64"/>
        <v>0</v>
      </c>
      <c r="BS60" s="670">
        <f t="shared" si="65"/>
        <v>0</v>
      </c>
      <c r="BU60" s="634">
        <f t="shared" si="66"/>
        <v>5.7870370370370364E-2</v>
      </c>
      <c r="BV60" s="634">
        <f t="shared" si="67"/>
        <v>3.1023164545891813E-2</v>
      </c>
      <c r="BW60" s="634" t="e">
        <f t="shared" si="68"/>
        <v>#DIV/0!</v>
      </c>
    </row>
    <row r="61" spans="2:75" ht="12.75" customHeight="1">
      <c r="B61" s="647"/>
      <c r="C61" s="765">
        <f t="shared" si="56"/>
        <v>0</v>
      </c>
      <c r="D61" s="647"/>
      <c r="E61" s="647"/>
      <c r="F61" s="647"/>
      <c r="G61" s="647"/>
      <c r="H61" s="647"/>
      <c r="I61" s="647"/>
      <c r="J61" s="647"/>
      <c r="K61" s="648"/>
      <c r="L61" s="648"/>
      <c r="M61" s="649"/>
      <c r="N61" s="649"/>
      <c r="O61" s="784" t="s">
        <v>99</v>
      </c>
      <c r="P61" s="651">
        <f>IF(COUNTIF(C$42:C54,C61)=0,IF(E61="Irregular", G61, H61*I61),0)</f>
        <v>0</v>
      </c>
      <c r="Q61" s="709" t="e">
        <f t="shared" si="52"/>
        <v>#N/A</v>
      </c>
      <c r="R61" s="651">
        <f t="shared" si="60"/>
        <v>0</v>
      </c>
      <c r="S61" s="652" t="e">
        <f t="shared" si="53"/>
        <v>#N/A</v>
      </c>
      <c r="T61" s="653" t="e">
        <f t="shared" si="61"/>
        <v>#N/A</v>
      </c>
      <c r="U61" s="653" t="e">
        <f t="shared" si="57"/>
        <v>#N/A</v>
      </c>
      <c r="V61" s="654" t="e">
        <f t="shared" si="58"/>
        <v>#N/A</v>
      </c>
      <c r="W61" s="652" t="e">
        <f t="shared" si="55"/>
        <v>#N/A</v>
      </c>
      <c r="X61" s="653" t="e">
        <f t="shared" si="59"/>
        <v>#N/A</v>
      </c>
      <c r="Y61" s="738"/>
      <c r="BJ61" s="634" t="s">
        <v>1396</v>
      </c>
      <c r="BK61" s="634">
        <v>2.4300000000000002</v>
      </c>
      <c r="BL61" s="634">
        <v>55</v>
      </c>
      <c r="BM61" s="634">
        <v>10</v>
      </c>
      <c r="BN61" s="1063">
        <f>0.947*15+0.03*9+0.002*18+0.001*19+0.007*55+0.001*55+0.012*60</f>
        <v>15.69</v>
      </c>
      <c r="BO61" s="1069">
        <v>21.330000000000002</v>
      </c>
      <c r="BP61" s="670">
        <f t="shared" si="62"/>
        <v>2.5173499043977059</v>
      </c>
      <c r="BQ61" s="677">
        <f t="shared" si="63"/>
        <v>0</v>
      </c>
      <c r="BR61" s="670">
        <f t="shared" si="64"/>
        <v>0</v>
      </c>
      <c r="BS61" s="670">
        <f t="shared" si="65"/>
        <v>0</v>
      </c>
      <c r="BU61" s="634">
        <f t="shared" si="66"/>
        <v>0.15487571701720843</v>
      </c>
      <c r="BV61" s="634">
        <f t="shared" si="67"/>
        <v>0.1180192172713411</v>
      </c>
      <c r="BW61" s="634" t="e">
        <f t="shared" si="68"/>
        <v>#DIV/0!</v>
      </c>
    </row>
    <row r="62" spans="2:75" ht="12.75" customHeight="1">
      <c r="B62" s="765"/>
      <c r="C62" s="765">
        <f t="shared" si="56"/>
        <v>0</v>
      </c>
      <c r="D62" s="647"/>
      <c r="E62" s="647"/>
      <c r="F62" s="647"/>
      <c r="G62" s="647"/>
      <c r="H62" s="647"/>
      <c r="I62" s="647"/>
      <c r="J62" s="647"/>
      <c r="K62" s="648"/>
      <c r="L62" s="648"/>
      <c r="M62" s="649"/>
      <c r="N62" s="649"/>
      <c r="O62" s="784" t="s">
        <v>99</v>
      </c>
      <c r="P62" s="651">
        <f>IF(COUNTIF(C$42:C61,C62)=0,IF(E62="Irregular", G62, H62*I62),0)</f>
        <v>0</v>
      </c>
      <c r="Q62" s="709" t="e">
        <f t="shared" si="52"/>
        <v>#N/A</v>
      </c>
      <c r="R62" s="651">
        <f t="shared" si="60"/>
        <v>0</v>
      </c>
      <c r="S62" s="652" t="e">
        <f t="shared" si="53"/>
        <v>#N/A</v>
      </c>
      <c r="T62" s="653" t="e">
        <f t="shared" si="61"/>
        <v>#N/A</v>
      </c>
      <c r="U62" s="653" t="e">
        <f t="shared" si="57"/>
        <v>#N/A</v>
      </c>
      <c r="V62" s="654" t="e">
        <f t="shared" si="58"/>
        <v>#N/A</v>
      </c>
      <c r="W62" s="652" t="e">
        <f t="shared" si="55"/>
        <v>#N/A</v>
      </c>
      <c r="X62" s="653" t="e">
        <f t="shared" si="59"/>
        <v>#N/A</v>
      </c>
      <c r="Y62" s="738"/>
      <c r="BJ62" s="634" t="s">
        <v>1398</v>
      </c>
      <c r="BK62" s="634">
        <v>1.78</v>
      </c>
      <c r="BL62" s="634">
        <v>74</v>
      </c>
      <c r="BM62" s="634">
        <v>8</v>
      </c>
      <c r="BN62" s="1063">
        <f>0.754*15+0.052*9+0.006*18+0.005*19+0.017*55+0.167*60</f>
        <v>22.936000000000003</v>
      </c>
      <c r="BO62" s="1069">
        <v>27.59</v>
      </c>
      <c r="BP62" s="670">
        <f t="shared" si="62"/>
        <v>1.816118416463202</v>
      </c>
      <c r="BQ62" s="677">
        <f t="shared" si="63"/>
        <v>0</v>
      </c>
      <c r="BR62" s="670">
        <f t="shared" si="64"/>
        <v>0</v>
      </c>
      <c r="BS62" s="670">
        <f t="shared" si="65"/>
        <v>0</v>
      </c>
      <c r="BU62" s="634">
        <f t="shared" si="66"/>
        <v>7.7607254970352271E-2</v>
      </c>
      <c r="BV62" s="634">
        <f t="shared" si="67"/>
        <v>6.5825241626067496E-2</v>
      </c>
      <c r="BW62" s="634" t="e">
        <f t="shared" si="68"/>
        <v>#DIV/0!</v>
      </c>
    </row>
    <row r="63" spans="2:75" ht="12.75" customHeight="1">
      <c r="B63" s="647"/>
      <c r="C63" s="765">
        <f t="shared" si="56"/>
        <v>0</v>
      </c>
      <c r="D63" s="647"/>
      <c r="E63" s="647"/>
      <c r="F63" s="647"/>
      <c r="G63" s="647"/>
      <c r="H63" s="647"/>
      <c r="I63" s="647"/>
      <c r="J63" s="647"/>
      <c r="K63" s="648"/>
      <c r="L63" s="648"/>
      <c r="M63" s="649"/>
      <c r="N63" s="649"/>
      <c r="O63" s="784" t="s">
        <v>99</v>
      </c>
      <c r="P63" s="651">
        <f>IF(COUNTIF(C$42:C62,C63)=0,IF(E63="Irregular", G63, H63*I63),0)</f>
        <v>0</v>
      </c>
      <c r="Q63" s="709" t="e">
        <f t="shared" si="52"/>
        <v>#N/A</v>
      </c>
      <c r="R63" s="651">
        <f t="shared" si="60"/>
        <v>0</v>
      </c>
      <c r="S63" s="652" t="e">
        <f t="shared" si="53"/>
        <v>#N/A</v>
      </c>
      <c r="T63" s="653" t="e">
        <f t="shared" si="61"/>
        <v>#N/A</v>
      </c>
      <c r="U63" s="653" t="e">
        <f t="shared" si="57"/>
        <v>#N/A</v>
      </c>
      <c r="V63" s="654" t="e">
        <f t="shared" si="58"/>
        <v>#N/A</v>
      </c>
      <c r="W63" s="652" t="e">
        <f t="shared" si="55"/>
        <v>#N/A</v>
      </c>
      <c r="X63" s="653" t="e">
        <f t="shared" si="59"/>
        <v>#N/A</v>
      </c>
      <c r="Y63" s="738"/>
      <c r="Z63" s="738"/>
      <c r="AA63" s="738"/>
      <c r="AB63" s="738"/>
      <c r="AC63" s="738"/>
      <c r="AD63" s="738"/>
      <c r="AE63" s="738"/>
      <c r="AF63" s="738"/>
      <c r="AG63" s="738"/>
      <c r="AH63" s="738"/>
      <c r="AI63" s="738"/>
      <c r="AJ63" s="738"/>
      <c r="AK63" s="738"/>
      <c r="AL63" s="738"/>
      <c r="AM63" s="738"/>
      <c r="AN63" s="738"/>
      <c r="AO63" s="738"/>
      <c r="AP63" s="738"/>
      <c r="AQ63" s="738"/>
      <c r="AR63" s="738"/>
      <c r="AS63" s="738"/>
      <c r="AT63" s="738"/>
      <c r="AU63" s="738"/>
      <c r="AV63" s="738"/>
      <c r="BJ63" s="634" t="s">
        <v>242</v>
      </c>
      <c r="BK63" s="634">
        <v>1.82</v>
      </c>
      <c r="BL63" s="634">
        <v>103</v>
      </c>
      <c r="BM63" s="634">
        <v>7</v>
      </c>
      <c r="BN63" s="1063">
        <f>0.442*15+0.005*9+0.002*19+0.006*55+0.544*60</f>
        <v>39.683</v>
      </c>
      <c r="BO63" s="1069">
        <v>73.680000000000007</v>
      </c>
      <c r="BP63" s="670">
        <f t="shared" si="62"/>
        <v>1.9759220321044277</v>
      </c>
      <c r="BQ63" s="677">
        <f t="shared" si="63"/>
        <v>0</v>
      </c>
      <c r="BR63" s="670">
        <f t="shared" si="64"/>
        <v>0</v>
      </c>
      <c r="BS63" s="670">
        <f t="shared" si="65"/>
        <v>0</v>
      </c>
      <c r="BU63" s="634">
        <f t="shared" si="66"/>
        <v>4.5863467983771389E-2</v>
      </c>
      <c r="BV63" s="634">
        <f t="shared" si="67"/>
        <v>2.6817617156683328E-2</v>
      </c>
      <c r="BW63" s="634" t="e">
        <f t="shared" si="68"/>
        <v>#DIV/0!</v>
      </c>
    </row>
    <row r="64" spans="2:75" ht="18">
      <c r="B64" s="662" t="s">
        <v>1416</v>
      </c>
      <c r="C64" s="662"/>
      <c r="D64" s="662"/>
      <c r="E64" s="662"/>
      <c r="F64" s="662"/>
      <c r="G64" s="662"/>
      <c r="H64" s="662"/>
      <c r="I64" s="662"/>
      <c r="J64" s="662"/>
      <c r="K64" s="663"/>
      <c r="L64" s="663"/>
      <c r="M64" s="664"/>
      <c r="N64" s="664"/>
      <c r="O64" s="664"/>
      <c r="P64" s="660"/>
      <c r="Q64" s="660"/>
      <c r="R64" s="660"/>
      <c r="S64" s="660"/>
      <c r="T64" s="660"/>
      <c r="U64" s="660"/>
      <c r="V64" s="660"/>
      <c r="W64" s="660"/>
      <c r="X64" s="660"/>
      <c r="Y64" s="667"/>
      <c r="Z64" s="738"/>
      <c r="AA64" s="738"/>
      <c r="AB64" s="738"/>
      <c r="AC64" s="738"/>
      <c r="AD64" s="738"/>
      <c r="AE64" s="738"/>
      <c r="AF64" s="738"/>
      <c r="AG64" s="738"/>
      <c r="AH64" s="738"/>
      <c r="AI64" s="738"/>
      <c r="AJ64" s="738"/>
      <c r="AK64" s="738"/>
      <c r="AL64" s="738"/>
      <c r="AM64" s="738"/>
      <c r="AN64" s="738"/>
      <c r="AO64" s="738"/>
      <c r="AP64" s="738"/>
      <c r="AQ64" s="738"/>
      <c r="AR64" s="738"/>
      <c r="AS64" s="738"/>
      <c r="AT64" s="738"/>
      <c r="AU64" s="738"/>
      <c r="AV64" s="738"/>
      <c r="BJ64" s="634" t="s">
        <v>1403</v>
      </c>
      <c r="BK64" s="634">
        <v>1.45</v>
      </c>
      <c r="BL64" s="634">
        <v>171</v>
      </c>
      <c r="BM64" s="634">
        <v>6</v>
      </c>
      <c r="BN64" s="1063">
        <f>0.942*15+0.037*9+0.002*18+0.001*19+0.007*55+0.011*60</f>
        <v>15.562999999999999</v>
      </c>
      <c r="BO64" s="1069">
        <v>24.46</v>
      </c>
      <c r="BP64" s="670">
        <f t="shared" si="62"/>
        <v>1.5328930797404101</v>
      </c>
      <c r="BQ64" s="677">
        <f t="shared" si="63"/>
        <v>0</v>
      </c>
      <c r="BR64" s="670">
        <f t="shared" si="64"/>
        <v>0</v>
      </c>
      <c r="BS64" s="670">
        <f t="shared" si="65"/>
        <v>0</v>
      </c>
      <c r="BU64" s="634">
        <f t="shared" si="66"/>
        <v>9.3169697359120993E-2</v>
      </c>
      <c r="BV64" s="634">
        <f t="shared" si="67"/>
        <v>6.2669381837302127E-2</v>
      </c>
      <c r="BW64" s="634" t="e">
        <f t="shared" si="68"/>
        <v>#DIV/0!</v>
      </c>
    </row>
    <row r="65" spans="1:78" ht="18">
      <c r="B65" s="645"/>
      <c r="C65" s="635" t="s">
        <v>2890</v>
      </c>
      <c r="D65" s="645"/>
      <c r="E65" s="645"/>
      <c r="M65" s="638"/>
      <c r="N65" s="638"/>
      <c r="O65" s="638"/>
      <c r="P65" s="638"/>
      <c r="Y65" s="671"/>
      <c r="Z65" s="738"/>
      <c r="AA65" s="738"/>
      <c r="AB65" s="738"/>
      <c r="AC65" s="738"/>
      <c r="AD65" s="738"/>
      <c r="AE65" s="738"/>
      <c r="AF65" s="740"/>
      <c r="AG65" s="741"/>
      <c r="AH65" s="738"/>
      <c r="AI65" s="738"/>
      <c r="AJ65" s="738"/>
      <c r="AK65" s="738"/>
      <c r="AL65" s="738"/>
      <c r="AM65" s="738"/>
      <c r="AN65" s="738"/>
      <c r="AO65" s="738"/>
      <c r="AP65" s="738"/>
      <c r="AQ65" s="738"/>
      <c r="AR65" s="738"/>
      <c r="AS65" s="738"/>
      <c r="AT65" s="738"/>
      <c r="AU65" s="738"/>
      <c r="AV65" s="738"/>
      <c r="BJ65" s="634" t="s">
        <v>1008</v>
      </c>
      <c r="BK65" s="634">
        <v>2.85</v>
      </c>
      <c r="BL65" s="634">
        <v>322</v>
      </c>
      <c r="BM65" s="634">
        <v>2</v>
      </c>
      <c r="BN65" s="1063">
        <f>0.525*15+0.084*9+0.003*18+0.027*55+0.362*60</f>
        <v>31.89</v>
      </c>
      <c r="BO65" s="1069">
        <v>47.02</v>
      </c>
      <c r="BP65" s="670">
        <f t="shared" si="62"/>
        <v>2.9852163687676394</v>
      </c>
      <c r="BQ65" s="677">
        <f t="shared" si="63"/>
        <v>0</v>
      </c>
      <c r="BR65" s="670">
        <f t="shared" si="64"/>
        <v>0</v>
      </c>
      <c r="BS65" s="670">
        <f t="shared" si="65"/>
        <v>0</v>
      </c>
      <c r="BU65" s="634">
        <f t="shared" si="66"/>
        <v>8.9369708372530582E-2</v>
      </c>
      <c r="BV65" s="634">
        <f t="shared" si="67"/>
        <v>6.348822562245085E-2</v>
      </c>
      <c r="BW65" s="634" t="e">
        <f t="shared" si="68"/>
        <v>#DIV/0!</v>
      </c>
    </row>
    <row r="66" spans="1:78" ht="64.5">
      <c r="B66" s="2237" t="s">
        <v>1424</v>
      </c>
      <c r="C66" s="2237"/>
      <c r="D66" s="2237"/>
      <c r="E66" s="738"/>
      <c r="F66" s="738"/>
      <c r="G66" s="738" t="s">
        <v>2913</v>
      </c>
      <c r="H66" s="788">
        <f>SUM(AV11:AV24)-AV22-AV16</f>
        <v>0</v>
      </c>
      <c r="I66" s="738"/>
      <c r="J66" s="738"/>
      <c r="K66" s="738"/>
      <c r="L66" s="738"/>
      <c r="M66" s="738"/>
      <c r="N66" s="740"/>
      <c r="O66" s="740"/>
      <c r="P66" s="740"/>
      <c r="Q66" s="740"/>
      <c r="R66" s="740"/>
      <c r="S66" s="738"/>
      <c r="T66" s="738"/>
      <c r="U66" s="738"/>
      <c r="V66" s="738"/>
      <c r="W66" s="738"/>
      <c r="X66" s="738"/>
      <c r="Y66" s="671"/>
      <c r="Z66" s="667"/>
      <c r="AA66" s="667" t="s">
        <v>1442</v>
      </c>
      <c r="AB66" s="667" t="s">
        <v>6471</v>
      </c>
      <c r="AC66" s="667" t="s">
        <v>6472</v>
      </c>
      <c r="AD66" s="668" t="s">
        <v>1443</v>
      </c>
      <c r="AG66" s="665"/>
      <c r="AH66" s="638"/>
      <c r="AI66" s="638"/>
      <c r="BJ66" s="634" t="s">
        <v>1264</v>
      </c>
      <c r="BK66" s="634">
        <v>2.56</v>
      </c>
      <c r="BL66" s="634">
        <v>352</v>
      </c>
      <c r="BM66" s="634">
        <v>1</v>
      </c>
      <c r="BN66" s="1063">
        <f>0.901*15+0.039*9+0.009*18+0.003*19+0.037*55+0.011*60</f>
        <v>16.78</v>
      </c>
      <c r="BO66" s="1069">
        <v>27.59</v>
      </c>
      <c r="BP66" s="670">
        <f t="shared" si="62"/>
        <v>2.7249201430274139</v>
      </c>
      <c r="BQ66" s="677">
        <f t="shared" si="63"/>
        <v>0</v>
      </c>
      <c r="BR66" s="670">
        <f t="shared" si="64"/>
        <v>0</v>
      </c>
      <c r="BS66" s="670">
        <f t="shared" si="65"/>
        <v>0</v>
      </c>
      <c r="BU66" s="634">
        <f t="shared" si="66"/>
        <v>0.15256257449344457</v>
      </c>
      <c r="BV66" s="634">
        <f t="shared" si="67"/>
        <v>9.8764775028177376E-2</v>
      </c>
      <c r="BW66" s="634" t="e">
        <f t="shared" si="68"/>
        <v>#DIV/0!</v>
      </c>
    </row>
    <row r="67" spans="1:78" ht="18">
      <c r="B67" s="2238" t="s">
        <v>2881</v>
      </c>
      <c r="C67" s="2238"/>
      <c r="D67" s="2238"/>
      <c r="E67" s="738"/>
      <c r="F67" s="738"/>
      <c r="G67" s="738" t="s">
        <v>242</v>
      </c>
      <c r="H67" s="788">
        <f>AV16</f>
        <v>0</v>
      </c>
      <c r="I67" s="738"/>
      <c r="J67" s="738"/>
      <c r="K67" s="738"/>
      <c r="L67" s="738"/>
      <c r="M67" s="738"/>
      <c r="N67" s="740"/>
      <c r="O67" s="741"/>
      <c r="P67" s="740"/>
      <c r="Q67" s="740"/>
      <c r="R67" s="738"/>
      <c r="S67" s="738"/>
      <c r="T67" s="738"/>
      <c r="U67" s="738"/>
      <c r="V67" s="738"/>
      <c r="W67" s="738"/>
      <c r="X67" s="738"/>
      <c r="Y67" s="671"/>
      <c r="Z67" s="671"/>
      <c r="AA67" s="661">
        <f t="shared" ref="AA67:AA78" si="69">P70*U70*S70*T70/AB67</f>
        <v>31.306395570604096</v>
      </c>
      <c r="AB67" s="671">
        <f>AC67*AD67</f>
        <v>120.7</v>
      </c>
      <c r="AC67" s="671">
        <v>71</v>
      </c>
      <c r="AD67" s="673">
        <v>1.7</v>
      </c>
      <c r="AG67" s="672"/>
      <c r="AI67" s="635" t="s">
        <v>4725</v>
      </c>
      <c r="BJ67" s="634" t="s">
        <v>1350</v>
      </c>
      <c r="BK67" s="634">
        <v>1.45</v>
      </c>
      <c r="BL67" s="634">
        <v>37</v>
      </c>
      <c r="BM67" s="634">
        <v>11</v>
      </c>
      <c r="BN67" s="1063">
        <f>0.74*15+0.057*9+0.007*18+0.006*19+0.024*55+0.166*60</f>
        <v>23.133000000000003</v>
      </c>
      <c r="BO67" s="1069">
        <v>33.5</v>
      </c>
      <c r="BP67" s="670">
        <f t="shared" si="62"/>
        <v>1.5149814118359055</v>
      </c>
      <c r="BQ67" s="677">
        <f t="shared" si="63"/>
        <v>0</v>
      </c>
      <c r="BR67" s="670">
        <f t="shared" si="64"/>
        <v>0</v>
      </c>
      <c r="BS67" s="670">
        <f t="shared" si="65"/>
        <v>0</v>
      </c>
      <c r="BU67" s="634">
        <f t="shared" si="66"/>
        <v>6.2681018458479218E-2</v>
      </c>
      <c r="BV67" s="634">
        <f t="shared" si="67"/>
        <v>4.5223325726444941E-2</v>
      </c>
      <c r="BW67" s="634" t="e">
        <f t="shared" si="68"/>
        <v>#DIV/0!</v>
      </c>
    </row>
    <row r="68" spans="1:78" ht="18">
      <c r="B68" s="2239" t="s">
        <v>1425</v>
      </c>
      <c r="C68" s="2239"/>
      <c r="D68" s="2239"/>
      <c r="E68" s="738"/>
      <c r="F68" s="738"/>
      <c r="G68" s="738"/>
      <c r="H68" s="738"/>
      <c r="I68" s="738"/>
      <c r="J68" s="738"/>
      <c r="K68" s="738"/>
      <c r="L68" s="738"/>
      <c r="M68" s="738"/>
      <c r="N68" s="738"/>
      <c r="O68" s="738"/>
      <c r="P68" s="738"/>
      <c r="Q68" s="738"/>
      <c r="R68" s="738"/>
      <c r="S68" s="738"/>
      <c r="T68" s="738"/>
      <c r="U68" s="738"/>
      <c r="V68" s="738"/>
      <c r="W68" s="738"/>
      <c r="X68" s="738"/>
      <c r="Y68" s="671"/>
      <c r="Z68" s="671"/>
      <c r="AA68" s="661">
        <f t="shared" si="69"/>
        <v>11.131076145683933</v>
      </c>
      <c r="AB68" s="671">
        <f t="shared" ref="AB68:AB80" si="70">AC68*AD68</f>
        <v>424.53</v>
      </c>
      <c r="AC68" s="671">
        <v>159</v>
      </c>
      <c r="AD68" s="673">
        <v>2.67</v>
      </c>
      <c r="AF68" s="634" t="s">
        <v>1447</v>
      </c>
      <c r="AG68" s="672" t="s">
        <v>1392</v>
      </c>
      <c r="AH68" s="760">
        <v>55</v>
      </c>
      <c r="AI68" s="1054">
        <f>20.36/96.34</f>
        <v>0.21133485571932736</v>
      </c>
      <c r="BJ68" s="634" t="s">
        <v>1334</v>
      </c>
      <c r="BK68" s="634">
        <v>0.78</v>
      </c>
      <c r="BL68" s="634">
        <v>32</v>
      </c>
      <c r="BM68" s="634">
        <v>12</v>
      </c>
      <c r="BN68" s="1063">
        <f>0.487*15+0.006*9+0.002*19+0.005*55+0.5*60</f>
        <v>37.671999999999997</v>
      </c>
      <c r="BO68" s="1069">
        <v>46.34</v>
      </c>
      <c r="BP68" s="670">
        <f t="shared" si="62"/>
        <v>0.79794712253132305</v>
      </c>
      <c r="BQ68" s="677">
        <f t="shared" si="63"/>
        <v>0</v>
      </c>
      <c r="BR68" s="670">
        <f t="shared" si="64"/>
        <v>0</v>
      </c>
      <c r="BS68" s="670">
        <f t="shared" si="65"/>
        <v>0</v>
      </c>
      <c r="BU68" s="634">
        <f t="shared" si="66"/>
        <v>2.0705032915693356E-2</v>
      </c>
      <c r="BV68" s="634">
        <f t="shared" si="67"/>
        <v>1.7219402730498986E-2</v>
      </c>
      <c r="BW68" s="634" t="e">
        <f t="shared" si="68"/>
        <v>#DIV/0!</v>
      </c>
    </row>
    <row r="69" spans="1:78" ht="51">
      <c r="B69" s="666" t="s">
        <v>1426</v>
      </c>
      <c r="C69" s="667" t="s">
        <v>1378</v>
      </c>
      <c r="D69" s="668" t="s">
        <v>4783</v>
      </c>
      <c r="E69" s="667" t="s">
        <v>1427</v>
      </c>
      <c r="F69" s="667" t="s">
        <v>1428</v>
      </c>
      <c r="G69" s="667" t="s">
        <v>1429</v>
      </c>
      <c r="H69" s="668" t="s">
        <v>1430</v>
      </c>
      <c r="I69" s="669" t="s">
        <v>1431</v>
      </c>
      <c r="J69" s="669" t="s">
        <v>1432</v>
      </c>
      <c r="K69" s="669" t="s">
        <v>1433</v>
      </c>
      <c r="L69" s="669" t="s">
        <v>1434</v>
      </c>
      <c r="M69" s="669" t="s">
        <v>4791</v>
      </c>
      <c r="N69" s="667" t="s">
        <v>1435</v>
      </c>
      <c r="O69" s="667" t="s">
        <v>4792</v>
      </c>
      <c r="P69" s="667" t="s">
        <v>1436</v>
      </c>
      <c r="Q69" s="667" t="s">
        <v>1437</v>
      </c>
      <c r="R69" s="667" t="s">
        <v>1438</v>
      </c>
      <c r="S69" s="667" t="s">
        <v>1439</v>
      </c>
      <c r="T69" s="667" t="s">
        <v>1440</v>
      </c>
      <c r="U69" s="667" t="s">
        <v>1441</v>
      </c>
      <c r="V69" s="668" t="s">
        <v>4726</v>
      </c>
      <c r="W69" s="668" t="s">
        <v>4727</v>
      </c>
      <c r="X69" s="668" t="s">
        <v>4728</v>
      </c>
      <c r="Y69" s="671"/>
      <c r="Z69" s="671"/>
      <c r="AA69" s="661">
        <f t="shared" si="69"/>
        <v>34.573313503134969</v>
      </c>
      <c r="AB69" s="671">
        <f t="shared" si="70"/>
        <v>17.86</v>
      </c>
      <c r="AC69" s="671">
        <v>38</v>
      </c>
      <c r="AD69" s="673">
        <v>0.47</v>
      </c>
      <c r="AF69" s="634" t="s">
        <v>1448</v>
      </c>
      <c r="AG69" s="676" t="s">
        <v>1449</v>
      </c>
      <c r="AH69" s="760">
        <v>90</v>
      </c>
      <c r="AI69" s="1054">
        <v>0</v>
      </c>
      <c r="BJ69" s="634" t="s">
        <v>1410</v>
      </c>
      <c r="BK69" s="634">
        <v>2.7</v>
      </c>
      <c r="BL69" s="634">
        <v>248</v>
      </c>
      <c r="BM69" s="634">
        <v>4</v>
      </c>
      <c r="BN69" s="1063">
        <f>0.616*15+0.315*9+0.013*18+0.027*19+0.013*55+0.002*60+0.01*40+0.004*80</f>
        <v>14.376999999999999</v>
      </c>
      <c r="BO69" s="1069">
        <v>25.589999999999996</v>
      </c>
      <c r="BP69" s="670">
        <f t="shared" si="62"/>
        <v>2.9105800932044241</v>
      </c>
      <c r="BQ69" s="677">
        <f t="shared" si="63"/>
        <v>0</v>
      </c>
      <c r="BR69" s="670">
        <f t="shared" si="64"/>
        <v>0</v>
      </c>
      <c r="BS69" s="670">
        <f t="shared" si="65"/>
        <v>0</v>
      </c>
      <c r="BU69" s="634">
        <f t="shared" si="66"/>
        <v>0.18779995826667598</v>
      </c>
      <c r="BV69" s="634">
        <f t="shared" si="67"/>
        <v>0.11373896417367818</v>
      </c>
      <c r="BW69" s="634" t="e">
        <f t="shared" si="68"/>
        <v>#DIV/0!</v>
      </c>
    </row>
    <row r="70" spans="1:78">
      <c r="C70" s="634" t="s">
        <v>651</v>
      </c>
      <c r="D70" s="673">
        <f>BP58</f>
        <v>1.7922377238078355</v>
      </c>
      <c r="E70" s="634">
        <v>251</v>
      </c>
      <c r="F70" s="634">
        <v>3</v>
      </c>
      <c r="G70" s="634">
        <f>V70*AH$68+W70*AH$74+X70*AH$70</f>
        <v>29.310000000000002</v>
      </c>
      <c r="H70" s="634">
        <v>1.56</v>
      </c>
      <c r="I70" s="670">
        <f>E70*G70/1000/H70</f>
        <v>4.7159038461538465</v>
      </c>
      <c r="J70" s="670">
        <v>1</v>
      </c>
      <c r="K70" s="670">
        <f>1-J70</f>
        <v>0</v>
      </c>
      <c r="L70" s="670">
        <f>J70*I70</f>
        <v>4.7159038461538465</v>
      </c>
      <c r="M70" s="670">
        <f>K70*I70</f>
        <v>0</v>
      </c>
      <c r="N70" s="671">
        <f>L70/G70*1000*H70</f>
        <v>251.00000000000003</v>
      </c>
      <c r="O70" s="671">
        <f t="shared" ref="O70:O83" si="71">M70/G70*1000*H70</f>
        <v>0</v>
      </c>
      <c r="P70" s="671">
        <v>6.88</v>
      </c>
      <c r="Q70" s="665" t="s">
        <v>1444</v>
      </c>
      <c r="R70" s="672" t="s">
        <v>1445</v>
      </c>
      <c r="S70" s="673">
        <f t="shared" ref="S70:S83" si="72">LOOKUP(R70,AG$79:AG$95,AH$79:AH$95)</f>
        <v>0.42</v>
      </c>
      <c r="T70" s="671">
        <f t="shared" ref="T70:T83" si="73">LOOKUP(R70,AG$79:AG$93,AI$79:AI$93)</f>
        <v>0.8</v>
      </c>
      <c r="U70" s="671">
        <f>G70*E70*1000/D70/365/P70</f>
        <v>1634.6042468559292</v>
      </c>
      <c r="V70" s="1055">
        <v>0.23</v>
      </c>
      <c r="W70" s="1055">
        <v>7.0000000000000007E-2</v>
      </c>
      <c r="X70" s="1055">
        <f>1-V70-W70</f>
        <v>0.7</v>
      </c>
      <c r="Y70" s="671"/>
      <c r="Z70" s="671"/>
      <c r="AA70" s="661">
        <f t="shared" si="69"/>
        <v>3.8173461955712265</v>
      </c>
      <c r="AB70" s="671">
        <f t="shared" si="70"/>
        <v>107.03</v>
      </c>
      <c r="AC70" s="671">
        <v>139</v>
      </c>
      <c r="AD70" s="673">
        <v>0.77</v>
      </c>
      <c r="AG70" s="672" t="s">
        <v>1395</v>
      </c>
      <c r="AH70" s="760">
        <v>15</v>
      </c>
      <c r="AI70" s="1054">
        <f>63.5/96.34</f>
        <v>0.65912393605978825</v>
      </c>
      <c r="BJ70" s="634" t="s">
        <v>1450</v>
      </c>
      <c r="BK70" s="634">
        <v>0.78</v>
      </c>
      <c r="BN70" s="1063">
        <f>BN64</f>
        <v>15.562999999999999</v>
      </c>
      <c r="BO70" s="1069">
        <v>56.230000000000004</v>
      </c>
      <c r="BP70" s="670">
        <f t="shared" si="62"/>
        <v>0.9838184154725953</v>
      </c>
      <c r="BQ70" s="677">
        <f t="shared" si="63"/>
        <v>0</v>
      </c>
      <c r="BR70" s="670">
        <f t="shared" si="64"/>
        <v>0</v>
      </c>
      <c r="BS70" s="670">
        <f t="shared" si="65"/>
        <v>0</v>
      </c>
      <c r="BU70" s="634">
        <f t="shared" si="66"/>
        <v>5.0118871682837504E-2</v>
      </c>
      <c r="BV70" s="634">
        <f t="shared" si="67"/>
        <v>1.7496326079896766E-2</v>
      </c>
      <c r="BW70" s="634" t="e">
        <f t="shared" si="68"/>
        <v>#DIV/0!</v>
      </c>
    </row>
    <row r="71" spans="1:78">
      <c r="C71" s="634" t="s">
        <v>1389</v>
      </c>
      <c r="D71" s="673">
        <f t="shared" ref="D71:D83" si="74">BP59</f>
        <v>1.1785519421860886</v>
      </c>
      <c r="E71" s="634">
        <v>215</v>
      </c>
      <c r="F71" s="634">
        <v>5</v>
      </c>
      <c r="G71" s="634">
        <f t="shared" ref="G71:G83" si="75">V71*AH$68+W71*AH$74+X71*AH$70</f>
        <v>26.86</v>
      </c>
      <c r="H71" s="634">
        <v>2.61</v>
      </c>
      <c r="I71" s="670">
        <f t="shared" ref="I71:I83" si="76">E71*G71/1000/H71</f>
        <v>2.2126053639846743</v>
      </c>
      <c r="J71" s="670">
        <v>0.61</v>
      </c>
      <c r="K71" s="670">
        <f>1-J71</f>
        <v>0.39</v>
      </c>
      <c r="L71" s="670">
        <f t="shared" ref="L71:L83" si="77">J71*I71</f>
        <v>1.3496892720306513</v>
      </c>
      <c r="M71" s="670">
        <f t="shared" ref="M71:M83" si="78">K71*I71</f>
        <v>0.86291609195402297</v>
      </c>
      <c r="N71" s="671">
        <f t="shared" ref="N71:N83" si="79">L71/G71*1000*H71</f>
        <v>131.14999999999998</v>
      </c>
      <c r="O71" s="671">
        <f t="shared" si="71"/>
        <v>83.85</v>
      </c>
      <c r="P71" s="671">
        <f>9.94*12.5/8.8</f>
        <v>14.11931818181818</v>
      </c>
      <c r="Q71" s="665" t="s">
        <v>1444</v>
      </c>
      <c r="R71" s="672" t="s">
        <v>1400</v>
      </c>
      <c r="S71" s="673">
        <f t="shared" si="72"/>
        <v>0.44</v>
      </c>
      <c r="T71" s="671">
        <f t="shared" si="73"/>
        <v>0.8</v>
      </c>
      <c r="U71" s="671">
        <f t="shared" ref="U71:U83" si="80">G71*E71*1000/D71/365/P71</f>
        <v>950.79995093102616</v>
      </c>
      <c r="V71" s="1055">
        <v>0.26</v>
      </c>
      <c r="W71" s="1055">
        <v>0.02</v>
      </c>
      <c r="X71" s="1055">
        <f t="shared" ref="X71:X83" si="81">1-V71-W71</f>
        <v>0.72</v>
      </c>
      <c r="Y71" s="671"/>
      <c r="Z71" s="671"/>
      <c r="AA71" s="661">
        <f t="shared" si="69"/>
        <v>6.0431951381961646</v>
      </c>
      <c r="AB71" s="671">
        <f t="shared" si="70"/>
        <v>179.4</v>
      </c>
      <c r="AC71" s="671">
        <v>299</v>
      </c>
      <c r="AD71" s="673">
        <v>0.6</v>
      </c>
      <c r="AG71" s="672" t="s">
        <v>1451</v>
      </c>
      <c r="AH71" s="760">
        <v>50</v>
      </c>
      <c r="AI71" s="1054"/>
      <c r="BJ71" s="634" t="s">
        <v>1414</v>
      </c>
      <c r="BK71" s="634">
        <v>1.59</v>
      </c>
      <c r="BL71" s="634">
        <v>67</v>
      </c>
      <c r="BM71" s="634">
        <v>9</v>
      </c>
      <c r="BN71" s="1063">
        <f>0.752*15+0.019*9+0.046*55+0.182*60</f>
        <v>24.900999999999996</v>
      </c>
      <c r="BO71" s="1069">
        <v>45.63</v>
      </c>
      <c r="BP71" s="670">
        <f t="shared" si="62"/>
        <v>1.7223605879281958</v>
      </c>
      <c r="BQ71" s="677">
        <f t="shared" si="63"/>
        <v>0</v>
      </c>
      <c r="BR71" s="670">
        <f t="shared" si="64"/>
        <v>0</v>
      </c>
      <c r="BS71" s="670">
        <f t="shared" si="65"/>
        <v>0</v>
      </c>
      <c r="BU71" s="634">
        <f t="shared" si="66"/>
        <v>6.3852857314967287E-2</v>
      </c>
      <c r="BV71" s="634">
        <f t="shared" si="67"/>
        <v>3.7746232477058855E-2</v>
      </c>
      <c r="BW71" s="634" t="e">
        <f t="shared" si="68"/>
        <v>#DIV/0!</v>
      </c>
    </row>
    <row r="72" spans="1:78">
      <c r="C72" s="634" t="s">
        <v>1393</v>
      </c>
      <c r="D72" s="673">
        <f t="shared" si="74"/>
        <v>1.0510648148148147</v>
      </c>
      <c r="E72" s="634">
        <v>19</v>
      </c>
      <c r="F72" s="634">
        <v>13</v>
      </c>
      <c r="G72" s="634">
        <f t="shared" si="75"/>
        <v>33.880000000000003</v>
      </c>
      <c r="H72" s="634">
        <v>0.47</v>
      </c>
      <c r="I72" s="670">
        <f t="shared" si="76"/>
        <v>1.3696170212765959</v>
      </c>
      <c r="J72" s="670">
        <v>1</v>
      </c>
      <c r="K72" s="670">
        <f t="shared" ref="K72:K83" si="82">1-J72</f>
        <v>0</v>
      </c>
      <c r="L72" s="670">
        <f t="shared" si="77"/>
        <v>1.3696170212765959</v>
      </c>
      <c r="M72" s="670">
        <f t="shared" si="78"/>
        <v>0</v>
      </c>
      <c r="N72" s="671">
        <f t="shared" si="79"/>
        <v>19</v>
      </c>
      <c r="O72" s="671">
        <f t="shared" si="71"/>
        <v>0</v>
      </c>
      <c r="P72" s="671">
        <v>0.77</v>
      </c>
      <c r="Q72" s="665" t="s">
        <v>1444</v>
      </c>
      <c r="R72" s="672" t="s">
        <v>1402</v>
      </c>
      <c r="S72" s="673">
        <f t="shared" si="72"/>
        <v>0.46</v>
      </c>
      <c r="T72" s="671">
        <f t="shared" si="73"/>
        <v>0.8</v>
      </c>
      <c r="U72" s="671">
        <f t="shared" si="80"/>
        <v>2179.1338903373462</v>
      </c>
      <c r="V72" s="1055">
        <v>0.18</v>
      </c>
      <c r="W72" s="1055">
        <v>0.16</v>
      </c>
      <c r="X72" s="1055">
        <f t="shared" si="81"/>
        <v>0.66</v>
      </c>
      <c r="Y72" s="671"/>
      <c r="Z72" s="671"/>
      <c r="AA72" s="661">
        <f t="shared" si="69"/>
        <v>14.736563210321627</v>
      </c>
      <c r="AB72" s="671">
        <f t="shared" si="70"/>
        <v>262.77</v>
      </c>
      <c r="AC72" s="671">
        <v>461</v>
      </c>
      <c r="AD72" s="673">
        <v>0.56999999999999995</v>
      </c>
      <c r="AG72" s="710" t="s">
        <v>2876</v>
      </c>
      <c r="AH72" s="760">
        <v>82</v>
      </c>
      <c r="AI72" s="1054"/>
      <c r="AJ72" s="708" t="s">
        <v>2877</v>
      </c>
    </row>
    <row r="73" spans="1:78">
      <c r="C73" s="634" t="s">
        <v>1396</v>
      </c>
      <c r="D73" s="673">
        <f t="shared" si="74"/>
        <v>2.5173499043977059</v>
      </c>
      <c r="E73" s="634">
        <v>55</v>
      </c>
      <c r="F73" s="634">
        <v>10</v>
      </c>
      <c r="G73" s="634">
        <f t="shared" si="75"/>
        <v>21.330000000000002</v>
      </c>
      <c r="H73" s="634">
        <v>0.38</v>
      </c>
      <c r="I73" s="670">
        <f t="shared" si="76"/>
        <v>3.0872368421052636</v>
      </c>
      <c r="J73" s="670">
        <v>1</v>
      </c>
      <c r="K73" s="670">
        <f t="shared" si="82"/>
        <v>0</v>
      </c>
      <c r="L73" s="670">
        <f t="shared" si="77"/>
        <v>3.0872368421052636</v>
      </c>
      <c r="M73" s="670">
        <f t="shared" si="78"/>
        <v>0</v>
      </c>
      <c r="N73" s="671">
        <f t="shared" si="79"/>
        <v>55</v>
      </c>
      <c r="O73" s="671">
        <f t="shared" si="71"/>
        <v>0</v>
      </c>
      <c r="P73" s="671">
        <f>1.23*6.5/5</f>
        <v>1.599</v>
      </c>
      <c r="Q73" s="665" t="s">
        <v>1444</v>
      </c>
      <c r="R73" s="672" t="s">
        <v>1397</v>
      </c>
      <c r="S73" s="673">
        <f t="shared" si="72"/>
        <v>0.4</v>
      </c>
      <c r="T73" s="671">
        <f t="shared" si="73"/>
        <v>0.8</v>
      </c>
      <c r="U73" s="671">
        <f t="shared" si="80"/>
        <v>798.48843674169086</v>
      </c>
      <c r="V73" s="1055">
        <v>0.14000000000000001</v>
      </c>
      <c r="W73" s="1055">
        <v>0.01</v>
      </c>
      <c r="X73" s="1055">
        <f t="shared" si="81"/>
        <v>0.85</v>
      </c>
      <c r="Y73" s="671"/>
      <c r="Z73" s="671"/>
      <c r="AA73" s="661">
        <f t="shared" si="69"/>
        <v>14.606732894551728</v>
      </c>
      <c r="AB73" s="671">
        <f t="shared" si="70"/>
        <v>94.17</v>
      </c>
      <c r="AC73" s="671">
        <v>43</v>
      </c>
      <c r="AD73" s="673">
        <v>2.19</v>
      </c>
      <c r="AG73" s="710" t="s">
        <v>2874</v>
      </c>
      <c r="AH73" s="760">
        <v>104</v>
      </c>
      <c r="AI73" s="1054"/>
    </row>
    <row r="74" spans="1:78" s="667" customFormat="1">
      <c r="A74" s="634"/>
      <c r="B74" s="634"/>
      <c r="C74" s="634" t="s">
        <v>1398</v>
      </c>
      <c r="D74" s="673">
        <f t="shared" si="74"/>
        <v>1.816118416463202</v>
      </c>
      <c r="E74" s="634">
        <v>74</v>
      </c>
      <c r="F74" s="634">
        <v>8</v>
      </c>
      <c r="G74" s="634">
        <f t="shared" si="75"/>
        <v>27.59</v>
      </c>
      <c r="H74" s="634">
        <v>0.35</v>
      </c>
      <c r="I74" s="670">
        <f t="shared" si="76"/>
        <v>5.8333142857142866</v>
      </c>
      <c r="J74" s="670">
        <f>1-37/74</f>
        <v>0.5</v>
      </c>
      <c r="K74" s="670">
        <f t="shared" si="82"/>
        <v>0.5</v>
      </c>
      <c r="L74" s="670">
        <f t="shared" si="77"/>
        <v>2.9166571428571433</v>
      </c>
      <c r="M74" s="670">
        <f t="shared" si="78"/>
        <v>2.9166571428571433</v>
      </c>
      <c r="N74" s="671">
        <f t="shared" si="79"/>
        <v>37.000000000000007</v>
      </c>
      <c r="O74" s="671">
        <f t="shared" si="71"/>
        <v>37.000000000000007</v>
      </c>
      <c r="P74" s="671">
        <v>2.38</v>
      </c>
      <c r="Q74" s="665" t="s">
        <v>1444</v>
      </c>
      <c r="R74" s="672" t="s">
        <v>1400</v>
      </c>
      <c r="S74" s="673">
        <f t="shared" si="72"/>
        <v>0.44</v>
      </c>
      <c r="T74" s="671">
        <f t="shared" si="73"/>
        <v>0.8</v>
      </c>
      <c r="U74" s="671">
        <f t="shared" si="80"/>
        <v>1294.1047648400399</v>
      </c>
      <c r="V74" s="1055">
        <v>0.26</v>
      </c>
      <c r="W74" s="1055">
        <v>0.03</v>
      </c>
      <c r="X74" s="1055">
        <f t="shared" si="81"/>
        <v>0.71</v>
      </c>
      <c r="Y74" s="671"/>
      <c r="Z74" s="671"/>
      <c r="AA74" s="661">
        <f t="shared" si="69"/>
        <v>14.632554953652676</v>
      </c>
      <c r="AB74" s="671">
        <f t="shared" si="70"/>
        <v>174.73</v>
      </c>
      <c r="AC74" s="671">
        <v>173</v>
      </c>
      <c r="AD74" s="673">
        <v>1.01</v>
      </c>
      <c r="AE74" s="634"/>
      <c r="AF74" s="634"/>
      <c r="AG74" s="710" t="s">
        <v>2875</v>
      </c>
      <c r="AH74" s="760">
        <v>88</v>
      </c>
      <c r="AI74" s="1054">
        <f>12.37/96.34</f>
        <v>0.12839941872534771</v>
      </c>
      <c r="AJ74" s="634"/>
      <c r="AK74" s="634"/>
      <c r="AL74" s="634"/>
      <c r="AM74" s="634"/>
      <c r="AN74" s="634"/>
      <c r="AO74" s="634"/>
      <c r="AP74" s="634"/>
      <c r="AQ74" s="634"/>
      <c r="AR74" s="634"/>
      <c r="AS74" s="634"/>
      <c r="AT74" s="634"/>
      <c r="AU74" s="634"/>
      <c r="AV74" s="634"/>
      <c r="AW74" s="634"/>
      <c r="AX74" s="634"/>
      <c r="AY74" s="634"/>
      <c r="AZ74" s="634"/>
      <c r="BA74" s="634"/>
      <c r="BB74" s="634"/>
      <c r="BC74" s="634"/>
      <c r="BD74" s="634"/>
      <c r="BE74" s="634"/>
      <c r="BF74" s="634"/>
      <c r="BG74" s="634"/>
      <c r="BH74" s="634"/>
      <c r="BI74" s="634"/>
      <c r="BJ74" s="634" t="s">
        <v>1354</v>
      </c>
      <c r="BK74" s="634">
        <v>1.6</v>
      </c>
      <c r="BL74" s="634"/>
      <c r="BM74" s="634"/>
      <c r="BN74" s="634">
        <v>15</v>
      </c>
      <c r="BO74" s="634">
        <v>24.3</v>
      </c>
      <c r="BP74" s="635" t="s">
        <v>4736</v>
      </c>
      <c r="BQ74" s="634"/>
      <c r="BR74" s="634"/>
      <c r="BS74" s="634"/>
      <c r="BT74" s="634"/>
      <c r="BU74" s="634"/>
      <c r="BV74" s="634"/>
      <c r="BW74" s="634"/>
      <c r="BX74" s="634"/>
      <c r="BY74" s="634"/>
      <c r="BZ74" s="634"/>
    </row>
    <row r="75" spans="1:78" ht="25.5">
      <c r="C75" s="634" t="s">
        <v>242</v>
      </c>
      <c r="D75" s="673">
        <f t="shared" si="74"/>
        <v>1.9759220321044277</v>
      </c>
      <c r="E75" s="634">
        <v>103</v>
      </c>
      <c r="F75" s="634">
        <v>7</v>
      </c>
      <c r="G75" s="634">
        <f t="shared" si="75"/>
        <v>73.680000000000007</v>
      </c>
      <c r="H75" s="634">
        <v>0.56999999999999995</v>
      </c>
      <c r="I75" s="670">
        <f t="shared" si="76"/>
        <v>13.314105263157897</v>
      </c>
      <c r="J75" s="670">
        <v>1</v>
      </c>
      <c r="K75" s="670">
        <f t="shared" si="82"/>
        <v>0</v>
      </c>
      <c r="L75" s="670">
        <f t="shared" si="77"/>
        <v>13.314105263157897</v>
      </c>
      <c r="M75" s="670">
        <f t="shared" si="78"/>
        <v>0</v>
      </c>
      <c r="N75" s="671">
        <f t="shared" si="79"/>
        <v>103</v>
      </c>
      <c r="O75" s="671">
        <f t="shared" si="71"/>
        <v>0</v>
      </c>
      <c r="P75" s="671">
        <f>4.23*5/8.8</f>
        <v>2.4034090909090908</v>
      </c>
      <c r="Q75" s="665" t="s">
        <v>1444</v>
      </c>
      <c r="R75" s="672" t="s">
        <v>1402</v>
      </c>
      <c r="S75" s="673">
        <f t="shared" si="72"/>
        <v>0.46</v>
      </c>
      <c r="T75" s="671">
        <f t="shared" si="73"/>
        <v>0.8</v>
      </c>
      <c r="U75" s="671">
        <f t="shared" si="80"/>
        <v>4378.2088459798897</v>
      </c>
      <c r="V75" s="1055">
        <v>0.08</v>
      </c>
      <c r="W75" s="1055">
        <v>0.76</v>
      </c>
      <c r="X75" s="1055">
        <f t="shared" si="81"/>
        <v>0.16000000000000003</v>
      </c>
      <c r="Y75" s="671"/>
      <c r="Z75" s="671"/>
      <c r="AA75" s="661">
        <f t="shared" si="69"/>
        <v>14.346297187077552</v>
      </c>
      <c r="AB75" s="671">
        <f t="shared" si="70"/>
        <v>239.57999999999998</v>
      </c>
      <c r="AC75" s="671">
        <v>242</v>
      </c>
      <c r="AD75" s="673">
        <v>0.99</v>
      </c>
      <c r="AG75" s="676" t="s">
        <v>1401</v>
      </c>
      <c r="AH75" s="760">
        <v>75</v>
      </c>
      <c r="AI75" s="1054"/>
      <c r="AX75" s="667"/>
      <c r="AY75" s="667"/>
      <c r="AZ75" s="667"/>
      <c r="BA75" s="667"/>
      <c r="BB75" s="667"/>
      <c r="BC75" s="667"/>
      <c r="BD75" s="667"/>
      <c r="BE75" s="667"/>
      <c r="BF75" s="667"/>
      <c r="BG75" s="667"/>
      <c r="BH75" s="667"/>
      <c r="BI75" s="667"/>
      <c r="BJ75" s="667" t="s">
        <v>1348</v>
      </c>
      <c r="BK75" s="667">
        <v>24</v>
      </c>
      <c r="BL75" s="667"/>
      <c r="BM75" s="667"/>
      <c r="BN75" s="634">
        <v>15</v>
      </c>
      <c r="BO75" s="667">
        <v>24.3</v>
      </c>
      <c r="BQ75" s="667"/>
      <c r="BR75" s="667"/>
      <c r="BS75" s="667"/>
      <c r="BT75" s="667"/>
      <c r="BU75" s="667"/>
      <c r="BV75" s="667"/>
      <c r="BW75" s="667"/>
      <c r="BX75" s="667"/>
      <c r="BY75" s="667"/>
      <c r="BZ75" s="667"/>
    </row>
    <row r="76" spans="1:78">
      <c r="C76" s="634" t="s">
        <v>1403</v>
      </c>
      <c r="D76" s="673">
        <f t="shared" si="74"/>
        <v>1.5328930797404101</v>
      </c>
      <c r="E76" s="634">
        <v>171</v>
      </c>
      <c r="F76" s="634">
        <v>6</v>
      </c>
      <c r="G76" s="634">
        <f t="shared" si="75"/>
        <v>24.46</v>
      </c>
      <c r="H76" s="634">
        <v>2.19</v>
      </c>
      <c r="I76" s="670">
        <f t="shared" si="76"/>
        <v>1.9098904109589043</v>
      </c>
      <c r="J76" s="670">
        <v>1</v>
      </c>
      <c r="K76" s="670">
        <f t="shared" si="82"/>
        <v>0</v>
      </c>
      <c r="L76" s="670">
        <f t="shared" si="77"/>
        <v>1.9098904109589043</v>
      </c>
      <c r="M76" s="670">
        <f t="shared" si="78"/>
        <v>0</v>
      </c>
      <c r="N76" s="671">
        <f t="shared" si="79"/>
        <v>171.00000000000003</v>
      </c>
      <c r="O76" s="671">
        <f t="shared" si="71"/>
        <v>0</v>
      </c>
      <c r="P76" s="671">
        <v>5.12</v>
      </c>
      <c r="Q76" s="665" t="s">
        <v>1444</v>
      </c>
      <c r="R76" s="672" t="s">
        <v>1405</v>
      </c>
      <c r="S76" s="673">
        <f t="shared" si="72"/>
        <v>0.23</v>
      </c>
      <c r="T76" s="671">
        <f t="shared" si="73"/>
        <v>0.8</v>
      </c>
      <c r="U76" s="671">
        <f t="shared" si="80"/>
        <v>1460.0841082285326</v>
      </c>
      <c r="V76" s="1055">
        <v>0.2</v>
      </c>
      <c r="W76" s="1055">
        <v>0.02</v>
      </c>
      <c r="X76" s="1055">
        <f t="shared" si="81"/>
        <v>0.78</v>
      </c>
      <c r="Y76" s="671"/>
      <c r="Z76" s="671"/>
      <c r="AA76" s="661">
        <f t="shared" si="69"/>
        <v>14.563673579156282</v>
      </c>
      <c r="AB76" s="671">
        <f t="shared" si="70"/>
        <v>28.32</v>
      </c>
      <c r="AC76" s="671">
        <v>118</v>
      </c>
      <c r="AD76" s="673">
        <v>0.24</v>
      </c>
      <c r="AG76" s="710" t="s">
        <v>2878</v>
      </c>
      <c r="AH76" s="760">
        <v>85</v>
      </c>
      <c r="AI76" s="1054"/>
      <c r="BJ76" s="634" t="s">
        <v>2904</v>
      </c>
      <c r="BK76" s="634">
        <v>12</v>
      </c>
      <c r="BN76" s="634">
        <v>15</v>
      </c>
      <c r="BO76" s="634">
        <v>24.3</v>
      </c>
    </row>
    <row r="77" spans="1:78">
      <c r="C77" s="634" t="s">
        <v>1008</v>
      </c>
      <c r="D77" s="673">
        <f t="shared" si="74"/>
        <v>2.9852163687676394</v>
      </c>
      <c r="E77" s="634">
        <v>322</v>
      </c>
      <c r="F77" s="634">
        <v>2</v>
      </c>
      <c r="G77" s="634">
        <f t="shared" si="75"/>
        <v>47.02</v>
      </c>
      <c r="H77" s="634">
        <v>1</v>
      </c>
      <c r="I77" s="670">
        <f t="shared" si="76"/>
        <v>15.14044</v>
      </c>
      <c r="J77" s="670">
        <v>1</v>
      </c>
      <c r="K77" s="670">
        <f t="shared" si="82"/>
        <v>0</v>
      </c>
      <c r="L77" s="670">
        <f t="shared" si="77"/>
        <v>15.14044</v>
      </c>
      <c r="M77" s="670">
        <f t="shared" si="78"/>
        <v>0</v>
      </c>
      <c r="N77" s="671">
        <f t="shared" si="79"/>
        <v>321.99999999999994</v>
      </c>
      <c r="O77" s="671">
        <f t="shared" si="71"/>
        <v>0</v>
      </c>
      <c r="P77" s="671">
        <f>5.11*19/22.5</f>
        <v>4.3151111111111113</v>
      </c>
      <c r="Q77" s="665" t="s">
        <v>1444</v>
      </c>
      <c r="R77" s="672" t="s">
        <v>1405</v>
      </c>
      <c r="S77" s="673">
        <f t="shared" si="72"/>
        <v>0.23</v>
      </c>
      <c r="T77" s="671">
        <f t="shared" si="73"/>
        <v>0.8</v>
      </c>
      <c r="U77" s="671">
        <f t="shared" si="80"/>
        <v>3220.1628452457803</v>
      </c>
      <c r="V77" s="1055">
        <v>0.18</v>
      </c>
      <c r="W77" s="1055">
        <v>0.34</v>
      </c>
      <c r="X77" s="1055">
        <f t="shared" si="81"/>
        <v>0.48000000000000004</v>
      </c>
      <c r="Y77" s="671"/>
      <c r="Z77" s="671"/>
      <c r="AA77" s="661">
        <f t="shared" si="69"/>
        <v>41.142797933968431</v>
      </c>
      <c r="AB77" s="671">
        <f>AC77*AD77</f>
        <v>34.65</v>
      </c>
      <c r="AC77" s="671">
        <v>105</v>
      </c>
      <c r="AD77" s="673">
        <v>0.33</v>
      </c>
      <c r="AG77" s="676" t="s">
        <v>1334</v>
      </c>
      <c r="AH77" s="760"/>
      <c r="AI77" s="1054"/>
      <c r="AW77" s="667"/>
      <c r="BJ77" s="634" t="s">
        <v>2912</v>
      </c>
      <c r="BK77" s="634">
        <v>9</v>
      </c>
      <c r="BN77" s="634">
        <v>15</v>
      </c>
      <c r="BO77" s="634">
        <v>24.3</v>
      </c>
    </row>
    <row r="78" spans="1:78">
      <c r="C78" s="634" t="s">
        <v>1264</v>
      </c>
      <c r="D78" s="673">
        <f t="shared" si="74"/>
        <v>2.7249201430274139</v>
      </c>
      <c r="E78" s="634">
        <v>352</v>
      </c>
      <c r="F78" s="634">
        <v>1</v>
      </c>
      <c r="G78" s="634">
        <f t="shared" si="75"/>
        <v>27.59</v>
      </c>
      <c r="H78" s="634">
        <v>0.96</v>
      </c>
      <c r="I78" s="670">
        <f t="shared" si="76"/>
        <v>10.116333333333333</v>
      </c>
      <c r="J78" s="670">
        <f>1-251/352</f>
        <v>0.28693181818181823</v>
      </c>
      <c r="K78" s="670">
        <f t="shared" si="82"/>
        <v>0.71306818181818177</v>
      </c>
      <c r="L78" s="670">
        <f t="shared" si="77"/>
        <v>2.9026979166666673</v>
      </c>
      <c r="M78" s="670">
        <f t="shared" si="78"/>
        <v>7.2136354166666665</v>
      </c>
      <c r="N78" s="671">
        <f t="shared" si="79"/>
        <v>101.00000000000001</v>
      </c>
      <c r="O78" s="671">
        <f t="shared" si="71"/>
        <v>251.00000000000003</v>
      </c>
      <c r="P78" s="671">
        <v>5.97</v>
      </c>
      <c r="Q78" s="665" t="s">
        <v>1444</v>
      </c>
      <c r="R78" s="672" t="s">
        <v>1400</v>
      </c>
      <c r="S78" s="673">
        <f t="shared" si="72"/>
        <v>0.44</v>
      </c>
      <c r="T78" s="671">
        <f t="shared" si="73"/>
        <v>0.8</v>
      </c>
      <c r="U78" s="671">
        <f t="shared" si="80"/>
        <v>1635.5860172453363</v>
      </c>
      <c r="V78" s="1055">
        <v>0.26</v>
      </c>
      <c r="W78" s="1055">
        <v>0.03</v>
      </c>
      <c r="X78" s="1055">
        <f t="shared" si="81"/>
        <v>0.71</v>
      </c>
      <c r="Y78" s="671"/>
      <c r="Z78" s="671"/>
      <c r="AA78" s="661">
        <f t="shared" si="69"/>
        <v>3.0522986207394607</v>
      </c>
      <c r="AB78" s="671">
        <f t="shared" si="70"/>
        <v>548</v>
      </c>
      <c r="AC78" s="671">
        <v>400</v>
      </c>
      <c r="AD78" s="673">
        <v>1.37</v>
      </c>
      <c r="AF78" s="634" t="s">
        <v>1457</v>
      </c>
      <c r="AG78" s="672"/>
      <c r="AH78" s="760" t="s">
        <v>2862</v>
      </c>
      <c r="AI78" s="760" t="s">
        <v>1458</v>
      </c>
      <c r="BJ78" s="634" t="s">
        <v>2905</v>
      </c>
      <c r="BK78" s="634">
        <v>24</v>
      </c>
      <c r="BN78" s="634">
        <v>15</v>
      </c>
      <c r="BO78" s="634">
        <v>24.3</v>
      </c>
    </row>
    <row r="79" spans="1:78">
      <c r="C79" s="634" t="s">
        <v>1350</v>
      </c>
      <c r="D79" s="673">
        <f t="shared" si="74"/>
        <v>1.5149814118359055</v>
      </c>
      <c r="E79" s="634">
        <v>37</v>
      </c>
      <c r="F79" s="634">
        <v>11</v>
      </c>
      <c r="G79" s="634">
        <f t="shared" si="75"/>
        <v>33.5</v>
      </c>
      <c r="H79" s="634">
        <v>0.05</v>
      </c>
      <c r="I79" s="670">
        <f t="shared" si="76"/>
        <v>24.79</v>
      </c>
      <c r="J79" s="670">
        <v>0.61</v>
      </c>
      <c r="K79" s="670">
        <f>1-J79</f>
        <v>0.39</v>
      </c>
      <c r="L79" s="670">
        <f t="shared" si="77"/>
        <v>15.121899999999998</v>
      </c>
      <c r="M79" s="670">
        <f t="shared" si="78"/>
        <v>9.6681000000000008</v>
      </c>
      <c r="N79" s="671">
        <f t="shared" si="79"/>
        <v>22.57</v>
      </c>
      <c r="O79" s="671">
        <f t="shared" si="71"/>
        <v>14.430000000000001</v>
      </c>
      <c r="P79" s="1064">
        <f>1.16*11.8/15.5</f>
        <v>0.88309677419354837</v>
      </c>
      <c r="Q79" s="665" t="s">
        <v>1444</v>
      </c>
      <c r="R79" s="672" t="s">
        <v>1405</v>
      </c>
      <c r="S79" s="673">
        <f t="shared" si="72"/>
        <v>0.23</v>
      </c>
      <c r="T79" s="671">
        <f t="shared" si="73"/>
        <v>0.8</v>
      </c>
      <c r="U79" s="671">
        <f t="shared" si="80"/>
        <v>2538.271444643055</v>
      </c>
      <c r="V79" s="1055">
        <v>0.28000000000000003</v>
      </c>
      <c r="W79" s="1055">
        <v>0.1</v>
      </c>
      <c r="X79" s="1055">
        <f t="shared" si="81"/>
        <v>0.62</v>
      </c>
      <c r="Z79" s="671"/>
      <c r="AA79" s="661"/>
      <c r="AB79" s="671">
        <v>0</v>
      </c>
      <c r="AC79" s="671">
        <v>0</v>
      </c>
      <c r="AD79" s="673">
        <v>0</v>
      </c>
      <c r="AG79" s="672" t="s">
        <v>1459</v>
      </c>
      <c r="AH79" s="762">
        <v>0.3</v>
      </c>
      <c r="AI79" s="760">
        <v>0.8</v>
      </c>
      <c r="BJ79" s="634" t="s">
        <v>2906</v>
      </c>
      <c r="BK79" s="634">
        <v>0</v>
      </c>
      <c r="BN79" s="634">
        <v>15</v>
      </c>
      <c r="BO79" s="634">
        <v>24.3</v>
      </c>
    </row>
    <row r="80" spans="1:78">
      <c r="C80" s="634" t="s">
        <v>1334</v>
      </c>
      <c r="D80" s="673">
        <f t="shared" si="74"/>
        <v>0.79794712253132305</v>
      </c>
      <c r="E80" s="634">
        <v>32</v>
      </c>
      <c r="F80" s="634">
        <v>12</v>
      </c>
      <c r="G80" s="634">
        <f t="shared" si="75"/>
        <v>46.34</v>
      </c>
      <c r="H80" s="634">
        <v>0.33</v>
      </c>
      <c r="I80" s="670">
        <f>E80*G80/1000/H80</f>
        <v>4.4935757575757576</v>
      </c>
      <c r="J80" s="670">
        <v>1</v>
      </c>
      <c r="K80" s="670">
        <f>1-J80</f>
        <v>0</v>
      </c>
      <c r="L80" s="670">
        <f>J80*I80</f>
        <v>4.4935757575757576</v>
      </c>
      <c r="M80" s="670">
        <f>K80*I80</f>
        <v>0</v>
      </c>
      <c r="N80" s="671">
        <f>L80/G80*1000*H80</f>
        <v>31.999999999999996</v>
      </c>
      <c r="O80" s="671">
        <f>M80/G80*1000*H80</f>
        <v>0</v>
      </c>
      <c r="P80" s="671">
        <v>2.0499999999999998</v>
      </c>
      <c r="Q80" s="665" t="s">
        <v>1444</v>
      </c>
      <c r="R80" s="672" t="s">
        <v>1446</v>
      </c>
      <c r="S80" s="673">
        <f t="shared" si="72"/>
        <v>0.35</v>
      </c>
      <c r="T80" s="671">
        <f t="shared" si="73"/>
        <v>0.8</v>
      </c>
      <c r="U80" s="671">
        <f>G80*E80*1000/D80/365/P80</f>
        <v>2483.6201191846799</v>
      </c>
      <c r="V80" s="1055">
        <v>0.09</v>
      </c>
      <c r="W80" s="1055">
        <v>0.38</v>
      </c>
      <c r="X80" s="1055">
        <f t="shared" si="81"/>
        <v>0.53</v>
      </c>
      <c r="Z80" s="671"/>
      <c r="AA80" s="661">
        <f>P83*U83*S83*T83/AB80</f>
        <v>40.59892747279855</v>
      </c>
      <c r="AB80" s="671">
        <f t="shared" si="70"/>
        <v>44.08</v>
      </c>
      <c r="AC80" s="671">
        <v>58</v>
      </c>
      <c r="AD80" s="673">
        <v>0.76</v>
      </c>
      <c r="AG80" s="672" t="s">
        <v>1402</v>
      </c>
      <c r="AH80" s="760">
        <v>0.46</v>
      </c>
      <c r="AI80" s="760">
        <v>0.8</v>
      </c>
      <c r="BJ80" s="634" t="s">
        <v>1351</v>
      </c>
      <c r="BK80" s="634">
        <v>24</v>
      </c>
      <c r="BN80" s="634">
        <v>15</v>
      </c>
      <c r="BO80" s="634">
        <v>24.3</v>
      </c>
    </row>
    <row r="81" spans="1:67">
      <c r="C81" s="634" t="s">
        <v>1410</v>
      </c>
      <c r="D81" s="673">
        <f t="shared" si="74"/>
        <v>2.9105800932044241</v>
      </c>
      <c r="E81" s="634">
        <v>248</v>
      </c>
      <c r="F81" s="634">
        <v>4</v>
      </c>
      <c r="G81" s="634">
        <f t="shared" si="75"/>
        <v>25.589999999999996</v>
      </c>
      <c r="H81" s="634">
        <v>1.37</v>
      </c>
      <c r="I81" s="670">
        <f t="shared" si="76"/>
        <v>4.6323503649635027</v>
      </c>
      <c r="J81" s="670">
        <v>1</v>
      </c>
      <c r="K81" s="670">
        <f t="shared" si="82"/>
        <v>0</v>
      </c>
      <c r="L81" s="670">
        <f t="shared" si="77"/>
        <v>4.6323503649635027</v>
      </c>
      <c r="M81" s="670">
        <f t="shared" si="78"/>
        <v>0</v>
      </c>
      <c r="N81" s="671">
        <f t="shared" si="79"/>
        <v>248</v>
      </c>
      <c r="O81" s="671">
        <f t="shared" si="71"/>
        <v>0</v>
      </c>
      <c r="P81" s="671">
        <v>4.0599999999999996</v>
      </c>
      <c r="Q81" s="665" t="s">
        <v>1444</v>
      </c>
      <c r="R81" s="672" t="s">
        <v>1446</v>
      </c>
      <c r="S81" s="673">
        <f t="shared" si="72"/>
        <v>0.35</v>
      </c>
      <c r="T81" s="671">
        <f t="shared" si="73"/>
        <v>0.8</v>
      </c>
      <c r="U81" s="671">
        <f t="shared" si="80"/>
        <v>1471.3754786815839</v>
      </c>
      <c r="V81" s="1055">
        <v>0.21</v>
      </c>
      <c r="W81" s="1055">
        <v>0.03</v>
      </c>
      <c r="X81" s="1055">
        <f t="shared" si="81"/>
        <v>0.76</v>
      </c>
      <c r="AA81" s="635" t="s">
        <v>1453</v>
      </c>
      <c r="AB81" s="634">
        <v>1716</v>
      </c>
      <c r="AG81" s="672" t="s">
        <v>1397</v>
      </c>
      <c r="AH81" s="760">
        <v>0.4</v>
      </c>
      <c r="AI81" s="760">
        <v>0.8</v>
      </c>
      <c r="BJ81" s="634" t="s">
        <v>2907</v>
      </c>
      <c r="BK81" s="634">
        <v>12</v>
      </c>
      <c r="BN81" s="634">
        <v>15</v>
      </c>
      <c r="BO81" s="634">
        <v>24.3</v>
      </c>
    </row>
    <row r="82" spans="1:67">
      <c r="C82" s="634" t="s">
        <v>1450</v>
      </c>
      <c r="D82" s="673">
        <f t="shared" si="74"/>
        <v>0.9838184154725953</v>
      </c>
      <c r="G82" s="634">
        <f t="shared" si="75"/>
        <v>56.230000000000004</v>
      </c>
      <c r="H82" s="634">
        <v>0</v>
      </c>
      <c r="I82" s="638"/>
      <c r="J82" s="670">
        <v>1</v>
      </c>
      <c r="K82" s="670">
        <f t="shared" si="82"/>
        <v>0</v>
      </c>
      <c r="L82" s="638"/>
      <c r="M82" s="638"/>
      <c r="P82" s="671">
        <v>0</v>
      </c>
      <c r="Q82" s="665" t="s">
        <v>1444</v>
      </c>
      <c r="R82" s="672" t="s">
        <v>1402</v>
      </c>
      <c r="S82" s="673">
        <f t="shared" si="72"/>
        <v>0.46</v>
      </c>
      <c r="T82" s="671">
        <f t="shared" si="73"/>
        <v>0.8</v>
      </c>
      <c r="U82" s="671">
        <v>2065.5101219083849</v>
      </c>
      <c r="V82" s="1055">
        <v>0.1</v>
      </c>
      <c r="W82" s="1055">
        <v>0.51</v>
      </c>
      <c r="X82" s="1055">
        <f t="shared" si="81"/>
        <v>0.39</v>
      </c>
      <c r="AG82" s="672" t="s">
        <v>1405</v>
      </c>
      <c r="AH82" s="762">
        <v>0.23</v>
      </c>
      <c r="AI82" s="760">
        <v>0.8</v>
      </c>
      <c r="AK82" s="707" t="s">
        <v>2861</v>
      </c>
      <c r="BJ82" s="634" t="s">
        <v>2903</v>
      </c>
      <c r="BK82" s="634">
        <v>12</v>
      </c>
      <c r="BN82" s="634">
        <v>15</v>
      </c>
      <c r="BO82" s="634">
        <v>24.3</v>
      </c>
    </row>
    <row r="83" spans="1:67">
      <c r="C83" s="634" t="s">
        <v>1414</v>
      </c>
      <c r="D83" s="673">
        <f t="shared" si="74"/>
        <v>1.7223605879281958</v>
      </c>
      <c r="E83" s="634">
        <v>67</v>
      </c>
      <c r="F83" s="634">
        <v>9</v>
      </c>
      <c r="G83" s="634">
        <f t="shared" si="75"/>
        <v>45.63</v>
      </c>
      <c r="H83" s="634">
        <v>0.41</v>
      </c>
      <c r="I83" s="670">
        <f t="shared" si="76"/>
        <v>7.4566097560975617</v>
      </c>
      <c r="J83" s="670">
        <v>1</v>
      </c>
      <c r="K83" s="670">
        <f t="shared" si="82"/>
        <v>0</v>
      </c>
      <c r="L83" s="670">
        <f t="shared" si="77"/>
        <v>7.4566097560975617</v>
      </c>
      <c r="M83" s="670">
        <f t="shared" si="78"/>
        <v>0</v>
      </c>
      <c r="N83" s="671">
        <f t="shared" si="79"/>
        <v>66.999999999999986</v>
      </c>
      <c r="O83" s="671">
        <f t="shared" si="71"/>
        <v>0</v>
      </c>
      <c r="P83" s="671">
        <v>1.81</v>
      </c>
      <c r="Q83" s="665" t="s">
        <v>1444</v>
      </c>
      <c r="R83" s="672" t="s">
        <v>1402</v>
      </c>
      <c r="S83" s="673">
        <f t="shared" si="72"/>
        <v>0.46</v>
      </c>
      <c r="T83" s="671">
        <f t="shared" si="73"/>
        <v>0.8</v>
      </c>
      <c r="U83" s="671">
        <f t="shared" si="80"/>
        <v>2686.7654380869562</v>
      </c>
      <c r="V83" s="1055">
        <v>0.2</v>
      </c>
      <c r="W83" s="1055">
        <v>0.31</v>
      </c>
      <c r="X83" s="1055">
        <f t="shared" si="81"/>
        <v>0.49000000000000005</v>
      </c>
      <c r="AG83" s="672" t="s">
        <v>362</v>
      </c>
      <c r="AH83" s="760"/>
      <c r="AI83" s="760"/>
      <c r="BJ83" s="634" t="s">
        <v>2901</v>
      </c>
      <c r="BK83" s="634">
        <v>12</v>
      </c>
      <c r="BN83" s="634">
        <v>15</v>
      </c>
      <c r="BO83" s="634">
        <v>24.3</v>
      </c>
    </row>
    <row r="84" spans="1:67">
      <c r="E84" s="634">
        <f>SUM(E70:E83)</f>
        <v>1946</v>
      </c>
      <c r="I84" s="638"/>
      <c r="J84" s="638"/>
      <c r="K84" s="638"/>
      <c r="L84" s="638"/>
      <c r="M84" s="638" t="s">
        <v>1452</v>
      </c>
      <c r="N84" s="661">
        <f>SUM(N70:N83)</f>
        <v>1559.7199999999998</v>
      </c>
      <c r="O84" s="661">
        <f>SUM(O70:O83)</f>
        <v>386.28000000000003</v>
      </c>
      <c r="U84" s="671"/>
      <c r="AG84" s="672" t="s">
        <v>1391</v>
      </c>
      <c r="AH84" s="763">
        <v>0.57999999999999996</v>
      </c>
      <c r="AI84" s="760">
        <v>0.8</v>
      </c>
      <c r="AK84" s="708" t="s">
        <v>2886</v>
      </c>
      <c r="BJ84" s="634" t="s">
        <v>2911</v>
      </c>
      <c r="BK84" s="634">
        <v>12</v>
      </c>
      <c r="BN84" s="634">
        <v>15</v>
      </c>
      <c r="BO84" s="634">
        <v>24.3</v>
      </c>
    </row>
    <row r="85" spans="1:67">
      <c r="B85" s="634" t="s">
        <v>1454</v>
      </c>
      <c r="I85" s="638"/>
      <c r="J85" s="638"/>
      <c r="K85" s="638"/>
      <c r="L85" s="638"/>
      <c r="M85" s="677">
        <f>SUM(N84:O84)</f>
        <v>1945.9999999999998</v>
      </c>
      <c r="N85" s="645">
        <f>N84/M85</f>
        <v>0.80150051387461463</v>
      </c>
      <c r="O85" s="645">
        <f>O84/M85</f>
        <v>0.19849948612538545</v>
      </c>
      <c r="U85" s="671"/>
      <c r="AG85" s="672" t="s">
        <v>1446</v>
      </c>
      <c r="AH85" s="764">
        <v>0.35</v>
      </c>
      <c r="AI85" s="760">
        <v>0.8</v>
      </c>
      <c r="BJ85" s="634" t="s">
        <v>2902</v>
      </c>
      <c r="BK85" s="634">
        <v>24</v>
      </c>
      <c r="BN85" s="634">
        <v>15</v>
      </c>
      <c r="BO85" s="634">
        <v>24.3</v>
      </c>
    </row>
    <row r="86" spans="1:67">
      <c r="B86" s="634">
        <f>0.123+0.064+0.011</f>
        <v>0.19800000000000001</v>
      </c>
      <c r="C86" s="634" t="s">
        <v>1455</v>
      </c>
      <c r="I86" s="638"/>
      <c r="J86" s="638"/>
      <c r="K86" s="638"/>
      <c r="L86" s="638"/>
      <c r="M86" s="638"/>
      <c r="U86" s="671"/>
      <c r="AA86" s="634">
        <v>30</v>
      </c>
      <c r="AG86" s="672" t="s">
        <v>1400</v>
      </c>
      <c r="AH86" s="763">
        <v>0.44</v>
      </c>
      <c r="AI86" s="760">
        <v>0.8</v>
      </c>
      <c r="BJ86" s="634" t="s">
        <v>1352</v>
      </c>
      <c r="BK86" s="634">
        <v>16</v>
      </c>
      <c r="BN86" s="634">
        <v>15</v>
      </c>
      <c r="BO86" s="634">
        <v>24.3</v>
      </c>
    </row>
    <row r="87" spans="1:67">
      <c r="A87" s="667"/>
      <c r="B87" s="661">
        <f>B86*E84</f>
        <v>385.30799999999999</v>
      </c>
      <c r="C87" s="634" t="s">
        <v>1456</v>
      </c>
      <c r="I87" s="638"/>
      <c r="J87" s="638"/>
      <c r="K87" s="638"/>
      <c r="L87" s="638"/>
      <c r="M87" s="638"/>
      <c r="U87" s="671"/>
      <c r="AA87" s="634">
        <v>30</v>
      </c>
      <c r="AG87" s="672" t="s">
        <v>1471</v>
      </c>
      <c r="AH87" s="764">
        <v>0.44</v>
      </c>
      <c r="AI87" s="760">
        <v>0.8</v>
      </c>
    </row>
    <row r="88" spans="1:67">
      <c r="B88" s="661"/>
      <c r="G88" s="635" t="s">
        <v>4735</v>
      </c>
      <c r="I88" s="768"/>
      <c r="J88" s="768"/>
      <c r="K88" s="768"/>
      <c r="L88" s="768"/>
      <c r="M88" s="768"/>
      <c r="U88" s="671"/>
      <c r="AA88" s="634">
        <v>15</v>
      </c>
      <c r="AG88" s="676" t="s">
        <v>1451</v>
      </c>
      <c r="AH88" s="764">
        <v>0.75</v>
      </c>
      <c r="AI88" s="760">
        <v>0.8</v>
      </c>
    </row>
    <row r="89" spans="1:67">
      <c r="B89" s="661"/>
      <c r="C89" s="635" t="s">
        <v>1354</v>
      </c>
      <c r="D89" s="634">
        <v>1.6</v>
      </c>
      <c r="G89" s="671">
        <f>M120*1.62</f>
        <v>24.3</v>
      </c>
      <c r="I89" s="768"/>
      <c r="J89" s="768">
        <v>1</v>
      </c>
      <c r="K89" s="768">
        <v>0</v>
      </c>
      <c r="L89" s="768"/>
      <c r="M89" s="768"/>
      <c r="R89" s="672" t="s">
        <v>1405</v>
      </c>
      <c r="S89" s="673">
        <f t="shared" ref="S89:S101" si="83">LOOKUP(R89,AG$79:AG$95,AH$79:AH$95)</f>
        <v>0.23</v>
      </c>
      <c r="T89" s="671">
        <f t="shared" ref="T89:T101" si="84">LOOKUP(R89,AG$79:AG$93,AI$79:AI$93)</f>
        <v>0.8</v>
      </c>
      <c r="U89" s="671"/>
      <c r="AA89" s="634">
        <v>15</v>
      </c>
      <c r="AG89" s="766" t="s">
        <v>1334</v>
      </c>
      <c r="AH89" s="764">
        <v>0.4</v>
      </c>
      <c r="AI89" s="760">
        <v>0.8</v>
      </c>
    </row>
    <row r="90" spans="1:67">
      <c r="B90" s="661"/>
      <c r="C90" s="635" t="s">
        <v>1348</v>
      </c>
      <c r="D90" s="634">
        <v>24</v>
      </c>
      <c r="G90" s="671">
        <f t="shared" ref="G90:G101" si="85">M121*1.62</f>
        <v>24.3</v>
      </c>
      <c r="I90" s="768"/>
      <c r="J90" s="768">
        <v>1</v>
      </c>
      <c r="K90" s="768">
        <v>0</v>
      </c>
      <c r="L90" s="768"/>
      <c r="M90" s="768"/>
      <c r="R90" s="672" t="s">
        <v>1475</v>
      </c>
      <c r="S90" s="673">
        <f t="shared" si="83"/>
        <v>0.43</v>
      </c>
      <c r="T90" s="671">
        <f t="shared" si="84"/>
        <v>0.8</v>
      </c>
      <c r="U90" s="671"/>
      <c r="AA90" s="634">
        <v>30</v>
      </c>
      <c r="AG90" s="710" t="s">
        <v>1410</v>
      </c>
      <c r="AH90" s="764">
        <v>0.15</v>
      </c>
      <c r="AI90" s="760">
        <v>0.8</v>
      </c>
      <c r="AT90" s="667"/>
      <c r="AU90" s="667"/>
      <c r="AV90" s="667"/>
    </row>
    <row r="91" spans="1:67">
      <c r="B91" s="661"/>
      <c r="C91" s="635" t="s">
        <v>2904</v>
      </c>
      <c r="D91" s="634">
        <v>12</v>
      </c>
      <c r="G91" s="671">
        <f t="shared" si="85"/>
        <v>24.3</v>
      </c>
      <c r="I91" s="768"/>
      <c r="J91" s="768">
        <v>1</v>
      </c>
      <c r="K91" s="768">
        <v>0</v>
      </c>
      <c r="L91" s="768"/>
      <c r="M91" s="768"/>
      <c r="R91" s="672" t="s">
        <v>1475</v>
      </c>
      <c r="S91" s="673">
        <f t="shared" si="83"/>
        <v>0.43</v>
      </c>
      <c r="T91" s="671">
        <f t="shared" si="84"/>
        <v>0.8</v>
      </c>
      <c r="U91" s="671"/>
      <c r="AA91" s="634">
        <v>15</v>
      </c>
      <c r="AG91" s="672" t="s">
        <v>1409</v>
      </c>
      <c r="AH91" s="764">
        <v>0.28999999999999998</v>
      </c>
      <c r="AI91" s="760">
        <v>0.8</v>
      </c>
    </row>
    <row r="92" spans="1:67">
      <c r="B92" s="661"/>
      <c r="C92" s="635" t="s">
        <v>2912</v>
      </c>
      <c r="D92" s="634">
        <v>9</v>
      </c>
      <c r="G92" s="671">
        <f t="shared" si="85"/>
        <v>24.3</v>
      </c>
      <c r="I92" s="768"/>
      <c r="J92" s="768">
        <v>0.9</v>
      </c>
      <c r="K92" s="768">
        <v>0.1</v>
      </c>
      <c r="L92" s="768"/>
      <c r="M92" s="768"/>
      <c r="R92" s="672" t="s">
        <v>1475</v>
      </c>
      <c r="S92" s="673">
        <f t="shared" si="83"/>
        <v>0.43</v>
      </c>
      <c r="T92" s="671">
        <f t="shared" si="84"/>
        <v>0.8</v>
      </c>
      <c r="U92" s="671"/>
      <c r="AA92" s="634">
        <v>15</v>
      </c>
      <c r="AG92" s="672" t="s">
        <v>1473</v>
      </c>
      <c r="AH92" s="764">
        <v>0.36</v>
      </c>
      <c r="AI92" s="760">
        <v>0.8</v>
      </c>
    </row>
    <row r="93" spans="1:67">
      <c r="B93" s="661"/>
      <c r="C93" s="635" t="s">
        <v>2905</v>
      </c>
      <c r="D93" s="634">
        <v>24</v>
      </c>
      <c r="G93" s="671">
        <f t="shared" si="85"/>
        <v>24.3</v>
      </c>
      <c r="I93" s="768"/>
      <c r="J93" s="768">
        <v>1</v>
      </c>
      <c r="K93" s="768">
        <v>0</v>
      </c>
      <c r="L93" s="768"/>
      <c r="M93" s="768"/>
      <c r="R93" s="672" t="s">
        <v>1473</v>
      </c>
      <c r="S93" s="673">
        <f t="shared" si="83"/>
        <v>0.36</v>
      </c>
      <c r="T93" s="671">
        <f t="shared" si="84"/>
        <v>0.8</v>
      </c>
      <c r="U93" s="671"/>
      <c r="AA93" s="635" t="s">
        <v>99</v>
      </c>
      <c r="AG93" s="672" t="s">
        <v>1474</v>
      </c>
      <c r="AH93" s="763">
        <v>0.43</v>
      </c>
      <c r="AI93" s="760">
        <v>0.8</v>
      </c>
      <c r="AJ93" s="667"/>
      <c r="AK93" s="667"/>
      <c r="AL93" s="667"/>
      <c r="AM93" s="667"/>
      <c r="AN93" s="667"/>
      <c r="AO93" s="667"/>
    </row>
    <row r="94" spans="1:67">
      <c r="B94" s="661"/>
      <c r="C94" s="635" t="s">
        <v>2906</v>
      </c>
      <c r="D94" s="634">
        <v>0</v>
      </c>
      <c r="G94" s="671">
        <f t="shared" si="85"/>
        <v>24.3</v>
      </c>
      <c r="I94" s="768"/>
      <c r="J94" s="768">
        <v>1</v>
      </c>
      <c r="K94" s="768">
        <v>0</v>
      </c>
      <c r="L94" s="768"/>
      <c r="M94" s="768"/>
      <c r="R94" s="672" t="s">
        <v>1475</v>
      </c>
      <c r="S94" s="673">
        <f t="shared" si="83"/>
        <v>0.43</v>
      </c>
      <c r="T94" s="671">
        <f t="shared" si="84"/>
        <v>0.8</v>
      </c>
      <c r="U94" s="671"/>
      <c r="AA94" s="635" t="s">
        <v>99</v>
      </c>
      <c r="AF94" s="667"/>
      <c r="AG94" s="672" t="s">
        <v>1475</v>
      </c>
      <c r="AH94" s="764">
        <v>0.43</v>
      </c>
      <c r="AI94" s="760">
        <v>0.8</v>
      </c>
    </row>
    <row r="95" spans="1:67">
      <c r="B95" s="661"/>
      <c r="C95" s="635" t="s">
        <v>1351</v>
      </c>
      <c r="D95" s="634">
        <v>24</v>
      </c>
      <c r="G95" s="671">
        <f t="shared" si="85"/>
        <v>24.3</v>
      </c>
      <c r="I95" s="768"/>
      <c r="J95" s="768">
        <v>1</v>
      </c>
      <c r="K95" s="768">
        <v>0</v>
      </c>
      <c r="L95" s="768"/>
      <c r="M95" s="768"/>
      <c r="R95" s="672" t="s">
        <v>1446</v>
      </c>
      <c r="S95" s="673">
        <f t="shared" si="83"/>
        <v>0.35</v>
      </c>
      <c r="T95" s="671">
        <f t="shared" si="84"/>
        <v>0.8</v>
      </c>
      <c r="U95" s="671"/>
      <c r="AA95" s="635" t="s">
        <v>99</v>
      </c>
      <c r="AG95" s="634" t="s">
        <v>1445</v>
      </c>
      <c r="AH95" s="764">
        <v>0.42</v>
      </c>
      <c r="AI95" s="760">
        <v>0.8</v>
      </c>
    </row>
    <row r="96" spans="1:67">
      <c r="B96" s="661"/>
      <c r="C96" s="635" t="s">
        <v>2907</v>
      </c>
      <c r="D96" s="634">
        <v>12</v>
      </c>
      <c r="G96" s="671">
        <f t="shared" si="85"/>
        <v>24.3</v>
      </c>
      <c r="I96" s="768"/>
      <c r="J96" s="768">
        <v>0.5</v>
      </c>
      <c r="K96" s="768">
        <v>0.5</v>
      </c>
      <c r="L96" s="768"/>
      <c r="M96" s="768"/>
      <c r="R96" s="672" t="s">
        <v>1473</v>
      </c>
      <c r="S96" s="673">
        <f t="shared" si="83"/>
        <v>0.36</v>
      </c>
      <c r="T96" s="671">
        <f t="shared" si="84"/>
        <v>0.8</v>
      </c>
      <c r="U96" s="671"/>
      <c r="AA96" s="635" t="s">
        <v>99</v>
      </c>
    </row>
    <row r="97" spans="1:45">
      <c r="B97" s="661"/>
      <c r="C97" s="635" t="s">
        <v>2903</v>
      </c>
      <c r="D97" s="634">
        <v>12</v>
      </c>
      <c r="G97" s="671">
        <f t="shared" si="85"/>
        <v>24.3</v>
      </c>
      <c r="I97" s="768"/>
      <c r="J97" s="768">
        <v>1</v>
      </c>
      <c r="K97" s="768">
        <v>0</v>
      </c>
      <c r="L97" s="768"/>
      <c r="M97" s="768"/>
      <c r="R97" s="672" t="s">
        <v>1410</v>
      </c>
      <c r="S97" s="673">
        <f t="shared" si="83"/>
        <v>0.15</v>
      </c>
      <c r="T97" s="671">
        <f t="shared" si="84"/>
        <v>0.8</v>
      </c>
      <c r="U97" s="671"/>
      <c r="AA97" s="635" t="s">
        <v>99</v>
      </c>
      <c r="AG97" s="667"/>
      <c r="AH97" s="667"/>
      <c r="AI97" s="667"/>
    </row>
    <row r="98" spans="1:45">
      <c r="B98" s="661"/>
      <c r="C98" s="635" t="s">
        <v>2901</v>
      </c>
      <c r="D98" s="634">
        <v>12</v>
      </c>
      <c r="G98" s="671">
        <f t="shared" si="85"/>
        <v>24.3</v>
      </c>
      <c r="I98" s="768"/>
      <c r="J98" s="768">
        <v>1</v>
      </c>
      <c r="K98" s="768">
        <v>0</v>
      </c>
      <c r="L98" s="768"/>
      <c r="M98" s="768"/>
      <c r="R98" s="672" t="s">
        <v>1410</v>
      </c>
      <c r="S98" s="673">
        <f t="shared" si="83"/>
        <v>0.15</v>
      </c>
      <c r="T98" s="671">
        <f t="shared" si="84"/>
        <v>0.8</v>
      </c>
      <c r="U98" s="671"/>
      <c r="AA98" s="635" t="s">
        <v>99</v>
      </c>
      <c r="AG98" s="634" t="s">
        <v>651</v>
      </c>
      <c r="AI98" s="769" t="s">
        <v>1354</v>
      </c>
    </row>
    <row r="99" spans="1:45">
      <c r="B99" s="661"/>
      <c r="C99" s="635" t="s">
        <v>2911</v>
      </c>
      <c r="D99" s="634">
        <v>12</v>
      </c>
      <c r="G99" s="671">
        <f t="shared" si="85"/>
        <v>24.3</v>
      </c>
      <c r="I99" s="768"/>
      <c r="J99" s="768">
        <v>1</v>
      </c>
      <c r="K99" s="768">
        <v>0</v>
      </c>
      <c r="L99" s="768"/>
      <c r="M99" s="768"/>
      <c r="R99" s="672" t="s">
        <v>1410</v>
      </c>
      <c r="S99" s="673">
        <f t="shared" si="83"/>
        <v>0.15</v>
      </c>
      <c r="T99" s="671">
        <f t="shared" si="84"/>
        <v>0.8</v>
      </c>
      <c r="U99" s="671"/>
      <c r="AE99" s="667"/>
      <c r="AG99" s="634" t="s">
        <v>1389</v>
      </c>
      <c r="AI99" s="769" t="s">
        <v>1348</v>
      </c>
      <c r="AQ99" s="667"/>
      <c r="AR99" s="667"/>
      <c r="AS99" s="667"/>
    </row>
    <row r="100" spans="1:45">
      <c r="B100" s="661"/>
      <c r="C100" s="635" t="s">
        <v>2902</v>
      </c>
      <c r="D100" s="634">
        <v>24</v>
      </c>
      <c r="G100" s="671">
        <f t="shared" si="85"/>
        <v>24.3</v>
      </c>
      <c r="I100" s="768"/>
      <c r="J100" s="768">
        <v>1</v>
      </c>
      <c r="K100" s="768">
        <v>0</v>
      </c>
      <c r="L100" s="768"/>
      <c r="M100" s="768"/>
      <c r="R100" s="672" t="s">
        <v>1410</v>
      </c>
      <c r="S100" s="673">
        <f t="shared" si="83"/>
        <v>0.15</v>
      </c>
      <c r="T100" s="671">
        <f t="shared" si="84"/>
        <v>0.8</v>
      </c>
      <c r="U100" s="671"/>
      <c r="Y100" s="667"/>
      <c r="AG100" s="634" t="s">
        <v>1393</v>
      </c>
      <c r="AI100" s="769" t="s">
        <v>2904</v>
      </c>
    </row>
    <row r="101" spans="1:45">
      <c r="C101" s="635" t="s">
        <v>1352</v>
      </c>
      <c r="D101" s="634">
        <v>16</v>
      </c>
      <c r="G101" s="671">
        <f t="shared" si="85"/>
        <v>24.3</v>
      </c>
      <c r="I101" s="638"/>
      <c r="J101" s="638">
        <v>1</v>
      </c>
      <c r="K101" s="638">
        <v>0</v>
      </c>
      <c r="L101" s="638"/>
      <c r="M101" s="638"/>
      <c r="R101" s="672" t="s">
        <v>1475</v>
      </c>
      <c r="S101" s="673">
        <f t="shared" si="83"/>
        <v>0.43</v>
      </c>
      <c r="T101" s="671">
        <f t="shared" si="84"/>
        <v>0.8</v>
      </c>
      <c r="U101" s="671"/>
      <c r="AG101" s="634" t="s">
        <v>1396</v>
      </c>
      <c r="AI101" s="787" t="s">
        <v>2912</v>
      </c>
    </row>
    <row r="102" spans="1:45">
      <c r="A102" s="791"/>
      <c r="C102" s="635"/>
      <c r="I102" s="638"/>
      <c r="J102" s="638"/>
      <c r="K102" s="638"/>
      <c r="L102" s="638"/>
      <c r="M102" s="638"/>
      <c r="Z102" s="667"/>
      <c r="AA102" s="667"/>
      <c r="AB102" s="667"/>
      <c r="AC102" s="667"/>
      <c r="AD102" s="667"/>
      <c r="AG102" s="634" t="s">
        <v>1398</v>
      </c>
      <c r="AI102" s="769" t="s">
        <v>2905</v>
      </c>
      <c r="AP102" s="667"/>
    </row>
    <row r="103" spans="1:45">
      <c r="A103" s="791"/>
      <c r="B103" s="634" t="s">
        <v>1460</v>
      </c>
      <c r="AG103" s="634" t="s">
        <v>242</v>
      </c>
      <c r="AI103" s="769" t="s">
        <v>2906</v>
      </c>
    </row>
    <row r="104" spans="1:45">
      <c r="A104" s="791"/>
      <c r="D104" s="2236" t="s">
        <v>1461</v>
      </c>
      <c r="E104" s="2236"/>
      <c r="F104" s="2236"/>
      <c r="G104" s="2236" t="s">
        <v>1462</v>
      </c>
      <c r="H104" s="2236"/>
      <c r="I104" s="2236"/>
      <c r="AG104" s="634" t="s">
        <v>1403</v>
      </c>
      <c r="AI104" s="769" t="s">
        <v>1351</v>
      </c>
    </row>
    <row r="105" spans="1:45" ht="51">
      <c r="A105" s="792"/>
      <c r="B105" s="667"/>
      <c r="C105" s="667" t="s">
        <v>1378</v>
      </c>
      <c r="D105" s="667" t="s">
        <v>1463</v>
      </c>
      <c r="E105" s="667" t="s">
        <v>1464</v>
      </c>
      <c r="F105" s="668" t="s">
        <v>1465</v>
      </c>
      <c r="G105" s="667" t="s">
        <v>1463</v>
      </c>
      <c r="H105" s="667" t="s">
        <v>1464</v>
      </c>
      <c r="I105" s="668" t="s">
        <v>1465</v>
      </c>
      <c r="J105" s="668" t="s">
        <v>1466</v>
      </c>
      <c r="K105" s="667" t="s">
        <v>6472</v>
      </c>
      <c r="L105" s="668" t="s">
        <v>2909</v>
      </c>
      <c r="M105" s="668" t="s">
        <v>4734</v>
      </c>
      <c r="N105" s="667"/>
      <c r="O105" s="667"/>
      <c r="P105" s="667"/>
      <c r="Q105" s="759" t="s">
        <v>1378</v>
      </c>
      <c r="R105" s="759" t="s">
        <v>1467</v>
      </c>
      <c r="S105" s="667" t="s">
        <v>1468</v>
      </c>
      <c r="T105" s="713" t="s">
        <v>2867</v>
      </c>
      <c r="U105" s="667"/>
      <c r="V105" s="667"/>
      <c r="W105" s="667"/>
      <c r="X105" s="667"/>
      <c r="AG105" s="634" t="s">
        <v>1008</v>
      </c>
      <c r="AI105" s="769" t="s">
        <v>2907</v>
      </c>
    </row>
    <row r="106" spans="1:45">
      <c r="A106" s="791"/>
      <c r="C106" s="634" t="s">
        <v>651</v>
      </c>
      <c r="D106" s="638" t="s">
        <v>1469</v>
      </c>
      <c r="E106" s="634">
        <v>30</v>
      </c>
      <c r="F106" s="680">
        <v>0.5</v>
      </c>
      <c r="G106" s="638" t="s">
        <v>1470</v>
      </c>
      <c r="H106" s="634">
        <v>5</v>
      </c>
      <c r="I106" s="681">
        <v>0.5</v>
      </c>
      <c r="J106" s="682">
        <f>E106*F106+H106*I106</f>
        <v>17.5</v>
      </c>
      <c r="K106" s="671">
        <v>71</v>
      </c>
      <c r="Q106" s="760" t="s">
        <v>651</v>
      </c>
      <c r="R106" s="761">
        <f>J106</f>
        <v>17.5</v>
      </c>
      <c r="S106" s="661">
        <v>14.569590327352248</v>
      </c>
      <c r="T106" s="634">
        <v>5</v>
      </c>
      <c r="AG106" s="634" t="s">
        <v>1264</v>
      </c>
      <c r="AI106" s="769" t="s">
        <v>2903</v>
      </c>
    </row>
    <row r="107" spans="1:45">
      <c r="A107" s="791"/>
      <c r="C107" s="634" t="s">
        <v>1389</v>
      </c>
      <c r="D107" s="638" t="s">
        <v>1469</v>
      </c>
      <c r="E107" s="634">
        <v>30</v>
      </c>
      <c r="F107" s="680">
        <v>0.3</v>
      </c>
      <c r="G107" s="638" t="s">
        <v>1470</v>
      </c>
      <c r="H107" s="634">
        <v>5</v>
      </c>
      <c r="I107" s="681">
        <v>0.7</v>
      </c>
      <c r="J107" s="682">
        <f t="shared" ref="J107:J119" si="86">E107*F107+H107*I107</f>
        <v>12.5</v>
      </c>
      <c r="K107" s="671">
        <v>159</v>
      </c>
      <c r="Q107" s="760" t="s">
        <v>1389</v>
      </c>
      <c r="R107" s="761">
        <f t="shared" ref="R107:R119" si="87">J107</f>
        <v>12.5</v>
      </c>
      <c r="S107" s="661">
        <v>6.0322022223741731</v>
      </c>
      <c r="T107" s="634">
        <v>3</v>
      </c>
      <c r="AG107" s="634" t="s">
        <v>1350</v>
      </c>
      <c r="AI107" s="769" t="s">
        <v>2901</v>
      </c>
    </row>
    <row r="108" spans="1:45">
      <c r="A108" s="791"/>
      <c r="C108" s="634" t="s">
        <v>1393</v>
      </c>
      <c r="D108" s="638" t="s">
        <v>1470</v>
      </c>
      <c r="E108" s="634">
        <v>5</v>
      </c>
      <c r="F108" s="680">
        <v>0</v>
      </c>
      <c r="G108" s="638" t="s">
        <v>1470</v>
      </c>
      <c r="H108" s="634">
        <v>5</v>
      </c>
      <c r="I108" s="681">
        <v>1</v>
      </c>
      <c r="J108" s="682">
        <f t="shared" si="86"/>
        <v>5</v>
      </c>
      <c r="K108" s="671">
        <v>38</v>
      </c>
      <c r="Q108" s="760" t="s">
        <v>1393</v>
      </c>
      <c r="R108" s="761">
        <f t="shared" si="87"/>
        <v>5</v>
      </c>
      <c r="S108" s="661">
        <v>16.006698285684003</v>
      </c>
      <c r="T108" s="634">
        <v>3</v>
      </c>
      <c r="AG108" s="634" t="s">
        <v>1334</v>
      </c>
      <c r="AI108" s="787" t="s">
        <v>2911</v>
      </c>
    </row>
    <row r="109" spans="1:45">
      <c r="A109" s="791"/>
      <c r="C109" s="634" t="s">
        <v>1396</v>
      </c>
      <c r="D109" s="1063" t="s">
        <v>2908</v>
      </c>
      <c r="E109" s="634">
        <v>10</v>
      </c>
      <c r="F109" s="680">
        <v>0.3</v>
      </c>
      <c r="G109" s="638" t="s">
        <v>1470</v>
      </c>
      <c r="H109" s="634">
        <v>5</v>
      </c>
      <c r="I109" s="681">
        <v>0.7</v>
      </c>
      <c r="J109" s="682">
        <f t="shared" si="86"/>
        <v>6.5</v>
      </c>
      <c r="K109" s="671">
        <v>139</v>
      </c>
      <c r="Q109" s="760" t="s">
        <v>1396</v>
      </c>
      <c r="R109" s="761">
        <f t="shared" si="87"/>
        <v>6.5</v>
      </c>
      <c r="S109" s="661">
        <v>3.2515845640513028</v>
      </c>
      <c r="T109" s="634">
        <v>3</v>
      </c>
      <c r="AG109" s="634" t="s">
        <v>1410</v>
      </c>
      <c r="AI109" s="769" t="s">
        <v>2902</v>
      </c>
    </row>
    <row r="110" spans="1:45">
      <c r="A110" s="791"/>
      <c r="C110" s="634" t="s">
        <v>1398</v>
      </c>
      <c r="D110" s="638" t="s">
        <v>1469</v>
      </c>
      <c r="E110" s="634">
        <v>30</v>
      </c>
      <c r="F110" s="680">
        <v>0.15</v>
      </c>
      <c r="G110" s="638" t="s">
        <v>1470</v>
      </c>
      <c r="H110" s="634">
        <v>5</v>
      </c>
      <c r="I110" s="681">
        <v>0.85</v>
      </c>
      <c r="J110" s="682">
        <f t="shared" si="86"/>
        <v>8.75</v>
      </c>
      <c r="K110" s="671">
        <v>299</v>
      </c>
      <c r="Q110" s="760" t="s">
        <v>1398</v>
      </c>
      <c r="R110" s="761">
        <f t="shared" si="87"/>
        <v>8.75</v>
      </c>
      <c r="S110" s="661">
        <v>5.5295885320423741</v>
      </c>
      <c r="T110" s="634">
        <v>3</v>
      </c>
      <c r="AG110" s="634" t="s">
        <v>1412</v>
      </c>
      <c r="AI110" s="769" t="s">
        <v>1352</v>
      </c>
    </row>
    <row r="111" spans="1:45">
      <c r="A111" s="791"/>
      <c r="C111" s="634" t="s">
        <v>242</v>
      </c>
      <c r="D111" s="638" t="s">
        <v>1469</v>
      </c>
      <c r="E111" s="634">
        <v>0</v>
      </c>
      <c r="F111" s="680">
        <v>0.15</v>
      </c>
      <c r="G111" s="638" t="s">
        <v>1470</v>
      </c>
      <c r="H111" s="634">
        <v>5</v>
      </c>
      <c r="I111" s="681">
        <v>1</v>
      </c>
      <c r="J111" s="682">
        <f t="shared" si="86"/>
        <v>5</v>
      </c>
      <c r="K111" s="671">
        <v>461</v>
      </c>
      <c r="Q111" s="760" t="s">
        <v>242</v>
      </c>
      <c r="R111" s="761">
        <f t="shared" si="87"/>
        <v>5</v>
      </c>
      <c r="S111" s="661">
        <v>10.455134780264286</v>
      </c>
      <c r="T111" s="634">
        <v>3</v>
      </c>
      <c r="AG111" s="634" t="s">
        <v>1414</v>
      </c>
    </row>
    <row r="112" spans="1:45">
      <c r="A112" s="792"/>
      <c r="C112" s="634" t="s">
        <v>1403</v>
      </c>
      <c r="D112" s="638" t="s">
        <v>1472</v>
      </c>
      <c r="E112" s="634">
        <v>3</v>
      </c>
      <c r="F112" s="680">
        <v>1</v>
      </c>
      <c r="G112" s="638" t="s">
        <v>1470</v>
      </c>
      <c r="H112" s="634">
        <v>5</v>
      </c>
      <c r="I112" s="681">
        <v>0</v>
      </c>
      <c r="J112" s="682">
        <f t="shared" si="86"/>
        <v>3</v>
      </c>
      <c r="K112" s="671">
        <v>43</v>
      </c>
      <c r="Q112" s="760" t="s">
        <v>1403</v>
      </c>
      <c r="R112" s="761">
        <f t="shared" si="87"/>
        <v>3</v>
      </c>
      <c r="S112" s="661">
        <v>14.865695121472243</v>
      </c>
      <c r="T112" s="634">
        <v>0</v>
      </c>
    </row>
    <row r="113" spans="1:33">
      <c r="A113" s="791"/>
      <c r="C113" s="634" t="s">
        <v>1008</v>
      </c>
      <c r="D113" s="1063" t="s">
        <v>4739</v>
      </c>
      <c r="E113" s="634">
        <v>40</v>
      </c>
      <c r="F113" s="680">
        <v>0.4</v>
      </c>
      <c r="G113" s="638" t="s">
        <v>1470</v>
      </c>
      <c r="H113" s="634">
        <v>5</v>
      </c>
      <c r="I113" s="681">
        <v>0.6</v>
      </c>
      <c r="J113" s="682">
        <f t="shared" si="86"/>
        <v>19</v>
      </c>
      <c r="K113" s="671">
        <v>173</v>
      </c>
      <c r="Q113" s="760" t="s">
        <v>1008</v>
      </c>
      <c r="R113" s="761">
        <f t="shared" si="87"/>
        <v>19</v>
      </c>
      <c r="S113" s="661">
        <v>15.456860330106178</v>
      </c>
      <c r="T113" s="634">
        <v>3</v>
      </c>
      <c r="AG113" s="634" t="s">
        <v>1476</v>
      </c>
    </row>
    <row r="114" spans="1:33">
      <c r="A114" s="791"/>
      <c r="C114" s="634" t="s">
        <v>1264</v>
      </c>
      <c r="D114" s="638" t="s">
        <v>1469</v>
      </c>
      <c r="E114" s="634">
        <v>30</v>
      </c>
      <c r="F114" s="680">
        <v>0.15</v>
      </c>
      <c r="G114" s="638" t="s">
        <v>1470</v>
      </c>
      <c r="H114" s="634">
        <v>5</v>
      </c>
      <c r="I114" s="681">
        <v>0.85</v>
      </c>
      <c r="J114" s="682">
        <f>E114*F114+H114*I114</f>
        <v>8.75</v>
      </c>
      <c r="K114" s="671">
        <v>242</v>
      </c>
      <c r="Q114" s="760" t="s">
        <v>1264</v>
      </c>
      <c r="R114" s="761">
        <f t="shared" si="87"/>
        <v>8.75</v>
      </c>
      <c r="S114" s="661">
        <v>10.374863957130458</v>
      </c>
      <c r="T114" s="634">
        <v>3</v>
      </c>
      <c r="AG114" s="634" t="s">
        <v>1477</v>
      </c>
    </row>
    <row r="115" spans="1:33">
      <c r="C115" s="634" t="s">
        <v>1350</v>
      </c>
      <c r="D115" s="638" t="s">
        <v>244</v>
      </c>
      <c r="E115" s="634">
        <v>50</v>
      </c>
      <c r="F115" s="680">
        <v>0.15</v>
      </c>
      <c r="G115" s="638" t="s">
        <v>1470</v>
      </c>
      <c r="H115" s="634">
        <v>5</v>
      </c>
      <c r="I115" s="681">
        <v>0.85</v>
      </c>
      <c r="J115" s="682">
        <f t="shared" si="86"/>
        <v>11.75</v>
      </c>
      <c r="K115" s="671">
        <v>118</v>
      </c>
      <c r="Q115" s="760" t="s">
        <v>1350</v>
      </c>
      <c r="R115" s="761">
        <f t="shared" si="87"/>
        <v>11.75</v>
      </c>
      <c r="S115" s="661">
        <v>24.938401234652208</v>
      </c>
      <c r="T115" s="634">
        <v>3</v>
      </c>
      <c r="AG115" s="634" t="s">
        <v>1399</v>
      </c>
    </row>
    <row r="116" spans="1:33">
      <c r="C116" s="634" t="s">
        <v>1334</v>
      </c>
      <c r="D116" s="638" t="s">
        <v>1469</v>
      </c>
      <c r="E116" s="634">
        <v>30</v>
      </c>
      <c r="F116" s="680">
        <v>0.15</v>
      </c>
      <c r="G116" s="638" t="s">
        <v>1470</v>
      </c>
      <c r="H116" s="634">
        <v>5</v>
      </c>
      <c r="I116" s="681">
        <v>0.85</v>
      </c>
      <c r="J116" s="682">
        <f>E116*F116+H116*I116</f>
        <v>8.75</v>
      </c>
      <c r="K116" s="671">
        <v>105</v>
      </c>
      <c r="Q116" s="760" t="s">
        <v>1334</v>
      </c>
      <c r="R116" s="761">
        <f>J116</f>
        <v>8.75</v>
      </c>
      <c r="S116" s="661">
        <v>32.407943228765149</v>
      </c>
      <c r="T116" s="634">
        <v>3</v>
      </c>
      <c r="AG116" s="634" t="s">
        <v>1421</v>
      </c>
    </row>
    <row r="117" spans="1:33">
      <c r="C117" s="634" t="s">
        <v>1410</v>
      </c>
      <c r="D117" s="638" t="s">
        <v>1472</v>
      </c>
      <c r="E117" s="634">
        <v>3</v>
      </c>
      <c r="F117" s="680">
        <v>1</v>
      </c>
      <c r="G117" s="638" t="s">
        <v>1470</v>
      </c>
      <c r="H117" s="634">
        <v>5</v>
      </c>
      <c r="I117" s="681">
        <v>0</v>
      </c>
      <c r="J117" s="682">
        <f t="shared" si="86"/>
        <v>3</v>
      </c>
      <c r="K117" s="671">
        <v>400</v>
      </c>
      <c r="Q117" s="760" t="s">
        <v>1410</v>
      </c>
      <c r="R117" s="761">
        <f t="shared" si="87"/>
        <v>3</v>
      </c>
      <c r="S117" s="661">
        <v>2.3088522385856654</v>
      </c>
      <c r="T117" s="634">
        <v>0</v>
      </c>
      <c r="AG117" s="634" t="s">
        <v>1415</v>
      </c>
    </row>
    <row r="118" spans="1:33">
      <c r="C118" s="634" t="s">
        <v>1450</v>
      </c>
      <c r="D118" s="638" t="s">
        <v>1470</v>
      </c>
      <c r="E118" s="634">
        <v>5</v>
      </c>
      <c r="F118" s="680">
        <v>1</v>
      </c>
      <c r="G118" s="638" t="s">
        <v>1470</v>
      </c>
      <c r="H118" s="634">
        <v>5</v>
      </c>
      <c r="I118" s="681">
        <v>0</v>
      </c>
      <c r="J118" s="682">
        <f>E118*F118+H118*I118</f>
        <v>5</v>
      </c>
      <c r="K118" s="671">
        <v>0</v>
      </c>
      <c r="Q118" s="760" t="s">
        <v>1450</v>
      </c>
      <c r="R118" s="761">
        <f>J118</f>
        <v>5</v>
      </c>
      <c r="S118" s="684" t="s">
        <v>99</v>
      </c>
      <c r="T118" s="634">
        <v>3</v>
      </c>
      <c r="AG118" s="634" t="s">
        <v>1478</v>
      </c>
    </row>
    <row r="119" spans="1:33">
      <c r="C119" s="634" t="s">
        <v>1414</v>
      </c>
      <c r="D119" s="638" t="s">
        <v>1469</v>
      </c>
      <c r="E119" s="634">
        <v>30</v>
      </c>
      <c r="F119" s="680">
        <v>0.5</v>
      </c>
      <c r="G119" s="638" t="s">
        <v>1470</v>
      </c>
      <c r="H119" s="634">
        <v>5</v>
      </c>
      <c r="I119" s="681">
        <v>0.5</v>
      </c>
      <c r="J119" s="682">
        <f t="shared" si="86"/>
        <v>17.5</v>
      </c>
      <c r="K119" s="671">
        <v>58</v>
      </c>
      <c r="Q119" s="760" t="s">
        <v>1414</v>
      </c>
      <c r="R119" s="761">
        <f t="shared" si="87"/>
        <v>17.5</v>
      </c>
      <c r="S119" s="661">
        <v>19.079850334385796</v>
      </c>
      <c r="T119" s="634">
        <v>3</v>
      </c>
      <c r="AG119" s="634" t="s">
        <v>1417</v>
      </c>
    </row>
    <row r="120" spans="1:33">
      <c r="C120" s="769" t="s">
        <v>1354</v>
      </c>
      <c r="D120" s="771" t="s">
        <v>2908</v>
      </c>
      <c r="E120" s="769">
        <v>15</v>
      </c>
      <c r="F120" s="769"/>
      <c r="G120" s="769"/>
      <c r="H120" s="769"/>
      <c r="I120" s="769"/>
      <c r="J120" s="769"/>
      <c r="K120" s="769"/>
      <c r="L120" s="769">
        <v>0.9</v>
      </c>
      <c r="M120" s="770">
        <v>15</v>
      </c>
      <c r="AG120" s="634" t="s">
        <v>1479</v>
      </c>
    </row>
    <row r="121" spans="1:33">
      <c r="C121" s="769" t="s">
        <v>1348</v>
      </c>
      <c r="D121" s="771" t="s">
        <v>1469</v>
      </c>
      <c r="E121" s="769">
        <v>30</v>
      </c>
      <c r="F121" s="769"/>
      <c r="G121" s="769"/>
      <c r="H121" s="769"/>
      <c r="I121" s="769"/>
      <c r="J121" s="769"/>
      <c r="K121" s="769"/>
      <c r="L121" s="769">
        <v>0.7</v>
      </c>
      <c r="M121" s="770">
        <v>15</v>
      </c>
      <c r="AG121" s="634" t="s">
        <v>1390</v>
      </c>
    </row>
    <row r="122" spans="1:33">
      <c r="C122" s="769" t="s">
        <v>2904</v>
      </c>
      <c r="D122" s="771" t="s">
        <v>99</v>
      </c>
      <c r="E122" s="769">
        <v>9.3000000000000007</v>
      </c>
      <c r="F122" s="769"/>
      <c r="G122" s="769"/>
      <c r="H122" s="769"/>
      <c r="I122" s="769"/>
      <c r="J122" s="769"/>
      <c r="K122" s="769"/>
      <c r="L122" s="769">
        <v>2.8</v>
      </c>
      <c r="M122" s="770">
        <v>15</v>
      </c>
      <c r="AG122" s="634" t="s">
        <v>1480</v>
      </c>
    </row>
    <row r="123" spans="1:33">
      <c r="C123" s="787" t="s">
        <v>2912</v>
      </c>
      <c r="D123" s="771" t="s">
        <v>1469</v>
      </c>
      <c r="E123" s="769">
        <v>30</v>
      </c>
      <c r="F123" s="769"/>
      <c r="G123" s="769"/>
      <c r="H123" s="769"/>
      <c r="I123" s="769"/>
      <c r="J123" s="769"/>
      <c r="K123" s="769"/>
      <c r="L123" s="769">
        <v>1</v>
      </c>
      <c r="M123" s="770">
        <v>15</v>
      </c>
      <c r="AG123" s="634" t="s">
        <v>1396</v>
      </c>
    </row>
    <row r="124" spans="1:33">
      <c r="C124" s="769" t="s">
        <v>2905</v>
      </c>
      <c r="D124" s="771" t="s">
        <v>2908</v>
      </c>
      <c r="E124" s="769">
        <v>15</v>
      </c>
      <c r="F124" s="769"/>
      <c r="G124" s="769"/>
      <c r="H124" s="769"/>
      <c r="I124" s="769"/>
      <c r="J124" s="769"/>
      <c r="K124" s="769"/>
      <c r="L124" s="769">
        <v>1.25</v>
      </c>
      <c r="M124" s="770">
        <v>15</v>
      </c>
      <c r="AG124" s="634" t="s">
        <v>1398</v>
      </c>
    </row>
    <row r="125" spans="1:33">
      <c r="C125" s="769" t="s">
        <v>2906</v>
      </c>
      <c r="D125" s="771" t="s">
        <v>1469</v>
      </c>
      <c r="E125" s="769">
        <v>30</v>
      </c>
      <c r="F125" s="769"/>
      <c r="G125" s="769"/>
      <c r="H125" s="769"/>
      <c r="I125" s="769"/>
      <c r="J125" s="769"/>
      <c r="K125" s="769"/>
      <c r="L125" s="769">
        <v>1.5</v>
      </c>
      <c r="M125" s="770">
        <v>15</v>
      </c>
      <c r="AG125" s="634" t="s">
        <v>1404</v>
      </c>
    </row>
    <row r="126" spans="1:33">
      <c r="C126" s="769" t="s">
        <v>1351</v>
      </c>
      <c r="D126" s="771" t="s">
        <v>2908</v>
      </c>
      <c r="E126" s="769">
        <v>15</v>
      </c>
      <c r="F126" s="769"/>
      <c r="G126" s="769"/>
      <c r="H126" s="769"/>
      <c r="I126" s="769"/>
      <c r="J126" s="769"/>
      <c r="K126" s="769"/>
      <c r="L126" s="769">
        <v>0.5</v>
      </c>
      <c r="M126" s="770">
        <v>15</v>
      </c>
      <c r="AG126" s="634" t="s">
        <v>242</v>
      </c>
    </row>
    <row r="127" spans="1:33">
      <c r="C127" s="769" t="s">
        <v>2907</v>
      </c>
      <c r="D127" s="771" t="s">
        <v>2908</v>
      </c>
      <c r="E127" s="769">
        <v>15</v>
      </c>
      <c r="F127" s="769"/>
      <c r="G127" s="769"/>
      <c r="H127" s="769"/>
      <c r="I127" s="769"/>
      <c r="J127" s="769"/>
      <c r="K127" s="769"/>
      <c r="L127" s="769">
        <v>1.1000000000000001</v>
      </c>
      <c r="M127" s="770">
        <v>15</v>
      </c>
      <c r="AG127" s="634" t="s">
        <v>1481</v>
      </c>
    </row>
    <row r="128" spans="1:33">
      <c r="C128" s="769" t="s">
        <v>2903</v>
      </c>
      <c r="D128" s="771" t="s">
        <v>99</v>
      </c>
      <c r="E128" s="769">
        <v>2</v>
      </c>
      <c r="F128" s="769"/>
      <c r="G128" s="769"/>
      <c r="H128" s="769"/>
      <c r="I128" s="769"/>
      <c r="J128" s="769"/>
      <c r="K128" s="769"/>
      <c r="L128" s="769">
        <v>0.15</v>
      </c>
      <c r="M128" s="770">
        <v>15</v>
      </c>
      <c r="AG128" s="634" t="s">
        <v>1482</v>
      </c>
    </row>
    <row r="129" spans="3:33">
      <c r="C129" s="769" t="s">
        <v>2901</v>
      </c>
      <c r="D129" s="771" t="s">
        <v>99</v>
      </c>
      <c r="E129" s="769">
        <v>0.5</v>
      </c>
      <c r="F129" s="769"/>
      <c r="G129" s="769"/>
      <c r="H129" s="769"/>
      <c r="I129" s="769"/>
      <c r="J129" s="769"/>
      <c r="K129" s="769"/>
      <c r="L129" s="769">
        <v>0.3</v>
      </c>
      <c r="M129" s="770">
        <v>15</v>
      </c>
      <c r="AG129" s="634" t="s">
        <v>1422</v>
      </c>
    </row>
    <row r="130" spans="3:33">
      <c r="C130" s="787" t="s">
        <v>2911</v>
      </c>
      <c r="D130" s="771" t="s">
        <v>99</v>
      </c>
      <c r="E130" s="769">
        <v>0.5</v>
      </c>
      <c r="F130" s="769"/>
      <c r="G130" s="769"/>
      <c r="H130" s="769"/>
      <c r="I130" s="769"/>
      <c r="J130" s="769"/>
      <c r="K130" s="769"/>
      <c r="L130" s="769">
        <v>0.3</v>
      </c>
      <c r="M130" s="770">
        <v>15</v>
      </c>
      <c r="AG130" s="634" t="s">
        <v>1483</v>
      </c>
    </row>
    <row r="131" spans="3:33">
      <c r="C131" s="769" t="s">
        <v>2902</v>
      </c>
      <c r="D131" s="771" t="s">
        <v>99</v>
      </c>
      <c r="E131" s="769">
        <v>5</v>
      </c>
      <c r="F131" s="769"/>
      <c r="G131" s="769"/>
      <c r="H131" s="769"/>
      <c r="I131" s="769"/>
      <c r="J131" s="769"/>
      <c r="K131" s="769"/>
      <c r="L131" s="769">
        <v>0.2</v>
      </c>
      <c r="M131" s="770">
        <v>15</v>
      </c>
      <c r="AG131" s="634" t="s">
        <v>1008</v>
      </c>
    </row>
    <row r="132" spans="3:33">
      <c r="C132" s="769" t="s">
        <v>1352</v>
      </c>
      <c r="D132" s="771" t="s">
        <v>2908</v>
      </c>
      <c r="E132" s="769">
        <v>15</v>
      </c>
      <c r="F132" s="769"/>
      <c r="G132" s="769"/>
      <c r="H132" s="769"/>
      <c r="I132" s="769"/>
      <c r="J132" s="769"/>
      <c r="K132" s="769"/>
      <c r="L132" s="769">
        <v>0.9</v>
      </c>
      <c r="M132" s="770">
        <v>15</v>
      </c>
      <c r="AG132" s="634" t="s">
        <v>1484</v>
      </c>
    </row>
    <row r="133" spans="3:33">
      <c r="AG133" s="634" t="s">
        <v>1394</v>
      </c>
    </row>
    <row r="134" spans="3:33">
      <c r="AG134" s="634" t="s">
        <v>1406</v>
      </c>
    </row>
    <row r="135" spans="3:33">
      <c r="AG135" s="634" t="s">
        <v>1407</v>
      </c>
    </row>
    <row r="136" spans="3:33">
      <c r="AG136" s="634" t="s">
        <v>1408</v>
      </c>
    </row>
    <row r="137" spans="3:33">
      <c r="AG137" s="634" t="s">
        <v>1350</v>
      </c>
    </row>
    <row r="138" spans="3:33">
      <c r="AG138" s="634" t="s">
        <v>1334</v>
      </c>
    </row>
    <row r="139" spans="3:33">
      <c r="AG139" s="634" t="s">
        <v>1485</v>
      </c>
    </row>
    <row r="140" spans="3:33">
      <c r="AG140" s="634" t="s">
        <v>1411</v>
      </c>
    </row>
    <row r="141" spans="3:33">
      <c r="AG141" s="634" t="s">
        <v>1423</v>
      </c>
    </row>
    <row r="142" spans="3:33">
      <c r="AG142" s="634" t="s">
        <v>1413</v>
      </c>
    </row>
    <row r="143" spans="3:33">
      <c r="AG143" s="634" t="s">
        <v>1418</v>
      </c>
    </row>
    <row r="144" spans="3:33">
      <c r="AG144" s="634" t="s">
        <v>1412</v>
      </c>
    </row>
    <row r="145" spans="33:33">
      <c r="AG145" s="634" t="s">
        <v>1414</v>
      </c>
    </row>
    <row r="147" spans="33:33">
      <c r="AG147" s="708" t="s">
        <v>2872</v>
      </c>
    </row>
    <row r="148" spans="33:33">
      <c r="AG148" s="708" t="s">
        <v>2873</v>
      </c>
    </row>
  </sheetData>
  <sortState ref="C72:W84">
    <sortCondition ref="C72"/>
  </sortState>
  <mergeCells count="20">
    <mergeCell ref="B3:D3"/>
    <mergeCell ref="B4:D4"/>
    <mergeCell ref="B5:D5"/>
    <mergeCell ref="AT26:AW26"/>
    <mergeCell ref="Z26:AC26"/>
    <mergeCell ref="AD26:AG26"/>
    <mergeCell ref="AH26:AK26"/>
    <mergeCell ref="AL26:AS26"/>
    <mergeCell ref="D104:F104"/>
    <mergeCell ref="G104:I104"/>
    <mergeCell ref="B66:D66"/>
    <mergeCell ref="B67:D67"/>
    <mergeCell ref="B68:D68"/>
    <mergeCell ref="AU43:AW43"/>
    <mergeCell ref="AU44:AW44"/>
    <mergeCell ref="AU46:AW46"/>
    <mergeCell ref="AU47:AW47"/>
    <mergeCell ref="C41:D41"/>
    <mergeCell ref="F41:K41"/>
    <mergeCell ref="M41:Q41"/>
  </mergeCells>
  <conditionalFormatting sqref="G11:G40 F32:G37 G42:G63 F11:F63 F55:G60 F11:G11">
    <cfRule type="expression" dxfId="6" priority="4">
      <formula>IF(E11="Rectangular",1,2)&lt;1.5</formula>
    </cfRule>
  </conditionalFormatting>
  <conditionalFormatting sqref="G42:G63 G11:G40">
    <cfRule type="expression" dxfId="5" priority="3">
      <formula>IF(E11="Rectangular",1,2)&lt;1.5</formula>
    </cfRule>
  </conditionalFormatting>
  <conditionalFormatting sqref="H42:I63 H11:I40">
    <cfRule type="expression" dxfId="4" priority="5">
      <formula>IF($E11="Rectangular",1,2)&gt;1.5</formula>
    </cfRule>
  </conditionalFormatting>
  <dataValidations count="10">
    <dataValidation type="list" allowBlank="1" showInputMessage="1" showErrorMessage="1" sqref="Q70:Q83">
      <formula1>$AG$65:$AG$66</formula1>
    </dataValidation>
    <dataValidation type="list" allowBlank="1" showInputMessage="1" showErrorMessage="1" sqref="R70:R83 R89:R101">
      <formula1>$AG$79:$AG$95</formula1>
    </dataValidation>
    <dataValidation type="list" allowBlank="1" showInputMessage="1" showErrorMessage="1" sqref="B41">
      <formula1>$AG$98:$AG$111</formula1>
    </dataValidation>
    <dataValidation type="list" allowBlank="1" showInputMessage="1" showErrorMessage="1" sqref="E41">
      <formula1>$AG$147:$AG$148</formula1>
    </dataValidation>
    <dataValidation type="list" allowBlank="1" showInputMessage="1" showErrorMessage="1" sqref="L41">
      <formula1>$AG$68:$AG$77</formula1>
    </dataValidation>
    <dataValidation type="list" allowBlank="1" showInputMessage="1" showErrorMessage="1" sqref="E42:E63 E11:E40">
      <formula1>$AG$146:$AG$148</formula1>
    </dataValidation>
    <dataValidation type="list" allowBlank="1" showInputMessage="1" showErrorMessage="1" sqref="K42:K63 K11:K40">
      <formula1>$AG$78:$AG$95</formula1>
    </dataValidation>
    <dataValidation type="list" allowBlank="1" showInputMessage="1" showErrorMessage="1" sqref="L42:L63 L11:L40">
      <formula1>$AG$67:$AG$77</formula1>
    </dataValidation>
    <dataValidation type="list" allowBlank="1" showInputMessage="1" showErrorMessage="1" sqref="B11:B40">
      <formula1>$AG$97:$AG$111</formula1>
    </dataValidation>
    <dataValidation type="list" allowBlank="1" showInputMessage="1" showErrorMessage="1" sqref="B42:B63">
      <formula1>$AI$97:$AI$110</formula1>
    </dataValidation>
  </dataValidations>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sheetPr codeName="DetailedMEL1">
    <tabColor theme="9" tint="0.79998168889431442"/>
  </sheetPr>
  <dimension ref="A1:BI3046"/>
  <sheetViews>
    <sheetView zoomScale="85" zoomScaleNormal="85" workbookViewId="0">
      <selection activeCell="D51" sqref="D51"/>
    </sheetView>
  </sheetViews>
  <sheetFormatPr defaultRowHeight="12.75"/>
  <cols>
    <col min="1" max="1" width="2.85546875" style="825" customWidth="1"/>
    <col min="2" max="2" width="37" style="824" customWidth="1"/>
    <col min="3" max="3" width="11.5703125" style="824" customWidth="1"/>
    <col min="4" max="4" width="9.28515625" style="823" customWidth="1"/>
    <col min="5" max="5" width="8.5703125" style="823" customWidth="1"/>
    <col min="6" max="6" width="8.140625" style="823" customWidth="1"/>
    <col min="7" max="7" width="9.140625" style="823"/>
    <col min="8" max="8" width="9.85546875" style="823" customWidth="1"/>
    <col min="9" max="15" width="10.5703125" style="823" customWidth="1"/>
    <col min="16" max="16" width="10.140625" style="823" customWidth="1"/>
    <col min="17" max="17" width="10.5703125" style="823" customWidth="1"/>
    <col min="18" max="18" width="10.140625" style="823" customWidth="1"/>
    <col min="19" max="20" width="9.85546875" style="823" customWidth="1"/>
    <col min="21" max="21" width="8" style="823" customWidth="1"/>
    <col min="22" max="22" width="7.140625" style="824" customWidth="1"/>
    <col min="23" max="23" width="10.7109375" style="825" customWidth="1"/>
    <col min="24" max="24" width="4.5703125" style="825" customWidth="1"/>
    <col min="25" max="25" width="10.5703125" style="825" customWidth="1"/>
    <col min="26" max="26" width="4.7109375" style="826" customWidth="1"/>
    <col min="27" max="27" width="10.28515625" style="825" customWidth="1"/>
    <col min="28" max="28" width="2.28515625" style="826" customWidth="1"/>
    <col min="29" max="29" width="8.28515625" style="825" customWidth="1"/>
    <col min="30" max="30" width="5.140625" style="845" customWidth="1"/>
    <col min="31" max="31" width="12.140625" style="825" customWidth="1"/>
    <col min="32" max="32" width="4.7109375" style="845" customWidth="1"/>
    <col min="33" max="33" width="11.5703125" style="825" customWidth="1"/>
    <col min="34" max="34" width="4.85546875" style="846" customWidth="1"/>
    <col min="35" max="35" width="11.140625" style="825" customWidth="1"/>
    <col min="36" max="36" width="4.85546875" style="845" customWidth="1"/>
    <col min="37" max="37" width="2.42578125" style="845" customWidth="1"/>
    <col min="38" max="38" width="9" style="825" customWidth="1"/>
    <col min="39" max="39" width="4.42578125" style="845" customWidth="1"/>
    <col min="40" max="40" width="10.85546875" style="825" customWidth="1"/>
    <col min="41" max="41" width="5.28515625" style="845" customWidth="1"/>
    <col min="42" max="42" width="12.28515625" style="847" customWidth="1"/>
    <col min="43" max="44" width="9.140625" style="825"/>
    <col min="45" max="45" width="10.42578125" style="825" customWidth="1"/>
    <col min="46" max="46" width="10" style="825" customWidth="1"/>
    <col min="47" max="47" width="10.5703125" style="848" customWidth="1"/>
    <col min="48" max="48" width="2.42578125" style="825" customWidth="1"/>
    <col min="49" max="49" width="8" style="849" customWidth="1"/>
    <col min="50" max="50" width="8.85546875" style="849" customWidth="1"/>
    <col min="51" max="51" width="8" style="849" customWidth="1"/>
    <col min="52" max="52" width="8.85546875" style="849" customWidth="1"/>
    <col min="53" max="53" width="17.140625" style="825" customWidth="1"/>
    <col min="54" max="54" width="10.7109375" style="825" customWidth="1"/>
    <col min="55" max="55" width="9.5703125" style="825" customWidth="1"/>
    <col min="56" max="56" width="13.140625" style="825" customWidth="1"/>
    <col min="57" max="57" width="11.42578125" style="825" customWidth="1"/>
    <col min="58" max="58" width="10.5703125" style="825" customWidth="1"/>
    <col min="59" max="59" width="11" style="825" customWidth="1"/>
    <col min="60" max="60" width="11.7109375" style="825" bestFit="1" customWidth="1"/>
    <col min="61" max="61" width="11.5703125" style="825" bestFit="1" customWidth="1"/>
    <col min="62" max="16384" width="9.140625" style="825"/>
  </cols>
  <sheetData>
    <row r="1" spans="1:28" ht="30">
      <c r="A1" s="739" t="s">
        <v>6508</v>
      </c>
      <c r="B1" s="1074"/>
      <c r="C1" s="1074"/>
      <c r="D1" s="821"/>
      <c r="E1" s="742"/>
      <c r="G1" s="822"/>
    </row>
    <row r="2" spans="1:28" ht="33" customHeight="1" thickBot="1">
      <c r="C2" s="824" t="s">
        <v>6349</v>
      </c>
      <c r="D2" s="823" t="s">
        <v>6350</v>
      </c>
      <c r="E2" s="823" t="s">
        <v>6354</v>
      </c>
    </row>
    <row r="3" spans="1:28" ht="15" thickBot="1">
      <c r="B3" s="827" t="s">
        <v>4758</v>
      </c>
      <c r="C3" s="828"/>
      <c r="D3" s="828"/>
      <c r="E3" s="828" t="str">
        <f>IF(NewConst!$F$358="yes","Detailed","Simple")</f>
        <v>Simple</v>
      </c>
      <c r="F3" s="824"/>
      <c r="H3" s="829" t="s">
        <v>579</v>
      </c>
    </row>
    <row r="4" spans="1:28">
      <c r="B4" s="830" t="s">
        <v>6476</v>
      </c>
      <c r="C4" s="831">
        <f>FFA</f>
        <v>2296</v>
      </c>
      <c r="D4" s="831">
        <f>FFA</f>
        <v>2296</v>
      </c>
      <c r="E4" s="1261">
        <f>IF($E$3="Detailed",C4,IF($E$3="Simple",D4,"Error"))</f>
        <v>2296</v>
      </c>
      <c r="F4" s="824"/>
      <c r="H4" s="824" t="s">
        <v>4778</v>
      </c>
    </row>
    <row r="5" spans="1:28">
      <c r="B5" s="832" t="s">
        <v>654</v>
      </c>
      <c r="C5" s="833">
        <f>N_br</f>
        <v>3</v>
      </c>
      <c r="D5" s="833">
        <f>N_br</f>
        <v>3</v>
      </c>
      <c r="E5" s="1262">
        <f t="shared" ref="E5:E19" si="0">IF($E$3="Detailed",C5,IF($E$3="Simple",D5,"Error"))</f>
        <v>3</v>
      </c>
      <c r="F5" s="824"/>
      <c r="H5" s="824" t="s">
        <v>966</v>
      </c>
      <c r="X5" s="826"/>
      <c r="AB5" s="825"/>
    </row>
    <row r="6" spans="1:28">
      <c r="B6" s="832" t="s">
        <v>1155</v>
      </c>
      <c r="C6" s="834">
        <v>1</v>
      </c>
      <c r="D6" s="834"/>
      <c r="E6" s="1263"/>
      <c r="F6" s="824"/>
      <c r="H6" s="824" t="s">
        <v>967</v>
      </c>
      <c r="X6" s="826"/>
      <c r="AB6" s="825"/>
    </row>
    <row r="7" spans="1:28">
      <c r="B7" s="832" t="s">
        <v>761</v>
      </c>
      <c r="C7" s="835">
        <f>C13+C6*SUM(H36:H158)</f>
        <v>3543.7980244499881</v>
      </c>
      <c r="D7" s="835">
        <f>D9+D10/0.03412</f>
        <v>3545.5836905041033</v>
      </c>
      <c r="E7" s="1264">
        <f t="shared" si="0"/>
        <v>3545.5836905041033</v>
      </c>
      <c r="F7" s="824"/>
      <c r="H7" s="824" t="s">
        <v>2883</v>
      </c>
      <c r="X7" s="826"/>
      <c r="AB7" s="825"/>
    </row>
    <row r="8" spans="1:28">
      <c r="B8" s="832" t="s">
        <v>643</v>
      </c>
      <c r="C8" s="836">
        <f>(C22+C23/0.03412-C7)/(C22+C23/0.03412)</f>
        <v>0</v>
      </c>
      <c r="D8" s="836">
        <f>(D22+D23/0.03412-D7)/(D22+D23/0.03412)</f>
        <v>0</v>
      </c>
      <c r="E8" s="1265">
        <f t="shared" si="0"/>
        <v>0</v>
      </c>
      <c r="F8" s="824"/>
      <c r="H8" s="824" t="s">
        <v>211</v>
      </c>
      <c r="X8" s="826"/>
      <c r="AB8" s="825"/>
    </row>
    <row r="9" spans="1:28">
      <c r="B9" s="830" t="s">
        <v>968</v>
      </c>
      <c r="C9" s="837">
        <f>C13-C6*SUM(BE165:BE169)+C6*SUM(H36:H158)</f>
        <v>3317.7032719176696</v>
      </c>
      <c r="D9" s="835">
        <f>IF(AllElectric="No",Appliances!$E$12,Appliances!$E$13)</f>
        <v>3317.096</v>
      </c>
      <c r="E9" s="1264">
        <f t="shared" si="0"/>
        <v>3317.096</v>
      </c>
      <c r="F9" s="824"/>
      <c r="H9" s="824" t="s">
        <v>6497</v>
      </c>
      <c r="X9" s="826"/>
      <c r="AB9" s="825"/>
    </row>
    <row r="10" spans="1:28">
      <c r="B10" s="830" t="s">
        <v>1103</v>
      </c>
      <c r="C10" s="838">
        <f>(C7-C9)*0.03412</f>
        <v>7.7143529564027098</v>
      </c>
      <c r="D10" s="854">
        <f>IF(AllElectric="No",Appliances!$H$12,Appliances!$H$13)</f>
        <v>7.7960000000000003</v>
      </c>
      <c r="E10" s="1266">
        <f t="shared" si="0"/>
        <v>7.7960000000000003</v>
      </c>
      <c r="F10" s="824"/>
      <c r="H10" s="824" t="s">
        <v>4759</v>
      </c>
      <c r="X10" s="826"/>
      <c r="AB10" s="825"/>
    </row>
    <row r="11" spans="1:28">
      <c r="B11" s="830" t="s">
        <v>730</v>
      </c>
      <c r="C11" s="839">
        <f>C9/C22</f>
        <v>1</v>
      </c>
      <c r="D11" s="839"/>
      <c r="E11" s="1267"/>
      <c r="F11" s="824"/>
      <c r="X11" s="826"/>
      <c r="AB11" s="825"/>
    </row>
    <row r="12" spans="1:28">
      <c r="B12" s="830" t="s">
        <v>969</v>
      </c>
      <c r="C12" s="840">
        <f>C24</f>
        <v>481.11963655813412</v>
      </c>
      <c r="D12" s="840"/>
      <c r="E12" s="1268"/>
      <c r="F12" s="824"/>
      <c r="G12" s="824"/>
      <c r="X12" s="826"/>
      <c r="AB12" s="825"/>
    </row>
    <row r="13" spans="1:28">
      <c r="B13" s="832" t="s">
        <v>762</v>
      </c>
      <c r="C13" s="841">
        <f>C25</f>
        <v>3543.7980244499881</v>
      </c>
      <c r="D13" s="841"/>
      <c r="E13" s="1269"/>
      <c r="F13" s="824"/>
      <c r="G13" s="824"/>
      <c r="X13" s="826"/>
      <c r="AB13" s="825"/>
    </row>
    <row r="14" spans="1:28">
      <c r="B14" s="832" t="s">
        <v>763</v>
      </c>
      <c r="C14" s="841">
        <f>(SUM(K36:K158)+BF171/BE171*C25)*C6</f>
        <v>854.89467025005126</v>
      </c>
      <c r="D14" s="841"/>
      <c r="E14" s="1269"/>
      <c r="F14" s="824"/>
      <c r="G14" s="824"/>
      <c r="X14" s="826"/>
      <c r="AB14" s="825"/>
    </row>
    <row r="15" spans="1:28">
      <c r="B15" s="832" t="s">
        <v>764</v>
      </c>
      <c r="C15" s="841">
        <f>(SUM(L36:L158)+BG171/BE171*C25)*C6</f>
        <v>2688.903354199937</v>
      </c>
      <c r="D15" s="841"/>
      <c r="E15" s="1269"/>
      <c r="F15" s="824"/>
      <c r="G15" s="824"/>
      <c r="X15" s="826"/>
      <c r="AB15" s="825"/>
    </row>
    <row r="16" spans="1:28">
      <c r="B16" s="832" t="s">
        <v>641</v>
      </c>
      <c r="C16" s="842">
        <f>((SUM($O$36:$O$158)*$C$6+$BH$172*$C$25))/$C$7</f>
        <v>0.73636898104515836</v>
      </c>
      <c r="D16" s="842">
        <f>D18/D7</f>
        <v>0.73399999999999999</v>
      </c>
      <c r="E16" s="1270">
        <f t="shared" si="0"/>
        <v>0.73399999999999999</v>
      </c>
      <c r="F16" s="824"/>
      <c r="G16" s="824"/>
      <c r="X16" s="826"/>
      <c r="AB16" s="825"/>
    </row>
    <row r="17" spans="2:28" ht="13.5" thickBot="1">
      <c r="B17" s="843" t="s">
        <v>642</v>
      </c>
      <c r="C17" s="844">
        <f>((SUM($P$36:$P$158)*$C$6+$BI$172*$C$25))/$C$7</f>
        <v>1.6249020929854915E-2</v>
      </c>
      <c r="D17" s="844">
        <f>D19/D7</f>
        <v>0.02</v>
      </c>
      <c r="E17" s="1271">
        <f t="shared" si="0"/>
        <v>0.02</v>
      </c>
      <c r="F17" s="824"/>
      <c r="G17" s="824"/>
      <c r="X17" s="826"/>
      <c r="AB17" s="825"/>
    </row>
    <row r="18" spans="2:28">
      <c r="B18" s="832" t="s">
        <v>6351</v>
      </c>
      <c r="C18" s="840">
        <f>((SUM($O$36:$O$158)*$C$6+$BH$172*$C$25))</f>
        <v>2609.5429402940831</v>
      </c>
      <c r="D18" s="835">
        <f>IF(AllElectric="No",Appliances!$Q$12,Appliances!$Q$13)</f>
        <v>2602.4584288300116</v>
      </c>
      <c r="E18" s="1264">
        <f t="shared" si="0"/>
        <v>2602.4584288300116</v>
      </c>
      <c r="F18" s="824"/>
      <c r="G18" s="824"/>
      <c r="X18" s="826"/>
      <c r="AB18" s="825"/>
    </row>
    <row r="19" spans="2:28" ht="13.5" thickBot="1">
      <c r="B19" s="843" t="s">
        <v>6352</v>
      </c>
      <c r="C19" s="1260">
        <f>((SUM($P$36:$P$158)*$C$6+$BI$172*$C$25))</f>
        <v>57.583248270466356</v>
      </c>
      <c r="D19" s="835">
        <f>IF(AllElectric="No",Appliances!$R$12,Appliances!$R$13)</f>
        <v>70.911673810082064</v>
      </c>
      <c r="E19" s="1264">
        <f t="shared" si="0"/>
        <v>70.911673810082064</v>
      </c>
      <c r="F19" s="824"/>
      <c r="G19" s="824"/>
      <c r="X19" s="826"/>
      <c r="AB19" s="825"/>
    </row>
    <row r="20" spans="2:28" ht="13.5" customHeight="1" thickBot="1">
      <c r="B20" s="850"/>
      <c r="C20" s="851"/>
      <c r="D20" s="851"/>
      <c r="E20" s="851"/>
      <c r="F20" s="824"/>
      <c r="G20" s="824"/>
      <c r="X20" s="826"/>
      <c r="AB20" s="825"/>
    </row>
    <row r="21" spans="2:28" ht="13.5" thickBot="1">
      <c r="B21" s="827" t="s">
        <v>1159</v>
      </c>
      <c r="C21" s="852"/>
      <c r="D21" s="852"/>
      <c r="E21" s="852"/>
      <c r="F21" s="824"/>
      <c r="G21" s="824"/>
      <c r="X21" s="826"/>
      <c r="AB21" s="825"/>
    </row>
    <row r="22" spans="2:28">
      <c r="B22" s="830" t="s">
        <v>968</v>
      </c>
      <c r="C22" s="853">
        <f>(SUM(BE36:BE164))*C6+C6*SUM(I36:I158)-C6*SUM(J36:J158)</f>
        <v>3317.7032719176696</v>
      </c>
      <c r="D22" s="835">
        <f>IF(AllElectric="No",Appliances!$E$12,Appliances!$E$13)</f>
        <v>3317.096</v>
      </c>
      <c r="E22" s="1264">
        <f t="shared" ref="E22:E31" si="1">IF($E$3="Detailed",C22,IF($E$3="Simple",D22,"Error"))</f>
        <v>3317.096</v>
      </c>
      <c r="F22" s="824"/>
      <c r="G22" s="824"/>
      <c r="X22" s="826"/>
      <c r="AB22" s="825"/>
    </row>
    <row r="23" spans="2:28">
      <c r="B23" s="830" t="s">
        <v>1103</v>
      </c>
      <c r="C23" s="854">
        <f>C6*SUM(BE165:BE169)*0.03412</f>
        <v>7.7143529564027054</v>
      </c>
      <c r="D23" s="854">
        <f>IF(AllElectric="No",Appliances!$H$12,Appliances!$H$13)</f>
        <v>7.7960000000000003</v>
      </c>
      <c r="E23" s="1266">
        <f t="shared" si="1"/>
        <v>7.7960000000000003</v>
      </c>
      <c r="F23" s="824"/>
      <c r="G23" s="824"/>
      <c r="X23" s="826"/>
      <c r="AB23" s="825"/>
    </row>
    <row r="24" spans="2:28">
      <c r="B24" s="830" t="s">
        <v>969</v>
      </c>
      <c r="C24" s="855">
        <f>SUM(I160:I170)*C6</f>
        <v>481.11963655813412</v>
      </c>
      <c r="D24" s="855"/>
      <c r="E24" s="1272"/>
      <c r="F24" s="824"/>
      <c r="X24" s="826"/>
      <c r="AB24" s="825"/>
    </row>
    <row r="25" spans="2:28">
      <c r="B25" s="832" t="s">
        <v>762</v>
      </c>
      <c r="C25" s="841">
        <f>IF(((SUM(BE36:BE169))*C6)&gt;C6*SUM(J36:J158),(SUM(BE36:BE169))*C6-C6*SUM(J36:J158),0)</f>
        <v>3543.7980244499881</v>
      </c>
      <c r="D25" s="841"/>
      <c r="E25" s="1269"/>
      <c r="F25" s="824"/>
      <c r="X25" s="826"/>
      <c r="AB25" s="825"/>
    </row>
    <row r="26" spans="2:28">
      <c r="B26" s="832" t="s">
        <v>763</v>
      </c>
      <c r="C26" s="841">
        <f>(SUM(M36:M158)+BF171/BE171*C25)*C6</f>
        <v>854.89467025005126</v>
      </c>
      <c r="D26" s="841"/>
      <c r="E26" s="1269"/>
      <c r="F26" s="824"/>
      <c r="X26" s="826"/>
      <c r="AB26" s="825"/>
    </row>
    <row r="27" spans="2:28">
      <c r="B27" s="832" t="s">
        <v>764</v>
      </c>
      <c r="C27" s="841">
        <f>(SUM(N36:N158)+BG171/BE171*C25)*C6</f>
        <v>2688.903354199937</v>
      </c>
      <c r="D27" s="841"/>
      <c r="E27" s="1269"/>
      <c r="X27" s="826"/>
      <c r="AB27" s="825"/>
    </row>
    <row r="28" spans="2:28">
      <c r="B28" s="832" t="s">
        <v>641</v>
      </c>
      <c r="C28" s="842">
        <f>((SUM($Q$36:$Q$158)*$C$6+$BH$172*$C$25))/($C$22+$C$23/0.03412)</f>
        <v>0.73636898104515836</v>
      </c>
      <c r="D28" s="842">
        <f>D30/D7</f>
        <v>0.73399999999999999</v>
      </c>
      <c r="E28" s="1270">
        <f t="shared" si="1"/>
        <v>0.73399999999999999</v>
      </c>
      <c r="X28" s="826"/>
      <c r="AB28" s="825"/>
    </row>
    <row r="29" spans="2:28" ht="13.5" thickBot="1">
      <c r="B29" s="843" t="s">
        <v>642</v>
      </c>
      <c r="C29" s="844">
        <f>((SUM($R$36:$R$158)*$C$6+$BI$172*$C$25))/($C$22+$C$23/0.03412)</f>
        <v>1.6249020929854915E-2</v>
      </c>
      <c r="D29" s="844">
        <f>D31/D7</f>
        <v>0.02</v>
      </c>
      <c r="E29" s="1271">
        <f t="shared" si="1"/>
        <v>0.02</v>
      </c>
      <c r="X29" s="826"/>
      <c r="AB29" s="825"/>
    </row>
    <row r="30" spans="2:28">
      <c r="B30" s="832" t="s">
        <v>6351</v>
      </c>
      <c r="C30" s="840">
        <f>((SUM($Q$36:$Q$158)*$C$6+$BH$172*$C$25))</f>
        <v>2609.5429402940831</v>
      </c>
      <c r="D30" s="835">
        <f>IF(AllElectric="No",Appliances!$Q$12,Appliances!$Q$13)</f>
        <v>2602.4584288300116</v>
      </c>
      <c r="E30" s="1264">
        <f t="shared" si="1"/>
        <v>2602.4584288300116</v>
      </c>
      <c r="F30" s="824"/>
      <c r="G30" s="824"/>
      <c r="X30" s="826"/>
      <c r="AB30" s="825"/>
    </row>
    <row r="31" spans="2:28" ht="13.5" thickBot="1">
      <c r="B31" s="843" t="s">
        <v>6352</v>
      </c>
      <c r="C31" s="1260">
        <f>((SUM($R$36:$R$158)*$C$6+$BI$172*$C$25))</f>
        <v>57.583248270466356</v>
      </c>
      <c r="D31" s="835">
        <f>IF(AllElectric="No",Appliances!$R$12,Appliances!$R$13)</f>
        <v>70.911673810082064</v>
      </c>
      <c r="E31" s="1264">
        <f t="shared" si="1"/>
        <v>70.911673810082064</v>
      </c>
      <c r="F31" s="824"/>
      <c r="G31" s="824"/>
      <c r="X31" s="826"/>
      <c r="AB31" s="825"/>
    </row>
    <row r="32" spans="2:28" ht="13.5" thickBot="1">
      <c r="B32" s="856"/>
      <c r="C32" s="857"/>
      <c r="X32" s="826"/>
      <c r="AB32" s="825"/>
    </row>
    <row r="33" spans="2:61" ht="12.75" customHeight="1">
      <c r="D33" s="2253" t="s">
        <v>4760</v>
      </c>
      <c r="E33" s="2255" t="s">
        <v>4758</v>
      </c>
      <c r="F33" s="2256"/>
      <c r="G33" s="2257"/>
      <c r="H33" s="2249" t="s">
        <v>4761</v>
      </c>
      <c r="I33" s="2249" t="s">
        <v>1160</v>
      </c>
      <c r="J33" s="858"/>
      <c r="K33" s="2249" t="s">
        <v>4762</v>
      </c>
      <c r="L33" s="2249" t="s">
        <v>4763</v>
      </c>
      <c r="M33" s="2249" t="s">
        <v>312</v>
      </c>
      <c r="N33" s="2249" t="s">
        <v>1206</v>
      </c>
      <c r="O33" s="2249" t="s">
        <v>4764</v>
      </c>
      <c r="P33" s="2249" t="s">
        <v>4765</v>
      </c>
      <c r="Q33" s="2249" t="s">
        <v>1243</v>
      </c>
      <c r="R33" s="2249" t="s">
        <v>1244</v>
      </c>
      <c r="S33" s="2249" t="s">
        <v>4766</v>
      </c>
      <c r="T33" s="2249" t="s">
        <v>4767</v>
      </c>
      <c r="U33" s="2251" t="s">
        <v>59</v>
      </c>
      <c r="W33" s="859"/>
      <c r="X33" s="860"/>
      <c r="Y33" s="859"/>
      <c r="Z33" s="860"/>
      <c r="AA33" s="859"/>
      <c r="AB33" s="859"/>
      <c r="AC33" s="859"/>
      <c r="AD33" s="861"/>
      <c r="AE33" s="859"/>
      <c r="AF33" s="861"/>
      <c r="AG33" s="859"/>
      <c r="AH33" s="862"/>
      <c r="AI33" s="859"/>
      <c r="AJ33" s="861"/>
      <c r="AK33" s="861"/>
      <c r="AL33" s="859"/>
      <c r="AM33" s="861"/>
      <c r="AN33" s="859"/>
      <c r="AO33" s="861"/>
      <c r="AP33" s="863"/>
      <c r="AQ33" s="859"/>
      <c r="AR33" s="859"/>
      <c r="AS33" s="859"/>
      <c r="AT33" s="859"/>
      <c r="AU33" s="864"/>
      <c r="AV33" s="859"/>
      <c r="AW33" s="865"/>
      <c r="AX33" s="865"/>
      <c r="AY33" s="865"/>
      <c r="AZ33" s="865"/>
      <c r="BA33" s="859"/>
      <c r="BB33" s="859"/>
      <c r="BC33" s="859"/>
      <c r="BD33" s="859"/>
      <c r="BE33" s="859"/>
      <c r="BF33" s="859"/>
      <c r="BG33" s="859"/>
      <c r="BH33" s="859"/>
      <c r="BI33" s="859"/>
    </row>
    <row r="34" spans="2:61" s="867" customFormat="1" ht="57" customHeight="1" thickBot="1">
      <c r="B34" s="866"/>
      <c r="D34" s="2254"/>
      <c r="E34" s="868" t="s">
        <v>1304</v>
      </c>
      <c r="F34" s="868" t="s">
        <v>1305</v>
      </c>
      <c r="G34" s="868" t="s">
        <v>419</v>
      </c>
      <c r="H34" s="2258"/>
      <c r="I34" s="2258"/>
      <c r="J34" s="869" t="s">
        <v>2882</v>
      </c>
      <c r="K34" s="2250"/>
      <c r="L34" s="2250"/>
      <c r="M34" s="2250"/>
      <c r="N34" s="2250"/>
      <c r="O34" s="2250"/>
      <c r="P34" s="2250"/>
      <c r="Q34" s="2250"/>
      <c r="R34" s="2250"/>
      <c r="S34" s="2250"/>
      <c r="T34" s="2250"/>
      <c r="U34" s="2252"/>
      <c r="W34" s="870" t="s">
        <v>420</v>
      </c>
      <c r="X34" s="871" t="s">
        <v>421</v>
      </c>
      <c r="Y34" s="872" t="s">
        <v>1057</v>
      </c>
      <c r="Z34" s="873" t="s">
        <v>1335</v>
      </c>
      <c r="AA34" s="874" t="s">
        <v>1336</v>
      </c>
      <c r="AB34" s="874"/>
      <c r="AC34" s="874" t="s">
        <v>1109</v>
      </c>
      <c r="AD34" s="875" t="s">
        <v>1335</v>
      </c>
      <c r="AE34" s="874" t="s">
        <v>1110</v>
      </c>
      <c r="AF34" s="875" t="s">
        <v>1335</v>
      </c>
      <c r="AG34" s="874" t="s">
        <v>1111</v>
      </c>
      <c r="AH34" s="875" t="s">
        <v>1335</v>
      </c>
      <c r="AI34" s="874" t="s">
        <v>782</v>
      </c>
      <c r="AJ34" s="875" t="s">
        <v>1335</v>
      </c>
      <c r="AK34" s="875"/>
      <c r="AL34" s="874" t="s">
        <v>419</v>
      </c>
      <c r="AM34" s="875" t="s">
        <v>1335</v>
      </c>
      <c r="AN34" s="874" t="s">
        <v>783</v>
      </c>
      <c r="AO34" s="875" t="s">
        <v>1335</v>
      </c>
      <c r="AP34" s="872" t="s">
        <v>373</v>
      </c>
      <c r="AQ34" s="874" t="s">
        <v>374</v>
      </c>
      <c r="AR34" s="874" t="s">
        <v>1058</v>
      </c>
      <c r="AS34" s="874" t="s">
        <v>375</v>
      </c>
      <c r="AT34" s="874" t="s">
        <v>376</v>
      </c>
      <c r="AU34" s="876" t="s">
        <v>377</v>
      </c>
      <c r="AV34" s="874"/>
      <c r="AW34" s="877" t="s">
        <v>819</v>
      </c>
      <c r="AX34" s="877" t="s">
        <v>820</v>
      </c>
      <c r="AY34" s="877" t="s">
        <v>821</v>
      </c>
      <c r="AZ34" s="877" t="s">
        <v>822</v>
      </c>
      <c r="BA34" s="874"/>
      <c r="BB34" s="874" t="s">
        <v>823</v>
      </c>
      <c r="BC34" s="874" t="s">
        <v>1026</v>
      </c>
      <c r="BD34" s="874" t="s">
        <v>6477</v>
      </c>
      <c r="BE34" s="874" t="s">
        <v>947</v>
      </c>
      <c r="BF34" s="874" t="s">
        <v>497</v>
      </c>
      <c r="BG34" s="874" t="s">
        <v>498</v>
      </c>
      <c r="BH34" s="877" t="s">
        <v>499</v>
      </c>
      <c r="BI34" s="877" t="s">
        <v>500</v>
      </c>
    </row>
    <row r="35" spans="2:61" s="896" customFormat="1" ht="13.5" thickBot="1">
      <c r="B35" s="878" t="s">
        <v>961</v>
      </c>
      <c r="C35" s="879"/>
      <c r="D35" s="880"/>
      <c r="E35" s="881"/>
      <c r="F35" s="881"/>
      <c r="G35" s="881"/>
      <c r="H35" s="881"/>
      <c r="I35" s="881"/>
      <c r="J35" s="881"/>
      <c r="K35" s="881"/>
      <c r="L35" s="881"/>
      <c r="M35" s="881"/>
      <c r="N35" s="881"/>
      <c r="O35" s="881"/>
      <c r="P35" s="881"/>
      <c r="Q35" s="881"/>
      <c r="R35" s="881"/>
      <c r="S35" s="881"/>
      <c r="T35" s="881"/>
      <c r="U35" s="882"/>
      <c r="V35" s="883"/>
      <c r="W35" s="884"/>
      <c r="X35" s="885"/>
      <c r="Y35" s="886"/>
      <c r="Z35" s="887"/>
      <c r="AA35" s="888"/>
      <c r="AB35" s="888"/>
      <c r="AC35" s="888"/>
      <c r="AD35" s="889"/>
      <c r="AE35" s="890"/>
      <c r="AF35" s="891"/>
      <c r="AG35" s="890"/>
      <c r="AH35" s="892"/>
      <c r="AI35" s="890"/>
      <c r="AJ35" s="891"/>
      <c r="AK35" s="891"/>
      <c r="AL35" s="890"/>
      <c r="AM35" s="891"/>
      <c r="AN35" s="890"/>
      <c r="AO35" s="891"/>
      <c r="AP35" s="893"/>
      <c r="AQ35" s="890"/>
      <c r="AR35" s="890"/>
      <c r="AS35" s="890"/>
      <c r="AT35" s="890"/>
      <c r="AU35" s="894"/>
      <c r="AV35" s="890"/>
      <c r="AW35" s="895"/>
      <c r="AX35" s="895"/>
      <c r="AY35" s="895"/>
      <c r="AZ35" s="895"/>
      <c r="BA35" s="890"/>
      <c r="BB35" s="890"/>
      <c r="BC35" s="890"/>
      <c r="BD35" s="890"/>
      <c r="BE35" s="890"/>
      <c r="BF35" s="890"/>
      <c r="BG35" s="890"/>
      <c r="BH35" s="890"/>
      <c r="BI35" s="890"/>
    </row>
    <row r="36" spans="2:61" s="896" customFormat="1">
      <c r="B36" s="897" t="s">
        <v>962</v>
      </c>
      <c r="C36" s="898"/>
      <c r="D36" s="899">
        <v>0</v>
      </c>
      <c r="E36" s="900">
        <v>0</v>
      </c>
      <c r="F36" s="900">
        <v>0</v>
      </c>
      <c r="G36" s="900">
        <v>0</v>
      </c>
      <c r="H36" s="901">
        <f t="shared" ref="H36:H48" si="2">D36*(E36*AE36+F36*AI36+G36*AN36)*365/1000</f>
        <v>0</v>
      </c>
      <c r="I36" s="901">
        <f t="shared" ref="I36:I48" si="3">D36*SUM(AP36:AQ36)</f>
        <v>0</v>
      </c>
      <c r="J36" s="901">
        <f>IF(D36&gt;0,I36/D36*W36,0)</f>
        <v>0</v>
      </c>
      <c r="K36" s="901">
        <f t="shared" ref="K36:K48" si="4">$D36*(E36*AE36+F36*AI36)*365/1000</f>
        <v>0</v>
      </c>
      <c r="L36" s="901">
        <f t="shared" ref="L36:L48" si="5">D36*G36*AN36*365/1000</f>
        <v>0</v>
      </c>
      <c r="M36" s="901">
        <f t="shared" ref="M36:M48" si="6">D36*AP36</f>
        <v>0</v>
      </c>
      <c r="N36" s="901">
        <f t="shared" ref="N36:N48" si="7">D36*AQ36</f>
        <v>0</v>
      </c>
      <c r="O36" s="901">
        <f>H36*AW36</f>
        <v>0</v>
      </c>
      <c r="P36" s="901">
        <f>H36*AX36</f>
        <v>0</v>
      </c>
      <c r="Q36" s="901">
        <f>I36*AW36</f>
        <v>0</v>
      </c>
      <c r="R36" s="901">
        <f>I36*AX36</f>
        <v>0</v>
      </c>
      <c r="S36" s="901">
        <f t="shared" ref="S36:S48" si="8">$D36*(AP36-(E36*AE36+F36*AI36)*365/1000)</f>
        <v>0</v>
      </c>
      <c r="T36" s="901">
        <f t="shared" ref="T36:T48" si="9">D36*(AQ36-G36*AN36*365/1000)</f>
        <v>0</v>
      </c>
      <c r="U36" s="902">
        <f t="shared" ref="U36:U48" si="10">IF(D36=0,0,(I36-H36)/I36)</f>
        <v>0</v>
      </c>
      <c r="V36" s="903"/>
      <c r="W36" s="904">
        <v>1.84</v>
      </c>
      <c r="X36" s="887">
        <v>21</v>
      </c>
      <c r="Y36" s="886">
        <v>50</v>
      </c>
      <c r="Z36" s="887">
        <v>1</v>
      </c>
      <c r="AA36" s="905">
        <f t="shared" ref="AA36:AA48" si="11">W36*Y36</f>
        <v>92</v>
      </c>
      <c r="AB36" s="888"/>
      <c r="AC36" s="906">
        <v>0</v>
      </c>
      <c r="AD36" s="907">
        <v>0</v>
      </c>
      <c r="AE36" s="908">
        <f>24-AN36</f>
        <v>17.420000000000002</v>
      </c>
      <c r="AF36" s="909">
        <v>21</v>
      </c>
      <c r="AG36" s="890"/>
      <c r="AH36" s="892"/>
      <c r="AI36" s="890"/>
      <c r="AJ36" s="891"/>
      <c r="AK36" s="891"/>
      <c r="AL36" s="910">
        <v>35</v>
      </c>
      <c r="AM36" s="909">
        <v>21</v>
      </c>
      <c r="AN36" s="908">
        <v>6.58</v>
      </c>
      <c r="AO36" s="909">
        <v>21</v>
      </c>
      <c r="AP36" s="911">
        <f t="shared" ref="AP36:AP48" si="12">(AC36*AE36+AG36*AI36)*365/1000</f>
        <v>0</v>
      </c>
      <c r="AQ36" s="911">
        <f t="shared" ref="AQ36:AQ48" si="13">AL36*AN36*365/1000</f>
        <v>84.0595</v>
      </c>
      <c r="AR36" s="911">
        <f>SUM(AP36:AQ36)</f>
        <v>84.0595</v>
      </c>
      <c r="AS36" s="911">
        <f t="shared" ref="AS36:AS48" si="14">AP36*W36</f>
        <v>0</v>
      </c>
      <c r="AT36" s="911">
        <f t="shared" ref="AT36:AT48" si="15">AQ36*W36</f>
        <v>154.66947999999999</v>
      </c>
      <c r="AU36" s="912">
        <f t="shared" ref="AU36:AU48" si="16">SUM(AS36:AT36)</f>
        <v>154.66947999999999</v>
      </c>
      <c r="AV36" s="890"/>
      <c r="AW36" s="895">
        <v>1</v>
      </c>
      <c r="AX36" s="895">
        <v>0</v>
      </c>
      <c r="AY36" s="913">
        <f t="shared" ref="AY36:AY48" si="17">AU36*AW36</f>
        <v>154.66947999999999</v>
      </c>
      <c r="AZ36" s="913">
        <f t="shared" ref="AZ36:AZ48" si="18">AU36*AX36</f>
        <v>0</v>
      </c>
      <c r="BA36" s="890"/>
      <c r="BB36" s="911">
        <f>AU36/2</f>
        <v>77.334739999999996</v>
      </c>
      <c r="BC36" s="911">
        <v>0</v>
      </c>
      <c r="BD36" s="911">
        <f>AU36/2/1920*1000</f>
        <v>40.278510416666663</v>
      </c>
      <c r="BE36" s="911">
        <f t="shared" ref="BE36:BE48" si="19">BB36+BC36*C$5+BD36/1000*C$4</f>
        <v>169.81419991666667</v>
      </c>
      <c r="BF36" s="911">
        <f t="shared" ref="BF36:BF47" si="20">(BB36+BC36*C$5+BD36/1000*C$4)*AS36/AU36</f>
        <v>0</v>
      </c>
      <c r="BG36" s="911">
        <f t="shared" ref="BG36:BG47" si="21">(BB36+BC36*C$5+BD36/1000*C$4)*AT36/AU36</f>
        <v>169.81419991666667</v>
      </c>
      <c r="BH36" s="911">
        <f t="shared" ref="BH36:BH48" si="22">BE36*AW36</f>
        <v>169.81419991666667</v>
      </c>
      <c r="BI36" s="911">
        <f t="shared" ref="BI36:BI48" si="23">BE36*AX36</f>
        <v>0</v>
      </c>
    </row>
    <row r="37" spans="2:61" s="896" customFormat="1">
      <c r="B37" s="914" t="s">
        <v>1089</v>
      </c>
      <c r="C37" s="915"/>
      <c r="D37" s="916">
        <v>0</v>
      </c>
      <c r="E37" s="917">
        <v>0</v>
      </c>
      <c r="F37" s="917">
        <v>0</v>
      </c>
      <c r="G37" s="917">
        <v>0</v>
      </c>
      <c r="H37" s="918">
        <f t="shared" si="2"/>
        <v>0</v>
      </c>
      <c r="I37" s="918">
        <f t="shared" si="3"/>
        <v>0</v>
      </c>
      <c r="J37" s="901">
        <f t="shared" ref="J37:J48" si="24">IF(D37&gt;0,I37/D37*W37,0)</f>
        <v>0</v>
      </c>
      <c r="K37" s="918">
        <f t="shared" si="4"/>
        <v>0</v>
      </c>
      <c r="L37" s="918">
        <f t="shared" si="5"/>
        <v>0</v>
      </c>
      <c r="M37" s="918">
        <f t="shared" si="6"/>
        <v>0</v>
      </c>
      <c r="N37" s="918">
        <f t="shared" si="7"/>
        <v>0</v>
      </c>
      <c r="O37" s="918">
        <f t="shared" ref="O37:O101" si="25">H37*AW37</f>
        <v>0</v>
      </c>
      <c r="P37" s="918">
        <f t="shared" ref="P37:P101" si="26">H37*AX37</f>
        <v>0</v>
      </c>
      <c r="Q37" s="918">
        <f t="shared" ref="Q37:Q101" si="27">I37*AW37</f>
        <v>0</v>
      </c>
      <c r="R37" s="918">
        <f t="shared" ref="R37:R101" si="28">I37*AX37</f>
        <v>0</v>
      </c>
      <c r="S37" s="918">
        <f t="shared" si="8"/>
        <v>0</v>
      </c>
      <c r="T37" s="918">
        <f t="shared" si="9"/>
        <v>0</v>
      </c>
      <c r="U37" s="919">
        <f t="shared" si="10"/>
        <v>0</v>
      </c>
      <c r="V37" s="903"/>
      <c r="W37" s="884">
        <v>0.8</v>
      </c>
      <c r="X37" s="887">
        <v>0</v>
      </c>
      <c r="Y37" s="886">
        <f>7.67*24*365/1000</f>
        <v>67.1892</v>
      </c>
      <c r="Z37" s="887">
        <v>6</v>
      </c>
      <c r="AA37" s="905">
        <f t="shared" si="11"/>
        <v>53.751360000000005</v>
      </c>
      <c r="AB37" s="888"/>
      <c r="AC37" s="905">
        <f>Y37*1000/365/24</f>
        <v>7.669999999999999</v>
      </c>
      <c r="AD37" s="889">
        <v>6</v>
      </c>
      <c r="AE37" s="890">
        <v>24</v>
      </c>
      <c r="AF37" s="891">
        <v>0</v>
      </c>
      <c r="AG37" s="890"/>
      <c r="AH37" s="892"/>
      <c r="AI37" s="890"/>
      <c r="AJ37" s="891"/>
      <c r="AK37" s="891"/>
      <c r="AL37" s="890"/>
      <c r="AM37" s="891"/>
      <c r="AN37" s="890"/>
      <c r="AO37" s="891"/>
      <c r="AP37" s="911">
        <f t="shared" si="12"/>
        <v>67.1892</v>
      </c>
      <c r="AQ37" s="911">
        <f t="shared" si="13"/>
        <v>0</v>
      </c>
      <c r="AR37" s="911">
        <f t="shared" ref="AR37:AR100" si="29">SUM(AP37:AQ37)</f>
        <v>67.1892</v>
      </c>
      <c r="AS37" s="911">
        <f t="shared" si="14"/>
        <v>53.751360000000005</v>
      </c>
      <c r="AT37" s="911">
        <f t="shared" si="15"/>
        <v>0</v>
      </c>
      <c r="AU37" s="912">
        <f t="shared" si="16"/>
        <v>53.751360000000005</v>
      </c>
      <c r="AV37" s="890"/>
      <c r="AW37" s="895">
        <v>1</v>
      </c>
      <c r="AX37" s="895">
        <v>0</v>
      </c>
      <c r="AY37" s="913">
        <f t="shared" si="17"/>
        <v>53.751360000000005</v>
      </c>
      <c r="AZ37" s="913">
        <f t="shared" si="18"/>
        <v>0</v>
      </c>
      <c r="BA37" s="890"/>
      <c r="BB37" s="911">
        <v>0</v>
      </c>
      <c r="BC37" s="911">
        <v>0</v>
      </c>
      <c r="BD37" s="911">
        <f>AU37/1920*1000</f>
        <v>27.995500000000003</v>
      </c>
      <c r="BE37" s="911">
        <f t="shared" si="19"/>
        <v>64.277668000000006</v>
      </c>
      <c r="BF37" s="911">
        <f t="shared" si="20"/>
        <v>64.277668000000006</v>
      </c>
      <c r="BG37" s="911">
        <f t="shared" si="21"/>
        <v>0</v>
      </c>
      <c r="BH37" s="911">
        <f t="shared" si="22"/>
        <v>64.277668000000006</v>
      </c>
      <c r="BI37" s="911">
        <f t="shared" si="23"/>
        <v>0</v>
      </c>
    </row>
    <row r="38" spans="2:61" s="896" customFormat="1">
      <c r="B38" s="914" t="s">
        <v>1090</v>
      </c>
      <c r="C38" s="915"/>
      <c r="D38" s="916">
        <v>0</v>
      </c>
      <c r="E38" s="917">
        <v>0</v>
      </c>
      <c r="F38" s="917">
        <v>0</v>
      </c>
      <c r="G38" s="917">
        <v>0</v>
      </c>
      <c r="H38" s="918">
        <f t="shared" si="2"/>
        <v>0</v>
      </c>
      <c r="I38" s="918">
        <f t="shared" si="3"/>
        <v>0</v>
      </c>
      <c r="J38" s="901">
        <f t="shared" si="24"/>
        <v>0</v>
      </c>
      <c r="K38" s="918">
        <f t="shared" si="4"/>
        <v>0</v>
      </c>
      <c r="L38" s="918">
        <f t="shared" si="5"/>
        <v>0</v>
      </c>
      <c r="M38" s="918">
        <f t="shared" si="6"/>
        <v>0</v>
      </c>
      <c r="N38" s="918">
        <f t="shared" si="7"/>
        <v>0</v>
      </c>
      <c r="O38" s="918">
        <f t="shared" si="25"/>
        <v>0</v>
      </c>
      <c r="P38" s="918">
        <f t="shared" si="26"/>
        <v>0</v>
      </c>
      <c r="Q38" s="918">
        <f t="shared" si="27"/>
        <v>0</v>
      </c>
      <c r="R38" s="918">
        <f t="shared" si="28"/>
        <v>0</v>
      </c>
      <c r="S38" s="918">
        <f t="shared" si="8"/>
        <v>0</v>
      </c>
      <c r="T38" s="918">
        <f t="shared" si="9"/>
        <v>0</v>
      </c>
      <c r="U38" s="919">
        <f t="shared" si="10"/>
        <v>0</v>
      </c>
      <c r="V38" s="903"/>
      <c r="W38" s="884">
        <v>1</v>
      </c>
      <c r="X38" s="887">
        <v>6</v>
      </c>
      <c r="Y38" s="886">
        <f>2.32*24*365/1000</f>
        <v>20.323199999999996</v>
      </c>
      <c r="Z38" s="887">
        <v>6</v>
      </c>
      <c r="AA38" s="905">
        <f t="shared" si="11"/>
        <v>20.323199999999996</v>
      </c>
      <c r="AB38" s="888"/>
      <c r="AC38" s="905">
        <f>Y38*1000/365/24</f>
        <v>2.3199999999999998</v>
      </c>
      <c r="AD38" s="889">
        <v>6</v>
      </c>
      <c r="AE38" s="890">
        <v>24</v>
      </c>
      <c r="AF38" s="891">
        <v>0</v>
      </c>
      <c r="AG38" s="890"/>
      <c r="AH38" s="892"/>
      <c r="AI38" s="890"/>
      <c r="AJ38" s="891"/>
      <c r="AK38" s="891"/>
      <c r="AL38" s="890"/>
      <c r="AM38" s="891"/>
      <c r="AN38" s="890"/>
      <c r="AO38" s="891"/>
      <c r="AP38" s="911">
        <f t="shared" si="12"/>
        <v>20.323199999999996</v>
      </c>
      <c r="AQ38" s="911">
        <f t="shared" si="13"/>
        <v>0</v>
      </c>
      <c r="AR38" s="911">
        <f t="shared" si="29"/>
        <v>20.323199999999996</v>
      </c>
      <c r="AS38" s="911">
        <f t="shared" si="14"/>
        <v>20.323199999999996</v>
      </c>
      <c r="AT38" s="911">
        <f t="shared" si="15"/>
        <v>0</v>
      </c>
      <c r="AU38" s="912">
        <f t="shared" si="16"/>
        <v>20.323199999999996</v>
      </c>
      <c r="AV38" s="890"/>
      <c r="AW38" s="895">
        <v>1</v>
      </c>
      <c r="AX38" s="895">
        <v>0</v>
      </c>
      <c r="AY38" s="913">
        <f t="shared" si="17"/>
        <v>20.323199999999996</v>
      </c>
      <c r="AZ38" s="913">
        <f t="shared" si="18"/>
        <v>0</v>
      </c>
      <c r="BA38" s="890"/>
      <c r="BB38" s="911">
        <f>AU38</f>
        <v>20.323199999999996</v>
      </c>
      <c r="BC38" s="911">
        <v>0</v>
      </c>
      <c r="BD38" s="911">
        <v>0</v>
      </c>
      <c r="BE38" s="911">
        <f t="shared" si="19"/>
        <v>20.323199999999996</v>
      </c>
      <c r="BF38" s="911">
        <f t="shared" si="20"/>
        <v>20.323199999999996</v>
      </c>
      <c r="BG38" s="911">
        <f t="shared" si="21"/>
        <v>0</v>
      </c>
      <c r="BH38" s="911">
        <f t="shared" si="22"/>
        <v>20.323199999999996</v>
      </c>
      <c r="BI38" s="911">
        <f t="shared" si="23"/>
        <v>0</v>
      </c>
    </row>
    <row r="39" spans="2:61" s="896" customFormat="1">
      <c r="B39" s="914" t="s">
        <v>1091</v>
      </c>
      <c r="C39" s="915"/>
      <c r="D39" s="916">
        <v>0</v>
      </c>
      <c r="E39" s="917">
        <v>0</v>
      </c>
      <c r="F39" s="917">
        <v>0</v>
      </c>
      <c r="G39" s="917">
        <v>0</v>
      </c>
      <c r="H39" s="918">
        <f t="shared" si="2"/>
        <v>0</v>
      </c>
      <c r="I39" s="918">
        <f t="shared" si="3"/>
        <v>0</v>
      </c>
      <c r="J39" s="901">
        <f t="shared" si="24"/>
        <v>0</v>
      </c>
      <c r="K39" s="918">
        <f t="shared" si="4"/>
        <v>0</v>
      </c>
      <c r="L39" s="918">
        <f t="shared" si="5"/>
        <v>0</v>
      </c>
      <c r="M39" s="918">
        <f t="shared" si="6"/>
        <v>0</v>
      </c>
      <c r="N39" s="918">
        <f t="shared" si="7"/>
        <v>0</v>
      </c>
      <c r="O39" s="918">
        <f t="shared" si="25"/>
        <v>0</v>
      </c>
      <c r="P39" s="918">
        <f t="shared" si="26"/>
        <v>0</v>
      </c>
      <c r="Q39" s="918">
        <f t="shared" si="27"/>
        <v>0</v>
      </c>
      <c r="R39" s="918">
        <f t="shared" si="28"/>
        <v>0</v>
      </c>
      <c r="S39" s="918">
        <f t="shared" si="8"/>
        <v>0</v>
      </c>
      <c r="T39" s="918">
        <f t="shared" si="9"/>
        <v>0</v>
      </c>
      <c r="U39" s="919">
        <f t="shared" si="10"/>
        <v>0</v>
      </c>
      <c r="V39" s="903"/>
      <c r="W39" s="904">
        <v>0.23499999999999999</v>
      </c>
      <c r="X39" s="920">
        <v>21</v>
      </c>
      <c r="Y39" s="886">
        <v>43</v>
      </c>
      <c r="Z39" s="887">
        <v>1</v>
      </c>
      <c r="AA39" s="905">
        <f t="shared" si="11"/>
        <v>10.104999999999999</v>
      </c>
      <c r="AB39" s="888"/>
      <c r="AC39" s="906">
        <v>7</v>
      </c>
      <c r="AD39" s="907">
        <v>21</v>
      </c>
      <c r="AE39" s="908">
        <v>10.3</v>
      </c>
      <c r="AF39" s="909">
        <v>21</v>
      </c>
      <c r="AG39" s="908"/>
      <c r="AH39" s="921"/>
      <c r="AI39" s="908"/>
      <c r="AJ39" s="909"/>
      <c r="AK39" s="909"/>
      <c r="AL39" s="908">
        <v>7</v>
      </c>
      <c r="AM39" s="909">
        <v>21</v>
      </c>
      <c r="AN39" s="908">
        <v>13.7</v>
      </c>
      <c r="AO39" s="909">
        <v>21</v>
      </c>
      <c r="AP39" s="911">
        <f t="shared" si="12"/>
        <v>26.316500000000005</v>
      </c>
      <c r="AQ39" s="911">
        <f t="shared" si="13"/>
        <v>35.003500000000003</v>
      </c>
      <c r="AR39" s="911">
        <f t="shared" si="29"/>
        <v>61.320000000000007</v>
      </c>
      <c r="AS39" s="911">
        <f t="shared" si="14"/>
        <v>6.184377500000001</v>
      </c>
      <c r="AT39" s="911">
        <f t="shared" si="15"/>
        <v>8.2258224999999996</v>
      </c>
      <c r="AU39" s="912">
        <f t="shared" si="16"/>
        <v>14.4102</v>
      </c>
      <c r="AV39" s="890"/>
      <c r="AW39" s="895">
        <v>0.5</v>
      </c>
      <c r="AX39" s="895">
        <v>0</v>
      </c>
      <c r="AY39" s="913">
        <f t="shared" si="17"/>
        <v>7.2050999999999998</v>
      </c>
      <c r="AZ39" s="913">
        <f t="shared" si="18"/>
        <v>0</v>
      </c>
      <c r="BA39" s="890"/>
      <c r="BB39" s="911">
        <f>AU39/2</f>
        <v>7.2050999999999998</v>
      </c>
      <c r="BC39" s="911">
        <v>0</v>
      </c>
      <c r="BD39" s="911">
        <f>AU39/2/1920*1000</f>
        <v>3.7526562499999998</v>
      </c>
      <c r="BE39" s="911">
        <f t="shared" si="19"/>
        <v>15.821198749999999</v>
      </c>
      <c r="BF39" s="911">
        <f t="shared" si="20"/>
        <v>6.7899311302083341</v>
      </c>
      <c r="BG39" s="911">
        <f t="shared" si="21"/>
        <v>9.0312676197916666</v>
      </c>
      <c r="BH39" s="911">
        <f t="shared" si="22"/>
        <v>7.9105993749999994</v>
      </c>
      <c r="BI39" s="911">
        <f t="shared" si="23"/>
        <v>0</v>
      </c>
    </row>
    <row r="40" spans="2:61" s="896" customFormat="1" ht="15" customHeight="1">
      <c r="B40" s="914" t="s">
        <v>1092</v>
      </c>
      <c r="C40" s="915"/>
      <c r="D40" s="916">
        <v>0</v>
      </c>
      <c r="E40" s="917">
        <v>0</v>
      </c>
      <c r="F40" s="917">
        <v>0</v>
      </c>
      <c r="G40" s="917">
        <v>0</v>
      </c>
      <c r="H40" s="918">
        <f t="shared" si="2"/>
        <v>0</v>
      </c>
      <c r="I40" s="918">
        <f t="shared" si="3"/>
        <v>0</v>
      </c>
      <c r="J40" s="901">
        <f t="shared" si="24"/>
        <v>0</v>
      </c>
      <c r="K40" s="918">
        <f t="shared" si="4"/>
        <v>0</v>
      </c>
      <c r="L40" s="918">
        <f t="shared" si="5"/>
        <v>0</v>
      </c>
      <c r="M40" s="918">
        <f t="shared" si="6"/>
        <v>0</v>
      </c>
      <c r="N40" s="918">
        <f t="shared" si="7"/>
        <v>0</v>
      </c>
      <c r="O40" s="918">
        <f t="shared" si="25"/>
        <v>0</v>
      </c>
      <c r="P40" s="918">
        <f t="shared" si="26"/>
        <v>0</v>
      </c>
      <c r="Q40" s="918">
        <f t="shared" si="27"/>
        <v>0</v>
      </c>
      <c r="R40" s="918">
        <f t="shared" si="28"/>
        <v>0</v>
      </c>
      <c r="S40" s="918">
        <f t="shared" si="8"/>
        <v>0</v>
      </c>
      <c r="T40" s="918">
        <f t="shared" si="9"/>
        <v>0</v>
      </c>
      <c r="U40" s="919">
        <f t="shared" si="10"/>
        <v>0</v>
      </c>
      <c r="V40" s="903"/>
      <c r="W40" s="884">
        <v>3.85</v>
      </c>
      <c r="X40" s="887">
        <v>6</v>
      </c>
      <c r="Y40" s="886">
        <v>6.2</v>
      </c>
      <c r="Z40" s="887">
        <v>6</v>
      </c>
      <c r="AA40" s="905">
        <f t="shared" si="11"/>
        <v>23.87</v>
      </c>
      <c r="AB40" s="888"/>
      <c r="AC40" s="905">
        <f>Y40*1000/365/24</f>
        <v>0.70776255707762559</v>
      </c>
      <c r="AD40" s="889">
        <v>6</v>
      </c>
      <c r="AE40" s="890">
        <v>24</v>
      </c>
      <c r="AF40" s="891">
        <v>0</v>
      </c>
      <c r="AG40" s="890"/>
      <c r="AH40" s="892"/>
      <c r="AI40" s="890"/>
      <c r="AJ40" s="891"/>
      <c r="AK40" s="891"/>
      <c r="AL40" s="890"/>
      <c r="AM40" s="891"/>
      <c r="AN40" s="890"/>
      <c r="AO40" s="891"/>
      <c r="AP40" s="911">
        <f t="shared" si="12"/>
        <v>6.2</v>
      </c>
      <c r="AQ40" s="911">
        <f t="shared" si="13"/>
        <v>0</v>
      </c>
      <c r="AR40" s="911">
        <f t="shared" si="29"/>
        <v>6.2</v>
      </c>
      <c r="AS40" s="911">
        <f t="shared" si="14"/>
        <v>23.87</v>
      </c>
      <c r="AT40" s="911">
        <f t="shared" si="15"/>
        <v>0</v>
      </c>
      <c r="AU40" s="912">
        <f t="shared" si="16"/>
        <v>23.87</v>
      </c>
      <c r="AV40" s="890"/>
      <c r="AW40" s="895">
        <v>1</v>
      </c>
      <c r="AX40" s="895">
        <v>0</v>
      </c>
      <c r="AY40" s="913">
        <f t="shared" si="17"/>
        <v>23.87</v>
      </c>
      <c r="AZ40" s="913">
        <f t="shared" si="18"/>
        <v>0</v>
      </c>
      <c r="BA40" s="890"/>
      <c r="BB40" s="911">
        <f>AU40/2</f>
        <v>11.935</v>
      </c>
      <c r="BC40" s="911">
        <v>0</v>
      </c>
      <c r="BD40" s="911">
        <f>AU40/2/1920*1000</f>
        <v>6.2161458333333339</v>
      </c>
      <c r="BE40" s="911">
        <f t="shared" si="19"/>
        <v>26.207270833333336</v>
      </c>
      <c r="BF40" s="911">
        <f t="shared" si="20"/>
        <v>26.207270833333336</v>
      </c>
      <c r="BG40" s="911">
        <f t="shared" si="21"/>
        <v>0</v>
      </c>
      <c r="BH40" s="911">
        <f t="shared" si="22"/>
        <v>26.207270833333336</v>
      </c>
      <c r="BI40" s="911">
        <f t="shared" si="23"/>
        <v>0</v>
      </c>
    </row>
    <row r="41" spans="2:61" s="896" customFormat="1">
      <c r="B41" s="914" t="s">
        <v>1093</v>
      </c>
      <c r="C41" s="915"/>
      <c r="D41" s="916">
        <v>0</v>
      </c>
      <c r="E41" s="917">
        <v>0</v>
      </c>
      <c r="F41" s="917">
        <v>0</v>
      </c>
      <c r="G41" s="917">
        <v>0</v>
      </c>
      <c r="H41" s="918">
        <f t="shared" si="2"/>
        <v>0</v>
      </c>
      <c r="I41" s="918">
        <f t="shared" si="3"/>
        <v>0</v>
      </c>
      <c r="J41" s="901">
        <f t="shared" si="24"/>
        <v>0</v>
      </c>
      <c r="K41" s="918">
        <f t="shared" si="4"/>
        <v>0</v>
      </c>
      <c r="L41" s="918">
        <f t="shared" si="5"/>
        <v>0</v>
      </c>
      <c r="M41" s="918">
        <f t="shared" si="6"/>
        <v>0</v>
      </c>
      <c r="N41" s="918">
        <f t="shared" si="7"/>
        <v>0</v>
      </c>
      <c r="O41" s="918">
        <f t="shared" si="25"/>
        <v>0</v>
      </c>
      <c r="P41" s="918">
        <f t="shared" si="26"/>
        <v>0</v>
      </c>
      <c r="Q41" s="918">
        <f t="shared" si="27"/>
        <v>0</v>
      </c>
      <c r="R41" s="918">
        <f t="shared" si="28"/>
        <v>0</v>
      </c>
      <c r="S41" s="918">
        <f t="shared" si="8"/>
        <v>0</v>
      </c>
      <c r="T41" s="918">
        <f t="shared" si="9"/>
        <v>0</v>
      </c>
      <c r="U41" s="919">
        <f t="shared" si="10"/>
        <v>0</v>
      </c>
      <c r="V41" s="903"/>
      <c r="W41" s="884">
        <v>9.8522167487684734E-2</v>
      </c>
      <c r="X41" s="887">
        <v>1</v>
      </c>
      <c r="Y41" s="886">
        <v>40</v>
      </c>
      <c r="Z41" s="887">
        <v>1</v>
      </c>
      <c r="AA41" s="905">
        <f t="shared" si="11"/>
        <v>3.9408866995073892</v>
      </c>
      <c r="AB41" s="888"/>
      <c r="AC41" s="905">
        <v>0</v>
      </c>
      <c r="AD41" s="889">
        <v>0</v>
      </c>
      <c r="AE41" s="890">
        <v>23.9</v>
      </c>
      <c r="AF41" s="891">
        <v>0</v>
      </c>
      <c r="AG41" s="890"/>
      <c r="AH41" s="892"/>
      <c r="AI41" s="890"/>
      <c r="AJ41" s="891"/>
      <c r="AK41" s="891"/>
      <c r="AL41" s="893">
        <f>Y41*1000/365/0.1</f>
        <v>1095.8904109589041</v>
      </c>
      <c r="AM41" s="891"/>
      <c r="AN41" s="890">
        <v>0.1</v>
      </c>
      <c r="AO41" s="891">
        <v>0</v>
      </c>
      <c r="AP41" s="911">
        <f t="shared" si="12"/>
        <v>0</v>
      </c>
      <c r="AQ41" s="911">
        <f t="shared" si="13"/>
        <v>40.000000000000007</v>
      </c>
      <c r="AR41" s="911">
        <f t="shared" si="29"/>
        <v>40.000000000000007</v>
      </c>
      <c r="AS41" s="911">
        <f t="shared" si="14"/>
        <v>0</v>
      </c>
      <c r="AT41" s="911">
        <f t="shared" si="15"/>
        <v>3.9408866995073901</v>
      </c>
      <c r="AU41" s="912">
        <f t="shared" si="16"/>
        <v>3.9408866995073901</v>
      </c>
      <c r="AV41" s="890"/>
      <c r="AW41" s="895">
        <v>0.5</v>
      </c>
      <c r="AX41" s="895">
        <v>0</v>
      </c>
      <c r="AY41" s="913">
        <f t="shared" si="17"/>
        <v>1.9704433497536951</v>
      </c>
      <c r="AZ41" s="913">
        <f t="shared" si="18"/>
        <v>0</v>
      </c>
      <c r="BA41" s="890"/>
      <c r="BB41" s="911">
        <f>AU41/2</f>
        <v>1.9704433497536951</v>
      </c>
      <c r="BC41" s="911">
        <v>0</v>
      </c>
      <c r="BD41" s="911">
        <f>AU41/2/1920*1000</f>
        <v>1.0262725779967161</v>
      </c>
      <c r="BE41" s="911">
        <f t="shared" si="19"/>
        <v>4.3267651888341554</v>
      </c>
      <c r="BF41" s="911">
        <f t="shared" si="20"/>
        <v>0</v>
      </c>
      <c r="BG41" s="911">
        <f t="shared" si="21"/>
        <v>4.3267651888341554</v>
      </c>
      <c r="BH41" s="911">
        <f t="shared" si="22"/>
        <v>2.1633825944170777</v>
      </c>
      <c r="BI41" s="911">
        <f t="shared" si="23"/>
        <v>0</v>
      </c>
    </row>
    <row r="42" spans="2:61" s="896" customFormat="1">
      <c r="B42" s="914" t="s">
        <v>1094</v>
      </c>
      <c r="C42" s="915"/>
      <c r="D42" s="916">
        <v>0</v>
      </c>
      <c r="E42" s="917">
        <v>0</v>
      </c>
      <c r="F42" s="917">
        <v>0</v>
      </c>
      <c r="G42" s="917">
        <v>0</v>
      </c>
      <c r="H42" s="918">
        <f t="shared" si="2"/>
        <v>0</v>
      </c>
      <c r="I42" s="918">
        <f t="shared" si="3"/>
        <v>0</v>
      </c>
      <c r="J42" s="901">
        <f t="shared" si="24"/>
        <v>0</v>
      </c>
      <c r="K42" s="918">
        <f t="shared" si="4"/>
        <v>0</v>
      </c>
      <c r="L42" s="918">
        <f t="shared" si="5"/>
        <v>0</v>
      </c>
      <c r="M42" s="918">
        <f t="shared" si="6"/>
        <v>0</v>
      </c>
      <c r="N42" s="918">
        <f t="shared" si="7"/>
        <v>0</v>
      </c>
      <c r="O42" s="918">
        <f t="shared" si="25"/>
        <v>0</v>
      </c>
      <c r="P42" s="918">
        <f t="shared" si="26"/>
        <v>0</v>
      </c>
      <c r="Q42" s="918">
        <f t="shared" si="27"/>
        <v>0</v>
      </c>
      <c r="R42" s="918">
        <f t="shared" si="28"/>
        <v>0</v>
      </c>
      <c r="S42" s="918">
        <f t="shared" si="8"/>
        <v>0</v>
      </c>
      <c r="T42" s="918">
        <f t="shared" si="9"/>
        <v>0</v>
      </c>
      <c r="U42" s="919">
        <f t="shared" si="10"/>
        <v>0</v>
      </c>
      <c r="V42" s="903"/>
      <c r="W42" s="884">
        <v>0.01</v>
      </c>
      <c r="X42" s="887">
        <v>0</v>
      </c>
      <c r="Y42" s="886">
        <v>13</v>
      </c>
      <c r="Z42" s="887">
        <v>8</v>
      </c>
      <c r="AA42" s="905">
        <f t="shared" si="11"/>
        <v>0.13</v>
      </c>
      <c r="AB42" s="888"/>
      <c r="AC42" s="905">
        <v>0</v>
      </c>
      <c r="AD42" s="889">
        <v>0</v>
      </c>
      <c r="AE42" s="890">
        <v>23.5</v>
      </c>
      <c r="AF42" s="891">
        <v>0</v>
      </c>
      <c r="AG42" s="890"/>
      <c r="AH42" s="892"/>
      <c r="AI42" s="890"/>
      <c r="AJ42" s="891"/>
      <c r="AK42" s="891"/>
      <c r="AL42" s="893">
        <f>Y42*1000/365/0.5</f>
        <v>71.232876712328761</v>
      </c>
      <c r="AM42" s="891"/>
      <c r="AN42" s="890">
        <v>0.5</v>
      </c>
      <c r="AO42" s="891">
        <v>0</v>
      </c>
      <c r="AP42" s="911">
        <f t="shared" si="12"/>
        <v>0</v>
      </c>
      <c r="AQ42" s="911">
        <f t="shared" si="13"/>
        <v>12.999999999999998</v>
      </c>
      <c r="AR42" s="911">
        <f t="shared" si="29"/>
        <v>12.999999999999998</v>
      </c>
      <c r="AS42" s="911">
        <f t="shared" si="14"/>
        <v>0</v>
      </c>
      <c r="AT42" s="911">
        <f t="shared" si="15"/>
        <v>0.12999999999999998</v>
      </c>
      <c r="AU42" s="912">
        <f t="shared" si="16"/>
        <v>0.12999999999999998</v>
      </c>
      <c r="AV42" s="890"/>
      <c r="AW42" s="895">
        <v>1</v>
      </c>
      <c r="AX42" s="895">
        <v>0</v>
      </c>
      <c r="AY42" s="913">
        <f t="shared" si="17"/>
        <v>0.12999999999999998</v>
      </c>
      <c r="AZ42" s="913">
        <f t="shared" si="18"/>
        <v>0</v>
      </c>
      <c r="BA42" s="890"/>
      <c r="BB42" s="911">
        <f>AU42/2</f>
        <v>6.4999999999999988E-2</v>
      </c>
      <c r="BC42" s="911">
        <f>AU42/4/3</f>
        <v>1.0833333333333332E-2</v>
      </c>
      <c r="BD42" s="911">
        <f>AU42/4/1920*1000</f>
        <v>1.6927083333333329E-2</v>
      </c>
      <c r="BE42" s="911">
        <f t="shared" si="19"/>
        <v>0.13636458333333329</v>
      </c>
      <c r="BF42" s="911">
        <f t="shared" si="20"/>
        <v>0</v>
      </c>
      <c r="BG42" s="911">
        <f t="shared" si="21"/>
        <v>0.13636458333333329</v>
      </c>
      <c r="BH42" s="911">
        <f t="shared" si="22"/>
        <v>0.13636458333333329</v>
      </c>
      <c r="BI42" s="911">
        <f t="shared" si="23"/>
        <v>0</v>
      </c>
    </row>
    <row r="43" spans="2:61" s="896" customFormat="1">
      <c r="B43" s="914" t="s">
        <v>1040</v>
      </c>
      <c r="C43" s="915"/>
      <c r="D43" s="916">
        <v>0</v>
      </c>
      <c r="E43" s="917">
        <v>0</v>
      </c>
      <c r="F43" s="917">
        <v>0</v>
      </c>
      <c r="G43" s="917">
        <v>0</v>
      </c>
      <c r="H43" s="918">
        <f t="shared" si="2"/>
        <v>0</v>
      </c>
      <c r="I43" s="918">
        <f t="shared" si="3"/>
        <v>0</v>
      </c>
      <c r="J43" s="901">
        <f t="shared" si="24"/>
        <v>0</v>
      </c>
      <c r="K43" s="918">
        <f t="shared" si="4"/>
        <v>0</v>
      </c>
      <c r="L43" s="918">
        <f t="shared" si="5"/>
        <v>0</v>
      </c>
      <c r="M43" s="918">
        <f t="shared" si="6"/>
        <v>0</v>
      </c>
      <c r="N43" s="918">
        <f t="shared" si="7"/>
        <v>0</v>
      </c>
      <c r="O43" s="918">
        <f t="shared" si="25"/>
        <v>0</v>
      </c>
      <c r="P43" s="918">
        <f t="shared" si="26"/>
        <v>0</v>
      </c>
      <c r="Q43" s="918">
        <f t="shared" si="27"/>
        <v>0</v>
      </c>
      <c r="R43" s="918">
        <f t="shared" si="28"/>
        <v>0</v>
      </c>
      <c r="S43" s="918">
        <f t="shared" si="8"/>
        <v>0</v>
      </c>
      <c r="T43" s="918">
        <f t="shared" si="9"/>
        <v>0</v>
      </c>
      <c r="U43" s="919">
        <f t="shared" si="10"/>
        <v>0</v>
      </c>
      <c r="V43" s="903"/>
      <c r="W43" s="884">
        <v>0.26600985221674878</v>
      </c>
      <c r="X43" s="887">
        <v>1</v>
      </c>
      <c r="Y43" s="886">
        <v>44</v>
      </c>
      <c r="Z43" s="887">
        <v>1</v>
      </c>
      <c r="AA43" s="905">
        <f t="shared" si="11"/>
        <v>11.704433497536947</v>
      </c>
      <c r="AB43" s="888"/>
      <c r="AC43" s="905">
        <v>4</v>
      </c>
      <c r="AD43" s="889">
        <v>19</v>
      </c>
      <c r="AE43" s="890">
        <v>24</v>
      </c>
      <c r="AF43" s="891">
        <v>19</v>
      </c>
      <c r="AG43" s="890"/>
      <c r="AH43" s="892"/>
      <c r="AI43" s="890"/>
      <c r="AJ43" s="891"/>
      <c r="AK43" s="891"/>
      <c r="AL43" s="890"/>
      <c r="AM43" s="891"/>
      <c r="AN43" s="890"/>
      <c r="AO43" s="891"/>
      <c r="AP43" s="911">
        <f t="shared" si="12"/>
        <v>35.04</v>
      </c>
      <c r="AQ43" s="911">
        <f t="shared" si="13"/>
        <v>0</v>
      </c>
      <c r="AR43" s="911">
        <f t="shared" si="29"/>
        <v>35.04</v>
      </c>
      <c r="AS43" s="911">
        <f t="shared" si="14"/>
        <v>9.3209852216748761</v>
      </c>
      <c r="AT43" s="911">
        <f t="shared" si="15"/>
        <v>0</v>
      </c>
      <c r="AU43" s="912">
        <f t="shared" si="16"/>
        <v>9.3209852216748761</v>
      </c>
      <c r="AV43" s="890"/>
      <c r="AW43" s="895">
        <v>0</v>
      </c>
      <c r="AX43" s="895">
        <v>0</v>
      </c>
      <c r="AY43" s="913">
        <f t="shared" si="17"/>
        <v>0</v>
      </c>
      <c r="AZ43" s="913">
        <f t="shared" si="18"/>
        <v>0</v>
      </c>
      <c r="BA43" s="890"/>
      <c r="BB43" s="911">
        <f>AU43</f>
        <v>9.3209852216748761</v>
      </c>
      <c r="BC43" s="911">
        <v>0</v>
      </c>
      <c r="BD43" s="911">
        <v>0</v>
      </c>
      <c r="BE43" s="911">
        <f t="shared" si="19"/>
        <v>9.3209852216748761</v>
      </c>
      <c r="BF43" s="911">
        <f t="shared" si="20"/>
        <v>9.3209852216748761</v>
      </c>
      <c r="BG43" s="911">
        <f t="shared" si="21"/>
        <v>0</v>
      </c>
      <c r="BH43" s="911">
        <f t="shared" si="22"/>
        <v>0</v>
      </c>
      <c r="BI43" s="911">
        <f t="shared" si="23"/>
        <v>0</v>
      </c>
    </row>
    <row r="44" spans="2:61" s="896" customFormat="1">
      <c r="B44" s="914" t="s">
        <v>1041</v>
      </c>
      <c r="C44" s="915"/>
      <c r="D44" s="916">
        <v>0</v>
      </c>
      <c r="E44" s="917">
        <v>0</v>
      </c>
      <c r="F44" s="917">
        <v>0</v>
      </c>
      <c r="G44" s="917">
        <v>0</v>
      </c>
      <c r="H44" s="918">
        <f t="shared" si="2"/>
        <v>0</v>
      </c>
      <c r="I44" s="918">
        <f t="shared" si="3"/>
        <v>0</v>
      </c>
      <c r="J44" s="901">
        <f t="shared" si="24"/>
        <v>0</v>
      </c>
      <c r="K44" s="918">
        <f t="shared" si="4"/>
        <v>0</v>
      </c>
      <c r="L44" s="918">
        <f t="shared" si="5"/>
        <v>0</v>
      </c>
      <c r="M44" s="918">
        <f t="shared" si="6"/>
        <v>0</v>
      </c>
      <c r="N44" s="918">
        <f t="shared" si="7"/>
        <v>0</v>
      </c>
      <c r="O44" s="918">
        <f t="shared" si="25"/>
        <v>0</v>
      </c>
      <c r="P44" s="918">
        <f t="shared" si="26"/>
        <v>0</v>
      </c>
      <c r="Q44" s="918">
        <f t="shared" si="27"/>
        <v>0</v>
      </c>
      <c r="R44" s="918">
        <f t="shared" si="28"/>
        <v>0</v>
      </c>
      <c r="S44" s="918">
        <f t="shared" si="8"/>
        <v>0</v>
      </c>
      <c r="T44" s="918">
        <f t="shared" si="9"/>
        <v>0</v>
      </c>
      <c r="U44" s="919">
        <f t="shared" si="10"/>
        <v>0</v>
      </c>
      <c r="V44" s="903"/>
      <c r="W44" s="884">
        <v>0.26</v>
      </c>
      <c r="X44" s="887">
        <v>0</v>
      </c>
      <c r="Y44" s="886">
        <v>17.5</v>
      </c>
      <c r="Z44" s="887">
        <v>6</v>
      </c>
      <c r="AA44" s="905">
        <f t="shared" si="11"/>
        <v>4.55</v>
      </c>
      <c r="AB44" s="888"/>
      <c r="AC44" s="905">
        <v>2</v>
      </c>
      <c r="AD44" s="889" t="s">
        <v>1042</v>
      </c>
      <c r="AE44" s="890">
        <v>24</v>
      </c>
      <c r="AF44" s="891">
        <v>0</v>
      </c>
      <c r="AG44" s="890"/>
      <c r="AH44" s="892" t="s">
        <v>1042</v>
      </c>
      <c r="AI44" s="890"/>
      <c r="AJ44" s="891"/>
      <c r="AK44" s="891"/>
      <c r="AL44" s="890"/>
      <c r="AM44" s="891"/>
      <c r="AN44" s="890">
        <v>0</v>
      </c>
      <c r="AO44" s="891">
        <v>0</v>
      </c>
      <c r="AP44" s="911">
        <f t="shared" si="12"/>
        <v>17.52</v>
      </c>
      <c r="AQ44" s="911">
        <f t="shared" si="13"/>
        <v>0</v>
      </c>
      <c r="AR44" s="911">
        <f t="shared" si="29"/>
        <v>17.52</v>
      </c>
      <c r="AS44" s="911">
        <f t="shared" si="14"/>
        <v>4.5552000000000001</v>
      </c>
      <c r="AT44" s="911">
        <f t="shared" si="15"/>
        <v>0</v>
      </c>
      <c r="AU44" s="912">
        <f t="shared" si="16"/>
        <v>4.5552000000000001</v>
      </c>
      <c r="AV44" s="890"/>
      <c r="AW44" s="895">
        <v>1</v>
      </c>
      <c r="AX44" s="895">
        <v>0</v>
      </c>
      <c r="AY44" s="913">
        <f t="shared" si="17"/>
        <v>4.5552000000000001</v>
      </c>
      <c r="AZ44" s="913">
        <f t="shared" si="18"/>
        <v>0</v>
      </c>
      <c r="BA44" s="890"/>
      <c r="BB44" s="911">
        <f>AU44</f>
        <v>4.5552000000000001</v>
      </c>
      <c r="BC44" s="911">
        <v>0</v>
      </c>
      <c r="BD44" s="911">
        <v>0</v>
      </c>
      <c r="BE44" s="911">
        <f t="shared" si="19"/>
        <v>4.5552000000000001</v>
      </c>
      <c r="BF44" s="911">
        <f t="shared" si="20"/>
        <v>4.5552000000000001</v>
      </c>
      <c r="BG44" s="911">
        <f t="shared" si="21"/>
        <v>0</v>
      </c>
      <c r="BH44" s="911">
        <f t="shared" si="22"/>
        <v>4.5552000000000001</v>
      </c>
      <c r="BI44" s="911">
        <f t="shared" si="23"/>
        <v>0</v>
      </c>
    </row>
    <row r="45" spans="2:61" s="896" customFormat="1">
      <c r="B45" s="914" t="s">
        <v>1043</v>
      </c>
      <c r="C45" s="915"/>
      <c r="D45" s="916">
        <v>0</v>
      </c>
      <c r="E45" s="917">
        <v>0</v>
      </c>
      <c r="F45" s="917">
        <v>0</v>
      </c>
      <c r="G45" s="917">
        <v>0</v>
      </c>
      <c r="H45" s="918">
        <f t="shared" si="2"/>
        <v>0</v>
      </c>
      <c r="I45" s="918">
        <f t="shared" si="3"/>
        <v>0</v>
      </c>
      <c r="J45" s="901">
        <f t="shared" si="24"/>
        <v>0</v>
      </c>
      <c r="K45" s="918">
        <f t="shared" si="4"/>
        <v>0</v>
      </c>
      <c r="L45" s="918">
        <f t="shared" si="5"/>
        <v>0</v>
      </c>
      <c r="M45" s="918">
        <f t="shared" si="6"/>
        <v>0</v>
      </c>
      <c r="N45" s="918">
        <f t="shared" si="7"/>
        <v>0</v>
      </c>
      <c r="O45" s="918">
        <f t="shared" si="25"/>
        <v>0</v>
      </c>
      <c r="P45" s="918">
        <f t="shared" si="26"/>
        <v>0</v>
      </c>
      <c r="Q45" s="918">
        <f t="shared" si="27"/>
        <v>0</v>
      </c>
      <c r="R45" s="918">
        <f t="shared" si="28"/>
        <v>0</v>
      </c>
      <c r="S45" s="918">
        <f t="shared" si="8"/>
        <v>0</v>
      </c>
      <c r="T45" s="918">
        <f t="shared" si="9"/>
        <v>0</v>
      </c>
      <c r="U45" s="919">
        <f t="shared" si="10"/>
        <v>0</v>
      </c>
      <c r="V45" s="903"/>
      <c r="W45" s="884">
        <v>0.84</v>
      </c>
      <c r="X45" s="887">
        <v>17</v>
      </c>
      <c r="Y45" s="886">
        <v>0</v>
      </c>
      <c r="Z45" s="887"/>
      <c r="AA45" s="905">
        <f t="shared" si="11"/>
        <v>0</v>
      </c>
      <c r="AB45" s="888"/>
      <c r="AC45" s="905">
        <v>0.4</v>
      </c>
      <c r="AD45" s="889">
        <v>17</v>
      </c>
      <c r="AE45" s="890">
        <v>24</v>
      </c>
      <c r="AF45" s="891">
        <v>0</v>
      </c>
      <c r="AG45" s="890"/>
      <c r="AH45" s="892"/>
      <c r="AI45" s="890"/>
      <c r="AJ45" s="891"/>
      <c r="AK45" s="891"/>
      <c r="AL45" s="890"/>
      <c r="AM45" s="891"/>
      <c r="AN45" s="890">
        <v>0</v>
      </c>
      <c r="AO45" s="891">
        <v>0</v>
      </c>
      <c r="AP45" s="911">
        <f t="shared" si="12"/>
        <v>3.5040000000000004</v>
      </c>
      <c r="AQ45" s="911">
        <f t="shared" si="13"/>
        <v>0</v>
      </c>
      <c r="AR45" s="911">
        <f t="shared" si="29"/>
        <v>3.5040000000000004</v>
      </c>
      <c r="AS45" s="911">
        <f t="shared" si="14"/>
        <v>2.9433600000000002</v>
      </c>
      <c r="AT45" s="911">
        <f t="shared" si="15"/>
        <v>0</v>
      </c>
      <c r="AU45" s="912">
        <f t="shared" si="16"/>
        <v>2.9433600000000002</v>
      </c>
      <c r="AV45" s="890"/>
      <c r="AW45" s="895">
        <v>1</v>
      </c>
      <c r="AX45" s="895">
        <v>0</v>
      </c>
      <c r="AY45" s="913">
        <f t="shared" si="17"/>
        <v>2.9433600000000002</v>
      </c>
      <c r="AZ45" s="913">
        <f t="shared" si="18"/>
        <v>0</v>
      </c>
      <c r="BA45" s="890"/>
      <c r="BB45" s="911">
        <f>AU45/2</f>
        <v>1.4716800000000001</v>
      </c>
      <c r="BC45" s="911">
        <v>0</v>
      </c>
      <c r="BD45" s="911">
        <f>AU45/2/1920*1000</f>
        <v>0.76650000000000007</v>
      </c>
      <c r="BE45" s="911">
        <f t="shared" si="19"/>
        <v>3.2315640000000001</v>
      </c>
      <c r="BF45" s="911">
        <f t="shared" si="20"/>
        <v>3.2315640000000001</v>
      </c>
      <c r="BG45" s="911">
        <f t="shared" si="21"/>
        <v>0</v>
      </c>
      <c r="BH45" s="911">
        <f t="shared" si="22"/>
        <v>3.2315640000000001</v>
      </c>
      <c r="BI45" s="911">
        <f t="shared" si="23"/>
        <v>0</v>
      </c>
    </row>
    <row r="46" spans="2:61" s="896" customFormat="1">
      <c r="B46" s="914" t="s">
        <v>1044</v>
      </c>
      <c r="C46" s="915"/>
      <c r="D46" s="916">
        <v>0</v>
      </c>
      <c r="E46" s="917">
        <v>0</v>
      </c>
      <c r="F46" s="917">
        <v>0</v>
      </c>
      <c r="G46" s="917">
        <v>0</v>
      </c>
      <c r="H46" s="918">
        <f t="shared" si="2"/>
        <v>0</v>
      </c>
      <c r="I46" s="918">
        <f t="shared" si="3"/>
        <v>0</v>
      </c>
      <c r="J46" s="901">
        <f t="shared" si="24"/>
        <v>0</v>
      </c>
      <c r="K46" s="918">
        <f t="shared" si="4"/>
        <v>0</v>
      </c>
      <c r="L46" s="918">
        <f t="shared" si="5"/>
        <v>0</v>
      </c>
      <c r="M46" s="918">
        <f t="shared" si="6"/>
        <v>0</v>
      </c>
      <c r="N46" s="918">
        <f t="shared" si="7"/>
        <v>0</v>
      </c>
      <c r="O46" s="918">
        <f t="shared" si="25"/>
        <v>0</v>
      </c>
      <c r="P46" s="918">
        <f t="shared" si="26"/>
        <v>0</v>
      </c>
      <c r="Q46" s="918">
        <f t="shared" si="27"/>
        <v>0</v>
      </c>
      <c r="R46" s="918">
        <f t="shared" si="28"/>
        <v>0</v>
      </c>
      <c r="S46" s="918">
        <f t="shared" si="8"/>
        <v>0</v>
      </c>
      <c r="T46" s="918">
        <f t="shared" si="9"/>
        <v>0</v>
      </c>
      <c r="U46" s="919">
        <f t="shared" si="10"/>
        <v>0</v>
      </c>
      <c r="V46" s="903"/>
      <c r="W46" s="884">
        <v>0.4039408866995074</v>
      </c>
      <c r="X46" s="887">
        <v>1</v>
      </c>
      <c r="Y46" s="886">
        <v>10</v>
      </c>
      <c r="Z46" s="887">
        <v>1</v>
      </c>
      <c r="AA46" s="905">
        <f t="shared" si="11"/>
        <v>4.0394088669950738</v>
      </c>
      <c r="AB46" s="888"/>
      <c r="AC46" s="905"/>
      <c r="AD46" s="889"/>
      <c r="AE46" s="890"/>
      <c r="AF46" s="891"/>
      <c r="AG46" s="890"/>
      <c r="AH46" s="892"/>
      <c r="AI46" s="890"/>
      <c r="AJ46" s="891"/>
      <c r="AK46" s="891"/>
      <c r="AL46" s="893">
        <f>Y46*1000/365/0.05</f>
        <v>547.94520547945206</v>
      </c>
      <c r="AM46" s="891">
        <v>0</v>
      </c>
      <c r="AN46" s="890">
        <v>0.05</v>
      </c>
      <c r="AO46" s="891">
        <v>0</v>
      </c>
      <c r="AP46" s="911">
        <f t="shared" si="12"/>
        <v>0</v>
      </c>
      <c r="AQ46" s="911">
        <f t="shared" si="13"/>
        <v>10.000000000000002</v>
      </c>
      <c r="AR46" s="911">
        <f t="shared" si="29"/>
        <v>10.000000000000002</v>
      </c>
      <c r="AS46" s="911">
        <f t="shared" si="14"/>
        <v>0</v>
      </c>
      <c r="AT46" s="911">
        <f t="shared" si="15"/>
        <v>4.0394088669950747</v>
      </c>
      <c r="AU46" s="912">
        <f t="shared" si="16"/>
        <v>4.0394088669950747</v>
      </c>
      <c r="AV46" s="890"/>
      <c r="AW46" s="895">
        <v>1</v>
      </c>
      <c r="AX46" s="895">
        <v>0</v>
      </c>
      <c r="AY46" s="913">
        <f t="shared" si="17"/>
        <v>4.0394088669950747</v>
      </c>
      <c r="AZ46" s="913">
        <f t="shared" si="18"/>
        <v>0</v>
      </c>
      <c r="BA46" s="890"/>
      <c r="BB46" s="911">
        <f>AU46/2</f>
        <v>2.0197044334975374</v>
      </c>
      <c r="BC46" s="911">
        <f>AU46/2/3</f>
        <v>0.67323481116584583</v>
      </c>
      <c r="BD46" s="911">
        <v>0</v>
      </c>
      <c r="BE46" s="911">
        <f t="shared" si="19"/>
        <v>4.0394088669950747</v>
      </c>
      <c r="BF46" s="911">
        <f t="shared" si="20"/>
        <v>0</v>
      </c>
      <c r="BG46" s="911">
        <f t="shared" si="21"/>
        <v>4.0394088669950747</v>
      </c>
      <c r="BH46" s="911">
        <f t="shared" si="22"/>
        <v>4.0394088669950747</v>
      </c>
      <c r="BI46" s="911">
        <f t="shared" si="23"/>
        <v>0</v>
      </c>
    </row>
    <row r="47" spans="2:61" s="896" customFormat="1">
      <c r="B47" s="914" t="s">
        <v>1045</v>
      </c>
      <c r="C47" s="915"/>
      <c r="D47" s="916">
        <v>0</v>
      </c>
      <c r="E47" s="917">
        <v>0</v>
      </c>
      <c r="F47" s="917">
        <v>0</v>
      </c>
      <c r="G47" s="917">
        <v>0</v>
      </c>
      <c r="H47" s="918">
        <f t="shared" si="2"/>
        <v>0</v>
      </c>
      <c r="I47" s="918">
        <f t="shared" si="3"/>
        <v>0</v>
      </c>
      <c r="J47" s="901">
        <f t="shared" si="24"/>
        <v>0</v>
      </c>
      <c r="K47" s="918">
        <f t="shared" si="4"/>
        <v>0</v>
      </c>
      <c r="L47" s="918">
        <f t="shared" si="5"/>
        <v>0</v>
      </c>
      <c r="M47" s="918">
        <f t="shared" si="6"/>
        <v>0</v>
      </c>
      <c r="N47" s="918">
        <f t="shared" si="7"/>
        <v>0</v>
      </c>
      <c r="O47" s="918">
        <f t="shared" si="25"/>
        <v>0</v>
      </c>
      <c r="P47" s="918">
        <f t="shared" si="26"/>
        <v>0</v>
      </c>
      <c r="Q47" s="918">
        <f t="shared" si="27"/>
        <v>0</v>
      </c>
      <c r="R47" s="918">
        <f t="shared" si="28"/>
        <v>0</v>
      </c>
      <c r="S47" s="918">
        <f t="shared" si="8"/>
        <v>0</v>
      </c>
      <c r="T47" s="918">
        <f t="shared" si="9"/>
        <v>0</v>
      </c>
      <c r="U47" s="919">
        <f t="shared" si="10"/>
        <v>0</v>
      </c>
      <c r="V47" s="903"/>
      <c r="W47" s="884">
        <v>0.66995073891625612</v>
      </c>
      <c r="X47" s="887">
        <v>1</v>
      </c>
      <c r="Y47" s="886">
        <v>44</v>
      </c>
      <c r="Z47" s="887">
        <v>1</v>
      </c>
      <c r="AA47" s="905">
        <f t="shared" si="11"/>
        <v>29.47783251231527</v>
      </c>
      <c r="AB47" s="888"/>
      <c r="AC47" s="905">
        <f>Y47*1000/365/24</f>
        <v>5.0228310502283104</v>
      </c>
      <c r="AD47" s="889">
        <v>0</v>
      </c>
      <c r="AE47" s="890">
        <v>24</v>
      </c>
      <c r="AF47" s="891">
        <v>0</v>
      </c>
      <c r="AG47" s="890"/>
      <c r="AH47" s="892">
        <v>0</v>
      </c>
      <c r="AI47" s="890"/>
      <c r="AJ47" s="891"/>
      <c r="AK47" s="891"/>
      <c r="AL47" s="890"/>
      <c r="AM47" s="891"/>
      <c r="AN47" s="890"/>
      <c r="AO47" s="891"/>
      <c r="AP47" s="911">
        <f t="shared" si="12"/>
        <v>44</v>
      </c>
      <c r="AQ47" s="911">
        <f t="shared" si="13"/>
        <v>0</v>
      </c>
      <c r="AR47" s="911">
        <f t="shared" si="29"/>
        <v>44</v>
      </c>
      <c r="AS47" s="911">
        <f t="shared" si="14"/>
        <v>29.47783251231527</v>
      </c>
      <c r="AT47" s="911">
        <f t="shared" si="15"/>
        <v>0</v>
      </c>
      <c r="AU47" s="912">
        <f t="shared" si="16"/>
        <v>29.47783251231527</v>
      </c>
      <c r="AV47" s="890"/>
      <c r="AW47" s="895">
        <v>0.95</v>
      </c>
      <c r="AX47" s="895">
        <v>0</v>
      </c>
      <c r="AY47" s="913">
        <f t="shared" si="17"/>
        <v>28.003940886699507</v>
      </c>
      <c r="AZ47" s="913">
        <f t="shared" si="18"/>
        <v>0</v>
      </c>
      <c r="BA47" s="890"/>
      <c r="BB47" s="911">
        <f>AU47</f>
        <v>29.47783251231527</v>
      </c>
      <c r="BC47" s="911">
        <v>0</v>
      </c>
      <c r="BD47" s="911">
        <v>0</v>
      </c>
      <c r="BE47" s="911">
        <f t="shared" si="19"/>
        <v>29.47783251231527</v>
      </c>
      <c r="BF47" s="911">
        <f t="shared" si="20"/>
        <v>29.47783251231527</v>
      </c>
      <c r="BG47" s="911">
        <f t="shared" si="21"/>
        <v>0</v>
      </c>
      <c r="BH47" s="911">
        <f t="shared" si="22"/>
        <v>28.003940886699507</v>
      </c>
      <c r="BI47" s="911">
        <f t="shared" si="23"/>
        <v>0</v>
      </c>
    </row>
    <row r="48" spans="2:61" s="896" customFormat="1" ht="13.5" thickBot="1">
      <c r="B48" s="922" t="s">
        <v>813</v>
      </c>
      <c r="C48" s="923"/>
      <c r="D48" s="924">
        <v>0</v>
      </c>
      <c r="E48" s="925">
        <v>0</v>
      </c>
      <c r="F48" s="925">
        <v>0</v>
      </c>
      <c r="G48" s="925">
        <v>0</v>
      </c>
      <c r="H48" s="926">
        <f t="shared" si="2"/>
        <v>0</v>
      </c>
      <c r="I48" s="926">
        <f t="shared" si="3"/>
        <v>0</v>
      </c>
      <c r="J48" s="901">
        <f t="shared" si="24"/>
        <v>0</v>
      </c>
      <c r="K48" s="926">
        <f t="shared" si="4"/>
        <v>0</v>
      </c>
      <c r="L48" s="926">
        <f t="shared" si="5"/>
        <v>0</v>
      </c>
      <c r="M48" s="926">
        <f t="shared" si="6"/>
        <v>0</v>
      </c>
      <c r="N48" s="926">
        <f t="shared" si="7"/>
        <v>0</v>
      </c>
      <c r="O48" s="926">
        <f t="shared" si="25"/>
        <v>0</v>
      </c>
      <c r="P48" s="926">
        <f t="shared" si="26"/>
        <v>0</v>
      </c>
      <c r="Q48" s="926">
        <f t="shared" si="27"/>
        <v>0</v>
      </c>
      <c r="R48" s="926">
        <f t="shared" si="28"/>
        <v>0</v>
      </c>
      <c r="S48" s="926">
        <f t="shared" si="8"/>
        <v>0</v>
      </c>
      <c r="T48" s="926">
        <f t="shared" si="9"/>
        <v>0</v>
      </c>
      <c r="U48" s="927">
        <f t="shared" si="10"/>
        <v>0</v>
      </c>
      <c r="V48" s="903"/>
      <c r="W48" s="884">
        <v>1E-3</v>
      </c>
      <c r="X48" s="887">
        <v>0</v>
      </c>
      <c r="Y48" s="886">
        <v>0</v>
      </c>
      <c r="Z48" s="887">
        <v>0</v>
      </c>
      <c r="AA48" s="928">
        <f t="shared" si="11"/>
        <v>0</v>
      </c>
      <c r="AB48" s="929"/>
      <c r="AC48" s="928">
        <v>0</v>
      </c>
      <c r="AD48" s="930">
        <v>0</v>
      </c>
      <c r="AE48" s="931">
        <v>0</v>
      </c>
      <c r="AF48" s="932">
        <v>0</v>
      </c>
      <c r="AG48" s="931">
        <v>0</v>
      </c>
      <c r="AH48" s="933">
        <v>0</v>
      </c>
      <c r="AI48" s="931">
        <v>0</v>
      </c>
      <c r="AJ48" s="932">
        <v>0</v>
      </c>
      <c r="AK48" s="932"/>
      <c r="AL48" s="931">
        <v>0</v>
      </c>
      <c r="AM48" s="932">
        <v>0</v>
      </c>
      <c r="AN48" s="931">
        <v>0</v>
      </c>
      <c r="AO48" s="932">
        <v>0</v>
      </c>
      <c r="AP48" s="911">
        <f t="shared" si="12"/>
        <v>0</v>
      </c>
      <c r="AQ48" s="911">
        <f t="shared" si="13"/>
        <v>0</v>
      </c>
      <c r="AR48" s="911">
        <f t="shared" si="29"/>
        <v>0</v>
      </c>
      <c r="AS48" s="911">
        <f t="shared" si="14"/>
        <v>0</v>
      </c>
      <c r="AT48" s="911">
        <f t="shared" si="15"/>
        <v>0</v>
      </c>
      <c r="AU48" s="912">
        <f t="shared" si="16"/>
        <v>0</v>
      </c>
      <c r="AV48" s="890"/>
      <c r="AW48" s="895">
        <v>1</v>
      </c>
      <c r="AX48" s="895">
        <v>0</v>
      </c>
      <c r="AY48" s="913">
        <f t="shared" si="17"/>
        <v>0</v>
      </c>
      <c r="AZ48" s="913">
        <f t="shared" si="18"/>
        <v>0</v>
      </c>
      <c r="BA48" s="890"/>
      <c r="BB48" s="911">
        <f>AU48/2</f>
        <v>0</v>
      </c>
      <c r="BC48" s="911">
        <f>AU48/4/3</f>
        <v>0</v>
      </c>
      <c r="BD48" s="911">
        <f>AU48/4/1920*1000</f>
        <v>0</v>
      </c>
      <c r="BE48" s="911">
        <f t="shared" si="19"/>
        <v>0</v>
      </c>
      <c r="BF48" s="911">
        <f>IF(D48=0,0,(BB48+BC48*C$5+BD48/1000*C$4)*AS48/AU48)</f>
        <v>0</v>
      </c>
      <c r="BG48" s="911">
        <f>IF(D48=0,0,(BB48+BC48*C$5+BD48/1000*C$4)*AT48/AU48)</f>
        <v>0</v>
      </c>
      <c r="BH48" s="911">
        <f t="shared" si="22"/>
        <v>0</v>
      </c>
      <c r="BI48" s="911">
        <f t="shared" si="23"/>
        <v>0</v>
      </c>
    </row>
    <row r="49" spans="2:61" s="896" customFormat="1" ht="13.5" thickBot="1">
      <c r="B49" s="878" t="s">
        <v>814</v>
      </c>
      <c r="C49" s="934"/>
      <c r="D49" s="935"/>
      <c r="E49" s="936"/>
      <c r="F49" s="936"/>
      <c r="G49" s="936"/>
      <c r="H49" s="937"/>
      <c r="I49" s="937"/>
      <c r="J49" s="937"/>
      <c r="K49" s="937"/>
      <c r="L49" s="937"/>
      <c r="M49" s="937"/>
      <c r="N49" s="937"/>
      <c r="O49" s="937"/>
      <c r="P49" s="937"/>
      <c r="Q49" s="937"/>
      <c r="R49" s="937"/>
      <c r="S49" s="937"/>
      <c r="T49" s="937"/>
      <c r="U49" s="938"/>
      <c r="V49" s="883"/>
      <c r="W49" s="884"/>
      <c r="X49" s="887"/>
      <c r="Y49" s="886"/>
      <c r="Z49" s="887"/>
      <c r="AA49" s="905"/>
      <c r="AB49" s="888"/>
      <c r="AC49" s="905"/>
      <c r="AD49" s="889"/>
      <c r="AE49" s="890"/>
      <c r="AF49" s="891"/>
      <c r="AG49" s="890"/>
      <c r="AH49" s="892"/>
      <c r="AI49" s="890"/>
      <c r="AJ49" s="891"/>
      <c r="AK49" s="891"/>
      <c r="AL49" s="890"/>
      <c r="AM49" s="891"/>
      <c r="AN49" s="890"/>
      <c r="AO49" s="891"/>
      <c r="AP49" s="911"/>
      <c r="AQ49" s="911"/>
      <c r="AR49" s="911">
        <f t="shared" si="29"/>
        <v>0</v>
      </c>
      <c r="AS49" s="911"/>
      <c r="AT49" s="911"/>
      <c r="AU49" s="912"/>
      <c r="AV49" s="890"/>
      <c r="AW49" s="895"/>
      <c r="AX49" s="895"/>
      <c r="AY49" s="913"/>
      <c r="AZ49" s="913"/>
      <c r="BA49" s="890"/>
      <c r="BB49" s="890"/>
      <c r="BC49" s="890"/>
      <c r="BD49" s="890"/>
      <c r="BE49" s="911"/>
      <c r="BF49" s="911"/>
      <c r="BG49" s="911"/>
      <c r="BH49" s="911"/>
      <c r="BI49" s="911"/>
    </row>
    <row r="50" spans="2:61" s="896" customFormat="1" ht="13.5" customHeight="1">
      <c r="B50" s="897" t="s">
        <v>1059</v>
      </c>
      <c r="C50" s="898"/>
      <c r="D50" s="899">
        <v>0</v>
      </c>
      <c r="E50" s="900">
        <v>0</v>
      </c>
      <c r="F50" s="900">
        <v>0</v>
      </c>
      <c r="G50" s="900">
        <v>0</v>
      </c>
      <c r="H50" s="901">
        <f t="shared" ref="H50:H70" si="30">D50*(E50*AE50+F50*AI50+G50*AN50)*365/1000</f>
        <v>0</v>
      </c>
      <c r="I50" s="901">
        <f t="shared" ref="I50:I70" si="31">D50*SUM(AP50:AQ50)</f>
        <v>0</v>
      </c>
      <c r="J50" s="901">
        <f>IF(D50&gt;0,I50/D50*W50,0)</f>
        <v>0</v>
      </c>
      <c r="K50" s="901">
        <f t="shared" ref="K50:K70" si="32">$D50*(E50*AE50+F50*AI50)*365/1000</f>
        <v>0</v>
      </c>
      <c r="L50" s="901">
        <f t="shared" ref="L50:L70" si="33">D50*G50*AN50*365/1000</f>
        <v>0</v>
      </c>
      <c r="M50" s="901">
        <f t="shared" ref="M50:M70" si="34">D50*AP50</f>
        <v>0</v>
      </c>
      <c r="N50" s="901">
        <f t="shared" ref="N50:N70" si="35">D50*AQ50</f>
        <v>0</v>
      </c>
      <c r="O50" s="901">
        <f t="shared" si="25"/>
        <v>0</v>
      </c>
      <c r="P50" s="901">
        <f t="shared" si="26"/>
        <v>0</v>
      </c>
      <c r="Q50" s="901">
        <f t="shared" si="27"/>
        <v>0</v>
      </c>
      <c r="R50" s="901">
        <f t="shared" si="28"/>
        <v>0</v>
      </c>
      <c r="S50" s="901">
        <f t="shared" ref="S50:S70" si="36">$D50*(AP50-(E50*AE50+F50*AI50)*365/1000)</f>
        <v>0</v>
      </c>
      <c r="T50" s="901">
        <f t="shared" ref="T50:T70" si="37">D50*(AQ50-G50*AN50*365/1000)</f>
        <v>0</v>
      </c>
      <c r="U50" s="902">
        <f t="shared" ref="U50:U70" si="38">IF(D50=0,0,(I50-H50)/I50)</f>
        <v>0</v>
      </c>
      <c r="V50" s="903"/>
      <c r="W50" s="904">
        <v>0.89</v>
      </c>
      <c r="X50" s="920">
        <v>21</v>
      </c>
      <c r="Y50" s="886">
        <v>205</v>
      </c>
      <c r="Z50" s="887">
        <v>1</v>
      </c>
      <c r="AA50" s="905">
        <f t="shared" ref="AA50:AA72" si="39">W50*Y50</f>
        <v>182.45</v>
      </c>
      <c r="AB50" s="888"/>
      <c r="AC50" s="906">
        <v>4</v>
      </c>
      <c r="AD50" s="907">
        <v>21</v>
      </c>
      <c r="AE50" s="908">
        <f t="shared" ref="AE50:AE55" si="40">24-AN50</f>
        <v>16.899999999999999</v>
      </c>
      <c r="AF50" s="891"/>
      <c r="AG50" s="890">
        <v>0</v>
      </c>
      <c r="AH50" s="892">
        <v>0</v>
      </c>
      <c r="AI50" s="890"/>
      <c r="AJ50" s="891"/>
      <c r="AK50" s="891"/>
      <c r="AL50" s="908">
        <v>110</v>
      </c>
      <c r="AM50" s="909">
        <v>21</v>
      </c>
      <c r="AN50" s="908">
        <v>7.1</v>
      </c>
      <c r="AO50" s="909">
        <v>21</v>
      </c>
      <c r="AP50" s="911">
        <f t="shared" ref="AP50:AP72" si="41">(AC50*AE50+AG50*AI50)*365/1000</f>
        <v>24.673999999999996</v>
      </c>
      <c r="AQ50" s="911">
        <f t="shared" ref="AQ50:AQ72" si="42">AL50*AN50*365/1000</f>
        <v>285.065</v>
      </c>
      <c r="AR50" s="911">
        <f t="shared" si="29"/>
        <v>309.73899999999998</v>
      </c>
      <c r="AS50" s="911">
        <f t="shared" ref="AS50:AS72" si="43">AP50*W50</f>
        <v>21.959859999999995</v>
      </c>
      <c r="AT50" s="911">
        <f t="shared" ref="AT50:AT72" si="44">AQ50*W50</f>
        <v>253.70785000000001</v>
      </c>
      <c r="AU50" s="912">
        <f t="shared" ref="AU50:AU72" si="45">SUM(AS50:AT50)</f>
        <v>275.66771</v>
      </c>
      <c r="AV50" s="890"/>
      <c r="AW50" s="895">
        <v>1</v>
      </c>
      <c r="AX50" s="895">
        <v>0</v>
      </c>
      <c r="AY50" s="913">
        <f t="shared" ref="AY50:AY72" si="46">AU50*AW50</f>
        <v>275.66771</v>
      </c>
      <c r="AZ50" s="913">
        <f t="shared" ref="AZ50:AZ72" si="47">AU50*AX50</f>
        <v>0</v>
      </c>
      <c r="BA50" s="890"/>
      <c r="BB50" s="911">
        <f t="shared" ref="BB50:BB67" si="48">AU50/2</f>
        <v>137.833855</v>
      </c>
      <c r="BC50" s="911">
        <f t="shared" ref="BC50:BC72" si="49">AU50/4/3</f>
        <v>22.972309166666665</v>
      </c>
      <c r="BD50" s="911">
        <f t="shared" ref="BD50:BD67" si="50">AU50/4/1920*1000</f>
        <v>35.894233072916663</v>
      </c>
      <c r="BE50" s="911">
        <f t="shared" ref="BE50:BE72" si="51">BB50+BC50*C$5+BD50/1000*C$4</f>
        <v>289.16394163541668</v>
      </c>
      <c r="BF50" s="911">
        <f t="shared" ref="BF50:BF71" si="52">(BB50+BC50*C$5+BD50/1000*C$4)*AS50/AU50</f>
        <v>23.034978145833328</v>
      </c>
      <c r="BG50" s="911">
        <f t="shared" ref="BG50:BG71" si="53">(BB50+BC50*C$5+BD50/1000*C$4)*AT50/AU50</f>
        <v>266.12896348958333</v>
      </c>
      <c r="BH50" s="911">
        <f t="shared" ref="BH50:BH72" si="54">BE50*AW50</f>
        <v>289.16394163541668</v>
      </c>
      <c r="BI50" s="911">
        <f t="shared" ref="BI50:BI72" si="55">BE50*AX50</f>
        <v>0</v>
      </c>
    </row>
    <row r="51" spans="2:61" s="896" customFormat="1">
      <c r="B51" s="914" t="s">
        <v>1060</v>
      </c>
      <c r="C51" s="915"/>
      <c r="D51" s="916">
        <v>0</v>
      </c>
      <c r="E51" s="917">
        <v>0</v>
      </c>
      <c r="F51" s="917">
        <v>0</v>
      </c>
      <c r="G51" s="917">
        <v>0</v>
      </c>
      <c r="H51" s="918">
        <f t="shared" si="30"/>
        <v>0</v>
      </c>
      <c r="I51" s="918">
        <f t="shared" si="31"/>
        <v>0</v>
      </c>
      <c r="J51" s="901">
        <f t="shared" ref="J51:J112" si="56">IF(D51&gt;0,I51/D51*W51,0)</f>
        <v>0</v>
      </c>
      <c r="K51" s="918">
        <f t="shared" si="32"/>
        <v>0</v>
      </c>
      <c r="L51" s="918">
        <f t="shared" si="33"/>
        <v>0</v>
      </c>
      <c r="M51" s="918">
        <f t="shared" si="34"/>
        <v>0</v>
      </c>
      <c r="N51" s="918">
        <f t="shared" si="35"/>
        <v>0</v>
      </c>
      <c r="O51" s="918">
        <f t="shared" si="25"/>
        <v>0</v>
      </c>
      <c r="P51" s="918">
        <f t="shared" si="26"/>
        <v>0</v>
      </c>
      <c r="Q51" s="918">
        <f t="shared" si="27"/>
        <v>0</v>
      </c>
      <c r="R51" s="918">
        <f t="shared" si="28"/>
        <v>0</v>
      </c>
      <c r="S51" s="918">
        <f t="shared" si="36"/>
        <v>0</v>
      </c>
      <c r="T51" s="918">
        <f t="shared" si="37"/>
        <v>0</v>
      </c>
      <c r="U51" s="919">
        <f t="shared" si="38"/>
        <v>0</v>
      </c>
      <c r="V51" s="903"/>
      <c r="W51" s="904">
        <v>0.61</v>
      </c>
      <c r="X51" s="920">
        <v>21</v>
      </c>
      <c r="Y51" s="886">
        <v>205</v>
      </c>
      <c r="Z51" s="887">
        <v>1</v>
      </c>
      <c r="AA51" s="905">
        <f t="shared" si="39"/>
        <v>125.05</v>
      </c>
      <c r="AB51" s="888"/>
      <c r="AC51" s="906">
        <v>4</v>
      </c>
      <c r="AD51" s="907">
        <v>21</v>
      </c>
      <c r="AE51" s="908">
        <f t="shared" si="40"/>
        <v>19.8</v>
      </c>
      <c r="AF51" s="891"/>
      <c r="AG51" s="890">
        <v>0</v>
      </c>
      <c r="AH51" s="892">
        <v>0</v>
      </c>
      <c r="AI51" s="890"/>
      <c r="AJ51" s="891"/>
      <c r="AK51" s="891"/>
      <c r="AL51" s="908">
        <v>92</v>
      </c>
      <c r="AM51" s="909">
        <v>21</v>
      </c>
      <c r="AN51" s="908">
        <v>4.2</v>
      </c>
      <c r="AO51" s="909">
        <v>21</v>
      </c>
      <c r="AP51" s="911">
        <f t="shared" si="41"/>
        <v>28.908000000000001</v>
      </c>
      <c r="AQ51" s="911">
        <f t="shared" si="42"/>
        <v>141.036</v>
      </c>
      <c r="AR51" s="911">
        <f t="shared" si="29"/>
        <v>169.94400000000002</v>
      </c>
      <c r="AS51" s="911">
        <f t="shared" si="43"/>
        <v>17.633880000000001</v>
      </c>
      <c r="AT51" s="911">
        <f t="shared" si="44"/>
        <v>86.031959999999998</v>
      </c>
      <c r="AU51" s="912">
        <f t="shared" si="45"/>
        <v>103.66584</v>
      </c>
      <c r="AV51" s="890"/>
      <c r="AW51" s="895">
        <v>1</v>
      </c>
      <c r="AX51" s="895">
        <v>0</v>
      </c>
      <c r="AY51" s="913">
        <f t="shared" si="46"/>
        <v>103.66584</v>
      </c>
      <c r="AZ51" s="913">
        <f t="shared" si="47"/>
        <v>0</v>
      </c>
      <c r="BA51" s="890"/>
      <c r="BB51" s="911">
        <f t="shared" si="48"/>
        <v>51.832920000000001</v>
      </c>
      <c r="BC51" s="911">
        <f t="shared" si="49"/>
        <v>8.6388200000000008</v>
      </c>
      <c r="BD51" s="911">
        <f t="shared" si="50"/>
        <v>13.498156250000001</v>
      </c>
      <c r="BE51" s="911">
        <f t="shared" si="51"/>
        <v>108.74114675</v>
      </c>
      <c r="BF51" s="911">
        <f t="shared" si="52"/>
        <v>18.497205375</v>
      </c>
      <c r="BG51" s="911">
        <f t="shared" si="53"/>
        <v>90.243941374999991</v>
      </c>
      <c r="BH51" s="911">
        <f t="shared" si="54"/>
        <v>108.74114675</v>
      </c>
      <c r="BI51" s="911">
        <f t="shared" si="55"/>
        <v>0</v>
      </c>
    </row>
    <row r="52" spans="2:61" s="896" customFormat="1">
      <c r="B52" s="914" t="s">
        <v>1061</v>
      </c>
      <c r="C52" s="915"/>
      <c r="D52" s="916">
        <v>0</v>
      </c>
      <c r="E52" s="917">
        <v>0</v>
      </c>
      <c r="F52" s="917">
        <v>0</v>
      </c>
      <c r="G52" s="917">
        <v>0</v>
      </c>
      <c r="H52" s="918">
        <f t="shared" si="30"/>
        <v>0</v>
      </c>
      <c r="I52" s="918">
        <f t="shared" si="31"/>
        <v>0</v>
      </c>
      <c r="J52" s="901">
        <f t="shared" si="56"/>
        <v>0</v>
      </c>
      <c r="K52" s="918">
        <f t="shared" si="32"/>
        <v>0</v>
      </c>
      <c r="L52" s="918">
        <f t="shared" si="33"/>
        <v>0</v>
      </c>
      <c r="M52" s="918">
        <f t="shared" si="34"/>
        <v>0</v>
      </c>
      <c r="N52" s="918">
        <f t="shared" si="35"/>
        <v>0</v>
      </c>
      <c r="O52" s="918">
        <f t="shared" si="25"/>
        <v>0</v>
      </c>
      <c r="P52" s="918">
        <f t="shared" si="26"/>
        <v>0</v>
      </c>
      <c r="Q52" s="918">
        <f t="shared" si="27"/>
        <v>0</v>
      </c>
      <c r="R52" s="918">
        <f t="shared" si="28"/>
        <v>0</v>
      </c>
      <c r="S52" s="918">
        <f t="shared" si="36"/>
        <v>0</v>
      </c>
      <c r="T52" s="918">
        <f t="shared" si="37"/>
        <v>0</v>
      </c>
      <c r="U52" s="919">
        <f t="shared" si="38"/>
        <v>0</v>
      </c>
      <c r="V52" s="903"/>
      <c r="W52" s="904">
        <v>0.34</v>
      </c>
      <c r="X52" s="920">
        <v>21</v>
      </c>
      <c r="Y52" s="886">
        <v>205</v>
      </c>
      <c r="Z52" s="887">
        <v>1</v>
      </c>
      <c r="AA52" s="905">
        <f t="shared" si="39"/>
        <v>69.7</v>
      </c>
      <c r="AB52" s="888"/>
      <c r="AC52" s="906">
        <v>4</v>
      </c>
      <c r="AD52" s="907">
        <v>21</v>
      </c>
      <c r="AE52" s="908">
        <f t="shared" si="40"/>
        <v>20.7</v>
      </c>
      <c r="AF52" s="891"/>
      <c r="AG52" s="890">
        <v>0</v>
      </c>
      <c r="AH52" s="892">
        <v>0</v>
      </c>
      <c r="AI52" s="890"/>
      <c r="AJ52" s="891"/>
      <c r="AK52" s="891"/>
      <c r="AL52" s="908">
        <v>79</v>
      </c>
      <c r="AM52" s="909">
        <v>21</v>
      </c>
      <c r="AN52" s="908">
        <v>3.3</v>
      </c>
      <c r="AO52" s="909">
        <v>21</v>
      </c>
      <c r="AP52" s="911">
        <f t="shared" si="41"/>
        <v>30.222000000000001</v>
      </c>
      <c r="AQ52" s="911">
        <f t="shared" si="42"/>
        <v>95.155500000000004</v>
      </c>
      <c r="AR52" s="911">
        <f t="shared" si="29"/>
        <v>125.3775</v>
      </c>
      <c r="AS52" s="911">
        <f t="shared" si="43"/>
        <v>10.275480000000002</v>
      </c>
      <c r="AT52" s="911">
        <f t="shared" si="44"/>
        <v>32.352870000000003</v>
      </c>
      <c r="AU52" s="912">
        <f t="shared" si="45"/>
        <v>42.628350000000005</v>
      </c>
      <c r="AV52" s="890"/>
      <c r="AW52" s="895">
        <v>1</v>
      </c>
      <c r="AX52" s="895">
        <v>0</v>
      </c>
      <c r="AY52" s="913">
        <f t="shared" si="46"/>
        <v>42.628350000000005</v>
      </c>
      <c r="AZ52" s="913">
        <f t="shared" si="47"/>
        <v>0</v>
      </c>
      <c r="BA52" s="890"/>
      <c r="BB52" s="911">
        <f t="shared" si="48"/>
        <v>21.314175000000002</v>
      </c>
      <c r="BC52" s="911">
        <f t="shared" si="49"/>
        <v>3.5523625000000005</v>
      </c>
      <c r="BD52" s="911">
        <f t="shared" si="50"/>
        <v>5.5505664062500006</v>
      </c>
      <c r="BE52" s="911">
        <f t="shared" si="51"/>
        <v>44.71536296875</v>
      </c>
      <c r="BF52" s="911">
        <f t="shared" si="52"/>
        <v>10.778550375</v>
      </c>
      <c r="BG52" s="911">
        <f t="shared" si="53"/>
        <v>33.936812593749998</v>
      </c>
      <c r="BH52" s="911">
        <f t="shared" si="54"/>
        <v>44.71536296875</v>
      </c>
      <c r="BI52" s="911">
        <f t="shared" si="55"/>
        <v>0</v>
      </c>
    </row>
    <row r="53" spans="2:61" s="896" customFormat="1">
      <c r="B53" s="914" t="s">
        <v>1162</v>
      </c>
      <c r="C53" s="915"/>
      <c r="D53" s="916">
        <v>0</v>
      </c>
      <c r="E53" s="917">
        <v>0</v>
      </c>
      <c r="F53" s="917">
        <v>0</v>
      </c>
      <c r="G53" s="917">
        <v>0</v>
      </c>
      <c r="H53" s="918">
        <f t="shared" si="30"/>
        <v>0</v>
      </c>
      <c r="I53" s="918">
        <f t="shared" si="31"/>
        <v>0</v>
      </c>
      <c r="J53" s="901">
        <f t="shared" si="56"/>
        <v>0</v>
      </c>
      <c r="K53" s="918">
        <f t="shared" si="32"/>
        <v>0</v>
      </c>
      <c r="L53" s="918">
        <f t="shared" si="33"/>
        <v>0</v>
      </c>
      <c r="M53" s="918">
        <f t="shared" si="34"/>
        <v>0</v>
      </c>
      <c r="N53" s="918">
        <f t="shared" si="35"/>
        <v>0</v>
      </c>
      <c r="O53" s="918">
        <f t="shared" si="25"/>
        <v>0</v>
      </c>
      <c r="P53" s="918">
        <f t="shared" si="26"/>
        <v>0</v>
      </c>
      <c r="Q53" s="918">
        <f t="shared" si="27"/>
        <v>0</v>
      </c>
      <c r="R53" s="918">
        <f t="shared" si="28"/>
        <v>0</v>
      </c>
      <c r="S53" s="918">
        <f t="shared" si="36"/>
        <v>0</v>
      </c>
      <c r="T53" s="918">
        <f t="shared" si="37"/>
        <v>0</v>
      </c>
      <c r="U53" s="919">
        <f t="shared" si="38"/>
        <v>0</v>
      </c>
      <c r="V53" s="903"/>
      <c r="W53" s="904">
        <v>0.15</v>
      </c>
      <c r="X53" s="920">
        <v>21</v>
      </c>
      <c r="Y53" s="886">
        <v>205</v>
      </c>
      <c r="Z53" s="887">
        <v>1</v>
      </c>
      <c r="AA53" s="905">
        <f t="shared" si="39"/>
        <v>30.75</v>
      </c>
      <c r="AB53" s="888"/>
      <c r="AC53" s="906">
        <v>4</v>
      </c>
      <c r="AD53" s="907">
        <v>21</v>
      </c>
      <c r="AE53" s="908">
        <f t="shared" si="40"/>
        <v>20.8</v>
      </c>
      <c r="AF53" s="891"/>
      <c r="AG53" s="890">
        <v>0</v>
      </c>
      <c r="AH53" s="892">
        <v>0</v>
      </c>
      <c r="AI53" s="890"/>
      <c r="AJ53" s="891"/>
      <c r="AK53" s="891"/>
      <c r="AL53" s="908">
        <v>77</v>
      </c>
      <c r="AM53" s="909">
        <v>21</v>
      </c>
      <c r="AN53" s="908">
        <v>3.2</v>
      </c>
      <c r="AO53" s="909">
        <v>21</v>
      </c>
      <c r="AP53" s="911">
        <f t="shared" si="41"/>
        <v>30.367999999999999</v>
      </c>
      <c r="AQ53" s="911">
        <f t="shared" si="42"/>
        <v>89.936000000000007</v>
      </c>
      <c r="AR53" s="911">
        <f t="shared" si="29"/>
        <v>120.304</v>
      </c>
      <c r="AS53" s="911">
        <f t="shared" si="43"/>
        <v>4.5551999999999992</v>
      </c>
      <c r="AT53" s="911">
        <f t="shared" si="44"/>
        <v>13.490400000000001</v>
      </c>
      <c r="AU53" s="912">
        <f t="shared" si="45"/>
        <v>18.0456</v>
      </c>
      <c r="AV53" s="890"/>
      <c r="AW53" s="895">
        <v>1</v>
      </c>
      <c r="AX53" s="895">
        <v>0</v>
      </c>
      <c r="AY53" s="913">
        <f t="shared" si="46"/>
        <v>18.0456</v>
      </c>
      <c r="AZ53" s="913">
        <f t="shared" si="47"/>
        <v>0</v>
      </c>
      <c r="BA53" s="890"/>
      <c r="BB53" s="911">
        <f t="shared" si="48"/>
        <v>9.0228000000000002</v>
      </c>
      <c r="BC53" s="911">
        <f t="shared" si="49"/>
        <v>1.5038</v>
      </c>
      <c r="BD53" s="911">
        <f t="shared" si="50"/>
        <v>2.3496875000000004</v>
      </c>
      <c r="BE53" s="911">
        <f t="shared" si="51"/>
        <v>18.9290825</v>
      </c>
      <c r="BF53" s="911">
        <f t="shared" si="52"/>
        <v>4.7782149999999985</v>
      </c>
      <c r="BG53" s="911">
        <f t="shared" si="53"/>
        <v>14.1508675</v>
      </c>
      <c r="BH53" s="911">
        <f t="shared" si="54"/>
        <v>18.9290825</v>
      </c>
      <c r="BI53" s="911">
        <f t="shared" si="55"/>
        <v>0</v>
      </c>
    </row>
    <row r="54" spans="2:61" s="896" customFormat="1">
      <c r="B54" s="914" t="s">
        <v>1163</v>
      </c>
      <c r="C54" s="915"/>
      <c r="D54" s="916">
        <v>0</v>
      </c>
      <c r="E54" s="917">
        <v>0</v>
      </c>
      <c r="F54" s="917">
        <v>0</v>
      </c>
      <c r="G54" s="917">
        <v>0</v>
      </c>
      <c r="H54" s="918">
        <f t="shared" si="30"/>
        <v>0</v>
      </c>
      <c r="I54" s="918">
        <f t="shared" si="31"/>
        <v>0</v>
      </c>
      <c r="J54" s="901">
        <f t="shared" si="56"/>
        <v>0</v>
      </c>
      <c r="K54" s="918">
        <f t="shared" si="32"/>
        <v>0</v>
      </c>
      <c r="L54" s="918">
        <f t="shared" si="33"/>
        <v>0</v>
      </c>
      <c r="M54" s="918">
        <f t="shared" si="34"/>
        <v>0</v>
      </c>
      <c r="N54" s="918">
        <f t="shared" si="35"/>
        <v>0</v>
      </c>
      <c r="O54" s="918">
        <f t="shared" si="25"/>
        <v>0</v>
      </c>
      <c r="P54" s="918">
        <f t="shared" si="26"/>
        <v>0</v>
      </c>
      <c r="Q54" s="918">
        <f t="shared" si="27"/>
        <v>0</v>
      </c>
      <c r="R54" s="918">
        <f t="shared" si="28"/>
        <v>0</v>
      </c>
      <c r="S54" s="918">
        <f t="shared" si="36"/>
        <v>0</v>
      </c>
      <c r="T54" s="918">
        <f t="shared" si="37"/>
        <v>0</v>
      </c>
      <c r="U54" s="919">
        <f t="shared" si="38"/>
        <v>0</v>
      </c>
      <c r="V54" s="939"/>
      <c r="W54" s="904">
        <v>0.06</v>
      </c>
      <c r="X54" s="920">
        <v>21</v>
      </c>
      <c r="Y54" s="886">
        <v>205</v>
      </c>
      <c r="Z54" s="887">
        <v>1</v>
      </c>
      <c r="AA54" s="905">
        <f t="shared" si="39"/>
        <v>12.299999999999999</v>
      </c>
      <c r="AB54" s="888"/>
      <c r="AC54" s="906">
        <v>4</v>
      </c>
      <c r="AD54" s="907">
        <v>21</v>
      </c>
      <c r="AE54" s="908">
        <f t="shared" si="40"/>
        <v>22.2</v>
      </c>
      <c r="AF54" s="891"/>
      <c r="AG54" s="890">
        <v>0</v>
      </c>
      <c r="AH54" s="892">
        <v>0</v>
      </c>
      <c r="AI54" s="890"/>
      <c r="AJ54" s="891"/>
      <c r="AK54" s="891"/>
      <c r="AL54" s="908">
        <v>67</v>
      </c>
      <c r="AM54" s="909">
        <v>21</v>
      </c>
      <c r="AN54" s="908">
        <v>1.8</v>
      </c>
      <c r="AO54" s="909">
        <v>21</v>
      </c>
      <c r="AP54" s="911">
        <f t="shared" si="41"/>
        <v>32.411999999999999</v>
      </c>
      <c r="AQ54" s="911">
        <f t="shared" si="42"/>
        <v>44.018999999999998</v>
      </c>
      <c r="AR54" s="911">
        <f t="shared" si="29"/>
        <v>76.430999999999997</v>
      </c>
      <c r="AS54" s="911">
        <f t="shared" si="43"/>
        <v>1.9447199999999998</v>
      </c>
      <c r="AT54" s="911">
        <f t="shared" si="44"/>
        <v>2.6411399999999996</v>
      </c>
      <c r="AU54" s="912">
        <f t="shared" si="45"/>
        <v>4.5858599999999994</v>
      </c>
      <c r="AV54" s="890"/>
      <c r="AW54" s="895">
        <v>1</v>
      </c>
      <c r="AX54" s="895">
        <v>0</v>
      </c>
      <c r="AY54" s="913">
        <f t="shared" si="46"/>
        <v>4.5858599999999994</v>
      </c>
      <c r="AZ54" s="913">
        <f t="shared" si="47"/>
        <v>0</v>
      </c>
      <c r="BA54" s="890"/>
      <c r="BB54" s="911">
        <f t="shared" si="48"/>
        <v>2.2929299999999997</v>
      </c>
      <c r="BC54" s="911">
        <f t="shared" si="49"/>
        <v>0.38215499999999997</v>
      </c>
      <c r="BD54" s="911">
        <f t="shared" si="50"/>
        <v>0.59711718749999987</v>
      </c>
      <c r="BE54" s="911">
        <f t="shared" si="51"/>
        <v>4.8103760624999987</v>
      </c>
      <c r="BF54" s="911">
        <f t="shared" si="52"/>
        <v>2.0399302499999998</v>
      </c>
      <c r="BG54" s="911">
        <f t="shared" si="53"/>
        <v>2.7704458124999989</v>
      </c>
      <c r="BH54" s="911">
        <f t="shared" si="54"/>
        <v>4.8103760624999987</v>
      </c>
      <c r="BI54" s="911">
        <f t="shared" si="55"/>
        <v>0</v>
      </c>
    </row>
    <row r="55" spans="2:61" s="954" customFormat="1">
      <c r="B55" s="940" t="s">
        <v>1164</v>
      </c>
      <c r="C55" s="941"/>
      <c r="D55" s="942">
        <v>0</v>
      </c>
      <c r="E55" s="943">
        <v>0</v>
      </c>
      <c r="F55" s="943">
        <v>0</v>
      </c>
      <c r="G55" s="943">
        <v>0</v>
      </c>
      <c r="H55" s="944">
        <f t="shared" si="30"/>
        <v>0</v>
      </c>
      <c r="I55" s="944">
        <f t="shared" si="31"/>
        <v>0</v>
      </c>
      <c r="J55" s="945">
        <f t="shared" si="56"/>
        <v>0</v>
      </c>
      <c r="K55" s="944">
        <f t="shared" si="32"/>
        <v>0</v>
      </c>
      <c r="L55" s="944">
        <f t="shared" si="33"/>
        <v>0</v>
      </c>
      <c r="M55" s="944">
        <f t="shared" si="34"/>
        <v>0</v>
      </c>
      <c r="N55" s="944">
        <f t="shared" si="35"/>
        <v>0</v>
      </c>
      <c r="O55" s="944">
        <f>H55*AW55</f>
        <v>0</v>
      </c>
      <c r="P55" s="944">
        <f>H55*AX55</f>
        <v>0</v>
      </c>
      <c r="Q55" s="944">
        <f>I55*AW55</f>
        <v>0</v>
      </c>
      <c r="R55" s="944">
        <f>I55*AX55</f>
        <v>0</v>
      </c>
      <c r="S55" s="944">
        <f t="shared" si="36"/>
        <v>0</v>
      </c>
      <c r="T55" s="944">
        <f t="shared" si="37"/>
        <v>0</v>
      </c>
      <c r="U55" s="946">
        <f t="shared" si="38"/>
        <v>0</v>
      </c>
      <c r="V55" s="947"/>
      <c r="W55" s="904">
        <v>0.33</v>
      </c>
      <c r="X55" s="920">
        <v>21</v>
      </c>
      <c r="Y55" s="948"/>
      <c r="Z55" s="920"/>
      <c r="AA55" s="906"/>
      <c r="AB55" s="949"/>
      <c r="AC55" s="906">
        <v>4</v>
      </c>
      <c r="AD55" s="907">
        <v>21</v>
      </c>
      <c r="AE55" s="908">
        <f t="shared" si="40"/>
        <v>18.8</v>
      </c>
      <c r="AF55" s="909"/>
      <c r="AG55" s="908">
        <v>0</v>
      </c>
      <c r="AH55" s="921">
        <v>0</v>
      </c>
      <c r="AI55" s="908"/>
      <c r="AJ55" s="909"/>
      <c r="AK55" s="909"/>
      <c r="AL55" s="908">
        <v>192</v>
      </c>
      <c r="AM55" s="909">
        <v>21</v>
      </c>
      <c r="AN55" s="908">
        <v>5.2</v>
      </c>
      <c r="AO55" s="909">
        <v>21</v>
      </c>
      <c r="AP55" s="950">
        <f>(AC55*AE55+AG55*AI55)*365/1000</f>
        <v>27.448</v>
      </c>
      <c r="AQ55" s="950">
        <f>AL55*AN55*365/1000</f>
        <v>364.41600000000005</v>
      </c>
      <c r="AR55" s="950">
        <f>SUM(AP55:AQ55)</f>
        <v>391.86400000000003</v>
      </c>
      <c r="AS55" s="950">
        <f>AP55*W55</f>
        <v>9.0578400000000006</v>
      </c>
      <c r="AT55" s="950">
        <f>AQ55*W55</f>
        <v>120.25728000000002</v>
      </c>
      <c r="AU55" s="951">
        <f>SUM(AS55:AT55)</f>
        <v>129.31512000000004</v>
      </c>
      <c r="AV55" s="908"/>
      <c r="AW55" s="952">
        <v>1</v>
      </c>
      <c r="AX55" s="952">
        <v>0</v>
      </c>
      <c r="AY55" s="953">
        <f>AU55*AW55</f>
        <v>129.31512000000004</v>
      </c>
      <c r="AZ55" s="953">
        <f>AU55*AX55</f>
        <v>0</v>
      </c>
      <c r="BA55" s="908"/>
      <c r="BB55" s="950">
        <f>AU55/2</f>
        <v>64.657560000000018</v>
      </c>
      <c r="BC55" s="950">
        <f>AU55/4/3</f>
        <v>10.776260000000002</v>
      </c>
      <c r="BD55" s="950">
        <f>AU55/4/1920*1000</f>
        <v>16.837906250000003</v>
      </c>
      <c r="BE55" s="950">
        <f t="shared" si="51"/>
        <v>135.64617275000003</v>
      </c>
      <c r="BF55" s="950">
        <f t="shared" si="52"/>
        <v>9.5012967500000016</v>
      </c>
      <c r="BG55" s="950">
        <f t="shared" si="53"/>
        <v>126.14487600000002</v>
      </c>
      <c r="BH55" s="950">
        <f>BE55*AW55</f>
        <v>135.64617275000003</v>
      </c>
      <c r="BI55" s="950">
        <f>BE55*AX55</f>
        <v>0</v>
      </c>
    </row>
    <row r="56" spans="2:61" s="954" customFormat="1">
      <c r="B56" s="940" t="s">
        <v>1165</v>
      </c>
      <c r="C56" s="941"/>
      <c r="D56" s="942">
        <v>0</v>
      </c>
      <c r="E56" s="943">
        <v>0</v>
      </c>
      <c r="F56" s="943">
        <v>0</v>
      </c>
      <c r="G56" s="943">
        <v>0</v>
      </c>
      <c r="H56" s="944">
        <f t="shared" si="30"/>
        <v>0</v>
      </c>
      <c r="I56" s="944">
        <f t="shared" si="31"/>
        <v>0</v>
      </c>
      <c r="J56" s="945">
        <f t="shared" si="56"/>
        <v>0</v>
      </c>
      <c r="K56" s="944">
        <f t="shared" si="32"/>
        <v>0</v>
      </c>
      <c r="L56" s="944">
        <f t="shared" si="33"/>
        <v>0</v>
      </c>
      <c r="M56" s="944">
        <f t="shared" si="34"/>
        <v>0</v>
      </c>
      <c r="N56" s="944">
        <f t="shared" si="35"/>
        <v>0</v>
      </c>
      <c r="O56" s="944">
        <f t="shared" si="25"/>
        <v>0</v>
      </c>
      <c r="P56" s="944">
        <f t="shared" si="26"/>
        <v>0</v>
      </c>
      <c r="Q56" s="944">
        <f t="shared" si="27"/>
        <v>0</v>
      </c>
      <c r="R56" s="944">
        <f t="shared" si="28"/>
        <v>0</v>
      </c>
      <c r="S56" s="944">
        <f t="shared" si="36"/>
        <v>0</v>
      </c>
      <c r="T56" s="944">
        <f t="shared" si="37"/>
        <v>0</v>
      </c>
      <c r="U56" s="946">
        <f t="shared" si="38"/>
        <v>0</v>
      </c>
      <c r="V56" s="955"/>
      <c r="W56" s="1056">
        <f>139.4/111.1</f>
        <v>1.2547254725472547</v>
      </c>
      <c r="X56" s="1059">
        <v>22</v>
      </c>
      <c r="Y56" s="948">
        <v>57</v>
      </c>
      <c r="Z56" s="920">
        <v>1</v>
      </c>
      <c r="AA56" s="906">
        <f t="shared" si="39"/>
        <v>71.519351935193527</v>
      </c>
      <c r="AB56" s="949"/>
      <c r="AC56" s="906">
        <v>4.5</v>
      </c>
      <c r="AD56" s="907">
        <v>21</v>
      </c>
      <c r="AE56" s="950">
        <v>21.4</v>
      </c>
      <c r="AF56" s="909">
        <v>21</v>
      </c>
      <c r="AG56" s="908">
        <v>12</v>
      </c>
      <c r="AH56" s="921">
        <v>21</v>
      </c>
      <c r="AI56" s="908">
        <v>2.17</v>
      </c>
      <c r="AJ56" s="909">
        <v>21</v>
      </c>
      <c r="AK56" s="909"/>
      <c r="AL56" s="908">
        <v>16</v>
      </c>
      <c r="AM56" s="909">
        <v>21</v>
      </c>
      <c r="AN56" s="908">
        <v>0.43</v>
      </c>
      <c r="AO56" s="909">
        <v>21</v>
      </c>
      <c r="AP56" s="950">
        <f t="shared" si="41"/>
        <v>44.6541</v>
      </c>
      <c r="AQ56" s="950">
        <f t="shared" si="42"/>
        <v>2.5111999999999997</v>
      </c>
      <c r="AR56" s="950">
        <f t="shared" si="29"/>
        <v>47.165300000000002</v>
      </c>
      <c r="AS56" s="950">
        <f t="shared" si="43"/>
        <v>56.028636723672371</v>
      </c>
      <c r="AT56" s="950">
        <f t="shared" si="44"/>
        <v>3.1508666066606659</v>
      </c>
      <c r="AU56" s="951">
        <f t="shared" si="45"/>
        <v>59.179503330333034</v>
      </c>
      <c r="AV56" s="908"/>
      <c r="AW56" s="952">
        <v>1</v>
      </c>
      <c r="AX56" s="952">
        <v>0</v>
      </c>
      <c r="AY56" s="953">
        <f t="shared" si="46"/>
        <v>59.179503330333034</v>
      </c>
      <c r="AZ56" s="953">
        <f t="shared" si="47"/>
        <v>0</v>
      </c>
      <c r="BA56" s="908"/>
      <c r="BB56" s="950">
        <f t="shared" si="48"/>
        <v>29.589751665166517</v>
      </c>
      <c r="BC56" s="950">
        <f t="shared" si="49"/>
        <v>4.9316252775277531</v>
      </c>
      <c r="BD56" s="950">
        <f t="shared" si="50"/>
        <v>7.7056644961371141</v>
      </c>
      <c r="BE56" s="950">
        <f t="shared" si="51"/>
        <v>62.076833180880591</v>
      </c>
      <c r="BF56" s="950">
        <f t="shared" si="52"/>
        <v>58.771705396602172</v>
      </c>
      <c r="BG56" s="950">
        <f t="shared" si="53"/>
        <v>3.3051277842784277</v>
      </c>
      <c r="BH56" s="950">
        <f t="shared" si="54"/>
        <v>62.076833180880591</v>
      </c>
      <c r="BI56" s="950">
        <f t="shared" si="55"/>
        <v>0</v>
      </c>
    </row>
    <row r="57" spans="2:61" s="954" customFormat="1">
      <c r="B57" s="940" t="s">
        <v>4724</v>
      </c>
      <c r="C57" s="941"/>
      <c r="D57" s="942">
        <v>0</v>
      </c>
      <c r="E57" s="943">
        <v>0</v>
      </c>
      <c r="F57" s="943">
        <v>0</v>
      </c>
      <c r="G57" s="943">
        <v>0</v>
      </c>
      <c r="H57" s="944">
        <f t="shared" si="30"/>
        <v>0</v>
      </c>
      <c r="I57" s="944">
        <f t="shared" si="31"/>
        <v>0</v>
      </c>
      <c r="J57" s="945">
        <f t="shared" si="56"/>
        <v>0</v>
      </c>
      <c r="K57" s="944">
        <f t="shared" si="32"/>
        <v>0</v>
      </c>
      <c r="L57" s="944">
        <f t="shared" si="33"/>
        <v>0</v>
      </c>
      <c r="M57" s="944">
        <f t="shared" si="34"/>
        <v>0</v>
      </c>
      <c r="N57" s="944">
        <f t="shared" si="35"/>
        <v>0</v>
      </c>
      <c r="O57" s="944">
        <f t="shared" si="25"/>
        <v>0</v>
      </c>
      <c r="P57" s="944">
        <f t="shared" si="26"/>
        <v>0</v>
      </c>
      <c r="Q57" s="944">
        <f t="shared" si="27"/>
        <v>0</v>
      </c>
      <c r="R57" s="944">
        <f t="shared" si="28"/>
        <v>0</v>
      </c>
      <c r="S57" s="944">
        <f t="shared" si="36"/>
        <v>0</v>
      </c>
      <c r="T57" s="944">
        <f t="shared" si="37"/>
        <v>0</v>
      </c>
      <c r="U57" s="946">
        <f t="shared" si="38"/>
        <v>0</v>
      </c>
      <c r="V57" s="955"/>
      <c r="W57" s="1056">
        <f>132.4/111.1</f>
        <v>1.1917191719171918</v>
      </c>
      <c r="X57" s="1059">
        <v>22</v>
      </c>
      <c r="Y57" s="948">
        <v>57</v>
      </c>
      <c r="Z57" s="920">
        <v>0</v>
      </c>
      <c r="AA57" s="906">
        <f t="shared" si="39"/>
        <v>67.927992799279934</v>
      </c>
      <c r="AB57" s="949"/>
      <c r="AC57" s="906">
        <v>2.2999999999999998</v>
      </c>
      <c r="AD57" s="907">
        <v>21</v>
      </c>
      <c r="AE57" s="908">
        <v>20.79</v>
      </c>
      <c r="AF57" s="909">
        <v>21</v>
      </c>
      <c r="AG57" s="908">
        <v>10</v>
      </c>
      <c r="AH57" s="921">
        <v>21</v>
      </c>
      <c r="AI57" s="908">
        <v>2.4700000000000002</v>
      </c>
      <c r="AJ57" s="909">
        <v>21</v>
      </c>
      <c r="AK57" s="909"/>
      <c r="AL57" s="908">
        <v>13</v>
      </c>
      <c r="AM57" s="909">
        <v>21</v>
      </c>
      <c r="AN57" s="908">
        <v>0.74</v>
      </c>
      <c r="AO57" s="909">
        <v>21</v>
      </c>
      <c r="AP57" s="950">
        <f t="shared" si="41"/>
        <v>26.468704999999996</v>
      </c>
      <c r="AQ57" s="950">
        <f t="shared" si="42"/>
        <v>3.5112999999999999</v>
      </c>
      <c r="AR57" s="950">
        <f t="shared" si="29"/>
        <v>29.980004999999995</v>
      </c>
      <c r="AS57" s="950">
        <f t="shared" si="43"/>
        <v>31.543263204320429</v>
      </c>
      <c r="AT57" s="950">
        <f t="shared" si="44"/>
        <v>4.1844835283528354</v>
      </c>
      <c r="AU57" s="951">
        <f t="shared" si="45"/>
        <v>35.727746732673268</v>
      </c>
      <c r="AV57" s="908"/>
      <c r="AW57" s="952">
        <v>1</v>
      </c>
      <c r="AX57" s="952">
        <v>0</v>
      </c>
      <c r="AY57" s="953">
        <f t="shared" si="46"/>
        <v>35.727746732673268</v>
      </c>
      <c r="AZ57" s="953">
        <f t="shared" si="47"/>
        <v>0</v>
      </c>
      <c r="BA57" s="908"/>
      <c r="BB57" s="950">
        <f t="shared" si="48"/>
        <v>17.863873366336634</v>
      </c>
      <c r="BC57" s="950">
        <f t="shared" si="49"/>
        <v>2.9773122277227722</v>
      </c>
      <c r="BD57" s="950">
        <f t="shared" si="50"/>
        <v>4.6520503558168311</v>
      </c>
      <c r="BE57" s="950">
        <f t="shared" si="51"/>
        <v>37.476917666460395</v>
      </c>
      <c r="BF57" s="950">
        <f t="shared" si="52"/>
        <v>33.087568798698612</v>
      </c>
      <c r="BG57" s="950">
        <f t="shared" si="53"/>
        <v>4.3893488677617762</v>
      </c>
      <c r="BH57" s="950">
        <f t="shared" si="54"/>
        <v>37.476917666460395</v>
      </c>
      <c r="BI57" s="950">
        <f t="shared" si="55"/>
        <v>0</v>
      </c>
    </row>
    <row r="58" spans="2:61" s="954" customFormat="1">
      <c r="B58" s="940" t="s">
        <v>1288</v>
      </c>
      <c r="C58" s="941"/>
      <c r="D58" s="942">
        <v>0</v>
      </c>
      <c r="E58" s="943">
        <v>0</v>
      </c>
      <c r="F58" s="943">
        <v>0</v>
      </c>
      <c r="G58" s="943">
        <v>0</v>
      </c>
      <c r="H58" s="944">
        <f t="shared" si="30"/>
        <v>0</v>
      </c>
      <c r="I58" s="944">
        <f t="shared" si="31"/>
        <v>0</v>
      </c>
      <c r="J58" s="945">
        <f t="shared" si="56"/>
        <v>0</v>
      </c>
      <c r="K58" s="944">
        <f t="shared" si="32"/>
        <v>0</v>
      </c>
      <c r="L58" s="944">
        <f t="shared" si="33"/>
        <v>0</v>
      </c>
      <c r="M58" s="944">
        <f t="shared" si="34"/>
        <v>0</v>
      </c>
      <c r="N58" s="944">
        <f t="shared" si="35"/>
        <v>0</v>
      </c>
      <c r="O58" s="944">
        <f>H58*AW58</f>
        <v>0</v>
      </c>
      <c r="P58" s="944">
        <f>H58*AX58</f>
        <v>0</v>
      </c>
      <c r="Q58" s="944">
        <f>I58*AW58</f>
        <v>0</v>
      </c>
      <c r="R58" s="944">
        <f>I58*AX58</f>
        <v>0</v>
      </c>
      <c r="S58" s="944">
        <f t="shared" si="36"/>
        <v>0</v>
      </c>
      <c r="T58" s="944">
        <f t="shared" si="37"/>
        <v>0</v>
      </c>
      <c r="U58" s="946">
        <f t="shared" si="38"/>
        <v>0</v>
      </c>
      <c r="V58" s="955"/>
      <c r="W58" s="1056">
        <f>37/111.1</f>
        <v>0.33303330333033304</v>
      </c>
      <c r="X58" s="1059">
        <v>22</v>
      </c>
      <c r="Y58" s="948">
        <v>57</v>
      </c>
      <c r="Z58" s="920">
        <v>0</v>
      </c>
      <c r="AA58" s="906">
        <f>W58*Y58</f>
        <v>18.982898289828984</v>
      </c>
      <c r="AB58" s="949"/>
      <c r="AC58" s="906">
        <v>4.5</v>
      </c>
      <c r="AD58" s="907">
        <v>21</v>
      </c>
      <c r="AE58" s="908">
        <v>20.37</v>
      </c>
      <c r="AF58" s="909">
        <v>21</v>
      </c>
      <c r="AG58" s="908">
        <v>11</v>
      </c>
      <c r="AH58" s="921">
        <v>21</v>
      </c>
      <c r="AI58" s="908">
        <v>2.4700000000000002</v>
      </c>
      <c r="AJ58" s="909">
        <v>21</v>
      </c>
      <c r="AK58" s="909"/>
      <c r="AL58" s="908">
        <v>15</v>
      </c>
      <c r="AM58" s="909">
        <v>21</v>
      </c>
      <c r="AN58" s="908">
        <v>1.17</v>
      </c>
      <c r="AO58" s="909">
        <v>21</v>
      </c>
      <c r="AP58" s="950">
        <f>(AC58*AE58+AG58*AI58)*365/1000</f>
        <v>43.374775</v>
      </c>
      <c r="AQ58" s="950">
        <f>AL58*AN58*365/1000</f>
        <v>6.4057499999999994</v>
      </c>
      <c r="AR58" s="950">
        <f>SUM(AP58:AQ58)</f>
        <v>49.780524999999997</v>
      </c>
      <c r="AS58" s="950">
        <f>AP58*W58</f>
        <v>14.445244599459945</v>
      </c>
      <c r="AT58" s="950">
        <f>AQ58*W58</f>
        <v>2.1333280828082808</v>
      </c>
      <c r="AU58" s="951">
        <f>SUM(AS58:AT58)</f>
        <v>16.578572682268227</v>
      </c>
      <c r="AV58" s="908"/>
      <c r="AW58" s="952">
        <v>1</v>
      </c>
      <c r="AX58" s="952">
        <v>0</v>
      </c>
      <c r="AY58" s="953">
        <f>AU58*AW58</f>
        <v>16.578572682268227</v>
      </c>
      <c r="AZ58" s="953">
        <f>AU58*AX58</f>
        <v>0</v>
      </c>
      <c r="BA58" s="908"/>
      <c r="BB58" s="950">
        <f>AU58/2</f>
        <v>8.2892863411341136</v>
      </c>
      <c r="BC58" s="950">
        <f>AU58/4/3</f>
        <v>1.3815477235223523</v>
      </c>
      <c r="BD58" s="950">
        <f>AU58/4/1920*1000</f>
        <v>2.1586683180036754</v>
      </c>
      <c r="BE58" s="950">
        <f t="shared" si="51"/>
        <v>17.390231969837608</v>
      </c>
      <c r="BF58" s="950">
        <f t="shared" si="52"/>
        <v>15.152459699641838</v>
      </c>
      <c r="BG58" s="950">
        <f t="shared" si="53"/>
        <v>2.2377722701957694</v>
      </c>
      <c r="BH58" s="950">
        <f>BE58*AW58</f>
        <v>17.390231969837608</v>
      </c>
      <c r="BI58" s="950">
        <f>BE58*AX58</f>
        <v>0</v>
      </c>
    </row>
    <row r="59" spans="2:61" s="896" customFormat="1">
      <c r="B59" s="914" t="s">
        <v>30</v>
      </c>
      <c r="C59" s="915"/>
      <c r="D59" s="916">
        <v>0</v>
      </c>
      <c r="E59" s="917">
        <v>0</v>
      </c>
      <c r="F59" s="917">
        <v>0</v>
      </c>
      <c r="G59" s="917">
        <v>0</v>
      </c>
      <c r="H59" s="918">
        <f t="shared" si="30"/>
        <v>0</v>
      </c>
      <c r="I59" s="918">
        <f t="shared" si="31"/>
        <v>0</v>
      </c>
      <c r="J59" s="901">
        <f t="shared" si="56"/>
        <v>0</v>
      </c>
      <c r="K59" s="918">
        <f t="shared" si="32"/>
        <v>0</v>
      </c>
      <c r="L59" s="918">
        <f t="shared" si="33"/>
        <v>0</v>
      </c>
      <c r="M59" s="918">
        <f t="shared" si="34"/>
        <v>0</v>
      </c>
      <c r="N59" s="918">
        <f t="shared" si="35"/>
        <v>0</v>
      </c>
      <c r="O59" s="918">
        <f t="shared" si="25"/>
        <v>0</v>
      </c>
      <c r="P59" s="918">
        <f t="shared" si="26"/>
        <v>0</v>
      </c>
      <c r="Q59" s="918">
        <f t="shared" si="27"/>
        <v>0</v>
      </c>
      <c r="R59" s="918">
        <f t="shared" si="28"/>
        <v>0</v>
      </c>
      <c r="S59" s="918">
        <f t="shared" si="36"/>
        <v>0</v>
      </c>
      <c r="T59" s="918">
        <f t="shared" si="37"/>
        <v>0</v>
      </c>
      <c r="U59" s="919">
        <f t="shared" si="38"/>
        <v>0</v>
      </c>
      <c r="V59" s="903"/>
      <c r="W59" s="1057">
        <f>34.7/111.1</f>
        <v>0.31233123312331235</v>
      </c>
      <c r="X59" s="1060">
        <v>22</v>
      </c>
      <c r="Y59" s="886">
        <v>24</v>
      </c>
      <c r="Z59" s="887">
        <v>1</v>
      </c>
      <c r="AA59" s="905">
        <f t="shared" si="39"/>
        <v>7.4959495949594963</v>
      </c>
      <c r="AB59" s="888"/>
      <c r="AC59" s="905">
        <v>2</v>
      </c>
      <c r="AD59" s="889">
        <v>18</v>
      </c>
      <c r="AE59" s="890">
        <v>23</v>
      </c>
      <c r="AF59" s="891">
        <v>18</v>
      </c>
      <c r="AG59" s="890"/>
      <c r="AH59" s="892"/>
      <c r="AI59" s="890"/>
      <c r="AJ59" s="891"/>
      <c r="AK59" s="891"/>
      <c r="AL59" s="890">
        <v>9.8000000000000007</v>
      </c>
      <c r="AM59" s="891">
        <v>18</v>
      </c>
      <c r="AN59" s="890">
        <v>1</v>
      </c>
      <c r="AO59" s="891">
        <v>18</v>
      </c>
      <c r="AP59" s="911">
        <f t="shared" si="41"/>
        <v>16.79</v>
      </c>
      <c r="AQ59" s="911">
        <f t="shared" si="42"/>
        <v>3.5770000000000004</v>
      </c>
      <c r="AR59" s="911">
        <f t="shared" si="29"/>
        <v>20.367000000000001</v>
      </c>
      <c r="AS59" s="911">
        <f t="shared" si="43"/>
        <v>5.2440414041404138</v>
      </c>
      <c r="AT59" s="911">
        <f t="shared" si="44"/>
        <v>1.1172088208820883</v>
      </c>
      <c r="AU59" s="912">
        <f t="shared" si="45"/>
        <v>6.361250225022502</v>
      </c>
      <c r="AV59" s="890"/>
      <c r="AW59" s="895">
        <v>1</v>
      </c>
      <c r="AX59" s="895">
        <v>0</v>
      </c>
      <c r="AY59" s="913">
        <f t="shared" si="46"/>
        <v>6.361250225022502</v>
      </c>
      <c r="AZ59" s="913">
        <f t="shared" si="47"/>
        <v>0</v>
      </c>
      <c r="BA59" s="890"/>
      <c r="BB59" s="911">
        <f t="shared" si="48"/>
        <v>3.180625112511251</v>
      </c>
      <c r="BC59" s="911">
        <f t="shared" si="49"/>
        <v>0.53010418541854187</v>
      </c>
      <c r="BD59" s="911">
        <f t="shared" si="50"/>
        <v>0.82828778971647166</v>
      </c>
      <c r="BE59" s="911">
        <f t="shared" si="51"/>
        <v>6.6726864339558958</v>
      </c>
      <c r="BF59" s="911">
        <f t="shared" si="52"/>
        <v>5.5007809312181219</v>
      </c>
      <c r="BG59" s="911">
        <f t="shared" si="53"/>
        <v>1.1719055027377738</v>
      </c>
      <c r="BH59" s="911">
        <f t="shared" si="54"/>
        <v>6.6726864339558958</v>
      </c>
      <c r="BI59" s="911">
        <f t="shared" si="55"/>
        <v>0</v>
      </c>
    </row>
    <row r="60" spans="2:61" s="896" customFormat="1">
      <c r="B60" s="914" t="s">
        <v>31</v>
      </c>
      <c r="C60" s="915"/>
      <c r="D60" s="916">
        <v>0</v>
      </c>
      <c r="E60" s="917">
        <v>0</v>
      </c>
      <c r="F60" s="917">
        <v>0</v>
      </c>
      <c r="G60" s="917">
        <v>0</v>
      </c>
      <c r="H60" s="918">
        <f t="shared" si="30"/>
        <v>0</v>
      </c>
      <c r="I60" s="918">
        <f t="shared" si="31"/>
        <v>0</v>
      </c>
      <c r="J60" s="901">
        <f t="shared" si="56"/>
        <v>0</v>
      </c>
      <c r="K60" s="918">
        <f t="shared" si="32"/>
        <v>0</v>
      </c>
      <c r="L60" s="918">
        <f t="shared" si="33"/>
        <v>0</v>
      </c>
      <c r="M60" s="918">
        <f t="shared" si="34"/>
        <v>0</v>
      </c>
      <c r="N60" s="918">
        <f t="shared" si="35"/>
        <v>0</v>
      </c>
      <c r="O60" s="918">
        <f t="shared" si="25"/>
        <v>0</v>
      </c>
      <c r="P60" s="918">
        <f t="shared" si="26"/>
        <v>0</v>
      </c>
      <c r="Q60" s="918">
        <f t="shared" si="27"/>
        <v>0</v>
      </c>
      <c r="R60" s="918">
        <f t="shared" si="28"/>
        <v>0</v>
      </c>
      <c r="S60" s="918">
        <f t="shared" si="36"/>
        <v>0</v>
      </c>
      <c r="T60" s="918">
        <f t="shared" si="37"/>
        <v>0</v>
      </c>
      <c r="U60" s="919">
        <f t="shared" si="38"/>
        <v>0</v>
      </c>
      <c r="V60" s="903"/>
      <c r="W60" s="904">
        <v>1.345</v>
      </c>
      <c r="X60" s="887">
        <v>21</v>
      </c>
      <c r="Y60" s="886">
        <v>18</v>
      </c>
      <c r="Z60" s="887">
        <v>1</v>
      </c>
      <c r="AA60" s="905">
        <f t="shared" si="39"/>
        <v>24.21</v>
      </c>
      <c r="AB60" s="888"/>
      <c r="AC60" s="906">
        <v>1.7</v>
      </c>
      <c r="AD60" s="907">
        <v>14</v>
      </c>
      <c r="AE60" s="950">
        <v>23.76</v>
      </c>
      <c r="AF60" s="909">
        <v>14</v>
      </c>
      <c r="AG60" s="908">
        <v>0</v>
      </c>
      <c r="AH60" s="921">
        <v>14</v>
      </c>
      <c r="AI60" s="908">
        <v>0</v>
      </c>
      <c r="AJ60" s="909">
        <v>14</v>
      </c>
      <c r="AK60" s="909"/>
      <c r="AL60" s="908">
        <v>2</v>
      </c>
      <c r="AM60" s="909">
        <v>14</v>
      </c>
      <c r="AN60" s="908">
        <v>0.24</v>
      </c>
      <c r="AO60" s="909">
        <v>21</v>
      </c>
      <c r="AP60" s="911">
        <f t="shared" si="41"/>
        <v>14.743080000000003</v>
      </c>
      <c r="AQ60" s="911">
        <f t="shared" si="42"/>
        <v>0.17519999999999999</v>
      </c>
      <c r="AR60" s="911">
        <f t="shared" si="29"/>
        <v>14.918280000000003</v>
      </c>
      <c r="AS60" s="911">
        <f t="shared" si="43"/>
        <v>19.829442600000004</v>
      </c>
      <c r="AT60" s="911">
        <f t="shared" si="44"/>
        <v>0.23564399999999999</v>
      </c>
      <c r="AU60" s="912">
        <f t="shared" si="45"/>
        <v>20.065086600000004</v>
      </c>
      <c r="AV60" s="890"/>
      <c r="AW60" s="895">
        <v>1</v>
      </c>
      <c r="AX60" s="895">
        <v>0</v>
      </c>
      <c r="AY60" s="913">
        <f t="shared" si="46"/>
        <v>20.065086600000004</v>
      </c>
      <c r="AZ60" s="913">
        <f t="shared" si="47"/>
        <v>0</v>
      </c>
      <c r="BA60" s="890"/>
      <c r="BB60" s="911">
        <f t="shared" si="48"/>
        <v>10.032543300000002</v>
      </c>
      <c r="BC60" s="911">
        <f t="shared" si="49"/>
        <v>1.6720905500000003</v>
      </c>
      <c r="BD60" s="911">
        <f t="shared" si="50"/>
        <v>2.6126414843750005</v>
      </c>
      <c r="BE60" s="911">
        <f t="shared" si="51"/>
        <v>21.047439798125005</v>
      </c>
      <c r="BF60" s="911">
        <f t="shared" si="52"/>
        <v>20.800259060625002</v>
      </c>
      <c r="BG60" s="911">
        <f t="shared" si="53"/>
        <v>0.2471807375</v>
      </c>
      <c r="BH60" s="911">
        <f t="shared" si="54"/>
        <v>21.047439798125005</v>
      </c>
      <c r="BI60" s="911">
        <f t="shared" si="55"/>
        <v>0</v>
      </c>
    </row>
    <row r="61" spans="2:61" s="896" customFormat="1">
      <c r="B61" s="914" t="s">
        <v>1096</v>
      </c>
      <c r="C61" s="915"/>
      <c r="D61" s="916">
        <v>0</v>
      </c>
      <c r="E61" s="917">
        <v>0</v>
      </c>
      <c r="F61" s="917">
        <v>0</v>
      </c>
      <c r="G61" s="917">
        <v>0</v>
      </c>
      <c r="H61" s="918">
        <f t="shared" si="30"/>
        <v>0</v>
      </c>
      <c r="I61" s="918">
        <f t="shared" si="31"/>
        <v>0</v>
      </c>
      <c r="J61" s="901">
        <f t="shared" si="56"/>
        <v>0</v>
      </c>
      <c r="K61" s="918">
        <f t="shared" si="32"/>
        <v>0</v>
      </c>
      <c r="L61" s="918">
        <f t="shared" si="33"/>
        <v>0</v>
      </c>
      <c r="M61" s="918">
        <f t="shared" si="34"/>
        <v>0</v>
      </c>
      <c r="N61" s="918">
        <f t="shared" si="35"/>
        <v>0</v>
      </c>
      <c r="O61" s="918">
        <f t="shared" si="25"/>
        <v>0</v>
      </c>
      <c r="P61" s="918">
        <f t="shared" si="26"/>
        <v>0</v>
      </c>
      <c r="Q61" s="918">
        <f t="shared" si="27"/>
        <v>0</v>
      </c>
      <c r="R61" s="918">
        <f t="shared" si="28"/>
        <v>0</v>
      </c>
      <c r="S61" s="918">
        <f t="shared" si="36"/>
        <v>0</v>
      </c>
      <c r="T61" s="918">
        <f t="shared" si="37"/>
        <v>0</v>
      </c>
      <c r="U61" s="919">
        <f t="shared" si="38"/>
        <v>0</v>
      </c>
      <c r="V61" s="903"/>
      <c r="W61" s="904">
        <v>0.34799999999999998</v>
      </c>
      <c r="X61" s="887">
        <v>21</v>
      </c>
      <c r="Y61" s="886">
        <v>19</v>
      </c>
      <c r="Z61" s="887">
        <v>1</v>
      </c>
      <c r="AA61" s="905">
        <f t="shared" si="39"/>
        <v>6.6119999999999992</v>
      </c>
      <c r="AB61" s="888"/>
      <c r="AC61" s="906">
        <v>1.8</v>
      </c>
      <c r="AD61" s="907">
        <v>14</v>
      </c>
      <c r="AE61" s="950">
        <v>12.24</v>
      </c>
      <c r="AF61" s="909">
        <v>14</v>
      </c>
      <c r="AG61" s="908">
        <f>AVERAGE(4,5.8)</f>
        <v>4.9000000000000004</v>
      </c>
      <c r="AH61" s="921">
        <v>14</v>
      </c>
      <c r="AI61" s="908">
        <v>3.12</v>
      </c>
      <c r="AJ61" s="909">
        <v>14</v>
      </c>
      <c r="AK61" s="909"/>
      <c r="AL61" s="950">
        <v>6</v>
      </c>
      <c r="AM61" s="909">
        <v>14</v>
      </c>
      <c r="AN61" s="908">
        <v>1.44</v>
      </c>
      <c r="AO61" s="909">
        <v>21</v>
      </c>
      <c r="AP61" s="911">
        <f t="shared" si="41"/>
        <v>13.621799999999999</v>
      </c>
      <c r="AQ61" s="911">
        <f t="shared" si="42"/>
        <v>3.1536000000000004</v>
      </c>
      <c r="AR61" s="911">
        <f t="shared" si="29"/>
        <v>16.775399999999998</v>
      </c>
      <c r="AS61" s="911">
        <f t="shared" si="43"/>
        <v>4.7403863999999993</v>
      </c>
      <c r="AT61" s="911">
        <f t="shared" si="44"/>
        <v>1.0974528000000001</v>
      </c>
      <c r="AU61" s="912">
        <f t="shared" si="45"/>
        <v>5.8378391999999995</v>
      </c>
      <c r="AV61" s="890"/>
      <c r="AW61" s="895">
        <v>1</v>
      </c>
      <c r="AX61" s="895">
        <v>0</v>
      </c>
      <c r="AY61" s="913">
        <f t="shared" si="46"/>
        <v>5.8378391999999995</v>
      </c>
      <c r="AZ61" s="913">
        <f t="shared" si="47"/>
        <v>0</v>
      </c>
      <c r="BA61" s="890"/>
      <c r="BB61" s="911">
        <f t="shared" si="48"/>
        <v>2.9189195999999997</v>
      </c>
      <c r="BC61" s="911">
        <f t="shared" si="49"/>
        <v>0.48648659999999994</v>
      </c>
      <c r="BD61" s="911">
        <f t="shared" si="50"/>
        <v>0.76013531249999999</v>
      </c>
      <c r="BE61" s="911">
        <f t="shared" si="51"/>
        <v>6.1236500774999998</v>
      </c>
      <c r="BF61" s="911">
        <f t="shared" si="52"/>
        <v>4.9724678174999992</v>
      </c>
      <c r="BG61" s="911">
        <f t="shared" si="53"/>
        <v>1.1511822600000003</v>
      </c>
      <c r="BH61" s="911">
        <f t="shared" si="54"/>
        <v>6.1236500774999998</v>
      </c>
      <c r="BI61" s="911">
        <f t="shared" si="55"/>
        <v>0</v>
      </c>
    </row>
    <row r="62" spans="2:61" s="896" customFormat="1">
      <c r="B62" s="914" t="s">
        <v>1097</v>
      </c>
      <c r="C62" s="915"/>
      <c r="D62" s="916">
        <v>0</v>
      </c>
      <c r="E62" s="917">
        <v>0</v>
      </c>
      <c r="F62" s="917">
        <v>0</v>
      </c>
      <c r="G62" s="917">
        <v>0</v>
      </c>
      <c r="H62" s="918">
        <f t="shared" si="30"/>
        <v>0</v>
      </c>
      <c r="I62" s="918">
        <f t="shared" si="31"/>
        <v>0</v>
      </c>
      <c r="J62" s="901">
        <f t="shared" si="56"/>
        <v>0</v>
      </c>
      <c r="K62" s="918">
        <f t="shared" si="32"/>
        <v>0</v>
      </c>
      <c r="L62" s="918">
        <f t="shared" si="33"/>
        <v>0</v>
      </c>
      <c r="M62" s="918">
        <f t="shared" si="34"/>
        <v>0</v>
      </c>
      <c r="N62" s="918">
        <f t="shared" si="35"/>
        <v>0</v>
      </c>
      <c r="O62" s="918">
        <f t="shared" si="25"/>
        <v>0</v>
      </c>
      <c r="P62" s="918">
        <f t="shared" si="26"/>
        <v>0</v>
      </c>
      <c r="Q62" s="918">
        <f t="shared" si="27"/>
        <v>0</v>
      </c>
      <c r="R62" s="918">
        <f t="shared" si="28"/>
        <v>0</v>
      </c>
      <c r="S62" s="918">
        <f t="shared" si="36"/>
        <v>0</v>
      </c>
      <c r="T62" s="918">
        <f t="shared" si="37"/>
        <v>0</v>
      </c>
      <c r="U62" s="919">
        <f t="shared" si="38"/>
        <v>0</v>
      </c>
      <c r="V62" s="903"/>
      <c r="W62" s="904">
        <v>0.66100000000000003</v>
      </c>
      <c r="X62" s="887">
        <v>21</v>
      </c>
      <c r="Y62" s="886">
        <v>81</v>
      </c>
      <c r="Z62" s="887">
        <v>1</v>
      </c>
      <c r="AA62" s="905">
        <f t="shared" si="39"/>
        <v>53.541000000000004</v>
      </c>
      <c r="AB62" s="888"/>
      <c r="AC62" s="906">
        <v>7</v>
      </c>
      <c r="AD62" s="907">
        <v>21</v>
      </c>
      <c r="AE62" s="950">
        <v>19.7</v>
      </c>
      <c r="AF62" s="909">
        <v>14</v>
      </c>
      <c r="AG62" s="908">
        <v>16</v>
      </c>
      <c r="AH62" s="921">
        <v>14</v>
      </c>
      <c r="AI62" s="950">
        <v>2</v>
      </c>
      <c r="AJ62" s="909">
        <v>14</v>
      </c>
      <c r="AK62" s="909"/>
      <c r="AL62" s="950">
        <v>23</v>
      </c>
      <c r="AM62" s="909">
        <v>14</v>
      </c>
      <c r="AN62" s="956">
        <v>2.2999999999999998</v>
      </c>
      <c r="AO62" s="909">
        <v>21</v>
      </c>
      <c r="AP62" s="911">
        <f t="shared" si="41"/>
        <v>62.013500000000001</v>
      </c>
      <c r="AQ62" s="911">
        <f t="shared" si="42"/>
        <v>19.308499999999999</v>
      </c>
      <c r="AR62" s="911">
        <f t="shared" si="29"/>
        <v>81.322000000000003</v>
      </c>
      <c r="AS62" s="911">
        <f t="shared" si="43"/>
        <v>40.990923500000001</v>
      </c>
      <c r="AT62" s="911">
        <f t="shared" si="44"/>
        <v>12.7629185</v>
      </c>
      <c r="AU62" s="912">
        <f t="shared" si="45"/>
        <v>53.753841999999999</v>
      </c>
      <c r="AV62" s="890"/>
      <c r="AW62" s="895">
        <v>1</v>
      </c>
      <c r="AX62" s="895">
        <v>0</v>
      </c>
      <c r="AY62" s="913">
        <f t="shared" si="46"/>
        <v>53.753841999999999</v>
      </c>
      <c r="AZ62" s="913">
        <f t="shared" si="47"/>
        <v>0</v>
      </c>
      <c r="BA62" s="890"/>
      <c r="BB62" s="911">
        <f t="shared" si="48"/>
        <v>26.876920999999999</v>
      </c>
      <c r="BC62" s="911">
        <f t="shared" si="49"/>
        <v>4.4794868333333335</v>
      </c>
      <c r="BD62" s="911">
        <f t="shared" si="50"/>
        <v>6.9991981770833327</v>
      </c>
      <c r="BE62" s="911">
        <f t="shared" si="51"/>
        <v>56.385540514583333</v>
      </c>
      <c r="BF62" s="911">
        <f t="shared" si="52"/>
        <v>42.997770796354168</v>
      </c>
      <c r="BG62" s="911">
        <f t="shared" si="53"/>
        <v>13.387769718229166</v>
      </c>
      <c r="BH62" s="911">
        <f t="shared" si="54"/>
        <v>56.385540514583333</v>
      </c>
      <c r="BI62" s="911">
        <f t="shared" si="55"/>
        <v>0</v>
      </c>
    </row>
    <row r="63" spans="2:61" s="896" customFormat="1">
      <c r="B63" s="914" t="s">
        <v>1098</v>
      </c>
      <c r="C63" s="915"/>
      <c r="D63" s="916">
        <v>0</v>
      </c>
      <c r="E63" s="917">
        <v>0</v>
      </c>
      <c r="F63" s="917">
        <v>0</v>
      </c>
      <c r="G63" s="917">
        <v>0</v>
      </c>
      <c r="H63" s="918">
        <f t="shared" si="30"/>
        <v>0</v>
      </c>
      <c r="I63" s="918">
        <f t="shared" si="31"/>
        <v>0</v>
      </c>
      <c r="J63" s="901">
        <f t="shared" si="56"/>
        <v>0</v>
      </c>
      <c r="K63" s="918">
        <f t="shared" si="32"/>
        <v>0</v>
      </c>
      <c r="L63" s="918">
        <f t="shared" si="33"/>
        <v>0</v>
      </c>
      <c r="M63" s="918">
        <f t="shared" si="34"/>
        <v>0</v>
      </c>
      <c r="N63" s="918">
        <f t="shared" si="35"/>
        <v>0</v>
      </c>
      <c r="O63" s="918">
        <f t="shared" si="25"/>
        <v>0</v>
      </c>
      <c r="P63" s="918">
        <f t="shared" si="26"/>
        <v>0</v>
      </c>
      <c r="Q63" s="918">
        <f t="shared" si="27"/>
        <v>0</v>
      </c>
      <c r="R63" s="918">
        <f t="shared" si="28"/>
        <v>0</v>
      </c>
      <c r="S63" s="918">
        <f t="shared" si="36"/>
        <v>0</v>
      </c>
      <c r="T63" s="918">
        <f t="shared" si="37"/>
        <v>0</v>
      </c>
      <c r="U63" s="919">
        <f t="shared" si="38"/>
        <v>0</v>
      </c>
      <c r="V63" s="903"/>
      <c r="W63" s="904">
        <v>0.434</v>
      </c>
      <c r="X63" s="887">
        <v>21</v>
      </c>
      <c r="Y63" s="886">
        <v>55</v>
      </c>
      <c r="Z63" s="887">
        <v>1</v>
      </c>
      <c r="AA63" s="905">
        <f t="shared" si="39"/>
        <v>23.87</v>
      </c>
      <c r="AB63" s="888"/>
      <c r="AC63" s="906">
        <v>3</v>
      </c>
      <c r="AD63" s="907">
        <v>21</v>
      </c>
      <c r="AE63" s="950">
        <v>17.7</v>
      </c>
      <c r="AF63" s="909">
        <v>14</v>
      </c>
      <c r="AG63" s="908">
        <v>43</v>
      </c>
      <c r="AH63" s="921">
        <v>14</v>
      </c>
      <c r="AI63" s="950">
        <v>2</v>
      </c>
      <c r="AJ63" s="909">
        <v>14</v>
      </c>
      <c r="AK63" s="909"/>
      <c r="AL63" s="950">
        <v>45</v>
      </c>
      <c r="AM63" s="909">
        <v>14</v>
      </c>
      <c r="AN63" s="956">
        <v>4.3</v>
      </c>
      <c r="AO63" s="909">
        <v>21</v>
      </c>
      <c r="AP63" s="911">
        <f t="shared" si="41"/>
        <v>50.771500000000003</v>
      </c>
      <c r="AQ63" s="911">
        <f t="shared" si="42"/>
        <v>70.627499999999998</v>
      </c>
      <c r="AR63" s="911">
        <f t="shared" si="29"/>
        <v>121.399</v>
      </c>
      <c r="AS63" s="911">
        <f t="shared" si="43"/>
        <v>22.034831000000001</v>
      </c>
      <c r="AT63" s="911">
        <f t="shared" si="44"/>
        <v>30.652334999999997</v>
      </c>
      <c r="AU63" s="912">
        <f t="shared" si="45"/>
        <v>52.687165999999998</v>
      </c>
      <c r="AV63" s="890"/>
      <c r="AW63" s="895">
        <v>1</v>
      </c>
      <c r="AX63" s="895">
        <v>0</v>
      </c>
      <c r="AY63" s="913">
        <f t="shared" si="46"/>
        <v>52.687165999999998</v>
      </c>
      <c r="AZ63" s="913">
        <f t="shared" si="47"/>
        <v>0</v>
      </c>
      <c r="BA63" s="890"/>
      <c r="BB63" s="911">
        <f t="shared" si="48"/>
        <v>26.343582999999999</v>
      </c>
      <c r="BC63" s="911">
        <f t="shared" si="49"/>
        <v>4.3905971666666668</v>
      </c>
      <c r="BD63" s="911">
        <f t="shared" si="50"/>
        <v>6.8603080729166663</v>
      </c>
      <c r="BE63" s="911">
        <f t="shared" si="51"/>
        <v>55.266641835416664</v>
      </c>
      <c r="BF63" s="911">
        <f t="shared" si="52"/>
        <v>23.113619601041666</v>
      </c>
      <c r="BG63" s="911">
        <f t="shared" si="53"/>
        <v>32.153022234374994</v>
      </c>
      <c r="BH63" s="911">
        <f t="shared" si="54"/>
        <v>55.266641835416664</v>
      </c>
      <c r="BI63" s="911">
        <f t="shared" si="55"/>
        <v>0</v>
      </c>
    </row>
    <row r="64" spans="2:61" s="896" customFormat="1">
      <c r="B64" s="914" t="s">
        <v>751</v>
      </c>
      <c r="C64" s="915"/>
      <c r="D64" s="916">
        <v>0</v>
      </c>
      <c r="E64" s="917">
        <v>0</v>
      </c>
      <c r="F64" s="917">
        <v>0</v>
      </c>
      <c r="G64" s="917">
        <v>0</v>
      </c>
      <c r="H64" s="918">
        <f t="shared" si="30"/>
        <v>0</v>
      </c>
      <c r="I64" s="918">
        <f t="shared" si="31"/>
        <v>0</v>
      </c>
      <c r="J64" s="901">
        <f t="shared" si="56"/>
        <v>0</v>
      </c>
      <c r="K64" s="918">
        <f t="shared" si="32"/>
        <v>0</v>
      </c>
      <c r="L64" s="918">
        <f t="shared" si="33"/>
        <v>0</v>
      </c>
      <c r="M64" s="918">
        <f t="shared" si="34"/>
        <v>0</v>
      </c>
      <c r="N64" s="918">
        <f t="shared" si="35"/>
        <v>0</v>
      </c>
      <c r="O64" s="918">
        <f t="shared" si="25"/>
        <v>0</v>
      </c>
      <c r="P64" s="918">
        <f t="shared" si="26"/>
        <v>0</v>
      </c>
      <c r="Q64" s="918">
        <f t="shared" si="27"/>
        <v>0</v>
      </c>
      <c r="R64" s="918">
        <f t="shared" si="28"/>
        <v>0</v>
      </c>
      <c r="S64" s="918">
        <f t="shared" si="36"/>
        <v>0</v>
      </c>
      <c r="T64" s="918">
        <f t="shared" si="37"/>
        <v>0</v>
      </c>
      <c r="U64" s="919">
        <f t="shared" si="38"/>
        <v>0</v>
      </c>
      <c r="V64" s="903"/>
      <c r="W64" s="884">
        <f>30/101.5</f>
        <v>0.29556650246305421</v>
      </c>
      <c r="X64" s="887">
        <v>14</v>
      </c>
      <c r="Y64" s="886">
        <v>24</v>
      </c>
      <c r="Z64" s="887">
        <v>14</v>
      </c>
      <c r="AA64" s="905">
        <f t="shared" si="39"/>
        <v>7.0935960591133007</v>
      </c>
      <c r="AB64" s="888"/>
      <c r="AC64" s="905">
        <v>2</v>
      </c>
      <c r="AD64" s="889">
        <v>14</v>
      </c>
      <c r="AE64" s="911">
        <f>0.69*24</f>
        <v>16.559999999999999</v>
      </c>
      <c r="AF64" s="891">
        <v>14</v>
      </c>
      <c r="AG64" s="890">
        <v>4</v>
      </c>
      <c r="AH64" s="892">
        <v>14</v>
      </c>
      <c r="AI64" s="911">
        <f>0.23*24</f>
        <v>5.5200000000000005</v>
      </c>
      <c r="AJ64" s="891">
        <v>14</v>
      </c>
      <c r="AK64" s="891"/>
      <c r="AL64" s="911">
        <v>6</v>
      </c>
      <c r="AM64" s="891">
        <v>14</v>
      </c>
      <c r="AN64" s="957">
        <f>0.08*24</f>
        <v>1.92</v>
      </c>
      <c r="AO64" s="891">
        <v>14</v>
      </c>
      <c r="AP64" s="911">
        <f t="shared" si="41"/>
        <v>20.148</v>
      </c>
      <c r="AQ64" s="911">
        <f t="shared" si="42"/>
        <v>4.2048000000000005</v>
      </c>
      <c r="AR64" s="911">
        <f t="shared" si="29"/>
        <v>24.352800000000002</v>
      </c>
      <c r="AS64" s="911">
        <f t="shared" si="43"/>
        <v>5.9550738916256165</v>
      </c>
      <c r="AT64" s="911">
        <f t="shared" si="44"/>
        <v>1.2427980295566505</v>
      </c>
      <c r="AU64" s="912">
        <f t="shared" si="45"/>
        <v>7.1978719211822675</v>
      </c>
      <c r="AV64" s="890"/>
      <c r="AW64" s="895">
        <v>1</v>
      </c>
      <c r="AX64" s="895">
        <v>0</v>
      </c>
      <c r="AY64" s="913">
        <f t="shared" si="46"/>
        <v>7.1978719211822675</v>
      </c>
      <c r="AZ64" s="913">
        <f t="shared" si="47"/>
        <v>0</v>
      </c>
      <c r="BA64" s="890"/>
      <c r="BB64" s="911">
        <f t="shared" si="48"/>
        <v>3.5989359605911337</v>
      </c>
      <c r="BC64" s="911">
        <f t="shared" si="49"/>
        <v>0.59982266009852225</v>
      </c>
      <c r="BD64" s="911">
        <f t="shared" si="50"/>
        <v>0.93722290640394113</v>
      </c>
      <c r="BE64" s="911">
        <f t="shared" si="51"/>
        <v>7.5502677339901485</v>
      </c>
      <c r="BF64" s="911">
        <f t="shared" si="52"/>
        <v>6.2466243842364531</v>
      </c>
      <c r="BG64" s="911">
        <f t="shared" si="53"/>
        <v>1.3036433497536946</v>
      </c>
      <c r="BH64" s="911">
        <f t="shared" si="54"/>
        <v>7.5502677339901485</v>
      </c>
      <c r="BI64" s="911">
        <f t="shared" si="55"/>
        <v>0</v>
      </c>
    </row>
    <row r="65" spans="2:61" s="896" customFormat="1">
      <c r="B65" s="914" t="s">
        <v>752</v>
      </c>
      <c r="C65" s="915"/>
      <c r="D65" s="916">
        <v>0</v>
      </c>
      <c r="E65" s="917">
        <v>0</v>
      </c>
      <c r="F65" s="917">
        <v>0</v>
      </c>
      <c r="G65" s="917">
        <v>0</v>
      </c>
      <c r="H65" s="918">
        <f t="shared" si="30"/>
        <v>0</v>
      </c>
      <c r="I65" s="918">
        <f t="shared" si="31"/>
        <v>0</v>
      </c>
      <c r="J65" s="901">
        <f t="shared" si="56"/>
        <v>0</v>
      </c>
      <c r="K65" s="918">
        <f t="shared" si="32"/>
        <v>0</v>
      </c>
      <c r="L65" s="918">
        <f t="shared" si="33"/>
        <v>0</v>
      </c>
      <c r="M65" s="918">
        <f t="shared" si="34"/>
        <v>0</v>
      </c>
      <c r="N65" s="918">
        <f t="shared" si="35"/>
        <v>0</v>
      </c>
      <c r="O65" s="918">
        <f t="shared" si="25"/>
        <v>0</v>
      </c>
      <c r="P65" s="918">
        <f t="shared" si="26"/>
        <v>0</v>
      </c>
      <c r="Q65" s="918">
        <f t="shared" si="27"/>
        <v>0</v>
      </c>
      <c r="R65" s="918">
        <f t="shared" si="28"/>
        <v>0</v>
      </c>
      <c r="S65" s="918">
        <f t="shared" si="36"/>
        <v>0</v>
      </c>
      <c r="T65" s="918">
        <f t="shared" si="37"/>
        <v>0</v>
      </c>
      <c r="U65" s="919">
        <f t="shared" si="38"/>
        <v>0</v>
      </c>
      <c r="V65" s="903"/>
      <c r="W65" s="884">
        <f>10/101.5</f>
        <v>9.8522167487684734E-2</v>
      </c>
      <c r="X65" s="887">
        <v>14</v>
      </c>
      <c r="Y65" s="886">
        <v>68</v>
      </c>
      <c r="Z65" s="887">
        <v>14</v>
      </c>
      <c r="AA65" s="905">
        <f t="shared" si="39"/>
        <v>6.6995073891625623</v>
      </c>
      <c r="AB65" s="888"/>
      <c r="AC65" s="905">
        <v>0</v>
      </c>
      <c r="AD65" s="889">
        <v>14</v>
      </c>
      <c r="AE65" s="911">
        <f>0.1*24</f>
        <v>2.4000000000000004</v>
      </c>
      <c r="AF65" s="891">
        <v>14</v>
      </c>
      <c r="AG65" s="890">
        <v>8</v>
      </c>
      <c r="AH65" s="892">
        <v>14</v>
      </c>
      <c r="AI65" s="911">
        <f>0.6*24</f>
        <v>14.399999999999999</v>
      </c>
      <c r="AJ65" s="891">
        <v>14</v>
      </c>
      <c r="AK65" s="891"/>
      <c r="AL65" s="911">
        <v>10</v>
      </c>
      <c r="AM65" s="891">
        <v>14</v>
      </c>
      <c r="AN65" s="957">
        <f>0.3*24</f>
        <v>7.1999999999999993</v>
      </c>
      <c r="AO65" s="891">
        <v>14</v>
      </c>
      <c r="AP65" s="911">
        <f t="shared" si="41"/>
        <v>42.047999999999995</v>
      </c>
      <c r="AQ65" s="911">
        <f t="shared" si="42"/>
        <v>26.28</v>
      </c>
      <c r="AR65" s="911">
        <f t="shared" si="29"/>
        <v>68.328000000000003</v>
      </c>
      <c r="AS65" s="911">
        <f t="shared" si="43"/>
        <v>4.1426600985221675</v>
      </c>
      <c r="AT65" s="911">
        <f t="shared" si="44"/>
        <v>2.5891625615763547</v>
      </c>
      <c r="AU65" s="912">
        <f t="shared" si="45"/>
        <v>6.7318226600985227</v>
      </c>
      <c r="AV65" s="890"/>
      <c r="AW65" s="895">
        <v>1</v>
      </c>
      <c r="AX65" s="895">
        <v>0</v>
      </c>
      <c r="AY65" s="913">
        <f t="shared" si="46"/>
        <v>6.7318226600985227</v>
      </c>
      <c r="AZ65" s="913">
        <f t="shared" si="47"/>
        <v>0</v>
      </c>
      <c r="BA65" s="890"/>
      <c r="BB65" s="911">
        <f t="shared" si="48"/>
        <v>3.3659113300492614</v>
      </c>
      <c r="BC65" s="911">
        <f t="shared" si="49"/>
        <v>0.56098522167487685</v>
      </c>
      <c r="BD65" s="911">
        <f t="shared" si="50"/>
        <v>0.87653940886699511</v>
      </c>
      <c r="BE65" s="911">
        <f t="shared" si="51"/>
        <v>7.0614014778325132</v>
      </c>
      <c r="BF65" s="911">
        <f t="shared" si="52"/>
        <v>4.3454778325123158</v>
      </c>
      <c r="BG65" s="911">
        <f t="shared" si="53"/>
        <v>2.7159236453201974</v>
      </c>
      <c r="BH65" s="911">
        <f t="shared" si="54"/>
        <v>7.0614014778325132</v>
      </c>
      <c r="BI65" s="911">
        <f t="shared" si="55"/>
        <v>0</v>
      </c>
    </row>
    <row r="66" spans="2:61" s="896" customFormat="1">
      <c r="B66" s="914" t="s">
        <v>753</v>
      </c>
      <c r="C66" s="915"/>
      <c r="D66" s="916">
        <v>0</v>
      </c>
      <c r="E66" s="917">
        <v>0</v>
      </c>
      <c r="F66" s="917">
        <v>0</v>
      </c>
      <c r="G66" s="917">
        <v>0</v>
      </c>
      <c r="H66" s="918">
        <f t="shared" si="30"/>
        <v>0</v>
      </c>
      <c r="I66" s="918">
        <f t="shared" si="31"/>
        <v>0</v>
      </c>
      <c r="J66" s="901">
        <f t="shared" si="56"/>
        <v>0</v>
      </c>
      <c r="K66" s="918">
        <f t="shared" si="32"/>
        <v>0</v>
      </c>
      <c r="L66" s="918">
        <f t="shared" si="33"/>
        <v>0</v>
      </c>
      <c r="M66" s="918">
        <f t="shared" si="34"/>
        <v>0</v>
      </c>
      <c r="N66" s="918">
        <f t="shared" si="35"/>
        <v>0</v>
      </c>
      <c r="O66" s="918">
        <f t="shared" si="25"/>
        <v>0</v>
      </c>
      <c r="P66" s="918">
        <f t="shared" si="26"/>
        <v>0</v>
      </c>
      <c r="Q66" s="918">
        <f t="shared" si="27"/>
        <v>0</v>
      </c>
      <c r="R66" s="918">
        <f t="shared" si="28"/>
        <v>0</v>
      </c>
      <c r="S66" s="918">
        <f t="shared" si="36"/>
        <v>0</v>
      </c>
      <c r="T66" s="918">
        <f t="shared" si="37"/>
        <v>0</v>
      </c>
      <c r="U66" s="919">
        <f t="shared" si="38"/>
        <v>0</v>
      </c>
      <c r="V66" s="903"/>
      <c r="W66" s="884">
        <f>50/101.5</f>
        <v>0.49261083743842365</v>
      </c>
      <c r="X66" s="887">
        <v>14</v>
      </c>
      <c r="Y66" s="886">
        <v>5</v>
      </c>
      <c r="Z66" s="887">
        <v>14</v>
      </c>
      <c r="AA66" s="905">
        <f t="shared" si="39"/>
        <v>2.4630541871921183</v>
      </c>
      <c r="AB66" s="888"/>
      <c r="AC66" s="905">
        <v>1</v>
      </c>
      <c r="AD66" s="889">
        <v>14</v>
      </c>
      <c r="AE66" s="911">
        <f>0.96*24</f>
        <v>23.04</v>
      </c>
      <c r="AF66" s="891">
        <v>14</v>
      </c>
      <c r="AG66" s="890">
        <v>0</v>
      </c>
      <c r="AH66" s="892">
        <v>14</v>
      </c>
      <c r="AI66" s="911">
        <v>0</v>
      </c>
      <c r="AJ66" s="891">
        <v>14</v>
      </c>
      <c r="AK66" s="891"/>
      <c r="AL66" s="911">
        <v>2</v>
      </c>
      <c r="AM66" s="891">
        <v>14</v>
      </c>
      <c r="AN66" s="957">
        <f>0.04*24</f>
        <v>0.96</v>
      </c>
      <c r="AO66" s="891">
        <v>14</v>
      </c>
      <c r="AP66" s="911">
        <f t="shared" si="41"/>
        <v>8.4096000000000011</v>
      </c>
      <c r="AQ66" s="911">
        <f t="shared" si="42"/>
        <v>0.70079999999999998</v>
      </c>
      <c r="AR66" s="911">
        <f t="shared" si="29"/>
        <v>9.1104000000000003</v>
      </c>
      <c r="AS66" s="911">
        <f t="shared" si="43"/>
        <v>4.1426600985221684</v>
      </c>
      <c r="AT66" s="911">
        <f t="shared" si="44"/>
        <v>0.3452216748768473</v>
      </c>
      <c r="AU66" s="912">
        <f t="shared" si="45"/>
        <v>4.4878817733990157</v>
      </c>
      <c r="AV66" s="890"/>
      <c r="AW66" s="895">
        <v>1</v>
      </c>
      <c r="AX66" s="895">
        <v>0</v>
      </c>
      <c r="AY66" s="913">
        <f t="shared" si="46"/>
        <v>4.4878817733990157</v>
      </c>
      <c r="AZ66" s="913">
        <f t="shared" si="47"/>
        <v>0</v>
      </c>
      <c r="BA66" s="890"/>
      <c r="BB66" s="911">
        <f t="shared" si="48"/>
        <v>2.2439408866995079</v>
      </c>
      <c r="BC66" s="911">
        <f t="shared" si="49"/>
        <v>0.37399014778325129</v>
      </c>
      <c r="BD66" s="911">
        <f t="shared" si="50"/>
        <v>0.58435960591133007</v>
      </c>
      <c r="BE66" s="911">
        <f t="shared" si="51"/>
        <v>4.707600985221676</v>
      </c>
      <c r="BF66" s="911">
        <f t="shared" si="52"/>
        <v>4.3454778325123167</v>
      </c>
      <c r="BG66" s="911">
        <f t="shared" si="53"/>
        <v>0.36212315270935963</v>
      </c>
      <c r="BH66" s="911">
        <f t="shared" si="54"/>
        <v>4.707600985221676</v>
      </c>
      <c r="BI66" s="911">
        <f t="shared" si="55"/>
        <v>0</v>
      </c>
    </row>
    <row r="67" spans="2:61" s="896" customFormat="1">
      <c r="B67" s="914" t="s">
        <v>754</v>
      </c>
      <c r="C67" s="915"/>
      <c r="D67" s="916">
        <v>0</v>
      </c>
      <c r="E67" s="917">
        <v>0</v>
      </c>
      <c r="F67" s="917">
        <v>0</v>
      </c>
      <c r="G67" s="917">
        <v>0</v>
      </c>
      <c r="H67" s="918">
        <f t="shared" si="30"/>
        <v>0</v>
      </c>
      <c r="I67" s="918">
        <f t="shared" si="31"/>
        <v>0</v>
      </c>
      <c r="J67" s="901">
        <f t="shared" si="56"/>
        <v>0</v>
      </c>
      <c r="K67" s="918">
        <f t="shared" si="32"/>
        <v>0</v>
      </c>
      <c r="L67" s="918">
        <f t="shared" si="33"/>
        <v>0</v>
      </c>
      <c r="M67" s="918">
        <f t="shared" si="34"/>
        <v>0</v>
      </c>
      <c r="N67" s="918">
        <f t="shared" si="35"/>
        <v>0</v>
      </c>
      <c r="O67" s="918">
        <f t="shared" si="25"/>
        <v>0</v>
      </c>
      <c r="P67" s="918">
        <f t="shared" si="26"/>
        <v>0</v>
      </c>
      <c r="Q67" s="918">
        <f t="shared" si="27"/>
        <v>0</v>
      </c>
      <c r="R67" s="918">
        <f t="shared" si="28"/>
        <v>0</v>
      </c>
      <c r="S67" s="918">
        <f t="shared" si="36"/>
        <v>0</v>
      </c>
      <c r="T67" s="918">
        <f t="shared" si="37"/>
        <v>0</v>
      </c>
      <c r="U67" s="919">
        <f t="shared" si="38"/>
        <v>0</v>
      </c>
      <c r="V67" s="903"/>
      <c r="W67" s="884">
        <f>5/101.5</f>
        <v>4.9261083743842367E-2</v>
      </c>
      <c r="X67" s="887">
        <v>14</v>
      </c>
      <c r="Y67" s="886">
        <v>15</v>
      </c>
      <c r="Z67" s="887">
        <v>14</v>
      </c>
      <c r="AA67" s="905">
        <f t="shared" si="39"/>
        <v>0.73891625615763545</v>
      </c>
      <c r="AB67" s="888"/>
      <c r="AC67" s="905">
        <v>0</v>
      </c>
      <c r="AD67" s="889">
        <v>14</v>
      </c>
      <c r="AE67" s="911">
        <f>0.72*24</f>
        <v>17.28</v>
      </c>
      <c r="AF67" s="891">
        <v>14</v>
      </c>
      <c r="AG67" s="890">
        <v>6</v>
      </c>
      <c r="AH67" s="892">
        <v>14</v>
      </c>
      <c r="AI67" s="911">
        <f>0.24*24</f>
        <v>5.76</v>
      </c>
      <c r="AJ67" s="891">
        <v>14</v>
      </c>
      <c r="AK67" s="891"/>
      <c r="AL67" s="911">
        <v>6</v>
      </c>
      <c r="AM67" s="891">
        <v>14</v>
      </c>
      <c r="AN67" s="957">
        <f>0.04*24</f>
        <v>0.96</v>
      </c>
      <c r="AO67" s="891">
        <v>14</v>
      </c>
      <c r="AP67" s="911">
        <f t="shared" si="41"/>
        <v>12.614400000000002</v>
      </c>
      <c r="AQ67" s="911">
        <f t="shared" si="42"/>
        <v>2.1024000000000003</v>
      </c>
      <c r="AR67" s="911">
        <f t="shared" si="29"/>
        <v>14.716800000000003</v>
      </c>
      <c r="AS67" s="911">
        <f t="shared" si="43"/>
        <v>0.62139901477832526</v>
      </c>
      <c r="AT67" s="911">
        <f t="shared" si="44"/>
        <v>0.10356650246305421</v>
      </c>
      <c r="AU67" s="912">
        <f t="shared" si="45"/>
        <v>0.72496551724137948</v>
      </c>
      <c r="AV67" s="890"/>
      <c r="AW67" s="895">
        <v>1</v>
      </c>
      <c r="AX67" s="895">
        <v>0</v>
      </c>
      <c r="AY67" s="913">
        <f t="shared" si="46"/>
        <v>0.72496551724137948</v>
      </c>
      <c r="AZ67" s="913">
        <f t="shared" si="47"/>
        <v>0</v>
      </c>
      <c r="BA67" s="890"/>
      <c r="BB67" s="911">
        <f t="shared" si="48"/>
        <v>0.36248275862068974</v>
      </c>
      <c r="BC67" s="911">
        <f t="shared" si="49"/>
        <v>6.0413793103448292E-2</v>
      </c>
      <c r="BD67" s="911">
        <f t="shared" si="50"/>
        <v>9.4396551724137953E-2</v>
      </c>
      <c r="BE67" s="911">
        <f t="shared" si="51"/>
        <v>0.76045862068965531</v>
      </c>
      <c r="BF67" s="911">
        <f t="shared" si="52"/>
        <v>0.65182167487684739</v>
      </c>
      <c r="BG67" s="911">
        <f t="shared" si="53"/>
        <v>0.1086369458128079</v>
      </c>
      <c r="BH67" s="911">
        <f t="shared" si="54"/>
        <v>0.76045862068965531</v>
      </c>
      <c r="BI67" s="911">
        <f t="shared" si="55"/>
        <v>0</v>
      </c>
    </row>
    <row r="68" spans="2:61" s="896" customFormat="1">
      <c r="B68" s="914" t="s">
        <v>755</v>
      </c>
      <c r="C68" s="915"/>
      <c r="D68" s="916">
        <v>0</v>
      </c>
      <c r="E68" s="917">
        <v>0</v>
      </c>
      <c r="F68" s="917">
        <v>0</v>
      </c>
      <c r="G68" s="917">
        <v>0</v>
      </c>
      <c r="H68" s="918">
        <f t="shared" si="30"/>
        <v>0</v>
      </c>
      <c r="I68" s="918">
        <f t="shared" si="31"/>
        <v>0</v>
      </c>
      <c r="J68" s="901">
        <f t="shared" si="56"/>
        <v>0</v>
      </c>
      <c r="K68" s="918">
        <f t="shared" si="32"/>
        <v>0</v>
      </c>
      <c r="L68" s="918">
        <f t="shared" si="33"/>
        <v>0</v>
      </c>
      <c r="M68" s="918">
        <f t="shared" si="34"/>
        <v>0</v>
      </c>
      <c r="N68" s="918">
        <f t="shared" si="35"/>
        <v>0</v>
      </c>
      <c r="O68" s="918">
        <f t="shared" si="25"/>
        <v>0</v>
      </c>
      <c r="P68" s="918">
        <f t="shared" si="26"/>
        <v>0</v>
      </c>
      <c r="Q68" s="918">
        <f t="shared" si="27"/>
        <v>0</v>
      </c>
      <c r="R68" s="918">
        <f t="shared" si="28"/>
        <v>0</v>
      </c>
      <c r="S68" s="918">
        <f t="shared" si="36"/>
        <v>0</v>
      </c>
      <c r="T68" s="918">
        <f t="shared" si="37"/>
        <v>0</v>
      </c>
      <c r="U68" s="919">
        <f t="shared" si="38"/>
        <v>0</v>
      </c>
      <c r="V68" s="903"/>
      <c r="W68" s="1056">
        <f>25.6/111.1</f>
        <v>0.23042304230423044</v>
      </c>
      <c r="X68" s="1059">
        <v>22</v>
      </c>
      <c r="Y68" s="886">
        <v>96</v>
      </c>
      <c r="Z68" s="887">
        <v>1</v>
      </c>
      <c r="AA68" s="905">
        <f t="shared" si="39"/>
        <v>22.120612061206124</v>
      </c>
      <c r="AB68" s="888"/>
      <c r="AC68" s="906">
        <v>14</v>
      </c>
      <c r="AD68" s="907">
        <v>21</v>
      </c>
      <c r="AE68" s="908">
        <v>15.12</v>
      </c>
      <c r="AF68" s="909">
        <v>21</v>
      </c>
      <c r="AG68" s="908"/>
      <c r="AH68" s="921"/>
      <c r="AI68" s="908"/>
      <c r="AJ68" s="909"/>
      <c r="AK68" s="909"/>
      <c r="AL68" s="908">
        <v>15</v>
      </c>
      <c r="AM68" s="909">
        <v>21</v>
      </c>
      <c r="AN68" s="908">
        <f>24-AE68</f>
        <v>8.8800000000000008</v>
      </c>
      <c r="AO68" s="909">
        <v>21</v>
      </c>
      <c r="AP68" s="911">
        <f t="shared" si="41"/>
        <v>77.263199999999998</v>
      </c>
      <c r="AQ68" s="911">
        <f t="shared" si="42"/>
        <v>48.618000000000009</v>
      </c>
      <c r="AR68" s="911">
        <f t="shared" si="29"/>
        <v>125.88120000000001</v>
      </c>
      <c r="AS68" s="911">
        <f t="shared" si="43"/>
        <v>17.803221602160217</v>
      </c>
      <c r="AT68" s="911">
        <f t="shared" si="44"/>
        <v>11.202707470747077</v>
      </c>
      <c r="AU68" s="912">
        <f t="shared" si="45"/>
        <v>29.005929072907293</v>
      </c>
      <c r="AV68" s="890"/>
      <c r="AW68" s="895">
        <v>1</v>
      </c>
      <c r="AX68" s="895">
        <v>0</v>
      </c>
      <c r="AY68" s="913">
        <f t="shared" si="46"/>
        <v>29.005929072907293</v>
      </c>
      <c r="AZ68" s="913">
        <f t="shared" si="47"/>
        <v>0</v>
      </c>
      <c r="BA68" s="890"/>
      <c r="BB68" s="911">
        <f>AU68*3/4</f>
        <v>21.75444680468047</v>
      </c>
      <c r="BC68" s="911">
        <f t="shared" si="49"/>
        <v>2.4171607560756079</v>
      </c>
      <c r="BD68" s="911">
        <v>0</v>
      </c>
      <c r="BE68" s="911">
        <f t="shared" si="51"/>
        <v>29.005929072907293</v>
      </c>
      <c r="BF68" s="911">
        <f t="shared" si="52"/>
        <v>17.803221602160217</v>
      </c>
      <c r="BG68" s="911">
        <f t="shared" si="53"/>
        <v>11.202707470747077</v>
      </c>
      <c r="BH68" s="911">
        <f t="shared" si="54"/>
        <v>29.005929072907293</v>
      </c>
      <c r="BI68" s="911">
        <f t="shared" si="55"/>
        <v>0</v>
      </c>
    </row>
    <row r="69" spans="2:61" s="896" customFormat="1">
      <c r="B69" s="914" t="s">
        <v>109</v>
      </c>
      <c r="C69" s="915"/>
      <c r="D69" s="916">
        <v>0</v>
      </c>
      <c r="E69" s="917">
        <v>0</v>
      </c>
      <c r="F69" s="917">
        <v>0</v>
      </c>
      <c r="G69" s="917">
        <v>0</v>
      </c>
      <c r="H69" s="918">
        <f t="shared" si="30"/>
        <v>0</v>
      </c>
      <c r="I69" s="918">
        <f t="shared" si="31"/>
        <v>0</v>
      </c>
      <c r="J69" s="901">
        <f t="shared" si="56"/>
        <v>0</v>
      </c>
      <c r="K69" s="918">
        <f t="shared" si="32"/>
        <v>0</v>
      </c>
      <c r="L69" s="918">
        <f t="shared" si="33"/>
        <v>0</v>
      </c>
      <c r="M69" s="918">
        <f t="shared" si="34"/>
        <v>0</v>
      </c>
      <c r="N69" s="918">
        <f t="shared" si="35"/>
        <v>0</v>
      </c>
      <c r="O69" s="918">
        <f t="shared" si="25"/>
        <v>0</v>
      </c>
      <c r="P69" s="918">
        <f t="shared" si="26"/>
        <v>0</v>
      </c>
      <c r="Q69" s="918">
        <f t="shared" si="27"/>
        <v>0</v>
      </c>
      <c r="R69" s="918">
        <f t="shared" si="28"/>
        <v>0</v>
      </c>
      <c r="S69" s="918">
        <f t="shared" si="36"/>
        <v>0</v>
      </c>
      <c r="T69" s="918">
        <f t="shared" si="37"/>
        <v>0</v>
      </c>
      <c r="U69" s="919">
        <f t="shared" si="38"/>
        <v>0</v>
      </c>
      <c r="V69" s="903"/>
      <c r="W69" s="1056">
        <f>63.8/111.1</f>
        <v>0.57425742574257421</v>
      </c>
      <c r="X69" s="1059">
        <v>22</v>
      </c>
      <c r="Y69" s="886">
        <v>175</v>
      </c>
      <c r="Z69" s="887">
        <v>1</v>
      </c>
      <c r="AA69" s="905">
        <f t="shared" si="39"/>
        <v>100.49504950495049</v>
      </c>
      <c r="AB69" s="888"/>
      <c r="AC69" s="906">
        <v>15</v>
      </c>
      <c r="AD69" s="907">
        <v>21</v>
      </c>
      <c r="AE69" s="908">
        <f>24-AN69</f>
        <v>16.52</v>
      </c>
      <c r="AF69" s="909">
        <v>21</v>
      </c>
      <c r="AG69" s="908">
        <v>0</v>
      </c>
      <c r="AH69" s="921">
        <v>0</v>
      </c>
      <c r="AI69" s="908">
        <v>0</v>
      </c>
      <c r="AJ69" s="909">
        <v>0</v>
      </c>
      <c r="AK69" s="909"/>
      <c r="AL69" s="950">
        <v>16</v>
      </c>
      <c r="AM69" s="909">
        <v>21</v>
      </c>
      <c r="AN69" s="908">
        <v>7.48</v>
      </c>
      <c r="AO69" s="909">
        <v>21</v>
      </c>
      <c r="AP69" s="911">
        <f t="shared" si="41"/>
        <v>90.447000000000003</v>
      </c>
      <c r="AQ69" s="911">
        <f t="shared" si="42"/>
        <v>43.683200000000006</v>
      </c>
      <c r="AR69" s="911">
        <f t="shared" si="29"/>
        <v>134.1302</v>
      </c>
      <c r="AS69" s="911">
        <f t="shared" si="43"/>
        <v>51.93986138613861</v>
      </c>
      <c r="AT69" s="911">
        <f t="shared" si="44"/>
        <v>25.085401980198021</v>
      </c>
      <c r="AU69" s="912">
        <f t="shared" si="45"/>
        <v>77.025263366336631</v>
      </c>
      <c r="AV69" s="890"/>
      <c r="AW69" s="895">
        <v>1</v>
      </c>
      <c r="AX69" s="895">
        <v>0</v>
      </c>
      <c r="AY69" s="913">
        <f t="shared" si="46"/>
        <v>77.025263366336631</v>
      </c>
      <c r="AZ69" s="913">
        <f t="shared" si="47"/>
        <v>0</v>
      </c>
      <c r="BA69" s="890"/>
      <c r="BB69" s="911">
        <f>AU69*3/4</f>
        <v>57.768947524752477</v>
      </c>
      <c r="BC69" s="911">
        <f t="shared" si="49"/>
        <v>6.4187719471947196</v>
      </c>
      <c r="BD69" s="911">
        <v>0</v>
      </c>
      <c r="BE69" s="911">
        <f t="shared" si="51"/>
        <v>77.025263366336631</v>
      </c>
      <c r="BF69" s="911">
        <f t="shared" si="52"/>
        <v>51.93986138613861</v>
      </c>
      <c r="BG69" s="911">
        <f t="shared" si="53"/>
        <v>25.085401980198021</v>
      </c>
      <c r="BH69" s="911">
        <f t="shared" si="54"/>
        <v>77.025263366336631</v>
      </c>
      <c r="BI69" s="911">
        <f t="shared" si="55"/>
        <v>0</v>
      </c>
    </row>
    <row r="70" spans="2:61" s="954" customFormat="1">
      <c r="B70" s="940" t="s">
        <v>1289</v>
      </c>
      <c r="C70" s="941"/>
      <c r="D70" s="942">
        <v>0</v>
      </c>
      <c r="E70" s="943">
        <v>0</v>
      </c>
      <c r="F70" s="943">
        <v>0</v>
      </c>
      <c r="G70" s="943">
        <v>0</v>
      </c>
      <c r="H70" s="944">
        <f t="shared" si="30"/>
        <v>0</v>
      </c>
      <c r="I70" s="958">
        <f t="shared" si="31"/>
        <v>0</v>
      </c>
      <c r="J70" s="945">
        <f t="shared" si="56"/>
        <v>0</v>
      </c>
      <c r="K70" s="944">
        <f t="shared" si="32"/>
        <v>0</v>
      </c>
      <c r="L70" s="944">
        <f t="shared" si="33"/>
        <v>0</v>
      </c>
      <c r="M70" s="944">
        <f t="shared" si="34"/>
        <v>0</v>
      </c>
      <c r="N70" s="944">
        <f t="shared" si="35"/>
        <v>0</v>
      </c>
      <c r="O70" s="944">
        <f>H70*AW70</f>
        <v>0</v>
      </c>
      <c r="P70" s="944">
        <f>H70*AX70</f>
        <v>0</v>
      </c>
      <c r="Q70" s="944">
        <f>I70*AW70</f>
        <v>0</v>
      </c>
      <c r="R70" s="944">
        <f>I70*AX70</f>
        <v>0</v>
      </c>
      <c r="S70" s="944">
        <f t="shared" si="36"/>
        <v>0</v>
      </c>
      <c r="T70" s="944">
        <f t="shared" si="37"/>
        <v>0</v>
      </c>
      <c r="U70" s="946">
        <f t="shared" si="38"/>
        <v>0</v>
      </c>
      <c r="V70" s="955"/>
      <c r="W70" s="904">
        <v>1.2999999999999999E-2</v>
      </c>
      <c r="X70" s="920">
        <v>21</v>
      </c>
      <c r="Y70" s="948"/>
      <c r="Z70" s="920"/>
      <c r="AA70" s="906"/>
      <c r="AB70" s="949"/>
      <c r="AC70" s="906">
        <v>27</v>
      </c>
      <c r="AD70" s="907">
        <v>21</v>
      </c>
      <c r="AE70" s="908">
        <f>24-AN70</f>
        <v>18.3</v>
      </c>
      <c r="AF70" s="909">
        <v>21</v>
      </c>
      <c r="AG70" s="908">
        <v>0</v>
      </c>
      <c r="AH70" s="921">
        <v>0</v>
      </c>
      <c r="AI70" s="908">
        <v>0</v>
      </c>
      <c r="AJ70" s="909">
        <v>0</v>
      </c>
      <c r="AK70" s="909"/>
      <c r="AL70" s="950">
        <v>27</v>
      </c>
      <c r="AM70" s="909">
        <v>21</v>
      </c>
      <c r="AN70" s="908">
        <v>5.7</v>
      </c>
      <c r="AO70" s="909">
        <v>21</v>
      </c>
      <c r="AP70" s="950">
        <f>(AC70*AE70+AG70*AI70)*365/1000</f>
        <v>180.34649999999999</v>
      </c>
      <c r="AQ70" s="950">
        <f>AL70*AN70*365/1000</f>
        <v>56.173499999999997</v>
      </c>
      <c r="AR70" s="950">
        <f>SUM(AP70:AQ70)</f>
        <v>236.51999999999998</v>
      </c>
      <c r="AS70" s="950">
        <f>AP70*W70</f>
        <v>2.3445044999999998</v>
      </c>
      <c r="AT70" s="950">
        <f>AQ70*W70</f>
        <v>0.73025549999999995</v>
      </c>
      <c r="AU70" s="951">
        <f>SUM(AS70:AT70)</f>
        <v>3.0747599999999995</v>
      </c>
      <c r="AV70" s="908"/>
      <c r="AW70" s="952">
        <v>1</v>
      </c>
      <c r="AX70" s="952">
        <v>0</v>
      </c>
      <c r="AY70" s="953">
        <f>AU70*AW70</f>
        <v>3.0747599999999995</v>
      </c>
      <c r="AZ70" s="953">
        <f>AU70*AX70</f>
        <v>0</v>
      </c>
      <c r="BA70" s="908"/>
      <c r="BB70" s="950">
        <f>AU70*3/4</f>
        <v>2.3060699999999996</v>
      </c>
      <c r="BC70" s="950">
        <f>AU70/4/3</f>
        <v>0.25622999999999996</v>
      </c>
      <c r="BD70" s="950">
        <v>0</v>
      </c>
      <c r="BE70" s="950">
        <f t="shared" si="51"/>
        <v>3.0747599999999995</v>
      </c>
      <c r="BF70" s="950">
        <f t="shared" si="52"/>
        <v>2.3445044999999998</v>
      </c>
      <c r="BG70" s="950">
        <f t="shared" si="53"/>
        <v>0.73025549999999984</v>
      </c>
      <c r="BH70" s="950">
        <f>BE70*AW70</f>
        <v>3.0747599999999995</v>
      </c>
      <c r="BI70" s="950">
        <f>BE70*AX70</f>
        <v>0</v>
      </c>
    </row>
    <row r="71" spans="2:61" s="954" customFormat="1">
      <c r="B71" s="959" t="s">
        <v>1290</v>
      </c>
      <c r="C71" s="960"/>
      <c r="D71" s="961"/>
      <c r="E71" s="962"/>
      <c r="F71" s="962"/>
      <c r="G71" s="962"/>
      <c r="H71" s="963"/>
      <c r="I71" s="963"/>
      <c r="J71" s="901">
        <f t="shared" si="56"/>
        <v>0</v>
      </c>
      <c r="K71" s="963"/>
      <c r="L71" s="963"/>
      <c r="M71" s="963"/>
      <c r="N71" s="963"/>
      <c r="O71" s="963"/>
      <c r="P71" s="963"/>
      <c r="Q71" s="963"/>
      <c r="R71" s="963"/>
      <c r="S71" s="963"/>
      <c r="T71" s="963"/>
      <c r="U71" s="964"/>
      <c r="V71" s="955"/>
      <c r="W71" s="904">
        <v>0.217</v>
      </c>
      <c r="X71" s="920">
        <v>21</v>
      </c>
      <c r="Y71" s="948"/>
      <c r="Z71" s="920"/>
      <c r="AA71" s="906"/>
      <c r="AB71" s="949"/>
      <c r="AC71" s="906">
        <v>0.6</v>
      </c>
      <c r="AD71" s="907">
        <v>21</v>
      </c>
      <c r="AE71" s="908">
        <v>17.670000000000002</v>
      </c>
      <c r="AF71" s="909">
        <v>21</v>
      </c>
      <c r="AG71" s="908">
        <v>34</v>
      </c>
      <c r="AH71" s="921"/>
      <c r="AI71" s="908">
        <v>2</v>
      </c>
      <c r="AJ71" s="909"/>
      <c r="AK71" s="909"/>
      <c r="AL71" s="950">
        <v>38</v>
      </c>
      <c r="AM71" s="909">
        <v>21</v>
      </c>
      <c r="AN71" s="908">
        <v>4.33</v>
      </c>
      <c r="AO71" s="909"/>
      <c r="AP71" s="911">
        <f>(AC71*AE71+AG71*AI71)*365/1000</f>
        <v>28.689730000000004</v>
      </c>
      <c r="AQ71" s="911">
        <f>AL71*AN71*365/1000</f>
        <v>60.057099999999998</v>
      </c>
      <c r="AR71" s="911">
        <f t="shared" si="29"/>
        <v>88.746830000000003</v>
      </c>
      <c r="AS71" s="911">
        <f>AP71*W71</f>
        <v>6.2256714100000012</v>
      </c>
      <c r="AT71" s="911">
        <f>AQ71*W71</f>
        <v>13.032390699999999</v>
      </c>
      <c r="AU71" s="912">
        <f>SUM(AS71:AT71)</f>
        <v>19.258062110000001</v>
      </c>
      <c r="AV71" s="908"/>
      <c r="AW71" s="895">
        <v>1</v>
      </c>
      <c r="AX71" s="895">
        <v>0</v>
      </c>
      <c r="AY71" s="913">
        <f>AU71*AW71</f>
        <v>19.258062110000001</v>
      </c>
      <c r="AZ71" s="913">
        <f>AU71*AX71</f>
        <v>0</v>
      </c>
      <c r="BA71" s="908"/>
      <c r="BB71" s="911">
        <f>AU71*3/4</f>
        <v>14.443546582500002</v>
      </c>
      <c r="BC71" s="911">
        <f>AU71/4/3</f>
        <v>1.6048385091666668</v>
      </c>
      <c r="BD71" s="911">
        <v>0</v>
      </c>
      <c r="BE71" s="911">
        <f t="shared" si="51"/>
        <v>19.258062110000001</v>
      </c>
      <c r="BF71" s="911">
        <f t="shared" si="52"/>
        <v>6.2256714100000012</v>
      </c>
      <c r="BG71" s="911">
        <f t="shared" si="53"/>
        <v>13.032390699999999</v>
      </c>
      <c r="BH71" s="911">
        <f>BE71*AW71</f>
        <v>19.258062110000001</v>
      </c>
      <c r="BI71" s="911">
        <f>BE71*AX71</f>
        <v>0</v>
      </c>
    </row>
    <row r="72" spans="2:61" s="896" customFormat="1" ht="13.5" thickBot="1">
      <c r="B72" s="922" t="s">
        <v>813</v>
      </c>
      <c r="C72" s="923"/>
      <c r="D72" s="924">
        <v>0</v>
      </c>
      <c r="E72" s="925">
        <v>0</v>
      </c>
      <c r="F72" s="925">
        <v>0</v>
      </c>
      <c r="G72" s="925">
        <v>0</v>
      </c>
      <c r="H72" s="926">
        <f>D72*(E72*AE72+F72*AI72+G72*AN72)*365/1000</f>
        <v>0</v>
      </c>
      <c r="I72" s="926">
        <f>D72*SUM(AP72:AQ72)</f>
        <v>0</v>
      </c>
      <c r="J72" s="901">
        <f t="shared" si="56"/>
        <v>0</v>
      </c>
      <c r="K72" s="926">
        <f>$D72*(E72*AE72+F72*AI72)*365/1000</f>
        <v>0</v>
      </c>
      <c r="L72" s="926">
        <f>D72*G72*AN72*365/1000</f>
        <v>0</v>
      </c>
      <c r="M72" s="926">
        <f>D72*AP72</f>
        <v>0</v>
      </c>
      <c r="N72" s="926">
        <f>D72*AQ72</f>
        <v>0</v>
      </c>
      <c r="O72" s="926">
        <f t="shared" si="25"/>
        <v>0</v>
      </c>
      <c r="P72" s="926">
        <f t="shared" si="26"/>
        <v>0</v>
      </c>
      <c r="Q72" s="926">
        <f t="shared" si="27"/>
        <v>0</v>
      </c>
      <c r="R72" s="926">
        <f t="shared" si="28"/>
        <v>0</v>
      </c>
      <c r="S72" s="926">
        <f>$D72*(AP72-(E72*AE72+F72*AI72)*365/1000)</f>
        <v>0</v>
      </c>
      <c r="T72" s="926">
        <f>D72*(AQ72-G72*AN72*365/1000)</f>
        <v>0</v>
      </c>
      <c r="U72" s="927">
        <f>IF(D72=0,0,(I72-H72)/I72)</f>
        <v>0</v>
      </c>
      <c r="V72" s="903"/>
      <c r="W72" s="884">
        <v>1E-3</v>
      </c>
      <c r="X72" s="887">
        <v>0</v>
      </c>
      <c r="Y72" s="886">
        <v>0</v>
      </c>
      <c r="Z72" s="887">
        <v>0</v>
      </c>
      <c r="AA72" s="928">
        <f t="shared" si="39"/>
        <v>0</v>
      </c>
      <c r="AB72" s="929"/>
      <c r="AC72" s="928">
        <v>0</v>
      </c>
      <c r="AD72" s="930">
        <v>0</v>
      </c>
      <c r="AE72" s="931">
        <v>0</v>
      </c>
      <c r="AF72" s="932">
        <v>0</v>
      </c>
      <c r="AG72" s="931">
        <v>0</v>
      </c>
      <c r="AH72" s="933">
        <v>0</v>
      </c>
      <c r="AI72" s="931">
        <v>0</v>
      </c>
      <c r="AJ72" s="932">
        <v>0</v>
      </c>
      <c r="AK72" s="932"/>
      <c r="AL72" s="931">
        <v>0</v>
      </c>
      <c r="AM72" s="932">
        <v>0</v>
      </c>
      <c r="AN72" s="931">
        <v>0</v>
      </c>
      <c r="AO72" s="932">
        <v>0</v>
      </c>
      <c r="AP72" s="911">
        <f t="shared" si="41"/>
        <v>0</v>
      </c>
      <c r="AQ72" s="911">
        <f t="shared" si="42"/>
        <v>0</v>
      </c>
      <c r="AR72" s="911">
        <f t="shared" si="29"/>
        <v>0</v>
      </c>
      <c r="AS72" s="911">
        <f t="shared" si="43"/>
        <v>0</v>
      </c>
      <c r="AT72" s="911">
        <f t="shared" si="44"/>
        <v>0</v>
      </c>
      <c r="AU72" s="912">
        <f t="shared" si="45"/>
        <v>0</v>
      </c>
      <c r="AV72" s="890"/>
      <c r="AW72" s="895">
        <v>1</v>
      </c>
      <c r="AX72" s="895">
        <v>0</v>
      </c>
      <c r="AY72" s="913">
        <f t="shared" si="46"/>
        <v>0</v>
      </c>
      <c r="AZ72" s="913">
        <f t="shared" si="47"/>
        <v>0</v>
      </c>
      <c r="BA72" s="890"/>
      <c r="BB72" s="911">
        <f>AU72/2</f>
        <v>0</v>
      </c>
      <c r="BC72" s="911">
        <f t="shared" si="49"/>
        <v>0</v>
      </c>
      <c r="BD72" s="911">
        <f>AU72/4/1920*1000</f>
        <v>0</v>
      </c>
      <c r="BE72" s="911">
        <f t="shared" si="51"/>
        <v>0</v>
      </c>
      <c r="BF72" s="911">
        <f>IF(D72=0,0,(BB72+BC72*C$5+BD72/1000*C$4)*AS72/AU72)</f>
        <v>0</v>
      </c>
      <c r="BG72" s="911">
        <f>IF(D72=0,0,(BB72+BC72*C$5+BD72/1000*C$4)*AT72/AU72)</f>
        <v>0</v>
      </c>
      <c r="BH72" s="911">
        <f t="shared" si="54"/>
        <v>0</v>
      </c>
      <c r="BI72" s="911">
        <f t="shared" si="55"/>
        <v>0</v>
      </c>
    </row>
    <row r="73" spans="2:61" s="896" customFormat="1" ht="13.5" thickBot="1">
      <c r="B73" s="965" t="s">
        <v>1008</v>
      </c>
      <c r="C73" s="934"/>
      <c r="D73" s="935"/>
      <c r="E73" s="936"/>
      <c r="F73" s="936"/>
      <c r="G73" s="936"/>
      <c r="H73" s="937"/>
      <c r="I73" s="937"/>
      <c r="J73" s="937"/>
      <c r="K73" s="937"/>
      <c r="L73" s="937"/>
      <c r="M73" s="937"/>
      <c r="N73" s="937"/>
      <c r="O73" s="937"/>
      <c r="P73" s="937"/>
      <c r="Q73" s="937"/>
      <c r="R73" s="937"/>
      <c r="S73" s="937"/>
      <c r="T73" s="937"/>
      <c r="U73" s="938"/>
      <c r="V73" s="883"/>
      <c r="W73" s="884"/>
      <c r="X73" s="887"/>
      <c r="Y73" s="886"/>
      <c r="Z73" s="887"/>
      <c r="AA73" s="905"/>
      <c r="AB73" s="888"/>
      <c r="AC73" s="905"/>
      <c r="AD73" s="889"/>
      <c r="AE73" s="890"/>
      <c r="AF73" s="891"/>
      <c r="AG73" s="890"/>
      <c r="AH73" s="892"/>
      <c r="AI73" s="890"/>
      <c r="AJ73" s="891"/>
      <c r="AK73" s="891"/>
      <c r="AL73" s="890"/>
      <c r="AM73" s="891"/>
      <c r="AN73" s="890"/>
      <c r="AO73" s="891"/>
      <c r="AP73" s="911"/>
      <c r="AQ73" s="911"/>
      <c r="AR73" s="911">
        <f t="shared" si="29"/>
        <v>0</v>
      </c>
      <c r="AS73" s="911"/>
      <c r="AT73" s="911"/>
      <c r="AU73" s="912"/>
      <c r="AV73" s="890"/>
      <c r="AW73" s="895"/>
      <c r="AX73" s="895"/>
      <c r="AY73" s="913"/>
      <c r="AZ73" s="913"/>
      <c r="BA73" s="890"/>
      <c r="BB73" s="890"/>
      <c r="BC73" s="890"/>
      <c r="BD73" s="890"/>
      <c r="BE73" s="911"/>
      <c r="BF73" s="911"/>
      <c r="BG73" s="911"/>
      <c r="BH73" s="911"/>
      <c r="BI73" s="911"/>
    </row>
    <row r="74" spans="2:61" s="896" customFormat="1">
      <c r="B74" s="897" t="s">
        <v>1009</v>
      </c>
      <c r="C74" s="898"/>
      <c r="D74" s="899">
        <v>0</v>
      </c>
      <c r="E74" s="900">
        <v>0</v>
      </c>
      <c r="F74" s="900">
        <v>0</v>
      </c>
      <c r="G74" s="900">
        <v>0</v>
      </c>
      <c r="H74" s="901">
        <f t="shared" ref="H74:H97" si="57">D74*(E74*AE74+F74*AI74+G74*AN74)*365/1000</f>
        <v>0</v>
      </c>
      <c r="I74" s="901">
        <f t="shared" ref="I74:I97" si="58">D74*SUM(AP74:AQ74)</f>
        <v>0</v>
      </c>
      <c r="J74" s="901">
        <f t="shared" si="56"/>
        <v>0</v>
      </c>
      <c r="K74" s="901">
        <f t="shared" ref="K74:K97" si="59">$D74*(E74*AE74+F74*AI74)*365/1000</f>
        <v>0</v>
      </c>
      <c r="L74" s="901">
        <f t="shared" ref="L74:L97" si="60">D74*G74*AN74*365/1000</f>
        <v>0</v>
      </c>
      <c r="M74" s="901">
        <f t="shared" ref="M74:M97" si="61">D74*AP74</f>
        <v>0</v>
      </c>
      <c r="N74" s="901">
        <f t="shared" ref="N74:N97" si="62">D74*AQ74</f>
        <v>0</v>
      </c>
      <c r="O74" s="901">
        <f t="shared" si="25"/>
        <v>0</v>
      </c>
      <c r="P74" s="901">
        <f t="shared" si="26"/>
        <v>0</v>
      </c>
      <c r="Q74" s="901">
        <f t="shared" si="27"/>
        <v>0</v>
      </c>
      <c r="R74" s="901">
        <f t="shared" si="28"/>
        <v>0</v>
      </c>
      <c r="S74" s="901">
        <f t="shared" ref="S74:S97" si="63">$D74*(AP74-(E74*AE74+F74*AI74)*365/1000)</f>
        <v>0</v>
      </c>
      <c r="T74" s="901">
        <f t="shared" ref="T74:T97" si="64">D74*(AQ74-G74*AN74*365/1000)</f>
        <v>0</v>
      </c>
      <c r="U74" s="902">
        <f t="shared" ref="U74:U97" si="65">IF(D74=0,0,(I74-H74)/I74)</f>
        <v>0</v>
      </c>
      <c r="V74" s="903"/>
      <c r="W74" s="1056">
        <f>97.7/111.1</f>
        <v>0.87938793879387944</v>
      </c>
      <c r="X74" s="1059">
        <v>22</v>
      </c>
      <c r="Y74" s="886">
        <v>133</v>
      </c>
      <c r="Z74" s="887">
        <v>5</v>
      </c>
      <c r="AA74" s="905">
        <f t="shared" ref="AA74:AA97" si="66">W74*Y74</f>
        <v>116.95859585958597</v>
      </c>
      <c r="AB74" s="888"/>
      <c r="AC74" s="906">
        <v>3</v>
      </c>
      <c r="AD74" s="907">
        <v>21</v>
      </c>
      <c r="AE74" s="908">
        <f>24-AN74</f>
        <v>23.808</v>
      </c>
      <c r="AF74" s="909">
        <v>12</v>
      </c>
      <c r="AG74" s="908"/>
      <c r="AH74" s="921"/>
      <c r="AI74" s="908"/>
      <c r="AJ74" s="909"/>
      <c r="AK74" s="909"/>
      <c r="AL74" s="908">
        <v>1500</v>
      </c>
      <c r="AM74" s="909">
        <v>21</v>
      </c>
      <c r="AN74" s="908">
        <v>0.192</v>
      </c>
      <c r="AO74" s="909">
        <v>21</v>
      </c>
      <c r="AP74" s="911">
        <f t="shared" ref="AP74:AP97" si="67">(AC74*AE74+AG74*AI74)*365/1000</f>
        <v>26.069760000000002</v>
      </c>
      <c r="AQ74" s="911">
        <f t="shared" ref="AQ74:AQ97" si="68">AL74*AN74*365/1000</f>
        <v>105.12</v>
      </c>
      <c r="AR74" s="911">
        <f t="shared" si="29"/>
        <v>131.18976000000001</v>
      </c>
      <c r="AS74" s="911">
        <f t="shared" ref="AS74:AS97" si="69">AP74*W74</f>
        <v>22.925432511251127</v>
      </c>
      <c r="AT74" s="911">
        <f t="shared" ref="AT74:AT97" si="70">AQ74*W74</f>
        <v>92.441260126012608</v>
      </c>
      <c r="AU74" s="912">
        <f t="shared" ref="AU74:AU97" si="71">SUM(AS74:AT74)</f>
        <v>115.36669263726374</v>
      </c>
      <c r="AV74" s="890"/>
      <c r="AW74" s="895">
        <v>0.55000000000000004</v>
      </c>
      <c r="AX74" s="895">
        <v>0.05</v>
      </c>
      <c r="AY74" s="913">
        <f t="shared" ref="AY74:AY97" si="72">AU74*AW74</f>
        <v>63.45168095049506</v>
      </c>
      <c r="AZ74" s="913">
        <f t="shared" ref="AZ74:AZ97" si="73">AU74*AX74</f>
        <v>5.768334631863187</v>
      </c>
      <c r="BA74" s="890"/>
      <c r="BB74" s="911">
        <f t="shared" ref="BB74:BB97" si="74">AU74/2</f>
        <v>57.68334631863187</v>
      </c>
      <c r="BC74" s="911">
        <f>AU74/2/3</f>
        <v>19.227782106210622</v>
      </c>
      <c r="BD74" s="911">
        <v>0</v>
      </c>
      <c r="BE74" s="911">
        <f t="shared" ref="BE74:BE97" si="75">BB74+BC74*C$5+BD74/1000*C$4</f>
        <v>115.36669263726372</v>
      </c>
      <c r="BF74" s="911">
        <f t="shared" ref="BF74:BF96" si="76">(BB74+BC74*C$5+BD74/1000*C$4)*AS74/AU74</f>
        <v>22.925432511251127</v>
      </c>
      <c r="BG74" s="911">
        <f t="shared" ref="BG74:BG96" si="77">(BB74+BC74*C$5+BD74/1000*C$4)*AT74/AU74</f>
        <v>92.441260126012594</v>
      </c>
      <c r="BH74" s="911">
        <f t="shared" ref="BH74:BH97" si="78">BE74*AW74</f>
        <v>63.451680950495053</v>
      </c>
      <c r="BI74" s="911">
        <f t="shared" ref="BI74:BI97" si="79">BE74*AX74</f>
        <v>5.768334631863187</v>
      </c>
    </row>
    <row r="75" spans="2:61" s="896" customFormat="1">
      <c r="B75" s="914" t="s">
        <v>992</v>
      </c>
      <c r="C75" s="915"/>
      <c r="D75" s="916">
        <v>0</v>
      </c>
      <c r="E75" s="917">
        <v>0</v>
      </c>
      <c r="F75" s="917">
        <v>0</v>
      </c>
      <c r="G75" s="917">
        <v>0</v>
      </c>
      <c r="H75" s="918">
        <f t="shared" si="57"/>
        <v>0</v>
      </c>
      <c r="I75" s="918">
        <f t="shared" si="58"/>
        <v>0</v>
      </c>
      <c r="J75" s="901">
        <f t="shared" si="56"/>
        <v>0</v>
      </c>
      <c r="K75" s="918">
        <f t="shared" si="59"/>
        <v>0</v>
      </c>
      <c r="L75" s="918">
        <f t="shared" si="60"/>
        <v>0</v>
      </c>
      <c r="M75" s="918">
        <f t="shared" si="61"/>
        <v>0</v>
      </c>
      <c r="N75" s="918">
        <f t="shared" si="62"/>
        <v>0</v>
      </c>
      <c r="O75" s="918">
        <f t="shared" si="25"/>
        <v>0</v>
      </c>
      <c r="P75" s="918">
        <f t="shared" si="26"/>
        <v>0</v>
      </c>
      <c r="Q75" s="918">
        <f t="shared" si="27"/>
        <v>0</v>
      </c>
      <c r="R75" s="918">
        <f t="shared" si="28"/>
        <v>0</v>
      </c>
      <c r="S75" s="918">
        <f t="shared" si="63"/>
        <v>0</v>
      </c>
      <c r="T75" s="918">
        <f t="shared" si="64"/>
        <v>0</v>
      </c>
      <c r="U75" s="919">
        <f t="shared" si="65"/>
        <v>0</v>
      </c>
      <c r="V75" s="903"/>
      <c r="W75" s="1057">
        <f>38/111.1</f>
        <v>0.34203420342034208</v>
      </c>
      <c r="X75" s="1060">
        <v>22</v>
      </c>
      <c r="Y75" s="886">
        <v>935</v>
      </c>
      <c r="Z75" s="887">
        <v>5</v>
      </c>
      <c r="AA75" s="905">
        <f t="shared" si="66"/>
        <v>319.80198019801986</v>
      </c>
      <c r="AB75" s="888"/>
      <c r="AC75" s="905">
        <v>0</v>
      </c>
      <c r="AD75" s="889">
        <v>0</v>
      </c>
      <c r="AE75" s="890">
        <v>0</v>
      </c>
      <c r="AF75" s="891">
        <v>0</v>
      </c>
      <c r="AG75" s="890">
        <v>0</v>
      </c>
      <c r="AH75" s="892">
        <v>0</v>
      </c>
      <c r="AI75" s="890">
        <v>0</v>
      </c>
      <c r="AJ75" s="891"/>
      <c r="AK75" s="891"/>
      <c r="AL75" s="893">
        <f>935*1000/365/24</f>
        <v>106.7351598173516</v>
      </c>
      <c r="AM75" s="891">
        <v>5</v>
      </c>
      <c r="AN75" s="890">
        <v>24</v>
      </c>
      <c r="AO75" s="891">
        <v>0</v>
      </c>
      <c r="AP75" s="911">
        <f t="shared" si="67"/>
        <v>0</v>
      </c>
      <c r="AQ75" s="911">
        <f t="shared" si="68"/>
        <v>935.00000000000011</v>
      </c>
      <c r="AR75" s="911">
        <f t="shared" si="29"/>
        <v>935.00000000000011</v>
      </c>
      <c r="AS75" s="911">
        <f t="shared" si="69"/>
        <v>0</v>
      </c>
      <c r="AT75" s="911">
        <f t="shared" si="70"/>
        <v>319.80198019801986</v>
      </c>
      <c r="AU75" s="912">
        <f t="shared" si="71"/>
        <v>319.80198019801986</v>
      </c>
      <c r="AV75" s="890"/>
      <c r="AW75" s="895">
        <v>0.5</v>
      </c>
      <c r="AX75" s="895">
        <v>0</v>
      </c>
      <c r="AY75" s="913">
        <f t="shared" si="72"/>
        <v>159.90099009900993</v>
      </c>
      <c r="AZ75" s="913">
        <f t="shared" si="73"/>
        <v>0</v>
      </c>
      <c r="BA75" s="890"/>
      <c r="BB75" s="911">
        <f t="shared" si="74"/>
        <v>159.90099009900993</v>
      </c>
      <c r="BC75" s="911">
        <f>AU75/4/3</f>
        <v>26.650165016501656</v>
      </c>
      <c r="BD75" s="911">
        <f>AU75/4/1920*1000</f>
        <v>41.640882838283837</v>
      </c>
      <c r="BE75" s="911">
        <f t="shared" si="75"/>
        <v>335.45895214521454</v>
      </c>
      <c r="BF75" s="911">
        <f t="shared" si="76"/>
        <v>0</v>
      </c>
      <c r="BG75" s="911">
        <f t="shared" si="77"/>
        <v>335.45895214521454</v>
      </c>
      <c r="BH75" s="911">
        <f t="shared" si="78"/>
        <v>167.72947607260727</v>
      </c>
      <c r="BI75" s="911">
        <f t="shared" si="79"/>
        <v>0</v>
      </c>
    </row>
    <row r="76" spans="2:61" s="896" customFormat="1">
      <c r="B76" s="914" t="s">
        <v>993</v>
      </c>
      <c r="C76" s="915"/>
      <c r="D76" s="916">
        <v>0</v>
      </c>
      <c r="E76" s="917">
        <v>0</v>
      </c>
      <c r="F76" s="917">
        <v>0</v>
      </c>
      <c r="G76" s="917">
        <v>0</v>
      </c>
      <c r="H76" s="918">
        <f t="shared" si="57"/>
        <v>0</v>
      </c>
      <c r="I76" s="918">
        <f t="shared" si="58"/>
        <v>0</v>
      </c>
      <c r="J76" s="901">
        <f t="shared" si="56"/>
        <v>0</v>
      </c>
      <c r="K76" s="918">
        <f t="shared" si="59"/>
        <v>0</v>
      </c>
      <c r="L76" s="918">
        <f t="shared" si="60"/>
        <v>0</v>
      </c>
      <c r="M76" s="918">
        <f t="shared" si="61"/>
        <v>0</v>
      </c>
      <c r="N76" s="918">
        <f t="shared" si="62"/>
        <v>0</v>
      </c>
      <c r="O76" s="918">
        <f t="shared" si="25"/>
        <v>0</v>
      </c>
      <c r="P76" s="918">
        <f t="shared" si="26"/>
        <v>0</v>
      </c>
      <c r="Q76" s="918">
        <f t="shared" si="27"/>
        <v>0</v>
      </c>
      <c r="R76" s="918">
        <f t="shared" si="28"/>
        <v>0</v>
      </c>
      <c r="S76" s="918">
        <f t="shared" si="63"/>
        <v>0</v>
      </c>
      <c r="T76" s="918">
        <f t="shared" si="64"/>
        <v>0</v>
      </c>
      <c r="U76" s="919">
        <f t="shared" si="65"/>
        <v>0</v>
      </c>
      <c r="V76" s="903"/>
      <c r="W76" s="1057">
        <f>24.6/111.1</f>
        <v>0.22142214221422143</v>
      </c>
      <c r="X76" s="1060">
        <v>22</v>
      </c>
      <c r="Y76" s="886">
        <v>1100</v>
      </c>
      <c r="Z76" s="887">
        <v>2</v>
      </c>
      <c r="AA76" s="905">
        <f t="shared" si="66"/>
        <v>243.56435643564359</v>
      </c>
      <c r="AB76" s="888"/>
      <c r="AC76" s="905">
        <v>0</v>
      </c>
      <c r="AD76" s="889">
        <v>0</v>
      </c>
      <c r="AE76" s="890">
        <v>0</v>
      </c>
      <c r="AF76" s="891">
        <v>0</v>
      </c>
      <c r="AG76" s="890">
        <v>0</v>
      </c>
      <c r="AH76" s="892">
        <v>0</v>
      </c>
      <c r="AI76" s="890">
        <v>0</v>
      </c>
      <c r="AJ76" s="891">
        <v>0</v>
      </c>
      <c r="AK76" s="891"/>
      <c r="AL76" s="893">
        <f>1100*1000/365/24</f>
        <v>125.57077625570776</v>
      </c>
      <c r="AM76" s="891">
        <v>3</v>
      </c>
      <c r="AN76" s="890">
        <v>24</v>
      </c>
      <c r="AO76" s="891">
        <v>0</v>
      </c>
      <c r="AP76" s="911">
        <f t="shared" si="67"/>
        <v>0</v>
      </c>
      <c r="AQ76" s="911">
        <f t="shared" si="68"/>
        <v>1100</v>
      </c>
      <c r="AR76" s="911">
        <f t="shared" si="29"/>
        <v>1100</v>
      </c>
      <c r="AS76" s="911">
        <f t="shared" si="69"/>
        <v>0</v>
      </c>
      <c r="AT76" s="911">
        <f t="shared" si="70"/>
        <v>243.56435643564359</v>
      </c>
      <c r="AU76" s="912">
        <f t="shared" si="71"/>
        <v>243.56435643564359</v>
      </c>
      <c r="AV76" s="890"/>
      <c r="AW76" s="895">
        <v>0.5</v>
      </c>
      <c r="AX76" s="895">
        <v>0</v>
      </c>
      <c r="AY76" s="913">
        <f t="shared" si="72"/>
        <v>121.78217821782179</v>
      </c>
      <c r="AZ76" s="913">
        <f t="shared" si="73"/>
        <v>0</v>
      </c>
      <c r="BA76" s="890"/>
      <c r="BB76" s="911">
        <f t="shared" si="74"/>
        <v>121.78217821782179</v>
      </c>
      <c r="BC76" s="911">
        <f>AU76/4/3</f>
        <v>20.297029702970299</v>
      </c>
      <c r="BD76" s="911">
        <f>AU76/4/1920*1000</f>
        <v>31.714108910891088</v>
      </c>
      <c r="BE76" s="911">
        <f t="shared" si="75"/>
        <v>255.48886138613864</v>
      </c>
      <c r="BF76" s="911">
        <f t="shared" si="76"/>
        <v>0</v>
      </c>
      <c r="BG76" s="911">
        <f t="shared" si="77"/>
        <v>255.48886138613864</v>
      </c>
      <c r="BH76" s="911">
        <f t="shared" si="78"/>
        <v>127.74443069306932</v>
      </c>
      <c r="BI76" s="911">
        <f t="shared" si="79"/>
        <v>0</v>
      </c>
    </row>
    <row r="77" spans="2:61" s="896" customFormat="1">
      <c r="B77" s="914" t="s">
        <v>4723</v>
      </c>
      <c r="C77" s="915"/>
      <c r="D77" s="916">
        <v>0</v>
      </c>
      <c r="E77" s="917">
        <v>0</v>
      </c>
      <c r="F77" s="917">
        <v>0</v>
      </c>
      <c r="G77" s="917">
        <v>0</v>
      </c>
      <c r="H77" s="918">
        <f t="shared" si="57"/>
        <v>0</v>
      </c>
      <c r="I77" s="918">
        <f t="shared" si="58"/>
        <v>0</v>
      </c>
      <c r="J77" s="901">
        <f t="shared" si="56"/>
        <v>0</v>
      </c>
      <c r="K77" s="918">
        <f t="shared" si="59"/>
        <v>0</v>
      </c>
      <c r="L77" s="918">
        <f t="shared" si="60"/>
        <v>0</v>
      </c>
      <c r="M77" s="918">
        <f t="shared" si="61"/>
        <v>0</v>
      </c>
      <c r="N77" s="918">
        <f t="shared" si="62"/>
        <v>0</v>
      </c>
      <c r="O77" s="918">
        <f t="shared" si="25"/>
        <v>0</v>
      </c>
      <c r="P77" s="918">
        <f t="shared" si="26"/>
        <v>0</v>
      </c>
      <c r="Q77" s="918">
        <f t="shared" si="27"/>
        <v>0</v>
      </c>
      <c r="R77" s="918">
        <f t="shared" si="28"/>
        <v>0</v>
      </c>
      <c r="S77" s="918">
        <f t="shared" si="63"/>
        <v>0</v>
      </c>
      <c r="T77" s="918">
        <f t="shared" si="64"/>
        <v>0</v>
      </c>
      <c r="U77" s="919">
        <f t="shared" si="65"/>
        <v>0</v>
      </c>
      <c r="V77" s="903"/>
      <c r="W77" s="904">
        <v>0.61</v>
      </c>
      <c r="X77" s="920">
        <v>21</v>
      </c>
      <c r="Y77" s="886">
        <v>116</v>
      </c>
      <c r="Z77" s="887">
        <v>1</v>
      </c>
      <c r="AA77" s="905">
        <f t="shared" si="66"/>
        <v>70.760000000000005</v>
      </c>
      <c r="AB77" s="888"/>
      <c r="AC77" s="906">
        <v>0.4</v>
      </c>
      <c r="AD77" s="907">
        <v>21</v>
      </c>
      <c r="AE77" s="908">
        <v>23.27</v>
      </c>
      <c r="AF77" s="909">
        <v>6</v>
      </c>
      <c r="AG77" s="908">
        <v>70</v>
      </c>
      <c r="AH77" s="921">
        <v>12</v>
      </c>
      <c r="AI77" s="908">
        <v>0.627</v>
      </c>
      <c r="AJ77" s="909">
        <v>12</v>
      </c>
      <c r="AK77" s="909"/>
      <c r="AL77" s="908">
        <v>1100</v>
      </c>
      <c r="AM77" s="909">
        <v>12</v>
      </c>
      <c r="AN77" s="908">
        <v>0.104</v>
      </c>
      <c r="AO77" s="909">
        <v>12</v>
      </c>
      <c r="AP77" s="911">
        <f t="shared" si="67"/>
        <v>19.417270000000002</v>
      </c>
      <c r="AQ77" s="911">
        <f t="shared" si="68"/>
        <v>41.756</v>
      </c>
      <c r="AR77" s="911">
        <f t="shared" si="29"/>
        <v>61.173270000000002</v>
      </c>
      <c r="AS77" s="911">
        <f t="shared" si="69"/>
        <v>11.844534700000001</v>
      </c>
      <c r="AT77" s="911">
        <f t="shared" si="70"/>
        <v>25.471160000000001</v>
      </c>
      <c r="AU77" s="912">
        <f t="shared" si="71"/>
        <v>37.315694700000002</v>
      </c>
      <c r="AV77" s="890"/>
      <c r="AW77" s="895">
        <v>0.4</v>
      </c>
      <c r="AX77" s="895">
        <v>0.2</v>
      </c>
      <c r="AY77" s="913">
        <f t="shared" si="72"/>
        <v>14.926277880000001</v>
      </c>
      <c r="AZ77" s="913">
        <f t="shared" si="73"/>
        <v>7.4631389400000003</v>
      </c>
      <c r="BA77" s="890"/>
      <c r="BB77" s="911">
        <f t="shared" si="74"/>
        <v>18.657847350000001</v>
      </c>
      <c r="BC77" s="911">
        <f>AU77/2/3</f>
        <v>6.2192824500000006</v>
      </c>
      <c r="BD77" s="911">
        <v>0</v>
      </c>
      <c r="BE77" s="911">
        <f t="shared" si="75"/>
        <v>37.315694700000002</v>
      </c>
      <c r="BF77" s="911">
        <f t="shared" si="76"/>
        <v>11.844534700000001</v>
      </c>
      <c r="BG77" s="911">
        <f t="shared" si="77"/>
        <v>25.471160000000001</v>
      </c>
      <c r="BH77" s="911">
        <f t="shared" si="78"/>
        <v>14.926277880000001</v>
      </c>
      <c r="BI77" s="911">
        <f t="shared" si="79"/>
        <v>7.4631389400000003</v>
      </c>
    </row>
    <row r="78" spans="2:61" s="896" customFormat="1">
      <c r="B78" s="914" t="s">
        <v>994</v>
      </c>
      <c r="C78" s="915"/>
      <c r="D78" s="916">
        <v>0</v>
      </c>
      <c r="E78" s="917">
        <v>0</v>
      </c>
      <c r="F78" s="917">
        <v>0</v>
      </c>
      <c r="G78" s="917">
        <v>0</v>
      </c>
      <c r="H78" s="918">
        <f t="shared" si="57"/>
        <v>0</v>
      </c>
      <c r="I78" s="918">
        <f t="shared" si="58"/>
        <v>0</v>
      </c>
      <c r="J78" s="901">
        <f t="shared" si="56"/>
        <v>0</v>
      </c>
      <c r="K78" s="918">
        <f t="shared" si="59"/>
        <v>0</v>
      </c>
      <c r="L78" s="918">
        <f t="shared" si="60"/>
        <v>0</v>
      </c>
      <c r="M78" s="918">
        <f t="shared" si="61"/>
        <v>0</v>
      </c>
      <c r="N78" s="918">
        <f t="shared" si="62"/>
        <v>0</v>
      </c>
      <c r="O78" s="918">
        <f t="shared" si="25"/>
        <v>0</v>
      </c>
      <c r="P78" s="918">
        <f t="shared" si="26"/>
        <v>0</v>
      </c>
      <c r="Q78" s="918">
        <f t="shared" si="27"/>
        <v>0</v>
      </c>
      <c r="R78" s="918">
        <f t="shared" si="28"/>
        <v>0</v>
      </c>
      <c r="S78" s="918">
        <f t="shared" si="63"/>
        <v>0</v>
      </c>
      <c r="T78" s="918">
        <f t="shared" si="64"/>
        <v>0</v>
      </c>
      <c r="U78" s="919">
        <f t="shared" si="65"/>
        <v>0</v>
      </c>
      <c r="V78" s="903"/>
      <c r="W78" s="1056">
        <f>37.3/111.1</f>
        <v>0.33573357335733572</v>
      </c>
      <c r="X78" s="1059">
        <v>22</v>
      </c>
      <c r="Y78" s="886">
        <v>50</v>
      </c>
      <c r="Z78" s="887">
        <v>1</v>
      </c>
      <c r="AA78" s="905">
        <f t="shared" si="66"/>
        <v>16.786678667866788</v>
      </c>
      <c r="AB78" s="888"/>
      <c r="AC78" s="905"/>
      <c r="AD78" s="889"/>
      <c r="AE78" s="890"/>
      <c r="AF78" s="891"/>
      <c r="AG78" s="890"/>
      <c r="AH78" s="892"/>
      <c r="AI78" s="890"/>
      <c r="AJ78" s="891"/>
      <c r="AK78" s="891"/>
      <c r="AL78" s="910">
        <v>1300</v>
      </c>
      <c r="AM78" s="909">
        <v>21</v>
      </c>
      <c r="AN78" s="908">
        <v>6.8000000000000005E-2</v>
      </c>
      <c r="AO78" s="909">
        <v>21</v>
      </c>
      <c r="AP78" s="911">
        <f t="shared" si="67"/>
        <v>0</v>
      </c>
      <c r="AQ78" s="911">
        <f t="shared" si="68"/>
        <v>32.266000000000005</v>
      </c>
      <c r="AR78" s="911">
        <f t="shared" si="29"/>
        <v>32.266000000000005</v>
      </c>
      <c r="AS78" s="911">
        <f t="shared" si="69"/>
        <v>0</v>
      </c>
      <c r="AT78" s="911">
        <f t="shared" si="70"/>
        <v>10.832779477947795</v>
      </c>
      <c r="AU78" s="912">
        <f t="shared" si="71"/>
        <v>10.832779477947795</v>
      </c>
      <c r="AV78" s="890"/>
      <c r="AW78" s="895">
        <v>0.75</v>
      </c>
      <c r="AX78" s="895">
        <v>0.05</v>
      </c>
      <c r="AY78" s="913">
        <f t="shared" si="72"/>
        <v>8.1245846084608466</v>
      </c>
      <c r="AZ78" s="913">
        <f t="shared" si="73"/>
        <v>0.5416389738973898</v>
      </c>
      <c r="BA78" s="890"/>
      <c r="BB78" s="911">
        <f t="shared" si="74"/>
        <v>5.4163897389738977</v>
      </c>
      <c r="BC78" s="911">
        <f>AU78/4/3</f>
        <v>0.90273162316231625</v>
      </c>
      <c r="BD78" s="911">
        <f>AU78/4/1920*1000</f>
        <v>1.4105181611911193</v>
      </c>
      <c r="BE78" s="911">
        <f t="shared" si="75"/>
        <v>11.363134306555656</v>
      </c>
      <c r="BF78" s="911">
        <f t="shared" si="76"/>
        <v>0</v>
      </c>
      <c r="BG78" s="911">
        <f t="shared" si="77"/>
        <v>11.363134306555656</v>
      </c>
      <c r="BH78" s="911">
        <f t="shared" si="78"/>
        <v>8.5223507299167416</v>
      </c>
      <c r="BI78" s="911">
        <f t="shared" si="79"/>
        <v>0.56815671532778278</v>
      </c>
    </row>
    <row r="79" spans="2:61" s="896" customFormat="1">
      <c r="B79" s="914" t="s">
        <v>72</v>
      </c>
      <c r="C79" s="915"/>
      <c r="D79" s="916">
        <v>0</v>
      </c>
      <c r="E79" s="917">
        <v>0</v>
      </c>
      <c r="F79" s="917">
        <v>0</v>
      </c>
      <c r="G79" s="917">
        <v>0</v>
      </c>
      <c r="H79" s="918">
        <f t="shared" si="57"/>
        <v>0</v>
      </c>
      <c r="I79" s="918">
        <f t="shared" si="58"/>
        <v>0</v>
      </c>
      <c r="J79" s="901">
        <f t="shared" si="56"/>
        <v>0</v>
      </c>
      <c r="K79" s="918">
        <f t="shared" si="59"/>
        <v>0</v>
      </c>
      <c r="L79" s="918">
        <f t="shared" si="60"/>
        <v>0</v>
      </c>
      <c r="M79" s="918">
        <f t="shared" si="61"/>
        <v>0</v>
      </c>
      <c r="N79" s="918">
        <f t="shared" si="62"/>
        <v>0</v>
      </c>
      <c r="O79" s="918">
        <f t="shared" si="25"/>
        <v>0</v>
      </c>
      <c r="P79" s="918">
        <f t="shared" si="26"/>
        <v>0</v>
      </c>
      <c r="Q79" s="918">
        <f t="shared" si="27"/>
        <v>0</v>
      </c>
      <c r="R79" s="918">
        <f t="shared" si="28"/>
        <v>0</v>
      </c>
      <c r="S79" s="918">
        <f t="shared" si="63"/>
        <v>0</v>
      </c>
      <c r="T79" s="918">
        <f t="shared" si="64"/>
        <v>0</v>
      </c>
      <c r="U79" s="919">
        <f t="shared" si="65"/>
        <v>0</v>
      </c>
      <c r="V79" s="903"/>
      <c r="W79" s="904">
        <v>0.90400000000000003</v>
      </c>
      <c r="X79" s="920">
        <v>21</v>
      </c>
      <c r="Y79" s="886">
        <v>39</v>
      </c>
      <c r="Z79" s="887">
        <v>1</v>
      </c>
      <c r="AA79" s="905">
        <f t="shared" si="66"/>
        <v>35.256</v>
      </c>
      <c r="AB79" s="888"/>
      <c r="AC79" s="905">
        <v>0.82</v>
      </c>
      <c r="AD79" s="889">
        <v>6</v>
      </c>
      <c r="AE79" s="890">
        <v>23.9</v>
      </c>
      <c r="AF79" s="891">
        <v>0</v>
      </c>
      <c r="AG79" s="890"/>
      <c r="AH79" s="892"/>
      <c r="AI79" s="890"/>
      <c r="AJ79" s="891"/>
      <c r="AK79" s="891"/>
      <c r="AL79" s="908">
        <v>1050</v>
      </c>
      <c r="AM79" s="909">
        <v>21</v>
      </c>
      <c r="AN79" s="908">
        <v>0.10100000000000001</v>
      </c>
      <c r="AO79" s="909">
        <v>21</v>
      </c>
      <c r="AP79" s="911">
        <f t="shared" si="67"/>
        <v>7.1532699999999991</v>
      </c>
      <c r="AQ79" s="911">
        <f t="shared" si="68"/>
        <v>38.708250000000007</v>
      </c>
      <c r="AR79" s="911">
        <f t="shared" si="29"/>
        <v>45.861520000000006</v>
      </c>
      <c r="AS79" s="911">
        <f t="shared" si="69"/>
        <v>6.4665560799999993</v>
      </c>
      <c r="AT79" s="911">
        <f t="shared" si="70"/>
        <v>34.992258000000007</v>
      </c>
      <c r="AU79" s="912">
        <f t="shared" si="71"/>
        <v>41.458814080000003</v>
      </c>
      <c r="AV79" s="890"/>
      <c r="AW79" s="895">
        <v>0.75</v>
      </c>
      <c r="AX79" s="895">
        <v>0.05</v>
      </c>
      <c r="AY79" s="913">
        <f t="shared" si="72"/>
        <v>31.094110560000004</v>
      </c>
      <c r="AZ79" s="913">
        <f t="shared" si="73"/>
        <v>2.0729407040000001</v>
      </c>
      <c r="BA79" s="890"/>
      <c r="BB79" s="911">
        <f t="shared" si="74"/>
        <v>20.729407040000002</v>
      </c>
      <c r="BC79" s="911">
        <f>AU79/2/3</f>
        <v>6.9098023466666669</v>
      </c>
      <c r="BD79" s="911">
        <v>0</v>
      </c>
      <c r="BE79" s="911">
        <f t="shared" si="75"/>
        <v>41.458814080000003</v>
      </c>
      <c r="BF79" s="911">
        <f t="shared" si="76"/>
        <v>6.4665560799999993</v>
      </c>
      <c r="BG79" s="911">
        <f t="shared" si="77"/>
        <v>34.992258000000007</v>
      </c>
      <c r="BH79" s="911">
        <f t="shared" si="78"/>
        <v>31.094110560000004</v>
      </c>
      <c r="BI79" s="911">
        <f t="shared" si="79"/>
        <v>2.0729407040000001</v>
      </c>
    </row>
    <row r="80" spans="2:61" s="896" customFormat="1">
      <c r="B80" s="914" t="s">
        <v>894</v>
      </c>
      <c r="C80" s="915"/>
      <c r="D80" s="916">
        <v>0</v>
      </c>
      <c r="E80" s="917">
        <v>0</v>
      </c>
      <c r="F80" s="917">
        <v>0</v>
      </c>
      <c r="G80" s="917">
        <v>0</v>
      </c>
      <c r="H80" s="918">
        <f t="shared" si="57"/>
        <v>0</v>
      </c>
      <c r="I80" s="918">
        <f t="shared" si="58"/>
        <v>0</v>
      </c>
      <c r="J80" s="901">
        <f t="shared" si="56"/>
        <v>0</v>
      </c>
      <c r="K80" s="918">
        <f t="shared" si="59"/>
        <v>0</v>
      </c>
      <c r="L80" s="918">
        <f t="shared" si="60"/>
        <v>0</v>
      </c>
      <c r="M80" s="918">
        <f t="shared" si="61"/>
        <v>0</v>
      </c>
      <c r="N80" s="918">
        <f t="shared" si="62"/>
        <v>0</v>
      </c>
      <c r="O80" s="918">
        <f t="shared" si="25"/>
        <v>0</v>
      </c>
      <c r="P80" s="918">
        <f t="shared" si="26"/>
        <v>0</v>
      </c>
      <c r="Q80" s="918">
        <f t="shared" si="27"/>
        <v>0</v>
      </c>
      <c r="R80" s="918">
        <f t="shared" si="28"/>
        <v>0</v>
      </c>
      <c r="S80" s="918">
        <f t="shared" si="63"/>
        <v>0</v>
      </c>
      <c r="T80" s="918">
        <f t="shared" si="64"/>
        <v>0</v>
      </c>
      <c r="U80" s="919">
        <f t="shared" si="65"/>
        <v>0</v>
      </c>
      <c r="V80" s="903"/>
      <c r="W80" s="884">
        <v>0.3251231527093596</v>
      </c>
      <c r="X80" s="887">
        <v>1</v>
      </c>
      <c r="Y80" s="886">
        <v>25</v>
      </c>
      <c r="Z80" s="887">
        <v>1</v>
      </c>
      <c r="AA80" s="905">
        <f t="shared" si="66"/>
        <v>8.1280788177339893</v>
      </c>
      <c r="AB80" s="888"/>
      <c r="AC80" s="905"/>
      <c r="AD80" s="889"/>
      <c r="AE80" s="890"/>
      <c r="AF80" s="891"/>
      <c r="AG80" s="890"/>
      <c r="AH80" s="892"/>
      <c r="AI80" s="890"/>
      <c r="AJ80" s="891"/>
      <c r="AK80" s="891"/>
      <c r="AL80" s="893">
        <f t="shared" ref="AL80:AL93" si="80">Y80*1000/365/0.1</f>
        <v>684.93150684931504</v>
      </c>
      <c r="AM80" s="891">
        <v>0</v>
      </c>
      <c r="AN80" s="890">
        <v>0.1</v>
      </c>
      <c r="AO80" s="891">
        <v>0</v>
      </c>
      <c r="AP80" s="911">
        <f t="shared" si="67"/>
        <v>0</v>
      </c>
      <c r="AQ80" s="911">
        <f t="shared" si="68"/>
        <v>25</v>
      </c>
      <c r="AR80" s="911">
        <f t="shared" si="29"/>
        <v>25</v>
      </c>
      <c r="AS80" s="911">
        <f t="shared" si="69"/>
        <v>0</v>
      </c>
      <c r="AT80" s="911">
        <f t="shared" si="70"/>
        <v>8.1280788177339893</v>
      </c>
      <c r="AU80" s="912">
        <f t="shared" si="71"/>
        <v>8.1280788177339893</v>
      </c>
      <c r="AV80" s="890"/>
      <c r="AW80" s="895">
        <v>0.75</v>
      </c>
      <c r="AX80" s="895">
        <v>0.05</v>
      </c>
      <c r="AY80" s="913">
        <f t="shared" si="72"/>
        <v>6.096059113300492</v>
      </c>
      <c r="AZ80" s="913">
        <f t="shared" si="73"/>
        <v>0.40640394088669951</v>
      </c>
      <c r="BA80" s="890"/>
      <c r="BB80" s="911">
        <f t="shared" si="74"/>
        <v>4.0640394088669947</v>
      </c>
      <c r="BC80" s="911">
        <f>AU80/4/3</f>
        <v>0.67733990147783241</v>
      </c>
      <c r="BD80" s="911">
        <f>AU80/4/1920*1000</f>
        <v>1.058343596059113</v>
      </c>
      <c r="BE80" s="911">
        <f t="shared" si="75"/>
        <v>8.5260160098522153</v>
      </c>
      <c r="BF80" s="911">
        <f t="shared" si="76"/>
        <v>0</v>
      </c>
      <c r="BG80" s="911">
        <f t="shared" si="77"/>
        <v>8.5260160098522153</v>
      </c>
      <c r="BH80" s="911">
        <f t="shared" si="78"/>
        <v>6.3945120073891619</v>
      </c>
      <c r="BI80" s="911">
        <f t="shared" si="79"/>
        <v>0.42630080049261077</v>
      </c>
    </row>
    <row r="81" spans="2:61" s="896" customFormat="1">
      <c r="B81" s="914" t="s">
        <v>895</v>
      </c>
      <c r="C81" s="915"/>
      <c r="D81" s="916">
        <v>0</v>
      </c>
      <c r="E81" s="917">
        <v>0</v>
      </c>
      <c r="F81" s="917">
        <v>0</v>
      </c>
      <c r="G81" s="917">
        <v>0</v>
      </c>
      <c r="H81" s="918">
        <f t="shared" si="57"/>
        <v>0</v>
      </c>
      <c r="I81" s="918">
        <f t="shared" si="58"/>
        <v>0</v>
      </c>
      <c r="J81" s="901">
        <f t="shared" si="56"/>
        <v>0</v>
      </c>
      <c r="K81" s="918">
        <f t="shared" si="59"/>
        <v>0</v>
      </c>
      <c r="L81" s="918">
        <f t="shared" si="60"/>
        <v>0</v>
      </c>
      <c r="M81" s="918">
        <f t="shared" si="61"/>
        <v>0</v>
      </c>
      <c r="N81" s="918">
        <f t="shared" si="62"/>
        <v>0</v>
      </c>
      <c r="O81" s="918">
        <f t="shared" si="25"/>
        <v>0</v>
      </c>
      <c r="P81" s="918">
        <f t="shared" si="26"/>
        <v>0</v>
      </c>
      <c r="Q81" s="918">
        <f t="shared" si="27"/>
        <v>0</v>
      </c>
      <c r="R81" s="918">
        <f t="shared" si="28"/>
        <v>0</v>
      </c>
      <c r="S81" s="918">
        <f t="shared" si="63"/>
        <v>0</v>
      </c>
      <c r="T81" s="918">
        <f t="shared" si="64"/>
        <v>0</v>
      </c>
      <c r="U81" s="919">
        <f t="shared" si="65"/>
        <v>0</v>
      </c>
      <c r="V81" s="903"/>
      <c r="W81" s="884">
        <v>0.78817733990147787</v>
      </c>
      <c r="X81" s="887">
        <v>1</v>
      </c>
      <c r="Y81" s="886">
        <v>7</v>
      </c>
      <c r="Z81" s="887">
        <v>1</v>
      </c>
      <c r="AA81" s="905">
        <f t="shared" si="66"/>
        <v>5.5172413793103452</v>
      </c>
      <c r="AB81" s="888"/>
      <c r="AC81" s="905"/>
      <c r="AD81" s="889"/>
      <c r="AE81" s="890"/>
      <c r="AF81" s="891"/>
      <c r="AG81" s="890"/>
      <c r="AH81" s="892"/>
      <c r="AI81" s="890"/>
      <c r="AJ81" s="891"/>
      <c r="AK81" s="891"/>
      <c r="AL81" s="893">
        <f t="shared" si="80"/>
        <v>191.7808219178082</v>
      </c>
      <c r="AM81" s="891">
        <v>0</v>
      </c>
      <c r="AN81" s="890">
        <v>0.1</v>
      </c>
      <c r="AO81" s="891">
        <v>0</v>
      </c>
      <c r="AP81" s="911">
        <f t="shared" si="67"/>
        <v>0</v>
      </c>
      <c r="AQ81" s="911">
        <f t="shared" si="68"/>
        <v>6.9999999999999991</v>
      </c>
      <c r="AR81" s="911">
        <f t="shared" si="29"/>
        <v>6.9999999999999991</v>
      </c>
      <c r="AS81" s="911">
        <f t="shared" si="69"/>
        <v>0</v>
      </c>
      <c r="AT81" s="911">
        <f t="shared" si="70"/>
        <v>5.5172413793103443</v>
      </c>
      <c r="AU81" s="912">
        <f t="shared" si="71"/>
        <v>5.5172413793103443</v>
      </c>
      <c r="AV81" s="890"/>
      <c r="AW81" s="895">
        <v>0.75</v>
      </c>
      <c r="AX81" s="895">
        <v>0.05</v>
      </c>
      <c r="AY81" s="913">
        <f t="shared" si="72"/>
        <v>4.137931034482758</v>
      </c>
      <c r="AZ81" s="913">
        <f t="shared" si="73"/>
        <v>0.27586206896551724</v>
      </c>
      <c r="BA81" s="890"/>
      <c r="BB81" s="911">
        <f t="shared" si="74"/>
        <v>2.7586206896551722</v>
      </c>
      <c r="BC81" s="911">
        <f>AU81/4/3</f>
        <v>0.45977011494252867</v>
      </c>
      <c r="BD81" s="911">
        <f>AU81/4/1920*1000</f>
        <v>0.71839080459770099</v>
      </c>
      <c r="BE81" s="911">
        <f t="shared" si="75"/>
        <v>5.7873563218390798</v>
      </c>
      <c r="BF81" s="911">
        <f t="shared" si="76"/>
        <v>0</v>
      </c>
      <c r="BG81" s="911">
        <f t="shared" si="77"/>
        <v>5.7873563218390798</v>
      </c>
      <c r="BH81" s="911">
        <f t="shared" si="78"/>
        <v>4.3405172413793096</v>
      </c>
      <c r="BI81" s="911">
        <f t="shared" si="79"/>
        <v>0.289367816091954</v>
      </c>
    </row>
    <row r="82" spans="2:61" s="896" customFormat="1">
      <c r="B82" s="914" t="s">
        <v>896</v>
      </c>
      <c r="C82" s="915"/>
      <c r="D82" s="916">
        <v>0</v>
      </c>
      <c r="E82" s="917">
        <v>0</v>
      </c>
      <c r="F82" s="917">
        <v>0</v>
      </c>
      <c r="G82" s="917">
        <v>0</v>
      </c>
      <c r="H82" s="918">
        <f t="shared" si="57"/>
        <v>0</v>
      </c>
      <c r="I82" s="918">
        <f t="shared" si="58"/>
        <v>0</v>
      </c>
      <c r="J82" s="901">
        <f t="shared" si="56"/>
        <v>0</v>
      </c>
      <c r="K82" s="918">
        <f t="shared" si="59"/>
        <v>0</v>
      </c>
      <c r="L82" s="918">
        <f t="shared" si="60"/>
        <v>0</v>
      </c>
      <c r="M82" s="918">
        <f t="shared" si="61"/>
        <v>0</v>
      </c>
      <c r="N82" s="918">
        <f t="shared" si="62"/>
        <v>0</v>
      </c>
      <c r="O82" s="918">
        <f t="shared" si="25"/>
        <v>0</v>
      </c>
      <c r="P82" s="918">
        <f t="shared" si="26"/>
        <v>0</v>
      </c>
      <c r="Q82" s="918">
        <f t="shared" si="27"/>
        <v>0</v>
      </c>
      <c r="R82" s="918">
        <f t="shared" si="28"/>
        <v>0</v>
      </c>
      <c r="S82" s="918">
        <f t="shared" si="63"/>
        <v>0</v>
      </c>
      <c r="T82" s="918">
        <f t="shared" si="64"/>
        <v>0</v>
      </c>
      <c r="U82" s="919">
        <f t="shared" si="65"/>
        <v>0</v>
      </c>
      <c r="V82" s="903"/>
      <c r="W82" s="884">
        <v>0.65024630541871919</v>
      </c>
      <c r="X82" s="887">
        <v>1</v>
      </c>
      <c r="Y82" s="886">
        <v>3</v>
      </c>
      <c r="Z82" s="887">
        <v>1</v>
      </c>
      <c r="AA82" s="905">
        <f t="shared" si="66"/>
        <v>1.9507389162561575</v>
      </c>
      <c r="AB82" s="888"/>
      <c r="AC82" s="905"/>
      <c r="AD82" s="889"/>
      <c r="AE82" s="890"/>
      <c r="AF82" s="891"/>
      <c r="AG82" s="890"/>
      <c r="AH82" s="892"/>
      <c r="AI82" s="890"/>
      <c r="AJ82" s="891"/>
      <c r="AK82" s="891"/>
      <c r="AL82" s="893">
        <f t="shared" si="80"/>
        <v>82.191780821917817</v>
      </c>
      <c r="AM82" s="891">
        <v>0</v>
      </c>
      <c r="AN82" s="890">
        <v>0.1</v>
      </c>
      <c r="AO82" s="891">
        <v>0</v>
      </c>
      <c r="AP82" s="911">
        <f t="shared" si="67"/>
        <v>0</v>
      </c>
      <c r="AQ82" s="911">
        <f t="shared" si="68"/>
        <v>3.0000000000000004</v>
      </c>
      <c r="AR82" s="911">
        <f t="shared" si="29"/>
        <v>3.0000000000000004</v>
      </c>
      <c r="AS82" s="911">
        <f t="shared" si="69"/>
        <v>0</v>
      </c>
      <c r="AT82" s="911">
        <f t="shared" si="70"/>
        <v>1.9507389162561579</v>
      </c>
      <c r="AU82" s="912">
        <f t="shared" si="71"/>
        <v>1.9507389162561579</v>
      </c>
      <c r="AV82" s="890"/>
      <c r="AW82" s="895">
        <v>1</v>
      </c>
      <c r="AX82" s="895">
        <v>0</v>
      </c>
      <c r="AY82" s="913">
        <f t="shared" si="72"/>
        <v>1.9507389162561579</v>
      </c>
      <c r="AZ82" s="913">
        <f t="shared" si="73"/>
        <v>0</v>
      </c>
      <c r="BA82" s="890"/>
      <c r="BB82" s="911">
        <f t="shared" si="74"/>
        <v>0.97536945812807896</v>
      </c>
      <c r="BC82" s="911">
        <f>AU82/2/3</f>
        <v>0.32512315270935965</v>
      </c>
      <c r="BD82" s="911">
        <v>0</v>
      </c>
      <c r="BE82" s="911">
        <f t="shared" si="75"/>
        <v>1.9507389162561579</v>
      </c>
      <c r="BF82" s="911">
        <f t="shared" si="76"/>
        <v>0</v>
      </c>
      <c r="BG82" s="911">
        <f t="shared" si="77"/>
        <v>1.9507389162561581</v>
      </c>
      <c r="BH82" s="911">
        <f t="shared" si="78"/>
        <v>1.9507389162561579</v>
      </c>
      <c r="BI82" s="911">
        <f t="shared" si="79"/>
        <v>0</v>
      </c>
    </row>
    <row r="83" spans="2:61" s="896" customFormat="1">
      <c r="B83" s="914" t="s">
        <v>897</v>
      </c>
      <c r="C83" s="915"/>
      <c r="D83" s="916">
        <v>0</v>
      </c>
      <c r="E83" s="917">
        <v>0</v>
      </c>
      <c r="F83" s="917">
        <v>0</v>
      </c>
      <c r="G83" s="917">
        <v>0</v>
      </c>
      <c r="H83" s="918">
        <f t="shared" si="57"/>
        <v>0</v>
      </c>
      <c r="I83" s="918">
        <f t="shared" si="58"/>
        <v>0</v>
      </c>
      <c r="J83" s="901">
        <f t="shared" si="56"/>
        <v>0</v>
      </c>
      <c r="K83" s="918">
        <f t="shared" si="59"/>
        <v>0</v>
      </c>
      <c r="L83" s="918">
        <f t="shared" si="60"/>
        <v>0</v>
      </c>
      <c r="M83" s="918">
        <f t="shared" si="61"/>
        <v>0</v>
      </c>
      <c r="N83" s="918">
        <f t="shared" si="62"/>
        <v>0</v>
      </c>
      <c r="O83" s="918">
        <f t="shared" si="25"/>
        <v>0</v>
      </c>
      <c r="P83" s="918">
        <f t="shared" si="26"/>
        <v>0</v>
      </c>
      <c r="Q83" s="918">
        <f t="shared" si="27"/>
        <v>0</v>
      </c>
      <c r="R83" s="918">
        <f t="shared" si="28"/>
        <v>0</v>
      </c>
      <c r="S83" s="918">
        <f t="shared" si="63"/>
        <v>0</v>
      </c>
      <c r="T83" s="918">
        <f t="shared" si="64"/>
        <v>0</v>
      </c>
      <c r="U83" s="919">
        <f t="shared" si="65"/>
        <v>0</v>
      </c>
      <c r="V83" s="903"/>
      <c r="W83" s="884">
        <v>9.852216748768473E-3</v>
      </c>
      <c r="X83" s="887">
        <v>1</v>
      </c>
      <c r="Y83" s="886">
        <v>180</v>
      </c>
      <c r="Z83" s="887">
        <v>1</v>
      </c>
      <c r="AA83" s="905">
        <f t="shared" si="66"/>
        <v>1.7733990147783252</v>
      </c>
      <c r="AB83" s="888"/>
      <c r="AC83" s="905"/>
      <c r="AD83" s="889"/>
      <c r="AE83" s="890"/>
      <c r="AF83" s="891"/>
      <c r="AG83" s="890"/>
      <c r="AH83" s="892"/>
      <c r="AI83" s="890"/>
      <c r="AJ83" s="891"/>
      <c r="AK83" s="891"/>
      <c r="AL83" s="893">
        <f t="shared" si="80"/>
        <v>4931.5068493150684</v>
      </c>
      <c r="AM83" s="891">
        <v>0</v>
      </c>
      <c r="AN83" s="890">
        <v>0.1</v>
      </c>
      <c r="AO83" s="891">
        <v>0</v>
      </c>
      <c r="AP83" s="911">
        <f t="shared" si="67"/>
        <v>0</v>
      </c>
      <c r="AQ83" s="911">
        <f t="shared" si="68"/>
        <v>180</v>
      </c>
      <c r="AR83" s="911">
        <f t="shared" si="29"/>
        <v>180</v>
      </c>
      <c r="AS83" s="911">
        <f t="shared" si="69"/>
        <v>0</v>
      </c>
      <c r="AT83" s="911">
        <f t="shared" si="70"/>
        <v>1.7733990147783252</v>
      </c>
      <c r="AU83" s="912">
        <f t="shared" si="71"/>
        <v>1.7733990147783252</v>
      </c>
      <c r="AV83" s="890"/>
      <c r="AW83" s="895">
        <v>0.75</v>
      </c>
      <c r="AX83" s="895">
        <v>0.05</v>
      </c>
      <c r="AY83" s="913">
        <f t="shared" si="72"/>
        <v>1.3300492610837438</v>
      </c>
      <c r="AZ83" s="913">
        <f t="shared" si="73"/>
        <v>8.8669950738916259E-2</v>
      </c>
      <c r="BA83" s="890"/>
      <c r="BB83" s="911">
        <f t="shared" si="74"/>
        <v>0.88669950738916259</v>
      </c>
      <c r="BC83" s="911">
        <f t="shared" ref="BC83:BC97" si="81">AU83/4/3</f>
        <v>0.14778325123152711</v>
      </c>
      <c r="BD83" s="911">
        <f t="shared" ref="BD83:BD97" si="82">AU83/4/1920*1000</f>
        <v>0.23091133004926109</v>
      </c>
      <c r="BE83" s="911">
        <f t="shared" si="75"/>
        <v>1.8602216748768474</v>
      </c>
      <c r="BF83" s="911">
        <f t="shared" si="76"/>
        <v>0</v>
      </c>
      <c r="BG83" s="911">
        <f t="shared" si="77"/>
        <v>1.8602216748768474</v>
      </c>
      <c r="BH83" s="911">
        <f t="shared" si="78"/>
        <v>1.3951662561576357</v>
      </c>
      <c r="BI83" s="911">
        <f t="shared" si="79"/>
        <v>9.3011083743842371E-2</v>
      </c>
    </row>
    <row r="84" spans="2:61" s="896" customFormat="1">
      <c r="B84" s="914" t="s">
        <v>898</v>
      </c>
      <c r="C84" s="915"/>
      <c r="D84" s="916">
        <v>0</v>
      </c>
      <c r="E84" s="917">
        <v>0</v>
      </c>
      <c r="F84" s="917">
        <v>0</v>
      </c>
      <c r="G84" s="917">
        <v>0</v>
      </c>
      <c r="H84" s="918">
        <f t="shared" si="57"/>
        <v>0</v>
      </c>
      <c r="I84" s="918">
        <f t="shared" si="58"/>
        <v>0</v>
      </c>
      <c r="J84" s="901">
        <f t="shared" si="56"/>
        <v>0</v>
      </c>
      <c r="K84" s="918">
        <f t="shared" si="59"/>
        <v>0</v>
      </c>
      <c r="L84" s="918">
        <f t="shared" si="60"/>
        <v>0</v>
      </c>
      <c r="M84" s="918">
        <f t="shared" si="61"/>
        <v>0</v>
      </c>
      <c r="N84" s="918">
        <f t="shared" si="62"/>
        <v>0</v>
      </c>
      <c r="O84" s="918">
        <f t="shared" si="25"/>
        <v>0</v>
      </c>
      <c r="P84" s="918">
        <f t="shared" si="26"/>
        <v>0</v>
      </c>
      <c r="Q84" s="918">
        <f t="shared" si="27"/>
        <v>0</v>
      </c>
      <c r="R84" s="918">
        <f t="shared" si="28"/>
        <v>0</v>
      </c>
      <c r="S84" s="918">
        <f t="shared" si="63"/>
        <v>0</v>
      </c>
      <c r="T84" s="918">
        <f t="shared" si="64"/>
        <v>0</v>
      </c>
      <c r="U84" s="919">
        <f t="shared" si="65"/>
        <v>0</v>
      </c>
      <c r="V84" s="903"/>
      <c r="W84" s="884">
        <v>0.87684729064039413</v>
      </c>
      <c r="X84" s="887">
        <v>1</v>
      </c>
      <c r="Y84" s="886">
        <v>2</v>
      </c>
      <c r="Z84" s="887">
        <v>1</v>
      </c>
      <c r="AA84" s="905">
        <f t="shared" si="66"/>
        <v>1.7536945812807883</v>
      </c>
      <c r="AB84" s="888"/>
      <c r="AC84" s="905"/>
      <c r="AD84" s="889"/>
      <c r="AE84" s="890"/>
      <c r="AF84" s="891"/>
      <c r="AG84" s="890"/>
      <c r="AH84" s="892"/>
      <c r="AI84" s="890"/>
      <c r="AJ84" s="891"/>
      <c r="AK84" s="891"/>
      <c r="AL84" s="893">
        <f t="shared" si="80"/>
        <v>54.794520547945197</v>
      </c>
      <c r="AM84" s="891">
        <v>0</v>
      </c>
      <c r="AN84" s="890">
        <v>0.1</v>
      </c>
      <c r="AO84" s="891">
        <v>0</v>
      </c>
      <c r="AP84" s="911">
        <f t="shared" si="67"/>
        <v>0</v>
      </c>
      <c r="AQ84" s="911">
        <f t="shared" si="68"/>
        <v>2</v>
      </c>
      <c r="AR84" s="911">
        <f t="shared" si="29"/>
        <v>2</v>
      </c>
      <c r="AS84" s="911">
        <f t="shared" si="69"/>
        <v>0</v>
      </c>
      <c r="AT84" s="911">
        <f t="shared" si="70"/>
        <v>1.7536945812807883</v>
      </c>
      <c r="AU84" s="912">
        <f t="shared" si="71"/>
        <v>1.7536945812807883</v>
      </c>
      <c r="AV84" s="890"/>
      <c r="AW84" s="895">
        <v>1</v>
      </c>
      <c r="AX84" s="895">
        <v>0</v>
      </c>
      <c r="AY84" s="913">
        <f t="shared" si="72"/>
        <v>1.7536945812807883</v>
      </c>
      <c r="AZ84" s="913">
        <f t="shared" si="73"/>
        <v>0</v>
      </c>
      <c r="BA84" s="890"/>
      <c r="BB84" s="911">
        <f t="shared" si="74"/>
        <v>0.87684729064039413</v>
      </c>
      <c r="BC84" s="911">
        <f t="shared" si="81"/>
        <v>0.14614121510673236</v>
      </c>
      <c r="BD84" s="911">
        <f t="shared" si="82"/>
        <v>0.22834564860426931</v>
      </c>
      <c r="BE84" s="911">
        <f t="shared" si="75"/>
        <v>1.8395525451559935</v>
      </c>
      <c r="BF84" s="911">
        <f t="shared" si="76"/>
        <v>0</v>
      </c>
      <c r="BG84" s="911">
        <f t="shared" si="77"/>
        <v>1.8395525451559935</v>
      </c>
      <c r="BH84" s="911">
        <f t="shared" si="78"/>
        <v>1.8395525451559935</v>
      </c>
      <c r="BI84" s="911">
        <f t="shared" si="79"/>
        <v>0</v>
      </c>
    </row>
    <row r="85" spans="2:61" s="896" customFormat="1">
      <c r="B85" s="914" t="s">
        <v>899</v>
      </c>
      <c r="C85" s="915"/>
      <c r="D85" s="916">
        <v>0</v>
      </c>
      <c r="E85" s="917">
        <v>0</v>
      </c>
      <c r="F85" s="917">
        <v>0</v>
      </c>
      <c r="G85" s="917">
        <v>0</v>
      </c>
      <c r="H85" s="918">
        <f t="shared" si="57"/>
        <v>0</v>
      </c>
      <c r="I85" s="918">
        <f t="shared" si="58"/>
        <v>0</v>
      </c>
      <c r="J85" s="901">
        <f t="shared" si="56"/>
        <v>0</v>
      </c>
      <c r="K85" s="918">
        <f t="shared" si="59"/>
        <v>0</v>
      </c>
      <c r="L85" s="918">
        <f t="shared" si="60"/>
        <v>0</v>
      </c>
      <c r="M85" s="918">
        <f t="shared" si="61"/>
        <v>0</v>
      </c>
      <c r="N85" s="918">
        <f t="shared" si="62"/>
        <v>0</v>
      </c>
      <c r="O85" s="918">
        <f t="shared" si="25"/>
        <v>0</v>
      </c>
      <c r="P85" s="918">
        <f t="shared" si="26"/>
        <v>0</v>
      </c>
      <c r="Q85" s="918">
        <f t="shared" si="27"/>
        <v>0</v>
      </c>
      <c r="R85" s="918">
        <f t="shared" si="28"/>
        <v>0</v>
      </c>
      <c r="S85" s="918">
        <f t="shared" si="63"/>
        <v>0</v>
      </c>
      <c r="T85" s="918">
        <f t="shared" si="64"/>
        <v>0</v>
      </c>
      <c r="U85" s="919">
        <f t="shared" si="65"/>
        <v>0</v>
      </c>
      <c r="V85" s="903"/>
      <c r="W85" s="884">
        <v>0.25615763546798032</v>
      </c>
      <c r="X85" s="887">
        <v>1</v>
      </c>
      <c r="Y85" s="886">
        <v>6</v>
      </c>
      <c r="Z85" s="887">
        <v>1</v>
      </c>
      <c r="AA85" s="905">
        <f t="shared" si="66"/>
        <v>1.5369458128078819</v>
      </c>
      <c r="AB85" s="888"/>
      <c r="AC85" s="905"/>
      <c r="AD85" s="889"/>
      <c r="AE85" s="890"/>
      <c r="AF85" s="891"/>
      <c r="AG85" s="890"/>
      <c r="AH85" s="892"/>
      <c r="AI85" s="890"/>
      <c r="AJ85" s="891"/>
      <c r="AK85" s="891"/>
      <c r="AL85" s="893">
        <f t="shared" si="80"/>
        <v>164.38356164383563</v>
      </c>
      <c r="AM85" s="891">
        <v>0</v>
      </c>
      <c r="AN85" s="890">
        <v>0.1</v>
      </c>
      <c r="AO85" s="891">
        <v>0</v>
      </c>
      <c r="AP85" s="911">
        <f t="shared" si="67"/>
        <v>0</v>
      </c>
      <c r="AQ85" s="911">
        <f t="shared" si="68"/>
        <v>6.0000000000000009</v>
      </c>
      <c r="AR85" s="911">
        <f t="shared" si="29"/>
        <v>6.0000000000000009</v>
      </c>
      <c r="AS85" s="911">
        <f t="shared" si="69"/>
        <v>0</v>
      </c>
      <c r="AT85" s="911">
        <f t="shared" si="70"/>
        <v>1.5369458128078821</v>
      </c>
      <c r="AU85" s="912">
        <f t="shared" si="71"/>
        <v>1.5369458128078821</v>
      </c>
      <c r="AV85" s="890"/>
      <c r="AW85" s="895">
        <v>0.75</v>
      </c>
      <c r="AX85" s="895">
        <v>0.05</v>
      </c>
      <c r="AY85" s="913">
        <f t="shared" si="72"/>
        <v>1.1527093596059115</v>
      </c>
      <c r="AZ85" s="913">
        <f t="shared" si="73"/>
        <v>7.6847290640394111E-2</v>
      </c>
      <c r="BA85" s="890"/>
      <c r="BB85" s="911">
        <f t="shared" si="74"/>
        <v>0.76847290640394106</v>
      </c>
      <c r="BC85" s="911">
        <f t="shared" si="81"/>
        <v>0.12807881773399019</v>
      </c>
      <c r="BD85" s="911">
        <f t="shared" si="82"/>
        <v>0.20012315270935963</v>
      </c>
      <c r="BE85" s="911">
        <f t="shared" si="75"/>
        <v>1.6121921182266012</v>
      </c>
      <c r="BF85" s="911">
        <f t="shared" si="76"/>
        <v>0</v>
      </c>
      <c r="BG85" s="911">
        <f t="shared" si="77"/>
        <v>1.6121921182266012</v>
      </c>
      <c r="BH85" s="911">
        <f t="shared" si="78"/>
        <v>1.2091440886699509</v>
      </c>
      <c r="BI85" s="911">
        <f t="shared" si="79"/>
        <v>8.0609605911330068E-2</v>
      </c>
    </row>
    <row r="86" spans="2:61" s="896" customFormat="1">
      <c r="B86" s="914" t="s">
        <v>900</v>
      </c>
      <c r="C86" s="915"/>
      <c r="D86" s="916">
        <v>0</v>
      </c>
      <c r="E86" s="917">
        <v>0</v>
      </c>
      <c r="F86" s="917">
        <v>0</v>
      </c>
      <c r="G86" s="917">
        <v>0</v>
      </c>
      <c r="H86" s="918">
        <f t="shared" si="57"/>
        <v>0</v>
      </c>
      <c r="I86" s="918">
        <f t="shared" si="58"/>
        <v>0</v>
      </c>
      <c r="J86" s="901">
        <f t="shared" si="56"/>
        <v>0</v>
      </c>
      <c r="K86" s="918">
        <f t="shared" si="59"/>
        <v>0</v>
      </c>
      <c r="L86" s="918">
        <f t="shared" si="60"/>
        <v>0</v>
      </c>
      <c r="M86" s="918">
        <f t="shared" si="61"/>
        <v>0</v>
      </c>
      <c r="N86" s="918">
        <f t="shared" si="62"/>
        <v>0</v>
      </c>
      <c r="O86" s="918">
        <f t="shared" si="25"/>
        <v>0</v>
      </c>
      <c r="P86" s="918">
        <f t="shared" si="26"/>
        <v>0</v>
      </c>
      <c r="Q86" s="918">
        <f t="shared" si="27"/>
        <v>0</v>
      </c>
      <c r="R86" s="918">
        <f t="shared" si="28"/>
        <v>0</v>
      </c>
      <c r="S86" s="918">
        <f t="shared" si="63"/>
        <v>0</v>
      </c>
      <c r="T86" s="918">
        <f t="shared" si="64"/>
        <v>0</v>
      </c>
      <c r="U86" s="919">
        <f t="shared" si="65"/>
        <v>0</v>
      </c>
      <c r="V86" s="903"/>
      <c r="W86" s="884">
        <v>0.30541871921182268</v>
      </c>
      <c r="X86" s="887">
        <v>1</v>
      </c>
      <c r="Y86" s="886">
        <v>5</v>
      </c>
      <c r="Z86" s="887">
        <v>1</v>
      </c>
      <c r="AA86" s="905">
        <f t="shared" si="66"/>
        <v>1.5270935960591134</v>
      </c>
      <c r="AB86" s="888"/>
      <c r="AC86" s="905"/>
      <c r="AD86" s="889"/>
      <c r="AE86" s="890"/>
      <c r="AF86" s="891"/>
      <c r="AG86" s="890"/>
      <c r="AH86" s="892"/>
      <c r="AI86" s="890"/>
      <c r="AJ86" s="891"/>
      <c r="AK86" s="891"/>
      <c r="AL86" s="893">
        <f t="shared" si="80"/>
        <v>136.98630136986301</v>
      </c>
      <c r="AM86" s="891">
        <v>0</v>
      </c>
      <c r="AN86" s="890">
        <v>0.1</v>
      </c>
      <c r="AO86" s="891">
        <v>0</v>
      </c>
      <c r="AP86" s="911">
        <f t="shared" si="67"/>
        <v>0</v>
      </c>
      <c r="AQ86" s="911">
        <f t="shared" si="68"/>
        <v>5.0000000000000009</v>
      </c>
      <c r="AR86" s="911">
        <f t="shared" si="29"/>
        <v>5.0000000000000009</v>
      </c>
      <c r="AS86" s="911">
        <f t="shared" si="69"/>
        <v>0</v>
      </c>
      <c r="AT86" s="911">
        <f t="shared" si="70"/>
        <v>1.5270935960591137</v>
      </c>
      <c r="AU86" s="912">
        <f t="shared" si="71"/>
        <v>1.5270935960591137</v>
      </c>
      <c r="AV86" s="890"/>
      <c r="AW86" s="895">
        <v>0.4</v>
      </c>
      <c r="AX86" s="895">
        <v>0.4</v>
      </c>
      <c r="AY86" s="913">
        <f t="shared" si="72"/>
        <v>0.61083743842364546</v>
      </c>
      <c r="AZ86" s="913">
        <f t="shared" si="73"/>
        <v>0.61083743842364546</v>
      </c>
      <c r="BA86" s="890"/>
      <c r="BB86" s="911">
        <f t="shared" si="74"/>
        <v>0.76354679802955683</v>
      </c>
      <c r="BC86" s="911">
        <f t="shared" si="81"/>
        <v>0.12725779967159281</v>
      </c>
      <c r="BD86" s="911">
        <f t="shared" si="82"/>
        <v>0.19884031198686378</v>
      </c>
      <c r="BE86" s="911">
        <f t="shared" si="75"/>
        <v>1.6018575533661745</v>
      </c>
      <c r="BF86" s="911">
        <f t="shared" si="76"/>
        <v>0</v>
      </c>
      <c r="BG86" s="911">
        <f t="shared" si="77"/>
        <v>1.6018575533661747</v>
      </c>
      <c r="BH86" s="911">
        <f t="shared" si="78"/>
        <v>0.64074302134646988</v>
      </c>
      <c r="BI86" s="911">
        <f t="shared" si="79"/>
        <v>0.64074302134646988</v>
      </c>
    </row>
    <row r="87" spans="2:61" s="896" customFormat="1">
      <c r="B87" s="914" t="s">
        <v>901</v>
      </c>
      <c r="C87" s="915"/>
      <c r="D87" s="916">
        <v>0</v>
      </c>
      <c r="E87" s="917">
        <v>0</v>
      </c>
      <c r="F87" s="917">
        <v>0</v>
      </c>
      <c r="G87" s="917">
        <v>0</v>
      </c>
      <c r="H87" s="918">
        <f t="shared" si="57"/>
        <v>0</v>
      </c>
      <c r="I87" s="918">
        <f t="shared" si="58"/>
        <v>0</v>
      </c>
      <c r="J87" s="901">
        <f t="shared" si="56"/>
        <v>0</v>
      </c>
      <c r="K87" s="918">
        <f t="shared" si="59"/>
        <v>0</v>
      </c>
      <c r="L87" s="918">
        <f t="shared" si="60"/>
        <v>0</v>
      </c>
      <c r="M87" s="918">
        <f t="shared" si="61"/>
        <v>0</v>
      </c>
      <c r="N87" s="918">
        <f t="shared" si="62"/>
        <v>0</v>
      </c>
      <c r="O87" s="918">
        <f t="shared" si="25"/>
        <v>0</v>
      </c>
      <c r="P87" s="918">
        <f t="shared" si="26"/>
        <v>0</v>
      </c>
      <c r="Q87" s="918">
        <f t="shared" si="27"/>
        <v>0</v>
      </c>
      <c r="R87" s="918">
        <f t="shared" si="28"/>
        <v>0</v>
      </c>
      <c r="S87" s="918">
        <f t="shared" si="63"/>
        <v>0</v>
      </c>
      <c r="T87" s="918">
        <f t="shared" si="64"/>
        <v>0</v>
      </c>
      <c r="U87" s="919">
        <f t="shared" si="65"/>
        <v>0</v>
      </c>
      <c r="V87" s="903"/>
      <c r="W87" s="884">
        <v>6.8965517241379309E-2</v>
      </c>
      <c r="X87" s="887">
        <v>1</v>
      </c>
      <c r="Y87" s="886">
        <v>19</v>
      </c>
      <c r="Z87" s="887">
        <v>1</v>
      </c>
      <c r="AA87" s="905">
        <f t="shared" si="66"/>
        <v>1.3103448275862069</v>
      </c>
      <c r="AB87" s="888"/>
      <c r="AC87" s="905"/>
      <c r="AD87" s="889"/>
      <c r="AE87" s="890"/>
      <c r="AF87" s="891"/>
      <c r="AG87" s="890"/>
      <c r="AH87" s="892"/>
      <c r="AI87" s="890"/>
      <c r="AJ87" s="891"/>
      <c r="AK87" s="891"/>
      <c r="AL87" s="893">
        <f t="shared" si="80"/>
        <v>520.54794520547944</v>
      </c>
      <c r="AM87" s="891">
        <v>0</v>
      </c>
      <c r="AN87" s="890">
        <v>0.1</v>
      </c>
      <c r="AO87" s="891">
        <v>0</v>
      </c>
      <c r="AP87" s="911">
        <f t="shared" si="67"/>
        <v>0</v>
      </c>
      <c r="AQ87" s="911">
        <f t="shared" si="68"/>
        <v>19</v>
      </c>
      <c r="AR87" s="911">
        <f t="shared" si="29"/>
        <v>19</v>
      </c>
      <c r="AS87" s="911">
        <f t="shared" si="69"/>
        <v>0</v>
      </c>
      <c r="AT87" s="911">
        <f t="shared" si="70"/>
        <v>1.3103448275862069</v>
      </c>
      <c r="AU87" s="912">
        <f t="shared" si="71"/>
        <v>1.3103448275862069</v>
      </c>
      <c r="AV87" s="890"/>
      <c r="AW87" s="895">
        <v>0.4</v>
      </c>
      <c r="AX87" s="895">
        <v>0.2</v>
      </c>
      <c r="AY87" s="913">
        <f t="shared" si="72"/>
        <v>0.52413793103448281</v>
      </c>
      <c r="AZ87" s="913">
        <f t="shared" si="73"/>
        <v>0.2620689655172414</v>
      </c>
      <c r="BA87" s="890"/>
      <c r="BB87" s="911">
        <f t="shared" si="74"/>
        <v>0.65517241379310343</v>
      </c>
      <c r="BC87" s="911">
        <f t="shared" si="81"/>
        <v>0.10919540229885057</v>
      </c>
      <c r="BD87" s="911">
        <f t="shared" si="82"/>
        <v>0.17061781609195403</v>
      </c>
      <c r="BE87" s="911">
        <f t="shared" si="75"/>
        <v>1.3744971264367816</v>
      </c>
      <c r="BF87" s="911">
        <f t="shared" si="76"/>
        <v>0</v>
      </c>
      <c r="BG87" s="911">
        <f t="shared" si="77"/>
        <v>1.3744971264367816</v>
      </c>
      <c r="BH87" s="911">
        <f t="shared" si="78"/>
        <v>0.54979885057471267</v>
      </c>
      <c r="BI87" s="911">
        <f t="shared" si="79"/>
        <v>0.27489942528735634</v>
      </c>
    </row>
    <row r="88" spans="2:61" s="896" customFormat="1">
      <c r="B88" s="914" t="s">
        <v>129</v>
      </c>
      <c r="C88" s="915"/>
      <c r="D88" s="916">
        <v>0</v>
      </c>
      <c r="E88" s="917">
        <v>0</v>
      </c>
      <c r="F88" s="917">
        <v>0</v>
      </c>
      <c r="G88" s="917">
        <v>0</v>
      </c>
      <c r="H88" s="918">
        <f t="shared" si="57"/>
        <v>0</v>
      </c>
      <c r="I88" s="918">
        <f t="shared" si="58"/>
        <v>0</v>
      </c>
      <c r="J88" s="901">
        <f t="shared" si="56"/>
        <v>0</v>
      </c>
      <c r="K88" s="918">
        <f t="shared" si="59"/>
        <v>0</v>
      </c>
      <c r="L88" s="918">
        <f t="shared" si="60"/>
        <v>0</v>
      </c>
      <c r="M88" s="918">
        <f t="shared" si="61"/>
        <v>0</v>
      </c>
      <c r="N88" s="918">
        <f t="shared" si="62"/>
        <v>0</v>
      </c>
      <c r="O88" s="918">
        <f t="shared" si="25"/>
        <v>0</v>
      </c>
      <c r="P88" s="918">
        <f t="shared" si="26"/>
        <v>0</v>
      </c>
      <c r="Q88" s="918">
        <f t="shared" si="27"/>
        <v>0</v>
      </c>
      <c r="R88" s="918">
        <f t="shared" si="28"/>
        <v>0</v>
      </c>
      <c r="S88" s="918">
        <f t="shared" si="63"/>
        <v>0</v>
      </c>
      <c r="T88" s="918">
        <f t="shared" si="64"/>
        <v>0</v>
      </c>
      <c r="U88" s="919">
        <f t="shared" si="65"/>
        <v>0</v>
      </c>
      <c r="V88" s="903"/>
      <c r="W88" s="884">
        <v>6.0000000000000001E-3</v>
      </c>
      <c r="X88" s="887">
        <v>1</v>
      </c>
      <c r="Y88" s="886">
        <v>160</v>
      </c>
      <c r="Z88" s="887">
        <v>1</v>
      </c>
      <c r="AA88" s="905">
        <f t="shared" si="66"/>
        <v>0.96</v>
      </c>
      <c r="AB88" s="888"/>
      <c r="AC88" s="905"/>
      <c r="AD88" s="889"/>
      <c r="AE88" s="890"/>
      <c r="AF88" s="891"/>
      <c r="AG88" s="890"/>
      <c r="AH88" s="892"/>
      <c r="AI88" s="890"/>
      <c r="AJ88" s="891"/>
      <c r="AK88" s="891"/>
      <c r="AL88" s="893">
        <f t="shared" si="80"/>
        <v>4383.5616438356165</v>
      </c>
      <c r="AM88" s="891">
        <v>0</v>
      </c>
      <c r="AN88" s="890">
        <v>0.1</v>
      </c>
      <c r="AO88" s="891">
        <v>0</v>
      </c>
      <c r="AP88" s="911">
        <f t="shared" si="67"/>
        <v>0</v>
      </c>
      <c r="AQ88" s="911">
        <f t="shared" si="68"/>
        <v>160.00000000000003</v>
      </c>
      <c r="AR88" s="911">
        <f t="shared" si="29"/>
        <v>160.00000000000003</v>
      </c>
      <c r="AS88" s="911">
        <f t="shared" si="69"/>
        <v>0</v>
      </c>
      <c r="AT88" s="911">
        <f t="shared" si="70"/>
        <v>0.96000000000000019</v>
      </c>
      <c r="AU88" s="912">
        <f t="shared" si="71"/>
        <v>0.96000000000000019</v>
      </c>
      <c r="AV88" s="890"/>
      <c r="AW88" s="895">
        <v>0.4</v>
      </c>
      <c r="AX88" s="895">
        <v>0.2</v>
      </c>
      <c r="AY88" s="913">
        <f t="shared" si="72"/>
        <v>0.38400000000000012</v>
      </c>
      <c r="AZ88" s="913">
        <f t="shared" si="73"/>
        <v>0.19200000000000006</v>
      </c>
      <c r="BA88" s="890"/>
      <c r="BB88" s="911">
        <f t="shared" si="74"/>
        <v>0.48000000000000009</v>
      </c>
      <c r="BC88" s="911">
        <f t="shared" si="81"/>
        <v>8.0000000000000016E-2</v>
      </c>
      <c r="BD88" s="911">
        <f t="shared" si="82"/>
        <v>0.12500000000000003</v>
      </c>
      <c r="BE88" s="911">
        <f t="shared" si="75"/>
        <v>1.0070000000000003</v>
      </c>
      <c r="BF88" s="911">
        <f t="shared" si="76"/>
        <v>0</v>
      </c>
      <c r="BG88" s="911">
        <f t="shared" si="77"/>
        <v>1.0070000000000003</v>
      </c>
      <c r="BH88" s="911">
        <f t="shared" si="78"/>
        <v>0.40280000000000016</v>
      </c>
      <c r="BI88" s="911">
        <f t="shared" si="79"/>
        <v>0.20140000000000008</v>
      </c>
    </row>
    <row r="89" spans="2:61" s="896" customFormat="1">
      <c r="B89" s="914" t="s">
        <v>130</v>
      </c>
      <c r="C89" s="915"/>
      <c r="D89" s="916">
        <v>0</v>
      </c>
      <c r="E89" s="917">
        <v>0</v>
      </c>
      <c r="F89" s="917">
        <v>0</v>
      </c>
      <c r="G89" s="917">
        <v>0</v>
      </c>
      <c r="H89" s="918">
        <f t="shared" si="57"/>
        <v>0</v>
      </c>
      <c r="I89" s="918">
        <f t="shared" si="58"/>
        <v>0</v>
      </c>
      <c r="J89" s="901">
        <f t="shared" si="56"/>
        <v>0</v>
      </c>
      <c r="K89" s="918">
        <f t="shared" si="59"/>
        <v>0</v>
      </c>
      <c r="L89" s="918">
        <f t="shared" si="60"/>
        <v>0</v>
      </c>
      <c r="M89" s="918">
        <f t="shared" si="61"/>
        <v>0</v>
      </c>
      <c r="N89" s="918">
        <f t="shared" si="62"/>
        <v>0</v>
      </c>
      <c r="O89" s="918">
        <f t="shared" si="25"/>
        <v>0</v>
      </c>
      <c r="P89" s="918">
        <f t="shared" si="26"/>
        <v>0</v>
      </c>
      <c r="Q89" s="918">
        <f t="shared" si="27"/>
        <v>0</v>
      </c>
      <c r="R89" s="918">
        <f t="shared" si="28"/>
        <v>0</v>
      </c>
      <c r="S89" s="918">
        <f t="shared" si="63"/>
        <v>0</v>
      </c>
      <c r="T89" s="918">
        <f t="shared" si="64"/>
        <v>0</v>
      </c>
      <c r="U89" s="919">
        <f t="shared" si="65"/>
        <v>0</v>
      </c>
      <c r="V89" s="903"/>
      <c r="W89" s="884">
        <v>0.23645320197044334</v>
      </c>
      <c r="X89" s="887">
        <v>1</v>
      </c>
      <c r="Y89" s="886">
        <v>30</v>
      </c>
      <c r="Z89" s="887">
        <v>1</v>
      </c>
      <c r="AA89" s="905">
        <f t="shared" si="66"/>
        <v>7.0935960591132998</v>
      </c>
      <c r="AB89" s="888"/>
      <c r="AC89" s="905"/>
      <c r="AD89" s="889"/>
      <c r="AE89" s="890"/>
      <c r="AF89" s="891"/>
      <c r="AG89" s="890"/>
      <c r="AH89" s="892"/>
      <c r="AI89" s="890"/>
      <c r="AJ89" s="891"/>
      <c r="AK89" s="891"/>
      <c r="AL89" s="893">
        <f t="shared" si="80"/>
        <v>821.91780821917803</v>
      </c>
      <c r="AM89" s="891">
        <v>0</v>
      </c>
      <c r="AN89" s="890">
        <v>0.1</v>
      </c>
      <c r="AO89" s="891">
        <v>0</v>
      </c>
      <c r="AP89" s="911">
        <f t="shared" si="67"/>
        <v>0</v>
      </c>
      <c r="AQ89" s="911">
        <f t="shared" si="68"/>
        <v>29.999999999999996</v>
      </c>
      <c r="AR89" s="911">
        <f t="shared" si="29"/>
        <v>29.999999999999996</v>
      </c>
      <c r="AS89" s="911">
        <f t="shared" si="69"/>
        <v>0</v>
      </c>
      <c r="AT89" s="911">
        <f t="shared" si="70"/>
        <v>7.0935960591132989</v>
      </c>
      <c r="AU89" s="912">
        <f t="shared" si="71"/>
        <v>7.0935960591132989</v>
      </c>
      <c r="AV89" s="890"/>
      <c r="AW89" s="895">
        <v>0.75</v>
      </c>
      <c r="AX89" s="895">
        <v>0.05</v>
      </c>
      <c r="AY89" s="913">
        <f t="shared" si="72"/>
        <v>5.3201970443349742</v>
      </c>
      <c r="AZ89" s="913">
        <f t="shared" si="73"/>
        <v>0.35467980295566498</v>
      </c>
      <c r="BA89" s="890"/>
      <c r="BB89" s="911">
        <f t="shared" si="74"/>
        <v>3.5467980295566495</v>
      </c>
      <c r="BC89" s="911">
        <f t="shared" si="81"/>
        <v>0.59113300492610821</v>
      </c>
      <c r="BD89" s="911">
        <f t="shared" si="82"/>
        <v>0.92364532019704415</v>
      </c>
      <c r="BE89" s="911">
        <f t="shared" si="75"/>
        <v>7.4408866995073879</v>
      </c>
      <c r="BF89" s="911">
        <f t="shared" si="76"/>
        <v>0</v>
      </c>
      <c r="BG89" s="911">
        <f t="shared" si="77"/>
        <v>7.4408866995073879</v>
      </c>
      <c r="BH89" s="911">
        <f t="shared" si="78"/>
        <v>5.5806650246305409</v>
      </c>
      <c r="BI89" s="911">
        <f t="shared" si="79"/>
        <v>0.37204433497536943</v>
      </c>
    </row>
    <row r="90" spans="2:61" s="896" customFormat="1">
      <c r="B90" s="914" t="s">
        <v>131</v>
      </c>
      <c r="C90" s="915"/>
      <c r="D90" s="916">
        <v>0</v>
      </c>
      <c r="E90" s="917">
        <v>0</v>
      </c>
      <c r="F90" s="917">
        <v>0</v>
      </c>
      <c r="G90" s="917">
        <v>0</v>
      </c>
      <c r="H90" s="918">
        <f t="shared" si="57"/>
        <v>0</v>
      </c>
      <c r="I90" s="918">
        <f t="shared" si="58"/>
        <v>0</v>
      </c>
      <c r="J90" s="901">
        <f t="shared" si="56"/>
        <v>0</v>
      </c>
      <c r="K90" s="918">
        <f t="shared" si="59"/>
        <v>0</v>
      </c>
      <c r="L90" s="918">
        <f t="shared" si="60"/>
        <v>0</v>
      </c>
      <c r="M90" s="918">
        <f t="shared" si="61"/>
        <v>0</v>
      </c>
      <c r="N90" s="918">
        <f t="shared" si="62"/>
        <v>0</v>
      </c>
      <c r="O90" s="918">
        <f t="shared" si="25"/>
        <v>0</v>
      </c>
      <c r="P90" s="918">
        <f t="shared" si="26"/>
        <v>0</v>
      </c>
      <c r="Q90" s="918">
        <f t="shared" si="27"/>
        <v>0</v>
      </c>
      <c r="R90" s="918">
        <f t="shared" si="28"/>
        <v>0</v>
      </c>
      <c r="S90" s="918">
        <f t="shared" si="63"/>
        <v>0</v>
      </c>
      <c r="T90" s="918">
        <f t="shared" si="64"/>
        <v>0</v>
      </c>
      <c r="U90" s="919">
        <f t="shared" si="65"/>
        <v>0</v>
      </c>
      <c r="V90" s="903"/>
      <c r="W90" s="884">
        <v>0.41379310344827586</v>
      </c>
      <c r="X90" s="887">
        <v>1</v>
      </c>
      <c r="Y90" s="886">
        <v>1</v>
      </c>
      <c r="Z90" s="887">
        <v>1</v>
      </c>
      <c r="AA90" s="905">
        <f t="shared" si="66"/>
        <v>0.41379310344827586</v>
      </c>
      <c r="AB90" s="888"/>
      <c r="AC90" s="905"/>
      <c r="AD90" s="889"/>
      <c r="AE90" s="890"/>
      <c r="AF90" s="891"/>
      <c r="AG90" s="890"/>
      <c r="AH90" s="892"/>
      <c r="AI90" s="890"/>
      <c r="AJ90" s="891"/>
      <c r="AK90" s="891"/>
      <c r="AL90" s="893">
        <f t="shared" si="80"/>
        <v>27.397260273972599</v>
      </c>
      <c r="AM90" s="891">
        <v>0</v>
      </c>
      <c r="AN90" s="890">
        <v>0.1</v>
      </c>
      <c r="AO90" s="891">
        <v>0</v>
      </c>
      <c r="AP90" s="911">
        <f t="shared" si="67"/>
        <v>0</v>
      </c>
      <c r="AQ90" s="911">
        <f t="shared" si="68"/>
        <v>1</v>
      </c>
      <c r="AR90" s="911">
        <f t="shared" si="29"/>
        <v>1</v>
      </c>
      <c r="AS90" s="911">
        <f t="shared" si="69"/>
        <v>0</v>
      </c>
      <c r="AT90" s="911">
        <f t="shared" si="70"/>
        <v>0.41379310344827586</v>
      </c>
      <c r="AU90" s="912">
        <f t="shared" si="71"/>
        <v>0.41379310344827586</v>
      </c>
      <c r="AV90" s="890"/>
      <c r="AW90" s="895">
        <v>1</v>
      </c>
      <c r="AX90" s="895">
        <v>0</v>
      </c>
      <c r="AY90" s="913">
        <f t="shared" si="72"/>
        <v>0.41379310344827586</v>
      </c>
      <c r="AZ90" s="913">
        <f t="shared" si="73"/>
        <v>0</v>
      </c>
      <c r="BA90" s="890"/>
      <c r="BB90" s="911">
        <f t="shared" si="74"/>
        <v>0.20689655172413793</v>
      </c>
      <c r="BC90" s="911">
        <f t="shared" si="81"/>
        <v>3.4482758620689655E-2</v>
      </c>
      <c r="BD90" s="911">
        <f t="shared" si="82"/>
        <v>5.3879310344827583E-2</v>
      </c>
      <c r="BE90" s="911">
        <f t="shared" si="75"/>
        <v>0.43405172413793103</v>
      </c>
      <c r="BF90" s="911">
        <f t="shared" si="76"/>
        <v>0</v>
      </c>
      <c r="BG90" s="911">
        <f t="shared" si="77"/>
        <v>0.43405172413793108</v>
      </c>
      <c r="BH90" s="911">
        <f t="shared" si="78"/>
        <v>0.43405172413793103</v>
      </c>
      <c r="BI90" s="911">
        <f t="shared" si="79"/>
        <v>0</v>
      </c>
    </row>
    <row r="91" spans="2:61" s="896" customFormat="1">
      <c r="B91" s="914" t="s">
        <v>132</v>
      </c>
      <c r="C91" s="915"/>
      <c r="D91" s="916">
        <v>0</v>
      </c>
      <c r="E91" s="917">
        <v>0</v>
      </c>
      <c r="F91" s="917">
        <v>0</v>
      </c>
      <c r="G91" s="917">
        <v>0</v>
      </c>
      <c r="H91" s="918">
        <f t="shared" si="57"/>
        <v>0</v>
      </c>
      <c r="I91" s="918">
        <f t="shared" si="58"/>
        <v>0</v>
      </c>
      <c r="J91" s="901">
        <f t="shared" si="56"/>
        <v>0</v>
      </c>
      <c r="K91" s="918">
        <f t="shared" si="59"/>
        <v>0</v>
      </c>
      <c r="L91" s="918">
        <f t="shared" si="60"/>
        <v>0</v>
      </c>
      <c r="M91" s="918">
        <f t="shared" si="61"/>
        <v>0</v>
      </c>
      <c r="N91" s="918">
        <f t="shared" si="62"/>
        <v>0</v>
      </c>
      <c r="O91" s="918">
        <f t="shared" si="25"/>
        <v>0</v>
      </c>
      <c r="P91" s="918">
        <f t="shared" si="26"/>
        <v>0</v>
      </c>
      <c r="Q91" s="918">
        <f t="shared" si="27"/>
        <v>0</v>
      </c>
      <c r="R91" s="918">
        <f t="shared" si="28"/>
        <v>0</v>
      </c>
      <c r="S91" s="918">
        <f t="shared" si="63"/>
        <v>0</v>
      </c>
      <c r="T91" s="918">
        <f t="shared" si="64"/>
        <v>0</v>
      </c>
      <c r="U91" s="919">
        <f t="shared" si="65"/>
        <v>0</v>
      </c>
      <c r="V91" s="903"/>
      <c r="W91" s="884">
        <v>0.37438423645320196</v>
      </c>
      <c r="X91" s="887">
        <v>1</v>
      </c>
      <c r="Y91" s="886">
        <v>1</v>
      </c>
      <c r="Z91" s="887">
        <v>1</v>
      </c>
      <c r="AA91" s="905">
        <f t="shared" si="66"/>
        <v>0.37438423645320196</v>
      </c>
      <c r="AB91" s="888"/>
      <c r="AC91" s="905"/>
      <c r="AD91" s="889"/>
      <c r="AE91" s="890"/>
      <c r="AF91" s="891"/>
      <c r="AG91" s="890"/>
      <c r="AH91" s="892"/>
      <c r="AI91" s="890"/>
      <c r="AJ91" s="891"/>
      <c r="AK91" s="891"/>
      <c r="AL91" s="893">
        <f t="shared" si="80"/>
        <v>27.397260273972599</v>
      </c>
      <c r="AM91" s="891">
        <v>0</v>
      </c>
      <c r="AN91" s="890">
        <v>0.1</v>
      </c>
      <c r="AO91" s="891">
        <v>0</v>
      </c>
      <c r="AP91" s="911">
        <f t="shared" si="67"/>
        <v>0</v>
      </c>
      <c r="AQ91" s="911">
        <f t="shared" si="68"/>
        <v>1</v>
      </c>
      <c r="AR91" s="911">
        <f t="shared" si="29"/>
        <v>1</v>
      </c>
      <c r="AS91" s="911">
        <f t="shared" si="69"/>
        <v>0</v>
      </c>
      <c r="AT91" s="911">
        <f t="shared" si="70"/>
        <v>0.37438423645320196</v>
      </c>
      <c r="AU91" s="912">
        <f t="shared" si="71"/>
        <v>0.37438423645320196</v>
      </c>
      <c r="AV91" s="890"/>
      <c r="AW91" s="895">
        <v>1</v>
      </c>
      <c r="AX91" s="895">
        <v>0</v>
      </c>
      <c r="AY91" s="913">
        <f t="shared" si="72"/>
        <v>0.37438423645320196</v>
      </c>
      <c r="AZ91" s="913">
        <f t="shared" si="73"/>
        <v>0</v>
      </c>
      <c r="BA91" s="890"/>
      <c r="BB91" s="911">
        <f t="shared" si="74"/>
        <v>0.18719211822660098</v>
      </c>
      <c r="BC91" s="911">
        <f t="shared" si="81"/>
        <v>3.1198686371100164E-2</v>
      </c>
      <c r="BD91" s="911">
        <f t="shared" si="82"/>
        <v>4.8747947454844003E-2</v>
      </c>
      <c r="BE91" s="911">
        <f t="shared" si="75"/>
        <v>0.39271346469622331</v>
      </c>
      <c r="BF91" s="911">
        <f t="shared" si="76"/>
        <v>0</v>
      </c>
      <c r="BG91" s="911">
        <f t="shared" si="77"/>
        <v>0.39271346469622326</v>
      </c>
      <c r="BH91" s="911">
        <f t="shared" si="78"/>
        <v>0.39271346469622331</v>
      </c>
      <c r="BI91" s="911">
        <f t="shared" si="79"/>
        <v>0</v>
      </c>
    </row>
    <row r="92" spans="2:61" s="896" customFormat="1">
      <c r="B92" s="914" t="s">
        <v>133</v>
      </c>
      <c r="C92" s="915"/>
      <c r="D92" s="916">
        <v>0</v>
      </c>
      <c r="E92" s="917">
        <v>0</v>
      </c>
      <c r="F92" s="917">
        <v>0</v>
      </c>
      <c r="G92" s="917">
        <v>0</v>
      </c>
      <c r="H92" s="918">
        <f t="shared" si="57"/>
        <v>0</v>
      </c>
      <c r="I92" s="918">
        <f t="shared" si="58"/>
        <v>0</v>
      </c>
      <c r="J92" s="901">
        <f t="shared" si="56"/>
        <v>0</v>
      </c>
      <c r="K92" s="918">
        <f t="shared" si="59"/>
        <v>0</v>
      </c>
      <c r="L92" s="918">
        <f t="shared" si="60"/>
        <v>0</v>
      </c>
      <c r="M92" s="918">
        <f t="shared" si="61"/>
        <v>0</v>
      </c>
      <c r="N92" s="918">
        <f t="shared" si="62"/>
        <v>0</v>
      </c>
      <c r="O92" s="918">
        <f t="shared" si="25"/>
        <v>0</v>
      </c>
      <c r="P92" s="918">
        <f t="shared" si="26"/>
        <v>0</v>
      </c>
      <c r="Q92" s="918">
        <f t="shared" si="27"/>
        <v>0</v>
      </c>
      <c r="R92" s="918">
        <f t="shared" si="28"/>
        <v>0</v>
      </c>
      <c r="S92" s="918">
        <f t="shared" si="63"/>
        <v>0</v>
      </c>
      <c r="T92" s="918">
        <f t="shared" si="64"/>
        <v>0</v>
      </c>
      <c r="U92" s="919">
        <f t="shared" si="65"/>
        <v>0</v>
      </c>
      <c r="V92" s="903"/>
      <c r="W92" s="884">
        <v>0.01</v>
      </c>
      <c r="X92" s="887">
        <v>0</v>
      </c>
      <c r="Y92" s="886">
        <v>80</v>
      </c>
      <c r="Z92" s="887">
        <v>7</v>
      </c>
      <c r="AA92" s="905">
        <f t="shared" si="66"/>
        <v>0.8</v>
      </c>
      <c r="AB92" s="888"/>
      <c r="AC92" s="905"/>
      <c r="AD92" s="889"/>
      <c r="AE92" s="890"/>
      <c r="AF92" s="891"/>
      <c r="AG92" s="890"/>
      <c r="AH92" s="892"/>
      <c r="AI92" s="890"/>
      <c r="AJ92" s="891"/>
      <c r="AK92" s="891"/>
      <c r="AL92" s="893">
        <f t="shared" si="80"/>
        <v>2191.7808219178082</v>
      </c>
      <c r="AM92" s="891">
        <v>0</v>
      </c>
      <c r="AN92" s="890">
        <v>0.1</v>
      </c>
      <c r="AO92" s="891">
        <v>0</v>
      </c>
      <c r="AP92" s="911">
        <f t="shared" si="67"/>
        <v>0</v>
      </c>
      <c r="AQ92" s="911">
        <f t="shared" si="68"/>
        <v>80.000000000000014</v>
      </c>
      <c r="AR92" s="911">
        <f t="shared" si="29"/>
        <v>80.000000000000014</v>
      </c>
      <c r="AS92" s="911">
        <f t="shared" si="69"/>
        <v>0</v>
      </c>
      <c r="AT92" s="911">
        <f t="shared" si="70"/>
        <v>0.80000000000000016</v>
      </c>
      <c r="AU92" s="912">
        <f t="shared" si="71"/>
        <v>0.80000000000000016</v>
      </c>
      <c r="AV92" s="890"/>
      <c r="AW92" s="895">
        <v>0.75</v>
      </c>
      <c r="AX92" s="895">
        <v>0.05</v>
      </c>
      <c r="AY92" s="913">
        <f t="shared" si="72"/>
        <v>0.60000000000000009</v>
      </c>
      <c r="AZ92" s="913">
        <f t="shared" si="73"/>
        <v>4.0000000000000008E-2</v>
      </c>
      <c r="BA92" s="890"/>
      <c r="BB92" s="911">
        <f t="shared" si="74"/>
        <v>0.40000000000000008</v>
      </c>
      <c r="BC92" s="911">
        <f t="shared" si="81"/>
        <v>6.666666666666668E-2</v>
      </c>
      <c r="BD92" s="911">
        <f t="shared" si="82"/>
        <v>0.10416666666666669</v>
      </c>
      <c r="BE92" s="911">
        <f t="shared" si="75"/>
        <v>0.83916666666666684</v>
      </c>
      <c r="BF92" s="911">
        <f t="shared" si="76"/>
        <v>0</v>
      </c>
      <c r="BG92" s="911">
        <f t="shared" si="77"/>
        <v>0.83916666666666684</v>
      </c>
      <c r="BH92" s="911">
        <f t="shared" si="78"/>
        <v>0.62937500000000013</v>
      </c>
      <c r="BI92" s="911">
        <f t="shared" si="79"/>
        <v>4.1958333333333347E-2</v>
      </c>
    </row>
    <row r="93" spans="2:61" s="896" customFormat="1">
      <c r="B93" s="914" t="s">
        <v>134</v>
      </c>
      <c r="C93" s="915"/>
      <c r="D93" s="916">
        <v>0</v>
      </c>
      <c r="E93" s="917">
        <v>0</v>
      </c>
      <c r="F93" s="917">
        <v>0</v>
      </c>
      <c r="G93" s="917">
        <v>0</v>
      </c>
      <c r="H93" s="918">
        <f t="shared" si="57"/>
        <v>0</v>
      </c>
      <c r="I93" s="918">
        <f t="shared" si="58"/>
        <v>0</v>
      </c>
      <c r="J93" s="901">
        <f t="shared" si="56"/>
        <v>0</v>
      </c>
      <c r="K93" s="918">
        <f t="shared" si="59"/>
        <v>0</v>
      </c>
      <c r="L93" s="918">
        <f t="shared" si="60"/>
        <v>0</v>
      </c>
      <c r="M93" s="918">
        <f t="shared" si="61"/>
        <v>0</v>
      </c>
      <c r="N93" s="918">
        <f t="shared" si="62"/>
        <v>0</v>
      </c>
      <c r="O93" s="918">
        <f t="shared" si="25"/>
        <v>0</v>
      </c>
      <c r="P93" s="918">
        <f t="shared" si="26"/>
        <v>0</v>
      </c>
      <c r="Q93" s="918">
        <f t="shared" si="27"/>
        <v>0</v>
      </c>
      <c r="R93" s="918">
        <f t="shared" si="28"/>
        <v>0</v>
      </c>
      <c r="S93" s="918">
        <f t="shared" si="63"/>
        <v>0</v>
      </c>
      <c r="T93" s="918">
        <f t="shared" si="64"/>
        <v>0</v>
      </c>
      <c r="U93" s="919">
        <f t="shared" si="65"/>
        <v>0</v>
      </c>
      <c r="V93" s="903"/>
      <c r="W93" s="884">
        <v>0.14778325123152711</v>
      </c>
      <c r="X93" s="887">
        <v>1</v>
      </c>
      <c r="Y93" s="886">
        <v>20</v>
      </c>
      <c r="Z93" s="887">
        <v>1</v>
      </c>
      <c r="AA93" s="905">
        <f t="shared" si="66"/>
        <v>2.9556650246305423</v>
      </c>
      <c r="AB93" s="888"/>
      <c r="AC93" s="905"/>
      <c r="AD93" s="889"/>
      <c r="AE93" s="890"/>
      <c r="AF93" s="891"/>
      <c r="AG93" s="890"/>
      <c r="AH93" s="892"/>
      <c r="AI93" s="890"/>
      <c r="AJ93" s="891"/>
      <c r="AK93" s="891"/>
      <c r="AL93" s="893">
        <f t="shared" si="80"/>
        <v>547.94520547945206</v>
      </c>
      <c r="AM93" s="891">
        <v>0</v>
      </c>
      <c r="AN93" s="890">
        <v>0.1</v>
      </c>
      <c r="AO93" s="891">
        <v>0</v>
      </c>
      <c r="AP93" s="911">
        <f t="shared" si="67"/>
        <v>0</v>
      </c>
      <c r="AQ93" s="911">
        <f t="shared" si="68"/>
        <v>20.000000000000004</v>
      </c>
      <c r="AR93" s="911">
        <f t="shared" si="29"/>
        <v>20.000000000000004</v>
      </c>
      <c r="AS93" s="911">
        <f t="shared" si="69"/>
        <v>0</v>
      </c>
      <c r="AT93" s="911">
        <f t="shared" si="70"/>
        <v>2.9556650246305427</v>
      </c>
      <c r="AU93" s="912">
        <f t="shared" si="71"/>
        <v>2.9556650246305427</v>
      </c>
      <c r="AV93" s="890"/>
      <c r="AW93" s="895">
        <v>0.75</v>
      </c>
      <c r="AX93" s="895">
        <v>0.05</v>
      </c>
      <c r="AY93" s="913">
        <f t="shared" si="72"/>
        <v>2.216748768472907</v>
      </c>
      <c r="AZ93" s="913">
        <f t="shared" si="73"/>
        <v>0.14778325123152714</v>
      </c>
      <c r="BA93" s="890"/>
      <c r="BB93" s="911">
        <f t="shared" si="74"/>
        <v>1.4778325123152714</v>
      </c>
      <c r="BC93" s="911">
        <f t="shared" si="81"/>
        <v>0.24630541871921188</v>
      </c>
      <c r="BD93" s="911">
        <f t="shared" si="82"/>
        <v>0.38485221674876857</v>
      </c>
      <c r="BE93" s="911">
        <f t="shared" si="75"/>
        <v>3.1003694581280796</v>
      </c>
      <c r="BF93" s="911">
        <f t="shared" si="76"/>
        <v>0</v>
      </c>
      <c r="BG93" s="911">
        <f t="shared" si="77"/>
        <v>3.1003694581280796</v>
      </c>
      <c r="BH93" s="911">
        <f t="shared" si="78"/>
        <v>2.3252770935960596</v>
      </c>
      <c r="BI93" s="911">
        <f t="shared" si="79"/>
        <v>0.155018472906404</v>
      </c>
    </row>
    <row r="94" spans="2:61" s="896" customFormat="1">
      <c r="B94" s="914" t="s">
        <v>1139</v>
      </c>
      <c r="C94" s="915"/>
      <c r="D94" s="916">
        <v>0</v>
      </c>
      <c r="E94" s="917">
        <v>0</v>
      </c>
      <c r="F94" s="917">
        <v>0</v>
      </c>
      <c r="G94" s="917">
        <v>0</v>
      </c>
      <c r="H94" s="918">
        <f t="shared" si="57"/>
        <v>0</v>
      </c>
      <c r="I94" s="918">
        <f t="shared" si="58"/>
        <v>0</v>
      </c>
      <c r="J94" s="901">
        <f t="shared" si="56"/>
        <v>0</v>
      </c>
      <c r="K94" s="918">
        <f t="shared" si="59"/>
        <v>0</v>
      </c>
      <c r="L94" s="918">
        <f t="shared" si="60"/>
        <v>0</v>
      </c>
      <c r="M94" s="918">
        <f t="shared" si="61"/>
        <v>0</v>
      </c>
      <c r="N94" s="918">
        <f t="shared" si="62"/>
        <v>0</v>
      </c>
      <c r="O94" s="918">
        <f t="shared" si="25"/>
        <v>0</v>
      </c>
      <c r="P94" s="918">
        <f t="shared" si="26"/>
        <v>0</v>
      </c>
      <c r="Q94" s="918">
        <f t="shared" si="27"/>
        <v>0</v>
      </c>
      <c r="R94" s="918">
        <f t="shared" si="28"/>
        <v>0</v>
      </c>
      <c r="S94" s="918">
        <f t="shared" si="63"/>
        <v>0</v>
      </c>
      <c r="T94" s="918">
        <f t="shared" si="64"/>
        <v>0</v>
      </c>
      <c r="U94" s="919">
        <f t="shared" si="65"/>
        <v>0</v>
      </c>
      <c r="V94" s="903"/>
      <c r="W94" s="884">
        <v>9.852216748768473E-3</v>
      </c>
      <c r="X94" s="887">
        <v>1</v>
      </c>
      <c r="Y94" s="886">
        <v>300</v>
      </c>
      <c r="Z94" s="887">
        <v>1</v>
      </c>
      <c r="AA94" s="905">
        <f t="shared" si="66"/>
        <v>2.9556650246305418</v>
      </c>
      <c r="AB94" s="888"/>
      <c r="AC94" s="893">
        <f>Y94*1000/365/24</f>
        <v>34.246575342465754</v>
      </c>
      <c r="AD94" s="889"/>
      <c r="AE94" s="890">
        <v>24</v>
      </c>
      <c r="AF94" s="891"/>
      <c r="AG94" s="890"/>
      <c r="AH94" s="892"/>
      <c r="AI94" s="890"/>
      <c r="AJ94" s="891"/>
      <c r="AK94" s="891"/>
      <c r="AL94" s="893"/>
      <c r="AM94" s="891"/>
      <c r="AN94" s="890"/>
      <c r="AO94" s="891"/>
      <c r="AP94" s="911">
        <f t="shared" si="67"/>
        <v>300</v>
      </c>
      <c r="AQ94" s="911">
        <f t="shared" si="68"/>
        <v>0</v>
      </c>
      <c r="AR94" s="911">
        <f t="shared" si="29"/>
        <v>300</v>
      </c>
      <c r="AS94" s="911">
        <f t="shared" si="69"/>
        <v>2.9556650246305418</v>
      </c>
      <c r="AT94" s="911">
        <f t="shared" si="70"/>
        <v>0</v>
      </c>
      <c r="AU94" s="912">
        <f t="shared" si="71"/>
        <v>2.9556650246305418</v>
      </c>
      <c r="AV94" s="890"/>
      <c r="AW94" s="895">
        <v>1</v>
      </c>
      <c r="AX94" s="895">
        <v>0</v>
      </c>
      <c r="AY94" s="913">
        <f t="shared" si="72"/>
        <v>2.9556650246305418</v>
      </c>
      <c r="AZ94" s="913">
        <f t="shared" si="73"/>
        <v>0</v>
      </c>
      <c r="BA94" s="890"/>
      <c r="BB94" s="911">
        <f t="shared" si="74"/>
        <v>1.4778325123152709</v>
      </c>
      <c r="BC94" s="911">
        <f t="shared" si="81"/>
        <v>0.24630541871921183</v>
      </c>
      <c r="BD94" s="911">
        <f t="shared" si="82"/>
        <v>0.38485221674876852</v>
      </c>
      <c r="BE94" s="911">
        <f t="shared" si="75"/>
        <v>3.1003694581280792</v>
      </c>
      <c r="BF94" s="911">
        <f t="shared" si="76"/>
        <v>3.1003694581280792</v>
      </c>
      <c r="BG94" s="911">
        <f t="shared" si="77"/>
        <v>0</v>
      </c>
      <c r="BH94" s="911">
        <f t="shared" si="78"/>
        <v>3.1003694581280792</v>
      </c>
      <c r="BI94" s="911">
        <f t="shared" si="79"/>
        <v>0</v>
      </c>
    </row>
    <row r="95" spans="2:61" s="896" customFormat="1">
      <c r="B95" s="914" t="s">
        <v>16</v>
      </c>
      <c r="C95" s="915"/>
      <c r="D95" s="916">
        <v>0</v>
      </c>
      <c r="E95" s="917">
        <v>0</v>
      </c>
      <c r="F95" s="917">
        <v>0</v>
      </c>
      <c r="G95" s="917">
        <v>0</v>
      </c>
      <c r="H95" s="918">
        <f t="shared" si="57"/>
        <v>0</v>
      </c>
      <c r="I95" s="918">
        <f t="shared" si="58"/>
        <v>0</v>
      </c>
      <c r="J95" s="901">
        <f t="shared" si="56"/>
        <v>0</v>
      </c>
      <c r="K95" s="918">
        <f t="shared" si="59"/>
        <v>0</v>
      </c>
      <c r="L95" s="918">
        <f t="shared" si="60"/>
        <v>0</v>
      </c>
      <c r="M95" s="918">
        <f t="shared" si="61"/>
        <v>0</v>
      </c>
      <c r="N95" s="918">
        <f t="shared" si="62"/>
        <v>0</v>
      </c>
      <c r="O95" s="918">
        <f t="shared" si="25"/>
        <v>0</v>
      </c>
      <c r="P95" s="918">
        <f t="shared" si="26"/>
        <v>0</v>
      </c>
      <c r="Q95" s="918">
        <f t="shared" si="27"/>
        <v>0</v>
      </c>
      <c r="R95" s="918">
        <f t="shared" si="28"/>
        <v>0</v>
      </c>
      <c r="S95" s="918">
        <f t="shared" si="63"/>
        <v>0</v>
      </c>
      <c r="T95" s="918">
        <f t="shared" si="64"/>
        <v>0</v>
      </c>
      <c r="U95" s="919">
        <f t="shared" si="65"/>
        <v>0</v>
      </c>
      <c r="V95" s="903"/>
      <c r="W95" s="884">
        <v>9.852216748768473E-3</v>
      </c>
      <c r="X95" s="887">
        <v>1</v>
      </c>
      <c r="Y95" s="886">
        <v>50</v>
      </c>
      <c r="Z95" s="887">
        <v>1</v>
      </c>
      <c r="AA95" s="905">
        <f t="shared" si="66"/>
        <v>0.49261083743842365</v>
      </c>
      <c r="AB95" s="888"/>
      <c r="AC95" s="905"/>
      <c r="AD95" s="889"/>
      <c r="AE95" s="890"/>
      <c r="AF95" s="891"/>
      <c r="AG95" s="890"/>
      <c r="AH95" s="892"/>
      <c r="AI95" s="890"/>
      <c r="AJ95" s="891"/>
      <c r="AK95" s="891"/>
      <c r="AL95" s="893">
        <f>Y95*1000/365/0.1</f>
        <v>1369.8630136986301</v>
      </c>
      <c r="AM95" s="891">
        <v>0</v>
      </c>
      <c r="AN95" s="890">
        <v>0.1</v>
      </c>
      <c r="AO95" s="891">
        <v>0</v>
      </c>
      <c r="AP95" s="911">
        <f t="shared" si="67"/>
        <v>0</v>
      </c>
      <c r="AQ95" s="911">
        <f t="shared" si="68"/>
        <v>50</v>
      </c>
      <c r="AR95" s="911">
        <f t="shared" si="29"/>
        <v>50</v>
      </c>
      <c r="AS95" s="911">
        <f t="shared" si="69"/>
        <v>0</v>
      </c>
      <c r="AT95" s="911">
        <f t="shared" si="70"/>
        <v>0.49261083743842365</v>
      </c>
      <c r="AU95" s="912">
        <f t="shared" si="71"/>
        <v>0.49261083743842365</v>
      </c>
      <c r="AV95" s="890"/>
      <c r="AW95" s="895">
        <v>1</v>
      </c>
      <c r="AX95" s="895">
        <v>0</v>
      </c>
      <c r="AY95" s="913">
        <f t="shared" si="72"/>
        <v>0.49261083743842365</v>
      </c>
      <c r="AZ95" s="913">
        <f t="shared" si="73"/>
        <v>0</v>
      </c>
      <c r="BA95" s="890"/>
      <c r="BB95" s="911">
        <f t="shared" si="74"/>
        <v>0.24630541871921183</v>
      </c>
      <c r="BC95" s="911">
        <f t="shared" si="81"/>
        <v>4.1050903119868636E-2</v>
      </c>
      <c r="BD95" s="911">
        <f t="shared" si="82"/>
        <v>6.4142036124794743E-2</v>
      </c>
      <c r="BE95" s="911">
        <f t="shared" si="75"/>
        <v>0.51672824302134646</v>
      </c>
      <c r="BF95" s="911">
        <f t="shared" si="76"/>
        <v>0</v>
      </c>
      <c r="BG95" s="911">
        <f t="shared" si="77"/>
        <v>0.51672824302134646</v>
      </c>
      <c r="BH95" s="911">
        <f t="shared" si="78"/>
        <v>0.51672824302134646</v>
      </c>
      <c r="BI95" s="911">
        <f t="shared" si="79"/>
        <v>0</v>
      </c>
    </row>
    <row r="96" spans="2:61" s="896" customFormat="1" ht="13.5" customHeight="1">
      <c r="B96" s="914" t="s">
        <v>17</v>
      </c>
      <c r="C96" s="915"/>
      <c r="D96" s="916">
        <v>0</v>
      </c>
      <c r="E96" s="917">
        <v>0</v>
      </c>
      <c r="F96" s="917">
        <v>0</v>
      </c>
      <c r="G96" s="917">
        <v>0</v>
      </c>
      <c r="H96" s="918">
        <f t="shared" si="57"/>
        <v>0</v>
      </c>
      <c r="I96" s="918">
        <f t="shared" si="58"/>
        <v>0</v>
      </c>
      <c r="J96" s="901">
        <f t="shared" si="56"/>
        <v>0</v>
      </c>
      <c r="K96" s="918">
        <f t="shared" si="59"/>
        <v>0</v>
      </c>
      <c r="L96" s="918">
        <f t="shared" si="60"/>
        <v>0</v>
      </c>
      <c r="M96" s="918">
        <f t="shared" si="61"/>
        <v>0</v>
      </c>
      <c r="N96" s="918">
        <f t="shared" si="62"/>
        <v>0</v>
      </c>
      <c r="O96" s="918">
        <f t="shared" si="25"/>
        <v>0</v>
      </c>
      <c r="P96" s="918">
        <f t="shared" si="26"/>
        <v>0</v>
      </c>
      <c r="Q96" s="918">
        <f t="shared" si="27"/>
        <v>0</v>
      </c>
      <c r="R96" s="918">
        <f t="shared" si="28"/>
        <v>0</v>
      </c>
      <c r="S96" s="918">
        <f t="shared" si="63"/>
        <v>0</v>
      </c>
      <c r="T96" s="918">
        <f t="shared" si="64"/>
        <v>0</v>
      </c>
      <c r="U96" s="919">
        <f t="shared" si="65"/>
        <v>0</v>
      </c>
      <c r="V96" s="903"/>
      <c r="W96" s="884">
        <v>0.58128078817733986</v>
      </c>
      <c r="X96" s="887">
        <v>1</v>
      </c>
      <c r="Y96" s="886">
        <v>16</v>
      </c>
      <c r="Z96" s="887">
        <v>1</v>
      </c>
      <c r="AA96" s="905">
        <f t="shared" si="66"/>
        <v>9.3004926108374377</v>
      </c>
      <c r="AB96" s="888"/>
      <c r="AC96" s="905"/>
      <c r="AD96" s="889"/>
      <c r="AE96" s="890"/>
      <c r="AF96" s="891"/>
      <c r="AG96" s="890"/>
      <c r="AH96" s="892"/>
      <c r="AI96" s="890"/>
      <c r="AJ96" s="891"/>
      <c r="AK96" s="891"/>
      <c r="AL96" s="893">
        <f>Y96*1000/365/0.1</f>
        <v>438.35616438356158</v>
      </c>
      <c r="AM96" s="891">
        <v>0</v>
      </c>
      <c r="AN96" s="890">
        <v>0.1</v>
      </c>
      <c r="AO96" s="891">
        <v>0</v>
      </c>
      <c r="AP96" s="911">
        <f t="shared" si="67"/>
        <v>0</v>
      </c>
      <c r="AQ96" s="911">
        <f t="shared" si="68"/>
        <v>16</v>
      </c>
      <c r="AR96" s="911">
        <f t="shared" si="29"/>
        <v>16</v>
      </c>
      <c r="AS96" s="911">
        <f t="shared" si="69"/>
        <v>0</v>
      </c>
      <c r="AT96" s="911">
        <f t="shared" si="70"/>
        <v>9.3004926108374377</v>
      </c>
      <c r="AU96" s="912">
        <f t="shared" si="71"/>
        <v>9.3004926108374377</v>
      </c>
      <c r="AV96" s="890"/>
      <c r="AW96" s="895">
        <v>0.75</v>
      </c>
      <c r="AX96" s="895">
        <v>0.05</v>
      </c>
      <c r="AY96" s="913">
        <f t="shared" si="72"/>
        <v>6.9753694581280783</v>
      </c>
      <c r="AZ96" s="913">
        <f t="shared" si="73"/>
        <v>0.46502463054187193</v>
      </c>
      <c r="BA96" s="890"/>
      <c r="BB96" s="911">
        <f t="shared" si="74"/>
        <v>4.6502463054187189</v>
      </c>
      <c r="BC96" s="911">
        <f t="shared" si="81"/>
        <v>0.77504105090311981</v>
      </c>
      <c r="BD96" s="911">
        <f t="shared" si="82"/>
        <v>1.2110016420361247</v>
      </c>
      <c r="BE96" s="911">
        <f t="shared" si="75"/>
        <v>9.7558292282430212</v>
      </c>
      <c r="BF96" s="911">
        <f t="shared" si="76"/>
        <v>0</v>
      </c>
      <c r="BG96" s="911">
        <f t="shared" si="77"/>
        <v>9.7558292282430212</v>
      </c>
      <c r="BH96" s="911">
        <f t="shared" si="78"/>
        <v>7.3168719211822655</v>
      </c>
      <c r="BI96" s="911">
        <f t="shared" si="79"/>
        <v>0.48779146141215107</v>
      </c>
    </row>
    <row r="97" spans="2:61" s="896" customFormat="1" ht="13.5" thickBot="1">
      <c r="B97" s="922" t="s">
        <v>813</v>
      </c>
      <c r="C97" s="923"/>
      <c r="D97" s="924">
        <v>0</v>
      </c>
      <c r="E97" s="925">
        <v>0</v>
      </c>
      <c r="F97" s="925">
        <v>0</v>
      </c>
      <c r="G97" s="925">
        <v>0</v>
      </c>
      <c r="H97" s="926">
        <f t="shared" si="57"/>
        <v>0</v>
      </c>
      <c r="I97" s="926">
        <f t="shared" si="58"/>
        <v>0</v>
      </c>
      <c r="J97" s="901">
        <f t="shared" si="56"/>
        <v>0</v>
      </c>
      <c r="K97" s="926">
        <f t="shared" si="59"/>
        <v>0</v>
      </c>
      <c r="L97" s="926">
        <f t="shared" si="60"/>
        <v>0</v>
      </c>
      <c r="M97" s="926">
        <f t="shared" si="61"/>
        <v>0</v>
      </c>
      <c r="N97" s="926">
        <f t="shared" si="62"/>
        <v>0</v>
      </c>
      <c r="O97" s="926">
        <f t="shared" si="25"/>
        <v>0</v>
      </c>
      <c r="P97" s="926">
        <f t="shared" si="26"/>
        <v>0</v>
      </c>
      <c r="Q97" s="926">
        <f t="shared" si="27"/>
        <v>0</v>
      </c>
      <c r="R97" s="926">
        <f t="shared" si="28"/>
        <v>0</v>
      </c>
      <c r="S97" s="926">
        <f t="shared" si="63"/>
        <v>0</v>
      </c>
      <c r="T97" s="926">
        <f t="shared" si="64"/>
        <v>0</v>
      </c>
      <c r="U97" s="927">
        <f t="shared" si="65"/>
        <v>0</v>
      </c>
      <c r="V97" s="903"/>
      <c r="W97" s="884">
        <v>1E-3</v>
      </c>
      <c r="X97" s="887">
        <v>0</v>
      </c>
      <c r="Y97" s="886">
        <v>0</v>
      </c>
      <c r="Z97" s="887">
        <v>0</v>
      </c>
      <c r="AA97" s="928">
        <f t="shared" si="66"/>
        <v>0</v>
      </c>
      <c r="AB97" s="929"/>
      <c r="AC97" s="928">
        <v>0</v>
      </c>
      <c r="AD97" s="930">
        <v>0</v>
      </c>
      <c r="AE97" s="931">
        <v>0</v>
      </c>
      <c r="AF97" s="932">
        <v>0</v>
      </c>
      <c r="AG97" s="931">
        <v>0</v>
      </c>
      <c r="AH97" s="933">
        <v>0</v>
      </c>
      <c r="AI97" s="931">
        <v>0</v>
      </c>
      <c r="AJ97" s="932">
        <v>0</v>
      </c>
      <c r="AK97" s="932"/>
      <c r="AL97" s="931">
        <v>0</v>
      </c>
      <c r="AM97" s="932">
        <v>0</v>
      </c>
      <c r="AN97" s="931">
        <v>0</v>
      </c>
      <c r="AO97" s="932">
        <v>0</v>
      </c>
      <c r="AP97" s="911">
        <f t="shared" si="67"/>
        <v>0</v>
      </c>
      <c r="AQ97" s="911">
        <f t="shared" si="68"/>
        <v>0</v>
      </c>
      <c r="AR97" s="911">
        <f t="shared" si="29"/>
        <v>0</v>
      </c>
      <c r="AS97" s="911">
        <f t="shared" si="69"/>
        <v>0</v>
      </c>
      <c r="AT97" s="911">
        <f t="shared" si="70"/>
        <v>0</v>
      </c>
      <c r="AU97" s="912">
        <f t="shared" si="71"/>
        <v>0</v>
      </c>
      <c r="AV97" s="890"/>
      <c r="AW97" s="895">
        <v>1</v>
      </c>
      <c r="AX97" s="895">
        <v>0</v>
      </c>
      <c r="AY97" s="913">
        <f t="shared" si="72"/>
        <v>0</v>
      </c>
      <c r="AZ97" s="913">
        <f t="shared" si="73"/>
        <v>0</v>
      </c>
      <c r="BA97" s="890"/>
      <c r="BB97" s="911">
        <f t="shared" si="74"/>
        <v>0</v>
      </c>
      <c r="BC97" s="911">
        <f t="shared" si="81"/>
        <v>0</v>
      </c>
      <c r="BD97" s="911">
        <f t="shared" si="82"/>
        <v>0</v>
      </c>
      <c r="BE97" s="911">
        <f t="shared" si="75"/>
        <v>0</v>
      </c>
      <c r="BF97" s="911">
        <f>IF(D97=0,0,(BB97+BC97*C$5+BD97/1000*C$4)*AS97/AU97)</f>
        <v>0</v>
      </c>
      <c r="BG97" s="911">
        <f>IF(D97=0,0,(BB97+BC97*C$5+BD97/1000*C$4)*AT97/AU97)</f>
        <v>0</v>
      </c>
      <c r="BH97" s="911">
        <f t="shared" si="78"/>
        <v>0</v>
      </c>
      <c r="BI97" s="911">
        <f t="shared" si="79"/>
        <v>0</v>
      </c>
    </row>
    <row r="98" spans="2:61" s="896" customFormat="1" ht="13.5" thickBot="1">
      <c r="B98" s="965" t="s">
        <v>18</v>
      </c>
      <c r="C98" s="934"/>
      <c r="D98" s="935"/>
      <c r="E98" s="936"/>
      <c r="F98" s="936"/>
      <c r="G98" s="936"/>
      <c r="H98" s="937"/>
      <c r="I98" s="937"/>
      <c r="J98" s="937"/>
      <c r="K98" s="937"/>
      <c r="L98" s="937"/>
      <c r="M98" s="937"/>
      <c r="N98" s="937"/>
      <c r="O98" s="937"/>
      <c r="P98" s="937"/>
      <c r="Q98" s="937"/>
      <c r="R98" s="937"/>
      <c r="S98" s="937"/>
      <c r="T98" s="937"/>
      <c r="U98" s="938"/>
      <c r="V98" s="883"/>
      <c r="W98" s="884"/>
      <c r="X98" s="887"/>
      <c r="Y98" s="886"/>
      <c r="Z98" s="887"/>
      <c r="AA98" s="905"/>
      <c r="AB98" s="888"/>
      <c r="AC98" s="905"/>
      <c r="AD98" s="889"/>
      <c r="AE98" s="890"/>
      <c r="AF98" s="891"/>
      <c r="AG98" s="890"/>
      <c r="AH98" s="892"/>
      <c r="AI98" s="890"/>
      <c r="AJ98" s="891"/>
      <c r="AK98" s="891"/>
      <c r="AL98" s="890"/>
      <c r="AM98" s="891"/>
      <c r="AN98" s="890"/>
      <c r="AO98" s="891"/>
      <c r="AP98" s="911"/>
      <c r="AQ98" s="911"/>
      <c r="AR98" s="911">
        <f t="shared" si="29"/>
        <v>0</v>
      </c>
      <c r="AS98" s="911"/>
      <c r="AT98" s="911"/>
      <c r="AU98" s="912"/>
      <c r="AV98" s="890"/>
      <c r="AW98" s="895"/>
      <c r="AX98" s="895"/>
      <c r="AY98" s="913"/>
      <c r="AZ98" s="913"/>
      <c r="BA98" s="890"/>
      <c r="BB98" s="890"/>
      <c r="BC98" s="890"/>
      <c r="BD98" s="890"/>
      <c r="BE98" s="911"/>
      <c r="BF98" s="911"/>
      <c r="BG98" s="911"/>
      <c r="BH98" s="911"/>
      <c r="BI98" s="911"/>
    </row>
    <row r="99" spans="2:61" s="896" customFormat="1">
      <c r="B99" s="897" t="s">
        <v>19</v>
      </c>
      <c r="C99" s="898"/>
      <c r="D99" s="899">
        <v>0</v>
      </c>
      <c r="E99" s="900">
        <v>0</v>
      </c>
      <c r="F99" s="900">
        <v>0</v>
      </c>
      <c r="G99" s="900">
        <v>0</v>
      </c>
      <c r="H99" s="901">
        <f t="shared" ref="H99:H108" si="83">D99*(E99*AE99+F99*AI99+G99*AN99)*365/1000</f>
        <v>0</v>
      </c>
      <c r="I99" s="901">
        <f t="shared" ref="I99:I108" si="84">D99*SUM(AP99:AQ99)</f>
        <v>0</v>
      </c>
      <c r="J99" s="901">
        <f t="shared" si="56"/>
        <v>0</v>
      </c>
      <c r="K99" s="901">
        <f t="shared" ref="K99:K108" si="85">$D99*(E99*AE99+F99*AI99)*365/1000</f>
        <v>0</v>
      </c>
      <c r="L99" s="901">
        <f t="shared" ref="L99:L108" si="86">D99*G99*AN99*365/1000</f>
        <v>0</v>
      </c>
      <c r="M99" s="901">
        <f t="shared" ref="M99:M108" si="87">D99*AP99</f>
        <v>0</v>
      </c>
      <c r="N99" s="901">
        <f t="shared" ref="N99:N108" si="88">D99*AQ99</f>
        <v>0</v>
      </c>
      <c r="O99" s="901">
        <f t="shared" si="25"/>
        <v>0</v>
      </c>
      <c r="P99" s="901">
        <f t="shared" si="26"/>
        <v>0</v>
      </c>
      <c r="Q99" s="901">
        <f t="shared" si="27"/>
        <v>0</v>
      </c>
      <c r="R99" s="901">
        <f t="shared" si="28"/>
        <v>0</v>
      </c>
      <c r="S99" s="901">
        <f t="shared" ref="S99:S108" si="89">$D99*(AP99-(E99*AE99+F99*AI99)*365/1000)</f>
        <v>0</v>
      </c>
      <c r="T99" s="901">
        <f t="shared" ref="T99:T108" si="90">D99*(AQ99-G99*AN99*365/1000)</f>
        <v>0</v>
      </c>
      <c r="U99" s="902">
        <f t="shared" ref="U99:U108" si="91">IF(D99=0,0,(I99-H99)/I99)</f>
        <v>0</v>
      </c>
      <c r="V99" s="903"/>
      <c r="W99" s="1056">
        <f>31.9/111.1</f>
        <v>0.28712871287128711</v>
      </c>
      <c r="X99" s="1059">
        <v>22</v>
      </c>
      <c r="Y99" s="886">
        <v>130</v>
      </c>
      <c r="Z99" s="887">
        <v>1</v>
      </c>
      <c r="AA99" s="905">
        <f t="shared" ref="AA99:AA110" si="92">W99*Y99</f>
        <v>37.326732673267323</v>
      </c>
      <c r="AB99" s="888"/>
      <c r="AC99" s="906">
        <v>2</v>
      </c>
      <c r="AD99" s="907">
        <v>21</v>
      </c>
      <c r="AE99" s="950">
        <v>14.95</v>
      </c>
      <c r="AF99" s="909">
        <v>21</v>
      </c>
      <c r="AG99" s="908">
        <v>2</v>
      </c>
      <c r="AH99" s="921">
        <v>21</v>
      </c>
      <c r="AI99" s="908">
        <v>2.52</v>
      </c>
      <c r="AJ99" s="909">
        <v>21</v>
      </c>
      <c r="AK99" s="891"/>
      <c r="AL99" s="908">
        <v>25</v>
      </c>
      <c r="AM99" s="909">
        <v>21</v>
      </c>
      <c r="AN99" s="950">
        <v>6.5</v>
      </c>
      <c r="AO99" s="909">
        <v>21</v>
      </c>
      <c r="AP99" s="911">
        <f t="shared" ref="AP99:AP110" si="93">(AC99*AE99+AG99*AI99)*365/1000</f>
        <v>12.753099999999998</v>
      </c>
      <c r="AQ99" s="911">
        <f t="shared" ref="AQ99:AQ110" si="94">AL99*AN99*365/1000</f>
        <v>59.3125</v>
      </c>
      <c r="AR99" s="911">
        <f t="shared" si="29"/>
        <v>72.065600000000003</v>
      </c>
      <c r="AS99" s="911">
        <f t="shared" ref="AS99:AS110" si="95">AP99*W99</f>
        <v>3.6617811881188111</v>
      </c>
      <c r="AT99" s="911">
        <f t="shared" ref="AT99:AT110" si="96">AQ99*W99</f>
        <v>17.030321782178216</v>
      </c>
      <c r="AU99" s="912">
        <f t="shared" ref="AU99:AU110" si="97">SUM(AS99:AT99)</f>
        <v>20.692102970297029</v>
      </c>
      <c r="AV99" s="890"/>
      <c r="AW99" s="895">
        <v>1</v>
      </c>
      <c r="AX99" s="895">
        <v>0</v>
      </c>
      <c r="AY99" s="913">
        <f t="shared" ref="AY99:AY110" si="98">AU99*AW99</f>
        <v>20.692102970297029</v>
      </c>
      <c r="AZ99" s="913">
        <f t="shared" ref="AZ99:AZ110" si="99">AU99*AX99</f>
        <v>0</v>
      </c>
      <c r="BA99" s="890"/>
      <c r="BB99" s="911">
        <f t="shared" ref="BB99:BB110" si="100">AU99/2</f>
        <v>10.346051485148514</v>
      </c>
      <c r="BC99" s="911">
        <f t="shared" ref="BC99:BC110" si="101">AU99/4/3</f>
        <v>1.7243419141914191</v>
      </c>
      <c r="BD99" s="911">
        <f t="shared" ref="BD99:BD110" si="102">AU99/4/1920*1000</f>
        <v>2.6942842409240924</v>
      </c>
      <c r="BE99" s="911">
        <f t="shared" ref="BE99:BE110" si="103">BB99+BC99*C$5+BD99/1000*C$4</f>
        <v>21.705153844884485</v>
      </c>
      <c r="BF99" s="911">
        <f t="shared" ref="BF99:BF109" si="104">(BB99+BC99*C$5+BD99/1000*C$4)*AS99/AU99</f>
        <v>3.8410558921204609</v>
      </c>
      <c r="BG99" s="911">
        <f t="shared" ref="BG99:BG109" si="105">(BB99+BC99*C$5+BD99/1000*C$4)*AT99/AU99</f>
        <v>17.864097952764023</v>
      </c>
      <c r="BH99" s="911">
        <f t="shared" ref="BH99:BH110" si="106">BE99*AW99</f>
        <v>21.705153844884485</v>
      </c>
      <c r="BI99" s="911">
        <f t="shared" ref="BI99:BI110" si="107">BE99*AX99</f>
        <v>0</v>
      </c>
    </row>
    <row r="100" spans="2:61" s="896" customFormat="1">
      <c r="B100" s="914" t="s">
        <v>25</v>
      </c>
      <c r="C100" s="915"/>
      <c r="D100" s="916">
        <v>0</v>
      </c>
      <c r="E100" s="917">
        <v>0</v>
      </c>
      <c r="F100" s="917">
        <v>0</v>
      </c>
      <c r="G100" s="917">
        <v>0</v>
      </c>
      <c r="H100" s="918">
        <f t="shared" si="83"/>
        <v>0</v>
      </c>
      <c r="I100" s="918">
        <f t="shared" si="84"/>
        <v>0</v>
      </c>
      <c r="J100" s="901">
        <f t="shared" si="56"/>
        <v>0</v>
      </c>
      <c r="K100" s="918">
        <f t="shared" si="85"/>
        <v>0</v>
      </c>
      <c r="L100" s="918">
        <f t="shared" si="86"/>
        <v>0</v>
      </c>
      <c r="M100" s="918">
        <f t="shared" si="87"/>
        <v>0</v>
      </c>
      <c r="N100" s="918">
        <f t="shared" si="88"/>
        <v>0</v>
      </c>
      <c r="O100" s="918">
        <f t="shared" si="25"/>
        <v>0</v>
      </c>
      <c r="P100" s="918">
        <f t="shared" si="26"/>
        <v>0</v>
      </c>
      <c r="Q100" s="918">
        <f t="shared" si="27"/>
        <v>0</v>
      </c>
      <c r="R100" s="918">
        <f t="shared" si="28"/>
        <v>0</v>
      </c>
      <c r="S100" s="918">
        <f t="shared" si="89"/>
        <v>0</v>
      </c>
      <c r="T100" s="918">
        <f t="shared" si="90"/>
        <v>0</v>
      </c>
      <c r="U100" s="919">
        <f t="shared" si="91"/>
        <v>0</v>
      </c>
      <c r="V100" s="903"/>
      <c r="W100" s="1056">
        <f>100.7/111.1</f>
        <v>0.90639063906390649</v>
      </c>
      <c r="X100" s="1059">
        <v>22</v>
      </c>
      <c r="Y100" s="886">
        <v>65</v>
      </c>
      <c r="Z100" s="887">
        <v>1</v>
      </c>
      <c r="AA100" s="905">
        <f t="shared" si="92"/>
        <v>58.915391539153923</v>
      </c>
      <c r="AB100" s="888"/>
      <c r="AC100" s="906">
        <v>2</v>
      </c>
      <c r="AD100" s="907">
        <v>21</v>
      </c>
      <c r="AE100" s="950">
        <v>14.95</v>
      </c>
      <c r="AF100" s="909">
        <v>21</v>
      </c>
      <c r="AG100" s="908">
        <v>4</v>
      </c>
      <c r="AH100" s="921">
        <v>21</v>
      </c>
      <c r="AI100" s="908">
        <v>0.9</v>
      </c>
      <c r="AJ100" s="909">
        <v>21</v>
      </c>
      <c r="AK100" s="909"/>
      <c r="AL100" s="908">
        <v>75</v>
      </c>
      <c r="AM100" s="909">
        <v>21</v>
      </c>
      <c r="AN100" s="950">
        <v>8.1</v>
      </c>
      <c r="AO100" s="909">
        <v>21</v>
      </c>
      <c r="AP100" s="911">
        <f t="shared" si="93"/>
        <v>12.227499999999999</v>
      </c>
      <c r="AQ100" s="911">
        <f t="shared" si="94"/>
        <v>221.73750000000001</v>
      </c>
      <c r="AR100" s="911">
        <f t="shared" si="29"/>
        <v>233.965</v>
      </c>
      <c r="AS100" s="911">
        <f t="shared" si="95"/>
        <v>11.082891539153916</v>
      </c>
      <c r="AT100" s="911">
        <f t="shared" si="96"/>
        <v>200.98079432943297</v>
      </c>
      <c r="AU100" s="912">
        <f t="shared" si="97"/>
        <v>212.06368586858687</v>
      </c>
      <c r="AV100" s="890"/>
      <c r="AW100" s="895">
        <v>1</v>
      </c>
      <c r="AX100" s="895">
        <v>0</v>
      </c>
      <c r="AY100" s="913">
        <f t="shared" si="98"/>
        <v>212.06368586858687</v>
      </c>
      <c r="AZ100" s="913">
        <f t="shared" si="99"/>
        <v>0</v>
      </c>
      <c r="BA100" s="890"/>
      <c r="BB100" s="911">
        <f t="shared" si="100"/>
        <v>106.03184293429344</v>
      </c>
      <c r="BC100" s="911">
        <f t="shared" si="101"/>
        <v>17.671973822382238</v>
      </c>
      <c r="BD100" s="911">
        <f t="shared" si="102"/>
        <v>27.612459097472247</v>
      </c>
      <c r="BE100" s="911">
        <f t="shared" si="103"/>
        <v>222.4459704892364</v>
      </c>
      <c r="BF100" s="911">
        <f t="shared" si="104"/>
        <v>11.625491437424992</v>
      </c>
      <c r="BG100" s="911">
        <f t="shared" si="105"/>
        <v>210.82047905181142</v>
      </c>
      <c r="BH100" s="911">
        <f t="shared" si="106"/>
        <v>222.4459704892364</v>
      </c>
      <c r="BI100" s="911">
        <f t="shared" si="107"/>
        <v>0</v>
      </c>
    </row>
    <row r="101" spans="2:61" s="896" customFormat="1">
      <c r="B101" s="914" t="s">
        <v>26</v>
      </c>
      <c r="C101" s="915"/>
      <c r="D101" s="916">
        <v>0</v>
      </c>
      <c r="E101" s="917">
        <v>0</v>
      </c>
      <c r="F101" s="917">
        <v>0</v>
      </c>
      <c r="G101" s="917">
        <v>0</v>
      </c>
      <c r="H101" s="918">
        <f t="shared" si="83"/>
        <v>0</v>
      </c>
      <c r="I101" s="918">
        <f t="shared" si="84"/>
        <v>0</v>
      </c>
      <c r="J101" s="901">
        <f t="shared" si="56"/>
        <v>0</v>
      </c>
      <c r="K101" s="918">
        <f t="shared" si="85"/>
        <v>0</v>
      </c>
      <c r="L101" s="918">
        <f t="shared" si="86"/>
        <v>0</v>
      </c>
      <c r="M101" s="918">
        <f t="shared" si="87"/>
        <v>0</v>
      </c>
      <c r="N101" s="918">
        <f t="shared" si="88"/>
        <v>0</v>
      </c>
      <c r="O101" s="918">
        <f t="shared" si="25"/>
        <v>0</v>
      </c>
      <c r="P101" s="918">
        <f t="shared" si="26"/>
        <v>0</v>
      </c>
      <c r="Q101" s="918">
        <f t="shared" si="27"/>
        <v>0</v>
      </c>
      <c r="R101" s="918">
        <f t="shared" si="28"/>
        <v>0</v>
      </c>
      <c r="S101" s="918">
        <f t="shared" si="89"/>
        <v>0</v>
      </c>
      <c r="T101" s="918">
        <f t="shared" si="90"/>
        <v>0</v>
      </c>
      <c r="U101" s="919">
        <f t="shared" si="91"/>
        <v>0</v>
      </c>
      <c r="V101" s="903"/>
      <c r="W101" s="1056">
        <f>100.7/111.1</f>
        <v>0.90639063906390649</v>
      </c>
      <c r="X101" s="1059">
        <v>0</v>
      </c>
      <c r="Y101" s="886">
        <v>65</v>
      </c>
      <c r="Z101" s="887">
        <v>1</v>
      </c>
      <c r="AA101" s="905">
        <f t="shared" si="92"/>
        <v>58.915391539153923</v>
      </c>
      <c r="AB101" s="888"/>
      <c r="AC101" s="906">
        <v>1</v>
      </c>
      <c r="AD101" s="907">
        <v>21</v>
      </c>
      <c r="AE101" s="950">
        <v>16.52</v>
      </c>
      <c r="AF101" s="909">
        <v>2</v>
      </c>
      <c r="AG101" s="908">
        <v>1</v>
      </c>
      <c r="AH101" s="921">
        <v>21</v>
      </c>
      <c r="AI101" s="908">
        <v>2.38</v>
      </c>
      <c r="AJ101" s="909">
        <v>21</v>
      </c>
      <c r="AK101" s="891"/>
      <c r="AL101" s="908">
        <v>42</v>
      </c>
      <c r="AM101" s="909">
        <v>21</v>
      </c>
      <c r="AN101" s="950">
        <v>5.0999999999999996</v>
      </c>
      <c r="AO101" s="909">
        <v>21</v>
      </c>
      <c r="AP101" s="911">
        <f t="shared" si="93"/>
        <v>6.8984999999999994</v>
      </c>
      <c r="AQ101" s="911">
        <f t="shared" si="94"/>
        <v>78.183000000000007</v>
      </c>
      <c r="AR101" s="911">
        <f t="shared" ref="AR101:AR164" si="108">SUM(AP101:AQ101)</f>
        <v>85.081500000000005</v>
      </c>
      <c r="AS101" s="911">
        <f t="shared" si="95"/>
        <v>6.2527358235823582</v>
      </c>
      <c r="AT101" s="911">
        <f t="shared" si="96"/>
        <v>70.864339333933401</v>
      </c>
      <c r="AU101" s="912">
        <f t="shared" si="97"/>
        <v>77.117075157515757</v>
      </c>
      <c r="AV101" s="890"/>
      <c r="AW101" s="895">
        <v>1</v>
      </c>
      <c r="AX101" s="895">
        <v>0</v>
      </c>
      <c r="AY101" s="913">
        <f t="shared" si="98"/>
        <v>77.117075157515757</v>
      </c>
      <c r="AZ101" s="913">
        <f t="shared" si="99"/>
        <v>0</v>
      </c>
      <c r="BA101" s="890"/>
      <c r="BB101" s="911">
        <f t="shared" si="100"/>
        <v>38.558537578757878</v>
      </c>
      <c r="BC101" s="911">
        <f t="shared" si="101"/>
        <v>6.42642292979298</v>
      </c>
      <c r="BD101" s="911">
        <f t="shared" si="102"/>
        <v>10.041285827801531</v>
      </c>
      <c r="BE101" s="911">
        <f t="shared" si="103"/>
        <v>80.892598628769136</v>
      </c>
      <c r="BF101" s="911">
        <f t="shared" si="104"/>
        <v>6.5588593482785775</v>
      </c>
      <c r="BG101" s="911">
        <f t="shared" si="105"/>
        <v>74.333739280490562</v>
      </c>
      <c r="BH101" s="911">
        <f t="shared" si="106"/>
        <v>80.892598628769136</v>
      </c>
      <c r="BI101" s="911">
        <f t="shared" si="107"/>
        <v>0</v>
      </c>
    </row>
    <row r="102" spans="2:61" s="896" customFormat="1">
      <c r="B102" s="914" t="s">
        <v>27</v>
      </c>
      <c r="C102" s="915"/>
      <c r="D102" s="916">
        <v>0</v>
      </c>
      <c r="E102" s="917">
        <v>0</v>
      </c>
      <c r="F102" s="917">
        <v>0</v>
      </c>
      <c r="G102" s="917">
        <v>0</v>
      </c>
      <c r="H102" s="918">
        <f t="shared" si="83"/>
        <v>0</v>
      </c>
      <c r="I102" s="918">
        <f t="shared" si="84"/>
        <v>0</v>
      </c>
      <c r="J102" s="901">
        <f t="shared" si="56"/>
        <v>0</v>
      </c>
      <c r="K102" s="918">
        <f t="shared" si="85"/>
        <v>0</v>
      </c>
      <c r="L102" s="918">
        <f t="shared" si="86"/>
        <v>0</v>
      </c>
      <c r="M102" s="918">
        <f t="shared" si="87"/>
        <v>0</v>
      </c>
      <c r="N102" s="918">
        <f t="shared" si="88"/>
        <v>0</v>
      </c>
      <c r="O102" s="918">
        <f t="shared" ref="O102:O169" si="109">H102*AW102</f>
        <v>0</v>
      </c>
      <c r="P102" s="918">
        <f t="shared" ref="P102:P169" si="110">H102*AX102</f>
        <v>0</v>
      </c>
      <c r="Q102" s="918">
        <f t="shared" ref="Q102:Q169" si="111">I102*AW102</f>
        <v>0</v>
      </c>
      <c r="R102" s="918">
        <f t="shared" ref="R102:R169" si="112">I102*AX102</f>
        <v>0</v>
      </c>
      <c r="S102" s="918">
        <f t="shared" si="89"/>
        <v>0</v>
      </c>
      <c r="T102" s="918">
        <f t="shared" si="90"/>
        <v>0</v>
      </c>
      <c r="U102" s="919">
        <f t="shared" si="91"/>
        <v>0</v>
      </c>
      <c r="V102" s="903"/>
      <c r="W102" s="884">
        <v>4.9000000000000002E-2</v>
      </c>
      <c r="X102" s="887">
        <v>1</v>
      </c>
      <c r="Y102" s="886">
        <v>249</v>
      </c>
      <c r="Z102" s="887">
        <v>1</v>
      </c>
      <c r="AA102" s="905">
        <f t="shared" si="92"/>
        <v>12.201000000000001</v>
      </c>
      <c r="AB102" s="888"/>
      <c r="AC102" s="905">
        <v>4.45</v>
      </c>
      <c r="AD102" s="889">
        <v>19</v>
      </c>
      <c r="AE102" s="890">
        <f>24-AI102-AN102</f>
        <v>22.33</v>
      </c>
      <c r="AF102" s="891">
        <v>19</v>
      </c>
      <c r="AG102" s="905">
        <v>80</v>
      </c>
      <c r="AH102" s="889">
        <v>19</v>
      </c>
      <c r="AI102" s="890">
        <v>1.55</v>
      </c>
      <c r="AJ102" s="891">
        <v>19</v>
      </c>
      <c r="AK102" s="891"/>
      <c r="AL102" s="890">
        <v>250</v>
      </c>
      <c r="AM102" s="891">
        <v>19</v>
      </c>
      <c r="AN102" s="890">
        <v>0.12</v>
      </c>
      <c r="AO102" s="891">
        <v>19</v>
      </c>
      <c r="AP102" s="911">
        <f t="shared" si="93"/>
        <v>81.529502499999992</v>
      </c>
      <c r="AQ102" s="911">
        <f t="shared" si="94"/>
        <v>10.95</v>
      </c>
      <c r="AR102" s="911">
        <f t="shared" si="108"/>
        <v>92.479502499999995</v>
      </c>
      <c r="AS102" s="911">
        <f t="shared" si="95"/>
        <v>3.9949456225</v>
      </c>
      <c r="AT102" s="911">
        <f t="shared" si="96"/>
        <v>0.53654999999999997</v>
      </c>
      <c r="AU102" s="912">
        <f t="shared" si="97"/>
        <v>4.5314956224999996</v>
      </c>
      <c r="AV102" s="890"/>
      <c r="AW102" s="895">
        <v>1</v>
      </c>
      <c r="AX102" s="895">
        <v>0</v>
      </c>
      <c r="AY102" s="913">
        <f t="shared" si="98"/>
        <v>4.5314956224999996</v>
      </c>
      <c r="AZ102" s="913">
        <f t="shared" si="99"/>
        <v>0</v>
      </c>
      <c r="BA102" s="890"/>
      <c r="BB102" s="911">
        <f t="shared" si="100"/>
        <v>2.2657478112499998</v>
      </c>
      <c r="BC102" s="911">
        <f t="shared" si="101"/>
        <v>0.37762463520833328</v>
      </c>
      <c r="BD102" s="911">
        <f t="shared" si="102"/>
        <v>0.59003849251302076</v>
      </c>
      <c r="BE102" s="911">
        <f t="shared" si="103"/>
        <v>4.7533500956848957</v>
      </c>
      <c r="BF102" s="911">
        <f t="shared" si="104"/>
        <v>4.1905315019348954</v>
      </c>
      <c r="BG102" s="911">
        <f t="shared" si="105"/>
        <v>0.56281859374999998</v>
      </c>
      <c r="BH102" s="911">
        <f t="shared" si="106"/>
        <v>4.7533500956848957</v>
      </c>
      <c r="BI102" s="911">
        <f t="shared" si="107"/>
        <v>0</v>
      </c>
    </row>
    <row r="103" spans="2:61" s="896" customFormat="1">
      <c r="B103" s="914" t="s">
        <v>28</v>
      </c>
      <c r="C103" s="915"/>
      <c r="D103" s="916">
        <v>0</v>
      </c>
      <c r="E103" s="917">
        <v>0</v>
      </c>
      <c r="F103" s="917">
        <v>0</v>
      </c>
      <c r="G103" s="917">
        <v>0</v>
      </c>
      <c r="H103" s="918">
        <f t="shared" si="83"/>
        <v>0</v>
      </c>
      <c r="I103" s="918">
        <f t="shared" si="84"/>
        <v>0</v>
      </c>
      <c r="J103" s="901">
        <f t="shared" si="56"/>
        <v>0</v>
      </c>
      <c r="K103" s="918">
        <f t="shared" si="85"/>
        <v>0</v>
      </c>
      <c r="L103" s="918">
        <f t="shared" si="86"/>
        <v>0</v>
      </c>
      <c r="M103" s="918">
        <f t="shared" si="87"/>
        <v>0</v>
      </c>
      <c r="N103" s="918">
        <f t="shared" si="88"/>
        <v>0</v>
      </c>
      <c r="O103" s="918">
        <f t="shared" si="109"/>
        <v>0</v>
      </c>
      <c r="P103" s="918">
        <f t="shared" si="110"/>
        <v>0</v>
      </c>
      <c r="Q103" s="918">
        <f t="shared" si="111"/>
        <v>0</v>
      </c>
      <c r="R103" s="918">
        <f t="shared" si="112"/>
        <v>0</v>
      </c>
      <c r="S103" s="918">
        <f t="shared" si="89"/>
        <v>0</v>
      </c>
      <c r="T103" s="918">
        <f t="shared" si="90"/>
        <v>0</v>
      </c>
      <c r="U103" s="919">
        <f t="shared" si="91"/>
        <v>0</v>
      </c>
      <c r="V103" s="903"/>
      <c r="W103" s="904">
        <v>0.66</v>
      </c>
      <c r="X103" s="920">
        <v>21</v>
      </c>
      <c r="Y103" s="886">
        <v>45</v>
      </c>
      <c r="Z103" s="887">
        <v>1</v>
      </c>
      <c r="AA103" s="905">
        <f t="shared" si="92"/>
        <v>29.700000000000003</v>
      </c>
      <c r="AB103" s="888"/>
      <c r="AC103" s="906">
        <v>1.7</v>
      </c>
      <c r="AD103" s="907">
        <v>21</v>
      </c>
      <c r="AE103" s="908">
        <v>23.76</v>
      </c>
      <c r="AF103" s="909">
        <v>21</v>
      </c>
      <c r="AG103" s="906">
        <v>3.2</v>
      </c>
      <c r="AH103" s="907">
        <v>21</v>
      </c>
      <c r="AI103" s="908">
        <v>0</v>
      </c>
      <c r="AJ103" s="909">
        <v>21</v>
      </c>
      <c r="AK103" s="909"/>
      <c r="AL103" s="908">
        <v>8.9</v>
      </c>
      <c r="AM103" s="909">
        <v>21</v>
      </c>
      <c r="AN103" s="908">
        <v>0.24</v>
      </c>
      <c r="AO103" s="909">
        <v>21</v>
      </c>
      <c r="AP103" s="911">
        <f t="shared" si="93"/>
        <v>14.743080000000003</v>
      </c>
      <c r="AQ103" s="911">
        <f t="shared" si="94"/>
        <v>0.77964000000000011</v>
      </c>
      <c r="AR103" s="911">
        <f t="shared" si="108"/>
        <v>15.522720000000003</v>
      </c>
      <c r="AS103" s="911">
        <f t="shared" si="95"/>
        <v>9.7304328000000027</v>
      </c>
      <c r="AT103" s="911">
        <f t="shared" si="96"/>
        <v>0.51456240000000009</v>
      </c>
      <c r="AU103" s="912">
        <f t="shared" si="97"/>
        <v>10.244995200000004</v>
      </c>
      <c r="AV103" s="890"/>
      <c r="AW103" s="895">
        <v>1</v>
      </c>
      <c r="AX103" s="895">
        <v>0</v>
      </c>
      <c r="AY103" s="913">
        <f t="shared" si="98"/>
        <v>10.244995200000004</v>
      </c>
      <c r="AZ103" s="913">
        <f t="shared" si="99"/>
        <v>0</v>
      </c>
      <c r="BA103" s="890"/>
      <c r="BB103" s="911">
        <f t="shared" si="100"/>
        <v>5.1224976000000018</v>
      </c>
      <c r="BC103" s="911">
        <f t="shared" si="101"/>
        <v>0.85374960000000033</v>
      </c>
      <c r="BD103" s="911">
        <f t="shared" si="102"/>
        <v>1.3339837500000005</v>
      </c>
      <c r="BE103" s="911">
        <f t="shared" si="103"/>
        <v>10.746573090000004</v>
      </c>
      <c r="BF103" s="911">
        <f t="shared" si="104"/>
        <v>10.206818572500003</v>
      </c>
      <c r="BG103" s="911">
        <f t="shared" si="105"/>
        <v>0.53975451750000003</v>
      </c>
      <c r="BH103" s="911">
        <f t="shared" si="106"/>
        <v>10.746573090000004</v>
      </c>
      <c r="BI103" s="911">
        <f t="shared" si="107"/>
        <v>0</v>
      </c>
    </row>
    <row r="104" spans="2:61" s="896" customFormat="1">
      <c r="B104" s="914" t="s">
        <v>575</v>
      </c>
      <c r="C104" s="915"/>
      <c r="D104" s="916">
        <v>0</v>
      </c>
      <c r="E104" s="917">
        <v>0</v>
      </c>
      <c r="F104" s="917">
        <v>0</v>
      </c>
      <c r="G104" s="917">
        <v>0</v>
      </c>
      <c r="H104" s="918">
        <f t="shared" si="83"/>
        <v>0</v>
      </c>
      <c r="I104" s="918">
        <f t="shared" si="84"/>
        <v>0</v>
      </c>
      <c r="J104" s="901">
        <f t="shared" si="56"/>
        <v>0</v>
      </c>
      <c r="K104" s="918">
        <f t="shared" si="85"/>
        <v>0</v>
      </c>
      <c r="L104" s="918">
        <f t="shared" si="86"/>
        <v>0</v>
      </c>
      <c r="M104" s="918">
        <f t="shared" si="87"/>
        <v>0</v>
      </c>
      <c r="N104" s="918">
        <f t="shared" si="88"/>
        <v>0</v>
      </c>
      <c r="O104" s="918">
        <f t="shared" si="109"/>
        <v>0</v>
      </c>
      <c r="P104" s="918">
        <f t="shared" si="110"/>
        <v>0</v>
      </c>
      <c r="Q104" s="918">
        <f t="shared" si="111"/>
        <v>0</v>
      </c>
      <c r="R104" s="918">
        <f t="shared" si="112"/>
        <v>0</v>
      </c>
      <c r="S104" s="918">
        <f t="shared" si="89"/>
        <v>0</v>
      </c>
      <c r="T104" s="918">
        <f t="shared" si="90"/>
        <v>0</v>
      </c>
      <c r="U104" s="919">
        <f t="shared" si="91"/>
        <v>0</v>
      </c>
      <c r="V104" s="903"/>
      <c r="W104" s="884">
        <v>0.03</v>
      </c>
      <c r="X104" s="887">
        <v>9</v>
      </c>
      <c r="Y104" s="886">
        <v>115</v>
      </c>
      <c r="Z104" s="887"/>
      <c r="AA104" s="905">
        <f t="shared" si="92"/>
        <v>3.4499999999999997</v>
      </c>
      <c r="AB104" s="888"/>
      <c r="AC104" s="905"/>
      <c r="AD104" s="889"/>
      <c r="AE104" s="890"/>
      <c r="AF104" s="891"/>
      <c r="AG104" s="890"/>
      <c r="AH104" s="892"/>
      <c r="AI104" s="890"/>
      <c r="AJ104" s="891"/>
      <c r="AK104" s="891"/>
      <c r="AL104" s="893">
        <f>Y104*1000/365/0.36</f>
        <v>875.19025875190266</v>
      </c>
      <c r="AM104" s="891">
        <v>0</v>
      </c>
      <c r="AN104" s="890">
        <v>0.36</v>
      </c>
      <c r="AO104" s="891">
        <v>0</v>
      </c>
      <c r="AP104" s="911">
        <f t="shared" si="93"/>
        <v>0</v>
      </c>
      <c r="AQ104" s="911">
        <f t="shared" si="94"/>
        <v>115.00000000000001</v>
      </c>
      <c r="AR104" s="911">
        <f t="shared" si="108"/>
        <v>115.00000000000001</v>
      </c>
      <c r="AS104" s="911">
        <f t="shared" si="95"/>
        <v>0</v>
      </c>
      <c r="AT104" s="911">
        <f t="shared" si="96"/>
        <v>3.45</v>
      </c>
      <c r="AU104" s="912">
        <f t="shared" si="97"/>
        <v>3.45</v>
      </c>
      <c r="AV104" s="890"/>
      <c r="AW104" s="895">
        <v>1</v>
      </c>
      <c r="AX104" s="895">
        <v>0</v>
      </c>
      <c r="AY104" s="913">
        <f t="shared" si="98"/>
        <v>3.45</v>
      </c>
      <c r="AZ104" s="913">
        <f t="shared" si="99"/>
        <v>0</v>
      </c>
      <c r="BA104" s="890"/>
      <c r="BB104" s="911">
        <f t="shared" si="100"/>
        <v>1.7250000000000001</v>
      </c>
      <c r="BC104" s="911">
        <f t="shared" si="101"/>
        <v>0.28750000000000003</v>
      </c>
      <c r="BD104" s="911">
        <f t="shared" si="102"/>
        <v>0.44921875</v>
      </c>
      <c r="BE104" s="911">
        <f t="shared" si="103"/>
        <v>3.6189062500000002</v>
      </c>
      <c r="BF104" s="911">
        <f t="shared" si="104"/>
        <v>0</v>
      </c>
      <c r="BG104" s="911">
        <f t="shared" si="105"/>
        <v>3.6189062500000002</v>
      </c>
      <c r="BH104" s="911">
        <f t="shared" si="106"/>
        <v>3.6189062500000002</v>
      </c>
      <c r="BI104" s="911">
        <f t="shared" si="107"/>
        <v>0</v>
      </c>
    </row>
    <row r="105" spans="2:61" s="896" customFormat="1">
      <c r="B105" s="914" t="s">
        <v>576</v>
      </c>
      <c r="C105" s="915"/>
      <c r="D105" s="916">
        <v>0</v>
      </c>
      <c r="E105" s="917">
        <v>0</v>
      </c>
      <c r="F105" s="917">
        <v>0</v>
      </c>
      <c r="G105" s="917">
        <v>0</v>
      </c>
      <c r="H105" s="918">
        <f t="shared" si="83"/>
        <v>0</v>
      </c>
      <c r="I105" s="918">
        <f t="shared" si="84"/>
        <v>0</v>
      </c>
      <c r="J105" s="901">
        <f t="shared" si="56"/>
        <v>0</v>
      </c>
      <c r="K105" s="918">
        <f t="shared" si="85"/>
        <v>0</v>
      </c>
      <c r="L105" s="918">
        <f t="shared" si="86"/>
        <v>0</v>
      </c>
      <c r="M105" s="918">
        <f t="shared" si="87"/>
        <v>0</v>
      </c>
      <c r="N105" s="918">
        <f t="shared" si="88"/>
        <v>0</v>
      </c>
      <c r="O105" s="918">
        <f t="shared" si="109"/>
        <v>0</v>
      </c>
      <c r="P105" s="918">
        <f t="shared" si="110"/>
        <v>0</v>
      </c>
      <c r="Q105" s="918">
        <f t="shared" si="111"/>
        <v>0</v>
      </c>
      <c r="R105" s="918">
        <f t="shared" si="112"/>
        <v>0</v>
      </c>
      <c r="S105" s="918">
        <f t="shared" si="89"/>
        <v>0</v>
      </c>
      <c r="T105" s="918">
        <f t="shared" si="90"/>
        <v>0</v>
      </c>
      <c r="U105" s="919">
        <f t="shared" si="91"/>
        <v>0</v>
      </c>
      <c r="V105" s="903"/>
      <c r="W105" s="1056">
        <f>39.9/111.1</f>
        <v>0.35913591359135916</v>
      </c>
      <c r="X105" s="1059">
        <v>22</v>
      </c>
      <c r="Y105" s="886">
        <v>0</v>
      </c>
      <c r="Z105" s="887"/>
      <c r="AA105" s="905">
        <f t="shared" si="92"/>
        <v>0</v>
      </c>
      <c r="AB105" s="888"/>
      <c r="AC105" s="905">
        <v>0</v>
      </c>
      <c r="AD105" s="889">
        <v>21</v>
      </c>
      <c r="AE105" s="890">
        <v>0</v>
      </c>
      <c r="AF105" s="891">
        <v>21</v>
      </c>
      <c r="AG105" s="890"/>
      <c r="AH105" s="892"/>
      <c r="AI105" s="890"/>
      <c r="AJ105" s="891"/>
      <c r="AK105" s="891"/>
      <c r="AL105" s="908">
        <v>6</v>
      </c>
      <c r="AM105" s="909">
        <v>21</v>
      </c>
      <c r="AN105" s="908">
        <v>24</v>
      </c>
      <c r="AO105" s="909">
        <v>21</v>
      </c>
      <c r="AP105" s="911">
        <f t="shared" si="93"/>
        <v>0</v>
      </c>
      <c r="AQ105" s="911">
        <f t="shared" si="94"/>
        <v>52.56</v>
      </c>
      <c r="AR105" s="911">
        <f t="shared" si="108"/>
        <v>52.56</v>
      </c>
      <c r="AS105" s="911">
        <f t="shared" si="95"/>
        <v>0</v>
      </c>
      <c r="AT105" s="911">
        <f t="shared" si="96"/>
        <v>18.876183618361839</v>
      </c>
      <c r="AU105" s="912">
        <f t="shared" si="97"/>
        <v>18.876183618361839</v>
      </c>
      <c r="AV105" s="890"/>
      <c r="AW105" s="895">
        <v>1</v>
      </c>
      <c r="AX105" s="895">
        <v>0</v>
      </c>
      <c r="AY105" s="913">
        <f t="shared" si="98"/>
        <v>18.876183618361839</v>
      </c>
      <c r="AZ105" s="913">
        <f t="shared" si="99"/>
        <v>0</v>
      </c>
      <c r="BA105" s="890"/>
      <c r="BB105" s="911">
        <f t="shared" si="100"/>
        <v>9.4380918091809196</v>
      </c>
      <c r="BC105" s="911">
        <f t="shared" si="101"/>
        <v>1.5730153015301533</v>
      </c>
      <c r="BD105" s="911">
        <f t="shared" si="102"/>
        <v>2.4578364086408642</v>
      </c>
      <c r="BE105" s="911">
        <f t="shared" si="103"/>
        <v>19.800330108010805</v>
      </c>
      <c r="BF105" s="911">
        <f t="shared" si="104"/>
        <v>0</v>
      </c>
      <c r="BG105" s="911">
        <f t="shared" si="105"/>
        <v>19.800330108010805</v>
      </c>
      <c r="BH105" s="911">
        <f t="shared" si="106"/>
        <v>19.800330108010805</v>
      </c>
      <c r="BI105" s="911">
        <f t="shared" si="107"/>
        <v>0</v>
      </c>
    </row>
    <row r="106" spans="2:61" s="896" customFormat="1">
      <c r="B106" s="914" t="s">
        <v>577</v>
      </c>
      <c r="C106" s="915"/>
      <c r="D106" s="916">
        <v>0</v>
      </c>
      <c r="E106" s="917">
        <v>0</v>
      </c>
      <c r="F106" s="917">
        <v>0</v>
      </c>
      <c r="G106" s="917">
        <v>0</v>
      </c>
      <c r="H106" s="918">
        <f t="shared" si="83"/>
        <v>0</v>
      </c>
      <c r="I106" s="918">
        <f t="shared" si="84"/>
        <v>0</v>
      </c>
      <c r="J106" s="901">
        <f t="shared" si="56"/>
        <v>0</v>
      </c>
      <c r="K106" s="918">
        <f t="shared" si="85"/>
        <v>0</v>
      </c>
      <c r="L106" s="918">
        <f t="shared" si="86"/>
        <v>0</v>
      </c>
      <c r="M106" s="918">
        <f t="shared" si="87"/>
        <v>0</v>
      </c>
      <c r="N106" s="918">
        <f t="shared" si="88"/>
        <v>0</v>
      </c>
      <c r="O106" s="918">
        <f t="shared" si="109"/>
        <v>0</v>
      </c>
      <c r="P106" s="918">
        <f t="shared" si="110"/>
        <v>0</v>
      </c>
      <c r="Q106" s="918">
        <f t="shared" si="111"/>
        <v>0</v>
      </c>
      <c r="R106" s="918">
        <f t="shared" si="112"/>
        <v>0</v>
      </c>
      <c r="S106" s="918">
        <f t="shared" si="89"/>
        <v>0</v>
      </c>
      <c r="T106" s="918">
        <f t="shared" si="90"/>
        <v>0</v>
      </c>
      <c r="U106" s="919">
        <f t="shared" si="91"/>
        <v>0</v>
      </c>
      <c r="V106" s="903"/>
      <c r="W106" s="884">
        <v>0.05</v>
      </c>
      <c r="X106" s="887">
        <v>0</v>
      </c>
      <c r="Y106" s="886">
        <v>0</v>
      </c>
      <c r="Z106" s="887">
        <v>6</v>
      </c>
      <c r="AA106" s="905">
        <f t="shared" si="92"/>
        <v>0</v>
      </c>
      <c r="AB106" s="888"/>
      <c r="AC106" s="905">
        <v>5.5</v>
      </c>
      <c r="AD106" s="889">
        <v>10</v>
      </c>
      <c r="AE106" s="890">
        <v>23.75</v>
      </c>
      <c r="AF106" s="891">
        <v>0</v>
      </c>
      <c r="AG106" s="890"/>
      <c r="AH106" s="892"/>
      <c r="AI106" s="890"/>
      <c r="AJ106" s="891"/>
      <c r="AK106" s="891"/>
      <c r="AL106" s="890">
        <v>14</v>
      </c>
      <c r="AM106" s="891">
        <v>6</v>
      </c>
      <c r="AN106" s="890">
        <v>0.25</v>
      </c>
      <c r="AO106" s="891">
        <v>0</v>
      </c>
      <c r="AP106" s="911">
        <f t="shared" si="93"/>
        <v>47.678125000000001</v>
      </c>
      <c r="AQ106" s="911">
        <f t="shared" si="94"/>
        <v>1.2775000000000001</v>
      </c>
      <c r="AR106" s="911">
        <f t="shared" si="108"/>
        <v>48.955625000000005</v>
      </c>
      <c r="AS106" s="911">
        <f t="shared" si="95"/>
        <v>2.3839062500000003</v>
      </c>
      <c r="AT106" s="911">
        <f t="shared" si="96"/>
        <v>6.3875000000000001E-2</v>
      </c>
      <c r="AU106" s="912">
        <f t="shared" si="97"/>
        <v>2.4477812500000002</v>
      </c>
      <c r="AV106" s="890"/>
      <c r="AW106" s="895">
        <v>1</v>
      </c>
      <c r="AX106" s="895">
        <v>0</v>
      </c>
      <c r="AY106" s="913">
        <f t="shared" si="98"/>
        <v>2.4477812500000002</v>
      </c>
      <c r="AZ106" s="913">
        <f t="shared" si="99"/>
        <v>0</v>
      </c>
      <c r="BA106" s="890"/>
      <c r="BB106" s="911">
        <f t="shared" si="100"/>
        <v>1.2238906250000001</v>
      </c>
      <c r="BC106" s="911">
        <f t="shared" si="101"/>
        <v>0.20398177083333335</v>
      </c>
      <c r="BD106" s="911">
        <f t="shared" si="102"/>
        <v>0.31872151692708339</v>
      </c>
      <c r="BE106" s="911">
        <f t="shared" si="103"/>
        <v>2.5676205403645835</v>
      </c>
      <c r="BF106" s="911">
        <f t="shared" si="104"/>
        <v>2.500618326822917</v>
      </c>
      <c r="BG106" s="911">
        <f t="shared" si="105"/>
        <v>6.7002213541666675E-2</v>
      </c>
      <c r="BH106" s="911">
        <f t="shared" si="106"/>
        <v>2.5676205403645835</v>
      </c>
      <c r="BI106" s="911">
        <f t="shared" si="107"/>
        <v>0</v>
      </c>
    </row>
    <row r="107" spans="2:61" s="896" customFormat="1">
      <c r="B107" s="914" t="s">
        <v>649</v>
      </c>
      <c r="C107" s="915"/>
      <c r="D107" s="916">
        <v>0</v>
      </c>
      <c r="E107" s="917">
        <v>0</v>
      </c>
      <c r="F107" s="917">
        <v>0</v>
      </c>
      <c r="G107" s="917">
        <v>0</v>
      </c>
      <c r="H107" s="918">
        <f t="shared" si="83"/>
        <v>0</v>
      </c>
      <c r="I107" s="918">
        <f t="shared" si="84"/>
        <v>0</v>
      </c>
      <c r="J107" s="901">
        <f t="shared" si="56"/>
        <v>0</v>
      </c>
      <c r="K107" s="918">
        <f t="shared" si="85"/>
        <v>0</v>
      </c>
      <c r="L107" s="918">
        <f t="shared" si="86"/>
        <v>0</v>
      </c>
      <c r="M107" s="918">
        <f t="shared" si="87"/>
        <v>0</v>
      </c>
      <c r="N107" s="918">
        <f t="shared" si="88"/>
        <v>0</v>
      </c>
      <c r="O107" s="918">
        <f t="shared" si="109"/>
        <v>0</v>
      </c>
      <c r="P107" s="918">
        <f t="shared" si="110"/>
        <v>0</v>
      </c>
      <c r="Q107" s="918">
        <f t="shared" si="111"/>
        <v>0</v>
      </c>
      <c r="R107" s="918">
        <f t="shared" si="112"/>
        <v>0</v>
      </c>
      <c r="S107" s="918">
        <f t="shared" si="89"/>
        <v>0</v>
      </c>
      <c r="T107" s="918">
        <f t="shared" si="90"/>
        <v>0</v>
      </c>
      <c r="U107" s="919">
        <f t="shared" si="91"/>
        <v>0</v>
      </c>
      <c r="V107" s="903"/>
      <c r="W107" s="1057">
        <f>9.5/111.1</f>
        <v>8.5508550855085519E-2</v>
      </c>
      <c r="X107" s="1060">
        <v>22</v>
      </c>
      <c r="Y107" s="886">
        <v>25</v>
      </c>
      <c r="Z107" s="887">
        <v>1</v>
      </c>
      <c r="AA107" s="905">
        <f t="shared" si="92"/>
        <v>2.1377137713771379</v>
      </c>
      <c r="AB107" s="888"/>
      <c r="AC107" s="905">
        <v>10</v>
      </c>
      <c r="AD107" s="889">
        <v>18</v>
      </c>
      <c r="AE107" s="890">
        <f>3.36</f>
        <v>3.36</v>
      </c>
      <c r="AF107" s="891">
        <v>18</v>
      </c>
      <c r="AG107" s="890"/>
      <c r="AH107" s="892"/>
      <c r="AI107" s="890"/>
      <c r="AJ107" s="891"/>
      <c r="AK107" s="891"/>
      <c r="AL107" s="890">
        <v>39.299999999999997</v>
      </c>
      <c r="AM107" s="891">
        <v>18</v>
      </c>
      <c r="AN107" s="890">
        <v>0.89</v>
      </c>
      <c r="AO107" s="891">
        <v>18</v>
      </c>
      <c r="AP107" s="911">
        <f t="shared" si="93"/>
        <v>12.263999999999999</v>
      </c>
      <c r="AQ107" s="911">
        <f t="shared" si="94"/>
        <v>12.766605</v>
      </c>
      <c r="AR107" s="911">
        <f t="shared" si="108"/>
        <v>25.030605000000001</v>
      </c>
      <c r="AS107" s="911">
        <f t="shared" si="95"/>
        <v>1.0486768676867688</v>
      </c>
      <c r="AT107" s="911">
        <f t="shared" si="96"/>
        <v>1.0916538928892892</v>
      </c>
      <c r="AU107" s="912">
        <f t="shared" si="97"/>
        <v>2.1403307605760578</v>
      </c>
      <c r="AV107" s="890"/>
      <c r="AW107" s="895">
        <v>1</v>
      </c>
      <c r="AX107" s="895">
        <v>0</v>
      </c>
      <c r="AY107" s="913">
        <f t="shared" si="98"/>
        <v>2.1403307605760578</v>
      </c>
      <c r="AZ107" s="913">
        <f t="shared" si="99"/>
        <v>0</v>
      </c>
      <c r="BA107" s="890"/>
      <c r="BB107" s="911">
        <f t="shared" si="100"/>
        <v>1.0701653802880289</v>
      </c>
      <c r="BC107" s="911">
        <f t="shared" si="101"/>
        <v>0.17836089671467148</v>
      </c>
      <c r="BD107" s="911">
        <f t="shared" si="102"/>
        <v>0.27868890111667421</v>
      </c>
      <c r="BE107" s="911">
        <f t="shared" si="103"/>
        <v>2.2451177873959272</v>
      </c>
      <c r="BF107" s="911">
        <f t="shared" si="104"/>
        <v>1.1000183393339336</v>
      </c>
      <c r="BG107" s="911">
        <f t="shared" si="105"/>
        <v>1.1450994480619938</v>
      </c>
      <c r="BH107" s="911">
        <f t="shared" si="106"/>
        <v>2.2451177873959272</v>
      </c>
      <c r="BI107" s="911">
        <f t="shared" si="107"/>
        <v>0</v>
      </c>
    </row>
    <row r="108" spans="2:61" s="896" customFormat="1">
      <c r="B108" s="914" t="s">
        <v>650</v>
      </c>
      <c r="C108" s="915"/>
      <c r="D108" s="916">
        <v>0</v>
      </c>
      <c r="E108" s="917">
        <v>0</v>
      </c>
      <c r="F108" s="917">
        <v>0</v>
      </c>
      <c r="G108" s="917">
        <v>0</v>
      </c>
      <c r="H108" s="918">
        <f t="shared" si="83"/>
        <v>0</v>
      </c>
      <c r="I108" s="918">
        <f t="shared" si="84"/>
        <v>0</v>
      </c>
      <c r="J108" s="901">
        <f t="shared" si="56"/>
        <v>0</v>
      </c>
      <c r="K108" s="918">
        <f t="shared" si="85"/>
        <v>0</v>
      </c>
      <c r="L108" s="918">
        <f t="shared" si="86"/>
        <v>0</v>
      </c>
      <c r="M108" s="918">
        <f t="shared" si="87"/>
        <v>0</v>
      </c>
      <c r="N108" s="918">
        <f t="shared" si="88"/>
        <v>0</v>
      </c>
      <c r="O108" s="918">
        <f t="shared" si="109"/>
        <v>0</v>
      </c>
      <c r="P108" s="918">
        <f t="shared" si="110"/>
        <v>0</v>
      </c>
      <c r="Q108" s="918">
        <f t="shared" si="111"/>
        <v>0</v>
      </c>
      <c r="R108" s="918">
        <f t="shared" si="112"/>
        <v>0</v>
      </c>
      <c r="S108" s="918">
        <f t="shared" si="89"/>
        <v>0</v>
      </c>
      <c r="T108" s="918">
        <f t="shared" si="90"/>
        <v>0</v>
      </c>
      <c r="U108" s="919">
        <f t="shared" si="91"/>
        <v>0</v>
      </c>
      <c r="V108" s="903"/>
      <c r="W108" s="1057">
        <f>12.8/111.1</f>
        <v>0.11521152115211522</v>
      </c>
      <c r="X108" s="1060">
        <v>22</v>
      </c>
      <c r="Y108" s="886">
        <v>216</v>
      </c>
      <c r="Z108" s="887">
        <v>1</v>
      </c>
      <c r="AA108" s="905">
        <f t="shared" si="92"/>
        <v>24.885688568856889</v>
      </c>
      <c r="AB108" s="888"/>
      <c r="AC108" s="905">
        <v>30</v>
      </c>
      <c r="AD108" s="889">
        <v>19</v>
      </c>
      <c r="AE108" s="890">
        <v>22.8</v>
      </c>
      <c r="AF108" s="891">
        <v>19</v>
      </c>
      <c r="AG108" s="890"/>
      <c r="AH108" s="892"/>
      <c r="AI108" s="890"/>
      <c r="AJ108" s="891"/>
      <c r="AK108" s="891"/>
      <c r="AL108" s="890">
        <v>175</v>
      </c>
      <c r="AM108" s="891">
        <v>19</v>
      </c>
      <c r="AN108" s="890">
        <v>1.2</v>
      </c>
      <c r="AO108" s="891">
        <v>19</v>
      </c>
      <c r="AP108" s="911">
        <f t="shared" si="93"/>
        <v>249.66</v>
      </c>
      <c r="AQ108" s="911">
        <f t="shared" si="94"/>
        <v>76.650000000000006</v>
      </c>
      <c r="AR108" s="911">
        <f t="shared" si="108"/>
        <v>326.31</v>
      </c>
      <c r="AS108" s="911">
        <f t="shared" si="95"/>
        <v>28.763708370837087</v>
      </c>
      <c r="AT108" s="911">
        <f t="shared" si="96"/>
        <v>8.8309630963096328</v>
      </c>
      <c r="AU108" s="912">
        <f t="shared" si="97"/>
        <v>37.594671467146718</v>
      </c>
      <c r="AV108" s="890"/>
      <c r="AW108" s="895">
        <v>1</v>
      </c>
      <c r="AX108" s="895">
        <v>0</v>
      </c>
      <c r="AY108" s="913">
        <f t="shared" si="98"/>
        <v>37.594671467146718</v>
      </c>
      <c r="AZ108" s="913">
        <f t="shared" si="99"/>
        <v>0</v>
      </c>
      <c r="BA108" s="890"/>
      <c r="BB108" s="911">
        <f t="shared" si="100"/>
        <v>18.797335733573359</v>
      </c>
      <c r="BC108" s="911">
        <f t="shared" si="101"/>
        <v>3.1328892889288933</v>
      </c>
      <c r="BD108" s="911">
        <f t="shared" si="102"/>
        <v>4.8951395139513956</v>
      </c>
      <c r="BE108" s="911">
        <f t="shared" si="103"/>
        <v>39.435243924392438</v>
      </c>
      <c r="BF108" s="911">
        <f t="shared" si="104"/>
        <v>30.171931593159318</v>
      </c>
      <c r="BG108" s="911">
        <f t="shared" si="105"/>
        <v>9.2633123312331236</v>
      </c>
      <c r="BH108" s="911">
        <f t="shared" si="106"/>
        <v>39.435243924392438</v>
      </c>
      <c r="BI108" s="911">
        <f t="shared" si="107"/>
        <v>0</v>
      </c>
    </row>
    <row r="109" spans="2:61" s="954" customFormat="1">
      <c r="B109" s="959" t="s">
        <v>1291</v>
      </c>
      <c r="C109" s="960"/>
      <c r="D109" s="961"/>
      <c r="E109" s="962"/>
      <c r="F109" s="962"/>
      <c r="G109" s="962"/>
      <c r="H109" s="963"/>
      <c r="I109" s="963"/>
      <c r="J109" s="901">
        <f t="shared" si="56"/>
        <v>0</v>
      </c>
      <c r="K109" s="963"/>
      <c r="L109" s="963"/>
      <c r="M109" s="963"/>
      <c r="N109" s="963"/>
      <c r="O109" s="963"/>
      <c r="P109" s="963"/>
      <c r="Q109" s="963"/>
      <c r="R109" s="963"/>
      <c r="S109" s="963"/>
      <c r="T109" s="963"/>
      <c r="U109" s="964"/>
      <c r="V109" s="955"/>
      <c r="W109" s="904">
        <v>0.217</v>
      </c>
      <c r="X109" s="920">
        <v>21</v>
      </c>
      <c r="Y109" s="948"/>
      <c r="Z109" s="920"/>
      <c r="AA109" s="906"/>
      <c r="AB109" s="949"/>
      <c r="AC109" s="906">
        <v>6.2</v>
      </c>
      <c r="AD109" s="907">
        <v>21</v>
      </c>
      <c r="AE109" s="908">
        <v>21.42</v>
      </c>
      <c r="AF109" s="909">
        <v>21</v>
      </c>
      <c r="AG109" s="908">
        <v>9.1</v>
      </c>
      <c r="AH109" s="921">
        <v>21</v>
      </c>
      <c r="AI109" s="908">
        <v>1.81</v>
      </c>
      <c r="AJ109" s="909">
        <v>21</v>
      </c>
      <c r="AK109" s="909"/>
      <c r="AL109" s="908">
        <v>15.2</v>
      </c>
      <c r="AM109" s="909">
        <v>21</v>
      </c>
      <c r="AN109" s="908">
        <v>0.77500000000000002</v>
      </c>
      <c r="AO109" s="909">
        <v>21</v>
      </c>
      <c r="AP109" s="911">
        <f>(AC109*AE109+AG109*AI109)*365/1000</f>
        <v>54.485374999999998</v>
      </c>
      <c r="AQ109" s="911">
        <f>AL109*AN109*365/1000</f>
        <v>4.2996999999999996</v>
      </c>
      <c r="AR109" s="911">
        <f t="shared" si="108"/>
        <v>58.785074999999999</v>
      </c>
      <c r="AS109" s="911">
        <f>AP109*W109</f>
        <v>11.823326374999999</v>
      </c>
      <c r="AT109" s="911">
        <f>AQ109*W109</f>
        <v>0.93303489999999989</v>
      </c>
      <c r="AU109" s="912">
        <f>SUM(AS109:AT109)</f>
        <v>12.756361274999998</v>
      </c>
      <c r="AV109" s="890"/>
      <c r="AW109" s="895">
        <v>1</v>
      </c>
      <c r="AX109" s="895">
        <v>0</v>
      </c>
      <c r="AY109" s="913">
        <f>AU109*AW109</f>
        <v>12.756361274999998</v>
      </c>
      <c r="AZ109" s="913">
        <f>AU109*AX109</f>
        <v>0</v>
      </c>
      <c r="BA109" s="908"/>
      <c r="BB109" s="911">
        <f>AU109/2</f>
        <v>6.378180637499999</v>
      </c>
      <c r="BC109" s="911">
        <f>AU109/4/3</f>
        <v>1.0630301062499998</v>
      </c>
      <c r="BD109" s="911">
        <f>AU109/4/1920*1000</f>
        <v>1.6609845410156248</v>
      </c>
      <c r="BE109" s="911">
        <f t="shared" si="103"/>
        <v>13.380891462421873</v>
      </c>
      <c r="BF109" s="911">
        <f t="shared" si="104"/>
        <v>12.402176728776041</v>
      </c>
      <c r="BG109" s="911">
        <f t="shared" si="105"/>
        <v>0.97871473364583328</v>
      </c>
      <c r="BH109" s="911">
        <f>BE109*AW109</f>
        <v>13.380891462421873</v>
      </c>
      <c r="BI109" s="911">
        <f>BE109*AX109</f>
        <v>0</v>
      </c>
    </row>
    <row r="110" spans="2:61" s="896" customFormat="1" ht="13.5" thickBot="1">
      <c r="B110" s="922" t="s">
        <v>813</v>
      </c>
      <c r="C110" s="923"/>
      <c r="D110" s="924">
        <v>0</v>
      </c>
      <c r="E110" s="925">
        <v>0</v>
      </c>
      <c r="F110" s="925">
        <v>0</v>
      </c>
      <c r="G110" s="925">
        <v>0</v>
      </c>
      <c r="H110" s="926">
        <f>D110*(E110*AE110+F110*AI110+G110*AN110)*365/1000</f>
        <v>0</v>
      </c>
      <c r="I110" s="926">
        <f>D110*SUM(AP110:AQ110)</f>
        <v>0</v>
      </c>
      <c r="J110" s="901">
        <f t="shared" si="56"/>
        <v>0</v>
      </c>
      <c r="K110" s="926">
        <f>$D110*(E110*AE110+F110*AI110)*365/1000</f>
        <v>0</v>
      </c>
      <c r="L110" s="926">
        <f>D110*G110*AN110*365/1000</f>
        <v>0</v>
      </c>
      <c r="M110" s="926">
        <f>D110*AP110</f>
        <v>0</v>
      </c>
      <c r="N110" s="926">
        <f>D110*AQ110</f>
        <v>0</v>
      </c>
      <c r="O110" s="926">
        <f t="shared" si="109"/>
        <v>0</v>
      </c>
      <c r="P110" s="926">
        <f t="shared" si="110"/>
        <v>0</v>
      </c>
      <c r="Q110" s="926">
        <f t="shared" si="111"/>
        <v>0</v>
      </c>
      <c r="R110" s="926">
        <f t="shared" si="112"/>
        <v>0</v>
      </c>
      <c r="S110" s="926">
        <f>$D110*(AP110-(E110*AE110+F110*AI110)*365/1000)</f>
        <v>0</v>
      </c>
      <c r="T110" s="926">
        <f>D110*(AQ110-G110*AN110*365/1000)</f>
        <v>0</v>
      </c>
      <c r="U110" s="927">
        <f>IF(D110=0,0,(I110-H110)/I110)</f>
        <v>0</v>
      </c>
      <c r="V110" s="903"/>
      <c r="W110" s="884">
        <v>1E-3</v>
      </c>
      <c r="X110" s="887">
        <v>0</v>
      </c>
      <c r="Y110" s="886">
        <v>0</v>
      </c>
      <c r="Z110" s="887">
        <v>0</v>
      </c>
      <c r="AA110" s="928">
        <f t="shared" si="92"/>
        <v>0</v>
      </c>
      <c r="AB110" s="929"/>
      <c r="AC110" s="928">
        <v>0</v>
      </c>
      <c r="AD110" s="930">
        <v>0</v>
      </c>
      <c r="AE110" s="931">
        <v>0</v>
      </c>
      <c r="AF110" s="932">
        <v>0</v>
      </c>
      <c r="AG110" s="931">
        <v>0</v>
      </c>
      <c r="AH110" s="933">
        <v>0</v>
      </c>
      <c r="AI110" s="931">
        <v>0</v>
      </c>
      <c r="AJ110" s="932">
        <v>0</v>
      </c>
      <c r="AK110" s="932"/>
      <c r="AL110" s="931">
        <v>0</v>
      </c>
      <c r="AM110" s="932">
        <v>0</v>
      </c>
      <c r="AN110" s="931">
        <v>0</v>
      </c>
      <c r="AO110" s="932">
        <v>0</v>
      </c>
      <c r="AP110" s="911">
        <f t="shared" si="93"/>
        <v>0</v>
      </c>
      <c r="AQ110" s="911">
        <f t="shared" si="94"/>
        <v>0</v>
      </c>
      <c r="AR110" s="911">
        <f t="shared" si="108"/>
        <v>0</v>
      </c>
      <c r="AS110" s="911">
        <f t="shared" si="95"/>
        <v>0</v>
      </c>
      <c r="AT110" s="911">
        <f t="shared" si="96"/>
        <v>0</v>
      </c>
      <c r="AU110" s="912">
        <f t="shared" si="97"/>
        <v>0</v>
      </c>
      <c r="AV110" s="890"/>
      <c r="AW110" s="895">
        <v>1</v>
      </c>
      <c r="AX110" s="895">
        <v>0</v>
      </c>
      <c r="AY110" s="913">
        <f t="shared" si="98"/>
        <v>0</v>
      </c>
      <c r="AZ110" s="913">
        <f t="shared" si="99"/>
        <v>0</v>
      </c>
      <c r="BA110" s="890"/>
      <c r="BB110" s="911">
        <f t="shared" si="100"/>
        <v>0</v>
      </c>
      <c r="BC110" s="911">
        <f t="shared" si="101"/>
        <v>0</v>
      </c>
      <c r="BD110" s="911">
        <f t="shared" si="102"/>
        <v>0</v>
      </c>
      <c r="BE110" s="911">
        <f t="shared" si="103"/>
        <v>0</v>
      </c>
      <c r="BF110" s="911">
        <f>IF(D110=0,0,(BB110+BC110*C$5+BD110/1000*C$4)*AS110/AU110)</f>
        <v>0</v>
      </c>
      <c r="BG110" s="911">
        <f>IF(D110=0,0,(BB110+BC110*C$5+BD110/1000*C$4)*AT110/AU110)</f>
        <v>0</v>
      </c>
      <c r="BH110" s="911">
        <f t="shared" si="106"/>
        <v>0</v>
      </c>
      <c r="BI110" s="911">
        <f t="shared" si="107"/>
        <v>0</v>
      </c>
    </row>
    <row r="111" spans="2:61" s="896" customFormat="1" ht="13.5" thickBot="1">
      <c r="B111" s="965" t="s">
        <v>651</v>
      </c>
      <c r="C111" s="934"/>
      <c r="D111" s="935"/>
      <c r="E111" s="936"/>
      <c r="F111" s="936"/>
      <c r="G111" s="936"/>
      <c r="H111" s="937"/>
      <c r="I111" s="937"/>
      <c r="J111" s="937"/>
      <c r="K111" s="937"/>
      <c r="L111" s="937"/>
      <c r="M111" s="937"/>
      <c r="N111" s="937"/>
      <c r="O111" s="937"/>
      <c r="P111" s="937"/>
      <c r="Q111" s="937"/>
      <c r="R111" s="937"/>
      <c r="S111" s="937"/>
      <c r="T111" s="937"/>
      <c r="U111" s="938"/>
      <c r="V111" s="883"/>
      <c r="W111" s="884"/>
      <c r="X111" s="887"/>
      <c r="Y111" s="886"/>
      <c r="Z111" s="887"/>
      <c r="AA111" s="905"/>
      <c r="AB111" s="888"/>
      <c r="AC111" s="905"/>
      <c r="AD111" s="889"/>
      <c r="AE111" s="890"/>
      <c r="AF111" s="891"/>
      <c r="AG111" s="890"/>
      <c r="AH111" s="892"/>
      <c r="AI111" s="890"/>
      <c r="AJ111" s="891"/>
      <c r="AK111" s="891"/>
      <c r="AL111" s="890"/>
      <c r="AM111" s="891"/>
      <c r="AN111" s="890"/>
      <c r="AO111" s="891"/>
      <c r="AP111" s="911"/>
      <c r="AQ111" s="911"/>
      <c r="AR111" s="911">
        <f t="shared" si="108"/>
        <v>0</v>
      </c>
      <c r="AS111" s="911"/>
      <c r="AT111" s="911"/>
      <c r="AU111" s="912"/>
      <c r="AV111" s="890"/>
      <c r="AW111" s="895"/>
      <c r="AX111" s="895"/>
      <c r="AY111" s="913"/>
      <c r="AZ111" s="913"/>
      <c r="BA111" s="890"/>
      <c r="BB111" s="890"/>
      <c r="BC111" s="890"/>
      <c r="BD111" s="890"/>
      <c r="BE111" s="911"/>
      <c r="BF111" s="911"/>
      <c r="BG111" s="911"/>
      <c r="BH111" s="911"/>
      <c r="BI111" s="911"/>
    </row>
    <row r="112" spans="2:61" s="896" customFormat="1">
      <c r="B112" s="897" t="s">
        <v>652</v>
      </c>
      <c r="C112" s="898"/>
      <c r="D112" s="899">
        <v>0</v>
      </c>
      <c r="E112" s="900">
        <v>0</v>
      </c>
      <c r="F112" s="900">
        <v>0</v>
      </c>
      <c r="G112" s="900">
        <v>0</v>
      </c>
      <c r="H112" s="901">
        <f t="shared" ref="H112:H117" si="113">D112*(E112*AE112+F112*AI112+G112*AN112)*365/1000</f>
        <v>0</v>
      </c>
      <c r="I112" s="901">
        <f t="shared" ref="I112:I117" si="114">D112*SUM(AP112:AQ112)</f>
        <v>0</v>
      </c>
      <c r="J112" s="901">
        <f t="shared" si="56"/>
        <v>0</v>
      </c>
      <c r="K112" s="901">
        <f t="shared" ref="K112:K117" si="115">$D112*(E112*AE112+F112*AI112)*365/1000</f>
        <v>0</v>
      </c>
      <c r="L112" s="901">
        <f t="shared" ref="L112:L117" si="116">D112*G112*AN112*365/1000</f>
        <v>0</v>
      </c>
      <c r="M112" s="901">
        <f t="shared" ref="M112:M117" si="117">D112*AP112</f>
        <v>0</v>
      </c>
      <c r="N112" s="901">
        <f t="shared" ref="N112:N117" si="118">D112*AQ112</f>
        <v>0</v>
      </c>
      <c r="O112" s="901">
        <f t="shared" si="109"/>
        <v>0</v>
      </c>
      <c r="P112" s="901">
        <f t="shared" si="110"/>
        <v>0</v>
      </c>
      <c r="Q112" s="901">
        <f t="shared" si="111"/>
        <v>0</v>
      </c>
      <c r="R112" s="901">
        <f t="shared" si="112"/>
        <v>0</v>
      </c>
      <c r="S112" s="901">
        <f t="shared" ref="S112:S117" si="119">$D112*(AP112-(E112*AE112+F112*AI112)*365/1000)</f>
        <v>0</v>
      </c>
      <c r="T112" s="901">
        <f t="shared" ref="T112:T117" si="120">D112*(AQ112-G112*AN112*365/1000)</f>
        <v>0</v>
      </c>
      <c r="U112" s="902">
        <f t="shared" ref="U112:U117" si="121">IF(D112=0,0,(I112-H112)/I112)</f>
        <v>0</v>
      </c>
      <c r="V112" s="903"/>
      <c r="W112" s="904">
        <v>0.86099999999999999</v>
      </c>
      <c r="X112" s="920">
        <v>21</v>
      </c>
      <c r="Y112" s="886">
        <v>35.25</v>
      </c>
      <c r="Z112" s="887">
        <v>1</v>
      </c>
      <c r="AA112" s="905">
        <f t="shared" ref="AA112:AA117" si="122">W112*Y112</f>
        <v>30.350249999999999</v>
      </c>
      <c r="AB112" s="888"/>
      <c r="AC112" s="906">
        <v>0</v>
      </c>
      <c r="AD112" s="907">
        <v>21</v>
      </c>
      <c r="AE112" s="908">
        <v>23.88</v>
      </c>
      <c r="AF112" s="909">
        <v>21</v>
      </c>
      <c r="AG112" s="908">
        <v>375</v>
      </c>
      <c r="AH112" s="921">
        <v>21</v>
      </c>
      <c r="AI112" s="908">
        <v>0.06</v>
      </c>
      <c r="AJ112" s="909">
        <v>21</v>
      </c>
      <c r="AK112" s="909"/>
      <c r="AL112" s="908">
        <v>1500</v>
      </c>
      <c r="AM112" s="909">
        <v>21</v>
      </c>
      <c r="AN112" s="908">
        <v>0.06</v>
      </c>
      <c r="AO112" s="909">
        <v>21</v>
      </c>
      <c r="AP112" s="911">
        <f t="shared" ref="AP112:AP117" si="123">(AC112*AE112+AG112*AI112)*365/1000</f>
        <v>8.2125000000000004</v>
      </c>
      <c r="AQ112" s="911">
        <f t="shared" ref="AQ112:AQ117" si="124">AL112*AN112*365/1000</f>
        <v>32.85</v>
      </c>
      <c r="AR112" s="911">
        <f t="shared" si="108"/>
        <v>41.0625</v>
      </c>
      <c r="AS112" s="911">
        <f t="shared" ref="AS112:AS117" si="125">AP112*W112</f>
        <v>7.0709625000000003</v>
      </c>
      <c r="AT112" s="911">
        <f t="shared" ref="AT112:AT117" si="126">AQ112*W112</f>
        <v>28.283850000000001</v>
      </c>
      <c r="AU112" s="912">
        <f t="shared" ref="AU112:AU117" si="127">SUM(AS112:AT112)</f>
        <v>35.354812500000001</v>
      </c>
      <c r="AV112" s="890"/>
      <c r="AW112" s="895">
        <v>0.8</v>
      </c>
      <c r="AX112" s="895">
        <v>0.2</v>
      </c>
      <c r="AY112" s="913">
        <f t="shared" ref="AY112:AY117" si="128">AU112*AW112</f>
        <v>28.283850000000001</v>
      </c>
      <c r="AZ112" s="913">
        <f t="shared" ref="AZ112:AZ117" si="129">AU112*AX112</f>
        <v>7.0709625000000003</v>
      </c>
      <c r="BA112" s="890"/>
      <c r="BB112" s="911">
        <f t="shared" ref="BB112:BB117" si="130">AU112/2</f>
        <v>17.677406250000001</v>
      </c>
      <c r="BC112" s="911">
        <f>AU112/2/3</f>
        <v>5.8924687499999999</v>
      </c>
      <c r="BD112" s="911">
        <v>0</v>
      </c>
      <c r="BE112" s="911">
        <f t="shared" ref="BE112:BE117" si="131">BB112+BC112*C$5+BD112/1000*C$4</f>
        <v>35.354812500000001</v>
      </c>
      <c r="BF112" s="911">
        <f>(BB112+BC112*C$5+BD112/1000*C$4)*AS112/AU112</f>
        <v>7.0709625000000003</v>
      </c>
      <c r="BG112" s="911">
        <f>(BB112+BC112*C$5+BD112/1000*C$4)*AT112/AU112</f>
        <v>28.283850000000001</v>
      </c>
      <c r="BH112" s="911">
        <f t="shared" ref="BH112:BH117" si="132">BE112*AW112</f>
        <v>28.283850000000001</v>
      </c>
      <c r="BI112" s="911">
        <f t="shared" ref="BI112:BI117" si="133">BE112*AX112</f>
        <v>7.0709625000000003</v>
      </c>
    </row>
    <row r="113" spans="2:61" s="896" customFormat="1">
      <c r="B113" s="914" t="s">
        <v>653</v>
      </c>
      <c r="C113" s="915"/>
      <c r="D113" s="916">
        <v>0</v>
      </c>
      <c r="E113" s="917">
        <v>0</v>
      </c>
      <c r="F113" s="917">
        <v>0</v>
      </c>
      <c r="G113" s="917">
        <v>0</v>
      </c>
      <c r="H113" s="918">
        <f t="shared" si="113"/>
        <v>0</v>
      </c>
      <c r="I113" s="918">
        <f t="shared" si="114"/>
        <v>0</v>
      </c>
      <c r="J113" s="901">
        <f t="shared" ref="J113:J158" si="134">IF(D113&gt;0,I113/D113*W113,0)</f>
        <v>0</v>
      </c>
      <c r="K113" s="918">
        <f t="shared" si="115"/>
        <v>0</v>
      </c>
      <c r="L113" s="918">
        <f t="shared" si="116"/>
        <v>0</v>
      </c>
      <c r="M113" s="918">
        <f t="shared" si="117"/>
        <v>0</v>
      </c>
      <c r="N113" s="918">
        <f t="shared" si="118"/>
        <v>0</v>
      </c>
      <c r="O113" s="918">
        <f t="shared" si="109"/>
        <v>0</v>
      </c>
      <c r="P113" s="918">
        <f t="shared" si="110"/>
        <v>0</v>
      </c>
      <c r="Q113" s="918">
        <f t="shared" si="111"/>
        <v>0</v>
      </c>
      <c r="R113" s="918">
        <f t="shared" si="112"/>
        <v>0</v>
      </c>
      <c r="S113" s="918">
        <f t="shared" si="119"/>
        <v>0</v>
      </c>
      <c r="T113" s="918">
        <f t="shared" si="120"/>
        <v>0</v>
      </c>
      <c r="U113" s="919">
        <f t="shared" si="121"/>
        <v>0</v>
      </c>
      <c r="V113" s="903"/>
      <c r="W113" s="884">
        <v>0.53201970443349755</v>
      </c>
      <c r="X113" s="887">
        <v>1</v>
      </c>
      <c r="Y113" s="886">
        <v>1</v>
      </c>
      <c r="Z113" s="887">
        <v>1</v>
      </c>
      <c r="AA113" s="905">
        <f t="shared" si="122"/>
        <v>0.53201970443349755</v>
      </c>
      <c r="AB113" s="888"/>
      <c r="AC113" s="905"/>
      <c r="AD113" s="889"/>
      <c r="AE113" s="890"/>
      <c r="AF113" s="891"/>
      <c r="AG113" s="890"/>
      <c r="AH113" s="892"/>
      <c r="AI113" s="890"/>
      <c r="AJ113" s="891"/>
      <c r="AK113" s="891"/>
      <c r="AL113" s="893">
        <f>Y113*1000/365/0.1</f>
        <v>27.397260273972599</v>
      </c>
      <c r="AM113" s="891">
        <v>0</v>
      </c>
      <c r="AN113" s="890">
        <v>0.1</v>
      </c>
      <c r="AO113" s="891">
        <v>0</v>
      </c>
      <c r="AP113" s="911">
        <f t="shared" si="123"/>
        <v>0</v>
      </c>
      <c r="AQ113" s="911">
        <f t="shared" si="124"/>
        <v>1</v>
      </c>
      <c r="AR113" s="911">
        <f t="shared" si="108"/>
        <v>1</v>
      </c>
      <c r="AS113" s="911">
        <f t="shared" si="125"/>
        <v>0</v>
      </c>
      <c r="AT113" s="911">
        <f t="shared" si="126"/>
        <v>0.53201970443349755</v>
      </c>
      <c r="AU113" s="912">
        <f t="shared" si="127"/>
        <v>0.53201970443349755</v>
      </c>
      <c r="AV113" s="890"/>
      <c r="AW113" s="895">
        <v>1</v>
      </c>
      <c r="AX113" s="895">
        <v>0</v>
      </c>
      <c r="AY113" s="913">
        <f t="shared" si="128"/>
        <v>0.53201970443349755</v>
      </c>
      <c r="AZ113" s="913">
        <f t="shared" si="129"/>
        <v>0</v>
      </c>
      <c r="BA113" s="890"/>
      <c r="BB113" s="911">
        <f t="shared" si="130"/>
        <v>0.26600985221674878</v>
      </c>
      <c r="BC113" s="911">
        <f>AU113/2/3</f>
        <v>8.8669950738916259E-2</v>
      </c>
      <c r="BD113" s="911">
        <v>0</v>
      </c>
      <c r="BE113" s="911">
        <f t="shared" si="131"/>
        <v>0.53201970443349755</v>
      </c>
      <c r="BF113" s="911">
        <f>(BB113+BC113*C$5+BD113/1000*C$4)*AS113/AU113</f>
        <v>0</v>
      </c>
      <c r="BG113" s="911">
        <f>(BB113+BC113*C$5+BD113/1000*C$4)*AT113/AU113</f>
        <v>0.53201970443349755</v>
      </c>
      <c r="BH113" s="911">
        <f t="shared" si="132"/>
        <v>0.53201970443349755</v>
      </c>
      <c r="BI113" s="911">
        <f t="shared" si="133"/>
        <v>0</v>
      </c>
    </row>
    <row r="114" spans="2:61" s="896" customFormat="1">
      <c r="B114" s="914" t="s">
        <v>12</v>
      </c>
      <c r="C114" s="915"/>
      <c r="D114" s="916">
        <v>0</v>
      </c>
      <c r="E114" s="917">
        <v>0</v>
      </c>
      <c r="F114" s="917">
        <v>0</v>
      </c>
      <c r="G114" s="917">
        <v>0</v>
      </c>
      <c r="H114" s="918">
        <f t="shared" si="113"/>
        <v>0</v>
      </c>
      <c r="I114" s="918">
        <f t="shared" si="114"/>
        <v>0</v>
      </c>
      <c r="J114" s="901">
        <f t="shared" si="134"/>
        <v>0</v>
      </c>
      <c r="K114" s="918">
        <f t="shared" si="115"/>
        <v>0</v>
      </c>
      <c r="L114" s="918">
        <f t="shared" si="116"/>
        <v>0</v>
      </c>
      <c r="M114" s="918">
        <f t="shared" si="117"/>
        <v>0</v>
      </c>
      <c r="N114" s="918">
        <f t="shared" si="118"/>
        <v>0</v>
      </c>
      <c r="O114" s="918">
        <f t="shared" si="109"/>
        <v>0</v>
      </c>
      <c r="P114" s="918">
        <f t="shared" si="110"/>
        <v>0</v>
      </c>
      <c r="Q114" s="918">
        <f t="shared" si="111"/>
        <v>0</v>
      </c>
      <c r="R114" s="918">
        <f t="shared" si="112"/>
        <v>0</v>
      </c>
      <c r="S114" s="918">
        <f t="shared" si="119"/>
        <v>0</v>
      </c>
      <c r="T114" s="918">
        <f t="shared" si="120"/>
        <v>0</v>
      </c>
      <c r="U114" s="919">
        <f t="shared" si="121"/>
        <v>0</v>
      </c>
      <c r="V114" s="903"/>
      <c r="W114" s="904">
        <v>0.24299999999999999</v>
      </c>
      <c r="X114" s="920">
        <v>21</v>
      </c>
      <c r="Y114" s="886">
        <v>0</v>
      </c>
      <c r="Z114" s="887"/>
      <c r="AA114" s="905">
        <f t="shared" si="122"/>
        <v>0</v>
      </c>
      <c r="AB114" s="888"/>
      <c r="AC114" s="906">
        <v>0.3</v>
      </c>
      <c r="AD114" s="907">
        <v>21</v>
      </c>
      <c r="AE114" s="908">
        <v>1</v>
      </c>
      <c r="AF114" s="909">
        <v>0</v>
      </c>
      <c r="AG114" s="908">
        <v>0.68</v>
      </c>
      <c r="AH114" s="921">
        <v>21</v>
      </c>
      <c r="AI114" s="908">
        <v>2</v>
      </c>
      <c r="AJ114" s="909">
        <v>0</v>
      </c>
      <c r="AK114" s="909"/>
      <c r="AL114" s="908">
        <v>2.2999999999999998</v>
      </c>
      <c r="AM114" s="909">
        <v>21</v>
      </c>
      <c r="AN114" s="908">
        <v>0.5</v>
      </c>
      <c r="AO114" s="909">
        <v>0</v>
      </c>
      <c r="AP114" s="911">
        <f t="shared" si="123"/>
        <v>0.60590000000000011</v>
      </c>
      <c r="AQ114" s="911">
        <f t="shared" si="124"/>
        <v>0.41974999999999996</v>
      </c>
      <c r="AR114" s="911">
        <f t="shared" si="108"/>
        <v>1.0256500000000002</v>
      </c>
      <c r="AS114" s="911">
        <f t="shared" si="125"/>
        <v>0.14723370000000002</v>
      </c>
      <c r="AT114" s="911">
        <f t="shared" si="126"/>
        <v>0.10199924999999999</v>
      </c>
      <c r="AU114" s="912">
        <f t="shared" si="127"/>
        <v>0.24923295000000001</v>
      </c>
      <c r="AV114" s="890"/>
      <c r="AW114" s="895">
        <v>1</v>
      </c>
      <c r="AX114" s="895">
        <v>0</v>
      </c>
      <c r="AY114" s="913">
        <f t="shared" si="128"/>
        <v>0.24923295000000001</v>
      </c>
      <c r="AZ114" s="913">
        <f t="shared" si="129"/>
        <v>0</v>
      </c>
      <c r="BA114" s="890"/>
      <c r="BB114" s="911">
        <f t="shared" si="130"/>
        <v>0.124616475</v>
      </c>
      <c r="BC114" s="911">
        <f>AU114/2/3</f>
        <v>4.1538825000000001E-2</v>
      </c>
      <c r="BD114" s="911">
        <v>0</v>
      </c>
      <c r="BE114" s="911">
        <f t="shared" si="131"/>
        <v>0.24923295000000001</v>
      </c>
      <c r="BF114" s="911">
        <f>(BB114+BC114*C$5+BD114/1000*C$4)*AS114/AU114</f>
        <v>0.14723370000000002</v>
      </c>
      <c r="BG114" s="911">
        <f>(BB114+BC114*C$5+BD114/1000*C$4)*AT114/AU114</f>
        <v>0.10199924999999999</v>
      </c>
      <c r="BH114" s="911">
        <f t="shared" si="132"/>
        <v>0.24923295000000001</v>
      </c>
      <c r="BI114" s="911">
        <f t="shared" si="133"/>
        <v>0</v>
      </c>
    </row>
    <row r="115" spans="2:61" s="896" customFormat="1">
      <c r="B115" s="914" t="s">
        <v>13</v>
      </c>
      <c r="C115" s="915"/>
      <c r="D115" s="916">
        <v>0</v>
      </c>
      <c r="E115" s="917">
        <v>0</v>
      </c>
      <c r="F115" s="917">
        <v>0</v>
      </c>
      <c r="G115" s="917">
        <v>0</v>
      </c>
      <c r="H115" s="918">
        <f t="shared" si="113"/>
        <v>0</v>
      </c>
      <c r="I115" s="918">
        <f t="shared" si="114"/>
        <v>0</v>
      </c>
      <c r="J115" s="901">
        <f t="shared" si="134"/>
        <v>0</v>
      </c>
      <c r="K115" s="918">
        <f t="shared" si="115"/>
        <v>0</v>
      </c>
      <c r="L115" s="918">
        <f t="shared" si="116"/>
        <v>0</v>
      </c>
      <c r="M115" s="918">
        <f t="shared" si="117"/>
        <v>0</v>
      </c>
      <c r="N115" s="918">
        <f t="shared" si="118"/>
        <v>0</v>
      </c>
      <c r="O115" s="918">
        <f>H115*AW115</f>
        <v>0</v>
      </c>
      <c r="P115" s="918">
        <f>H115*AX115</f>
        <v>0</v>
      </c>
      <c r="Q115" s="918">
        <f>I115*AW115</f>
        <v>0</v>
      </c>
      <c r="R115" s="918">
        <f>I115*AX115</f>
        <v>0</v>
      </c>
      <c r="S115" s="918">
        <f t="shared" si="119"/>
        <v>0</v>
      </c>
      <c r="T115" s="918">
        <f t="shared" si="120"/>
        <v>0</v>
      </c>
      <c r="U115" s="919">
        <f t="shared" si="121"/>
        <v>0</v>
      </c>
      <c r="V115" s="903"/>
      <c r="W115" s="904">
        <v>7.8E-2</v>
      </c>
      <c r="X115" s="920">
        <v>21</v>
      </c>
      <c r="Y115" s="886">
        <v>26</v>
      </c>
      <c r="Z115" s="887">
        <v>1</v>
      </c>
      <c r="AA115" s="905">
        <f t="shared" si="122"/>
        <v>2.028</v>
      </c>
      <c r="AB115" s="888"/>
      <c r="AC115" s="906">
        <v>1.7</v>
      </c>
      <c r="AD115" s="907">
        <v>21</v>
      </c>
      <c r="AE115" s="908">
        <v>4</v>
      </c>
      <c r="AF115" s="909">
        <v>0</v>
      </c>
      <c r="AG115" s="908">
        <v>1.6</v>
      </c>
      <c r="AH115" s="921">
        <v>21</v>
      </c>
      <c r="AI115" s="908">
        <v>14</v>
      </c>
      <c r="AJ115" s="909">
        <v>0</v>
      </c>
      <c r="AK115" s="909"/>
      <c r="AL115" s="908">
        <v>1.7</v>
      </c>
      <c r="AM115" s="909">
        <v>21</v>
      </c>
      <c r="AN115" s="908">
        <v>1.4</v>
      </c>
      <c r="AO115" s="909">
        <v>0</v>
      </c>
      <c r="AP115" s="911">
        <f t="shared" si="123"/>
        <v>10.658000000000001</v>
      </c>
      <c r="AQ115" s="911">
        <f t="shared" si="124"/>
        <v>0.86869999999999992</v>
      </c>
      <c r="AR115" s="911">
        <f>SUM(AP115:AQ115)</f>
        <v>11.526700000000002</v>
      </c>
      <c r="AS115" s="911">
        <f t="shared" si="125"/>
        <v>0.83132400000000006</v>
      </c>
      <c r="AT115" s="911">
        <f t="shared" si="126"/>
        <v>6.7758599999999988E-2</v>
      </c>
      <c r="AU115" s="912">
        <f t="shared" si="127"/>
        <v>0.89908260000000007</v>
      </c>
      <c r="AV115" s="890"/>
      <c r="AW115" s="895">
        <v>1</v>
      </c>
      <c r="AX115" s="895">
        <v>0</v>
      </c>
      <c r="AY115" s="913">
        <f t="shared" si="128"/>
        <v>0.89908260000000007</v>
      </c>
      <c r="AZ115" s="913">
        <f t="shared" si="129"/>
        <v>0</v>
      </c>
      <c r="BA115" s="890"/>
      <c r="BB115" s="911">
        <f t="shared" si="130"/>
        <v>0.44954130000000003</v>
      </c>
      <c r="BC115" s="911">
        <f>AU115/2/3</f>
        <v>0.14984710000000001</v>
      </c>
      <c r="BD115" s="911">
        <v>0</v>
      </c>
      <c r="BE115" s="911">
        <f t="shared" si="131"/>
        <v>0.89908260000000007</v>
      </c>
      <c r="BF115" s="911">
        <f>(BB115+BC115*C$5+BD115/1000*C$4)*AS115/AU115</f>
        <v>0.83132400000000006</v>
      </c>
      <c r="BG115" s="911">
        <f>(BB115+BC115*C$5+BD115/1000*C$4)*AT115/AU115</f>
        <v>6.7758599999999988E-2</v>
      </c>
      <c r="BH115" s="911">
        <f t="shared" si="132"/>
        <v>0.89908260000000007</v>
      </c>
      <c r="BI115" s="911">
        <f t="shared" si="133"/>
        <v>0</v>
      </c>
    </row>
    <row r="116" spans="2:61" s="896" customFormat="1">
      <c r="B116" s="914" t="s">
        <v>1292</v>
      </c>
      <c r="C116" s="915"/>
      <c r="D116" s="916">
        <v>0</v>
      </c>
      <c r="E116" s="917">
        <v>0</v>
      </c>
      <c r="F116" s="917">
        <v>0</v>
      </c>
      <c r="G116" s="917">
        <v>0</v>
      </c>
      <c r="H116" s="918">
        <f t="shared" si="113"/>
        <v>0</v>
      </c>
      <c r="I116" s="918">
        <f t="shared" si="114"/>
        <v>0</v>
      </c>
      <c r="J116" s="901">
        <f t="shared" si="134"/>
        <v>0</v>
      </c>
      <c r="K116" s="918">
        <f t="shared" si="115"/>
        <v>0</v>
      </c>
      <c r="L116" s="918">
        <f t="shared" si="116"/>
        <v>0</v>
      </c>
      <c r="M116" s="918">
        <f t="shared" si="117"/>
        <v>0</v>
      </c>
      <c r="N116" s="918">
        <f t="shared" si="118"/>
        <v>0</v>
      </c>
      <c r="O116" s="918">
        <f t="shared" si="109"/>
        <v>0</v>
      </c>
      <c r="P116" s="918">
        <f t="shared" si="110"/>
        <v>0</v>
      </c>
      <c r="Q116" s="918">
        <f t="shared" si="111"/>
        <v>0</v>
      </c>
      <c r="R116" s="918">
        <f t="shared" si="112"/>
        <v>0</v>
      </c>
      <c r="S116" s="918">
        <f t="shared" si="119"/>
        <v>0</v>
      </c>
      <c r="T116" s="918">
        <f t="shared" si="120"/>
        <v>0</v>
      </c>
      <c r="U116" s="919">
        <f t="shared" si="121"/>
        <v>0</v>
      </c>
      <c r="V116" s="903"/>
      <c r="W116" s="904">
        <v>6.7000000000000004E-2</v>
      </c>
      <c r="X116" s="920">
        <v>21</v>
      </c>
      <c r="Y116" s="886">
        <v>26</v>
      </c>
      <c r="Z116" s="887">
        <v>1</v>
      </c>
      <c r="AA116" s="905">
        <f t="shared" si="122"/>
        <v>1.742</v>
      </c>
      <c r="AB116" s="888"/>
      <c r="AC116" s="906">
        <v>0.3</v>
      </c>
      <c r="AD116" s="907">
        <v>21</v>
      </c>
      <c r="AE116" s="908">
        <v>1</v>
      </c>
      <c r="AF116" s="909">
        <v>0</v>
      </c>
      <c r="AG116" s="908">
        <v>0.68</v>
      </c>
      <c r="AH116" s="921">
        <v>21</v>
      </c>
      <c r="AI116" s="908">
        <v>2</v>
      </c>
      <c r="AJ116" s="909">
        <v>0</v>
      </c>
      <c r="AK116" s="909"/>
      <c r="AL116" s="908">
        <v>2.2999999999999998</v>
      </c>
      <c r="AM116" s="909">
        <v>21</v>
      </c>
      <c r="AN116" s="908">
        <v>0.5</v>
      </c>
      <c r="AO116" s="909">
        <v>0</v>
      </c>
      <c r="AP116" s="911">
        <f t="shared" si="123"/>
        <v>0.60590000000000011</v>
      </c>
      <c r="AQ116" s="911">
        <f t="shared" si="124"/>
        <v>0.41974999999999996</v>
      </c>
      <c r="AR116" s="911">
        <f t="shared" si="108"/>
        <v>1.0256500000000002</v>
      </c>
      <c r="AS116" s="911">
        <f t="shared" si="125"/>
        <v>4.0595300000000008E-2</v>
      </c>
      <c r="AT116" s="911">
        <f t="shared" si="126"/>
        <v>2.8123249999999999E-2</v>
      </c>
      <c r="AU116" s="912">
        <f t="shared" si="127"/>
        <v>6.8718550000000003E-2</v>
      </c>
      <c r="AV116" s="890"/>
      <c r="AW116" s="895">
        <v>1</v>
      </c>
      <c r="AX116" s="895">
        <v>0</v>
      </c>
      <c r="AY116" s="913">
        <f t="shared" si="128"/>
        <v>6.8718550000000003E-2</v>
      </c>
      <c r="AZ116" s="913">
        <f t="shared" si="129"/>
        <v>0</v>
      </c>
      <c r="BA116" s="890"/>
      <c r="BB116" s="911">
        <f t="shared" si="130"/>
        <v>3.4359275000000002E-2</v>
      </c>
      <c r="BC116" s="911">
        <f>AU116/2/3</f>
        <v>1.1453091666666667E-2</v>
      </c>
      <c r="BD116" s="911">
        <v>0</v>
      </c>
      <c r="BE116" s="911">
        <f t="shared" si="131"/>
        <v>6.8718550000000003E-2</v>
      </c>
      <c r="BF116" s="911">
        <f>(BB116+BC116*C$5+BD116/1000*C$4)*AS116/AU116</f>
        <v>4.0595300000000008E-2</v>
      </c>
      <c r="BG116" s="911">
        <f>(BB116+BC116*C$5+BD116/1000*C$4)*AT116/AU116</f>
        <v>2.8123249999999999E-2</v>
      </c>
      <c r="BH116" s="911">
        <f t="shared" si="132"/>
        <v>6.8718550000000003E-2</v>
      </c>
      <c r="BI116" s="911">
        <f t="shared" si="133"/>
        <v>0</v>
      </c>
    </row>
    <row r="117" spans="2:61" s="896" customFormat="1" ht="13.5" thickBot="1">
      <c r="B117" s="922" t="s">
        <v>813</v>
      </c>
      <c r="C117" s="923"/>
      <c r="D117" s="924">
        <v>0</v>
      </c>
      <c r="E117" s="925">
        <v>0</v>
      </c>
      <c r="F117" s="925">
        <v>0</v>
      </c>
      <c r="G117" s="925">
        <v>0</v>
      </c>
      <c r="H117" s="926">
        <f t="shared" si="113"/>
        <v>0</v>
      </c>
      <c r="I117" s="926">
        <f t="shared" si="114"/>
        <v>0</v>
      </c>
      <c r="J117" s="901">
        <f t="shared" si="134"/>
        <v>0</v>
      </c>
      <c r="K117" s="926">
        <f t="shared" si="115"/>
        <v>0</v>
      </c>
      <c r="L117" s="926">
        <f t="shared" si="116"/>
        <v>0</v>
      </c>
      <c r="M117" s="926">
        <f t="shared" si="117"/>
        <v>0</v>
      </c>
      <c r="N117" s="926">
        <f t="shared" si="118"/>
        <v>0</v>
      </c>
      <c r="O117" s="926">
        <f t="shared" si="109"/>
        <v>0</v>
      </c>
      <c r="P117" s="926">
        <f t="shared" si="110"/>
        <v>0</v>
      </c>
      <c r="Q117" s="926">
        <f t="shared" si="111"/>
        <v>0</v>
      </c>
      <c r="R117" s="926">
        <f t="shared" si="112"/>
        <v>0</v>
      </c>
      <c r="S117" s="926">
        <f t="shared" si="119"/>
        <v>0</v>
      </c>
      <c r="T117" s="926">
        <f t="shared" si="120"/>
        <v>0</v>
      </c>
      <c r="U117" s="927">
        <f t="shared" si="121"/>
        <v>0</v>
      </c>
      <c r="V117" s="903"/>
      <c r="W117" s="884">
        <v>1E-3</v>
      </c>
      <c r="X117" s="887">
        <v>0</v>
      </c>
      <c r="Y117" s="886">
        <v>0</v>
      </c>
      <c r="Z117" s="887">
        <v>0</v>
      </c>
      <c r="AA117" s="928">
        <f t="shared" si="122"/>
        <v>0</v>
      </c>
      <c r="AB117" s="929"/>
      <c r="AC117" s="928">
        <v>0</v>
      </c>
      <c r="AD117" s="930">
        <v>0</v>
      </c>
      <c r="AE117" s="931">
        <v>0</v>
      </c>
      <c r="AF117" s="932">
        <v>0</v>
      </c>
      <c r="AG117" s="931">
        <v>0</v>
      </c>
      <c r="AH117" s="933">
        <v>0</v>
      </c>
      <c r="AI117" s="931">
        <v>0</v>
      </c>
      <c r="AJ117" s="932">
        <v>0</v>
      </c>
      <c r="AK117" s="932"/>
      <c r="AL117" s="931">
        <v>0</v>
      </c>
      <c r="AM117" s="932">
        <v>0</v>
      </c>
      <c r="AN117" s="931">
        <v>0</v>
      </c>
      <c r="AO117" s="932">
        <v>0</v>
      </c>
      <c r="AP117" s="911">
        <f t="shared" si="123"/>
        <v>0</v>
      </c>
      <c r="AQ117" s="911">
        <f t="shared" si="124"/>
        <v>0</v>
      </c>
      <c r="AR117" s="911">
        <f t="shared" si="108"/>
        <v>0</v>
      </c>
      <c r="AS117" s="911">
        <f t="shared" si="125"/>
        <v>0</v>
      </c>
      <c r="AT117" s="911">
        <f t="shared" si="126"/>
        <v>0</v>
      </c>
      <c r="AU117" s="912">
        <f t="shared" si="127"/>
        <v>0</v>
      </c>
      <c r="AV117" s="890"/>
      <c r="AW117" s="895">
        <v>1</v>
      </c>
      <c r="AX117" s="895">
        <v>0</v>
      </c>
      <c r="AY117" s="913">
        <f t="shared" si="128"/>
        <v>0</v>
      </c>
      <c r="AZ117" s="913">
        <f t="shared" si="129"/>
        <v>0</v>
      </c>
      <c r="BA117" s="890"/>
      <c r="BB117" s="911">
        <f t="shared" si="130"/>
        <v>0</v>
      </c>
      <c r="BC117" s="911">
        <f>AU117/4/3</f>
        <v>0</v>
      </c>
      <c r="BD117" s="911">
        <f>AU117/4/1920*1000</f>
        <v>0</v>
      </c>
      <c r="BE117" s="911">
        <f t="shared" si="131"/>
        <v>0</v>
      </c>
      <c r="BF117" s="911">
        <f>IF(D117=0,0,(BB117+BC117*C$5+BD117/1000*C$4)*AS117/AU117)</f>
        <v>0</v>
      </c>
      <c r="BG117" s="911">
        <f>IF(D117=0,0,(BB117+BC117*C$5+BD117/1000*C$4)*AT117/AU117)</f>
        <v>0</v>
      </c>
      <c r="BH117" s="911">
        <f t="shared" si="132"/>
        <v>0</v>
      </c>
      <c r="BI117" s="911">
        <f t="shared" si="133"/>
        <v>0</v>
      </c>
    </row>
    <row r="118" spans="2:61" s="896" customFormat="1" ht="13.5" thickBot="1">
      <c r="B118" s="965" t="s">
        <v>87</v>
      </c>
      <c r="C118" s="934"/>
      <c r="D118" s="935"/>
      <c r="E118" s="936"/>
      <c r="F118" s="936"/>
      <c r="G118" s="936"/>
      <c r="H118" s="937"/>
      <c r="I118" s="937"/>
      <c r="J118" s="937"/>
      <c r="K118" s="937"/>
      <c r="L118" s="937"/>
      <c r="M118" s="937"/>
      <c r="N118" s="937"/>
      <c r="O118" s="937"/>
      <c r="P118" s="937"/>
      <c r="Q118" s="937"/>
      <c r="R118" s="937"/>
      <c r="S118" s="937"/>
      <c r="T118" s="937"/>
      <c r="U118" s="938"/>
      <c r="V118" s="883"/>
      <c r="W118" s="884"/>
      <c r="X118" s="887"/>
      <c r="Y118" s="886"/>
      <c r="Z118" s="887"/>
      <c r="AA118" s="905"/>
      <c r="AB118" s="888"/>
      <c r="AC118" s="905"/>
      <c r="AD118" s="889"/>
      <c r="AE118" s="890"/>
      <c r="AF118" s="891"/>
      <c r="AG118" s="890"/>
      <c r="AH118" s="892"/>
      <c r="AI118" s="890"/>
      <c r="AJ118" s="891"/>
      <c r="AK118" s="891"/>
      <c r="AL118" s="890"/>
      <c r="AM118" s="891"/>
      <c r="AN118" s="890"/>
      <c r="AO118" s="891"/>
      <c r="AP118" s="911"/>
      <c r="AQ118" s="911"/>
      <c r="AR118" s="911">
        <f t="shared" si="108"/>
        <v>0</v>
      </c>
      <c r="AS118" s="911"/>
      <c r="AT118" s="911"/>
      <c r="AU118" s="912"/>
      <c r="AV118" s="890"/>
      <c r="AW118" s="895"/>
      <c r="AX118" s="895"/>
      <c r="AY118" s="913"/>
      <c r="AZ118" s="913"/>
      <c r="BA118" s="890"/>
      <c r="BB118" s="890"/>
      <c r="BC118" s="890"/>
      <c r="BD118" s="890"/>
      <c r="BE118" s="911"/>
      <c r="BF118" s="911"/>
      <c r="BG118" s="911"/>
      <c r="BH118" s="911"/>
      <c r="BI118" s="911"/>
    </row>
    <row r="119" spans="2:61" s="896" customFormat="1">
      <c r="B119" s="897" t="s">
        <v>88</v>
      </c>
      <c r="C119" s="898"/>
      <c r="D119" s="899">
        <v>0</v>
      </c>
      <c r="E119" s="900">
        <v>0</v>
      </c>
      <c r="F119" s="900">
        <v>0</v>
      </c>
      <c r="G119" s="900">
        <v>0</v>
      </c>
      <c r="H119" s="901">
        <f t="shared" ref="H119:H126" si="135">D119*(E119*AE119+F119*AI119+G119*AN119)*365/1000</f>
        <v>0</v>
      </c>
      <c r="I119" s="901">
        <f t="shared" ref="I119:I126" si="136">D119*SUM(AP119:AQ119)</f>
        <v>0</v>
      </c>
      <c r="J119" s="901">
        <f t="shared" si="134"/>
        <v>0</v>
      </c>
      <c r="K119" s="901">
        <f t="shared" ref="K119:K126" si="137">$D119*(E119*AE119+F119*AI119)*365/1000</f>
        <v>0</v>
      </c>
      <c r="L119" s="901">
        <f t="shared" ref="L119:L126" si="138">D119*G119*AN119*365/1000</f>
        <v>0</v>
      </c>
      <c r="M119" s="901">
        <f t="shared" ref="M119:M126" si="139">D119*AP119</f>
        <v>0</v>
      </c>
      <c r="N119" s="901">
        <f t="shared" ref="N119:N126" si="140">D119*AQ119</f>
        <v>0</v>
      </c>
      <c r="O119" s="901">
        <f t="shared" si="109"/>
        <v>0</v>
      </c>
      <c r="P119" s="901">
        <f t="shared" si="110"/>
        <v>0</v>
      </c>
      <c r="Q119" s="901">
        <f t="shared" si="111"/>
        <v>0</v>
      </c>
      <c r="R119" s="901">
        <f t="shared" si="112"/>
        <v>0</v>
      </c>
      <c r="S119" s="901">
        <f t="shared" ref="S119:S126" si="141">$D119*(AP119-(E119*AE119+F119*AI119)*365/1000)</f>
        <v>0</v>
      </c>
      <c r="T119" s="901">
        <f t="shared" ref="T119:T126" si="142">D119*(AQ119-G119*AN119*365/1000)</f>
        <v>0</v>
      </c>
      <c r="U119" s="902">
        <f t="shared" ref="U119:U126" si="143">IF(D119=0,0,(I119-H119)/I119)</f>
        <v>0</v>
      </c>
      <c r="V119" s="903"/>
      <c r="W119" s="1057">
        <f>0.8/111.1</f>
        <v>7.2007200720072013E-3</v>
      </c>
      <c r="X119" s="1060">
        <v>22</v>
      </c>
      <c r="Y119" s="886">
        <v>250</v>
      </c>
      <c r="Z119" s="887">
        <v>1</v>
      </c>
      <c r="AA119" s="905">
        <f t="shared" ref="AA119:AA126" si="144">W119*Y119</f>
        <v>1.8001800180018004</v>
      </c>
      <c r="AB119" s="888"/>
      <c r="AC119" s="905"/>
      <c r="AD119" s="889"/>
      <c r="AE119" s="890"/>
      <c r="AF119" s="891"/>
      <c r="AG119" s="890"/>
      <c r="AH119" s="892"/>
      <c r="AI119" s="890"/>
      <c r="AJ119" s="891"/>
      <c r="AK119" s="891"/>
      <c r="AL119" s="893">
        <f>Y119*1000/365/0.1</f>
        <v>6849.3150684931497</v>
      </c>
      <c r="AM119" s="891">
        <v>0</v>
      </c>
      <c r="AN119" s="890">
        <v>0.1</v>
      </c>
      <c r="AO119" s="891">
        <v>0</v>
      </c>
      <c r="AP119" s="911">
        <f t="shared" ref="AP119:AP126" si="145">(AC119*AE119+AG119*AI119)*365/1000</f>
        <v>0</v>
      </c>
      <c r="AQ119" s="911">
        <f t="shared" ref="AQ119:AQ126" si="146">AL119*AN119*365/1000</f>
        <v>250</v>
      </c>
      <c r="AR119" s="911">
        <f t="shared" si="108"/>
        <v>250</v>
      </c>
      <c r="AS119" s="911">
        <f t="shared" ref="AS119:AS126" si="147">AP119*W119</f>
        <v>0</v>
      </c>
      <c r="AT119" s="911">
        <f t="shared" ref="AT119:AT126" si="148">AQ119*W119</f>
        <v>1.8001800180018004</v>
      </c>
      <c r="AU119" s="912">
        <f t="shared" ref="AU119:AU126" si="149">SUM(AS119:AT119)</f>
        <v>1.8001800180018004</v>
      </c>
      <c r="AV119" s="890"/>
      <c r="AW119" s="895">
        <v>0</v>
      </c>
      <c r="AX119" s="895">
        <v>0</v>
      </c>
      <c r="AY119" s="913">
        <f t="shared" ref="AY119:AY126" si="150">AU119*AW119</f>
        <v>0</v>
      </c>
      <c r="AZ119" s="913">
        <f t="shared" ref="AZ119:AZ126" si="151">AU119*AX119</f>
        <v>0</v>
      </c>
      <c r="BA119" s="890"/>
      <c r="BB119" s="911">
        <f t="shared" ref="BB119:BB126" si="152">AU119/2</f>
        <v>0.90009000900090019</v>
      </c>
      <c r="BC119" s="911">
        <v>0</v>
      </c>
      <c r="BD119" s="911">
        <f>AU119/2/1920*1000</f>
        <v>0.46879687968796885</v>
      </c>
      <c r="BE119" s="911">
        <f t="shared" ref="BE119:BE126" si="153">BB119+BC119*C$5+BD119/1000*C$4</f>
        <v>1.9764476447644768</v>
      </c>
      <c r="BF119" s="911">
        <f t="shared" ref="BF119:BF125" si="154">(BB119+BC119*C$5+BD119/1000*C$4)*AS119/AU119</f>
        <v>0</v>
      </c>
      <c r="BG119" s="911">
        <f t="shared" ref="BG119:BG125" si="155">(BB119+BC119*C$5+BD119/1000*C$4)*AT119/AU119</f>
        <v>1.9764476447644765</v>
      </c>
      <c r="BH119" s="911">
        <f t="shared" ref="BH119:BH126" si="156">BE119*AW119</f>
        <v>0</v>
      </c>
      <c r="BI119" s="911">
        <f t="shared" ref="BI119:BI126" si="157">BE119*AX119</f>
        <v>0</v>
      </c>
    </row>
    <row r="120" spans="2:61" s="896" customFormat="1">
      <c r="B120" s="914" t="s">
        <v>89</v>
      </c>
      <c r="C120" s="915"/>
      <c r="D120" s="916">
        <v>0</v>
      </c>
      <c r="E120" s="917">
        <v>0</v>
      </c>
      <c r="F120" s="917">
        <v>0</v>
      </c>
      <c r="G120" s="917">
        <v>0</v>
      </c>
      <c r="H120" s="918">
        <f t="shared" si="135"/>
        <v>0</v>
      </c>
      <c r="I120" s="918">
        <f t="shared" si="136"/>
        <v>0</v>
      </c>
      <c r="J120" s="901">
        <f t="shared" si="134"/>
        <v>0</v>
      </c>
      <c r="K120" s="918">
        <f t="shared" si="137"/>
        <v>0</v>
      </c>
      <c r="L120" s="918">
        <f t="shared" si="138"/>
        <v>0</v>
      </c>
      <c r="M120" s="918">
        <f t="shared" si="139"/>
        <v>0</v>
      </c>
      <c r="N120" s="918">
        <f t="shared" si="140"/>
        <v>0</v>
      </c>
      <c r="O120" s="918">
        <f t="shared" si="109"/>
        <v>0</v>
      </c>
      <c r="P120" s="918">
        <f t="shared" si="110"/>
        <v>0</v>
      </c>
      <c r="Q120" s="918">
        <f t="shared" si="111"/>
        <v>0</v>
      </c>
      <c r="R120" s="918">
        <f t="shared" si="112"/>
        <v>0</v>
      </c>
      <c r="S120" s="918">
        <f t="shared" si="141"/>
        <v>0</v>
      </c>
      <c r="T120" s="918">
        <f t="shared" si="142"/>
        <v>0</v>
      </c>
      <c r="U120" s="919">
        <f t="shared" si="143"/>
        <v>0</v>
      </c>
      <c r="V120" s="903"/>
      <c r="W120" s="884">
        <v>5.9113300492610835E-2</v>
      </c>
      <c r="X120" s="887">
        <v>1</v>
      </c>
      <c r="Y120" s="886">
        <v>100</v>
      </c>
      <c r="Z120" s="887">
        <v>1</v>
      </c>
      <c r="AA120" s="905">
        <f t="shared" si="144"/>
        <v>5.9113300492610836</v>
      </c>
      <c r="AB120" s="888"/>
      <c r="AC120" s="905">
        <v>3.6</v>
      </c>
      <c r="AD120" s="889">
        <v>18</v>
      </c>
      <c r="AE120" s="890">
        <v>9.6999999999999993</v>
      </c>
      <c r="AF120" s="891">
        <v>19</v>
      </c>
      <c r="AG120" s="890"/>
      <c r="AH120" s="892"/>
      <c r="AI120" s="890"/>
      <c r="AJ120" s="891"/>
      <c r="AK120" s="891"/>
      <c r="AL120" s="890">
        <v>1500</v>
      </c>
      <c r="AM120" s="891">
        <v>18</v>
      </c>
      <c r="AN120" s="890">
        <v>5.5E-2</v>
      </c>
      <c r="AO120" s="891">
        <v>19</v>
      </c>
      <c r="AP120" s="911">
        <f t="shared" si="145"/>
        <v>12.745800000000001</v>
      </c>
      <c r="AQ120" s="911">
        <f t="shared" si="146"/>
        <v>30.112500000000001</v>
      </c>
      <c r="AR120" s="911">
        <f t="shared" si="108"/>
        <v>42.8583</v>
      </c>
      <c r="AS120" s="911">
        <f t="shared" si="147"/>
        <v>0.75344630541871926</v>
      </c>
      <c r="AT120" s="911">
        <f t="shared" si="148"/>
        <v>1.7800492610837437</v>
      </c>
      <c r="AU120" s="912">
        <f t="shared" si="149"/>
        <v>2.533495566502463</v>
      </c>
      <c r="AV120" s="890"/>
      <c r="AW120" s="895">
        <v>0</v>
      </c>
      <c r="AX120" s="895">
        <v>0</v>
      </c>
      <c r="AY120" s="913">
        <f t="shared" si="150"/>
        <v>0</v>
      </c>
      <c r="AZ120" s="913">
        <f t="shared" si="151"/>
        <v>0</v>
      </c>
      <c r="BA120" s="890"/>
      <c r="BB120" s="911">
        <f t="shared" si="152"/>
        <v>1.2667477832512315</v>
      </c>
      <c r="BC120" s="911">
        <v>0</v>
      </c>
      <c r="BD120" s="911">
        <f>AU120/2/1920*1000</f>
        <v>0.65976447044334974</v>
      </c>
      <c r="BE120" s="911">
        <f t="shared" si="153"/>
        <v>2.7815670073891625</v>
      </c>
      <c r="BF120" s="911">
        <f t="shared" si="154"/>
        <v>0.82722125615763564</v>
      </c>
      <c r="BG120" s="911">
        <f t="shared" si="155"/>
        <v>1.9543457512315272</v>
      </c>
      <c r="BH120" s="911">
        <f t="shared" si="156"/>
        <v>0</v>
      </c>
      <c r="BI120" s="911">
        <f t="shared" si="157"/>
        <v>0</v>
      </c>
    </row>
    <row r="121" spans="2:61" s="896" customFormat="1">
      <c r="B121" s="914" t="s">
        <v>90</v>
      </c>
      <c r="C121" s="915"/>
      <c r="D121" s="916">
        <v>0</v>
      </c>
      <c r="E121" s="917">
        <v>0</v>
      </c>
      <c r="F121" s="917">
        <v>0</v>
      </c>
      <c r="G121" s="917">
        <v>0</v>
      </c>
      <c r="H121" s="918">
        <f t="shared" si="135"/>
        <v>0</v>
      </c>
      <c r="I121" s="918">
        <f t="shared" si="136"/>
        <v>0</v>
      </c>
      <c r="J121" s="901">
        <f t="shared" si="134"/>
        <v>0</v>
      </c>
      <c r="K121" s="918">
        <f t="shared" si="137"/>
        <v>0</v>
      </c>
      <c r="L121" s="918">
        <f t="shared" si="138"/>
        <v>0</v>
      </c>
      <c r="M121" s="918">
        <f t="shared" si="139"/>
        <v>0</v>
      </c>
      <c r="N121" s="918">
        <f t="shared" si="140"/>
        <v>0</v>
      </c>
      <c r="O121" s="918">
        <f t="shared" si="109"/>
        <v>0</v>
      </c>
      <c r="P121" s="918">
        <f t="shared" si="110"/>
        <v>0</v>
      </c>
      <c r="Q121" s="918">
        <f t="shared" si="111"/>
        <v>0</v>
      </c>
      <c r="R121" s="918">
        <f t="shared" si="112"/>
        <v>0</v>
      </c>
      <c r="S121" s="918">
        <f t="shared" si="141"/>
        <v>0</v>
      </c>
      <c r="T121" s="918">
        <f t="shared" si="142"/>
        <v>0</v>
      </c>
      <c r="U121" s="919">
        <f t="shared" si="143"/>
        <v>0</v>
      </c>
      <c r="V121" s="903"/>
      <c r="W121" s="884">
        <v>2.9556650246305417E-2</v>
      </c>
      <c r="X121" s="887">
        <v>1</v>
      </c>
      <c r="Y121" s="886">
        <v>100</v>
      </c>
      <c r="Z121" s="887">
        <v>1</v>
      </c>
      <c r="AA121" s="905">
        <f t="shared" si="144"/>
        <v>2.9556650246305418</v>
      </c>
      <c r="AB121" s="888"/>
      <c r="AC121" s="905"/>
      <c r="AD121" s="889"/>
      <c r="AE121" s="890"/>
      <c r="AF121" s="891"/>
      <c r="AG121" s="890"/>
      <c r="AH121" s="892"/>
      <c r="AI121" s="890"/>
      <c r="AJ121" s="891"/>
      <c r="AK121" s="891"/>
      <c r="AL121" s="893">
        <f>Y121*1000/365/0.1</f>
        <v>2739.7260273972602</v>
      </c>
      <c r="AM121" s="891">
        <v>0</v>
      </c>
      <c r="AN121" s="890">
        <v>0.1</v>
      </c>
      <c r="AO121" s="891">
        <v>0</v>
      </c>
      <c r="AP121" s="911">
        <f t="shared" si="145"/>
        <v>0</v>
      </c>
      <c r="AQ121" s="911">
        <f t="shared" si="146"/>
        <v>100</v>
      </c>
      <c r="AR121" s="911">
        <f t="shared" si="108"/>
        <v>100</v>
      </c>
      <c r="AS121" s="911">
        <f t="shared" si="147"/>
        <v>0</v>
      </c>
      <c r="AT121" s="911">
        <f t="shared" si="148"/>
        <v>2.9556650246305418</v>
      </c>
      <c r="AU121" s="912">
        <f t="shared" si="149"/>
        <v>2.9556650246305418</v>
      </c>
      <c r="AV121" s="890"/>
      <c r="AW121" s="895">
        <v>0</v>
      </c>
      <c r="AX121" s="895">
        <v>0</v>
      </c>
      <c r="AY121" s="913">
        <f t="shared" si="150"/>
        <v>0</v>
      </c>
      <c r="AZ121" s="913">
        <f t="shared" si="151"/>
        <v>0</v>
      </c>
      <c r="BA121" s="890"/>
      <c r="BB121" s="911">
        <f t="shared" si="152"/>
        <v>1.4778325123152709</v>
      </c>
      <c r="BC121" s="911">
        <v>0</v>
      </c>
      <c r="BD121" s="911">
        <f>AU121/2/1920*1000</f>
        <v>0.76970443349753703</v>
      </c>
      <c r="BE121" s="911">
        <f t="shared" si="153"/>
        <v>3.2450738916256157</v>
      </c>
      <c r="BF121" s="911">
        <f t="shared" si="154"/>
        <v>0</v>
      </c>
      <c r="BG121" s="911">
        <f t="shared" si="155"/>
        <v>3.2450738916256157</v>
      </c>
      <c r="BH121" s="911">
        <f t="shared" si="156"/>
        <v>0</v>
      </c>
      <c r="BI121" s="911">
        <f t="shared" si="157"/>
        <v>0</v>
      </c>
    </row>
    <row r="122" spans="2:61" s="896" customFormat="1">
      <c r="B122" s="914" t="s">
        <v>91</v>
      </c>
      <c r="C122" s="915"/>
      <c r="D122" s="916">
        <v>0</v>
      </c>
      <c r="E122" s="917">
        <v>0</v>
      </c>
      <c r="F122" s="917">
        <v>0</v>
      </c>
      <c r="G122" s="917">
        <v>0</v>
      </c>
      <c r="H122" s="918">
        <f t="shared" si="135"/>
        <v>0</v>
      </c>
      <c r="I122" s="918">
        <f t="shared" si="136"/>
        <v>0</v>
      </c>
      <c r="J122" s="901">
        <f t="shared" si="134"/>
        <v>0</v>
      </c>
      <c r="K122" s="918">
        <f t="shared" si="137"/>
        <v>0</v>
      </c>
      <c r="L122" s="918">
        <f t="shared" si="138"/>
        <v>0</v>
      </c>
      <c r="M122" s="918">
        <f t="shared" si="139"/>
        <v>0</v>
      </c>
      <c r="N122" s="918">
        <f t="shared" si="140"/>
        <v>0</v>
      </c>
      <c r="O122" s="918">
        <f t="shared" si="109"/>
        <v>0</v>
      </c>
      <c r="P122" s="918">
        <f t="shared" si="110"/>
        <v>0</v>
      </c>
      <c r="Q122" s="918">
        <f t="shared" si="111"/>
        <v>0</v>
      </c>
      <c r="R122" s="918">
        <f t="shared" si="112"/>
        <v>0</v>
      </c>
      <c r="S122" s="918">
        <f t="shared" si="141"/>
        <v>0</v>
      </c>
      <c r="T122" s="918">
        <f t="shared" si="142"/>
        <v>0</v>
      </c>
      <c r="U122" s="919">
        <f t="shared" si="143"/>
        <v>0</v>
      </c>
      <c r="V122" s="903"/>
      <c r="W122" s="884">
        <v>0.02</v>
      </c>
      <c r="X122" s="887">
        <v>9</v>
      </c>
      <c r="Y122" s="886">
        <v>50</v>
      </c>
      <c r="Z122" s="887">
        <v>0</v>
      </c>
      <c r="AA122" s="905">
        <f t="shared" si="144"/>
        <v>1</v>
      </c>
      <c r="AB122" s="888"/>
      <c r="AC122" s="905"/>
      <c r="AD122" s="889"/>
      <c r="AE122" s="890"/>
      <c r="AF122" s="891"/>
      <c r="AG122" s="890"/>
      <c r="AH122" s="892"/>
      <c r="AI122" s="890"/>
      <c r="AJ122" s="891"/>
      <c r="AK122" s="891"/>
      <c r="AL122" s="893">
        <f>Y122*1000/365/0.1</f>
        <v>1369.8630136986301</v>
      </c>
      <c r="AM122" s="891">
        <v>0</v>
      </c>
      <c r="AN122" s="890">
        <v>0.1</v>
      </c>
      <c r="AO122" s="891">
        <v>0</v>
      </c>
      <c r="AP122" s="911">
        <f t="shared" si="145"/>
        <v>0</v>
      </c>
      <c r="AQ122" s="911">
        <f t="shared" si="146"/>
        <v>50</v>
      </c>
      <c r="AR122" s="911">
        <f t="shared" si="108"/>
        <v>50</v>
      </c>
      <c r="AS122" s="911">
        <f t="shared" si="147"/>
        <v>0</v>
      </c>
      <c r="AT122" s="911">
        <f t="shared" si="148"/>
        <v>1</v>
      </c>
      <c r="AU122" s="912">
        <f t="shared" si="149"/>
        <v>1</v>
      </c>
      <c r="AV122" s="890"/>
      <c r="AW122" s="895">
        <v>0</v>
      </c>
      <c r="AX122" s="895">
        <v>0</v>
      </c>
      <c r="AY122" s="913">
        <f t="shared" si="150"/>
        <v>0</v>
      </c>
      <c r="AZ122" s="913">
        <f t="shared" si="151"/>
        <v>0</v>
      </c>
      <c r="BA122" s="890"/>
      <c r="BB122" s="911">
        <f t="shared" si="152"/>
        <v>0.5</v>
      </c>
      <c r="BC122" s="911">
        <f>AU122/4/3</f>
        <v>8.3333333333333329E-2</v>
      </c>
      <c r="BD122" s="911">
        <f>AU122/4/1920*1000</f>
        <v>0.13020833333333334</v>
      </c>
      <c r="BE122" s="911">
        <f t="shared" si="153"/>
        <v>1.0489583333333332</v>
      </c>
      <c r="BF122" s="911">
        <f t="shared" si="154"/>
        <v>0</v>
      </c>
      <c r="BG122" s="911">
        <f t="shared" si="155"/>
        <v>1.0489583333333332</v>
      </c>
      <c r="BH122" s="911">
        <f t="shared" si="156"/>
        <v>0</v>
      </c>
      <c r="BI122" s="911">
        <f t="shared" si="157"/>
        <v>0</v>
      </c>
    </row>
    <row r="123" spans="2:61" s="896" customFormat="1" ht="14.25" customHeight="1">
      <c r="B123" s="914" t="s">
        <v>92</v>
      </c>
      <c r="C123" s="915"/>
      <c r="D123" s="916">
        <v>0</v>
      </c>
      <c r="E123" s="917">
        <v>0</v>
      </c>
      <c r="F123" s="917">
        <v>0</v>
      </c>
      <c r="G123" s="917">
        <v>0</v>
      </c>
      <c r="H123" s="918">
        <f t="shared" si="135"/>
        <v>0</v>
      </c>
      <c r="I123" s="918">
        <f t="shared" si="136"/>
        <v>0</v>
      </c>
      <c r="J123" s="901">
        <f t="shared" si="134"/>
        <v>0</v>
      </c>
      <c r="K123" s="918">
        <f t="shared" si="137"/>
        <v>0</v>
      </c>
      <c r="L123" s="918">
        <f t="shared" si="138"/>
        <v>0</v>
      </c>
      <c r="M123" s="918">
        <f t="shared" si="139"/>
        <v>0</v>
      </c>
      <c r="N123" s="918">
        <f t="shared" si="140"/>
        <v>0</v>
      </c>
      <c r="O123" s="918">
        <f t="shared" si="109"/>
        <v>0</v>
      </c>
      <c r="P123" s="918">
        <f t="shared" si="110"/>
        <v>0</v>
      </c>
      <c r="Q123" s="918">
        <f t="shared" si="111"/>
        <v>0</v>
      </c>
      <c r="R123" s="918">
        <f t="shared" si="112"/>
        <v>0</v>
      </c>
      <c r="S123" s="918">
        <f t="shared" si="141"/>
        <v>0</v>
      </c>
      <c r="T123" s="918">
        <f t="shared" si="142"/>
        <v>0</v>
      </c>
      <c r="U123" s="919">
        <f t="shared" si="143"/>
        <v>0</v>
      </c>
      <c r="V123" s="903"/>
      <c r="W123" s="884">
        <v>0.01</v>
      </c>
      <c r="X123" s="887">
        <v>0</v>
      </c>
      <c r="Y123" s="886">
        <v>53</v>
      </c>
      <c r="Z123" s="887">
        <v>7</v>
      </c>
      <c r="AA123" s="905">
        <f t="shared" si="144"/>
        <v>0.53</v>
      </c>
      <c r="AB123" s="888"/>
      <c r="AC123" s="905"/>
      <c r="AD123" s="889"/>
      <c r="AE123" s="890"/>
      <c r="AF123" s="891"/>
      <c r="AG123" s="890"/>
      <c r="AH123" s="892"/>
      <c r="AI123" s="890"/>
      <c r="AJ123" s="891"/>
      <c r="AK123" s="891"/>
      <c r="AL123" s="893">
        <f>Y123*1000/365/0.1</f>
        <v>1452.0547945205478</v>
      </c>
      <c r="AM123" s="891">
        <v>0</v>
      </c>
      <c r="AN123" s="890">
        <v>0.1</v>
      </c>
      <c r="AO123" s="891">
        <v>0</v>
      </c>
      <c r="AP123" s="911">
        <f t="shared" si="145"/>
        <v>0</v>
      </c>
      <c r="AQ123" s="911">
        <f t="shared" si="146"/>
        <v>53</v>
      </c>
      <c r="AR123" s="911">
        <f t="shared" si="108"/>
        <v>53</v>
      </c>
      <c r="AS123" s="911">
        <f t="shared" si="147"/>
        <v>0</v>
      </c>
      <c r="AT123" s="911">
        <f t="shared" si="148"/>
        <v>0.53</v>
      </c>
      <c r="AU123" s="912">
        <f t="shared" si="149"/>
        <v>0.53</v>
      </c>
      <c r="AV123" s="890"/>
      <c r="AW123" s="895">
        <v>0</v>
      </c>
      <c r="AX123" s="895">
        <v>0</v>
      </c>
      <c r="AY123" s="913">
        <f t="shared" si="150"/>
        <v>0</v>
      </c>
      <c r="AZ123" s="913">
        <f t="shared" si="151"/>
        <v>0</v>
      </c>
      <c r="BA123" s="890"/>
      <c r="BB123" s="911">
        <f t="shared" si="152"/>
        <v>0.26500000000000001</v>
      </c>
      <c r="BC123" s="911">
        <v>0</v>
      </c>
      <c r="BD123" s="911">
        <f>AU123/2/1920*1000</f>
        <v>0.13802083333333334</v>
      </c>
      <c r="BE123" s="911">
        <f t="shared" si="153"/>
        <v>0.58189583333333328</v>
      </c>
      <c r="BF123" s="911">
        <f t="shared" si="154"/>
        <v>0</v>
      </c>
      <c r="BG123" s="911">
        <f t="shared" si="155"/>
        <v>0.58189583333333328</v>
      </c>
      <c r="BH123" s="911">
        <f t="shared" si="156"/>
        <v>0</v>
      </c>
      <c r="BI123" s="911">
        <f t="shared" si="157"/>
        <v>0</v>
      </c>
    </row>
    <row r="124" spans="2:61" s="896" customFormat="1">
      <c r="B124" s="914" t="s">
        <v>93</v>
      </c>
      <c r="C124" s="915"/>
      <c r="D124" s="916">
        <v>0</v>
      </c>
      <c r="E124" s="917">
        <v>0</v>
      </c>
      <c r="F124" s="917">
        <v>0</v>
      </c>
      <c r="G124" s="917">
        <v>0</v>
      </c>
      <c r="H124" s="918">
        <f t="shared" si="135"/>
        <v>0</v>
      </c>
      <c r="I124" s="918">
        <f t="shared" si="136"/>
        <v>0</v>
      </c>
      <c r="J124" s="901">
        <f t="shared" si="134"/>
        <v>0</v>
      </c>
      <c r="K124" s="918">
        <f t="shared" si="137"/>
        <v>0</v>
      </c>
      <c r="L124" s="918">
        <f t="shared" si="138"/>
        <v>0</v>
      </c>
      <c r="M124" s="918">
        <f t="shared" si="139"/>
        <v>0</v>
      </c>
      <c r="N124" s="918">
        <f t="shared" si="140"/>
        <v>0</v>
      </c>
      <c r="O124" s="918">
        <f>H124*AW124</f>
        <v>0</v>
      </c>
      <c r="P124" s="918">
        <f>H124*AX124</f>
        <v>0</v>
      </c>
      <c r="Q124" s="918">
        <f>I124*AW124</f>
        <v>0</v>
      </c>
      <c r="R124" s="918">
        <f>I124*AX124</f>
        <v>0</v>
      </c>
      <c r="S124" s="918">
        <f t="shared" si="141"/>
        <v>0</v>
      </c>
      <c r="T124" s="918">
        <f t="shared" si="142"/>
        <v>0</v>
      </c>
      <c r="U124" s="919">
        <f t="shared" si="143"/>
        <v>0</v>
      </c>
      <c r="V124" s="903"/>
      <c r="W124" s="884">
        <v>0.13</v>
      </c>
      <c r="X124" s="887">
        <v>9</v>
      </c>
      <c r="Y124" s="886">
        <v>0</v>
      </c>
      <c r="Z124" s="887"/>
      <c r="AA124" s="905">
        <f>W124*Y124</f>
        <v>0</v>
      </c>
      <c r="AB124" s="888"/>
      <c r="AC124" s="905">
        <v>2.2000000000000002</v>
      </c>
      <c r="AD124" s="889">
        <v>18</v>
      </c>
      <c r="AE124" s="890">
        <v>23.93</v>
      </c>
      <c r="AF124" s="891">
        <v>19</v>
      </c>
      <c r="AG124" s="890"/>
      <c r="AH124" s="892"/>
      <c r="AI124" s="890"/>
      <c r="AJ124" s="891"/>
      <c r="AK124" s="891"/>
      <c r="AL124" s="890">
        <v>300</v>
      </c>
      <c r="AM124" s="891">
        <v>0</v>
      </c>
      <c r="AN124" s="890">
        <v>6.6000000000000003E-2</v>
      </c>
      <c r="AO124" s="891">
        <v>19</v>
      </c>
      <c r="AP124" s="911">
        <f>(AC124*AE124+AG124*AI124)*365/1000</f>
        <v>19.215790000000002</v>
      </c>
      <c r="AQ124" s="911">
        <f>AL124*AN124*365/1000</f>
        <v>7.2270000000000003</v>
      </c>
      <c r="AR124" s="911">
        <f>SUM(AP124:AQ124)</f>
        <v>26.442790000000002</v>
      </c>
      <c r="AS124" s="911">
        <f>AP124*W124</f>
        <v>2.4980527000000001</v>
      </c>
      <c r="AT124" s="911">
        <f>AQ124*W124</f>
        <v>0.93951000000000007</v>
      </c>
      <c r="AU124" s="912">
        <f>SUM(AS124:AT124)</f>
        <v>3.4375627</v>
      </c>
      <c r="AV124" s="890"/>
      <c r="AW124" s="895">
        <v>0</v>
      </c>
      <c r="AX124" s="895">
        <v>0</v>
      </c>
      <c r="AY124" s="913">
        <f>AU124*AW124</f>
        <v>0</v>
      </c>
      <c r="AZ124" s="913">
        <f>AU124*AX124</f>
        <v>0</v>
      </c>
      <c r="BA124" s="890"/>
      <c r="BB124" s="911">
        <f>AU124/2</f>
        <v>1.71878135</v>
      </c>
      <c r="BC124" s="911">
        <f>AU124/4/3</f>
        <v>0.28646355833333331</v>
      </c>
      <c r="BD124" s="911">
        <f>AU124/4/1920*1000</f>
        <v>0.44759930989583335</v>
      </c>
      <c r="BE124" s="911">
        <f t="shared" si="153"/>
        <v>3.6058600405208332</v>
      </c>
      <c r="BF124" s="911">
        <f t="shared" si="154"/>
        <v>2.6203531967708331</v>
      </c>
      <c r="BG124" s="911">
        <f t="shared" si="155"/>
        <v>0.98550684374999997</v>
      </c>
      <c r="BH124" s="911">
        <f>BE124*AW124</f>
        <v>0</v>
      </c>
      <c r="BI124" s="911">
        <f>BE124*AX124</f>
        <v>0</v>
      </c>
    </row>
    <row r="125" spans="2:61" s="954" customFormat="1">
      <c r="B125" s="940" t="s">
        <v>1293</v>
      </c>
      <c r="C125" s="941"/>
      <c r="D125" s="942">
        <v>0</v>
      </c>
      <c r="E125" s="943">
        <v>0</v>
      </c>
      <c r="F125" s="943">
        <v>0</v>
      </c>
      <c r="G125" s="943">
        <v>0</v>
      </c>
      <c r="H125" s="944">
        <f t="shared" si="135"/>
        <v>0</v>
      </c>
      <c r="I125" s="958">
        <f t="shared" si="136"/>
        <v>0</v>
      </c>
      <c r="J125" s="945">
        <f t="shared" si="134"/>
        <v>0</v>
      </c>
      <c r="K125" s="944">
        <f t="shared" si="137"/>
        <v>0</v>
      </c>
      <c r="L125" s="944">
        <f t="shared" si="138"/>
        <v>0</v>
      </c>
      <c r="M125" s="944">
        <f t="shared" si="139"/>
        <v>0</v>
      </c>
      <c r="N125" s="944">
        <f t="shared" si="140"/>
        <v>0</v>
      </c>
      <c r="O125" s="944">
        <f t="shared" si="109"/>
        <v>0</v>
      </c>
      <c r="P125" s="944">
        <f t="shared" si="110"/>
        <v>0</v>
      </c>
      <c r="Q125" s="944">
        <f t="shared" si="111"/>
        <v>0</v>
      </c>
      <c r="R125" s="944">
        <f t="shared" si="112"/>
        <v>0</v>
      </c>
      <c r="S125" s="944">
        <f t="shared" si="141"/>
        <v>0</v>
      </c>
      <c r="T125" s="944">
        <f t="shared" si="142"/>
        <v>0</v>
      </c>
      <c r="U125" s="946">
        <f t="shared" si="143"/>
        <v>0</v>
      </c>
      <c r="V125" s="955"/>
      <c r="W125" s="904">
        <v>0.443</v>
      </c>
      <c r="X125" s="920">
        <v>21</v>
      </c>
      <c r="Y125" s="948">
        <v>0</v>
      </c>
      <c r="Z125" s="920"/>
      <c r="AA125" s="906">
        <f t="shared" si="144"/>
        <v>0</v>
      </c>
      <c r="AB125" s="949"/>
      <c r="AC125" s="906">
        <v>0.9</v>
      </c>
      <c r="AD125" s="907">
        <v>21</v>
      </c>
      <c r="AE125" s="908">
        <v>1</v>
      </c>
      <c r="AF125" s="909">
        <v>0</v>
      </c>
      <c r="AG125" s="908">
        <v>3.6</v>
      </c>
      <c r="AH125" s="921">
        <v>21</v>
      </c>
      <c r="AI125" s="908">
        <v>10</v>
      </c>
      <c r="AJ125" s="909">
        <v>0</v>
      </c>
      <c r="AK125" s="909"/>
      <c r="AL125" s="908">
        <v>15.9</v>
      </c>
      <c r="AM125" s="909">
        <v>21</v>
      </c>
      <c r="AN125" s="908">
        <v>0.44</v>
      </c>
      <c r="AO125" s="909">
        <v>0</v>
      </c>
      <c r="AP125" s="950">
        <f t="shared" si="145"/>
        <v>13.468500000000001</v>
      </c>
      <c r="AQ125" s="950">
        <f t="shared" si="146"/>
        <v>2.5535399999999999</v>
      </c>
      <c r="AR125" s="950">
        <f t="shared" si="108"/>
        <v>16.022040000000001</v>
      </c>
      <c r="AS125" s="950">
        <f t="shared" si="147"/>
        <v>5.9665455000000005</v>
      </c>
      <c r="AT125" s="950">
        <f t="shared" si="148"/>
        <v>1.1312182200000001</v>
      </c>
      <c r="AU125" s="951">
        <f t="shared" si="149"/>
        <v>7.0977637200000006</v>
      </c>
      <c r="AV125" s="908"/>
      <c r="AW125" s="952">
        <v>0</v>
      </c>
      <c r="AX125" s="952">
        <v>0</v>
      </c>
      <c r="AY125" s="953">
        <f t="shared" si="150"/>
        <v>0</v>
      </c>
      <c r="AZ125" s="953">
        <f t="shared" si="151"/>
        <v>0</v>
      </c>
      <c r="BA125" s="908"/>
      <c r="BB125" s="950">
        <f t="shared" si="152"/>
        <v>3.5488818600000003</v>
      </c>
      <c r="BC125" s="950">
        <f>AU125/4/3</f>
        <v>0.59148031000000001</v>
      </c>
      <c r="BD125" s="950">
        <f>AU125/4/1920*1000</f>
        <v>0.92418798437500005</v>
      </c>
      <c r="BE125" s="950">
        <f t="shared" si="153"/>
        <v>7.4452584021250008</v>
      </c>
      <c r="BF125" s="950">
        <f t="shared" si="154"/>
        <v>6.2586576234375011</v>
      </c>
      <c r="BG125" s="950">
        <f t="shared" si="155"/>
        <v>1.1866007786874999</v>
      </c>
      <c r="BH125" s="950">
        <f t="shared" si="156"/>
        <v>0</v>
      </c>
      <c r="BI125" s="950">
        <f t="shared" si="157"/>
        <v>0</v>
      </c>
    </row>
    <row r="126" spans="2:61" s="896" customFormat="1" ht="13.5" thickBot="1">
      <c r="B126" s="922" t="s">
        <v>813</v>
      </c>
      <c r="C126" s="923"/>
      <c r="D126" s="924">
        <v>0</v>
      </c>
      <c r="E126" s="925">
        <v>0</v>
      </c>
      <c r="F126" s="925">
        <v>0</v>
      </c>
      <c r="G126" s="925">
        <v>0</v>
      </c>
      <c r="H126" s="926">
        <f t="shared" si="135"/>
        <v>0</v>
      </c>
      <c r="I126" s="926">
        <f t="shared" si="136"/>
        <v>0</v>
      </c>
      <c r="J126" s="901">
        <f t="shared" si="134"/>
        <v>0</v>
      </c>
      <c r="K126" s="926">
        <f t="shared" si="137"/>
        <v>0</v>
      </c>
      <c r="L126" s="926">
        <f t="shared" si="138"/>
        <v>0</v>
      </c>
      <c r="M126" s="926">
        <f t="shared" si="139"/>
        <v>0</v>
      </c>
      <c r="N126" s="926">
        <f t="shared" si="140"/>
        <v>0</v>
      </c>
      <c r="O126" s="926">
        <f t="shared" si="109"/>
        <v>0</v>
      </c>
      <c r="P126" s="926">
        <f t="shared" si="110"/>
        <v>0</v>
      </c>
      <c r="Q126" s="926">
        <f t="shared" si="111"/>
        <v>0</v>
      </c>
      <c r="R126" s="926">
        <f t="shared" si="112"/>
        <v>0</v>
      </c>
      <c r="S126" s="926">
        <f t="shared" si="141"/>
        <v>0</v>
      </c>
      <c r="T126" s="926">
        <f t="shared" si="142"/>
        <v>0</v>
      </c>
      <c r="U126" s="927">
        <f t="shared" si="143"/>
        <v>0</v>
      </c>
      <c r="V126" s="903"/>
      <c r="W126" s="884">
        <v>1E-3</v>
      </c>
      <c r="X126" s="887">
        <v>0</v>
      </c>
      <c r="Y126" s="886">
        <v>0</v>
      </c>
      <c r="Z126" s="887">
        <v>0</v>
      </c>
      <c r="AA126" s="928">
        <f t="shared" si="144"/>
        <v>0</v>
      </c>
      <c r="AB126" s="929"/>
      <c r="AC126" s="928">
        <v>0</v>
      </c>
      <c r="AD126" s="930">
        <v>0</v>
      </c>
      <c r="AE126" s="931">
        <v>0</v>
      </c>
      <c r="AF126" s="932">
        <v>0</v>
      </c>
      <c r="AG126" s="931">
        <v>0</v>
      </c>
      <c r="AH126" s="933">
        <v>0</v>
      </c>
      <c r="AI126" s="931">
        <v>0</v>
      </c>
      <c r="AJ126" s="932">
        <v>0</v>
      </c>
      <c r="AK126" s="932"/>
      <c r="AL126" s="931">
        <v>0</v>
      </c>
      <c r="AM126" s="932">
        <v>0</v>
      </c>
      <c r="AN126" s="931">
        <v>0</v>
      </c>
      <c r="AO126" s="932">
        <v>0</v>
      </c>
      <c r="AP126" s="911">
        <f t="shared" si="145"/>
        <v>0</v>
      </c>
      <c r="AQ126" s="911">
        <f t="shared" si="146"/>
        <v>0</v>
      </c>
      <c r="AR126" s="911">
        <f t="shared" si="108"/>
        <v>0</v>
      </c>
      <c r="AS126" s="911">
        <f t="shared" si="147"/>
        <v>0</v>
      </c>
      <c r="AT126" s="911">
        <f t="shared" si="148"/>
        <v>0</v>
      </c>
      <c r="AU126" s="912">
        <f t="shared" si="149"/>
        <v>0</v>
      </c>
      <c r="AV126" s="890"/>
      <c r="AW126" s="895">
        <v>1</v>
      </c>
      <c r="AX126" s="895">
        <v>0</v>
      </c>
      <c r="AY126" s="913">
        <f t="shared" si="150"/>
        <v>0</v>
      </c>
      <c r="AZ126" s="913">
        <f t="shared" si="151"/>
        <v>0</v>
      </c>
      <c r="BA126" s="890"/>
      <c r="BB126" s="911">
        <f t="shared" si="152"/>
        <v>0</v>
      </c>
      <c r="BC126" s="911">
        <f>AU126/4/3</f>
        <v>0</v>
      </c>
      <c r="BD126" s="911">
        <f>AU126/4/1920*1000</f>
        <v>0</v>
      </c>
      <c r="BE126" s="911">
        <f t="shared" si="153"/>
        <v>0</v>
      </c>
      <c r="BF126" s="911">
        <f>IF(D126=0,0,(BB126+BC126*C$5+BD126/1000*C$4)*AS126/AU126)</f>
        <v>0</v>
      </c>
      <c r="BG126" s="911">
        <f>IF(D126=0,0,(BB126+BC126*C$5+BD126/1000*C$4)*AT126/AU126)</f>
        <v>0</v>
      </c>
      <c r="BH126" s="911">
        <f t="shared" si="156"/>
        <v>0</v>
      </c>
      <c r="BI126" s="911">
        <f t="shared" si="157"/>
        <v>0</v>
      </c>
    </row>
    <row r="127" spans="2:61" s="896" customFormat="1" ht="13.5" thickBot="1">
      <c r="B127" s="878" t="s">
        <v>1334</v>
      </c>
      <c r="C127" s="879"/>
      <c r="D127" s="935"/>
      <c r="E127" s="936"/>
      <c r="F127" s="936"/>
      <c r="G127" s="936"/>
      <c r="H127" s="937"/>
      <c r="I127" s="937"/>
      <c r="J127" s="937"/>
      <c r="K127" s="937"/>
      <c r="L127" s="937"/>
      <c r="M127" s="937"/>
      <c r="N127" s="937"/>
      <c r="O127" s="937"/>
      <c r="P127" s="937"/>
      <c r="Q127" s="937"/>
      <c r="R127" s="937"/>
      <c r="S127" s="966"/>
      <c r="T127" s="966"/>
      <c r="U127" s="967"/>
      <c r="V127" s="883"/>
      <c r="W127" s="884"/>
      <c r="X127" s="887"/>
      <c r="Y127" s="886"/>
      <c r="Z127" s="887"/>
      <c r="AA127" s="905"/>
      <c r="AB127" s="888"/>
      <c r="AC127" s="905"/>
      <c r="AD127" s="889"/>
      <c r="AE127" s="890"/>
      <c r="AF127" s="891"/>
      <c r="AG127" s="890"/>
      <c r="AH127" s="892"/>
      <c r="AI127" s="890"/>
      <c r="AJ127" s="891"/>
      <c r="AK127" s="891"/>
      <c r="AL127" s="890"/>
      <c r="AM127" s="891"/>
      <c r="AN127" s="890"/>
      <c r="AO127" s="891"/>
      <c r="AP127" s="911"/>
      <c r="AQ127" s="911"/>
      <c r="AR127" s="911">
        <f t="shared" si="108"/>
        <v>0</v>
      </c>
      <c r="AS127" s="911"/>
      <c r="AT127" s="911"/>
      <c r="AU127" s="912"/>
      <c r="AV127" s="890"/>
      <c r="AW127" s="895"/>
      <c r="AX127" s="895"/>
      <c r="AY127" s="913"/>
      <c r="AZ127" s="913"/>
      <c r="BA127" s="890"/>
      <c r="BB127" s="890"/>
      <c r="BC127" s="890"/>
      <c r="BD127" s="890"/>
      <c r="BE127" s="911"/>
      <c r="BF127" s="911"/>
      <c r="BG127" s="911"/>
      <c r="BH127" s="911"/>
      <c r="BI127" s="911"/>
    </row>
    <row r="128" spans="2:61" s="896" customFormat="1">
      <c r="B128" s="897" t="s">
        <v>94</v>
      </c>
      <c r="C128" s="898"/>
      <c r="D128" s="899">
        <v>0</v>
      </c>
      <c r="E128" s="900">
        <v>0</v>
      </c>
      <c r="F128" s="900">
        <v>0</v>
      </c>
      <c r="G128" s="900">
        <v>0</v>
      </c>
      <c r="H128" s="901">
        <f t="shared" ref="H128:H158" si="158">D128*(E128*AE128+F128*AI128+G128*AN128)*365/1000</f>
        <v>0</v>
      </c>
      <c r="I128" s="901">
        <f t="shared" ref="I128:I158" si="159">D128*SUM(AP128:AQ128)</f>
        <v>0</v>
      </c>
      <c r="J128" s="901">
        <f t="shared" si="134"/>
        <v>0</v>
      </c>
      <c r="K128" s="901">
        <f t="shared" ref="K128:K158" si="160">$D128*(E128*AE128+F128*AI128)*365/1000</f>
        <v>0</v>
      </c>
      <c r="L128" s="901">
        <f t="shared" ref="L128:L158" si="161">D128*G128*AN128*365/1000</f>
        <v>0</v>
      </c>
      <c r="M128" s="901">
        <f t="shared" ref="M128:M158" si="162">D128*AP128</f>
        <v>0</v>
      </c>
      <c r="N128" s="901">
        <f t="shared" ref="N128:N158" si="163">D128*AQ128</f>
        <v>0</v>
      </c>
      <c r="O128" s="901">
        <f t="shared" si="109"/>
        <v>0</v>
      </c>
      <c r="P128" s="901">
        <f t="shared" si="110"/>
        <v>0</v>
      </c>
      <c r="Q128" s="901">
        <f t="shared" si="111"/>
        <v>0</v>
      </c>
      <c r="R128" s="901">
        <f t="shared" si="112"/>
        <v>0</v>
      </c>
      <c r="S128" s="901">
        <f t="shared" ref="S128:S158" si="164">$D128*(AP128-(E128*AE128+F128*AI128)*365/1000)</f>
        <v>0</v>
      </c>
      <c r="T128" s="901">
        <f t="shared" ref="T128:T158" si="165">D128*(AQ128-G128*AN128*365/1000)</f>
        <v>0</v>
      </c>
      <c r="U128" s="902">
        <f t="shared" ref="U128:U158" si="166">IF(D128=0,0,(I128-H128)/I128)</f>
        <v>0</v>
      </c>
      <c r="V128" s="903"/>
      <c r="W128" s="1057">
        <f>14.2/111.1</f>
        <v>0.12781278127812781</v>
      </c>
      <c r="X128" s="1060">
        <v>22</v>
      </c>
      <c r="Y128" s="886">
        <v>100</v>
      </c>
      <c r="Z128" s="887">
        <v>1</v>
      </c>
      <c r="AA128" s="905">
        <f t="shared" ref="AA128:AA158" si="167">W128*Y128</f>
        <v>12.781278127812781</v>
      </c>
      <c r="AB128" s="888"/>
      <c r="AC128" s="905"/>
      <c r="AD128" s="889"/>
      <c r="AE128" s="890"/>
      <c r="AF128" s="891"/>
      <c r="AG128" s="890"/>
      <c r="AH128" s="892"/>
      <c r="AI128" s="890"/>
      <c r="AJ128" s="891"/>
      <c r="AK128" s="891"/>
      <c r="AL128" s="893">
        <f>Y128*1000/365/1</f>
        <v>273.97260273972603</v>
      </c>
      <c r="AM128" s="891">
        <v>0</v>
      </c>
      <c r="AN128" s="890">
        <v>1</v>
      </c>
      <c r="AO128" s="891">
        <v>0</v>
      </c>
      <c r="AP128" s="911">
        <f t="shared" ref="AP128:AP158" si="168">(AC128*AE128+AG128*AI128)*365/1000</f>
        <v>0</v>
      </c>
      <c r="AQ128" s="911">
        <f t="shared" ref="AQ128:AQ158" si="169">AL128*AN128*365/1000</f>
        <v>100</v>
      </c>
      <c r="AR128" s="911">
        <f t="shared" si="108"/>
        <v>100</v>
      </c>
      <c r="AS128" s="911">
        <f t="shared" ref="AS128:AS158" si="170">AP128*W128</f>
        <v>0</v>
      </c>
      <c r="AT128" s="911">
        <f t="shared" ref="AT128:AT158" si="171">AQ128*W128</f>
        <v>12.781278127812781</v>
      </c>
      <c r="AU128" s="912">
        <f t="shared" ref="AU128:AU158" si="172">SUM(AS128:AT128)</f>
        <v>12.781278127812781</v>
      </c>
      <c r="AV128" s="890"/>
      <c r="AW128" s="895">
        <v>0</v>
      </c>
      <c r="AX128" s="895">
        <v>1</v>
      </c>
      <c r="AY128" s="913">
        <f t="shared" ref="AY128:AY158" si="173">AU128*AW128</f>
        <v>0</v>
      </c>
      <c r="AZ128" s="913">
        <f t="shared" ref="AZ128:AZ158" si="174">AU128*AX128</f>
        <v>12.781278127812781</v>
      </c>
      <c r="BA128" s="890"/>
      <c r="BB128" s="911">
        <f>AU128/2</f>
        <v>6.3906390639063906</v>
      </c>
      <c r="BC128" s="911">
        <v>0</v>
      </c>
      <c r="BD128" s="911">
        <f>AU128/2/1920*1000</f>
        <v>3.3284578457845786</v>
      </c>
      <c r="BE128" s="911">
        <f t="shared" ref="BE128:BE169" si="175">BB128+BC128*C$5+BD128/1000*C$4</f>
        <v>14.032778277827784</v>
      </c>
      <c r="BF128" s="911">
        <f t="shared" ref="BF128:BF157" si="176">(BB128+BC128*C$5+BD128/1000*C$4)*AS128/AU128</f>
        <v>0</v>
      </c>
      <c r="BG128" s="911">
        <f t="shared" ref="BG128:BG157" si="177">(BB128+BC128*C$5+BD128/1000*C$4)*AT128/AU128</f>
        <v>14.032778277827783</v>
      </c>
      <c r="BH128" s="911">
        <f t="shared" ref="BH128:BH158" si="178">BE128*AW128</f>
        <v>0</v>
      </c>
      <c r="BI128" s="911">
        <f t="shared" ref="BI128:BI158" si="179">BE128*AX128</f>
        <v>14.032778277827784</v>
      </c>
    </row>
    <row r="129" spans="2:61" s="896" customFormat="1">
      <c r="B129" s="914" t="s">
        <v>95</v>
      </c>
      <c r="C129" s="915"/>
      <c r="D129" s="916">
        <v>0</v>
      </c>
      <c r="E129" s="917">
        <v>0</v>
      </c>
      <c r="F129" s="917">
        <v>0</v>
      </c>
      <c r="G129" s="917">
        <v>0</v>
      </c>
      <c r="H129" s="918">
        <f t="shared" si="158"/>
        <v>0</v>
      </c>
      <c r="I129" s="918">
        <f t="shared" si="159"/>
        <v>0</v>
      </c>
      <c r="J129" s="901">
        <f t="shared" si="134"/>
        <v>0</v>
      </c>
      <c r="K129" s="918">
        <f t="shared" si="160"/>
        <v>0</v>
      </c>
      <c r="L129" s="918">
        <f t="shared" si="161"/>
        <v>0</v>
      </c>
      <c r="M129" s="918">
        <f t="shared" si="162"/>
        <v>0</v>
      </c>
      <c r="N129" s="918">
        <f t="shared" si="163"/>
        <v>0</v>
      </c>
      <c r="O129" s="918">
        <f t="shared" si="109"/>
        <v>0</v>
      </c>
      <c r="P129" s="918">
        <f t="shared" si="110"/>
        <v>0</v>
      </c>
      <c r="Q129" s="918">
        <f t="shared" si="111"/>
        <v>0</v>
      </c>
      <c r="R129" s="918">
        <f t="shared" si="112"/>
        <v>0</v>
      </c>
      <c r="S129" s="918">
        <f t="shared" si="164"/>
        <v>0</v>
      </c>
      <c r="T129" s="918">
        <f t="shared" si="165"/>
        <v>0</v>
      </c>
      <c r="U129" s="919">
        <f t="shared" si="166"/>
        <v>0</v>
      </c>
      <c r="V129" s="903"/>
      <c r="W129" s="1056">
        <f>2.5/111.1</f>
        <v>2.2502250225022502E-2</v>
      </c>
      <c r="X129" s="1059">
        <v>22</v>
      </c>
      <c r="Y129" s="886">
        <v>900</v>
      </c>
      <c r="Z129" s="887">
        <v>1</v>
      </c>
      <c r="AA129" s="905">
        <f t="shared" si="167"/>
        <v>20.252025202520251</v>
      </c>
      <c r="AB129" s="888"/>
      <c r="AC129" s="906">
        <v>2</v>
      </c>
      <c r="AD129" s="907">
        <v>21</v>
      </c>
      <c r="AE129" s="908">
        <f>24-AN129</f>
        <v>15.51</v>
      </c>
      <c r="AF129" s="909">
        <v>21</v>
      </c>
      <c r="AG129" s="908">
        <v>0</v>
      </c>
      <c r="AH129" s="921">
        <v>0</v>
      </c>
      <c r="AI129" s="908">
        <v>0</v>
      </c>
      <c r="AJ129" s="909">
        <v>0</v>
      </c>
      <c r="AK129" s="909"/>
      <c r="AL129" s="908">
        <v>350</v>
      </c>
      <c r="AM129" s="909">
        <v>21</v>
      </c>
      <c r="AN129" s="908">
        <v>8.49</v>
      </c>
      <c r="AO129" s="909">
        <v>21</v>
      </c>
      <c r="AP129" s="911">
        <f t="shared" si="168"/>
        <v>11.322299999999998</v>
      </c>
      <c r="AQ129" s="911">
        <f t="shared" si="169"/>
        <v>1084.5975000000001</v>
      </c>
      <c r="AR129" s="911">
        <f t="shared" si="108"/>
        <v>1095.9198000000001</v>
      </c>
      <c r="AS129" s="911">
        <f t="shared" si="170"/>
        <v>0.25477722772277223</v>
      </c>
      <c r="AT129" s="911">
        <f t="shared" si="171"/>
        <v>24.405884338433847</v>
      </c>
      <c r="AU129" s="912">
        <f t="shared" si="172"/>
        <v>24.66066156615662</v>
      </c>
      <c r="AV129" s="890"/>
      <c r="AW129" s="895">
        <v>1</v>
      </c>
      <c r="AX129" s="895">
        <v>0</v>
      </c>
      <c r="AY129" s="913">
        <f t="shared" si="173"/>
        <v>24.66066156615662</v>
      </c>
      <c r="AZ129" s="913">
        <f t="shared" si="174"/>
        <v>0</v>
      </c>
      <c r="BA129" s="890"/>
      <c r="BB129" s="911">
        <f>AU129/2</f>
        <v>12.33033078307831</v>
      </c>
      <c r="BC129" s="911">
        <f>AU129/4/3</f>
        <v>2.0550551305130518</v>
      </c>
      <c r="BD129" s="911">
        <f>AU129/4/1920*1000</f>
        <v>3.2110236414266429</v>
      </c>
      <c r="BE129" s="911">
        <f t="shared" si="175"/>
        <v>25.868006455333038</v>
      </c>
      <c r="BF129" s="911">
        <f t="shared" si="176"/>
        <v>0.26725069616336627</v>
      </c>
      <c r="BG129" s="911">
        <f t="shared" si="177"/>
        <v>25.600755759169669</v>
      </c>
      <c r="BH129" s="911">
        <f t="shared" si="178"/>
        <v>25.868006455333038</v>
      </c>
      <c r="BI129" s="911">
        <f t="shared" si="179"/>
        <v>0</v>
      </c>
    </row>
    <row r="130" spans="2:61" s="165" customFormat="1">
      <c r="B130" s="166" t="s">
        <v>96</v>
      </c>
      <c r="C130" s="167"/>
      <c r="D130" s="168">
        <v>0</v>
      </c>
      <c r="E130" s="169">
        <v>0</v>
      </c>
      <c r="F130" s="169">
        <v>0</v>
      </c>
      <c r="G130" s="169">
        <v>0</v>
      </c>
      <c r="H130" s="174">
        <f t="shared" si="158"/>
        <v>0</v>
      </c>
      <c r="I130" s="174">
        <f t="shared" si="159"/>
        <v>0</v>
      </c>
      <c r="J130" s="176">
        <f t="shared" si="134"/>
        <v>0</v>
      </c>
      <c r="K130" s="174">
        <f t="shared" si="160"/>
        <v>0</v>
      </c>
      <c r="L130" s="174">
        <f t="shared" si="161"/>
        <v>0</v>
      </c>
      <c r="M130" s="174">
        <f t="shared" si="162"/>
        <v>0</v>
      </c>
      <c r="N130" s="174">
        <f t="shared" si="163"/>
        <v>0</v>
      </c>
      <c r="O130" s="174">
        <f t="shared" ref="O130:O135" si="180">H130*AW130</f>
        <v>0</v>
      </c>
      <c r="P130" s="174">
        <f t="shared" ref="P130:P135" si="181">H130*AX130</f>
        <v>0</v>
      </c>
      <c r="Q130" s="174">
        <f t="shared" ref="Q130:Q135" si="182">I130*AW130</f>
        <v>0</v>
      </c>
      <c r="R130" s="174">
        <f t="shared" ref="R130:R135" si="183">I130*AX130</f>
        <v>0</v>
      </c>
      <c r="S130" s="174">
        <f t="shared" si="164"/>
        <v>0</v>
      </c>
      <c r="T130" s="174">
        <f t="shared" si="165"/>
        <v>0</v>
      </c>
      <c r="U130" s="170">
        <f t="shared" si="166"/>
        <v>0</v>
      </c>
      <c r="V130" s="171"/>
      <c r="W130" s="1058">
        <f>0.079*0.9/3</f>
        <v>2.3699999999999999E-2</v>
      </c>
      <c r="X130" s="1061">
        <v>15</v>
      </c>
      <c r="Y130" s="615">
        <f>AVERAGE(90,120)</f>
        <v>105</v>
      </c>
      <c r="Z130" s="616">
        <v>15</v>
      </c>
      <c r="AA130" s="617">
        <f t="shared" si="167"/>
        <v>2.4884999999999997</v>
      </c>
      <c r="AB130" s="618"/>
      <c r="AC130" s="619">
        <v>0</v>
      </c>
      <c r="AD130" s="620">
        <v>0</v>
      </c>
      <c r="AE130" s="621">
        <v>0</v>
      </c>
      <c r="AF130" s="622">
        <v>0</v>
      </c>
      <c r="AG130" s="623"/>
      <c r="AH130" s="624"/>
      <c r="AI130" s="622"/>
      <c r="AJ130" s="622"/>
      <c r="AK130" s="622"/>
      <c r="AL130" s="625">
        <f t="shared" ref="AL130:AL135" si="184">Y130*1000/365/24</f>
        <v>11.986301369863014</v>
      </c>
      <c r="AM130" s="626">
        <v>0</v>
      </c>
      <c r="AN130" s="627">
        <v>24</v>
      </c>
      <c r="AO130" s="628">
        <v>0</v>
      </c>
      <c r="AP130" s="911">
        <f t="shared" ref="AP130:AP135" si="185">(AC130*AE130+AG130*AI130)*365/1000</f>
        <v>0</v>
      </c>
      <c r="AQ130" s="911">
        <f t="shared" ref="AQ130:AQ135" si="186">AL130*AN130*365/1000</f>
        <v>105</v>
      </c>
      <c r="AR130" s="911">
        <f t="shared" ref="AR130:AR135" si="187">SUM(AP130:AQ130)</f>
        <v>105</v>
      </c>
      <c r="AS130" s="911">
        <f t="shared" ref="AS130:AS135" si="188">AP130*W130</f>
        <v>0</v>
      </c>
      <c r="AT130" s="911">
        <f t="shared" ref="AT130:AT135" si="189">AQ130*W130</f>
        <v>2.4884999999999997</v>
      </c>
      <c r="AU130" s="912">
        <f t="shared" ref="AU130:AU135" si="190">SUM(AS130:AT130)</f>
        <v>2.4884999999999997</v>
      </c>
      <c r="AV130" s="163"/>
      <c r="AW130" s="164">
        <v>0.67</v>
      </c>
      <c r="AX130" s="164">
        <v>0.33</v>
      </c>
      <c r="AY130" s="173">
        <f t="shared" ref="AY130:AY135" si="191">AT130*AW130</f>
        <v>1.667295</v>
      </c>
      <c r="AZ130" s="173">
        <f t="shared" ref="AZ130:AZ135" si="192">AT130*AX130</f>
        <v>0.82120499999999996</v>
      </c>
      <c r="BA130" s="163"/>
      <c r="BB130" s="172">
        <f t="shared" ref="BB130:BB135" si="193">AT130/2</f>
        <v>1.2442499999999999</v>
      </c>
      <c r="BC130" s="172">
        <f>AT130/4/3</f>
        <v>0.20737499999999998</v>
      </c>
      <c r="BD130" s="172">
        <f>AU130/4/1920*1000</f>
        <v>0.32402343750000001</v>
      </c>
      <c r="BE130" s="172">
        <f t="shared" ref="BE130:BE135" si="194">BB130+BC130*C$5+BD130/1000*C$4</f>
        <v>2.6103328124999994</v>
      </c>
      <c r="BF130" s="911">
        <f t="shared" si="176"/>
        <v>0</v>
      </c>
      <c r="BG130" s="911">
        <f t="shared" ref="BG130:BG135" si="195">(BB130+BC130*C$5+BD130/1000*C$4)*AT130/AU130</f>
        <v>2.6103328124999994</v>
      </c>
      <c r="BH130" s="911">
        <f t="shared" ref="BH130:BH135" si="196">BE130*AW130</f>
        <v>1.7489229843749996</v>
      </c>
      <c r="BI130" s="911">
        <f t="shared" ref="BI130:BI135" si="197">BE130*AX130</f>
        <v>0.86140982812499989</v>
      </c>
    </row>
    <row r="131" spans="2:61" s="165" customFormat="1" ht="14.25" customHeight="1">
      <c r="B131" s="166" t="s">
        <v>97</v>
      </c>
      <c r="C131" s="167"/>
      <c r="D131" s="168">
        <v>0</v>
      </c>
      <c r="E131" s="169">
        <v>0</v>
      </c>
      <c r="F131" s="169">
        <v>0</v>
      </c>
      <c r="G131" s="169">
        <v>0</v>
      </c>
      <c r="H131" s="174">
        <f t="shared" si="158"/>
        <v>0</v>
      </c>
      <c r="I131" s="174">
        <f t="shared" si="159"/>
        <v>0</v>
      </c>
      <c r="J131" s="176">
        <f t="shared" si="134"/>
        <v>0</v>
      </c>
      <c r="K131" s="174">
        <f t="shared" si="160"/>
        <v>0</v>
      </c>
      <c r="L131" s="174">
        <f t="shared" si="161"/>
        <v>0</v>
      </c>
      <c r="M131" s="174">
        <f t="shared" si="162"/>
        <v>0</v>
      </c>
      <c r="N131" s="174">
        <f t="shared" si="163"/>
        <v>0</v>
      </c>
      <c r="O131" s="174">
        <f t="shared" si="180"/>
        <v>0</v>
      </c>
      <c r="P131" s="174">
        <f t="shared" si="181"/>
        <v>0</v>
      </c>
      <c r="Q131" s="174">
        <f t="shared" si="182"/>
        <v>0</v>
      </c>
      <c r="R131" s="174">
        <f t="shared" si="183"/>
        <v>0</v>
      </c>
      <c r="S131" s="174">
        <f t="shared" si="164"/>
        <v>0</v>
      </c>
      <c r="T131" s="174">
        <f t="shared" si="165"/>
        <v>0</v>
      </c>
      <c r="U131" s="170">
        <f t="shared" si="166"/>
        <v>0</v>
      </c>
      <c r="V131" s="171"/>
      <c r="W131" s="1058">
        <f>0.079*0.9/3</f>
        <v>2.3699999999999999E-2</v>
      </c>
      <c r="X131" s="1061">
        <v>15</v>
      </c>
      <c r="Y131" s="615">
        <v>180</v>
      </c>
      <c r="Z131" s="616">
        <v>15</v>
      </c>
      <c r="AA131" s="617">
        <f t="shared" si="167"/>
        <v>4.266</v>
      </c>
      <c r="AB131" s="618"/>
      <c r="AC131" s="619">
        <v>0</v>
      </c>
      <c r="AD131" s="620">
        <v>0</v>
      </c>
      <c r="AE131" s="621">
        <v>0</v>
      </c>
      <c r="AF131" s="622">
        <v>0</v>
      </c>
      <c r="AG131" s="623"/>
      <c r="AH131" s="624"/>
      <c r="AI131" s="622"/>
      <c r="AJ131" s="622"/>
      <c r="AK131" s="622"/>
      <c r="AL131" s="625">
        <f t="shared" si="184"/>
        <v>20.547945205479454</v>
      </c>
      <c r="AM131" s="626">
        <v>0</v>
      </c>
      <c r="AN131" s="627">
        <v>24</v>
      </c>
      <c r="AO131" s="628">
        <v>0</v>
      </c>
      <c r="AP131" s="911">
        <f t="shared" si="185"/>
        <v>0</v>
      </c>
      <c r="AQ131" s="911">
        <f t="shared" si="186"/>
        <v>180.00000000000003</v>
      </c>
      <c r="AR131" s="911">
        <f t="shared" si="187"/>
        <v>180.00000000000003</v>
      </c>
      <c r="AS131" s="911">
        <f t="shared" si="188"/>
        <v>0</v>
      </c>
      <c r="AT131" s="911">
        <f t="shared" si="189"/>
        <v>4.2660000000000009</v>
      </c>
      <c r="AU131" s="912">
        <f t="shared" si="190"/>
        <v>4.2660000000000009</v>
      </c>
      <c r="AV131" s="163"/>
      <c r="AW131" s="164">
        <v>0.67</v>
      </c>
      <c r="AX131" s="164">
        <v>0.33</v>
      </c>
      <c r="AY131" s="173">
        <f t="shared" si="191"/>
        <v>2.8582200000000006</v>
      </c>
      <c r="AZ131" s="173">
        <f t="shared" si="192"/>
        <v>1.4077800000000003</v>
      </c>
      <c r="BA131" s="163"/>
      <c r="BB131" s="172">
        <f t="shared" si="193"/>
        <v>2.1330000000000005</v>
      </c>
      <c r="BC131" s="172">
        <v>0</v>
      </c>
      <c r="BD131" s="172">
        <f>AU131/2/1920*1000</f>
        <v>1.1109375000000001</v>
      </c>
      <c r="BE131" s="172">
        <f t="shared" si="194"/>
        <v>4.6837125000000004</v>
      </c>
      <c r="BF131" s="911">
        <f t="shared" si="176"/>
        <v>0</v>
      </c>
      <c r="BG131" s="911">
        <f t="shared" si="195"/>
        <v>4.6837125000000004</v>
      </c>
      <c r="BH131" s="911">
        <f t="shared" si="196"/>
        <v>3.1380873750000005</v>
      </c>
      <c r="BI131" s="911">
        <f t="shared" si="197"/>
        <v>1.5456251250000002</v>
      </c>
    </row>
    <row r="132" spans="2:61" s="165" customFormat="1">
      <c r="B132" s="166" t="s">
        <v>98</v>
      </c>
      <c r="C132" s="167"/>
      <c r="D132" s="168">
        <v>0</v>
      </c>
      <c r="E132" s="169">
        <v>0</v>
      </c>
      <c r="F132" s="169">
        <v>0</v>
      </c>
      <c r="G132" s="169">
        <v>0</v>
      </c>
      <c r="H132" s="174">
        <f t="shared" si="158"/>
        <v>0</v>
      </c>
      <c r="I132" s="174">
        <f t="shared" si="159"/>
        <v>0</v>
      </c>
      <c r="J132" s="176">
        <f t="shared" si="134"/>
        <v>0</v>
      </c>
      <c r="K132" s="174">
        <f t="shared" si="160"/>
        <v>0</v>
      </c>
      <c r="L132" s="174">
        <f t="shared" si="161"/>
        <v>0</v>
      </c>
      <c r="M132" s="174">
        <f t="shared" si="162"/>
        <v>0</v>
      </c>
      <c r="N132" s="174">
        <f t="shared" si="163"/>
        <v>0</v>
      </c>
      <c r="O132" s="174">
        <f t="shared" si="180"/>
        <v>0</v>
      </c>
      <c r="P132" s="174">
        <f t="shared" si="181"/>
        <v>0</v>
      </c>
      <c r="Q132" s="174">
        <f t="shared" si="182"/>
        <v>0</v>
      </c>
      <c r="R132" s="174">
        <f t="shared" si="183"/>
        <v>0</v>
      </c>
      <c r="S132" s="174">
        <f t="shared" si="164"/>
        <v>0</v>
      </c>
      <c r="T132" s="174">
        <f t="shared" si="165"/>
        <v>0</v>
      </c>
      <c r="U132" s="170">
        <f t="shared" si="166"/>
        <v>0</v>
      </c>
      <c r="V132" s="171"/>
      <c r="W132" s="1058">
        <f>0.079*0.9/3</f>
        <v>2.3699999999999999E-2</v>
      </c>
      <c r="X132" s="1061">
        <v>15</v>
      </c>
      <c r="Y132" s="615">
        <f>AVERAGE(280,400)</f>
        <v>340</v>
      </c>
      <c r="Z132" s="616">
        <v>15</v>
      </c>
      <c r="AA132" s="617">
        <f t="shared" si="167"/>
        <v>8.0579999999999998</v>
      </c>
      <c r="AB132" s="618"/>
      <c r="AC132" s="619">
        <v>0</v>
      </c>
      <c r="AD132" s="620">
        <v>0</v>
      </c>
      <c r="AE132" s="621">
        <v>0</v>
      </c>
      <c r="AF132" s="622">
        <v>0</v>
      </c>
      <c r="AG132" s="623"/>
      <c r="AH132" s="624"/>
      <c r="AI132" s="622"/>
      <c r="AJ132" s="622"/>
      <c r="AK132" s="622"/>
      <c r="AL132" s="625">
        <f t="shared" si="184"/>
        <v>38.812785388127857</v>
      </c>
      <c r="AM132" s="626">
        <v>0</v>
      </c>
      <c r="AN132" s="627">
        <v>24</v>
      </c>
      <c r="AO132" s="628">
        <v>0</v>
      </c>
      <c r="AP132" s="911">
        <f t="shared" si="185"/>
        <v>0</v>
      </c>
      <c r="AQ132" s="911">
        <f t="shared" si="186"/>
        <v>340.00000000000006</v>
      </c>
      <c r="AR132" s="911">
        <f t="shared" si="187"/>
        <v>340.00000000000006</v>
      </c>
      <c r="AS132" s="911">
        <f t="shared" si="188"/>
        <v>0</v>
      </c>
      <c r="AT132" s="911">
        <f t="shared" si="189"/>
        <v>8.0580000000000016</v>
      </c>
      <c r="AU132" s="912">
        <f t="shared" si="190"/>
        <v>8.0580000000000016</v>
      </c>
      <c r="AV132" s="163"/>
      <c r="AW132" s="164">
        <v>0.67</v>
      </c>
      <c r="AX132" s="164">
        <v>0.33</v>
      </c>
      <c r="AY132" s="173">
        <f t="shared" si="191"/>
        <v>5.3988600000000018</v>
      </c>
      <c r="AZ132" s="173">
        <f t="shared" si="192"/>
        <v>2.6591400000000007</v>
      </c>
      <c r="BA132" s="163"/>
      <c r="BB132" s="172">
        <f t="shared" si="193"/>
        <v>4.0290000000000008</v>
      </c>
      <c r="BC132" s="172">
        <v>0</v>
      </c>
      <c r="BD132" s="172">
        <f>AU132/2/1920*1000</f>
        <v>2.0984375000000006</v>
      </c>
      <c r="BE132" s="172">
        <f t="shared" si="194"/>
        <v>8.8470125000000017</v>
      </c>
      <c r="BF132" s="911">
        <f t="shared" si="176"/>
        <v>0</v>
      </c>
      <c r="BG132" s="911">
        <f t="shared" si="195"/>
        <v>8.8470125000000017</v>
      </c>
      <c r="BH132" s="911">
        <f t="shared" si="196"/>
        <v>5.9274983750000017</v>
      </c>
      <c r="BI132" s="911">
        <f t="shared" si="197"/>
        <v>2.9195141250000005</v>
      </c>
    </row>
    <row r="133" spans="2:61" s="165" customFormat="1">
      <c r="B133" s="166" t="s">
        <v>534</v>
      </c>
      <c r="C133" s="167"/>
      <c r="D133" s="168">
        <v>0</v>
      </c>
      <c r="E133" s="169">
        <v>0</v>
      </c>
      <c r="F133" s="169">
        <v>0</v>
      </c>
      <c r="G133" s="169">
        <v>0</v>
      </c>
      <c r="H133" s="174">
        <f t="shared" si="158"/>
        <v>0</v>
      </c>
      <c r="I133" s="174">
        <f t="shared" si="159"/>
        <v>0</v>
      </c>
      <c r="J133" s="176">
        <f t="shared" si="134"/>
        <v>0</v>
      </c>
      <c r="K133" s="174">
        <f t="shared" si="160"/>
        <v>0</v>
      </c>
      <c r="L133" s="174">
        <f t="shared" si="161"/>
        <v>0</v>
      </c>
      <c r="M133" s="174">
        <f t="shared" si="162"/>
        <v>0</v>
      </c>
      <c r="N133" s="174">
        <f t="shared" si="163"/>
        <v>0</v>
      </c>
      <c r="O133" s="174">
        <f t="shared" si="180"/>
        <v>0</v>
      </c>
      <c r="P133" s="174">
        <f t="shared" si="181"/>
        <v>0</v>
      </c>
      <c r="Q133" s="174">
        <f t="shared" si="182"/>
        <v>0</v>
      </c>
      <c r="R133" s="174">
        <f t="shared" si="183"/>
        <v>0</v>
      </c>
      <c r="S133" s="174">
        <f t="shared" si="164"/>
        <v>0</v>
      </c>
      <c r="T133" s="174">
        <f t="shared" si="165"/>
        <v>0</v>
      </c>
      <c r="U133" s="170">
        <f t="shared" si="166"/>
        <v>0</v>
      </c>
      <c r="V133" s="171"/>
      <c r="W133" s="1058">
        <f>0.079*0.09/3</f>
        <v>2.3700000000000001E-3</v>
      </c>
      <c r="X133" s="1061">
        <v>15</v>
      </c>
      <c r="Y133" s="615">
        <v>245</v>
      </c>
      <c r="Z133" s="616">
        <v>15</v>
      </c>
      <c r="AA133" s="617">
        <f t="shared" si="167"/>
        <v>0.58065</v>
      </c>
      <c r="AB133" s="618"/>
      <c r="AC133" s="619">
        <v>0</v>
      </c>
      <c r="AD133" s="620">
        <v>0</v>
      </c>
      <c r="AE133" s="621">
        <v>0</v>
      </c>
      <c r="AF133" s="622">
        <v>0</v>
      </c>
      <c r="AG133" s="623"/>
      <c r="AH133" s="624"/>
      <c r="AI133" s="622"/>
      <c r="AJ133" s="622"/>
      <c r="AK133" s="622"/>
      <c r="AL133" s="625">
        <f t="shared" si="184"/>
        <v>27.968036529680365</v>
      </c>
      <c r="AM133" s="626">
        <v>0</v>
      </c>
      <c r="AN133" s="627">
        <v>24</v>
      </c>
      <c r="AO133" s="628">
        <v>0</v>
      </c>
      <c r="AP133" s="911">
        <f t="shared" si="185"/>
        <v>0</v>
      </c>
      <c r="AQ133" s="911">
        <f t="shared" si="186"/>
        <v>245</v>
      </c>
      <c r="AR133" s="911">
        <f t="shared" si="187"/>
        <v>245</v>
      </c>
      <c r="AS133" s="911">
        <f t="shared" si="188"/>
        <v>0</v>
      </c>
      <c r="AT133" s="911">
        <f t="shared" si="189"/>
        <v>0.58065</v>
      </c>
      <c r="AU133" s="912">
        <f t="shared" si="190"/>
        <v>0.58065</v>
      </c>
      <c r="AV133" s="163"/>
      <c r="AW133" s="164">
        <v>0.67</v>
      </c>
      <c r="AX133" s="164">
        <v>0.33</v>
      </c>
      <c r="AY133" s="173">
        <f t="shared" si="191"/>
        <v>0.38903550000000003</v>
      </c>
      <c r="AZ133" s="173">
        <f t="shared" si="192"/>
        <v>0.19161450000000002</v>
      </c>
      <c r="BA133" s="163"/>
      <c r="BB133" s="172">
        <f t="shared" si="193"/>
        <v>0.290325</v>
      </c>
      <c r="BC133" s="172">
        <v>0</v>
      </c>
      <c r="BD133" s="172">
        <f>AU133/2/1920*1000</f>
        <v>0.1512109375</v>
      </c>
      <c r="BE133" s="172">
        <f t="shared" si="194"/>
        <v>0.63750531250000009</v>
      </c>
      <c r="BF133" s="911">
        <f t="shared" si="176"/>
        <v>0</v>
      </c>
      <c r="BG133" s="911">
        <f t="shared" si="195"/>
        <v>0.63750531250000009</v>
      </c>
      <c r="BH133" s="911">
        <f t="shared" si="196"/>
        <v>0.42712855937500011</v>
      </c>
      <c r="BI133" s="911">
        <f t="shared" si="197"/>
        <v>0.21037675312500004</v>
      </c>
    </row>
    <row r="134" spans="2:61" s="165" customFormat="1">
      <c r="B134" s="166" t="s">
        <v>535</v>
      </c>
      <c r="C134" s="167"/>
      <c r="D134" s="168">
        <v>0</v>
      </c>
      <c r="E134" s="169">
        <v>0</v>
      </c>
      <c r="F134" s="169">
        <v>0</v>
      </c>
      <c r="G134" s="169">
        <v>0</v>
      </c>
      <c r="H134" s="174">
        <f t="shared" si="158"/>
        <v>0</v>
      </c>
      <c r="I134" s="174">
        <f t="shared" si="159"/>
        <v>0</v>
      </c>
      <c r="J134" s="176">
        <f t="shared" si="134"/>
        <v>0</v>
      </c>
      <c r="K134" s="174">
        <f t="shared" si="160"/>
        <v>0</v>
      </c>
      <c r="L134" s="174">
        <f t="shared" si="161"/>
        <v>0</v>
      </c>
      <c r="M134" s="174">
        <f t="shared" si="162"/>
        <v>0</v>
      </c>
      <c r="N134" s="174">
        <f t="shared" si="163"/>
        <v>0</v>
      </c>
      <c r="O134" s="174">
        <f t="shared" si="180"/>
        <v>0</v>
      </c>
      <c r="P134" s="174">
        <f t="shared" si="181"/>
        <v>0</v>
      </c>
      <c r="Q134" s="174">
        <f t="shared" si="182"/>
        <v>0</v>
      </c>
      <c r="R134" s="174">
        <f t="shared" si="183"/>
        <v>0</v>
      </c>
      <c r="S134" s="174">
        <f t="shared" si="164"/>
        <v>0</v>
      </c>
      <c r="T134" s="174">
        <f t="shared" si="165"/>
        <v>0</v>
      </c>
      <c r="U134" s="170">
        <f t="shared" si="166"/>
        <v>0</v>
      </c>
      <c r="V134" s="171"/>
      <c r="W134" s="1058">
        <f>0.079*0.09/3</f>
        <v>2.3700000000000001E-3</v>
      </c>
      <c r="X134" s="1061">
        <v>15</v>
      </c>
      <c r="Y134" s="615">
        <v>615</v>
      </c>
      <c r="Z134" s="616">
        <v>15</v>
      </c>
      <c r="AA134" s="617">
        <f t="shared" si="167"/>
        <v>1.4575500000000001</v>
      </c>
      <c r="AB134" s="618"/>
      <c r="AC134" s="619">
        <v>0</v>
      </c>
      <c r="AD134" s="620">
        <v>0</v>
      </c>
      <c r="AE134" s="621">
        <v>0</v>
      </c>
      <c r="AF134" s="622">
        <v>0</v>
      </c>
      <c r="AG134" s="623"/>
      <c r="AH134" s="624"/>
      <c r="AI134" s="622"/>
      <c r="AJ134" s="622"/>
      <c r="AK134" s="622"/>
      <c r="AL134" s="625">
        <f t="shared" si="184"/>
        <v>70.205479452054803</v>
      </c>
      <c r="AM134" s="626">
        <v>0</v>
      </c>
      <c r="AN134" s="627">
        <v>24</v>
      </c>
      <c r="AO134" s="628">
        <v>0</v>
      </c>
      <c r="AP134" s="911">
        <f t="shared" si="185"/>
        <v>0</v>
      </c>
      <c r="AQ134" s="911">
        <f t="shared" si="186"/>
        <v>615</v>
      </c>
      <c r="AR134" s="911">
        <f t="shared" si="187"/>
        <v>615</v>
      </c>
      <c r="AS134" s="911">
        <f t="shared" si="188"/>
        <v>0</v>
      </c>
      <c r="AT134" s="911">
        <f t="shared" si="189"/>
        <v>1.4575500000000001</v>
      </c>
      <c r="AU134" s="912">
        <f t="shared" si="190"/>
        <v>1.4575500000000001</v>
      </c>
      <c r="AV134" s="163"/>
      <c r="AW134" s="164">
        <v>0.67</v>
      </c>
      <c r="AX134" s="164">
        <v>0.33</v>
      </c>
      <c r="AY134" s="173">
        <f t="shared" si="191"/>
        <v>0.97655850000000011</v>
      </c>
      <c r="AZ134" s="173">
        <f t="shared" si="192"/>
        <v>0.48099150000000007</v>
      </c>
      <c r="BA134" s="163"/>
      <c r="BB134" s="172">
        <f t="shared" si="193"/>
        <v>0.72877500000000006</v>
      </c>
      <c r="BC134" s="172">
        <v>0</v>
      </c>
      <c r="BD134" s="172">
        <f>AU134/2/1920*1000</f>
        <v>0.37957031250000001</v>
      </c>
      <c r="BE134" s="172">
        <f t="shared" si="194"/>
        <v>1.6002684375</v>
      </c>
      <c r="BF134" s="911">
        <f t="shared" si="176"/>
        <v>0</v>
      </c>
      <c r="BG134" s="911">
        <f t="shared" si="195"/>
        <v>1.6002684375</v>
      </c>
      <c r="BH134" s="911">
        <f t="shared" si="196"/>
        <v>1.0721798531250002</v>
      </c>
      <c r="BI134" s="911">
        <f t="shared" si="197"/>
        <v>0.52808858437500006</v>
      </c>
    </row>
    <row r="135" spans="2:61" s="165" customFormat="1">
      <c r="B135" s="166" t="s">
        <v>158</v>
      </c>
      <c r="C135" s="167"/>
      <c r="D135" s="168">
        <v>0</v>
      </c>
      <c r="E135" s="169">
        <v>0</v>
      </c>
      <c r="F135" s="169">
        <v>0</v>
      </c>
      <c r="G135" s="169">
        <v>0</v>
      </c>
      <c r="H135" s="174">
        <f t="shared" si="158"/>
        <v>0</v>
      </c>
      <c r="I135" s="174">
        <f t="shared" si="159"/>
        <v>0</v>
      </c>
      <c r="J135" s="176">
        <f t="shared" si="134"/>
        <v>0</v>
      </c>
      <c r="K135" s="174">
        <f t="shared" si="160"/>
        <v>0</v>
      </c>
      <c r="L135" s="174">
        <f t="shared" si="161"/>
        <v>0</v>
      </c>
      <c r="M135" s="174">
        <f t="shared" si="162"/>
        <v>0</v>
      </c>
      <c r="N135" s="174">
        <f t="shared" si="163"/>
        <v>0</v>
      </c>
      <c r="O135" s="174">
        <f t="shared" si="180"/>
        <v>0</v>
      </c>
      <c r="P135" s="174">
        <f t="shared" si="181"/>
        <v>0</v>
      </c>
      <c r="Q135" s="174">
        <f t="shared" si="182"/>
        <v>0</v>
      </c>
      <c r="R135" s="174">
        <f t="shared" si="183"/>
        <v>0</v>
      </c>
      <c r="S135" s="174">
        <f t="shared" si="164"/>
        <v>0</v>
      </c>
      <c r="T135" s="174">
        <f t="shared" si="165"/>
        <v>0</v>
      </c>
      <c r="U135" s="170">
        <f t="shared" si="166"/>
        <v>0</v>
      </c>
      <c r="V135" s="171"/>
      <c r="W135" s="1058">
        <f>0.079*0.09/3</f>
        <v>2.3700000000000001E-3</v>
      </c>
      <c r="X135" s="1061">
        <v>15</v>
      </c>
      <c r="Y135" s="615">
        <v>740</v>
      </c>
      <c r="Z135" s="616">
        <v>15</v>
      </c>
      <c r="AA135" s="617">
        <f t="shared" si="167"/>
        <v>1.7538</v>
      </c>
      <c r="AB135" s="618"/>
      <c r="AC135" s="619">
        <v>0</v>
      </c>
      <c r="AD135" s="620">
        <v>0</v>
      </c>
      <c r="AE135" s="621">
        <v>0</v>
      </c>
      <c r="AF135" s="622">
        <v>0</v>
      </c>
      <c r="AG135" s="623"/>
      <c r="AH135" s="624"/>
      <c r="AI135" s="622"/>
      <c r="AJ135" s="622"/>
      <c r="AK135" s="622"/>
      <c r="AL135" s="625">
        <f t="shared" si="184"/>
        <v>84.474885844748854</v>
      </c>
      <c r="AM135" s="626">
        <v>0</v>
      </c>
      <c r="AN135" s="627">
        <v>24</v>
      </c>
      <c r="AO135" s="628">
        <v>0</v>
      </c>
      <c r="AP135" s="911">
        <f t="shared" si="185"/>
        <v>0</v>
      </c>
      <c r="AQ135" s="911">
        <f t="shared" si="186"/>
        <v>740</v>
      </c>
      <c r="AR135" s="911">
        <f t="shared" si="187"/>
        <v>740</v>
      </c>
      <c r="AS135" s="911">
        <f t="shared" si="188"/>
        <v>0</v>
      </c>
      <c r="AT135" s="911">
        <f t="shared" si="189"/>
        <v>1.7538</v>
      </c>
      <c r="AU135" s="912">
        <f t="shared" si="190"/>
        <v>1.7538</v>
      </c>
      <c r="AV135" s="163"/>
      <c r="AW135" s="164">
        <v>0.67</v>
      </c>
      <c r="AX135" s="164">
        <v>0.33</v>
      </c>
      <c r="AY135" s="173">
        <f t="shared" si="191"/>
        <v>1.175046</v>
      </c>
      <c r="AZ135" s="173">
        <f t="shared" si="192"/>
        <v>0.57875399999999999</v>
      </c>
      <c r="BA135" s="163"/>
      <c r="BB135" s="172">
        <f t="shared" si="193"/>
        <v>0.87690000000000001</v>
      </c>
      <c r="BC135" s="172">
        <v>0</v>
      </c>
      <c r="BD135" s="172">
        <f>AU135/2/1920*1000</f>
        <v>0.45671875000000001</v>
      </c>
      <c r="BE135" s="172">
        <f t="shared" si="194"/>
        <v>1.9255262499999999</v>
      </c>
      <c r="BF135" s="911">
        <f t="shared" si="176"/>
        <v>0</v>
      </c>
      <c r="BG135" s="911">
        <f t="shared" si="195"/>
        <v>1.9255262499999999</v>
      </c>
      <c r="BH135" s="911">
        <f t="shared" si="196"/>
        <v>1.2901025875000001</v>
      </c>
      <c r="BI135" s="911">
        <f t="shared" si="197"/>
        <v>0.63542366250000004</v>
      </c>
    </row>
    <row r="136" spans="2:61" s="896" customFormat="1">
      <c r="B136" s="914" t="s">
        <v>1279</v>
      </c>
      <c r="C136" s="915"/>
      <c r="D136" s="916">
        <v>0</v>
      </c>
      <c r="E136" s="917">
        <v>0</v>
      </c>
      <c r="F136" s="917">
        <v>0</v>
      </c>
      <c r="G136" s="917">
        <v>0</v>
      </c>
      <c r="H136" s="918">
        <f t="shared" si="158"/>
        <v>0</v>
      </c>
      <c r="I136" s="918">
        <f t="shared" si="159"/>
        <v>0</v>
      </c>
      <c r="J136" s="901">
        <f t="shared" si="134"/>
        <v>0</v>
      </c>
      <c r="K136" s="918">
        <f t="shared" si="160"/>
        <v>0</v>
      </c>
      <c r="L136" s="918">
        <f t="shared" si="161"/>
        <v>0</v>
      </c>
      <c r="M136" s="918">
        <f t="shared" si="162"/>
        <v>0</v>
      </c>
      <c r="N136" s="918">
        <f t="shared" si="163"/>
        <v>0</v>
      </c>
      <c r="O136" s="918">
        <f t="shared" si="109"/>
        <v>0</v>
      </c>
      <c r="P136" s="918">
        <f t="shared" si="110"/>
        <v>0</v>
      </c>
      <c r="Q136" s="918">
        <f t="shared" si="111"/>
        <v>0</v>
      </c>
      <c r="R136" s="918">
        <f t="shared" si="112"/>
        <v>0</v>
      </c>
      <c r="S136" s="918">
        <f t="shared" si="164"/>
        <v>0</v>
      </c>
      <c r="T136" s="918">
        <f t="shared" si="165"/>
        <v>0</v>
      </c>
      <c r="U136" s="919">
        <f t="shared" si="166"/>
        <v>0</v>
      </c>
      <c r="V136" s="903"/>
      <c r="W136" s="904">
        <v>0.98299999999999998</v>
      </c>
      <c r="X136" s="920">
        <v>21</v>
      </c>
      <c r="Y136" s="886">
        <v>31</v>
      </c>
      <c r="Z136" s="887">
        <v>1</v>
      </c>
      <c r="AA136" s="905">
        <f t="shared" si="167"/>
        <v>30.472999999999999</v>
      </c>
      <c r="AB136" s="888"/>
      <c r="AC136" s="905"/>
      <c r="AD136" s="889"/>
      <c r="AE136" s="890"/>
      <c r="AF136" s="891"/>
      <c r="AG136" s="890"/>
      <c r="AH136" s="892"/>
      <c r="AI136" s="890"/>
      <c r="AJ136" s="891"/>
      <c r="AK136" s="891"/>
      <c r="AL136" s="950">
        <v>1080</v>
      </c>
      <c r="AM136" s="909">
        <v>21</v>
      </c>
      <c r="AN136" s="908">
        <v>0.107</v>
      </c>
      <c r="AO136" s="909">
        <v>21</v>
      </c>
      <c r="AP136" s="911">
        <f t="shared" si="168"/>
        <v>0</v>
      </c>
      <c r="AQ136" s="911">
        <f t="shared" si="169"/>
        <v>42.179400000000001</v>
      </c>
      <c r="AR136" s="911">
        <f t="shared" si="108"/>
        <v>42.179400000000001</v>
      </c>
      <c r="AS136" s="911">
        <f t="shared" si="170"/>
        <v>0</v>
      </c>
      <c r="AT136" s="911">
        <f t="shared" si="171"/>
        <v>41.462350200000003</v>
      </c>
      <c r="AU136" s="912">
        <f t="shared" si="172"/>
        <v>41.462350200000003</v>
      </c>
      <c r="AV136" s="890"/>
      <c r="AW136" s="895">
        <v>1</v>
      </c>
      <c r="AX136" s="895">
        <v>0</v>
      </c>
      <c r="AY136" s="913">
        <f t="shared" si="173"/>
        <v>41.462350200000003</v>
      </c>
      <c r="AZ136" s="913">
        <f t="shared" si="174"/>
        <v>0</v>
      </c>
      <c r="BA136" s="890"/>
      <c r="BB136" s="911">
        <v>0</v>
      </c>
      <c r="BC136" s="911">
        <v>0</v>
      </c>
      <c r="BD136" s="911">
        <f>AU136/1920*1000</f>
        <v>21.5949740625</v>
      </c>
      <c r="BE136" s="911">
        <f t="shared" si="175"/>
        <v>49.582060447500005</v>
      </c>
      <c r="BF136" s="911">
        <f t="shared" si="176"/>
        <v>0</v>
      </c>
      <c r="BG136" s="911">
        <f t="shared" si="177"/>
        <v>49.582060447500005</v>
      </c>
      <c r="BH136" s="911">
        <f t="shared" si="178"/>
        <v>49.582060447500005</v>
      </c>
      <c r="BI136" s="911">
        <f t="shared" si="179"/>
        <v>0</v>
      </c>
    </row>
    <row r="137" spans="2:61" s="896" customFormat="1">
      <c r="B137" s="914" t="s">
        <v>1280</v>
      </c>
      <c r="C137" s="915"/>
      <c r="D137" s="916">
        <v>0</v>
      </c>
      <c r="E137" s="917">
        <v>0</v>
      </c>
      <c r="F137" s="917">
        <v>0</v>
      </c>
      <c r="G137" s="917">
        <v>0</v>
      </c>
      <c r="H137" s="918">
        <f t="shared" si="158"/>
        <v>0</v>
      </c>
      <c r="I137" s="918">
        <f t="shared" si="159"/>
        <v>0</v>
      </c>
      <c r="J137" s="901">
        <f t="shared" si="134"/>
        <v>0</v>
      </c>
      <c r="K137" s="918">
        <f t="shared" si="160"/>
        <v>0</v>
      </c>
      <c r="L137" s="918">
        <f t="shared" si="161"/>
        <v>0</v>
      </c>
      <c r="M137" s="918">
        <f t="shared" si="162"/>
        <v>0</v>
      </c>
      <c r="N137" s="918">
        <f t="shared" si="163"/>
        <v>0</v>
      </c>
      <c r="O137" s="918">
        <f t="shared" si="109"/>
        <v>0</v>
      </c>
      <c r="P137" s="918">
        <f t="shared" si="110"/>
        <v>0</v>
      </c>
      <c r="Q137" s="918">
        <f t="shared" si="111"/>
        <v>0</v>
      </c>
      <c r="R137" s="918">
        <f t="shared" si="112"/>
        <v>0</v>
      </c>
      <c r="S137" s="918">
        <f t="shared" si="164"/>
        <v>0</v>
      </c>
      <c r="T137" s="918">
        <f t="shared" si="165"/>
        <v>0</v>
      </c>
      <c r="U137" s="919">
        <f t="shared" si="166"/>
        <v>0</v>
      </c>
      <c r="V137" s="903"/>
      <c r="W137" s="884">
        <v>0.95566502463054193</v>
      </c>
      <c r="X137" s="887">
        <v>1</v>
      </c>
      <c r="Y137" s="886">
        <v>26</v>
      </c>
      <c r="Z137" s="887">
        <v>1</v>
      </c>
      <c r="AA137" s="905">
        <f t="shared" si="167"/>
        <v>24.847290640394089</v>
      </c>
      <c r="AB137" s="888"/>
      <c r="AC137" s="905"/>
      <c r="AD137" s="889"/>
      <c r="AE137" s="890"/>
      <c r="AF137" s="891"/>
      <c r="AG137" s="890"/>
      <c r="AH137" s="892"/>
      <c r="AI137" s="890"/>
      <c r="AJ137" s="891"/>
      <c r="AK137" s="891"/>
      <c r="AL137" s="911">
        <f>Y137*1000/365/24</f>
        <v>2.968036529680365</v>
      </c>
      <c r="AM137" s="891">
        <v>0</v>
      </c>
      <c r="AN137" s="890">
        <v>24</v>
      </c>
      <c r="AO137" s="891">
        <v>0</v>
      </c>
      <c r="AP137" s="911">
        <f t="shared" si="168"/>
        <v>0</v>
      </c>
      <c r="AQ137" s="911">
        <f t="shared" si="169"/>
        <v>25.999999999999996</v>
      </c>
      <c r="AR137" s="911">
        <f t="shared" si="108"/>
        <v>25.999999999999996</v>
      </c>
      <c r="AS137" s="911">
        <f t="shared" si="170"/>
        <v>0</v>
      </c>
      <c r="AT137" s="911">
        <f t="shared" si="171"/>
        <v>24.847290640394085</v>
      </c>
      <c r="AU137" s="912">
        <f t="shared" si="172"/>
        <v>24.847290640394085</v>
      </c>
      <c r="AV137" s="890"/>
      <c r="AW137" s="895">
        <v>1</v>
      </c>
      <c r="AX137" s="895">
        <v>0</v>
      </c>
      <c r="AY137" s="913">
        <f t="shared" si="173"/>
        <v>24.847290640394085</v>
      </c>
      <c r="AZ137" s="913">
        <f t="shared" si="174"/>
        <v>0</v>
      </c>
      <c r="BA137" s="890"/>
      <c r="BB137" s="911">
        <f t="shared" ref="BB137:BB158" si="198">AU137/2</f>
        <v>12.423645320197043</v>
      </c>
      <c r="BC137" s="911">
        <v>0</v>
      </c>
      <c r="BD137" s="911">
        <f>AU137/2/1920*1000</f>
        <v>6.470648604269293</v>
      </c>
      <c r="BE137" s="911">
        <f t="shared" si="175"/>
        <v>27.280254515599339</v>
      </c>
      <c r="BF137" s="911">
        <f t="shared" si="176"/>
        <v>0</v>
      </c>
      <c r="BG137" s="911">
        <f t="shared" si="177"/>
        <v>27.280254515599339</v>
      </c>
      <c r="BH137" s="911">
        <f t="shared" si="178"/>
        <v>27.280254515599339</v>
      </c>
      <c r="BI137" s="911">
        <f t="shared" si="179"/>
        <v>0</v>
      </c>
    </row>
    <row r="138" spans="2:61" s="896" customFormat="1">
      <c r="B138" s="914" t="s">
        <v>1294</v>
      </c>
      <c r="C138" s="915"/>
      <c r="D138" s="916">
        <v>0</v>
      </c>
      <c r="E138" s="917">
        <v>0</v>
      </c>
      <c r="F138" s="917">
        <v>0</v>
      </c>
      <c r="G138" s="917">
        <v>0</v>
      </c>
      <c r="H138" s="918">
        <f t="shared" si="158"/>
        <v>0</v>
      </c>
      <c r="I138" s="918">
        <f t="shared" si="159"/>
        <v>0</v>
      </c>
      <c r="J138" s="901">
        <f t="shared" si="134"/>
        <v>0</v>
      </c>
      <c r="K138" s="918">
        <f t="shared" si="160"/>
        <v>0</v>
      </c>
      <c r="L138" s="918">
        <f t="shared" si="161"/>
        <v>0</v>
      </c>
      <c r="M138" s="918">
        <f t="shared" si="162"/>
        <v>0</v>
      </c>
      <c r="N138" s="918">
        <f t="shared" si="163"/>
        <v>0</v>
      </c>
      <c r="O138" s="918">
        <f t="shared" si="109"/>
        <v>0</v>
      </c>
      <c r="P138" s="918">
        <f t="shared" si="110"/>
        <v>0</v>
      </c>
      <c r="Q138" s="918">
        <f t="shared" si="111"/>
        <v>0</v>
      </c>
      <c r="R138" s="918">
        <f t="shared" si="112"/>
        <v>0</v>
      </c>
      <c r="S138" s="918">
        <f t="shared" si="164"/>
        <v>0</v>
      </c>
      <c r="T138" s="918">
        <f t="shared" si="165"/>
        <v>0</v>
      </c>
      <c r="U138" s="919">
        <f t="shared" si="166"/>
        <v>0</v>
      </c>
      <c r="V138" s="903"/>
      <c r="W138" s="904">
        <v>1.5569999999999999</v>
      </c>
      <c r="X138" s="920">
        <v>21</v>
      </c>
      <c r="Y138" s="886">
        <v>26</v>
      </c>
      <c r="Z138" s="887">
        <v>1</v>
      </c>
      <c r="AA138" s="905">
        <f t="shared" si="167"/>
        <v>40.481999999999999</v>
      </c>
      <c r="AB138" s="888"/>
      <c r="AC138" s="906">
        <v>2.5</v>
      </c>
      <c r="AD138" s="907">
        <v>21</v>
      </c>
      <c r="AE138" s="908">
        <v>5.52</v>
      </c>
      <c r="AF138" s="909">
        <v>21</v>
      </c>
      <c r="AG138" s="908">
        <v>3.4</v>
      </c>
      <c r="AH138" s="921">
        <v>21</v>
      </c>
      <c r="AI138" s="908">
        <v>15.6</v>
      </c>
      <c r="AJ138" s="909">
        <v>21</v>
      </c>
      <c r="AK138" s="909"/>
      <c r="AL138" s="950">
        <v>4.2</v>
      </c>
      <c r="AM138" s="909">
        <v>21</v>
      </c>
      <c r="AN138" s="908">
        <v>1.92</v>
      </c>
      <c r="AO138" s="909">
        <v>21</v>
      </c>
      <c r="AP138" s="911">
        <f t="shared" si="168"/>
        <v>24.396600000000003</v>
      </c>
      <c r="AQ138" s="911">
        <f t="shared" si="169"/>
        <v>2.9433600000000002</v>
      </c>
      <c r="AR138" s="911">
        <f t="shared" si="108"/>
        <v>27.339960000000005</v>
      </c>
      <c r="AS138" s="911">
        <f t="shared" si="170"/>
        <v>37.985506200000003</v>
      </c>
      <c r="AT138" s="911">
        <f t="shared" si="171"/>
        <v>4.5828115199999999</v>
      </c>
      <c r="AU138" s="912">
        <f t="shared" si="172"/>
        <v>42.568317720000003</v>
      </c>
      <c r="AV138" s="890"/>
      <c r="AW138" s="895">
        <v>1</v>
      </c>
      <c r="AX138" s="895">
        <v>0</v>
      </c>
      <c r="AY138" s="913">
        <f t="shared" si="173"/>
        <v>42.568317720000003</v>
      </c>
      <c r="AZ138" s="913">
        <f t="shared" si="174"/>
        <v>0</v>
      </c>
      <c r="BA138" s="890"/>
      <c r="BB138" s="911">
        <f t="shared" si="198"/>
        <v>21.284158860000002</v>
      </c>
      <c r="BC138" s="911">
        <f>AU138/4/3</f>
        <v>3.5473598100000001</v>
      </c>
      <c r="BD138" s="911">
        <f>AU138/4/1920*1000</f>
        <v>5.5427497031250006</v>
      </c>
      <c r="BE138" s="911">
        <f t="shared" si="175"/>
        <v>44.652391608374998</v>
      </c>
      <c r="BF138" s="911">
        <f t="shared" si="176"/>
        <v>39.845213274374998</v>
      </c>
      <c r="BG138" s="911">
        <f t="shared" si="177"/>
        <v>4.8071783339999996</v>
      </c>
      <c r="BH138" s="911">
        <f t="shared" si="178"/>
        <v>44.652391608374998</v>
      </c>
      <c r="BI138" s="911">
        <f t="shared" si="179"/>
        <v>0</v>
      </c>
    </row>
    <row r="139" spans="2:61" s="896" customFormat="1">
      <c r="B139" s="914" t="s">
        <v>1281</v>
      </c>
      <c r="C139" s="915"/>
      <c r="D139" s="916">
        <v>0</v>
      </c>
      <c r="E139" s="917">
        <v>0</v>
      </c>
      <c r="F139" s="917">
        <v>0</v>
      </c>
      <c r="G139" s="917">
        <v>0</v>
      </c>
      <c r="H139" s="918">
        <f t="shared" si="158"/>
        <v>0</v>
      </c>
      <c r="I139" s="918">
        <f t="shared" si="159"/>
        <v>0</v>
      </c>
      <c r="J139" s="901">
        <f t="shared" si="134"/>
        <v>0</v>
      </c>
      <c r="K139" s="918">
        <f t="shared" si="160"/>
        <v>0</v>
      </c>
      <c r="L139" s="918">
        <f t="shared" si="161"/>
        <v>0</v>
      </c>
      <c r="M139" s="918">
        <f t="shared" si="162"/>
        <v>0</v>
      </c>
      <c r="N139" s="918">
        <f t="shared" si="163"/>
        <v>0</v>
      </c>
      <c r="O139" s="918">
        <f t="shared" si="109"/>
        <v>0</v>
      </c>
      <c r="P139" s="918">
        <f t="shared" si="110"/>
        <v>0</v>
      </c>
      <c r="Q139" s="918">
        <f t="shared" si="111"/>
        <v>0</v>
      </c>
      <c r="R139" s="918">
        <f t="shared" si="112"/>
        <v>0</v>
      </c>
      <c r="S139" s="918">
        <f t="shared" si="164"/>
        <v>0</v>
      </c>
      <c r="T139" s="918">
        <f t="shared" si="165"/>
        <v>0</v>
      </c>
      <c r="U139" s="919">
        <f t="shared" si="166"/>
        <v>0</v>
      </c>
      <c r="V139" s="903"/>
      <c r="W139" s="904">
        <v>1.7390000000000001</v>
      </c>
      <c r="X139" s="920">
        <v>21</v>
      </c>
      <c r="Y139" s="886">
        <v>0</v>
      </c>
      <c r="Z139" s="887"/>
      <c r="AA139" s="905">
        <f t="shared" si="167"/>
        <v>0</v>
      </c>
      <c r="AB139" s="888"/>
      <c r="AC139" s="906">
        <v>0.3</v>
      </c>
      <c r="AD139" s="907">
        <v>21</v>
      </c>
      <c r="AE139" s="908">
        <v>20.399999999999999</v>
      </c>
      <c r="AF139" s="909">
        <v>21</v>
      </c>
      <c r="AG139" s="908">
        <v>0.52</v>
      </c>
      <c r="AH139" s="921">
        <v>21</v>
      </c>
      <c r="AI139" s="908">
        <v>0.48</v>
      </c>
      <c r="AJ139" s="909">
        <v>21</v>
      </c>
      <c r="AK139" s="909"/>
      <c r="AL139" s="908">
        <v>2.6</v>
      </c>
      <c r="AM139" s="909">
        <v>21</v>
      </c>
      <c r="AN139" s="908">
        <v>1.2</v>
      </c>
      <c r="AO139" s="909">
        <v>21</v>
      </c>
      <c r="AP139" s="911">
        <f t="shared" si="168"/>
        <v>2.3249039999999996</v>
      </c>
      <c r="AQ139" s="911">
        <f t="shared" si="169"/>
        <v>1.1388</v>
      </c>
      <c r="AR139" s="911">
        <f t="shared" si="108"/>
        <v>3.4637039999999999</v>
      </c>
      <c r="AS139" s="911">
        <f t="shared" si="170"/>
        <v>4.0430080559999997</v>
      </c>
      <c r="AT139" s="911">
        <f t="shared" si="171"/>
        <v>1.9803732000000003</v>
      </c>
      <c r="AU139" s="912">
        <f t="shared" si="172"/>
        <v>6.0233812560000004</v>
      </c>
      <c r="AV139" s="890"/>
      <c r="AW139" s="895">
        <v>1</v>
      </c>
      <c r="AX139" s="895">
        <v>0</v>
      </c>
      <c r="AY139" s="913">
        <f t="shared" si="173"/>
        <v>6.0233812560000004</v>
      </c>
      <c r="AZ139" s="913">
        <f t="shared" si="174"/>
        <v>0</v>
      </c>
      <c r="BA139" s="890"/>
      <c r="BB139" s="911">
        <f t="shared" si="198"/>
        <v>3.0116906280000002</v>
      </c>
      <c r="BC139" s="911">
        <f>AU139/4/3</f>
        <v>0.501948438</v>
      </c>
      <c r="BD139" s="911">
        <f>AU139/4/1920*1000</f>
        <v>0.78429443437500013</v>
      </c>
      <c r="BE139" s="911">
        <f t="shared" si="175"/>
        <v>6.3182759633250001</v>
      </c>
      <c r="BF139" s="911">
        <f t="shared" si="176"/>
        <v>4.2409469920749991</v>
      </c>
      <c r="BG139" s="911">
        <f t="shared" si="177"/>
        <v>2.0773289712500005</v>
      </c>
      <c r="BH139" s="911">
        <f t="shared" si="178"/>
        <v>6.3182759633250001</v>
      </c>
      <c r="BI139" s="911">
        <f t="shared" si="179"/>
        <v>0</v>
      </c>
    </row>
    <row r="140" spans="2:61" s="896" customFormat="1">
      <c r="B140" s="914" t="s">
        <v>1282</v>
      </c>
      <c r="C140" s="915"/>
      <c r="D140" s="916">
        <v>0</v>
      </c>
      <c r="E140" s="917">
        <v>0</v>
      </c>
      <c r="F140" s="917">
        <v>0</v>
      </c>
      <c r="G140" s="917">
        <v>0</v>
      </c>
      <c r="H140" s="918">
        <f t="shared" si="158"/>
        <v>0</v>
      </c>
      <c r="I140" s="918">
        <f t="shared" si="159"/>
        <v>0</v>
      </c>
      <c r="J140" s="901">
        <f t="shared" si="134"/>
        <v>0</v>
      </c>
      <c r="K140" s="918">
        <f t="shared" si="160"/>
        <v>0</v>
      </c>
      <c r="L140" s="918">
        <f t="shared" si="161"/>
        <v>0</v>
      </c>
      <c r="M140" s="918">
        <f t="shared" si="162"/>
        <v>0</v>
      </c>
      <c r="N140" s="918">
        <f t="shared" si="163"/>
        <v>0</v>
      </c>
      <c r="O140" s="918">
        <f t="shared" si="109"/>
        <v>0</v>
      </c>
      <c r="P140" s="918">
        <f t="shared" si="110"/>
        <v>0</v>
      </c>
      <c r="Q140" s="918">
        <f t="shared" si="111"/>
        <v>0</v>
      </c>
      <c r="R140" s="918">
        <f t="shared" si="112"/>
        <v>0</v>
      </c>
      <c r="S140" s="918">
        <f t="shared" si="164"/>
        <v>0</v>
      </c>
      <c r="T140" s="918">
        <f t="shared" si="165"/>
        <v>0</v>
      </c>
      <c r="U140" s="919">
        <f t="shared" si="166"/>
        <v>0</v>
      </c>
      <c r="V140" s="903"/>
      <c r="W140" s="884">
        <v>0.2857142857142857</v>
      </c>
      <c r="X140" s="887">
        <v>1</v>
      </c>
      <c r="Y140" s="886">
        <v>120</v>
      </c>
      <c r="Z140" s="887">
        <v>1</v>
      </c>
      <c r="AA140" s="905">
        <f t="shared" si="167"/>
        <v>34.285714285714285</v>
      </c>
      <c r="AB140" s="888"/>
      <c r="AC140" s="905"/>
      <c r="AD140" s="889"/>
      <c r="AE140" s="890"/>
      <c r="AF140" s="891"/>
      <c r="AG140" s="890"/>
      <c r="AH140" s="892"/>
      <c r="AI140" s="890"/>
      <c r="AJ140" s="891"/>
      <c r="AK140" s="891"/>
      <c r="AL140" s="893">
        <f>Y140*1000/365/2</f>
        <v>164.38356164383561</v>
      </c>
      <c r="AM140" s="891">
        <v>0</v>
      </c>
      <c r="AN140" s="890">
        <v>2</v>
      </c>
      <c r="AO140" s="891">
        <v>0</v>
      </c>
      <c r="AP140" s="911">
        <f t="shared" si="168"/>
        <v>0</v>
      </c>
      <c r="AQ140" s="911">
        <f t="shared" si="169"/>
        <v>119.99999999999999</v>
      </c>
      <c r="AR140" s="911">
        <f t="shared" si="108"/>
        <v>119.99999999999999</v>
      </c>
      <c r="AS140" s="911">
        <f t="shared" si="170"/>
        <v>0</v>
      </c>
      <c r="AT140" s="911">
        <f t="shared" si="171"/>
        <v>34.285714285714278</v>
      </c>
      <c r="AU140" s="912">
        <f t="shared" si="172"/>
        <v>34.285714285714278</v>
      </c>
      <c r="AV140" s="890"/>
      <c r="AW140" s="895">
        <v>1</v>
      </c>
      <c r="AX140" s="895">
        <v>0</v>
      </c>
      <c r="AY140" s="913">
        <f t="shared" si="173"/>
        <v>34.285714285714278</v>
      </c>
      <c r="AZ140" s="913">
        <f t="shared" si="174"/>
        <v>0</v>
      </c>
      <c r="BA140" s="890"/>
      <c r="BB140" s="911">
        <f t="shared" si="198"/>
        <v>17.142857142857139</v>
      </c>
      <c r="BC140" s="911">
        <f>AU140/4/3</f>
        <v>2.8571428571428563</v>
      </c>
      <c r="BD140" s="911">
        <f>AU140/4/1920*1000</f>
        <v>4.4642857142857135</v>
      </c>
      <c r="BE140" s="911">
        <f t="shared" si="175"/>
        <v>35.964285714285708</v>
      </c>
      <c r="BF140" s="911">
        <f t="shared" si="176"/>
        <v>0</v>
      </c>
      <c r="BG140" s="911">
        <f t="shared" si="177"/>
        <v>35.964285714285708</v>
      </c>
      <c r="BH140" s="911">
        <f t="shared" si="178"/>
        <v>35.964285714285708</v>
      </c>
      <c r="BI140" s="911">
        <f t="shared" si="179"/>
        <v>0</v>
      </c>
    </row>
    <row r="141" spans="2:61" s="896" customFormat="1">
      <c r="B141" s="914" t="s">
        <v>1283</v>
      </c>
      <c r="C141" s="915"/>
      <c r="D141" s="916">
        <v>0</v>
      </c>
      <c r="E141" s="917">
        <v>0</v>
      </c>
      <c r="F141" s="917">
        <v>0</v>
      </c>
      <c r="G141" s="917">
        <v>0</v>
      </c>
      <c r="H141" s="918">
        <f t="shared" si="158"/>
        <v>0</v>
      </c>
      <c r="I141" s="918">
        <f t="shared" si="159"/>
        <v>0</v>
      </c>
      <c r="J141" s="901">
        <f t="shared" si="134"/>
        <v>0</v>
      </c>
      <c r="K141" s="918">
        <f t="shared" si="160"/>
        <v>0</v>
      </c>
      <c r="L141" s="918">
        <f t="shared" si="161"/>
        <v>0</v>
      </c>
      <c r="M141" s="918">
        <f t="shared" si="162"/>
        <v>0</v>
      </c>
      <c r="N141" s="918">
        <f t="shared" si="163"/>
        <v>0</v>
      </c>
      <c r="O141" s="918">
        <f t="shared" si="109"/>
        <v>0</v>
      </c>
      <c r="P141" s="918">
        <f t="shared" si="110"/>
        <v>0</v>
      </c>
      <c r="Q141" s="918">
        <f t="shared" si="111"/>
        <v>0</v>
      </c>
      <c r="R141" s="918">
        <f t="shared" si="112"/>
        <v>0</v>
      </c>
      <c r="S141" s="918">
        <f t="shared" si="164"/>
        <v>0</v>
      </c>
      <c r="T141" s="918">
        <f t="shared" si="165"/>
        <v>0</v>
      </c>
      <c r="U141" s="919">
        <f t="shared" si="166"/>
        <v>0</v>
      </c>
      <c r="V141" s="903"/>
      <c r="W141" s="1057">
        <f>63.1/111.1</f>
        <v>0.56795679567956803</v>
      </c>
      <c r="X141" s="1060">
        <v>22</v>
      </c>
      <c r="Y141" s="886">
        <v>35</v>
      </c>
      <c r="Z141" s="887">
        <v>1</v>
      </c>
      <c r="AA141" s="905">
        <f t="shared" si="167"/>
        <v>19.878487848784882</v>
      </c>
      <c r="AB141" s="888"/>
      <c r="AC141" s="905">
        <v>3.81</v>
      </c>
      <c r="AD141" s="889" t="s">
        <v>1042</v>
      </c>
      <c r="AE141" s="890">
        <v>23.5</v>
      </c>
      <c r="AF141" s="891">
        <v>0</v>
      </c>
      <c r="AG141" s="890"/>
      <c r="AH141" s="892"/>
      <c r="AI141" s="890"/>
      <c r="AJ141" s="891"/>
      <c r="AK141" s="891"/>
      <c r="AL141" s="890">
        <v>4.4000000000000004</v>
      </c>
      <c r="AM141" s="891">
        <v>6</v>
      </c>
      <c r="AN141" s="890">
        <v>0.5</v>
      </c>
      <c r="AO141" s="891">
        <v>0</v>
      </c>
      <c r="AP141" s="911">
        <f t="shared" si="168"/>
        <v>32.680274999999995</v>
      </c>
      <c r="AQ141" s="911">
        <f t="shared" si="169"/>
        <v>0.80300000000000016</v>
      </c>
      <c r="AR141" s="911">
        <f t="shared" si="108"/>
        <v>33.483274999999992</v>
      </c>
      <c r="AS141" s="911">
        <f t="shared" si="170"/>
        <v>18.560984270927094</v>
      </c>
      <c r="AT141" s="911">
        <f t="shared" si="171"/>
        <v>0.4560693069306932</v>
      </c>
      <c r="AU141" s="912">
        <f t="shared" si="172"/>
        <v>19.017053577857787</v>
      </c>
      <c r="AV141" s="890"/>
      <c r="AW141" s="895">
        <v>1</v>
      </c>
      <c r="AX141" s="895">
        <v>0</v>
      </c>
      <c r="AY141" s="913">
        <f t="shared" si="173"/>
        <v>19.017053577857787</v>
      </c>
      <c r="AZ141" s="913">
        <f t="shared" si="174"/>
        <v>0</v>
      </c>
      <c r="BA141" s="890"/>
      <c r="BB141" s="911">
        <f t="shared" si="198"/>
        <v>9.5085267889288936</v>
      </c>
      <c r="BC141" s="911">
        <v>0</v>
      </c>
      <c r="BD141" s="911">
        <f>AU141/2/1920*1000</f>
        <v>4.9523577025671326</v>
      </c>
      <c r="BE141" s="911">
        <f t="shared" si="175"/>
        <v>20.879140074023027</v>
      </c>
      <c r="BF141" s="911">
        <f t="shared" si="176"/>
        <v>20.3784139807887</v>
      </c>
      <c r="BG141" s="911">
        <f t="shared" si="177"/>
        <v>0.5007260932343236</v>
      </c>
      <c r="BH141" s="911">
        <f t="shared" si="178"/>
        <v>20.879140074023027</v>
      </c>
      <c r="BI141" s="911">
        <f t="shared" si="179"/>
        <v>0</v>
      </c>
    </row>
    <row r="142" spans="2:61" s="896" customFormat="1">
      <c r="B142" s="914" t="s">
        <v>736</v>
      </c>
      <c r="C142" s="915"/>
      <c r="D142" s="916">
        <v>0</v>
      </c>
      <c r="E142" s="917">
        <v>0</v>
      </c>
      <c r="F142" s="917">
        <v>0</v>
      </c>
      <c r="G142" s="917">
        <v>0</v>
      </c>
      <c r="H142" s="918">
        <f t="shared" si="158"/>
        <v>0</v>
      </c>
      <c r="I142" s="918">
        <f t="shared" si="159"/>
        <v>0</v>
      </c>
      <c r="J142" s="901">
        <f t="shared" si="134"/>
        <v>0</v>
      </c>
      <c r="K142" s="918">
        <f t="shared" si="160"/>
        <v>0</v>
      </c>
      <c r="L142" s="918">
        <f t="shared" si="161"/>
        <v>0</v>
      </c>
      <c r="M142" s="918">
        <f t="shared" si="162"/>
        <v>0</v>
      </c>
      <c r="N142" s="918">
        <f t="shared" si="163"/>
        <v>0</v>
      </c>
      <c r="O142" s="918">
        <f>H142*AW142</f>
        <v>0</v>
      </c>
      <c r="P142" s="918">
        <f>H142*AX142</f>
        <v>0</v>
      </c>
      <c r="Q142" s="918">
        <f>I142*AW142</f>
        <v>0</v>
      </c>
      <c r="R142" s="918">
        <f>I142*AX142</f>
        <v>0</v>
      </c>
      <c r="S142" s="918">
        <f t="shared" si="164"/>
        <v>0</v>
      </c>
      <c r="T142" s="918">
        <f t="shared" si="165"/>
        <v>0</v>
      </c>
      <c r="U142" s="919">
        <f t="shared" si="166"/>
        <v>0</v>
      </c>
      <c r="V142" s="903"/>
      <c r="W142" s="904">
        <v>0.55700000000000005</v>
      </c>
      <c r="X142" s="920">
        <v>21</v>
      </c>
      <c r="Y142" s="886">
        <v>44</v>
      </c>
      <c r="Z142" s="887">
        <v>4</v>
      </c>
      <c r="AA142" s="905">
        <f>W142*Y142</f>
        <v>24.508000000000003</v>
      </c>
      <c r="AB142" s="888"/>
      <c r="AC142" s="906">
        <v>0.37</v>
      </c>
      <c r="AD142" s="907">
        <v>21</v>
      </c>
      <c r="AE142" s="908">
        <v>2</v>
      </c>
      <c r="AF142" s="909">
        <v>0</v>
      </c>
      <c r="AG142" s="908">
        <v>0.39</v>
      </c>
      <c r="AH142" s="921">
        <v>21</v>
      </c>
      <c r="AI142" s="908">
        <v>8</v>
      </c>
      <c r="AJ142" s="909"/>
      <c r="AK142" s="909"/>
      <c r="AL142" s="908">
        <v>9.6</v>
      </c>
      <c r="AM142" s="909">
        <v>21</v>
      </c>
      <c r="AN142" s="908">
        <v>0.25</v>
      </c>
      <c r="AO142" s="909">
        <v>0</v>
      </c>
      <c r="AP142" s="911">
        <f>(AC142*AE142+AG142*AI142)*365/1000</f>
        <v>1.4089</v>
      </c>
      <c r="AQ142" s="911">
        <f>AL142*AN142*365/1000</f>
        <v>0.876</v>
      </c>
      <c r="AR142" s="911">
        <f t="shared" si="108"/>
        <v>2.2848999999999999</v>
      </c>
      <c r="AS142" s="911">
        <f>AP142*W142</f>
        <v>0.7847573000000001</v>
      </c>
      <c r="AT142" s="911">
        <f>AQ142*W142</f>
        <v>0.48793200000000003</v>
      </c>
      <c r="AU142" s="912">
        <f>SUM(AS142:AT142)</f>
        <v>1.2726893000000001</v>
      </c>
      <c r="AV142" s="890"/>
      <c r="AW142" s="895">
        <v>1</v>
      </c>
      <c r="AX142" s="895">
        <v>0</v>
      </c>
      <c r="AY142" s="913">
        <f>AU142*AW142</f>
        <v>1.2726893000000001</v>
      </c>
      <c r="AZ142" s="913">
        <f>AU142*AX142</f>
        <v>0</v>
      </c>
      <c r="BA142" s="890"/>
      <c r="BB142" s="911">
        <f>AU142/2</f>
        <v>0.63634465000000007</v>
      </c>
      <c r="BC142" s="911">
        <f t="shared" ref="BC142:BC149" si="199">AU142/4/3</f>
        <v>0.10605744166666668</v>
      </c>
      <c r="BD142" s="911">
        <f t="shared" ref="BD142:BD149" si="200">AU142/4/1920*1000</f>
        <v>0.16571475260416671</v>
      </c>
      <c r="BE142" s="911">
        <f t="shared" si="175"/>
        <v>1.3349980469791669</v>
      </c>
      <c r="BF142" s="911">
        <f t="shared" si="176"/>
        <v>0.8231777094791668</v>
      </c>
      <c r="BG142" s="911">
        <f t="shared" si="177"/>
        <v>0.51182033750000011</v>
      </c>
      <c r="BH142" s="911">
        <f>BE142*AW142</f>
        <v>1.3349980469791669</v>
      </c>
      <c r="BI142" s="911">
        <f>BE142*AX142</f>
        <v>0</v>
      </c>
    </row>
    <row r="143" spans="2:61" s="896" customFormat="1">
      <c r="B143" s="914" t="s">
        <v>737</v>
      </c>
      <c r="C143" s="915"/>
      <c r="D143" s="916">
        <v>0</v>
      </c>
      <c r="E143" s="917">
        <v>0</v>
      </c>
      <c r="F143" s="917">
        <v>0</v>
      </c>
      <c r="G143" s="917">
        <v>0</v>
      </c>
      <c r="H143" s="918">
        <f t="shared" si="158"/>
        <v>0</v>
      </c>
      <c r="I143" s="918">
        <f t="shared" si="159"/>
        <v>0</v>
      </c>
      <c r="J143" s="901">
        <f t="shared" si="134"/>
        <v>0</v>
      </c>
      <c r="K143" s="918">
        <f t="shared" si="160"/>
        <v>0</v>
      </c>
      <c r="L143" s="918">
        <f t="shared" si="161"/>
        <v>0</v>
      </c>
      <c r="M143" s="918">
        <f t="shared" si="162"/>
        <v>0</v>
      </c>
      <c r="N143" s="918">
        <f t="shared" si="163"/>
        <v>0</v>
      </c>
      <c r="O143" s="918">
        <f>H143*AW143</f>
        <v>0</v>
      </c>
      <c r="P143" s="918">
        <f>H143*AX143</f>
        <v>0</v>
      </c>
      <c r="Q143" s="918">
        <f>I143*AW143</f>
        <v>0</v>
      </c>
      <c r="R143" s="918">
        <f>I143*AX143</f>
        <v>0</v>
      </c>
      <c r="S143" s="918">
        <f t="shared" si="164"/>
        <v>0</v>
      </c>
      <c r="T143" s="918">
        <f t="shared" si="165"/>
        <v>0</v>
      </c>
      <c r="U143" s="919">
        <f t="shared" si="166"/>
        <v>0</v>
      </c>
      <c r="V143" s="903"/>
      <c r="W143" s="904">
        <v>3.2000000000000001E-2</v>
      </c>
      <c r="X143" s="920">
        <v>21</v>
      </c>
      <c r="Y143" s="886">
        <v>44</v>
      </c>
      <c r="Z143" s="887">
        <v>4</v>
      </c>
      <c r="AA143" s="905">
        <f>W143*Y143</f>
        <v>1.4079999999999999</v>
      </c>
      <c r="AB143" s="888"/>
      <c r="AC143" s="906">
        <v>0.4</v>
      </c>
      <c r="AD143" s="907">
        <v>21</v>
      </c>
      <c r="AE143" s="908">
        <v>6</v>
      </c>
      <c r="AF143" s="909">
        <v>0</v>
      </c>
      <c r="AG143" s="908">
        <v>0.4</v>
      </c>
      <c r="AH143" s="921">
        <v>21</v>
      </c>
      <c r="AI143" s="908">
        <v>13</v>
      </c>
      <c r="AJ143" s="909"/>
      <c r="AK143" s="909"/>
      <c r="AL143" s="908">
        <v>3</v>
      </c>
      <c r="AM143" s="909">
        <v>21</v>
      </c>
      <c r="AN143" s="908">
        <v>4</v>
      </c>
      <c r="AO143" s="909">
        <v>0</v>
      </c>
      <c r="AP143" s="911">
        <f>(AC143*AE143+AG143*AI143)*365/1000</f>
        <v>2.774</v>
      </c>
      <c r="AQ143" s="911">
        <f>AL143*AN143*365/1000</f>
        <v>4.38</v>
      </c>
      <c r="AR143" s="911">
        <f t="shared" si="108"/>
        <v>7.1539999999999999</v>
      </c>
      <c r="AS143" s="911">
        <f>AP143*W143</f>
        <v>8.8768E-2</v>
      </c>
      <c r="AT143" s="911">
        <f>AQ143*W143</f>
        <v>0.14016000000000001</v>
      </c>
      <c r="AU143" s="912">
        <f>SUM(AS143:AT143)</f>
        <v>0.22892800000000002</v>
      </c>
      <c r="AV143" s="890"/>
      <c r="AW143" s="895">
        <v>1</v>
      </c>
      <c r="AX143" s="895">
        <v>0</v>
      </c>
      <c r="AY143" s="913">
        <f>AU143*AW143</f>
        <v>0.22892800000000002</v>
      </c>
      <c r="AZ143" s="913">
        <f>AU143*AX143</f>
        <v>0</v>
      </c>
      <c r="BA143" s="890"/>
      <c r="BB143" s="911">
        <f>AU143/2</f>
        <v>0.11446400000000001</v>
      </c>
      <c r="BC143" s="911">
        <f t="shared" si="199"/>
        <v>1.9077333333333335E-2</v>
      </c>
      <c r="BD143" s="911">
        <f t="shared" si="200"/>
        <v>2.9808333333333336E-2</v>
      </c>
      <c r="BE143" s="911">
        <f t="shared" si="175"/>
        <v>0.24013593333333336</v>
      </c>
      <c r="BF143" s="911">
        <f t="shared" si="176"/>
        <v>9.3113933333333343E-2</v>
      </c>
      <c r="BG143" s="911">
        <f t="shared" si="177"/>
        <v>0.14702199999999999</v>
      </c>
      <c r="BH143" s="911">
        <f>BE143*AW143</f>
        <v>0.24013593333333336</v>
      </c>
      <c r="BI143" s="911">
        <f>BE143*AX143</f>
        <v>0</v>
      </c>
    </row>
    <row r="144" spans="2:61" s="896" customFormat="1">
      <c r="B144" s="914" t="s">
        <v>738</v>
      </c>
      <c r="C144" s="915"/>
      <c r="D144" s="916">
        <v>0</v>
      </c>
      <c r="E144" s="917">
        <v>0</v>
      </c>
      <c r="F144" s="917">
        <v>0</v>
      </c>
      <c r="G144" s="917">
        <v>0</v>
      </c>
      <c r="H144" s="918">
        <f t="shared" si="158"/>
        <v>0</v>
      </c>
      <c r="I144" s="918">
        <f t="shared" si="159"/>
        <v>0</v>
      </c>
      <c r="J144" s="901">
        <f t="shared" si="134"/>
        <v>0</v>
      </c>
      <c r="K144" s="918">
        <f t="shared" si="160"/>
        <v>0</v>
      </c>
      <c r="L144" s="918">
        <f t="shared" si="161"/>
        <v>0</v>
      </c>
      <c r="M144" s="918">
        <f t="shared" si="162"/>
        <v>0</v>
      </c>
      <c r="N144" s="918">
        <f t="shared" si="163"/>
        <v>0</v>
      </c>
      <c r="O144" s="918">
        <f>H144*AW144</f>
        <v>0</v>
      </c>
      <c r="P144" s="918">
        <f>H144*AX144</f>
        <v>0</v>
      </c>
      <c r="Q144" s="918">
        <f>I144*AW144</f>
        <v>0</v>
      </c>
      <c r="R144" s="918">
        <f>I144*AX144</f>
        <v>0</v>
      </c>
      <c r="S144" s="918">
        <f t="shared" si="164"/>
        <v>0</v>
      </c>
      <c r="T144" s="918">
        <f t="shared" si="165"/>
        <v>0</v>
      </c>
      <c r="U144" s="919">
        <f t="shared" si="166"/>
        <v>0</v>
      </c>
      <c r="V144" s="903"/>
      <c r="W144" s="904">
        <v>0.183</v>
      </c>
      <c r="X144" s="920">
        <v>21</v>
      </c>
      <c r="Y144" s="886">
        <v>44</v>
      </c>
      <c r="Z144" s="887">
        <v>4</v>
      </c>
      <c r="AA144" s="905">
        <f>W144*Y144</f>
        <v>8.0519999999999996</v>
      </c>
      <c r="AB144" s="888"/>
      <c r="AC144" s="906">
        <v>0.57999999999999996</v>
      </c>
      <c r="AD144" s="907">
        <v>21</v>
      </c>
      <c r="AE144" s="908">
        <v>6</v>
      </c>
      <c r="AF144" s="909">
        <v>0</v>
      </c>
      <c r="AG144" s="908">
        <v>0.61</v>
      </c>
      <c r="AH144" s="921">
        <v>21</v>
      </c>
      <c r="AI144" s="908">
        <v>14</v>
      </c>
      <c r="AJ144" s="909"/>
      <c r="AK144" s="909"/>
      <c r="AL144" s="908">
        <v>4.7</v>
      </c>
      <c r="AM144" s="909">
        <v>21</v>
      </c>
      <c r="AN144" s="908">
        <v>1</v>
      </c>
      <c r="AO144" s="909">
        <v>0</v>
      </c>
      <c r="AP144" s="911">
        <f>(AC144*AE144+AG144*AI144)*365/1000</f>
        <v>4.3872999999999998</v>
      </c>
      <c r="AQ144" s="911">
        <f>AL144*AN144*365/1000</f>
        <v>1.7155</v>
      </c>
      <c r="AR144" s="911">
        <f t="shared" si="108"/>
        <v>6.1028000000000002</v>
      </c>
      <c r="AS144" s="911">
        <f>AP144*W144</f>
        <v>0.80287589999999998</v>
      </c>
      <c r="AT144" s="911">
        <f>AQ144*W144</f>
        <v>0.31393650000000001</v>
      </c>
      <c r="AU144" s="912">
        <f>SUM(AS144:AT144)</f>
        <v>1.1168123999999999</v>
      </c>
      <c r="AV144" s="890"/>
      <c r="AW144" s="895">
        <v>1</v>
      </c>
      <c r="AX144" s="895">
        <v>0</v>
      </c>
      <c r="AY144" s="913">
        <f>AU144*AW144</f>
        <v>1.1168123999999999</v>
      </c>
      <c r="AZ144" s="913">
        <f>AU144*AX144</f>
        <v>0</v>
      </c>
      <c r="BA144" s="890"/>
      <c r="BB144" s="911">
        <f>AU144/2</f>
        <v>0.55840619999999996</v>
      </c>
      <c r="BC144" s="911">
        <f t="shared" si="199"/>
        <v>9.3067699999999989E-2</v>
      </c>
      <c r="BD144" s="911">
        <f t="shared" si="200"/>
        <v>0.14541828124999998</v>
      </c>
      <c r="BE144" s="911">
        <f t="shared" si="175"/>
        <v>1.17148967375</v>
      </c>
      <c r="BF144" s="911">
        <f t="shared" si="176"/>
        <v>0.84218336593750009</v>
      </c>
      <c r="BG144" s="911">
        <f t="shared" si="177"/>
        <v>0.32930630781250003</v>
      </c>
      <c r="BH144" s="911">
        <f>BE144*AW144</f>
        <v>1.17148967375</v>
      </c>
      <c r="BI144" s="911">
        <f>BE144*AX144</f>
        <v>0</v>
      </c>
    </row>
    <row r="145" spans="2:61" s="896" customFormat="1">
      <c r="B145" s="914" t="s">
        <v>195</v>
      </c>
      <c r="C145" s="915"/>
      <c r="D145" s="916">
        <v>0</v>
      </c>
      <c r="E145" s="917">
        <v>0</v>
      </c>
      <c r="F145" s="917">
        <v>0</v>
      </c>
      <c r="G145" s="917">
        <v>0</v>
      </c>
      <c r="H145" s="918">
        <f t="shared" si="158"/>
        <v>0</v>
      </c>
      <c r="I145" s="918">
        <f t="shared" si="159"/>
        <v>0</v>
      </c>
      <c r="J145" s="901">
        <f t="shared" si="134"/>
        <v>0</v>
      </c>
      <c r="K145" s="918">
        <f t="shared" si="160"/>
        <v>0</v>
      </c>
      <c r="L145" s="918">
        <f t="shared" si="161"/>
        <v>0</v>
      </c>
      <c r="M145" s="918">
        <f t="shared" si="162"/>
        <v>0</v>
      </c>
      <c r="N145" s="918">
        <f t="shared" si="163"/>
        <v>0</v>
      </c>
      <c r="O145" s="918">
        <f>H145*AW145</f>
        <v>0</v>
      </c>
      <c r="P145" s="918">
        <f>H145*AX145</f>
        <v>0</v>
      </c>
      <c r="Q145" s="918">
        <f>I145*AW145</f>
        <v>0</v>
      </c>
      <c r="R145" s="918">
        <f>I145*AX145</f>
        <v>0</v>
      </c>
      <c r="S145" s="918">
        <f t="shared" si="164"/>
        <v>0</v>
      </c>
      <c r="T145" s="918">
        <f t="shared" si="165"/>
        <v>0</v>
      </c>
      <c r="U145" s="919">
        <f t="shared" si="166"/>
        <v>0</v>
      </c>
      <c r="V145" s="903"/>
      <c r="W145" s="904">
        <v>1.6999999999999999E-3</v>
      </c>
      <c r="X145" s="920">
        <v>21</v>
      </c>
      <c r="Y145" s="886">
        <v>44</v>
      </c>
      <c r="Z145" s="887">
        <v>4</v>
      </c>
      <c r="AA145" s="905">
        <f>W145*Y145</f>
        <v>7.4799999999999991E-2</v>
      </c>
      <c r="AB145" s="888"/>
      <c r="AC145" s="906">
        <v>1</v>
      </c>
      <c r="AD145" s="907">
        <v>21</v>
      </c>
      <c r="AE145" s="908">
        <v>3.7</v>
      </c>
      <c r="AF145" s="909">
        <v>21</v>
      </c>
      <c r="AG145" s="908">
        <v>4.9000000000000004</v>
      </c>
      <c r="AH145" s="921">
        <v>21</v>
      </c>
      <c r="AI145" s="908">
        <v>3.7</v>
      </c>
      <c r="AJ145" s="909">
        <v>21</v>
      </c>
      <c r="AK145" s="909"/>
      <c r="AL145" s="908">
        <v>6</v>
      </c>
      <c r="AM145" s="909">
        <v>21</v>
      </c>
      <c r="AN145" s="908">
        <v>2.2000000000000002</v>
      </c>
      <c r="AO145" s="909">
        <v>21</v>
      </c>
      <c r="AP145" s="911">
        <f>(AC145*AE145+AG145*AI145)*365/1000</f>
        <v>7.967950000000001</v>
      </c>
      <c r="AQ145" s="911">
        <f>AL145*AN145*365/1000</f>
        <v>4.8179999999999996</v>
      </c>
      <c r="AR145" s="911">
        <f t="shared" si="108"/>
        <v>12.78595</v>
      </c>
      <c r="AS145" s="911">
        <f>AP145*W145</f>
        <v>1.3545515000000001E-2</v>
      </c>
      <c r="AT145" s="911">
        <f>AQ145*W145</f>
        <v>8.1905999999999993E-3</v>
      </c>
      <c r="AU145" s="912">
        <f>SUM(AS145:AT145)</f>
        <v>2.1736115E-2</v>
      </c>
      <c r="AV145" s="890"/>
      <c r="AW145" s="895">
        <v>1</v>
      </c>
      <c r="AX145" s="895">
        <v>0</v>
      </c>
      <c r="AY145" s="913">
        <f>AU145*AW145</f>
        <v>2.1736115E-2</v>
      </c>
      <c r="AZ145" s="913">
        <f>AU145*AX145</f>
        <v>0</v>
      </c>
      <c r="BA145" s="890"/>
      <c r="BB145" s="911">
        <f>AU145/2</f>
        <v>1.08680575E-2</v>
      </c>
      <c r="BC145" s="911">
        <f t="shared" si="199"/>
        <v>1.8113429166666667E-3</v>
      </c>
      <c r="BD145" s="911">
        <f t="shared" si="200"/>
        <v>2.8302233072916667E-3</v>
      </c>
      <c r="BE145" s="911">
        <f t="shared" si="175"/>
        <v>2.2800278963541667E-2</v>
      </c>
      <c r="BF145" s="911">
        <f t="shared" si="176"/>
        <v>1.4208680838541666E-2</v>
      </c>
      <c r="BG145" s="911">
        <f t="shared" si="177"/>
        <v>8.5915981249999988E-3</v>
      </c>
      <c r="BH145" s="911">
        <f>BE145*AW145</f>
        <v>2.2800278963541667E-2</v>
      </c>
      <c r="BI145" s="911">
        <f>BE145*AX145</f>
        <v>0</v>
      </c>
    </row>
    <row r="146" spans="2:61" s="896" customFormat="1">
      <c r="B146" s="914" t="s">
        <v>196</v>
      </c>
      <c r="C146" s="915"/>
      <c r="D146" s="916">
        <v>0</v>
      </c>
      <c r="E146" s="917">
        <v>0</v>
      </c>
      <c r="F146" s="917">
        <v>0</v>
      </c>
      <c r="G146" s="917">
        <v>0</v>
      </c>
      <c r="H146" s="918">
        <f t="shared" si="158"/>
        <v>0</v>
      </c>
      <c r="I146" s="918">
        <f t="shared" si="159"/>
        <v>0</v>
      </c>
      <c r="J146" s="901">
        <f t="shared" si="134"/>
        <v>0</v>
      </c>
      <c r="K146" s="918">
        <f t="shared" si="160"/>
        <v>0</v>
      </c>
      <c r="L146" s="918">
        <f t="shared" si="161"/>
        <v>0</v>
      </c>
      <c r="M146" s="918">
        <f t="shared" si="162"/>
        <v>0</v>
      </c>
      <c r="N146" s="918">
        <f t="shared" si="163"/>
        <v>0</v>
      </c>
      <c r="O146" s="918">
        <f t="shared" si="109"/>
        <v>0</v>
      </c>
      <c r="P146" s="918">
        <f t="shared" si="110"/>
        <v>0</v>
      </c>
      <c r="Q146" s="918">
        <f t="shared" si="111"/>
        <v>0</v>
      </c>
      <c r="R146" s="918">
        <f t="shared" si="112"/>
        <v>0</v>
      </c>
      <c r="S146" s="918">
        <f t="shared" si="164"/>
        <v>0</v>
      </c>
      <c r="T146" s="918">
        <f t="shared" si="165"/>
        <v>0</v>
      </c>
      <c r="U146" s="919">
        <f t="shared" si="166"/>
        <v>0</v>
      </c>
      <c r="V146" s="903"/>
      <c r="W146" s="904">
        <v>0.2</v>
      </c>
      <c r="X146" s="920">
        <v>21</v>
      </c>
      <c r="Y146" s="886">
        <v>44</v>
      </c>
      <c r="Z146" s="887">
        <v>4</v>
      </c>
      <c r="AA146" s="905">
        <f t="shared" si="167"/>
        <v>8.8000000000000007</v>
      </c>
      <c r="AB146" s="888"/>
      <c r="AC146" s="905">
        <v>1.3</v>
      </c>
      <c r="AD146" s="889">
        <v>10</v>
      </c>
      <c r="AE146" s="890">
        <v>6</v>
      </c>
      <c r="AF146" s="891">
        <v>0</v>
      </c>
      <c r="AG146" s="890"/>
      <c r="AH146" s="892">
        <v>10</v>
      </c>
      <c r="AI146" s="890"/>
      <c r="AJ146" s="891"/>
      <c r="AK146" s="891"/>
      <c r="AL146" s="890">
        <v>6</v>
      </c>
      <c r="AM146" s="891">
        <v>6</v>
      </c>
      <c r="AN146" s="890">
        <v>0.5</v>
      </c>
      <c r="AO146" s="891">
        <v>0</v>
      </c>
      <c r="AP146" s="911">
        <f t="shared" si="168"/>
        <v>2.8470000000000004</v>
      </c>
      <c r="AQ146" s="911">
        <f t="shared" si="169"/>
        <v>1.095</v>
      </c>
      <c r="AR146" s="911">
        <f t="shared" si="108"/>
        <v>3.9420000000000002</v>
      </c>
      <c r="AS146" s="911">
        <f t="shared" si="170"/>
        <v>0.56940000000000013</v>
      </c>
      <c r="AT146" s="911">
        <f t="shared" si="171"/>
        <v>0.219</v>
      </c>
      <c r="AU146" s="912">
        <f t="shared" si="172"/>
        <v>0.7884000000000001</v>
      </c>
      <c r="AV146" s="890"/>
      <c r="AW146" s="895">
        <v>1</v>
      </c>
      <c r="AX146" s="895">
        <v>0</v>
      </c>
      <c r="AY146" s="913">
        <f t="shared" si="173"/>
        <v>0.7884000000000001</v>
      </c>
      <c r="AZ146" s="913">
        <f t="shared" si="174"/>
        <v>0</v>
      </c>
      <c r="BA146" s="890"/>
      <c r="BB146" s="911">
        <f t="shared" si="198"/>
        <v>0.39420000000000005</v>
      </c>
      <c r="BC146" s="911">
        <f t="shared" si="199"/>
        <v>6.5700000000000008E-2</v>
      </c>
      <c r="BD146" s="911">
        <f t="shared" si="200"/>
        <v>0.10265625000000002</v>
      </c>
      <c r="BE146" s="911">
        <f t="shared" si="175"/>
        <v>0.82699875000000012</v>
      </c>
      <c r="BF146" s="911">
        <f t="shared" si="176"/>
        <v>0.59727687500000015</v>
      </c>
      <c r="BG146" s="911">
        <f t="shared" si="177"/>
        <v>0.22972187499999999</v>
      </c>
      <c r="BH146" s="911">
        <f t="shared" si="178"/>
        <v>0.82699875000000012</v>
      </c>
      <c r="BI146" s="911">
        <f t="shared" si="179"/>
        <v>0</v>
      </c>
    </row>
    <row r="147" spans="2:61" s="896" customFormat="1">
      <c r="B147" s="914" t="s">
        <v>197</v>
      </c>
      <c r="C147" s="915"/>
      <c r="D147" s="916">
        <v>0</v>
      </c>
      <c r="E147" s="917">
        <v>0</v>
      </c>
      <c r="F147" s="917">
        <v>0</v>
      </c>
      <c r="G147" s="917">
        <v>0</v>
      </c>
      <c r="H147" s="918">
        <f t="shared" si="158"/>
        <v>0</v>
      </c>
      <c r="I147" s="918">
        <f t="shared" si="159"/>
        <v>0</v>
      </c>
      <c r="J147" s="901">
        <f t="shared" si="134"/>
        <v>0</v>
      </c>
      <c r="K147" s="918">
        <f t="shared" si="160"/>
        <v>0</v>
      </c>
      <c r="L147" s="918">
        <f t="shared" si="161"/>
        <v>0</v>
      </c>
      <c r="M147" s="918">
        <f t="shared" si="162"/>
        <v>0</v>
      </c>
      <c r="N147" s="918">
        <f t="shared" si="163"/>
        <v>0</v>
      </c>
      <c r="O147" s="918">
        <f>H147*AW147</f>
        <v>0</v>
      </c>
      <c r="P147" s="918">
        <f>H147*AX147</f>
        <v>0</v>
      </c>
      <c r="Q147" s="918">
        <f>I147*AW147</f>
        <v>0</v>
      </c>
      <c r="R147" s="918">
        <f>I147*AX147</f>
        <v>0</v>
      </c>
      <c r="S147" s="918">
        <f t="shared" si="164"/>
        <v>0</v>
      </c>
      <c r="T147" s="918">
        <f t="shared" si="165"/>
        <v>0</v>
      </c>
      <c r="U147" s="919">
        <f t="shared" si="166"/>
        <v>0</v>
      </c>
      <c r="V147" s="903"/>
      <c r="W147" s="904">
        <v>0.2</v>
      </c>
      <c r="X147" s="920">
        <v>21</v>
      </c>
      <c r="Y147" s="886">
        <v>44</v>
      </c>
      <c r="Z147" s="887">
        <v>4</v>
      </c>
      <c r="AA147" s="905">
        <f>W147*Y147</f>
        <v>8.8000000000000007</v>
      </c>
      <c r="AB147" s="888"/>
      <c r="AC147" s="906">
        <v>0.26</v>
      </c>
      <c r="AD147" s="907">
        <v>21</v>
      </c>
      <c r="AE147" s="908">
        <v>8</v>
      </c>
      <c r="AF147" s="909">
        <v>0</v>
      </c>
      <c r="AG147" s="908">
        <v>0.62</v>
      </c>
      <c r="AH147" s="921">
        <v>21</v>
      </c>
      <c r="AI147" s="908">
        <v>12</v>
      </c>
      <c r="AJ147" s="909">
        <v>0</v>
      </c>
      <c r="AK147" s="909"/>
      <c r="AL147" s="908">
        <v>3.7</v>
      </c>
      <c r="AM147" s="909">
        <v>21</v>
      </c>
      <c r="AN147" s="908">
        <v>1.6</v>
      </c>
      <c r="AO147" s="909">
        <v>0</v>
      </c>
      <c r="AP147" s="911">
        <f>(AC147*AE147+AG147*AI147)*365/1000</f>
        <v>3.4747999999999997</v>
      </c>
      <c r="AQ147" s="911">
        <f>AL147*AN147*365/1000</f>
        <v>2.1608000000000001</v>
      </c>
      <c r="AR147" s="911">
        <f t="shared" si="108"/>
        <v>5.6356000000000002</v>
      </c>
      <c r="AS147" s="911">
        <f>AP147*W147</f>
        <v>0.69496000000000002</v>
      </c>
      <c r="AT147" s="911">
        <f>AQ147*W147</f>
        <v>0.43216000000000004</v>
      </c>
      <c r="AU147" s="912">
        <f>SUM(AS147:AT147)</f>
        <v>1.1271200000000001</v>
      </c>
      <c r="AV147" s="890"/>
      <c r="AW147" s="895">
        <v>1</v>
      </c>
      <c r="AX147" s="895">
        <v>0</v>
      </c>
      <c r="AY147" s="913">
        <f>AU147*AW147</f>
        <v>1.1271200000000001</v>
      </c>
      <c r="AZ147" s="913">
        <f>AU147*AX147</f>
        <v>0</v>
      </c>
      <c r="BA147" s="890"/>
      <c r="BB147" s="911">
        <f>AU147/2</f>
        <v>0.56356000000000006</v>
      </c>
      <c r="BC147" s="911">
        <f t="shared" si="199"/>
        <v>9.3926666666666672E-2</v>
      </c>
      <c r="BD147" s="911">
        <f t="shared" si="200"/>
        <v>0.14676041666666667</v>
      </c>
      <c r="BE147" s="911">
        <f t="shared" si="175"/>
        <v>1.1823019166666668</v>
      </c>
      <c r="BF147" s="911">
        <f t="shared" si="176"/>
        <v>0.72898408333333331</v>
      </c>
      <c r="BG147" s="911">
        <f t="shared" si="177"/>
        <v>0.45331783333333336</v>
      </c>
      <c r="BH147" s="911">
        <f>BE147*AW147</f>
        <v>1.1823019166666668</v>
      </c>
      <c r="BI147" s="911">
        <f>BE147*AX147</f>
        <v>0</v>
      </c>
    </row>
    <row r="148" spans="2:61" s="896" customFormat="1">
      <c r="B148" s="914" t="s">
        <v>198</v>
      </c>
      <c r="C148" s="915"/>
      <c r="D148" s="916">
        <v>0</v>
      </c>
      <c r="E148" s="917">
        <v>0</v>
      </c>
      <c r="F148" s="917">
        <v>0</v>
      </c>
      <c r="G148" s="917">
        <v>0</v>
      </c>
      <c r="H148" s="918">
        <f t="shared" si="158"/>
        <v>0</v>
      </c>
      <c r="I148" s="918">
        <f t="shared" si="159"/>
        <v>0</v>
      </c>
      <c r="J148" s="901">
        <f t="shared" si="134"/>
        <v>0</v>
      </c>
      <c r="K148" s="918">
        <f t="shared" si="160"/>
        <v>0</v>
      </c>
      <c r="L148" s="918">
        <f t="shared" si="161"/>
        <v>0</v>
      </c>
      <c r="M148" s="918">
        <f t="shared" si="162"/>
        <v>0</v>
      </c>
      <c r="N148" s="918">
        <f t="shared" si="163"/>
        <v>0</v>
      </c>
      <c r="O148" s="918">
        <f>H148*AW148</f>
        <v>0</v>
      </c>
      <c r="P148" s="918">
        <f>H148*AX148</f>
        <v>0</v>
      </c>
      <c r="Q148" s="918">
        <f>I148*AW148</f>
        <v>0</v>
      </c>
      <c r="R148" s="918">
        <f>I148*AX148</f>
        <v>0</v>
      </c>
      <c r="S148" s="918">
        <f t="shared" si="164"/>
        <v>0</v>
      </c>
      <c r="T148" s="918">
        <f t="shared" si="165"/>
        <v>0</v>
      </c>
      <c r="U148" s="919">
        <f t="shared" si="166"/>
        <v>0</v>
      </c>
      <c r="V148" s="903"/>
      <c r="W148" s="904">
        <v>7.4999999999999997E-2</v>
      </c>
      <c r="X148" s="920">
        <v>21</v>
      </c>
      <c r="Y148" s="886">
        <v>44</v>
      </c>
      <c r="Z148" s="887">
        <v>4</v>
      </c>
      <c r="AA148" s="905">
        <f>W148*Y148</f>
        <v>3.3</v>
      </c>
      <c r="AB148" s="888"/>
      <c r="AC148" s="906">
        <v>1.1000000000000001</v>
      </c>
      <c r="AD148" s="907">
        <v>21</v>
      </c>
      <c r="AE148" s="908">
        <v>0.5</v>
      </c>
      <c r="AF148" s="909">
        <v>0</v>
      </c>
      <c r="AG148" s="908">
        <v>3.1</v>
      </c>
      <c r="AH148" s="921">
        <v>21</v>
      </c>
      <c r="AI148" s="908">
        <v>0.5</v>
      </c>
      <c r="AJ148" s="909">
        <v>0</v>
      </c>
      <c r="AK148" s="909"/>
      <c r="AL148" s="908">
        <v>11.8</v>
      </c>
      <c r="AM148" s="909">
        <v>21</v>
      </c>
      <c r="AN148" s="908">
        <v>0.05</v>
      </c>
      <c r="AO148" s="909">
        <v>0</v>
      </c>
      <c r="AP148" s="911">
        <f>(AC148*AE148+AG148*AI148)*365/1000</f>
        <v>0.76649999999999996</v>
      </c>
      <c r="AQ148" s="911">
        <f>AL148*AN148*365/1000</f>
        <v>0.21535000000000001</v>
      </c>
      <c r="AR148" s="911">
        <f t="shared" si="108"/>
        <v>0.98185</v>
      </c>
      <c r="AS148" s="911">
        <f>AP148*W148</f>
        <v>5.7487499999999997E-2</v>
      </c>
      <c r="AT148" s="911">
        <f>AQ148*W148</f>
        <v>1.6151249999999999E-2</v>
      </c>
      <c r="AU148" s="912">
        <f>SUM(AS148:AT148)</f>
        <v>7.3638750000000003E-2</v>
      </c>
      <c r="AV148" s="890"/>
      <c r="AW148" s="895">
        <v>1</v>
      </c>
      <c r="AX148" s="895">
        <v>0</v>
      </c>
      <c r="AY148" s="913">
        <f>AU148*AW148</f>
        <v>7.3638750000000003E-2</v>
      </c>
      <c r="AZ148" s="913">
        <f>AU148*AX148</f>
        <v>0</v>
      </c>
      <c r="BA148" s="890"/>
      <c r="BB148" s="911">
        <f>AU148/2</f>
        <v>3.6819375000000001E-2</v>
      </c>
      <c r="BC148" s="911">
        <f t="shared" si="199"/>
        <v>6.1365625000000005E-3</v>
      </c>
      <c r="BD148" s="911">
        <f t="shared" si="200"/>
        <v>9.5883789062500002E-3</v>
      </c>
      <c r="BE148" s="911">
        <f t="shared" si="175"/>
        <v>7.7243980468750001E-2</v>
      </c>
      <c r="BF148" s="911">
        <f t="shared" si="176"/>
        <v>6.03019921875E-2</v>
      </c>
      <c r="BG148" s="911">
        <f t="shared" si="177"/>
        <v>1.6941988281250001E-2</v>
      </c>
      <c r="BH148" s="911">
        <f>BE148*AW148</f>
        <v>7.7243980468750001E-2</v>
      </c>
      <c r="BI148" s="911">
        <f>BE148*AX148</f>
        <v>0</v>
      </c>
    </row>
    <row r="149" spans="2:61" s="896" customFormat="1">
      <c r="B149" s="914" t="s">
        <v>1284</v>
      </c>
      <c r="C149" s="915"/>
      <c r="D149" s="916">
        <v>0</v>
      </c>
      <c r="E149" s="917">
        <v>0</v>
      </c>
      <c r="F149" s="917">
        <v>0</v>
      </c>
      <c r="G149" s="917">
        <v>0</v>
      </c>
      <c r="H149" s="918">
        <f t="shared" si="158"/>
        <v>0</v>
      </c>
      <c r="I149" s="918">
        <f t="shared" si="159"/>
        <v>0</v>
      </c>
      <c r="J149" s="901">
        <f t="shared" si="134"/>
        <v>0</v>
      </c>
      <c r="K149" s="918">
        <f t="shared" si="160"/>
        <v>0</v>
      </c>
      <c r="L149" s="918">
        <f t="shared" si="161"/>
        <v>0</v>
      </c>
      <c r="M149" s="918">
        <f t="shared" si="162"/>
        <v>0</v>
      </c>
      <c r="N149" s="918">
        <f t="shared" si="163"/>
        <v>0</v>
      </c>
      <c r="O149" s="918">
        <f t="shared" si="109"/>
        <v>0</v>
      </c>
      <c r="P149" s="918">
        <f t="shared" si="110"/>
        <v>0</v>
      </c>
      <c r="Q149" s="918">
        <f t="shared" si="111"/>
        <v>0</v>
      </c>
      <c r="R149" s="918">
        <f t="shared" si="112"/>
        <v>0</v>
      </c>
      <c r="S149" s="918">
        <f t="shared" si="164"/>
        <v>0</v>
      </c>
      <c r="T149" s="918">
        <f t="shared" si="165"/>
        <v>0</v>
      </c>
      <c r="U149" s="919">
        <f t="shared" si="166"/>
        <v>0</v>
      </c>
      <c r="V149" s="903"/>
      <c r="W149" s="884">
        <v>0.94581280788177335</v>
      </c>
      <c r="X149" s="887">
        <v>1</v>
      </c>
      <c r="Y149" s="886">
        <v>8</v>
      </c>
      <c r="Z149" s="887">
        <v>1</v>
      </c>
      <c r="AA149" s="905">
        <f t="shared" si="167"/>
        <v>7.5665024630541868</v>
      </c>
      <c r="AB149" s="888"/>
      <c r="AC149" s="905">
        <v>0</v>
      </c>
      <c r="AD149" s="889">
        <v>6</v>
      </c>
      <c r="AE149" s="890">
        <v>23</v>
      </c>
      <c r="AF149" s="891">
        <v>0</v>
      </c>
      <c r="AG149" s="890"/>
      <c r="AH149" s="892"/>
      <c r="AI149" s="890"/>
      <c r="AJ149" s="891"/>
      <c r="AK149" s="891"/>
      <c r="AL149" s="890">
        <v>31</v>
      </c>
      <c r="AM149" s="891">
        <v>6</v>
      </c>
      <c r="AN149" s="890">
        <v>1</v>
      </c>
      <c r="AO149" s="891">
        <v>0</v>
      </c>
      <c r="AP149" s="911">
        <f t="shared" si="168"/>
        <v>0</v>
      </c>
      <c r="AQ149" s="911">
        <f t="shared" si="169"/>
        <v>11.315</v>
      </c>
      <c r="AR149" s="911">
        <f t="shared" si="108"/>
        <v>11.315</v>
      </c>
      <c r="AS149" s="911">
        <f t="shared" si="170"/>
        <v>0</v>
      </c>
      <c r="AT149" s="911">
        <f t="shared" si="171"/>
        <v>10.701871921182265</v>
      </c>
      <c r="AU149" s="912">
        <f t="shared" si="172"/>
        <v>10.701871921182265</v>
      </c>
      <c r="AV149" s="890"/>
      <c r="AW149" s="895">
        <v>1</v>
      </c>
      <c r="AX149" s="895">
        <v>0</v>
      </c>
      <c r="AY149" s="913">
        <f t="shared" si="173"/>
        <v>10.701871921182265</v>
      </c>
      <c r="AZ149" s="913">
        <f t="shared" si="174"/>
        <v>0</v>
      </c>
      <c r="BA149" s="890"/>
      <c r="BB149" s="911">
        <f t="shared" si="198"/>
        <v>5.3509359605911326</v>
      </c>
      <c r="BC149" s="911">
        <f t="shared" si="199"/>
        <v>0.89182266009852207</v>
      </c>
      <c r="BD149" s="911">
        <f t="shared" si="200"/>
        <v>1.3934729064039408</v>
      </c>
      <c r="BE149" s="911">
        <f t="shared" si="175"/>
        <v>11.225817733990146</v>
      </c>
      <c r="BF149" s="911">
        <f t="shared" si="176"/>
        <v>0</v>
      </c>
      <c r="BG149" s="911">
        <f t="shared" si="177"/>
        <v>11.225817733990146</v>
      </c>
      <c r="BH149" s="911">
        <f t="shared" si="178"/>
        <v>11.225817733990146</v>
      </c>
      <c r="BI149" s="911">
        <f t="shared" si="179"/>
        <v>0</v>
      </c>
    </row>
    <row r="150" spans="2:61" s="896" customFormat="1">
      <c r="B150" s="914" t="s">
        <v>1285</v>
      </c>
      <c r="C150" s="915"/>
      <c r="D150" s="916">
        <v>0</v>
      </c>
      <c r="E150" s="917">
        <v>0</v>
      </c>
      <c r="F150" s="917">
        <v>0</v>
      </c>
      <c r="G150" s="917">
        <v>0</v>
      </c>
      <c r="H150" s="918">
        <f t="shared" si="158"/>
        <v>0</v>
      </c>
      <c r="I150" s="918">
        <f t="shared" si="159"/>
        <v>0</v>
      </c>
      <c r="J150" s="901">
        <f t="shared" si="134"/>
        <v>0</v>
      </c>
      <c r="K150" s="918">
        <f t="shared" si="160"/>
        <v>0</v>
      </c>
      <c r="L150" s="918">
        <f t="shared" si="161"/>
        <v>0</v>
      </c>
      <c r="M150" s="918">
        <f t="shared" si="162"/>
        <v>0</v>
      </c>
      <c r="N150" s="918">
        <f t="shared" si="163"/>
        <v>0</v>
      </c>
      <c r="O150" s="918">
        <f t="shared" si="109"/>
        <v>0</v>
      </c>
      <c r="P150" s="918">
        <f t="shared" si="110"/>
        <v>0</v>
      </c>
      <c r="Q150" s="918">
        <f t="shared" si="111"/>
        <v>0</v>
      </c>
      <c r="R150" s="918">
        <f t="shared" si="112"/>
        <v>0</v>
      </c>
      <c r="S150" s="918">
        <f t="shared" si="164"/>
        <v>0</v>
      </c>
      <c r="T150" s="918">
        <f t="shared" si="165"/>
        <v>0</v>
      </c>
      <c r="U150" s="919">
        <f t="shared" si="166"/>
        <v>0</v>
      </c>
      <c r="V150" s="903"/>
      <c r="W150" s="884">
        <v>0.21674876847290642</v>
      </c>
      <c r="X150" s="887">
        <v>1</v>
      </c>
      <c r="Y150" s="886">
        <v>55</v>
      </c>
      <c r="Z150" s="887">
        <v>1</v>
      </c>
      <c r="AA150" s="905">
        <f t="shared" si="167"/>
        <v>11.921182266009852</v>
      </c>
      <c r="AB150" s="888"/>
      <c r="AC150" s="905">
        <v>0</v>
      </c>
      <c r="AD150" s="889">
        <v>6</v>
      </c>
      <c r="AE150" s="890">
        <v>21</v>
      </c>
      <c r="AF150" s="891">
        <v>0</v>
      </c>
      <c r="AG150" s="890"/>
      <c r="AH150" s="892"/>
      <c r="AI150" s="890"/>
      <c r="AJ150" s="891"/>
      <c r="AK150" s="891"/>
      <c r="AL150" s="890">
        <v>60</v>
      </c>
      <c r="AM150" s="891">
        <v>6</v>
      </c>
      <c r="AN150" s="890">
        <v>3</v>
      </c>
      <c r="AO150" s="891">
        <v>0</v>
      </c>
      <c r="AP150" s="911">
        <f t="shared" si="168"/>
        <v>0</v>
      </c>
      <c r="AQ150" s="911">
        <f t="shared" si="169"/>
        <v>65.7</v>
      </c>
      <c r="AR150" s="911">
        <f t="shared" si="108"/>
        <v>65.7</v>
      </c>
      <c r="AS150" s="911">
        <f t="shared" si="170"/>
        <v>0</v>
      </c>
      <c r="AT150" s="911">
        <f t="shared" si="171"/>
        <v>14.240394088669952</v>
      </c>
      <c r="AU150" s="912">
        <f t="shared" si="172"/>
        <v>14.240394088669952</v>
      </c>
      <c r="AV150" s="890"/>
      <c r="AW150" s="895">
        <v>1</v>
      </c>
      <c r="AX150" s="895">
        <v>0</v>
      </c>
      <c r="AY150" s="913">
        <f t="shared" si="173"/>
        <v>14.240394088669952</v>
      </c>
      <c r="AZ150" s="913">
        <f t="shared" si="174"/>
        <v>0</v>
      </c>
      <c r="BA150" s="890"/>
      <c r="BB150" s="911">
        <f t="shared" si="198"/>
        <v>7.1201970443349758</v>
      </c>
      <c r="BC150" s="911">
        <v>0</v>
      </c>
      <c r="BD150" s="911">
        <f>AU150/2/1920*1000</f>
        <v>3.708435960591133</v>
      </c>
      <c r="BE150" s="911">
        <f t="shared" si="175"/>
        <v>15.634766009852218</v>
      </c>
      <c r="BF150" s="911">
        <f t="shared" si="176"/>
        <v>0</v>
      </c>
      <c r="BG150" s="911">
        <f t="shared" si="177"/>
        <v>15.634766009852219</v>
      </c>
      <c r="BH150" s="911">
        <f t="shared" si="178"/>
        <v>15.634766009852218</v>
      </c>
      <c r="BI150" s="911">
        <f t="shared" si="179"/>
        <v>0</v>
      </c>
    </row>
    <row r="151" spans="2:61" s="896" customFormat="1">
      <c r="B151" s="914" t="s">
        <v>1286</v>
      </c>
      <c r="C151" s="915"/>
      <c r="D151" s="916">
        <v>0</v>
      </c>
      <c r="E151" s="917">
        <v>0</v>
      </c>
      <c r="F151" s="917">
        <v>0</v>
      </c>
      <c r="G151" s="917">
        <v>0</v>
      </c>
      <c r="H151" s="918">
        <f t="shared" si="158"/>
        <v>0</v>
      </c>
      <c r="I151" s="918">
        <f t="shared" si="159"/>
        <v>0</v>
      </c>
      <c r="J151" s="901">
        <f t="shared" si="134"/>
        <v>0</v>
      </c>
      <c r="K151" s="918">
        <f t="shared" si="160"/>
        <v>0</v>
      </c>
      <c r="L151" s="918">
        <f t="shared" si="161"/>
        <v>0</v>
      </c>
      <c r="M151" s="918">
        <f t="shared" si="162"/>
        <v>0</v>
      </c>
      <c r="N151" s="918">
        <f t="shared" si="163"/>
        <v>0</v>
      </c>
      <c r="O151" s="918">
        <f t="shared" si="109"/>
        <v>0</v>
      </c>
      <c r="P151" s="918">
        <f t="shared" si="110"/>
        <v>0</v>
      </c>
      <c r="Q151" s="918">
        <f t="shared" si="111"/>
        <v>0</v>
      </c>
      <c r="R151" s="918">
        <f t="shared" si="112"/>
        <v>0</v>
      </c>
      <c r="S151" s="918">
        <f t="shared" si="164"/>
        <v>0</v>
      </c>
      <c r="T151" s="918">
        <f t="shared" si="165"/>
        <v>0</v>
      </c>
      <c r="U151" s="919">
        <f t="shared" si="166"/>
        <v>0</v>
      </c>
      <c r="V151" s="903"/>
      <c r="W151" s="904">
        <v>0.183</v>
      </c>
      <c r="X151" s="920">
        <v>21</v>
      </c>
      <c r="Y151" s="886">
        <v>43</v>
      </c>
      <c r="Z151" s="887">
        <v>1</v>
      </c>
      <c r="AA151" s="905">
        <f t="shared" si="167"/>
        <v>7.8689999999999998</v>
      </c>
      <c r="AB151" s="888"/>
      <c r="AC151" s="906">
        <v>0.8</v>
      </c>
      <c r="AD151" s="907">
        <v>21</v>
      </c>
      <c r="AE151" s="908">
        <v>0</v>
      </c>
      <c r="AF151" s="909">
        <v>0</v>
      </c>
      <c r="AG151" s="908">
        <v>3.7</v>
      </c>
      <c r="AH151" s="921">
        <v>21</v>
      </c>
      <c r="AI151" s="908">
        <v>0.5</v>
      </c>
      <c r="AJ151" s="909">
        <v>0</v>
      </c>
      <c r="AK151" s="909"/>
      <c r="AL151" s="910">
        <v>4.7</v>
      </c>
      <c r="AM151" s="909">
        <v>21</v>
      </c>
      <c r="AN151" s="908">
        <v>23.5</v>
      </c>
      <c r="AO151" s="909">
        <v>0</v>
      </c>
      <c r="AP151" s="911">
        <f t="shared" si="168"/>
        <v>0.67525000000000002</v>
      </c>
      <c r="AQ151" s="911">
        <f t="shared" si="169"/>
        <v>40.314250000000001</v>
      </c>
      <c r="AR151" s="911">
        <f t="shared" si="108"/>
        <v>40.9895</v>
      </c>
      <c r="AS151" s="911">
        <f t="shared" si="170"/>
        <v>0.12357075000000001</v>
      </c>
      <c r="AT151" s="911">
        <f t="shared" si="171"/>
        <v>7.3775077500000004</v>
      </c>
      <c r="AU151" s="912">
        <f t="shared" si="172"/>
        <v>7.5010785000000002</v>
      </c>
      <c r="AV151" s="890"/>
      <c r="AW151" s="895">
        <v>1</v>
      </c>
      <c r="AX151" s="895">
        <v>0</v>
      </c>
      <c r="AY151" s="913">
        <f t="shared" si="173"/>
        <v>7.5010785000000002</v>
      </c>
      <c r="AZ151" s="913">
        <f t="shared" si="174"/>
        <v>0</v>
      </c>
      <c r="BA151" s="890"/>
      <c r="BB151" s="911">
        <f t="shared" si="198"/>
        <v>3.7505392500000001</v>
      </c>
      <c r="BC151" s="911">
        <f>AU151/4/3</f>
        <v>0.62508987500000002</v>
      </c>
      <c r="BD151" s="911">
        <f>AU151/4/1920*1000</f>
        <v>0.97670292968750005</v>
      </c>
      <c r="BE151" s="911">
        <f t="shared" si="175"/>
        <v>7.8683188015625003</v>
      </c>
      <c r="BF151" s="911">
        <f t="shared" si="176"/>
        <v>0.12962056796875002</v>
      </c>
      <c r="BG151" s="911">
        <f t="shared" si="177"/>
        <v>7.7386982335937509</v>
      </c>
      <c r="BH151" s="911">
        <f t="shared" si="178"/>
        <v>7.8683188015625003</v>
      </c>
      <c r="BI151" s="911">
        <f t="shared" si="179"/>
        <v>0</v>
      </c>
    </row>
    <row r="152" spans="2:61" s="896" customFormat="1">
      <c r="B152" s="914" t="s">
        <v>1287</v>
      </c>
      <c r="C152" s="915"/>
      <c r="D152" s="916">
        <v>0</v>
      </c>
      <c r="E152" s="917">
        <v>0</v>
      </c>
      <c r="F152" s="917">
        <v>0</v>
      </c>
      <c r="G152" s="917">
        <v>0</v>
      </c>
      <c r="H152" s="918">
        <f t="shared" si="158"/>
        <v>0</v>
      </c>
      <c r="I152" s="918">
        <f t="shared" si="159"/>
        <v>0</v>
      </c>
      <c r="J152" s="901">
        <f t="shared" si="134"/>
        <v>0</v>
      </c>
      <c r="K152" s="918">
        <f t="shared" si="160"/>
        <v>0</v>
      </c>
      <c r="L152" s="918">
        <f t="shared" si="161"/>
        <v>0</v>
      </c>
      <c r="M152" s="918">
        <f t="shared" si="162"/>
        <v>0</v>
      </c>
      <c r="N152" s="918">
        <f t="shared" si="163"/>
        <v>0</v>
      </c>
      <c r="O152" s="918">
        <f t="shared" si="109"/>
        <v>0</v>
      </c>
      <c r="P152" s="918">
        <f t="shared" si="110"/>
        <v>0</v>
      </c>
      <c r="Q152" s="918">
        <f t="shared" si="111"/>
        <v>0</v>
      </c>
      <c r="R152" s="918">
        <f t="shared" si="112"/>
        <v>0</v>
      </c>
      <c r="S152" s="918">
        <f t="shared" si="164"/>
        <v>0</v>
      </c>
      <c r="T152" s="918">
        <f t="shared" si="165"/>
        <v>0</v>
      </c>
      <c r="U152" s="919">
        <f t="shared" si="166"/>
        <v>0</v>
      </c>
      <c r="V152" s="903"/>
      <c r="W152" s="884">
        <v>0.66995073891625612</v>
      </c>
      <c r="X152" s="887">
        <v>1</v>
      </c>
      <c r="Y152" s="886">
        <v>3</v>
      </c>
      <c r="Z152" s="887">
        <v>1</v>
      </c>
      <c r="AA152" s="905">
        <f t="shared" si="167"/>
        <v>2.0098522167487682</v>
      </c>
      <c r="AB152" s="888"/>
      <c r="AC152" s="905"/>
      <c r="AD152" s="889"/>
      <c r="AE152" s="890"/>
      <c r="AF152" s="891"/>
      <c r="AG152" s="890"/>
      <c r="AH152" s="892"/>
      <c r="AI152" s="890"/>
      <c r="AJ152" s="891"/>
      <c r="AK152" s="891"/>
      <c r="AL152" s="893">
        <f>Y152*1000/365/0.1</f>
        <v>82.191780821917817</v>
      </c>
      <c r="AM152" s="891">
        <v>0</v>
      </c>
      <c r="AN152" s="890">
        <v>0.1</v>
      </c>
      <c r="AO152" s="891">
        <v>0</v>
      </c>
      <c r="AP152" s="911">
        <f t="shared" si="168"/>
        <v>0</v>
      </c>
      <c r="AQ152" s="911">
        <f t="shared" si="169"/>
        <v>3.0000000000000004</v>
      </c>
      <c r="AR152" s="911">
        <f t="shared" si="108"/>
        <v>3.0000000000000004</v>
      </c>
      <c r="AS152" s="911">
        <f t="shared" si="170"/>
        <v>0</v>
      </c>
      <c r="AT152" s="911">
        <f t="shared" si="171"/>
        <v>2.0098522167487687</v>
      </c>
      <c r="AU152" s="912">
        <f t="shared" si="172"/>
        <v>2.0098522167487687</v>
      </c>
      <c r="AV152" s="890"/>
      <c r="AW152" s="895">
        <v>1</v>
      </c>
      <c r="AX152" s="895">
        <v>0</v>
      </c>
      <c r="AY152" s="913">
        <f t="shared" si="173"/>
        <v>2.0098522167487687</v>
      </c>
      <c r="AZ152" s="913">
        <f t="shared" si="174"/>
        <v>0</v>
      </c>
      <c r="BA152" s="890"/>
      <c r="BB152" s="911">
        <f t="shared" si="198"/>
        <v>1.0049261083743843</v>
      </c>
      <c r="BC152" s="911">
        <f>AU152/4/3</f>
        <v>0.16748768472906406</v>
      </c>
      <c r="BD152" s="911">
        <f>AU152/4/1920*1000</f>
        <v>0.26169950738916259</v>
      </c>
      <c r="BE152" s="911">
        <f t="shared" si="175"/>
        <v>2.1082512315270936</v>
      </c>
      <c r="BF152" s="911">
        <f t="shared" si="176"/>
        <v>0</v>
      </c>
      <c r="BG152" s="911">
        <f t="shared" si="177"/>
        <v>2.1082512315270936</v>
      </c>
      <c r="BH152" s="911">
        <f t="shared" si="178"/>
        <v>2.1082512315270936</v>
      </c>
      <c r="BI152" s="911">
        <f t="shared" si="179"/>
        <v>0</v>
      </c>
    </row>
    <row r="153" spans="2:61" s="896" customFormat="1">
      <c r="B153" s="914" t="s">
        <v>300</v>
      </c>
      <c r="C153" s="915"/>
      <c r="D153" s="916">
        <v>0</v>
      </c>
      <c r="E153" s="917">
        <v>0</v>
      </c>
      <c r="F153" s="917">
        <v>0</v>
      </c>
      <c r="G153" s="917">
        <v>0</v>
      </c>
      <c r="H153" s="918">
        <f t="shared" si="158"/>
        <v>0</v>
      </c>
      <c r="I153" s="918">
        <f t="shared" si="159"/>
        <v>0</v>
      </c>
      <c r="J153" s="901">
        <f t="shared" si="134"/>
        <v>0</v>
      </c>
      <c r="K153" s="918">
        <f t="shared" si="160"/>
        <v>0</v>
      </c>
      <c r="L153" s="918">
        <f t="shared" si="161"/>
        <v>0</v>
      </c>
      <c r="M153" s="918">
        <f t="shared" si="162"/>
        <v>0</v>
      </c>
      <c r="N153" s="918">
        <f t="shared" si="163"/>
        <v>0</v>
      </c>
      <c r="O153" s="918">
        <f t="shared" si="109"/>
        <v>0</v>
      </c>
      <c r="P153" s="918">
        <f t="shared" si="110"/>
        <v>0</v>
      </c>
      <c r="Q153" s="918">
        <f t="shared" si="111"/>
        <v>0</v>
      </c>
      <c r="R153" s="918">
        <f t="shared" si="112"/>
        <v>0</v>
      </c>
      <c r="S153" s="918">
        <f t="shared" si="164"/>
        <v>0</v>
      </c>
      <c r="T153" s="918">
        <f t="shared" si="165"/>
        <v>0</v>
      </c>
      <c r="U153" s="919">
        <f t="shared" si="166"/>
        <v>0</v>
      </c>
      <c r="V153" s="903"/>
      <c r="W153" s="884">
        <v>0.36</v>
      </c>
      <c r="X153" s="887">
        <v>9</v>
      </c>
      <c r="Y153" s="886">
        <v>5</v>
      </c>
      <c r="Z153" s="887">
        <v>6</v>
      </c>
      <c r="AA153" s="905">
        <f t="shared" si="167"/>
        <v>1.7999999999999998</v>
      </c>
      <c r="AB153" s="888"/>
      <c r="AC153" s="905">
        <v>0.3</v>
      </c>
      <c r="AD153" s="889">
        <v>19</v>
      </c>
      <c r="AE153" s="890">
        <v>16</v>
      </c>
      <c r="AF153" s="891">
        <v>0</v>
      </c>
      <c r="AG153" s="890"/>
      <c r="AH153" s="892"/>
      <c r="AI153" s="890"/>
      <c r="AJ153" s="891"/>
      <c r="AK153" s="891"/>
      <c r="AL153" s="890">
        <v>0.73</v>
      </c>
      <c r="AM153" s="891">
        <v>19</v>
      </c>
      <c r="AN153" s="890">
        <v>8</v>
      </c>
      <c r="AO153" s="891">
        <v>0</v>
      </c>
      <c r="AP153" s="911">
        <f t="shared" si="168"/>
        <v>1.752</v>
      </c>
      <c r="AQ153" s="911">
        <f t="shared" si="169"/>
        <v>2.1315999999999997</v>
      </c>
      <c r="AR153" s="911">
        <f t="shared" si="108"/>
        <v>3.8835999999999995</v>
      </c>
      <c r="AS153" s="911">
        <f t="shared" si="170"/>
        <v>0.63071999999999995</v>
      </c>
      <c r="AT153" s="911">
        <f t="shared" si="171"/>
        <v>0.76737599999999984</v>
      </c>
      <c r="AU153" s="912">
        <f t="shared" si="172"/>
        <v>1.3980959999999998</v>
      </c>
      <c r="AV153" s="890"/>
      <c r="AW153" s="895">
        <v>1</v>
      </c>
      <c r="AX153" s="895">
        <v>0</v>
      </c>
      <c r="AY153" s="913">
        <f t="shared" si="173"/>
        <v>1.3980959999999998</v>
      </c>
      <c r="AZ153" s="913">
        <f t="shared" si="174"/>
        <v>0</v>
      </c>
      <c r="BA153" s="890"/>
      <c r="BB153" s="911">
        <f t="shared" si="198"/>
        <v>0.69904799999999989</v>
      </c>
      <c r="BC153" s="911">
        <f>AU153/4/3</f>
        <v>0.11650799999999999</v>
      </c>
      <c r="BD153" s="911">
        <f>AU153/4/1920*1000</f>
        <v>0.18204374999999998</v>
      </c>
      <c r="BE153" s="911">
        <f t="shared" si="175"/>
        <v>1.4665444499999998</v>
      </c>
      <c r="BF153" s="911">
        <f t="shared" si="176"/>
        <v>0.66159899999999994</v>
      </c>
      <c r="BG153" s="911">
        <f t="shared" si="177"/>
        <v>0.80494544999999973</v>
      </c>
      <c r="BH153" s="911">
        <f t="shared" si="178"/>
        <v>1.4665444499999998</v>
      </c>
      <c r="BI153" s="911">
        <f t="shared" si="179"/>
        <v>0</v>
      </c>
    </row>
    <row r="154" spans="2:61" s="896" customFormat="1">
      <c r="B154" s="914" t="s">
        <v>301</v>
      </c>
      <c r="C154" s="915"/>
      <c r="D154" s="916">
        <v>0</v>
      </c>
      <c r="E154" s="917">
        <v>0</v>
      </c>
      <c r="F154" s="917">
        <v>0</v>
      </c>
      <c r="G154" s="917">
        <v>0</v>
      </c>
      <c r="H154" s="918">
        <f t="shared" si="158"/>
        <v>0</v>
      </c>
      <c r="I154" s="918">
        <f t="shared" si="159"/>
        <v>0</v>
      </c>
      <c r="J154" s="901">
        <f t="shared" si="134"/>
        <v>0</v>
      </c>
      <c r="K154" s="918">
        <f t="shared" si="160"/>
        <v>0</v>
      </c>
      <c r="L154" s="918">
        <f t="shared" si="161"/>
        <v>0</v>
      </c>
      <c r="M154" s="918">
        <f t="shared" si="162"/>
        <v>0</v>
      </c>
      <c r="N154" s="918">
        <f t="shared" si="163"/>
        <v>0</v>
      </c>
      <c r="O154" s="918">
        <f t="shared" si="109"/>
        <v>0</v>
      </c>
      <c r="P154" s="918">
        <f t="shared" si="110"/>
        <v>0</v>
      </c>
      <c r="Q154" s="918">
        <f t="shared" si="111"/>
        <v>0</v>
      </c>
      <c r="R154" s="918">
        <f t="shared" si="112"/>
        <v>0</v>
      </c>
      <c r="S154" s="918">
        <f t="shared" si="164"/>
        <v>0</v>
      </c>
      <c r="T154" s="918">
        <f t="shared" si="165"/>
        <v>0</v>
      </c>
      <c r="U154" s="919">
        <f t="shared" si="166"/>
        <v>0</v>
      </c>
      <c r="V154" s="903"/>
      <c r="W154" s="884">
        <v>0.28000000000000003</v>
      </c>
      <c r="X154" s="887">
        <v>5</v>
      </c>
      <c r="Y154" s="886">
        <v>20</v>
      </c>
      <c r="Z154" s="887">
        <v>6</v>
      </c>
      <c r="AA154" s="905">
        <f t="shared" si="167"/>
        <v>5.6000000000000005</v>
      </c>
      <c r="AB154" s="888"/>
      <c r="AC154" s="905">
        <v>2.29</v>
      </c>
      <c r="AD154" s="889" t="s">
        <v>1042</v>
      </c>
      <c r="AE154" s="890">
        <v>24</v>
      </c>
      <c r="AF154" s="891">
        <v>6</v>
      </c>
      <c r="AG154" s="890"/>
      <c r="AH154" s="892"/>
      <c r="AI154" s="890"/>
      <c r="AJ154" s="891"/>
      <c r="AK154" s="891"/>
      <c r="AL154" s="890"/>
      <c r="AM154" s="891"/>
      <c r="AN154" s="890"/>
      <c r="AO154" s="891"/>
      <c r="AP154" s="911">
        <f t="shared" si="168"/>
        <v>20.060400000000001</v>
      </c>
      <c r="AQ154" s="911">
        <f t="shared" si="169"/>
        <v>0</v>
      </c>
      <c r="AR154" s="911">
        <f t="shared" si="108"/>
        <v>20.060400000000001</v>
      </c>
      <c r="AS154" s="911">
        <f t="shared" si="170"/>
        <v>5.616912000000001</v>
      </c>
      <c r="AT154" s="911">
        <f t="shared" si="171"/>
        <v>0</v>
      </c>
      <c r="AU154" s="912">
        <f t="shared" si="172"/>
        <v>5.616912000000001</v>
      </c>
      <c r="AV154" s="890"/>
      <c r="AW154" s="895">
        <v>1</v>
      </c>
      <c r="AX154" s="895">
        <v>0</v>
      </c>
      <c r="AY154" s="913">
        <f t="shared" si="173"/>
        <v>5.616912000000001</v>
      </c>
      <c r="AZ154" s="913">
        <f t="shared" si="174"/>
        <v>0</v>
      </c>
      <c r="BA154" s="890"/>
      <c r="BB154" s="911">
        <f t="shared" si="198"/>
        <v>2.8084560000000005</v>
      </c>
      <c r="BC154" s="911">
        <v>0</v>
      </c>
      <c r="BD154" s="911">
        <f>AU154/2/1920*1000</f>
        <v>1.4627375000000005</v>
      </c>
      <c r="BE154" s="911">
        <f t="shared" si="175"/>
        <v>6.166901300000001</v>
      </c>
      <c r="BF154" s="911">
        <f t="shared" si="176"/>
        <v>6.166901300000001</v>
      </c>
      <c r="BG154" s="911">
        <f t="shared" si="177"/>
        <v>0</v>
      </c>
      <c r="BH154" s="911">
        <f t="shared" si="178"/>
        <v>6.166901300000001</v>
      </c>
      <c r="BI154" s="911">
        <f t="shared" si="179"/>
        <v>0</v>
      </c>
    </row>
    <row r="155" spans="2:61" s="896" customFormat="1">
      <c r="B155" s="914" t="s">
        <v>302</v>
      </c>
      <c r="C155" s="915"/>
      <c r="D155" s="916">
        <v>0</v>
      </c>
      <c r="E155" s="917">
        <v>0</v>
      </c>
      <c r="F155" s="917">
        <v>0</v>
      </c>
      <c r="G155" s="917">
        <v>0</v>
      </c>
      <c r="H155" s="918">
        <f t="shared" si="158"/>
        <v>0</v>
      </c>
      <c r="I155" s="918">
        <f t="shared" si="159"/>
        <v>0</v>
      </c>
      <c r="J155" s="901">
        <f t="shared" si="134"/>
        <v>0</v>
      </c>
      <c r="K155" s="918">
        <f t="shared" si="160"/>
        <v>0</v>
      </c>
      <c r="L155" s="918">
        <f t="shared" si="161"/>
        <v>0</v>
      </c>
      <c r="M155" s="918">
        <f t="shared" si="162"/>
        <v>0</v>
      </c>
      <c r="N155" s="918">
        <f t="shared" si="163"/>
        <v>0</v>
      </c>
      <c r="O155" s="918">
        <f t="shared" si="109"/>
        <v>0</v>
      </c>
      <c r="P155" s="918">
        <f t="shared" si="110"/>
        <v>0</v>
      </c>
      <c r="Q155" s="918">
        <f t="shared" si="111"/>
        <v>0</v>
      </c>
      <c r="R155" s="918">
        <f t="shared" si="112"/>
        <v>0</v>
      </c>
      <c r="S155" s="918">
        <f t="shared" si="164"/>
        <v>0</v>
      </c>
      <c r="T155" s="918">
        <f t="shared" si="165"/>
        <v>0</v>
      </c>
      <c r="U155" s="919">
        <f t="shared" si="166"/>
        <v>0</v>
      </c>
      <c r="V155" s="903"/>
      <c r="W155" s="884">
        <v>0.05</v>
      </c>
      <c r="X155" s="887"/>
      <c r="Y155" s="886">
        <v>0</v>
      </c>
      <c r="Z155" s="887"/>
      <c r="AA155" s="905">
        <f t="shared" si="167"/>
        <v>0</v>
      </c>
      <c r="AB155" s="888"/>
      <c r="AC155" s="905">
        <v>5.16</v>
      </c>
      <c r="AD155" s="889" t="s">
        <v>1042</v>
      </c>
      <c r="AE155" s="890">
        <v>24</v>
      </c>
      <c r="AF155" s="891">
        <v>6</v>
      </c>
      <c r="AG155" s="890"/>
      <c r="AH155" s="892" t="s">
        <v>1042</v>
      </c>
      <c r="AI155" s="890"/>
      <c r="AJ155" s="891"/>
      <c r="AK155" s="891"/>
      <c r="AL155" s="890"/>
      <c r="AM155" s="891"/>
      <c r="AN155" s="890"/>
      <c r="AO155" s="891"/>
      <c r="AP155" s="911">
        <f t="shared" si="168"/>
        <v>45.201599999999999</v>
      </c>
      <c r="AQ155" s="911">
        <f t="shared" si="169"/>
        <v>0</v>
      </c>
      <c r="AR155" s="911">
        <f t="shared" si="108"/>
        <v>45.201599999999999</v>
      </c>
      <c r="AS155" s="911">
        <f t="shared" si="170"/>
        <v>2.2600799999999999</v>
      </c>
      <c r="AT155" s="911">
        <f t="shared" si="171"/>
        <v>0</v>
      </c>
      <c r="AU155" s="912">
        <f t="shared" si="172"/>
        <v>2.2600799999999999</v>
      </c>
      <c r="AV155" s="890"/>
      <c r="AW155" s="895">
        <v>1</v>
      </c>
      <c r="AX155" s="895">
        <v>0</v>
      </c>
      <c r="AY155" s="913">
        <f t="shared" si="173"/>
        <v>2.2600799999999999</v>
      </c>
      <c r="AZ155" s="913">
        <f t="shared" si="174"/>
        <v>0</v>
      </c>
      <c r="BA155" s="890"/>
      <c r="BB155" s="911">
        <f t="shared" si="198"/>
        <v>1.1300399999999999</v>
      </c>
      <c r="BC155" s="911">
        <v>0</v>
      </c>
      <c r="BD155" s="911">
        <f>AU155/2/1920*1000</f>
        <v>0.58856249999999999</v>
      </c>
      <c r="BE155" s="911">
        <f t="shared" si="175"/>
        <v>2.4813795000000001</v>
      </c>
      <c r="BF155" s="911">
        <f t="shared" si="176"/>
        <v>2.4813795000000001</v>
      </c>
      <c r="BG155" s="911">
        <f t="shared" si="177"/>
        <v>0</v>
      </c>
      <c r="BH155" s="911">
        <f t="shared" si="178"/>
        <v>2.4813795000000001</v>
      </c>
      <c r="BI155" s="911">
        <f t="shared" si="179"/>
        <v>0</v>
      </c>
    </row>
    <row r="156" spans="2:61" s="896" customFormat="1">
      <c r="B156" s="914" t="s">
        <v>303</v>
      </c>
      <c r="C156" s="915"/>
      <c r="D156" s="916">
        <v>0</v>
      </c>
      <c r="E156" s="917">
        <v>0</v>
      </c>
      <c r="F156" s="917">
        <v>0</v>
      </c>
      <c r="G156" s="917">
        <v>0</v>
      </c>
      <c r="H156" s="918">
        <f t="shared" si="158"/>
        <v>0</v>
      </c>
      <c r="I156" s="918">
        <f t="shared" si="159"/>
        <v>0</v>
      </c>
      <c r="J156" s="901">
        <f t="shared" si="134"/>
        <v>0</v>
      </c>
      <c r="K156" s="918">
        <f t="shared" si="160"/>
        <v>0</v>
      </c>
      <c r="L156" s="918">
        <f t="shared" si="161"/>
        <v>0</v>
      </c>
      <c r="M156" s="918">
        <f t="shared" si="162"/>
        <v>0</v>
      </c>
      <c r="N156" s="918">
        <f t="shared" si="163"/>
        <v>0</v>
      </c>
      <c r="O156" s="918">
        <f t="shared" si="109"/>
        <v>0</v>
      </c>
      <c r="P156" s="918">
        <f t="shared" si="110"/>
        <v>0</v>
      </c>
      <c r="Q156" s="918">
        <f t="shared" si="111"/>
        <v>0</v>
      </c>
      <c r="R156" s="918">
        <f t="shared" si="112"/>
        <v>0</v>
      </c>
      <c r="S156" s="918">
        <f t="shared" si="164"/>
        <v>0</v>
      </c>
      <c r="T156" s="918">
        <f t="shared" si="165"/>
        <v>0</v>
      </c>
      <c r="U156" s="919">
        <f t="shared" si="166"/>
        <v>0</v>
      </c>
      <c r="V156" s="903"/>
      <c r="W156" s="904">
        <v>0.92200000000000004</v>
      </c>
      <c r="X156" s="920">
        <v>21</v>
      </c>
      <c r="Y156" s="886">
        <v>53</v>
      </c>
      <c r="Z156" s="887">
        <v>1</v>
      </c>
      <c r="AA156" s="905">
        <f t="shared" si="167"/>
        <v>48.866</v>
      </c>
      <c r="AB156" s="888"/>
      <c r="AC156" s="905">
        <v>0</v>
      </c>
      <c r="AD156" s="889" t="s">
        <v>1042</v>
      </c>
      <c r="AE156" s="890">
        <v>24</v>
      </c>
      <c r="AF156" s="891">
        <v>6</v>
      </c>
      <c r="AG156" s="890"/>
      <c r="AH156" s="892" t="s">
        <v>1042</v>
      </c>
      <c r="AI156" s="890"/>
      <c r="AJ156" s="891"/>
      <c r="AK156" s="891"/>
      <c r="AL156" s="910">
        <v>1350</v>
      </c>
      <c r="AM156" s="909">
        <v>21</v>
      </c>
      <c r="AN156" s="908">
        <v>0.107</v>
      </c>
      <c r="AO156" s="909">
        <v>21</v>
      </c>
      <c r="AP156" s="911">
        <f t="shared" si="168"/>
        <v>0</v>
      </c>
      <c r="AQ156" s="911">
        <f t="shared" si="169"/>
        <v>52.724249999999991</v>
      </c>
      <c r="AR156" s="911">
        <f t="shared" si="108"/>
        <v>52.724249999999991</v>
      </c>
      <c r="AS156" s="911">
        <f t="shared" si="170"/>
        <v>0</v>
      </c>
      <c r="AT156" s="911">
        <f t="shared" si="171"/>
        <v>48.611758499999993</v>
      </c>
      <c r="AU156" s="912">
        <f t="shared" si="172"/>
        <v>48.611758499999993</v>
      </c>
      <c r="AV156" s="890"/>
      <c r="AW156" s="895">
        <v>0.9</v>
      </c>
      <c r="AX156" s="895">
        <v>0.1</v>
      </c>
      <c r="AY156" s="913">
        <f t="shared" si="173"/>
        <v>43.750582649999998</v>
      </c>
      <c r="AZ156" s="913">
        <f t="shared" si="174"/>
        <v>4.8611758499999995</v>
      </c>
      <c r="BA156" s="890"/>
      <c r="BB156" s="911">
        <f t="shared" si="198"/>
        <v>24.305879249999997</v>
      </c>
      <c r="BC156" s="911">
        <f>AU156/2/3</f>
        <v>8.1019597499999989</v>
      </c>
      <c r="BD156" s="911">
        <v>0</v>
      </c>
      <c r="BE156" s="911">
        <f t="shared" si="175"/>
        <v>48.611758499999993</v>
      </c>
      <c r="BF156" s="911">
        <f t="shared" si="176"/>
        <v>0</v>
      </c>
      <c r="BG156" s="911">
        <f t="shared" si="177"/>
        <v>48.611758499999993</v>
      </c>
      <c r="BH156" s="911">
        <f t="shared" si="178"/>
        <v>43.750582649999998</v>
      </c>
      <c r="BI156" s="911">
        <f t="shared" si="179"/>
        <v>4.8611758499999995</v>
      </c>
    </row>
    <row r="157" spans="2:61" s="896" customFormat="1">
      <c r="B157" s="922" t="s">
        <v>304</v>
      </c>
      <c r="C157" s="923"/>
      <c r="D157" s="924">
        <v>0</v>
      </c>
      <c r="E157" s="925">
        <v>0</v>
      </c>
      <c r="F157" s="925">
        <v>0</v>
      </c>
      <c r="G157" s="925">
        <v>0</v>
      </c>
      <c r="H157" s="926">
        <f t="shared" si="158"/>
        <v>0</v>
      </c>
      <c r="I157" s="926">
        <f t="shared" si="159"/>
        <v>0</v>
      </c>
      <c r="J157" s="901">
        <f t="shared" si="134"/>
        <v>0</v>
      </c>
      <c r="K157" s="918">
        <f t="shared" si="160"/>
        <v>0</v>
      </c>
      <c r="L157" s="918">
        <f t="shared" si="161"/>
        <v>0</v>
      </c>
      <c r="M157" s="918">
        <f t="shared" si="162"/>
        <v>0</v>
      </c>
      <c r="N157" s="918">
        <f t="shared" si="163"/>
        <v>0</v>
      </c>
      <c r="O157" s="918">
        <f t="shared" si="109"/>
        <v>0</v>
      </c>
      <c r="P157" s="918">
        <f t="shared" si="110"/>
        <v>0</v>
      </c>
      <c r="Q157" s="918">
        <f t="shared" si="111"/>
        <v>0</v>
      </c>
      <c r="R157" s="918">
        <f t="shared" si="112"/>
        <v>0</v>
      </c>
      <c r="S157" s="926">
        <f t="shared" si="164"/>
        <v>0</v>
      </c>
      <c r="T157" s="926">
        <f t="shared" si="165"/>
        <v>0</v>
      </c>
      <c r="U157" s="919">
        <f t="shared" si="166"/>
        <v>0</v>
      </c>
      <c r="V157" s="903"/>
      <c r="W157" s="884">
        <v>0.1</v>
      </c>
      <c r="X157" s="887">
        <v>0</v>
      </c>
      <c r="Y157" s="886">
        <v>18</v>
      </c>
      <c r="Z157" s="887">
        <v>6</v>
      </c>
      <c r="AA157" s="905">
        <f t="shared" si="167"/>
        <v>1.8</v>
      </c>
      <c r="AB157" s="888"/>
      <c r="AC157" s="905">
        <v>2</v>
      </c>
      <c r="AD157" s="889">
        <v>10</v>
      </c>
      <c r="AE157" s="890">
        <v>12</v>
      </c>
      <c r="AF157" s="891">
        <v>0</v>
      </c>
      <c r="AG157" s="890"/>
      <c r="AH157" s="892"/>
      <c r="AI157" s="890"/>
      <c r="AJ157" s="891"/>
      <c r="AK157" s="891"/>
      <c r="AL157" s="890">
        <v>3.2</v>
      </c>
      <c r="AM157" s="891">
        <v>6</v>
      </c>
      <c r="AN157" s="890">
        <v>12</v>
      </c>
      <c r="AO157" s="891">
        <v>0</v>
      </c>
      <c r="AP157" s="911">
        <f t="shared" si="168"/>
        <v>8.76</v>
      </c>
      <c r="AQ157" s="911">
        <f t="shared" si="169"/>
        <v>14.016000000000002</v>
      </c>
      <c r="AR157" s="911">
        <f t="shared" si="108"/>
        <v>22.776000000000003</v>
      </c>
      <c r="AS157" s="911">
        <f t="shared" si="170"/>
        <v>0.876</v>
      </c>
      <c r="AT157" s="911">
        <f t="shared" si="171"/>
        <v>1.4016000000000002</v>
      </c>
      <c r="AU157" s="912">
        <f t="shared" si="172"/>
        <v>2.2776000000000001</v>
      </c>
      <c r="AV157" s="890"/>
      <c r="AW157" s="895">
        <v>1</v>
      </c>
      <c r="AX157" s="895">
        <v>0</v>
      </c>
      <c r="AY157" s="913">
        <f t="shared" si="173"/>
        <v>2.2776000000000001</v>
      </c>
      <c r="AZ157" s="913">
        <f t="shared" si="174"/>
        <v>0</v>
      </c>
      <c r="BA157" s="890"/>
      <c r="BB157" s="911">
        <f t="shared" si="198"/>
        <v>1.1388</v>
      </c>
      <c r="BC157" s="911">
        <f>AU157/4/3</f>
        <v>0.1898</v>
      </c>
      <c r="BD157" s="911">
        <f>AU157/4/1920*1000</f>
        <v>0.29656250000000001</v>
      </c>
      <c r="BE157" s="911">
        <f t="shared" si="175"/>
        <v>2.3891075000000002</v>
      </c>
      <c r="BF157" s="911">
        <f t="shared" si="176"/>
        <v>0.91888749999999997</v>
      </c>
      <c r="BG157" s="911">
        <f t="shared" si="177"/>
        <v>1.4702200000000003</v>
      </c>
      <c r="BH157" s="911">
        <f t="shared" si="178"/>
        <v>2.3891075000000002</v>
      </c>
      <c r="BI157" s="911">
        <f t="shared" si="179"/>
        <v>0</v>
      </c>
    </row>
    <row r="158" spans="2:61" s="896" customFormat="1" ht="13.5" thickBot="1">
      <c r="B158" s="922" t="s">
        <v>813</v>
      </c>
      <c r="C158" s="923"/>
      <c r="D158" s="924">
        <v>0</v>
      </c>
      <c r="E158" s="925">
        <v>0</v>
      </c>
      <c r="F158" s="925">
        <v>0</v>
      </c>
      <c r="G158" s="925">
        <v>0</v>
      </c>
      <c r="H158" s="926">
        <f t="shared" si="158"/>
        <v>0</v>
      </c>
      <c r="I158" s="926">
        <f t="shared" si="159"/>
        <v>0</v>
      </c>
      <c r="J158" s="901">
        <f t="shared" si="134"/>
        <v>0</v>
      </c>
      <c r="K158" s="926">
        <f t="shared" si="160"/>
        <v>0</v>
      </c>
      <c r="L158" s="926">
        <f t="shared" si="161"/>
        <v>0</v>
      </c>
      <c r="M158" s="926">
        <f t="shared" si="162"/>
        <v>0</v>
      </c>
      <c r="N158" s="926">
        <f t="shared" si="163"/>
        <v>0</v>
      </c>
      <c r="O158" s="926">
        <f t="shared" si="109"/>
        <v>0</v>
      </c>
      <c r="P158" s="926">
        <f t="shared" si="110"/>
        <v>0</v>
      </c>
      <c r="Q158" s="926">
        <f t="shared" si="111"/>
        <v>0</v>
      </c>
      <c r="R158" s="926">
        <f t="shared" si="112"/>
        <v>0</v>
      </c>
      <c r="S158" s="926">
        <f t="shared" si="164"/>
        <v>0</v>
      </c>
      <c r="T158" s="926">
        <f t="shared" si="165"/>
        <v>0</v>
      </c>
      <c r="U158" s="927">
        <f t="shared" si="166"/>
        <v>0</v>
      </c>
      <c r="V158" s="903"/>
      <c r="W158" s="884">
        <v>1E-3</v>
      </c>
      <c r="X158" s="887">
        <v>0</v>
      </c>
      <c r="Y158" s="886">
        <v>0</v>
      </c>
      <c r="Z158" s="887">
        <v>0</v>
      </c>
      <c r="AA158" s="928">
        <f t="shared" si="167"/>
        <v>0</v>
      </c>
      <c r="AB158" s="929"/>
      <c r="AC158" s="928">
        <v>0</v>
      </c>
      <c r="AD158" s="930">
        <v>0</v>
      </c>
      <c r="AE158" s="931">
        <v>0</v>
      </c>
      <c r="AF158" s="932">
        <v>0</v>
      </c>
      <c r="AG158" s="931">
        <v>0</v>
      </c>
      <c r="AH158" s="933">
        <v>0</v>
      </c>
      <c r="AI158" s="931">
        <v>0</v>
      </c>
      <c r="AJ158" s="932">
        <v>0</v>
      </c>
      <c r="AK158" s="932"/>
      <c r="AL158" s="931">
        <v>0</v>
      </c>
      <c r="AM158" s="932">
        <v>0</v>
      </c>
      <c r="AN158" s="931">
        <v>0</v>
      </c>
      <c r="AO158" s="932">
        <v>0</v>
      </c>
      <c r="AP158" s="911">
        <f t="shared" si="168"/>
        <v>0</v>
      </c>
      <c r="AQ158" s="911">
        <f t="shared" si="169"/>
        <v>0</v>
      </c>
      <c r="AR158" s="911">
        <f t="shared" si="108"/>
        <v>0</v>
      </c>
      <c r="AS158" s="911">
        <f t="shared" si="170"/>
        <v>0</v>
      </c>
      <c r="AT158" s="911">
        <f t="shared" si="171"/>
        <v>0</v>
      </c>
      <c r="AU158" s="912">
        <f t="shared" si="172"/>
        <v>0</v>
      </c>
      <c r="AV158" s="890"/>
      <c r="AW158" s="895">
        <v>1</v>
      </c>
      <c r="AX158" s="895">
        <v>0</v>
      </c>
      <c r="AY158" s="913">
        <f t="shared" si="173"/>
        <v>0</v>
      </c>
      <c r="AZ158" s="913">
        <f t="shared" si="174"/>
        <v>0</v>
      </c>
      <c r="BA158" s="890"/>
      <c r="BB158" s="911">
        <f t="shared" si="198"/>
        <v>0</v>
      </c>
      <c r="BC158" s="911">
        <f>AU158/4/3</f>
        <v>0</v>
      </c>
      <c r="BD158" s="911">
        <f>AU158/4/1920*1000</f>
        <v>0</v>
      </c>
      <c r="BE158" s="911">
        <f t="shared" si="175"/>
        <v>0</v>
      </c>
      <c r="BF158" s="911">
        <f>IF(D158=0,0,(BB158+BC158*C$5+BD158/1000*C$4)*AS158/AU158)</f>
        <v>0</v>
      </c>
      <c r="BG158" s="911">
        <f>IF(D158=0,0,(BB158+BC158*C$5+BD158/1000*C$4)*AT158/AU158)</f>
        <v>0</v>
      </c>
      <c r="BH158" s="911">
        <f t="shared" si="178"/>
        <v>0</v>
      </c>
      <c r="BI158" s="911">
        <f t="shared" si="179"/>
        <v>0</v>
      </c>
    </row>
    <row r="159" spans="2:61" s="983" customFormat="1" ht="14.25" customHeight="1" thickBot="1">
      <c r="B159" s="968" t="s">
        <v>734</v>
      </c>
      <c r="C159" s="969"/>
      <c r="D159" s="970"/>
      <c r="E159" s="970"/>
      <c r="F159" s="970"/>
      <c r="G159" s="970"/>
      <c r="H159" s="971"/>
      <c r="I159" s="971"/>
      <c r="J159" s="971"/>
      <c r="K159" s="971"/>
      <c r="L159" s="971"/>
      <c r="M159" s="971"/>
      <c r="N159" s="971"/>
      <c r="O159" s="972"/>
      <c r="P159" s="972"/>
      <c r="Q159" s="972"/>
      <c r="R159" s="972"/>
      <c r="S159" s="971"/>
      <c r="T159" s="971"/>
      <c r="U159" s="973"/>
      <c r="V159" s="883"/>
      <c r="W159" s="974"/>
      <c r="X159" s="975"/>
      <c r="Y159" s="976"/>
      <c r="Z159" s="975"/>
      <c r="AA159" s="977"/>
      <c r="AB159" s="978"/>
      <c r="AC159" s="977"/>
      <c r="AD159" s="978"/>
      <c r="AE159" s="979"/>
      <c r="AF159" s="979"/>
      <c r="AG159" s="979"/>
      <c r="AH159" s="980"/>
      <c r="AI159" s="894"/>
      <c r="AJ159" s="979"/>
      <c r="AK159" s="979"/>
      <c r="AL159" s="979"/>
      <c r="AM159" s="979"/>
      <c r="AN159" s="979"/>
      <c r="AO159" s="979"/>
      <c r="AP159" s="981"/>
      <c r="AQ159" s="981"/>
      <c r="AR159" s="911">
        <f t="shared" si="108"/>
        <v>0</v>
      </c>
      <c r="AS159" s="981"/>
      <c r="AT159" s="981"/>
      <c r="AU159" s="981"/>
      <c r="AV159" s="979"/>
      <c r="AW159" s="982"/>
      <c r="AX159" s="982"/>
      <c r="AY159" s="913"/>
      <c r="AZ159" s="913"/>
      <c r="BA159" s="890" t="s">
        <v>735</v>
      </c>
      <c r="BB159" s="911">
        <f>AU171/2</f>
        <v>4.7053816565057787</v>
      </c>
      <c r="BC159" s="911">
        <f>AU171/4/3</f>
        <v>0.78423027608429641</v>
      </c>
      <c r="BD159" s="911">
        <f>AU171/4/1920*1000</f>
        <v>1.2253598063817133</v>
      </c>
      <c r="BE159" s="911">
        <f t="shared" si="175"/>
        <v>9.8714986002110816</v>
      </c>
      <c r="BF159" s="911">
        <f>(BB159+BC159*C$5+BD159/1000*C$4)*AS171/AU171</f>
        <v>2.4595538007641338</v>
      </c>
      <c r="BG159" s="911">
        <f>(BB159+BC159*C$5+BD159/1000*C$4)*AT171/AU171</f>
        <v>7.4119447994469523</v>
      </c>
      <c r="BH159" s="911">
        <f>BE159*AW171</f>
        <v>9.8714986002110816</v>
      </c>
      <c r="BI159" s="911">
        <f>BE159*AX171</f>
        <v>0</v>
      </c>
    </row>
    <row r="160" spans="2:61" s="896" customFormat="1">
      <c r="B160" s="984" t="s">
        <v>825</v>
      </c>
      <c r="C160" s="985"/>
      <c r="D160" s="870">
        <f>W160</f>
        <v>3.6003600360036006E-3</v>
      </c>
      <c r="E160" s="901">
        <f>AC160</f>
        <v>0</v>
      </c>
      <c r="F160" s="874">
        <f>AG160</f>
        <v>0</v>
      </c>
      <c r="G160" s="872">
        <f>AL160</f>
        <v>1050.2283105022832</v>
      </c>
      <c r="H160" s="901">
        <f>SUM(K160:L160)</f>
        <v>8.2808280828082825</v>
      </c>
      <c r="I160" s="901">
        <f>SUM(M160:N160)</f>
        <v>8.2808280828082808</v>
      </c>
      <c r="J160" s="901">
        <f>I160</f>
        <v>8.2808280828082808</v>
      </c>
      <c r="K160" s="901">
        <f t="shared" ref="K160:K170" si="201">$D160*(E160*AE160+F160*AI160)*365/1000</f>
        <v>0</v>
      </c>
      <c r="L160" s="901">
        <f t="shared" ref="L160:L169" si="202">D160*G160*AN160*365/1000</f>
        <v>8.2808280828082825</v>
      </c>
      <c r="M160" s="901">
        <f t="shared" ref="M160:M170" si="203">D160*AP160</f>
        <v>0</v>
      </c>
      <c r="N160" s="901">
        <f t="shared" ref="N160:N169" si="204">D160*AQ160</f>
        <v>8.2808280828082808</v>
      </c>
      <c r="O160" s="901">
        <f t="shared" si="109"/>
        <v>0</v>
      </c>
      <c r="P160" s="901">
        <f t="shared" si="110"/>
        <v>0</v>
      </c>
      <c r="Q160" s="901">
        <f t="shared" si="111"/>
        <v>0</v>
      </c>
      <c r="R160" s="901">
        <f t="shared" si="112"/>
        <v>0</v>
      </c>
      <c r="S160" s="986">
        <f>$D160*(AP160-(E160*AE160+F160*AI160)*365/1000)</f>
        <v>0</v>
      </c>
      <c r="T160" s="986">
        <f>D160*(AQ160-G160*AN160*365/1000)</f>
        <v>0</v>
      </c>
      <c r="U160" s="902">
        <f t="shared" ref="U160:U170" si="205">IF(D160=0,0,(I160-H160)/I160)</f>
        <v>-2.1451439658409547E-16</v>
      </c>
      <c r="V160" s="903"/>
      <c r="W160" s="1057">
        <f>0.4/111.1</f>
        <v>3.6003600360036006E-3</v>
      </c>
      <c r="X160" s="1060">
        <v>22</v>
      </c>
      <c r="Y160" s="886">
        <v>2300</v>
      </c>
      <c r="Z160" s="887">
        <v>4</v>
      </c>
      <c r="AA160" s="905">
        <f t="shared" ref="AA160:AA169" si="206">W160*Y160</f>
        <v>8.2808280828082808</v>
      </c>
      <c r="AB160" s="888"/>
      <c r="AC160" s="905"/>
      <c r="AD160" s="889"/>
      <c r="AE160" s="890"/>
      <c r="AF160" s="891"/>
      <c r="AG160" s="890"/>
      <c r="AH160" s="892"/>
      <c r="AI160" s="890"/>
      <c r="AJ160" s="891"/>
      <c r="AK160" s="891"/>
      <c r="AL160" s="911">
        <f>Y160*1000/365/6</f>
        <v>1050.2283105022832</v>
      </c>
      <c r="AM160" s="891">
        <v>0</v>
      </c>
      <c r="AN160" s="890">
        <v>6</v>
      </c>
      <c r="AO160" s="891">
        <v>0</v>
      </c>
      <c r="AP160" s="911">
        <f t="shared" ref="AP160:AP169" si="207">(AC160*AE160+AG160*AI160)*365/1000</f>
        <v>0</v>
      </c>
      <c r="AQ160" s="911">
        <f t="shared" ref="AQ160:AQ169" si="208">AL160*AN160*365/1000</f>
        <v>2300</v>
      </c>
      <c r="AR160" s="911">
        <f t="shared" si="108"/>
        <v>2300</v>
      </c>
      <c r="AS160" s="911">
        <f t="shared" ref="AS160:AS169" si="209">AP160*W160</f>
        <v>0</v>
      </c>
      <c r="AT160" s="911">
        <f t="shared" ref="AT160:AT169" si="210">AQ160*W160</f>
        <v>8.2808280828082808</v>
      </c>
      <c r="AU160" s="912">
        <f t="shared" ref="AU160:AU169" si="211">SUM(AS160:AT160)</f>
        <v>8.2808280828082808</v>
      </c>
      <c r="AV160" s="890"/>
      <c r="AW160" s="895">
        <v>0</v>
      </c>
      <c r="AX160" s="895">
        <v>0</v>
      </c>
      <c r="AY160" s="913">
        <f t="shared" ref="AY160:AY169" si="212">AU160*AW160</f>
        <v>0</v>
      </c>
      <c r="AZ160" s="913">
        <f t="shared" ref="AZ160:AZ169" si="213">AU160*AX160</f>
        <v>0</v>
      </c>
      <c r="BA160" s="890" t="s">
        <v>476</v>
      </c>
      <c r="BB160" s="911">
        <f t="shared" ref="BB160:BB169" si="214">AU160/2</f>
        <v>4.1404140414041404</v>
      </c>
      <c r="BC160" s="911">
        <f t="shared" ref="BC160:BC169" si="215">AU160/4/3</f>
        <v>0.69006900690069006</v>
      </c>
      <c r="BD160" s="911">
        <f t="shared" ref="BD160:BD169" si="216">AU160/4/1920*1000</f>
        <v>1.0782328232823284</v>
      </c>
      <c r="BE160" s="911">
        <f t="shared" si="175"/>
        <v>8.6862436243624366</v>
      </c>
      <c r="BF160" s="911">
        <f t="shared" ref="BF160:BF169" si="217">(BB160+BC160*C$5+BD160/1000*C$4)*AS160/AU160</f>
        <v>0</v>
      </c>
      <c r="BG160" s="911">
        <f t="shared" ref="BG160:BG169" si="218">(BB160+BC160*C$5+BD160/1000*C$4)*AT160/AU160</f>
        <v>8.6862436243624366</v>
      </c>
      <c r="BH160" s="911">
        <f t="shared" ref="BH160:BH169" si="219">BE160*AW160</f>
        <v>0</v>
      </c>
      <c r="BI160" s="911">
        <f t="shared" ref="BI160:BI169" si="220">BE160*AX160</f>
        <v>0</v>
      </c>
    </row>
    <row r="161" spans="2:61" s="896" customFormat="1">
      <c r="B161" s="987" t="s">
        <v>477</v>
      </c>
      <c r="C161" s="988"/>
      <c r="D161" s="989">
        <f t="shared" ref="D161:D169" si="221">W161</f>
        <v>7.470747074707472E-2</v>
      </c>
      <c r="E161" s="918">
        <f t="shared" ref="E161:E170" si="222">AC161</f>
        <v>0</v>
      </c>
      <c r="F161" s="990">
        <f t="shared" ref="F161:F170" si="223">AG161</f>
        <v>0</v>
      </c>
      <c r="G161" s="991">
        <f t="shared" ref="G161:G169" si="224">AL161</f>
        <v>1360</v>
      </c>
      <c r="H161" s="918">
        <f t="shared" ref="H161:H170" si="225">SUM(K161:L161)</f>
        <v>82.328230423042314</v>
      </c>
      <c r="I161" s="918">
        <f t="shared" ref="I161:I170" si="226">SUM(M161:N161)</f>
        <v>82.328230423042314</v>
      </c>
      <c r="J161" s="901">
        <f t="shared" ref="J161:J170" si="227">I161</f>
        <v>82.328230423042314</v>
      </c>
      <c r="K161" s="918">
        <f t="shared" si="201"/>
        <v>0</v>
      </c>
      <c r="L161" s="918">
        <f t="shared" si="202"/>
        <v>82.328230423042314</v>
      </c>
      <c r="M161" s="918">
        <f t="shared" si="203"/>
        <v>0</v>
      </c>
      <c r="N161" s="918">
        <f t="shared" si="204"/>
        <v>82.328230423042314</v>
      </c>
      <c r="O161" s="918">
        <f t="shared" si="109"/>
        <v>0</v>
      </c>
      <c r="P161" s="918">
        <f t="shared" si="110"/>
        <v>0</v>
      </c>
      <c r="Q161" s="918">
        <f t="shared" si="111"/>
        <v>0</v>
      </c>
      <c r="R161" s="918">
        <f t="shared" si="112"/>
        <v>0</v>
      </c>
      <c r="S161" s="918">
        <v>0</v>
      </c>
      <c r="T161" s="918">
        <v>0</v>
      </c>
      <c r="U161" s="919">
        <f t="shared" si="205"/>
        <v>0</v>
      </c>
      <c r="V161" s="903"/>
      <c r="W161" s="1056">
        <f>8.3/111.1</f>
        <v>7.470747074707472E-2</v>
      </c>
      <c r="X161" s="1059">
        <v>22</v>
      </c>
      <c r="Y161" s="886">
        <v>2671</v>
      </c>
      <c r="Z161" s="887">
        <v>5</v>
      </c>
      <c r="AA161" s="905">
        <f t="shared" si="206"/>
        <v>199.54365436543657</v>
      </c>
      <c r="AB161" s="888"/>
      <c r="AC161" s="906">
        <v>0</v>
      </c>
      <c r="AD161" s="907">
        <v>21</v>
      </c>
      <c r="AE161" s="908">
        <v>17.5</v>
      </c>
      <c r="AF161" s="909">
        <v>21</v>
      </c>
      <c r="AG161" s="890"/>
      <c r="AH161" s="892"/>
      <c r="AI161" s="890"/>
      <c r="AJ161" s="891"/>
      <c r="AK161" s="891"/>
      <c r="AL161" s="908">
        <v>1360</v>
      </c>
      <c r="AM161" s="909">
        <v>21</v>
      </c>
      <c r="AN161" s="908">
        <v>2.2200000000000002</v>
      </c>
      <c r="AO161" s="909">
        <v>21</v>
      </c>
      <c r="AP161" s="911">
        <f t="shared" si="207"/>
        <v>0</v>
      </c>
      <c r="AQ161" s="911">
        <f t="shared" si="208"/>
        <v>1102.008</v>
      </c>
      <c r="AR161" s="911">
        <f t="shared" si="108"/>
        <v>1102.008</v>
      </c>
      <c r="AS161" s="911">
        <f t="shared" si="209"/>
        <v>0</v>
      </c>
      <c r="AT161" s="911">
        <f t="shared" si="210"/>
        <v>82.328230423042314</v>
      </c>
      <c r="AU161" s="912">
        <f t="shared" si="211"/>
        <v>82.328230423042314</v>
      </c>
      <c r="AV161" s="890"/>
      <c r="AW161" s="895">
        <v>0</v>
      </c>
      <c r="AX161" s="895">
        <v>0</v>
      </c>
      <c r="AY161" s="913">
        <f t="shared" si="212"/>
        <v>0</v>
      </c>
      <c r="AZ161" s="913">
        <f t="shared" si="213"/>
        <v>0</v>
      </c>
      <c r="BA161" s="890" t="s">
        <v>478</v>
      </c>
      <c r="BB161" s="911">
        <f t="shared" si="214"/>
        <v>41.164115211521157</v>
      </c>
      <c r="BC161" s="911">
        <f t="shared" si="215"/>
        <v>6.8606858685868595</v>
      </c>
      <c r="BD161" s="911">
        <f t="shared" si="216"/>
        <v>10.719821669666969</v>
      </c>
      <c r="BE161" s="911">
        <f t="shared" si="175"/>
        <v>86.358883370837091</v>
      </c>
      <c r="BF161" s="911">
        <f t="shared" si="217"/>
        <v>0</v>
      </c>
      <c r="BG161" s="911">
        <f t="shared" si="218"/>
        <v>86.358883370837091</v>
      </c>
      <c r="BH161" s="911">
        <f t="shared" si="219"/>
        <v>0</v>
      </c>
      <c r="BI161" s="911">
        <f t="shared" si="220"/>
        <v>0</v>
      </c>
    </row>
    <row r="162" spans="2:61" s="896" customFormat="1" ht="15" customHeight="1">
      <c r="B162" s="987" t="s">
        <v>135</v>
      </c>
      <c r="C162" s="988"/>
      <c r="D162" s="989">
        <f t="shared" si="221"/>
        <v>4.7704770477047707E-2</v>
      </c>
      <c r="E162" s="918">
        <f t="shared" si="222"/>
        <v>0</v>
      </c>
      <c r="F162" s="990">
        <f t="shared" si="223"/>
        <v>225</v>
      </c>
      <c r="G162" s="991">
        <f t="shared" si="224"/>
        <v>3039</v>
      </c>
      <c r="H162" s="918">
        <f t="shared" si="225"/>
        <v>97.350134284428464</v>
      </c>
      <c r="I162" s="918">
        <f t="shared" si="226"/>
        <v>97.350134284428449</v>
      </c>
      <c r="J162" s="901">
        <f t="shared" si="227"/>
        <v>97.350134284428449</v>
      </c>
      <c r="K162" s="918">
        <f t="shared" si="201"/>
        <v>93.751859810981117</v>
      </c>
      <c r="L162" s="918">
        <f t="shared" si="202"/>
        <v>3.5982744734473453</v>
      </c>
      <c r="M162" s="918">
        <f t="shared" si="203"/>
        <v>93.751859810981102</v>
      </c>
      <c r="N162" s="918">
        <f t="shared" si="204"/>
        <v>3.5982744734473453</v>
      </c>
      <c r="O162" s="918">
        <f t="shared" si="109"/>
        <v>0</v>
      </c>
      <c r="P162" s="918">
        <f t="shared" si="110"/>
        <v>0</v>
      </c>
      <c r="Q162" s="918">
        <f t="shared" si="111"/>
        <v>0</v>
      </c>
      <c r="R162" s="918">
        <f t="shared" si="112"/>
        <v>0</v>
      </c>
      <c r="S162" s="918">
        <v>0</v>
      </c>
      <c r="T162" s="918">
        <v>0</v>
      </c>
      <c r="U162" s="919">
        <f t="shared" si="205"/>
        <v>-1.459767345947574E-16</v>
      </c>
      <c r="V162" s="903"/>
      <c r="W162" s="1056">
        <f>5.3/111.1</f>
        <v>4.7704770477047707E-2</v>
      </c>
      <c r="X162" s="1059">
        <v>22</v>
      </c>
      <c r="Y162" s="886">
        <v>1704</v>
      </c>
      <c r="Z162" s="887">
        <v>5</v>
      </c>
      <c r="AA162" s="905">
        <f t="shared" si="206"/>
        <v>81.288928892889288</v>
      </c>
      <c r="AB162" s="888"/>
      <c r="AC162" s="905">
        <v>0</v>
      </c>
      <c r="AD162" s="889">
        <v>21</v>
      </c>
      <c r="AE162" s="890">
        <v>0</v>
      </c>
      <c r="AF162" s="891">
        <v>21</v>
      </c>
      <c r="AG162" s="890">
        <v>225</v>
      </c>
      <c r="AH162" s="892">
        <v>21</v>
      </c>
      <c r="AI162" s="890">
        <v>23.93</v>
      </c>
      <c r="AJ162" s="891">
        <v>21</v>
      </c>
      <c r="AK162" s="891"/>
      <c r="AL162" s="911">
        <v>3039</v>
      </c>
      <c r="AM162" s="891">
        <v>21</v>
      </c>
      <c r="AN162" s="890">
        <v>6.8000000000000005E-2</v>
      </c>
      <c r="AO162" s="891">
        <v>21</v>
      </c>
      <c r="AP162" s="911">
        <f t="shared" si="207"/>
        <v>1965.25125</v>
      </c>
      <c r="AQ162" s="911">
        <f t="shared" si="208"/>
        <v>75.427980000000005</v>
      </c>
      <c r="AR162" s="911">
        <f t="shared" si="108"/>
        <v>2040.67923</v>
      </c>
      <c r="AS162" s="911">
        <f t="shared" si="209"/>
        <v>93.751859810981102</v>
      </c>
      <c r="AT162" s="911">
        <f t="shared" si="210"/>
        <v>3.5982744734473453</v>
      </c>
      <c r="AU162" s="912">
        <f t="shared" si="211"/>
        <v>97.350134284428449</v>
      </c>
      <c r="AV162" s="890"/>
      <c r="AW162" s="895">
        <v>0</v>
      </c>
      <c r="AX162" s="895">
        <v>0</v>
      </c>
      <c r="AY162" s="913">
        <f t="shared" si="212"/>
        <v>0</v>
      </c>
      <c r="AZ162" s="913">
        <f t="shared" si="213"/>
        <v>0</v>
      </c>
      <c r="BA162" s="890"/>
      <c r="BB162" s="911">
        <f t="shared" si="214"/>
        <v>48.675067142214225</v>
      </c>
      <c r="BC162" s="911">
        <f t="shared" si="215"/>
        <v>8.1125111903690375</v>
      </c>
      <c r="BD162" s="911">
        <f t="shared" si="216"/>
        <v>12.67579873495162</v>
      </c>
      <c r="BE162" s="911">
        <f t="shared" si="175"/>
        <v>102.11623460877026</v>
      </c>
      <c r="BF162" s="911">
        <f t="shared" si="217"/>
        <v>98.341794614227055</v>
      </c>
      <c r="BG162" s="911">
        <f t="shared" si="218"/>
        <v>3.7744399945432052</v>
      </c>
      <c r="BH162" s="911">
        <f t="shared" si="219"/>
        <v>0</v>
      </c>
      <c r="BI162" s="911">
        <f t="shared" si="220"/>
        <v>0</v>
      </c>
    </row>
    <row r="163" spans="2:61" s="896" customFormat="1" ht="15" customHeight="1">
      <c r="B163" s="987" t="s">
        <v>136</v>
      </c>
      <c r="C163" s="988"/>
      <c r="D163" s="989">
        <f t="shared" si="221"/>
        <v>3.7999999999999999E-2</v>
      </c>
      <c r="E163" s="918">
        <f t="shared" si="222"/>
        <v>0</v>
      </c>
      <c r="F163" s="990">
        <f t="shared" si="223"/>
        <v>0</v>
      </c>
      <c r="G163" s="991">
        <f t="shared" si="224"/>
        <v>630.13698630136992</v>
      </c>
      <c r="H163" s="918">
        <f t="shared" si="225"/>
        <v>17.48</v>
      </c>
      <c r="I163" s="918">
        <f t="shared" si="226"/>
        <v>17.48</v>
      </c>
      <c r="J163" s="901">
        <f t="shared" si="227"/>
        <v>17.48</v>
      </c>
      <c r="K163" s="918">
        <f t="shared" si="201"/>
        <v>0</v>
      </c>
      <c r="L163" s="918">
        <f t="shared" si="202"/>
        <v>17.48</v>
      </c>
      <c r="M163" s="918">
        <f t="shared" si="203"/>
        <v>0</v>
      </c>
      <c r="N163" s="918">
        <f t="shared" si="204"/>
        <v>17.48</v>
      </c>
      <c r="O163" s="918">
        <f t="shared" si="109"/>
        <v>0</v>
      </c>
      <c r="P163" s="918">
        <f t="shared" si="110"/>
        <v>0</v>
      </c>
      <c r="Q163" s="918">
        <f t="shared" si="111"/>
        <v>0</v>
      </c>
      <c r="R163" s="918">
        <f t="shared" si="112"/>
        <v>0</v>
      </c>
      <c r="S163" s="918">
        <v>0</v>
      </c>
      <c r="T163" s="918">
        <v>0</v>
      </c>
      <c r="U163" s="919">
        <f t="shared" si="205"/>
        <v>0</v>
      </c>
      <c r="V163" s="903"/>
      <c r="W163" s="904">
        <v>3.7999999999999999E-2</v>
      </c>
      <c r="X163" s="1059">
        <v>21</v>
      </c>
      <c r="Y163" s="886">
        <v>460</v>
      </c>
      <c r="Z163" s="887">
        <v>5</v>
      </c>
      <c r="AA163" s="905">
        <f t="shared" si="206"/>
        <v>17.48</v>
      </c>
      <c r="AB163" s="888"/>
      <c r="AC163" s="905"/>
      <c r="AD163" s="889"/>
      <c r="AE163" s="890"/>
      <c r="AF163" s="891"/>
      <c r="AG163" s="890"/>
      <c r="AH163" s="892"/>
      <c r="AI163" s="890"/>
      <c r="AJ163" s="891"/>
      <c r="AK163" s="891"/>
      <c r="AL163" s="911">
        <f>Y163*1000/365/2</f>
        <v>630.13698630136992</v>
      </c>
      <c r="AM163" s="891">
        <v>0</v>
      </c>
      <c r="AN163" s="890">
        <v>2</v>
      </c>
      <c r="AO163" s="891">
        <v>0</v>
      </c>
      <c r="AP163" s="911">
        <f t="shared" si="207"/>
        <v>0</v>
      </c>
      <c r="AQ163" s="911">
        <f t="shared" si="208"/>
        <v>460.00000000000006</v>
      </c>
      <c r="AR163" s="911">
        <f t="shared" si="108"/>
        <v>460.00000000000006</v>
      </c>
      <c r="AS163" s="911">
        <f t="shared" si="209"/>
        <v>0</v>
      </c>
      <c r="AT163" s="911">
        <f t="shared" si="210"/>
        <v>17.48</v>
      </c>
      <c r="AU163" s="912">
        <f t="shared" si="211"/>
        <v>17.48</v>
      </c>
      <c r="AV163" s="890"/>
      <c r="AW163" s="895">
        <v>0</v>
      </c>
      <c r="AX163" s="895">
        <v>0</v>
      </c>
      <c r="AY163" s="913">
        <f t="shared" si="212"/>
        <v>0</v>
      </c>
      <c r="AZ163" s="913">
        <f t="shared" si="213"/>
        <v>0</v>
      </c>
      <c r="BA163" s="890"/>
      <c r="BB163" s="911">
        <f t="shared" si="214"/>
        <v>8.74</v>
      </c>
      <c r="BC163" s="911">
        <f t="shared" si="215"/>
        <v>1.4566666666666668</v>
      </c>
      <c r="BD163" s="911">
        <f t="shared" si="216"/>
        <v>2.2760416666666665</v>
      </c>
      <c r="BE163" s="911">
        <f t="shared" si="175"/>
        <v>18.335791666666665</v>
      </c>
      <c r="BF163" s="911">
        <f t="shared" si="217"/>
        <v>0</v>
      </c>
      <c r="BG163" s="911">
        <f t="shared" si="218"/>
        <v>18.335791666666665</v>
      </c>
      <c r="BH163" s="911">
        <f t="shared" si="219"/>
        <v>0</v>
      </c>
      <c r="BI163" s="911">
        <f t="shared" si="220"/>
        <v>0</v>
      </c>
    </row>
    <row r="164" spans="2:61" s="896" customFormat="1">
      <c r="B164" s="987" t="s">
        <v>418</v>
      </c>
      <c r="C164" s="988"/>
      <c r="D164" s="989">
        <f t="shared" si="221"/>
        <v>0.12691269126912691</v>
      </c>
      <c r="E164" s="991">
        <f t="shared" si="222"/>
        <v>0</v>
      </c>
      <c r="F164" s="991">
        <f t="shared" si="223"/>
        <v>0</v>
      </c>
      <c r="G164" s="991">
        <f t="shared" si="224"/>
        <v>3478.2608695652175</v>
      </c>
      <c r="H164" s="918">
        <f t="shared" si="225"/>
        <v>50.765076507650761</v>
      </c>
      <c r="I164" s="918">
        <f t="shared" si="226"/>
        <v>50.765076507650761</v>
      </c>
      <c r="J164" s="901">
        <f t="shared" si="227"/>
        <v>50.765076507650761</v>
      </c>
      <c r="K164" s="918">
        <f t="shared" si="201"/>
        <v>0</v>
      </c>
      <c r="L164" s="918">
        <f t="shared" si="202"/>
        <v>50.765076507650761</v>
      </c>
      <c r="M164" s="918">
        <f t="shared" si="203"/>
        <v>0</v>
      </c>
      <c r="N164" s="918">
        <f t="shared" si="204"/>
        <v>50.765076507650761</v>
      </c>
      <c r="O164" s="918">
        <f t="shared" si="109"/>
        <v>0</v>
      </c>
      <c r="P164" s="918">
        <f t="shared" si="110"/>
        <v>0</v>
      </c>
      <c r="Q164" s="918">
        <f t="shared" si="111"/>
        <v>0</v>
      </c>
      <c r="R164" s="918">
        <f t="shared" si="112"/>
        <v>0</v>
      </c>
      <c r="S164" s="918">
        <v>0</v>
      </c>
      <c r="T164" s="918">
        <v>0</v>
      </c>
      <c r="U164" s="919">
        <f t="shared" si="205"/>
        <v>0</v>
      </c>
      <c r="V164" s="903"/>
      <c r="W164" s="1057">
        <f>14.1/111.1</f>
        <v>0.12691269126912691</v>
      </c>
      <c r="X164" s="1060">
        <v>22</v>
      </c>
      <c r="Y164" s="886">
        <v>400</v>
      </c>
      <c r="Z164" s="887">
        <v>1</v>
      </c>
      <c r="AA164" s="905">
        <f t="shared" si="206"/>
        <v>50.765076507650761</v>
      </c>
      <c r="AB164" s="888"/>
      <c r="AC164" s="905"/>
      <c r="AD164" s="889"/>
      <c r="AE164" s="890"/>
      <c r="AF164" s="891"/>
      <c r="AG164" s="890"/>
      <c r="AH164" s="892"/>
      <c r="AI164" s="890"/>
      <c r="AJ164" s="911"/>
      <c r="AK164" s="891"/>
      <c r="AL164" s="893">
        <f>Y164/365*1000/AN164</f>
        <v>3478.2608695652175</v>
      </c>
      <c r="AM164" s="891">
        <v>12</v>
      </c>
      <c r="AN164" s="992">
        <f>115/365</f>
        <v>0.31506849315068491</v>
      </c>
      <c r="AO164" s="891">
        <v>12</v>
      </c>
      <c r="AP164" s="911">
        <f t="shared" si="207"/>
        <v>0</v>
      </c>
      <c r="AQ164" s="911">
        <f t="shared" si="208"/>
        <v>400</v>
      </c>
      <c r="AR164" s="911">
        <f t="shared" si="108"/>
        <v>400</v>
      </c>
      <c r="AS164" s="911">
        <f t="shared" si="209"/>
        <v>0</v>
      </c>
      <c r="AT164" s="911">
        <f t="shared" si="210"/>
        <v>50.765076507650761</v>
      </c>
      <c r="AU164" s="912">
        <f t="shared" si="211"/>
        <v>50.765076507650761</v>
      </c>
      <c r="AV164" s="890"/>
      <c r="AW164" s="895">
        <v>0</v>
      </c>
      <c r="AX164" s="895">
        <v>0</v>
      </c>
      <c r="AY164" s="913">
        <f t="shared" si="212"/>
        <v>0</v>
      </c>
      <c r="AZ164" s="913">
        <f t="shared" si="213"/>
        <v>0</v>
      </c>
      <c r="BA164" s="890"/>
      <c r="BB164" s="911">
        <f t="shared" si="214"/>
        <v>25.382538253825381</v>
      </c>
      <c r="BC164" s="911">
        <f t="shared" si="215"/>
        <v>4.2304230423042304</v>
      </c>
      <c r="BD164" s="911">
        <f t="shared" si="216"/>
        <v>6.6100360036003591</v>
      </c>
      <c r="BE164" s="911">
        <f t="shared" si="175"/>
        <v>53.250450045004499</v>
      </c>
      <c r="BF164" s="911">
        <f t="shared" si="217"/>
        <v>0</v>
      </c>
      <c r="BG164" s="911">
        <f t="shared" si="218"/>
        <v>53.250450045004499</v>
      </c>
      <c r="BH164" s="911">
        <f t="shared" si="219"/>
        <v>0</v>
      </c>
      <c r="BI164" s="911">
        <f t="shared" si="220"/>
        <v>0</v>
      </c>
    </row>
    <row r="165" spans="2:61" s="896" customFormat="1">
      <c r="B165" s="987" t="s">
        <v>931</v>
      </c>
      <c r="C165" s="988"/>
      <c r="D165" s="989">
        <f t="shared" si="221"/>
        <v>3.2403240324032405E-2</v>
      </c>
      <c r="E165" s="991">
        <f t="shared" si="222"/>
        <v>0</v>
      </c>
      <c r="F165" s="991">
        <f t="shared" si="223"/>
        <v>0</v>
      </c>
      <c r="G165" s="991">
        <f t="shared" si="224"/>
        <v>2410.9589041095892</v>
      </c>
      <c r="H165" s="918">
        <f t="shared" si="225"/>
        <v>57.029702970297031</v>
      </c>
      <c r="I165" s="918">
        <f t="shared" si="226"/>
        <v>57.029702970297031</v>
      </c>
      <c r="J165" s="901">
        <f t="shared" si="227"/>
        <v>57.029702970297031</v>
      </c>
      <c r="K165" s="918">
        <f t="shared" si="201"/>
        <v>0</v>
      </c>
      <c r="L165" s="918">
        <f t="shared" si="202"/>
        <v>57.029702970297031</v>
      </c>
      <c r="M165" s="918">
        <f t="shared" si="203"/>
        <v>0</v>
      </c>
      <c r="N165" s="918">
        <f t="shared" si="204"/>
        <v>57.029702970297031</v>
      </c>
      <c r="O165" s="918">
        <f t="shared" si="109"/>
        <v>28.514851485148515</v>
      </c>
      <c r="P165" s="918">
        <f t="shared" si="110"/>
        <v>5.7029702970297036</v>
      </c>
      <c r="Q165" s="918">
        <f t="shared" si="111"/>
        <v>28.514851485148515</v>
      </c>
      <c r="R165" s="918">
        <f t="shared" si="112"/>
        <v>5.7029702970297036</v>
      </c>
      <c r="S165" s="918">
        <v>0</v>
      </c>
      <c r="T165" s="918">
        <v>0</v>
      </c>
      <c r="U165" s="919">
        <f t="shared" si="205"/>
        <v>0</v>
      </c>
      <c r="V165" s="903"/>
      <c r="W165" s="1057">
        <f>3.6/111.1</f>
        <v>3.2403240324032405E-2</v>
      </c>
      <c r="X165" s="1060">
        <v>22</v>
      </c>
      <c r="Y165" s="886">
        <v>1760</v>
      </c>
      <c r="Z165" s="887">
        <v>7</v>
      </c>
      <c r="AA165" s="905">
        <f t="shared" si="206"/>
        <v>57.029702970297031</v>
      </c>
      <c r="AB165" s="888"/>
      <c r="AC165" s="905"/>
      <c r="AD165" s="889"/>
      <c r="AE165" s="890"/>
      <c r="AF165" s="891"/>
      <c r="AG165" s="890"/>
      <c r="AH165" s="892"/>
      <c r="AI165" s="890"/>
      <c r="AJ165" s="891"/>
      <c r="AK165" s="891"/>
      <c r="AL165" s="911">
        <f>Y165*1000/365/2</f>
        <v>2410.9589041095892</v>
      </c>
      <c r="AM165" s="891">
        <v>0</v>
      </c>
      <c r="AN165" s="890">
        <v>2</v>
      </c>
      <c r="AO165" s="891">
        <v>0</v>
      </c>
      <c r="AP165" s="911">
        <f t="shared" si="207"/>
        <v>0</v>
      </c>
      <c r="AQ165" s="911">
        <f t="shared" si="208"/>
        <v>1760</v>
      </c>
      <c r="AR165" s="911">
        <f>SUM(AP165:AQ165)</f>
        <v>1760</v>
      </c>
      <c r="AS165" s="911">
        <f t="shared" si="209"/>
        <v>0</v>
      </c>
      <c r="AT165" s="911">
        <f t="shared" si="210"/>
        <v>57.029702970297031</v>
      </c>
      <c r="AU165" s="912">
        <f t="shared" si="211"/>
        <v>57.029702970297031</v>
      </c>
      <c r="AV165" s="890"/>
      <c r="AW165" s="895">
        <v>0.5</v>
      </c>
      <c r="AX165" s="895">
        <v>0.1</v>
      </c>
      <c r="AY165" s="913">
        <f t="shared" si="212"/>
        <v>28.514851485148515</v>
      </c>
      <c r="AZ165" s="913">
        <f t="shared" si="213"/>
        <v>5.7029702970297036</v>
      </c>
      <c r="BA165" s="890"/>
      <c r="BB165" s="911">
        <f t="shared" si="214"/>
        <v>28.514851485148515</v>
      </c>
      <c r="BC165" s="911">
        <f t="shared" si="215"/>
        <v>4.7524752475247523</v>
      </c>
      <c r="BD165" s="911">
        <f t="shared" si="216"/>
        <v>7.4257425742574261</v>
      </c>
      <c r="BE165" s="911">
        <f t="shared" si="175"/>
        <v>59.821782178217816</v>
      </c>
      <c r="BF165" s="911">
        <f t="shared" si="217"/>
        <v>0</v>
      </c>
      <c r="BG165" s="911">
        <f t="shared" si="218"/>
        <v>59.821782178217809</v>
      </c>
      <c r="BH165" s="911">
        <f t="shared" si="219"/>
        <v>29.910891089108908</v>
      </c>
      <c r="BI165" s="911">
        <f t="shared" si="220"/>
        <v>5.9821782178217822</v>
      </c>
    </row>
    <row r="166" spans="2:61" s="896" customFormat="1">
      <c r="B166" s="987" t="s">
        <v>123</v>
      </c>
      <c r="C166" s="988"/>
      <c r="D166" s="989">
        <f t="shared" si="221"/>
        <v>2.8985507246376812E-2</v>
      </c>
      <c r="E166" s="991">
        <f t="shared" si="222"/>
        <v>0</v>
      </c>
      <c r="F166" s="991">
        <f t="shared" si="223"/>
        <v>0</v>
      </c>
      <c r="G166" s="991">
        <f t="shared" si="224"/>
        <v>4816.4383561643835</v>
      </c>
      <c r="H166" s="918">
        <f t="shared" si="225"/>
        <v>25.478260869565215</v>
      </c>
      <c r="I166" s="918">
        <f t="shared" si="226"/>
        <v>25.478260869565219</v>
      </c>
      <c r="J166" s="901">
        <f t="shared" si="227"/>
        <v>25.478260869565219</v>
      </c>
      <c r="K166" s="918">
        <f t="shared" si="201"/>
        <v>0</v>
      </c>
      <c r="L166" s="918">
        <f t="shared" si="202"/>
        <v>25.478260869565215</v>
      </c>
      <c r="M166" s="918">
        <f t="shared" si="203"/>
        <v>0</v>
      </c>
      <c r="N166" s="918">
        <f t="shared" si="204"/>
        <v>25.478260869565219</v>
      </c>
      <c r="O166" s="918">
        <f t="shared" si="109"/>
        <v>0</v>
      </c>
      <c r="P166" s="918">
        <f t="shared" si="110"/>
        <v>0</v>
      </c>
      <c r="Q166" s="918">
        <f t="shared" si="111"/>
        <v>0</v>
      </c>
      <c r="R166" s="918">
        <f t="shared" si="112"/>
        <v>0</v>
      </c>
      <c r="S166" s="918">
        <v>0</v>
      </c>
      <c r="T166" s="918">
        <v>0</v>
      </c>
      <c r="U166" s="919">
        <f t="shared" si="205"/>
        <v>1.3944098056725516E-16</v>
      </c>
      <c r="V166" s="903"/>
      <c r="W166" s="884">
        <f>2.8/96.6</f>
        <v>2.8985507246376812E-2</v>
      </c>
      <c r="X166" s="1062">
        <v>20</v>
      </c>
      <c r="Y166" s="886">
        <v>879</v>
      </c>
      <c r="Z166" s="887">
        <v>7</v>
      </c>
      <c r="AA166" s="905">
        <f t="shared" si="206"/>
        <v>25.478260869565219</v>
      </c>
      <c r="AB166" s="888"/>
      <c r="AC166" s="905"/>
      <c r="AD166" s="889"/>
      <c r="AE166" s="890"/>
      <c r="AF166" s="891"/>
      <c r="AG166" s="890"/>
      <c r="AH166" s="892"/>
      <c r="AI166" s="890"/>
      <c r="AJ166" s="891"/>
      <c r="AK166" s="891"/>
      <c r="AL166" s="911">
        <f>Y166*1000/365/0.5</f>
        <v>4816.4383561643835</v>
      </c>
      <c r="AM166" s="891">
        <v>0</v>
      </c>
      <c r="AN166" s="890">
        <v>0.5</v>
      </c>
      <c r="AO166" s="891">
        <v>0</v>
      </c>
      <c r="AP166" s="911">
        <f t="shared" si="207"/>
        <v>0</v>
      </c>
      <c r="AQ166" s="911">
        <f t="shared" si="208"/>
        <v>879</v>
      </c>
      <c r="AR166" s="911">
        <f>SUM(AP166:AQ166)</f>
        <v>879</v>
      </c>
      <c r="AS166" s="911">
        <f t="shared" si="209"/>
        <v>0</v>
      </c>
      <c r="AT166" s="911">
        <f t="shared" si="210"/>
        <v>25.478260869565219</v>
      </c>
      <c r="AU166" s="912">
        <f t="shared" si="211"/>
        <v>25.478260869565219</v>
      </c>
      <c r="AV166" s="890"/>
      <c r="AW166" s="895">
        <v>0</v>
      </c>
      <c r="AX166" s="895">
        <v>0</v>
      </c>
      <c r="AY166" s="913">
        <f t="shared" si="212"/>
        <v>0</v>
      </c>
      <c r="AZ166" s="913">
        <f t="shared" si="213"/>
        <v>0</v>
      </c>
      <c r="BA166" s="890"/>
      <c r="BB166" s="911">
        <f t="shared" si="214"/>
        <v>12.739130434782609</v>
      </c>
      <c r="BC166" s="911">
        <f t="shared" si="215"/>
        <v>2.1231884057971016</v>
      </c>
      <c r="BD166" s="911">
        <f t="shared" si="216"/>
        <v>3.3174818840579712</v>
      </c>
      <c r="BE166" s="911">
        <f t="shared" si="175"/>
        <v>26.725634057971014</v>
      </c>
      <c r="BF166" s="911">
        <f t="shared" si="217"/>
        <v>0</v>
      </c>
      <c r="BG166" s="911">
        <f t="shared" si="218"/>
        <v>26.725634057971014</v>
      </c>
      <c r="BH166" s="911">
        <f t="shared" si="219"/>
        <v>0</v>
      </c>
      <c r="BI166" s="911">
        <f t="shared" si="220"/>
        <v>0</v>
      </c>
    </row>
    <row r="167" spans="2:61" s="896" customFormat="1">
      <c r="B167" s="987" t="s">
        <v>124</v>
      </c>
      <c r="C167" s="988"/>
      <c r="D167" s="989">
        <f t="shared" si="221"/>
        <v>1.1701170117011703E-2</v>
      </c>
      <c r="E167" s="991">
        <f t="shared" si="222"/>
        <v>0</v>
      </c>
      <c r="F167" s="991">
        <f t="shared" si="223"/>
        <v>0</v>
      </c>
      <c r="G167" s="991">
        <f t="shared" si="224"/>
        <v>381.50684931506851</v>
      </c>
      <c r="H167" s="918">
        <f t="shared" si="225"/>
        <v>19.55265526552656</v>
      </c>
      <c r="I167" s="918">
        <f t="shared" si="226"/>
        <v>19.552655265526557</v>
      </c>
      <c r="J167" s="901">
        <f t="shared" si="227"/>
        <v>19.552655265526557</v>
      </c>
      <c r="K167" s="918">
        <f t="shared" si="201"/>
        <v>0</v>
      </c>
      <c r="L167" s="918">
        <f t="shared" si="202"/>
        <v>19.55265526552656</v>
      </c>
      <c r="M167" s="918">
        <f t="shared" si="203"/>
        <v>0</v>
      </c>
      <c r="N167" s="918">
        <f t="shared" si="204"/>
        <v>19.552655265526557</v>
      </c>
      <c r="O167" s="918">
        <f t="shared" si="109"/>
        <v>0</v>
      </c>
      <c r="P167" s="918">
        <f t="shared" si="110"/>
        <v>0</v>
      </c>
      <c r="Q167" s="918">
        <f t="shared" si="111"/>
        <v>0</v>
      </c>
      <c r="R167" s="918">
        <f t="shared" si="112"/>
        <v>0</v>
      </c>
      <c r="S167" s="918">
        <v>0</v>
      </c>
      <c r="T167" s="918">
        <v>0</v>
      </c>
      <c r="U167" s="919">
        <f t="shared" si="205"/>
        <v>-1.8169980652522007E-16</v>
      </c>
      <c r="V167" s="903"/>
      <c r="W167" s="1057">
        <f>1.3/111.1</f>
        <v>1.1701170117011703E-2</v>
      </c>
      <c r="X167" s="1060">
        <v>22</v>
      </c>
      <c r="Y167" s="886">
        <v>557</v>
      </c>
      <c r="Z167" s="887">
        <v>7</v>
      </c>
      <c r="AA167" s="905">
        <f t="shared" si="206"/>
        <v>6.5175517551755187</v>
      </c>
      <c r="AB167" s="888"/>
      <c r="AC167" s="905"/>
      <c r="AD167" s="889"/>
      <c r="AE167" s="890"/>
      <c r="AF167" s="891"/>
      <c r="AG167" s="890"/>
      <c r="AH167" s="892"/>
      <c r="AI167" s="890"/>
      <c r="AJ167" s="891"/>
      <c r="AK167" s="891"/>
      <c r="AL167" s="911">
        <f>Y167*1000/365/4</f>
        <v>381.50684931506851</v>
      </c>
      <c r="AM167" s="891">
        <v>0</v>
      </c>
      <c r="AN167" s="1052">
        <v>12</v>
      </c>
      <c r="AO167" s="1053">
        <v>22</v>
      </c>
      <c r="AP167" s="911">
        <f t="shared" si="207"/>
        <v>0</v>
      </c>
      <c r="AQ167" s="911">
        <f t="shared" si="208"/>
        <v>1671.0000000000002</v>
      </c>
      <c r="AR167" s="911">
        <f>SUM(AP167:AQ167)</f>
        <v>1671.0000000000002</v>
      </c>
      <c r="AS167" s="911">
        <f t="shared" si="209"/>
        <v>0</v>
      </c>
      <c r="AT167" s="911">
        <f t="shared" si="210"/>
        <v>19.552655265526557</v>
      </c>
      <c r="AU167" s="912">
        <f t="shared" si="211"/>
        <v>19.552655265526557</v>
      </c>
      <c r="AV167" s="890"/>
      <c r="AW167" s="895">
        <v>0</v>
      </c>
      <c r="AX167" s="895">
        <v>0</v>
      </c>
      <c r="AY167" s="913">
        <f t="shared" si="212"/>
        <v>0</v>
      </c>
      <c r="AZ167" s="913">
        <f t="shared" si="213"/>
        <v>0</v>
      </c>
      <c r="BA167" s="890"/>
      <c r="BB167" s="911">
        <f t="shared" si="214"/>
        <v>9.7763276327632784</v>
      </c>
      <c r="BC167" s="911">
        <f t="shared" si="215"/>
        <v>1.6293879387938797</v>
      </c>
      <c r="BD167" s="911">
        <f t="shared" si="216"/>
        <v>2.5459186543654373</v>
      </c>
      <c r="BE167" s="911">
        <f t="shared" si="175"/>
        <v>20.509920679567962</v>
      </c>
      <c r="BF167" s="911">
        <f t="shared" si="217"/>
        <v>0</v>
      </c>
      <c r="BG167" s="911">
        <f t="shared" si="218"/>
        <v>20.509920679567962</v>
      </c>
      <c r="BH167" s="911">
        <f t="shared" si="219"/>
        <v>0</v>
      </c>
      <c r="BI167" s="911">
        <f t="shared" si="220"/>
        <v>0</v>
      </c>
    </row>
    <row r="168" spans="2:61" s="896" customFormat="1">
      <c r="B168" s="987" t="s">
        <v>125</v>
      </c>
      <c r="C168" s="988"/>
      <c r="D168" s="989">
        <f t="shared" si="221"/>
        <v>1.3501350135013503E-2</v>
      </c>
      <c r="E168" s="991">
        <f t="shared" si="222"/>
        <v>0</v>
      </c>
      <c r="F168" s="991">
        <f t="shared" si="223"/>
        <v>0</v>
      </c>
      <c r="G168" s="991">
        <f t="shared" si="224"/>
        <v>2970.7762557077626</v>
      </c>
      <c r="H168" s="918">
        <f t="shared" si="225"/>
        <v>87.839783978397847</v>
      </c>
      <c r="I168" s="918">
        <f t="shared" si="226"/>
        <v>87.839783978397861</v>
      </c>
      <c r="J168" s="901">
        <f t="shared" si="227"/>
        <v>87.839783978397861</v>
      </c>
      <c r="K168" s="918">
        <f t="shared" si="201"/>
        <v>0</v>
      </c>
      <c r="L168" s="918">
        <f t="shared" si="202"/>
        <v>87.839783978397847</v>
      </c>
      <c r="M168" s="918">
        <f t="shared" si="203"/>
        <v>0</v>
      </c>
      <c r="N168" s="918">
        <f t="shared" si="204"/>
        <v>87.839783978397861</v>
      </c>
      <c r="O168" s="918">
        <f t="shared" si="109"/>
        <v>0</v>
      </c>
      <c r="P168" s="918">
        <f t="shared" si="110"/>
        <v>0</v>
      </c>
      <c r="Q168" s="918">
        <f t="shared" si="111"/>
        <v>0</v>
      </c>
      <c r="R168" s="918">
        <f t="shared" si="112"/>
        <v>0</v>
      </c>
      <c r="S168" s="918">
        <v>0</v>
      </c>
      <c r="T168" s="918">
        <v>0</v>
      </c>
      <c r="U168" s="919">
        <f t="shared" si="205"/>
        <v>1.6178153077763523E-16</v>
      </c>
      <c r="V168" s="903"/>
      <c r="W168" s="1057">
        <f>1.5/111.1</f>
        <v>1.3501350135013503E-2</v>
      </c>
      <c r="X168" s="1060">
        <v>22</v>
      </c>
      <c r="Y168" s="886">
        <v>6506</v>
      </c>
      <c r="Z168" s="887">
        <v>5</v>
      </c>
      <c r="AA168" s="905">
        <f t="shared" si="206"/>
        <v>87.839783978397847</v>
      </c>
      <c r="AB168" s="888"/>
      <c r="AC168" s="905"/>
      <c r="AD168" s="889"/>
      <c r="AE168" s="890"/>
      <c r="AF168" s="891"/>
      <c r="AG168" s="890"/>
      <c r="AH168" s="892"/>
      <c r="AI168" s="890"/>
      <c r="AJ168" s="891"/>
      <c r="AK168" s="891"/>
      <c r="AL168" s="911">
        <f>Y168*1000/365/6</f>
        <v>2970.7762557077626</v>
      </c>
      <c r="AM168" s="891">
        <v>0</v>
      </c>
      <c r="AN168" s="890">
        <v>6</v>
      </c>
      <c r="AO168" s="891">
        <v>0</v>
      </c>
      <c r="AP168" s="911">
        <f t="shared" si="207"/>
        <v>0</v>
      </c>
      <c r="AQ168" s="911">
        <f t="shared" si="208"/>
        <v>6506.0000000000009</v>
      </c>
      <c r="AR168" s="911">
        <f>SUM(AP168:AQ168)</f>
        <v>6506.0000000000009</v>
      </c>
      <c r="AS168" s="911">
        <f t="shared" si="209"/>
        <v>0</v>
      </c>
      <c r="AT168" s="911">
        <f t="shared" si="210"/>
        <v>87.839783978397861</v>
      </c>
      <c r="AU168" s="912">
        <f t="shared" si="211"/>
        <v>87.839783978397861</v>
      </c>
      <c r="AV168" s="890"/>
      <c r="AW168" s="895">
        <v>0</v>
      </c>
      <c r="AX168" s="895">
        <v>0</v>
      </c>
      <c r="AY168" s="913">
        <f t="shared" si="212"/>
        <v>0</v>
      </c>
      <c r="AZ168" s="913">
        <f t="shared" si="213"/>
        <v>0</v>
      </c>
      <c r="BA168" s="890"/>
      <c r="BB168" s="911">
        <f t="shared" si="214"/>
        <v>43.919891989198931</v>
      </c>
      <c r="BC168" s="911">
        <f t="shared" si="215"/>
        <v>7.3199819981998218</v>
      </c>
      <c r="BD168" s="911">
        <f t="shared" si="216"/>
        <v>11.437471872187221</v>
      </c>
      <c r="BE168" s="911">
        <f t="shared" si="175"/>
        <v>92.140273402340256</v>
      </c>
      <c r="BF168" s="911">
        <f t="shared" si="217"/>
        <v>0</v>
      </c>
      <c r="BG168" s="911">
        <f t="shared" si="218"/>
        <v>92.140273402340256</v>
      </c>
      <c r="BH168" s="911">
        <f t="shared" si="219"/>
        <v>0</v>
      </c>
      <c r="BI168" s="911">
        <f t="shared" si="220"/>
        <v>0</v>
      </c>
    </row>
    <row r="169" spans="2:61" s="896" customFormat="1">
      <c r="B169" s="987" t="s">
        <v>126</v>
      </c>
      <c r="C169" s="988"/>
      <c r="D169" s="989">
        <f t="shared" si="221"/>
        <v>1.0801080108010801E-2</v>
      </c>
      <c r="E169" s="991">
        <f t="shared" si="222"/>
        <v>0</v>
      </c>
      <c r="F169" s="991">
        <f t="shared" si="223"/>
        <v>0</v>
      </c>
      <c r="G169" s="991">
        <f t="shared" si="224"/>
        <v>3252.0547945205481</v>
      </c>
      <c r="H169" s="918">
        <f t="shared" si="225"/>
        <v>25.641764176417642</v>
      </c>
      <c r="I169" s="918">
        <f t="shared" si="226"/>
        <v>25.641764176417642</v>
      </c>
      <c r="J169" s="901">
        <f t="shared" si="227"/>
        <v>25.641764176417642</v>
      </c>
      <c r="K169" s="918">
        <f t="shared" si="201"/>
        <v>0</v>
      </c>
      <c r="L169" s="918">
        <f t="shared" si="202"/>
        <v>25.641764176417642</v>
      </c>
      <c r="M169" s="918">
        <f t="shared" si="203"/>
        <v>0</v>
      </c>
      <c r="N169" s="918">
        <f t="shared" si="204"/>
        <v>25.641764176417642</v>
      </c>
      <c r="O169" s="918">
        <f t="shared" si="109"/>
        <v>0</v>
      </c>
      <c r="P169" s="918">
        <f t="shared" si="110"/>
        <v>0</v>
      </c>
      <c r="Q169" s="918">
        <f t="shared" si="111"/>
        <v>0</v>
      </c>
      <c r="R169" s="918">
        <f t="shared" si="112"/>
        <v>0</v>
      </c>
      <c r="S169" s="918">
        <v>0</v>
      </c>
      <c r="T169" s="918">
        <v>0</v>
      </c>
      <c r="U169" s="919">
        <f t="shared" si="205"/>
        <v>0</v>
      </c>
      <c r="V169" s="993"/>
      <c r="W169" s="1057">
        <f>1.2/111.1</f>
        <v>1.0801080108010801E-2</v>
      </c>
      <c r="X169" s="1060">
        <v>22</v>
      </c>
      <c r="Y169" s="886">
        <v>2374</v>
      </c>
      <c r="Z169" s="887">
        <v>5</v>
      </c>
      <c r="AA169" s="905">
        <f t="shared" si="206"/>
        <v>25.641764176417642</v>
      </c>
      <c r="AB169" s="888"/>
      <c r="AC169" s="905"/>
      <c r="AD169" s="889"/>
      <c r="AE169" s="890"/>
      <c r="AF169" s="891"/>
      <c r="AG169" s="890"/>
      <c r="AH169" s="892"/>
      <c r="AI169" s="890"/>
      <c r="AJ169" s="891"/>
      <c r="AK169" s="891"/>
      <c r="AL169" s="911">
        <f>Y169*1000/365/2</f>
        <v>3252.0547945205481</v>
      </c>
      <c r="AM169" s="891">
        <v>0</v>
      </c>
      <c r="AN169" s="890">
        <v>2</v>
      </c>
      <c r="AO169" s="891">
        <v>0</v>
      </c>
      <c r="AP169" s="911">
        <f t="shared" si="207"/>
        <v>0</v>
      </c>
      <c r="AQ169" s="911">
        <f t="shared" si="208"/>
        <v>2374</v>
      </c>
      <c r="AR169" s="911">
        <f>SUM(AP169:AQ169)</f>
        <v>2374</v>
      </c>
      <c r="AS169" s="911">
        <f t="shared" si="209"/>
        <v>0</v>
      </c>
      <c r="AT169" s="911">
        <f t="shared" si="210"/>
        <v>25.641764176417642</v>
      </c>
      <c r="AU169" s="912">
        <f t="shared" si="211"/>
        <v>25.641764176417642</v>
      </c>
      <c r="AV169" s="890"/>
      <c r="AW169" s="895">
        <v>0</v>
      </c>
      <c r="AX169" s="895">
        <v>0</v>
      </c>
      <c r="AY169" s="913">
        <f t="shared" si="212"/>
        <v>0</v>
      </c>
      <c r="AZ169" s="913">
        <f t="shared" si="213"/>
        <v>0</v>
      </c>
      <c r="BA169" s="890"/>
      <c r="BB169" s="911">
        <f t="shared" si="214"/>
        <v>12.820882088208821</v>
      </c>
      <c r="BC169" s="911">
        <f t="shared" si="215"/>
        <v>2.1368136813681367</v>
      </c>
      <c r="BD169" s="911">
        <f t="shared" si="216"/>
        <v>3.3387713771377139</v>
      </c>
      <c r="BE169" s="911">
        <f t="shared" si="175"/>
        <v>26.897142214221418</v>
      </c>
      <c r="BF169" s="911">
        <f t="shared" si="217"/>
        <v>0</v>
      </c>
      <c r="BG169" s="911">
        <f t="shared" si="218"/>
        <v>26.897142214221418</v>
      </c>
      <c r="BH169" s="911">
        <f t="shared" si="219"/>
        <v>0</v>
      </c>
      <c r="BI169" s="911">
        <f t="shared" si="220"/>
        <v>0</v>
      </c>
    </row>
    <row r="170" spans="2:61" s="896" customFormat="1" ht="13.5" thickBot="1">
      <c r="B170" s="994" t="s">
        <v>1334</v>
      </c>
      <c r="C170" s="995"/>
      <c r="D170" s="989">
        <v>1</v>
      </c>
      <c r="E170" s="991">
        <f t="shared" si="222"/>
        <v>0</v>
      </c>
      <c r="F170" s="991">
        <f t="shared" si="223"/>
        <v>0</v>
      </c>
      <c r="G170" s="991">
        <v>1.07</v>
      </c>
      <c r="H170" s="918">
        <f t="shared" si="225"/>
        <v>9.3732000000000006</v>
      </c>
      <c r="I170" s="918">
        <f t="shared" si="226"/>
        <v>9.3732000000000006</v>
      </c>
      <c r="J170" s="901">
        <f t="shared" si="227"/>
        <v>9.3732000000000006</v>
      </c>
      <c r="K170" s="918">
        <f t="shared" si="201"/>
        <v>0</v>
      </c>
      <c r="L170" s="918">
        <f>D170*G170*24*365/1000</f>
        <v>9.3732000000000006</v>
      </c>
      <c r="M170" s="918">
        <f t="shared" si="203"/>
        <v>0</v>
      </c>
      <c r="N170" s="918">
        <f>D170*G170*24*365/1000</f>
        <v>9.3732000000000006</v>
      </c>
      <c r="O170" s="918">
        <f>H170*AW171</f>
        <v>9.3732000000000006</v>
      </c>
      <c r="P170" s="918">
        <f>H170*AX171</f>
        <v>0</v>
      </c>
      <c r="Q170" s="918">
        <f>I170*AW171</f>
        <v>9.3732000000000006</v>
      </c>
      <c r="R170" s="918">
        <f>I170*AX171</f>
        <v>0</v>
      </c>
      <c r="S170" s="996">
        <v>0</v>
      </c>
      <c r="T170" s="996">
        <v>0</v>
      </c>
      <c r="U170" s="919">
        <f t="shared" si="205"/>
        <v>0</v>
      </c>
      <c r="V170" s="903"/>
      <c r="W170" s="997" t="s">
        <v>127</v>
      </c>
      <c r="X170" s="998"/>
      <c r="Y170" s="999"/>
      <c r="Z170" s="1000"/>
      <c r="AA170" s="1001">
        <f>SUM(AA36:AA169)</f>
        <v>3118.1099521946921</v>
      </c>
      <c r="AB170" s="1002"/>
      <c r="AC170" s="1001"/>
      <c r="AD170" s="1003"/>
      <c r="AE170" s="999"/>
      <c r="AF170" s="1003"/>
      <c r="AG170" s="999"/>
      <c r="AH170" s="1004"/>
      <c r="AI170" s="999"/>
      <c r="AJ170" s="1003"/>
      <c r="AK170" s="1003"/>
      <c r="AL170" s="997" t="s">
        <v>127</v>
      </c>
      <c r="AM170" s="1003"/>
      <c r="AN170" s="999"/>
      <c r="AO170" s="1003"/>
      <c r="AP170" s="1001"/>
      <c r="AQ170" s="1001"/>
      <c r="AR170" s="1001"/>
      <c r="AS170" s="1001">
        <f>SUM(AS36:AS169)</f>
        <v>811.2430823561408</v>
      </c>
      <c r="AT170" s="1001">
        <f>SUM(AT36:AT169)</f>
        <v>2552.5961037542761</v>
      </c>
      <c r="AU170" s="1005">
        <f>SUM(AU36:AU169)</f>
        <v>3363.8391861104183</v>
      </c>
      <c r="AV170" s="999"/>
      <c r="AW170" s="1006"/>
      <c r="AX170" s="1006"/>
      <c r="AY170" s="1001">
        <f>SUM(AY36:AY169)</f>
        <v>2469.8142993863612</v>
      </c>
      <c r="AZ170" s="1001">
        <f>SUM(AZ36:AZ169)</f>
        <v>55.322102364504545</v>
      </c>
      <c r="BA170" s="999"/>
      <c r="BB170" s="999"/>
      <c r="BC170" s="999"/>
      <c r="BD170" s="999"/>
      <c r="BE170" s="999"/>
      <c r="BF170" s="999"/>
      <c r="BG170" s="999"/>
      <c r="BH170" s="999"/>
      <c r="BI170" s="999"/>
    </row>
    <row r="171" spans="2:61" s="896" customFormat="1" ht="14.25" customHeight="1">
      <c r="B171" s="903"/>
      <c r="C171" s="903"/>
      <c r="D171" s="867"/>
      <c r="E171" s="867"/>
      <c r="F171" s="867"/>
      <c r="G171" s="867"/>
      <c r="H171" s="867"/>
      <c r="I171" s="867"/>
      <c r="J171" s="867"/>
      <c r="K171" s="867"/>
      <c r="L171" s="867"/>
      <c r="M171" s="867"/>
      <c r="N171" s="867"/>
      <c r="O171" s="867"/>
      <c r="P171" s="867"/>
      <c r="Q171" s="867"/>
      <c r="R171" s="867"/>
      <c r="S171" s="867"/>
      <c r="T171" s="867"/>
      <c r="U171" s="867"/>
      <c r="V171" s="903"/>
      <c r="W171" s="997" t="s">
        <v>6478</v>
      </c>
      <c r="X171" s="998"/>
      <c r="Y171" s="999"/>
      <c r="Z171" s="1000"/>
      <c r="AA171" s="1001">
        <f>AA172-AA170</f>
        <v>-1.2099521946925051</v>
      </c>
      <c r="AB171" s="1002"/>
      <c r="AC171" s="1001"/>
      <c r="AD171" s="1003"/>
      <c r="AE171" s="999"/>
      <c r="AF171" s="1003"/>
      <c r="AG171" s="999"/>
      <c r="AH171" s="1004"/>
      <c r="AI171" s="999"/>
      <c r="AJ171" s="1003"/>
      <c r="AK171" s="1003"/>
      <c r="AL171" s="997" t="s">
        <v>6478</v>
      </c>
      <c r="AM171" s="1003"/>
      <c r="AN171" s="999"/>
      <c r="AO171" s="1003"/>
      <c r="AP171" s="1001"/>
      <c r="AQ171" s="1001"/>
      <c r="AR171" s="1001"/>
      <c r="AS171" s="1001">
        <v>2.344758340351111</v>
      </c>
      <c r="AT171" s="1001">
        <v>7.0660049726604504</v>
      </c>
      <c r="AU171" s="1005">
        <v>9.4107633130115573</v>
      </c>
      <c r="AV171" s="999"/>
      <c r="AW171" s="1006">
        <v>1</v>
      </c>
      <c r="AX171" s="1006">
        <v>0</v>
      </c>
      <c r="AY171" s="1007">
        <f>AW171*AU171</f>
        <v>9.4107633130115573</v>
      </c>
      <c r="AZ171" s="1007">
        <f>AX171*AU171</f>
        <v>0</v>
      </c>
      <c r="BA171" s="1008" t="s">
        <v>199</v>
      </c>
      <c r="BB171" s="1005">
        <f t="shared" ref="BB171:BI171" si="228">SUM(BB36:BB169)</f>
        <v>1702.9477321160211</v>
      </c>
      <c r="BC171" s="1005">
        <f t="shared" si="228"/>
        <v>266.47280997925083</v>
      </c>
      <c r="BD171" s="1005">
        <f t="shared" si="228"/>
        <v>453.58530592169581</v>
      </c>
      <c r="BE171" s="1005">
        <f t="shared" si="228"/>
        <v>3543.7980244499881</v>
      </c>
      <c r="BF171" s="1005">
        <f t="shared" si="228"/>
        <v>854.89467025005126</v>
      </c>
      <c r="BG171" s="1005">
        <f t="shared" si="228"/>
        <v>2688.903354199937</v>
      </c>
      <c r="BH171" s="1005">
        <f t="shared" si="228"/>
        <v>2609.5429402940831</v>
      </c>
      <c r="BI171" s="1005">
        <f t="shared" si="228"/>
        <v>57.583248270466356</v>
      </c>
    </row>
    <row r="172" spans="2:61" s="896" customFormat="1" ht="17.25" customHeight="1">
      <c r="B172" s="903"/>
      <c r="C172" s="903"/>
      <c r="D172" s="867"/>
      <c r="E172" s="867"/>
      <c r="F172" s="867"/>
      <c r="G172" s="867"/>
      <c r="H172" s="867"/>
      <c r="I172" s="867"/>
      <c r="J172" s="867"/>
      <c r="K172" s="867"/>
      <c r="L172" s="867"/>
      <c r="M172" s="867"/>
      <c r="N172" s="867"/>
      <c r="O172" s="867"/>
      <c r="P172" s="867"/>
      <c r="Q172" s="867"/>
      <c r="R172" s="867"/>
      <c r="S172" s="867"/>
      <c r="T172" s="867"/>
      <c r="U172" s="867"/>
      <c r="V172" s="903"/>
      <c r="W172" s="997" t="s">
        <v>6479</v>
      </c>
      <c r="X172" s="998"/>
      <c r="Y172" s="999"/>
      <c r="Z172" s="1000"/>
      <c r="AA172" s="1001">
        <f>1.67*1920-89.5</f>
        <v>3116.8999999999996</v>
      </c>
      <c r="AB172" s="1002"/>
      <c r="AC172" s="1001"/>
      <c r="AD172" s="1003"/>
      <c r="AE172" s="999"/>
      <c r="AF172" s="1003"/>
      <c r="AG172" s="999"/>
      <c r="AH172" s="1004"/>
      <c r="AI172" s="999"/>
      <c r="AJ172" s="1003"/>
      <c r="AK172" s="1003"/>
      <c r="AL172" s="997" t="s">
        <v>6479</v>
      </c>
      <c r="AM172" s="1003"/>
      <c r="AN172" s="999"/>
      <c r="AO172" s="1003"/>
      <c r="AP172" s="1001"/>
      <c r="AQ172" s="1001"/>
      <c r="AR172" s="1001"/>
      <c r="AS172" s="1001">
        <f>SUM(AS170:AS171)</f>
        <v>813.58784069649187</v>
      </c>
      <c r="AT172" s="1001">
        <f>SUM(AT170:AT171)</f>
        <v>2559.6621087269364</v>
      </c>
      <c r="AU172" s="1005">
        <f>1.67*1920-89.5</f>
        <v>3116.8999999999996</v>
      </c>
      <c r="AV172" s="999"/>
      <c r="AW172" s="1009">
        <f>AY172/AU172</f>
        <v>0.79541373245833136</v>
      </c>
      <c r="AX172" s="1009">
        <f>AZ172/AU172</f>
        <v>1.7749078367770718E-2</v>
      </c>
      <c r="AY172" s="1010">
        <f>SUM(AY170:AY171)</f>
        <v>2479.2250626993728</v>
      </c>
      <c r="AZ172" s="1010">
        <f>SUM(AZ170:AZ171)</f>
        <v>55.322102364504545</v>
      </c>
      <c r="BA172" s="999"/>
      <c r="BB172" s="999"/>
      <c r="BC172" s="999"/>
      <c r="BD172" s="999"/>
      <c r="BE172" s="999"/>
      <c r="BF172" s="1009">
        <f>BF171/BE171</f>
        <v>0.24123684937793102</v>
      </c>
      <c r="BG172" s="1009">
        <f>BG171/BE171</f>
        <v>0.758763150622069</v>
      </c>
      <c r="BH172" s="1009">
        <f>BH171/BE171</f>
        <v>0.73636898104515836</v>
      </c>
      <c r="BI172" s="1009">
        <f>BI171/BE171</f>
        <v>1.6249020929854915E-2</v>
      </c>
    </row>
    <row r="173" spans="2:61" s="896" customFormat="1" ht="17.25" customHeight="1">
      <c r="B173" s="903"/>
      <c r="C173" s="903"/>
      <c r="D173" s="867"/>
      <c r="E173" s="867"/>
      <c r="F173" s="867"/>
      <c r="G173" s="867"/>
      <c r="H173" s="867"/>
      <c r="I173" s="867"/>
      <c r="J173" s="867"/>
      <c r="K173" s="867"/>
      <c r="L173" s="867"/>
      <c r="M173" s="867"/>
      <c r="N173" s="867"/>
      <c r="O173" s="867"/>
      <c r="P173" s="867"/>
      <c r="Q173" s="867"/>
      <c r="R173" s="867"/>
      <c r="S173" s="867"/>
      <c r="T173" s="867"/>
      <c r="U173" s="867"/>
      <c r="V173" s="903"/>
      <c r="W173" s="997" t="s">
        <v>6480</v>
      </c>
      <c r="X173" s="998"/>
      <c r="Y173" s="999"/>
      <c r="Z173" s="1000"/>
      <c r="AA173" s="1001"/>
      <c r="AB173" s="1002"/>
      <c r="AC173" s="1001"/>
      <c r="AD173" s="1003"/>
      <c r="AE173" s="999"/>
      <c r="AF173" s="1003"/>
      <c r="AG173" s="999"/>
      <c r="AH173" s="1004"/>
      <c r="AI173" s="999"/>
      <c r="AJ173" s="1003"/>
      <c r="AK173" s="1003"/>
      <c r="AL173" s="997" t="s">
        <v>6480</v>
      </c>
      <c r="AM173" s="1003"/>
      <c r="AN173" s="999"/>
      <c r="AO173" s="1003"/>
      <c r="AP173" s="1001"/>
      <c r="AQ173" s="1001"/>
      <c r="AR173" s="1001"/>
      <c r="AS173" s="1001">
        <f>SUM(AS171,AS36:AS157)</f>
        <v>719.83598088551082</v>
      </c>
      <c r="AT173" s="1001">
        <f>SUM(AT171,AT36:AT157)</f>
        <v>2181.6675319797837</v>
      </c>
      <c r="AU173" s="1005">
        <f>SUM(AU36:AU157)</f>
        <v>2892.0927495522842</v>
      </c>
      <c r="AV173" s="999"/>
      <c r="AW173" s="1009">
        <f>AY173/AU173</f>
        <v>0.84738299336824896</v>
      </c>
      <c r="AX173" s="1009">
        <f>AZ173/AU173</f>
        <v>1.7156825995693334E-2</v>
      </c>
      <c r="AY173" s="1010">
        <f>AY172-SUM(AY160:AY169)</f>
        <v>2450.7102112142243</v>
      </c>
      <c r="AZ173" s="1010">
        <f>AZ172-SUM(AZ160:AZ169)</f>
        <v>49.619132067474844</v>
      </c>
      <c r="BA173" s="999"/>
      <c r="BB173" s="999"/>
      <c r="BC173" s="999"/>
      <c r="BD173" s="1011" t="s">
        <v>4745</v>
      </c>
      <c r="BE173" s="1012">
        <f>C7</f>
        <v>3543.7980244499881</v>
      </c>
      <c r="BF173" s="999"/>
      <c r="BG173" s="999"/>
      <c r="BH173" s="999"/>
      <c r="BI173" s="999"/>
    </row>
    <row r="174" spans="2:61" s="896" customFormat="1" ht="17.25" customHeight="1">
      <c r="B174" s="903"/>
      <c r="C174" s="903"/>
      <c r="D174" s="867"/>
      <c r="E174" s="867"/>
      <c r="F174" s="867"/>
      <c r="G174" s="867"/>
      <c r="H174" s="867"/>
      <c r="I174" s="867"/>
      <c r="J174" s="867"/>
      <c r="K174" s="867"/>
      <c r="L174" s="867"/>
      <c r="M174" s="867"/>
      <c r="N174" s="867"/>
      <c r="O174" s="867"/>
      <c r="P174" s="867"/>
      <c r="Q174" s="867"/>
      <c r="R174" s="867"/>
      <c r="S174" s="867"/>
      <c r="T174" s="867"/>
      <c r="U174" s="867"/>
      <c r="V174" s="903"/>
      <c r="W174" s="999"/>
      <c r="X174" s="998"/>
      <c r="Y174" s="999"/>
      <c r="Z174" s="1000"/>
      <c r="AA174" s="1001"/>
      <c r="AB174" s="1002"/>
      <c r="AC174" s="1001"/>
      <c r="AD174" s="1003"/>
      <c r="AE174" s="999"/>
      <c r="AF174" s="1003"/>
      <c r="AG174" s="999"/>
      <c r="AH174" s="1004"/>
      <c r="AI174" s="999"/>
      <c r="AJ174" s="1003"/>
      <c r="AK174" s="1003"/>
      <c r="AL174" s="999"/>
      <c r="AM174" s="1003"/>
      <c r="AN174" s="999"/>
      <c r="AO174" s="1003"/>
      <c r="AP174" s="1001"/>
      <c r="AQ174" s="1001"/>
      <c r="AR174" s="1001"/>
      <c r="AS174" s="1009">
        <f>AS173/AU173</f>
        <v>0.24889795840639839</v>
      </c>
      <c r="AT174" s="1009">
        <f>AT173/AU173</f>
        <v>0.75435600477111975</v>
      </c>
      <c r="AU174" s="1005"/>
      <c r="AV174" s="999"/>
      <c r="AW174" s="1006"/>
      <c r="AX174" s="1006"/>
      <c r="AY174" s="1010"/>
      <c r="AZ174" s="1010"/>
      <c r="BA174" s="999"/>
      <c r="BB174" s="999"/>
      <c r="BC174" s="999"/>
      <c r="BD174" s="999"/>
      <c r="BE174" s="999"/>
      <c r="BF174" s="999"/>
      <c r="BG174" s="999"/>
      <c r="BH174" s="999"/>
      <c r="BI174" s="999"/>
    </row>
    <row r="175" spans="2:61" s="896" customFormat="1" ht="17.25" customHeight="1">
      <c r="B175" s="903"/>
      <c r="C175" s="903"/>
      <c r="D175" s="867"/>
      <c r="E175" s="867"/>
      <c r="F175" s="867"/>
      <c r="G175" s="867"/>
      <c r="H175" s="867"/>
      <c r="I175" s="867"/>
      <c r="J175" s="867"/>
      <c r="K175" s="867"/>
      <c r="L175" s="867"/>
      <c r="M175" s="867"/>
      <c r="N175" s="867"/>
      <c r="O175" s="867"/>
      <c r="P175" s="867"/>
      <c r="Q175" s="867"/>
      <c r="R175" s="867"/>
      <c r="S175" s="867"/>
      <c r="T175" s="867"/>
      <c r="U175" s="867"/>
      <c r="V175" s="903"/>
      <c r="W175" s="999"/>
      <c r="X175" s="998"/>
      <c r="Y175" s="999"/>
      <c r="Z175" s="1000"/>
      <c r="AA175" s="1001"/>
      <c r="AB175" s="1002"/>
      <c r="AC175" s="1001"/>
      <c r="AD175" s="1003"/>
      <c r="AE175" s="999"/>
      <c r="AF175" s="1003"/>
      <c r="AG175" s="999"/>
      <c r="AH175" s="1004"/>
      <c r="AI175" s="999"/>
      <c r="AJ175" s="1003"/>
      <c r="AK175" s="1003"/>
      <c r="AL175" s="999"/>
      <c r="AM175" s="1003"/>
      <c r="AN175" s="999"/>
      <c r="AO175" s="1003"/>
      <c r="AP175" s="1001"/>
      <c r="AQ175" s="1001"/>
      <c r="AR175" s="1001"/>
      <c r="AS175" s="1001"/>
      <c r="AT175" s="1001"/>
      <c r="AU175" s="1005"/>
      <c r="AV175" s="999"/>
      <c r="AW175" s="1010"/>
      <c r="AX175" s="1010"/>
      <c r="AY175" s="1010"/>
      <c r="AZ175" s="1010"/>
      <c r="BA175" s="999" t="s">
        <v>4730</v>
      </c>
      <c r="BB175" s="1001">
        <f>SUM(BB36:BB164)</f>
        <v>1595.176648485919</v>
      </c>
      <c r="BC175" s="1001">
        <f t="shared" ref="BC175:BI175" si="229">SUM(BC36:BC164)</f>
        <v>248.51096270756716</v>
      </c>
      <c r="BD175" s="1001">
        <f t="shared" si="229"/>
        <v>425.51991955968998</v>
      </c>
      <c r="BE175" s="1001">
        <f t="shared" si="229"/>
        <v>3317.7032719176696</v>
      </c>
      <c r="BF175" s="1001">
        <f t="shared" si="229"/>
        <v>854.89467025005126</v>
      </c>
      <c r="BG175" s="1001">
        <f t="shared" si="229"/>
        <v>2462.8086016676184</v>
      </c>
      <c r="BH175" s="1001">
        <f t="shared" si="229"/>
        <v>2579.632049204974</v>
      </c>
      <c r="BI175" s="1001">
        <f t="shared" si="229"/>
        <v>51.601070052644573</v>
      </c>
    </row>
    <row r="176" spans="2:61" s="896" customFormat="1">
      <c r="B176" s="903"/>
      <c r="C176" s="903"/>
      <c r="D176" s="867"/>
      <c r="E176" s="867"/>
      <c r="F176" s="867"/>
      <c r="G176" s="867"/>
      <c r="H176" s="867"/>
      <c r="I176" s="867"/>
      <c r="J176" s="867"/>
      <c r="K176" s="867"/>
      <c r="L176" s="867"/>
      <c r="M176" s="867"/>
      <c r="N176" s="867"/>
      <c r="O176" s="867"/>
      <c r="P176" s="867"/>
      <c r="Q176" s="867"/>
      <c r="R176" s="867"/>
      <c r="S176" s="867"/>
      <c r="T176" s="867"/>
      <c r="U176" s="867"/>
      <c r="V176" s="903"/>
      <c r="W176" s="999"/>
      <c r="X176" s="999"/>
      <c r="Y176" s="999"/>
      <c r="Z176" s="1000"/>
      <c r="AA176" s="999"/>
      <c r="AB176" s="1002"/>
      <c r="AC176" s="1001"/>
      <c r="AD176" s="1003"/>
      <c r="AE176" s="999"/>
      <c r="AF176" s="1003"/>
      <c r="AG176" s="999"/>
      <c r="AH176" s="1004"/>
      <c r="AI176" s="999"/>
      <c r="AJ176" s="1003"/>
      <c r="AK176" s="1003"/>
      <c r="AL176" s="999"/>
      <c r="AM176" s="1003"/>
      <c r="AN176" s="999"/>
      <c r="AO176" s="1003"/>
      <c r="AP176" s="1012"/>
      <c r="AQ176" s="1001"/>
      <c r="AR176" s="1001"/>
      <c r="AS176" s="1013" t="s">
        <v>995</v>
      </c>
      <c r="AT176" s="999"/>
      <c r="AU176" s="1014">
        <f>SUM(AU165:AU169)*3412/100000</f>
        <v>7.3542987469181709</v>
      </c>
      <c r="AV176" s="999"/>
      <c r="AW176" s="1009">
        <f>AY176/AU176</f>
        <v>0.13229361032973724</v>
      </c>
      <c r="AX176" s="1009">
        <f>AZ176/AU176</f>
        <v>2.6458722065947449E-2</v>
      </c>
      <c r="AY176" s="1015">
        <f>SUM(AY165:AY169)*3412/100000</f>
        <v>0.97292673267326735</v>
      </c>
      <c r="AZ176" s="1015">
        <f>SUM(AZ165:AZ169)*3412/100000</f>
        <v>0.19458534653465348</v>
      </c>
      <c r="BA176" s="999" t="s">
        <v>4729</v>
      </c>
      <c r="BB176" s="1001">
        <f>SUM(BB165:BB169)*3412/100000</f>
        <v>3.6771493734590854</v>
      </c>
      <c r="BC176" s="1001">
        <f t="shared" ref="BC176:BI176" si="230">SUM(BC165:BC169)*3412/100000</f>
        <v>0.61285822890984754</v>
      </c>
      <c r="BD176" s="1001">
        <f t="shared" si="230"/>
        <v>0.95759098267163689</v>
      </c>
      <c r="BE176" s="1001">
        <f t="shared" si="230"/>
        <v>7.7143529564027054</v>
      </c>
      <c r="BF176" s="1001">
        <f t="shared" si="230"/>
        <v>0</v>
      </c>
      <c r="BG176" s="1001">
        <f t="shared" si="230"/>
        <v>7.7143529564027054</v>
      </c>
      <c r="BH176" s="1001">
        <f t="shared" si="230"/>
        <v>1.0205596039603959</v>
      </c>
      <c r="BI176" s="1001">
        <f t="shared" si="230"/>
        <v>0.20411192079207921</v>
      </c>
    </row>
    <row r="177" spans="2:61" s="1025" customFormat="1">
      <c r="B177" s="824"/>
      <c r="C177" s="824"/>
      <c r="D177" s="823"/>
      <c r="E177" s="823"/>
      <c r="F177" s="823"/>
      <c r="G177" s="823"/>
      <c r="H177" s="823"/>
      <c r="I177" s="823"/>
      <c r="J177" s="823"/>
      <c r="K177" s="823"/>
      <c r="L177" s="823"/>
      <c r="M177" s="823"/>
      <c r="N177" s="823"/>
      <c r="O177" s="823"/>
      <c r="P177" s="823"/>
      <c r="Q177" s="823"/>
      <c r="R177" s="823"/>
      <c r="S177" s="823"/>
      <c r="T177" s="823"/>
      <c r="U177" s="823"/>
      <c r="V177" s="824"/>
      <c r="W177" s="1016" t="s">
        <v>996</v>
      </c>
      <c r="X177" s="1013" t="s">
        <v>222</v>
      </c>
      <c r="Y177" s="1013"/>
      <c r="Z177" s="1017"/>
      <c r="AA177" s="1013"/>
      <c r="AB177" s="1018"/>
      <c r="AC177" s="1019"/>
      <c r="AD177" s="1020"/>
      <c r="AE177" s="1013"/>
      <c r="AF177" s="1020"/>
      <c r="AG177" s="1013"/>
      <c r="AH177" s="1021"/>
      <c r="AI177" s="1013"/>
      <c r="AJ177" s="1020"/>
      <c r="AK177" s="1020"/>
      <c r="AL177" s="1013"/>
      <c r="AM177" s="1020"/>
      <c r="AN177" s="1013"/>
      <c r="AO177" s="1020"/>
      <c r="AP177" s="1022"/>
      <c r="AQ177" s="1019"/>
      <c r="AR177" s="1019"/>
      <c r="AS177" s="1013" t="s">
        <v>223</v>
      </c>
      <c r="AT177" s="1013"/>
      <c r="AU177" s="1023">
        <f>SUM(AU160:AU164)+AU171</f>
        <v>265.61503261094134</v>
      </c>
      <c r="AV177" s="1013"/>
      <c r="AW177" s="1009">
        <f>AY177/AU177</f>
        <v>0</v>
      </c>
      <c r="AX177" s="1009">
        <f>AZ177/AU177</f>
        <v>0</v>
      </c>
      <c r="AY177" s="1024">
        <f>SUM(AY160:AY164)</f>
        <v>0</v>
      </c>
      <c r="AZ177" s="1024">
        <f>SUM(AZ160:AZ164)</f>
        <v>0</v>
      </c>
      <c r="BA177" s="1013"/>
      <c r="BB177" s="1013"/>
      <c r="BC177" s="1013"/>
      <c r="BD177" s="1013"/>
      <c r="BE177" s="1013"/>
      <c r="BF177" s="1013"/>
      <c r="BG177" s="1013"/>
      <c r="BH177" s="1013"/>
      <c r="BI177" s="1013"/>
    </row>
    <row r="178" spans="2:61" s="1025" customFormat="1">
      <c r="B178" s="824"/>
      <c r="C178" s="824"/>
      <c r="D178" s="823"/>
      <c r="E178" s="823"/>
      <c r="F178" s="823"/>
      <c r="G178" s="823"/>
      <c r="H178" s="823"/>
      <c r="I178" s="823"/>
      <c r="J178" s="823"/>
      <c r="K178" s="823"/>
      <c r="L178" s="823"/>
      <c r="M178" s="823"/>
      <c r="N178" s="823"/>
      <c r="O178" s="823"/>
      <c r="P178" s="823"/>
      <c r="Q178" s="823"/>
      <c r="R178" s="823"/>
      <c r="S178" s="823"/>
      <c r="T178" s="823"/>
      <c r="U178" s="823"/>
      <c r="V178" s="824"/>
      <c r="W178" s="1016" t="s">
        <v>224</v>
      </c>
      <c r="X178" s="1013" t="s">
        <v>359</v>
      </c>
      <c r="Y178" s="1013"/>
      <c r="Z178" s="1017"/>
      <c r="AA178" s="1013"/>
      <c r="AB178" s="1018"/>
      <c r="AC178" s="1019"/>
      <c r="AD178" s="1020"/>
      <c r="AE178" s="1013"/>
      <c r="AF178" s="1020"/>
      <c r="AG178" s="1013"/>
      <c r="AH178" s="1021"/>
      <c r="AI178" s="1013"/>
      <c r="AJ178" s="1020"/>
      <c r="AK178" s="1020"/>
      <c r="AL178" s="1013"/>
      <c r="AM178" s="1020"/>
      <c r="AN178" s="1013"/>
      <c r="AO178" s="1020"/>
      <c r="AP178" s="1022"/>
      <c r="AQ178" s="1019"/>
      <c r="AR178" s="1019"/>
      <c r="AS178" s="1013" t="s">
        <v>360</v>
      </c>
      <c r="AT178" s="1013"/>
      <c r="AU178" s="1026">
        <f>AU176*100000/3412+AU177+AU171</f>
        <v>490.56796318415718</v>
      </c>
      <c r="AV178" s="1013"/>
      <c r="AW178" s="1009">
        <f>AY178/AU178</f>
        <v>5.8126199884855012E-2</v>
      </c>
      <c r="AX178" s="1009">
        <f>AZ178/AU178</f>
        <v>1.1625239976971003E-2</v>
      </c>
      <c r="AY178" s="1026">
        <f>AY176*100000/3412+AY177</f>
        <v>28.514851485148515</v>
      </c>
      <c r="AZ178" s="1026">
        <f>AZ176*100000/3412+AZ177</f>
        <v>5.7029702970297036</v>
      </c>
      <c r="BA178" s="1013"/>
      <c r="BB178" s="1013"/>
      <c r="BC178" s="1013"/>
      <c r="BD178" s="1013"/>
      <c r="BE178" s="1013"/>
      <c r="BF178" s="1013"/>
      <c r="BG178" s="1013"/>
      <c r="BH178" s="1013"/>
      <c r="BI178" s="1013"/>
    </row>
    <row r="179" spans="2:61" s="1025" customFormat="1">
      <c r="B179" s="824"/>
      <c r="C179" s="824"/>
      <c r="D179" s="823"/>
      <c r="E179" s="823"/>
      <c r="F179" s="823"/>
      <c r="G179" s="823"/>
      <c r="H179" s="823"/>
      <c r="I179" s="823"/>
      <c r="J179" s="823"/>
      <c r="K179" s="823"/>
      <c r="L179" s="823"/>
      <c r="M179" s="823"/>
      <c r="N179" s="823"/>
      <c r="O179" s="823"/>
      <c r="P179" s="823"/>
      <c r="Q179" s="823"/>
      <c r="R179" s="823"/>
      <c r="S179" s="823"/>
      <c r="T179" s="823"/>
      <c r="U179" s="823"/>
      <c r="V179" s="824"/>
      <c r="W179" s="1016" t="s">
        <v>361</v>
      </c>
      <c r="X179" s="1013" t="s">
        <v>624</v>
      </c>
      <c r="Y179" s="1013"/>
      <c r="Z179" s="1017"/>
      <c r="AA179" s="1013"/>
      <c r="AB179" s="1018"/>
      <c r="AC179" s="1019"/>
      <c r="AD179" s="1020"/>
      <c r="AE179" s="1013"/>
      <c r="AF179" s="1020"/>
      <c r="AG179" s="1013"/>
      <c r="AH179" s="1021"/>
      <c r="AI179" s="1013"/>
      <c r="AJ179" s="1020"/>
      <c r="AK179" s="1020"/>
      <c r="AL179" s="1013"/>
      <c r="AM179" s="1020"/>
      <c r="AN179" s="1013"/>
      <c r="AO179" s="1020"/>
      <c r="AP179" s="1022"/>
      <c r="AQ179" s="1019"/>
      <c r="AR179" s="1019"/>
      <c r="AS179" s="1013"/>
      <c r="AT179" s="1013"/>
      <c r="AU179" s="1026"/>
      <c r="AV179" s="1013"/>
      <c r="AW179" s="1027"/>
      <c r="AX179" s="1027"/>
      <c r="AY179" s="1027"/>
      <c r="AZ179" s="1027"/>
      <c r="BA179" s="1013"/>
      <c r="BB179" s="1013"/>
      <c r="BC179" s="1013"/>
      <c r="BD179" s="1013"/>
      <c r="BE179" s="1013"/>
      <c r="BF179" s="1013"/>
      <c r="BG179" s="1013"/>
      <c r="BH179" s="1013"/>
      <c r="BI179" s="1013"/>
    </row>
    <row r="180" spans="2:61" s="896" customFormat="1">
      <c r="B180" s="903"/>
      <c r="C180" s="903"/>
      <c r="D180" s="867"/>
      <c r="E180" s="867"/>
      <c r="F180" s="867"/>
      <c r="G180" s="867"/>
      <c r="H180" s="867"/>
      <c r="I180" s="867"/>
      <c r="J180" s="867"/>
      <c r="K180" s="867"/>
      <c r="L180" s="867"/>
      <c r="M180" s="867"/>
      <c r="N180" s="867"/>
      <c r="O180" s="867"/>
      <c r="P180" s="867"/>
      <c r="Q180" s="867"/>
      <c r="R180" s="867"/>
      <c r="S180" s="867"/>
      <c r="T180" s="867"/>
      <c r="U180" s="867"/>
      <c r="V180" s="903"/>
      <c r="Z180" s="1028"/>
      <c r="AB180" s="1029"/>
      <c r="AC180" s="1030"/>
      <c r="AD180" s="1031"/>
      <c r="AF180" s="1031"/>
      <c r="AH180" s="1032"/>
      <c r="AJ180" s="1031"/>
      <c r="AK180" s="1031"/>
      <c r="AM180" s="1031"/>
      <c r="AO180" s="1031"/>
      <c r="AP180" s="1033"/>
      <c r="AQ180" s="1030"/>
      <c r="AR180" s="1030"/>
      <c r="AU180" s="1034"/>
      <c r="AW180" s="1035"/>
      <c r="AX180" s="1035"/>
      <c r="AY180" s="1035"/>
      <c r="AZ180" s="1035"/>
    </row>
    <row r="181" spans="2:61" s="896" customFormat="1">
      <c r="C181" s="1036"/>
      <c r="D181" s="1037"/>
      <c r="E181" s="1037"/>
      <c r="F181" s="1037"/>
      <c r="G181" s="1037"/>
      <c r="H181" s="1037"/>
      <c r="I181" s="1037"/>
      <c r="J181" s="1037"/>
      <c r="K181" s="1037"/>
      <c r="L181" s="1037"/>
      <c r="M181" s="1037"/>
      <c r="N181" s="1037"/>
      <c r="O181" s="1037"/>
      <c r="P181" s="1037"/>
      <c r="Q181" s="1037"/>
      <c r="R181" s="1037"/>
      <c r="S181" s="1037"/>
      <c r="T181" s="1037"/>
      <c r="U181" s="1038" t="s">
        <v>625</v>
      </c>
      <c r="V181" s="1036"/>
      <c r="W181" s="896">
        <v>0</v>
      </c>
      <c r="X181" s="1025" t="s">
        <v>626</v>
      </c>
      <c r="Z181" s="1028"/>
      <c r="AB181" s="1029"/>
      <c r="AC181" s="1030"/>
      <c r="AD181" s="1031"/>
      <c r="AF181" s="1031"/>
      <c r="AH181" s="1032"/>
      <c r="AJ181" s="1031"/>
      <c r="AK181" s="1031"/>
      <c r="AM181" s="1031"/>
      <c r="AO181" s="1031"/>
      <c r="AP181" s="1033"/>
      <c r="AQ181" s="1030"/>
      <c r="AR181" s="1030"/>
      <c r="AU181" s="1034"/>
      <c r="AW181" s="1035"/>
      <c r="AX181" s="1035"/>
      <c r="AY181" s="1035"/>
      <c r="AZ181" s="1035"/>
    </row>
    <row r="182" spans="2:61" s="896" customFormat="1">
      <c r="B182" s="903"/>
      <c r="C182" s="903"/>
      <c r="D182" s="867"/>
      <c r="E182" s="867"/>
      <c r="F182" s="867"/>
      <c r="G182" s="867"/>
      <c r="H182" s="867"/>
      <c r="I182" s="867"/>
      <c r="J182" s="867"/>
      <c r="K182" s="867"/>
      <c r="L182" s="867"/>
      <c r="M182" s="867"/>
      <c r="N182" s="867"/>
      <c r="O182" s="867"/>
      <c r="P182" s="867"/>
      <c r="Q182" s="867"/>
      <c r="R182" s="867"/>
      <c r="S182" s="867"/>
      <c r="T182" s="867"/>
      <c r="U182" s="867"/>
      <c r="V182" s="903"/>
      <c r="W182" s="896">
        <v>1</v>
      </c>
      <c r="X182" s="1025" t="s">
        <v>627</v>
      </c>
      <c r="Z182" s="1028"/>
      <c r="AB182" s="1029"/>
      <c r="AC182" s="1030"/>
      <c r="AD182" s="1031"/>
      <c r="AF182" s="1031"/>
      <c r="AH182" s="1032"/>
      <c r="AJ182" s="1031"/>
      <c r="AK182" s="1031"/>
      <c r="AM182" s="1031"/>
      <c r="AO182" s="1031"/>
      <c r="AP182" s="1033"/>
      <c r="AQ182" s="1030"/>
      <c r="AR182" s="1030"/>
      <c r="AU182" s="1034"/>
      <c r="AW182" s="1035"/>
      <c r="AX182" s="1035"/>
      <c r="AY182" s="1035"/>
      <c r="AZ182" s="1035"/>
    </row>
    <row r="183" spans="2:61" s="896" customFormat="1">
      <c r="B183" s="903"/>
      <c r="C183" s="903"/>
      <c r="D183" s="867"/>
      <c r="E183" s="867"/>
      <c r="F183" s="867"/>
      <c r="G183" s="867"/>
      <c r="H183" s="867"/>
      <c r="I183" s="867"/>
      <c r="J183" s="867"/>
      <c r="K183" s="867"/>
      <c r="L183" s="867"/>
      <c r="M183" s="867"/>
      <c r="N183" s="867"/>
      <c r="O183" s="867"/>
      <c r="P183" s="867"/>
      <c r="Q183" s="867"/>
      <c r="R183" s="867"/>
      <c r="S183" s="867"/>
      <c r="T183" s="867"/>
      <c r="U183" s="867"/>
      <c r="V183" s="903"/>
      <c r="W183" s="896">
        <v>2</v>
      </c>
      <c r="X183" s="1025" t="s">
        <v>225</v>
      </c>
      <c r="Z183" s="1028"/>
      <c r="AB183" s="1029"/>
      <c r="AC183" s="1030"/>
      <c r="AD183" s="1031"/>
      <c r="AF183" s="1031"/>
      <c r="AH183" s="1032"/>
      <c r="AJ183" s="1031"/>
      <c r="AK183" s="1031"/>
      <c r="AM183" s="1031"/>
      <c r="AO183" s="1031"/>
      <c r="AP183" s="1033"/>
      <c r="AQ183" s="1030"/>
      <c r="AR183" s="1030"/>
      <c r="AU183" s="1034"/>
      <c r="AW183" s="1035"/>
      <c r="AX183" s="1035"/>
      <c r="AY183" s="1035"/>
      <c r="AZ183" s="1035"/>
    </row>
    <row r="184" spans="2:61" s="896" customFormat="1">
      <c r="B184" s="903"/>
      <c r="C184" s="903"/>
      <c r="D184" s="867"/>
      <c r="E184" s="867"/>
      <c r="F184" s="867"/>
      <c r="G184" s="867"/>
      <c r="H184" s="867"/>
      <c r="I184" s="867"/>
      <c r="J184" s="867"/>
      <c r="K184" s="867"/>
      <c r="L184" s="867"/>
      <c r="M184" s="867"/>
      <c r="N184" s="867"/>
      <c r="O184" s="867"/>
      <c r="P184" s="867"/>
      <c r="Q184" s="867"/>
      <c r="R184" s="867"/>
      <c r="S184" s="867"/>
      <c r="T184" s="867"/>
      <c r="U184" s="867"/>
      <c r="V184" s="903"/>
      <c r="W184" s="896">
        <v>3</v>
      </c>
      <c r="X184" s="1025" t="s">
        <v>226</v>
      </c>
      <c r="Z184" s="1028"/>
      <c r="AB184" s="1029"/>
      <c r="AC184" s="1030"/>
      <c r="AD184" s="1031"/>
      <c r="AF184" s="1031"/>
      <c r="AH184" s="1032"/>
      <c r="AJ184" s="1031"/>
      <c r="AK184" s="1031"/>
      <c r="AM184" s="1031"/>
      <c r="AO184" s="1031"/>
      <c r="AP184" s="1033"/>
      <c r="AQ184" s="1030"/>
      <c r="AR184" s="1030"/>
      <c r="AU184" s="1034"/>
      <c r="AW184" s="1035"/>
      <c r="AX184" s="1035"/>
      <c r="AY184" s="1035"/>
      <c r="AZ184" s="1035"/>
    </row>
    <row r="185" spans="2:61" s="896" customFormat="1">
      <c r="B185" s="903"/>
      <c r="C185" s="903"/>
      <c r="D185" s="867"/>
      <c r="E185" s="867"/>
      <c r="F185" s="867"/>
      <c r="G185" s="867"/>
      <c r="H185" s="867"/>
      <c r="I185" s="867"/>
      <c r="J185" s="867"/>
      <c r="K185" s="867"/>
      <c r="L185" s="867"/>
      <c r="M185" s="867"/>
      <c r="N185" s="867"/>
      <c r="O185" s="867"/>
      <c r="P185" s="867"/>
      <c r="Q185" s="867"/>
      <c r="R185" s="867"/>
      <c r="S185" s="867"/>
      <c r="T185" s="867"/>
      <c r="U185" s="867"/>
      <c r="V185" s="903"/>
      <c r="W185" s="896">
        <v>4</v>
      </c>
      <c r="X185" s="1025" t="s">
        <v>1161</v>
      </c>
      <c r="Z185" s="1028"/>
      <c r="AB185" s="1029"/>
      <c r="AC185" s="1030"/>
      <c r="AD185" s="1031"/>
      <c r="AF185" s="1031"/>
      <c r="AH185" s="1032"/>
      <c r="AJ185" s="1031"/>
      <c r="AK185" s="1031"/>
      <c r="AM185" s="1031"/>
      <c r="AO185" s="1031"/>
      <c r="AP185" s="1033"/>
      <c r="AQ185" s="1030"/>
      <c r="AR185" s="1030"/>
      <c r="AU185" s="1034"/>
      <c r="AW185" s="1035"/>
      <c r="AX185" s="1035"/>
      <c r="AY185" s="1035"/>
      <c r="AZ185" s="1035"/>
    </row>
    <row r="186" spans="2:61" s="896" customFormat="1">
      <c r="B186" s="903"/>
      <c r="C186" s="903"/>
      <c r="D186" s="867"/>
      <c r="E186" s="867"/>
      <c r="F186" s="867"/>
      <c r="G186" s="867"/>
      <c r="H186" s="867"/>
      <c r="I186" s="867"/>
      <c r="J186" s="867"/>
      <c r="K186" s="867"/>
      <c r="L186" s="867"/>
      <c r="M186" s="867"/>
      <c r="N186" s="867"/>
      <c r="O186" s="867"/>
      <c r="P186" s="867"/>
      <c r="Q186" s="867"/>
      <c r="R186" s="867"/>
      <c r="S186" s="867"/>
      <c r="T186" s="867"/>
      <c r="U186" s="867"/>
      <c r="V186" s="903"/>
      <c r="W186" s="896">
        <v>5</v>
      </c>
      <c r="X186" s="1025" t="s">
        <v>1299</v>
      </c>
      <c r="Z186" s="1028"/>
      <c r="AB186" s="1029"/>
      <c r="AC186" s="1030"/>
      <c r="AD186" s="1031"/>
      <c r="AF186" s="1031"/>
      <c r="AH186" s="1032"/>
      <c r="AJ186" s="1031"/>
      <c r="AK186" s="1031"/>
      <c r="AM186" s="1031"/>
      <c r="AO186" s="1031"/>
      <c r="AP186" s="1033"/>
      <c r="AQ186" s="1030"/>
      <c r="AR186" s="1030"/>
      <c r="AU186" s="1034"/>
      <c r="AW186" s="1035"/>
      <c r="AX186" s="1035"/>
      <c r="AY186" s="1035"/>
      <c r="AZ186" s="1035"/>
    </row>
    <row r="187" spans="2:61" s="896" customFormat="1">
      <c r="B187" s="903"/>
      <c r="C187" s="903"/>
      <c r="D187" s="867"/>
      <c r="E187" s="867"/>
      <c r="F187" s="867"/>
      <c r="G187" s="867"/>
      <c r="H187" s="867"/>
      <c r="I187" s="867"/>
      <c r="J187" s="867"/>
      <c r="K187" s="867"/>
      <c r="L187" s="867"/>
      <c r="M187" s="867"/>
      <c r="N187" s="867"/>
      <c r="O187" s="867"/>
      <c r="P187" s="867"/>
      <c r="Q187" s="867"/>
      <c r="R187" s="867"/>
      <c r="S187" s="867"/>
      <c r="T187" s="867"/>
      <c r="U187" s="867"/>
      <c r="V187" s="903"/>
      <c r="W187" s="896">
        <v>6</v>
      </c>
      <c r="X187" s="1025" t="s">
        <v>1073</v>
      </c>
      <c r="Z187" s="1028"/>
      <c r="AB187" s="1029"/>
      <c r="AC187" s="1030"/>
      <c r="AD187" s="1031"/>
      <c r="AF187" s="1031"/>
      <c r="AH187" s="1032"/>
      <c r="AJ187" s="1031"/>
      <c r="AK187" s="1031"/>
      <c r="AM187" s="1031"/>
      <c r="AO187" s="1031"/>
      <c r="AP187" s="1033"/>
      <c r="AQ187" s="1030"/>
      <c r="AR187" s="1030"/>
      <c r="AU187" s="1034"/>
      <c r="AW187" s="1035"/>
      <c r="AX187" s="1035"/>
      <c r="AY187" s="1035"/>
      <c r="AZ187" s="1035"/>
    </row>
    <row r="188" spans="2:61" s="896" customFormat="1">
      <c r="B188" s="903"/>
      <c r="C188" s="903"/>
      <c r="D188" s="867"/>
      <c r="E188" s="867"/>
      <c r="F188" s="867"/>
      <c r="G188" s="867"/>
      <c r="H188" s="867"/>
      <c r="I188" s="867"/>
      <c r="J188" s="867"/>
      <c r="K188" s="867"/>
      <c r="L188" s="867"/>
      <c r="M188" s="867"/>
      <c r="N188" s="867"/>
      <c r="O188" s="867"/>
      <c r="P188" s="867"/>
      <c r="Q188" s="867"/>
      <c r="R188" s="867"/>
      <c r="S188" s="867"/>
      <c r="T188" s="867"/>
      <c r="U188" s="867"/>
      <c r="V188" s="903"/>
      <c r="W188" s="896">
        <v>7</v>
      </c>
      <c r="X188" s="1025" t="s">
        <v>1211</v>
      </c>
      <c r="Z188" s="1028"/>
      <c r="AB188" s="1029"/>
      <c r="AC188" s="1030"/>
      <c r="AD188" s="1031"/>
      <c r="AF188" s="1031"/>
      <c r="AH188" s="1032"/>
      <c r="AJ188" s="1031"/>
      <c r="AK188" s="1031"/>
      <c r="AM188" s="1031"/>
      <c r="AO188" s="1031"/>
      <c r="AP188" s="1033"/>
      <c r="AQ188" s="1030"/>
      <c r="AR188" s="1030"/>
      <c r="AU188" s="1034"/>
      <c r="AW188" s="1035"/>
      <c r="AX188" s="1035"/>
      <c r="AY188" s="1035"/>
      <c r="AZ188" s="1035"/>
    </row>
    <row r="189" spans="2:61" s="896" customFormat="1">
      <c r="B189" s="903"/>
      <c r="C189" s="903"/>
      <c r="D189" s="867"/>
      <c r="E189" s="867"/>
      <c r="F189" s="867"/>
      <c r="G189" s="867"/>
      <c r="H189" s="867"/>
      <c r="I189" s="867"/>
      <c r="J189" s="867"/>
      <c r="K189" s="867"/>
      <c r="L189" s="867"/>
      <c r="M189" s="867"/>
      <c r="N189" s="867"/>
      <c r="O189" s="867"/>
      <c r="P189" s="867"/>
      <c r="Q189" s="867"/>
      <c r="R189" s="867"/>
      <c r="S189" s="867"/>
      <c r="T189" s="867"/>
      <c r="U189" s="867"/>
      <c r="V189" s="903"/>
      <c r="W189" s="896">
        <v>8</v>
      </c>
      <c r="X189" s="1025" t="s">
        <v>1212</v>
      </c>
      <c r="Z189" s="1028"/>
      <c r="AB189" s="1029"/>
      <c r="AC189" s="1030"/>
      <c r="AD189" s="1031"/>
      <c r="AF189" s="1031"/>
      <c r="AH189" s="1032"/>
      <c r="AJ189" s="1031"/>
      <c r="AK189" s="1031"/>
      <c r="AM189" s="1031"/>
      <c r="AO189" s="1031"/>
      <c r="AP189" s="1033"/>
      <c r="AQ189" s="1030"/>
      <c r="AR189" s="1030"/>
      <c r="AU189" s="1034"/>
      <c r="AW189" s="1035"/>
      <c r="AX189" s="1035"/>
      <c r="AY189" s="1035"/>
      <c r="AZ189" s="1035"/>
    </row>
    <row r="190" spans="2:61" s="896" customFormat="1">
      <c r="B190" s="903"/>
      <c r="C190" s="903"/>
      <c r="D190" s="867"/>
      <c r="E190" s="867"/>
      <c r="F190" s="867"/>
      <c r="G190" s="867"/>
      <c r="H190" s="867"/>
      <c r="I190" s="867"/>
      <c r="J190" s="867"/>
      <c r="K190" s="867"/>
      <c r="L190" s="867"/>
      <c r="M190" s="867"/>
      <c r="N190" s="867"/>
      <c r="O190" s="867"/>
      <c r="P190" s="867"/>
      <c r="Q190" s="867"/>
      <c r="R190" s="867"/>
      <c r="S190" s="867"/>
      <c r="T190" s="867"/>
      <c r="U190" s="867"/>
      <c r="V190" s="903"/>
      <c r="W190" s="896">
        <v>9</v>
      </c>
      <c r="X190" s="1025" t="s">
        <v>1213</v>
      </c>
      <c r="Z190" s="1028"/>
      <c r="AB190" s="1029"/>
      <c r="AC190" s="1030"/>
      <c r="AD190" s="1031"/>
      <c r="AF190" s="1031"/>
      <c r="AH190" s="1032"/>
      <c r="AJ190" s="1031"/>
      <c r="AK190" s="1031"/>
      <c r="AM190" s="1031"/>
      <c r="AO190" s="1031"/>
      <c r="AP190" s="1033"/>
      <c r="AQ190" s="1030"/>
      <c r="AR190" s="1030"/>
      <c r="AU190" s="1034"/>
      <c r="AW190" s="1035"/>
      <c r="AX190" s="1035"/>
      <c r="AY190" s="1035"/>
      <c r="AZ190" s="1035"/>
    </row>
    <row r="191" spans="2:61" s="896" customFormat="1">
      <c r="B191" s="903"/>
      <c r="C191" s="903"/>
      <c r="D191" s="867"/>
      <c r="E191" s="867"/>
      <c r="F191" s="867"/>
      <c r="G191" s="867"/>
      <c r="H191" s="867"/>
      <c r="I191" s="867"/>
      <c r="J191" s="867"/>
      <c r="K191" s="867"/>
      <c r="L191" s="867"/>
      <c r="M191" s="867"/>
      <c r="N191" s="867"/>
      <c r="O191" s="867"/>
      <c r="P191" s="867"/>
      <c r="Q191" s="867"/>
      <c r="R191" s="867"/>
      <c r="S191" s="867"/>
      <c r="T191" s="867"/>
      <c r="U191" s="867"/>
      <c r="V191" s="903"/>
      <c r="W191" s="896">
        <v>10</v>
      </c>
      <c r="X191" s="1025" t="s">
        <v>873</v>
      </c>
      <c r="Z191" s="1028"/>
      <c r="AB191" s="1029"/>
      <c r="AC191" s="1030"/>
      <c r="AD191" s="1031"/>
      <c r="AF191" s="1031"/>
      <c r="AH191" s="1032"/>
      <c r="AJ191" s="1031"/>
      <c r="AK191" s="1031"/>
      <c r="AM191" s="1031"/>
      <c r="AO191" s="1031"/>
      <c r="AP191" s="1033"/>
      <c r="AQ191" s="1030"/>
      <c r="AR191" s="1030"/>
      <c r="AU191" s="1034"/>
      <c r="AW191" s="1035"/>
      <c r="AX191" s="1035"/>
      <c r="AY191" s="1035"/>
      <c r="AZ191" s="1035"/>
    </row>
    <row r="192" spans="2:61" s="896" customFormat="1">
      <c r="B192" s="903"/>
      <c r="C192" s="903"/>
      <c r="D192" s="867"/>
      <c r="E192" s="867"/>
      <c r="F192" s="867"/>
      <c r="G192" s="867"/>
      <c r="H192" s="867"/>
      <c r="I192" s="867"/>
      <c r="J192" s="867"/>
      <c r="K192" s="867"/>
      <c r="L192" s="867"/>
      <c r="M192" s="867"/>
      <c r="N192" s="867"/>
      <c r="O192" s="867"/>
      <c r="P192" s="867"/>
      <c r="Q192" s="867"/>
      <c r="R192" s="867"/>
      <c r="S192" s="867"/>
      <c r="T192" s="867"/>
      <c r="U192" s="867"/>
      <c r="V192" s="903"/>
      <c r="W192" s="896">
        <v>11</v>
      </c>
      <c r="X192" s="1025" t="s">
        <v>970</v>
      </c>
      <c r="Z192" s="1028"/>
      <c r="AB192" s="1029"/>
      <c r="AC192" s="1030"/>
      <c r="AD192" s="1031"/>
      <c r="AF192" s="1031"/>
      <c r="AH192" s="1032"/>
      <c r="AJ192" s="1031"/>
      <c r="AK192" s="1031"/>
      <c r="AM192" s="1031"/>
      <c r="AO192" s="1031"/>
      <c r="AP192" s="1033"/>
      <c r="AQ192" s="1030"/>
      <c r="AR192" s="1030"/>
      <c r="AU192" s="1034"/>
      <c r="AW192" s="1035"/>
      <c r="AX192" s="1035"/>
      <c r="AY192" s="1035"/>
      <c r="AZ192" s="1035"/>
    </row>
    <row r="193" spans="2:52" s="896" customFormat="1">
      <c r="B193" s="903"/>
      <c r="C193" s="903"/>
      <c r="D193" s="867"/>
      <c r="E193" s="867"/>
      <c r="F193" s="867"/>
      <c r="G193" s="867"/>
      <c r="H193" s="867"/>
      <c r="I193" s="867"/>
      <c r="J193" s="867"/>
      <c r="K193" s="867"/>
      <c r="L193" s="867"/>
      <c r="M193" s="867"/>
      <c r="N193" s="867"/>
      <c r="O193" s="867"/>
      <c r="P193" s="867"/>
      <c r="Q193" s="867"/>
      <c r="R193" s="867"/>
      <c r="S193" s="867"/>
      <c r="T193" s="867"/>
      <c r="U193" s="867"/>
      <c r="V193" s="903"/>
      <c r="W193" s="896">
        <v>12</v>
      </c>
      <c r="X193" s="1025" t="s">
        <v>357</v>
      </c>
      <c r="Z193" s="1028"/>
      <c r="AB193" s="1029"/>
      <c r="AC193" s="1030"/>
      <c r="AD193" s="1031"/>
      <c r="AF193" s="1031"/>
      <c r="AH193" s="1032"/>
      <c r="AJ193" s="1031"/>
      <c r="AK193" s="1031"/>
      <c r="AM193" s="1031"/>
      <c r="AO193" s="1031"/>
      <c r="AP193" s="1033"/>
      <c r="AQ193" s="1030"/>
      <c r="AR193" s="1030"/>
      <c r="AU193" s="1034"/>
      <c r="AW193" s="1035"/>
      <c r="AX193" s="1035"/>
      <c r="AY193" s="1035"/>
      <c r="AZ193" s="1035"/>
    </row>
    <row r="194" spans="2:52" s="896" customFormat="1">
      <c r="B194" s="903"/>
      <c r="C194" s="903"/>
      <c r="D194" s="867"/>
      <c r="E194" s="867"/>
      <c r="F194" s="867"/>
      <c r="G194" s="867"/>
      <c r="H194" s="867"/>
      <c r="I194" s="867"/>
      <c r="J194" s="867"/>
      <c r="K194" s="867"/>
      <c r="L194" s="867"/>
      <c r="M194" s="867"/>
      <c r="N194" s="867"/>
      <c r="O194" s="867"/>
      <c r="P194" s="867"/>
      <c r="Q194" s="867"/>
      <c r="R194" s="867"/>
      <c r="S194" s="867"/>
      <c r="T194" s="867"/>
      <c r="U194" s="867"/>
      <c r="V194" s="903"/>
      <c r="W194" s="896">
        <v>13</v>
      </c>
      <c r="X194" s="1025" t="s">
        <v>358</v>
      </c>
      <c r="Z194" s="1028"/>
      <c r="AB194" s="1029"/>
      <c r="AC194" s="1030"/>
      <c r="AD194" s="1031"/>
      <c r="AF194" s="1031"/>
      <c r="AH194" s="1032"/>
      <c r="AJ194" s="1031"/>
      <c r="AK194" s="1031"/>
      <c r="AM194" s="1031"/>
      <c r="AO194" s="1031"/>
      <c r="AP194" s="1033"/>
      <c r="AQ194" s="1030"/>
      <c r="AR194" s="1030"/>
      <c r="AU194" s="1034"/>
      <c r="AW194" s="1035"/>
      <c r="AX194" s="1035"/>
      <c r="AY194" s="1035"/>
      <c r="AZ194" s="1035"/>
    </row>
    <row r="195" spans="2:52" s="896" customFormat="1">
      <c r="B195" s="903"/>
      <c r="C195" s="903"/>
      <c r="D195" s="867"/>
      <c r="E195" s="867"/>
      <c r="F195" s="867"/>
      <c r="G195" s="867"/>
      <c r="H195" s="867"/>
      <c r="I195" s="867"/>
      <c r="J195" s="867"/>
      <c r="K195" s="867"/>
      <c r="L195" s="867"/>
      <c r="M195" s="867"/>
      <c r="N195" s="867"/>
      <c r="O195" s="867"/>
      <c r="P195" s="867"/>
      <c r="Q195" s="867"/>
      <c r="R195" s="867"/>
      <c r="S195" s="867"/>
      <c r="T195" s="867"/>
      <c r="U195" s="867"/>
      <c r="V195" s="903"/>
      <c r="W195" s="896">
        <v>14</v>
      </c>
      <c r="X195" s="1025" t="s">
        <v>292</v>
      </c>
      <c r="Z195" s="1028"/>
      <c r="AB195" s="1029"/>
      <c r="AC195" s="1030"/>
      <c r="AD195" s="1031"/>
      <c r="AF195" s="1031"/>
      <c r="AH195" s="1032"/>
      <c r="AJ195" s="1031"/>
      <c r="AK195" s="1031"/>
      <c r="AM195" s="1031"/>
      <c r="AO195" s="1031"/>
      <c r="AP195" s="1033"/>
      <c r="AQ195" s="1030"/>
      <c r="AR195" s="1030"/>
      <c r="AU195" s="1034"/>
      <c r="AW195" s="1035"/>
      <c r="AX195" s="1035"/>
      <c r="AY195" s="1035"/>
      <c r="AZ195" s="1035"/>
    </row>
    <row r="196" spans="2:52" s="1025" customFormat="1">
      <c r="B196" s="824"/>
      <c r="C196" s="824"/>
      <c r="D196" s="823"/>
      <c r="E196" s="823"/>
      <c r="F196" s="823"/>
      <c r="G196" s="823"/>
      <c r="H196" s="823"/>
      <c r="I196" s="823"/>
      <c r="J196" s="823"/>
      <c r="K196" s="823"/>
      <c r="L196" s="823"/>
      <c r="M196" s="823"/>
      <c r="N196" s="823"/>
      <c r="O196" s="823"/>
      <c r="P196" s="823"/>
      <c r="Q196" s="823"/>
      <c r="R196" s="823"/>
      <c r="S196" s="823"/>
      <c r="T196" s="823"/>
      <c r="U196" s="823"/>
      <c r="V196" s="824"/>
      <c r="W196" s="1025">
        <v>15</v>
      </c>
      <c r="X196" s="1025" t="s">
        <v>293</v>
      </c>
      <c r="Z196" s="1039"/>
      <c r="AB196" s="826"/>
      <c r="AC196" s="1040"/>
      <c r="AD196" s="1041"/>
      <c r="AF196" s="1041"/>
      <c r="AH196" s="846"/>
      <c r="AJ196" s="1041"/>
      <c r="AK196" s="1041"/>
      <c r="AM196" s="1041"/>
      <c r="AO196" s="1041"/>
      <c r="AP196" s="1042"/>
      <c r="AQ196" s="1040"/>
      <c r="AR196" s="1040"/>
      <c r="AU196" s="1043"/>
      <c r="AW196" s="1044"/>
      <c r="AX196" s="1044"/>
      <c r="AY196" s="1044"/>
      <c r="AZ196" s="1044"/>
    </row>
    <row r="197" spans="2:52" s="1025" customFormat="1">
      <c r="B197" s="824"/>
      <c r="C197" s="824"/>
      <c r="D197" s="823"/>
      <c r="E197" s="823"/>
      <c r="F197" s="823"/>
      <c r="G197" s="823"/>
      <c r="H197" s="823"/>
      <c r="I197" s="823"/>
      <c r="J197" s="823"/>
      <c r="K197" s="823"/>
      <c r="L197" s="823"/>
      <c r="M197" s="823"/>
      <c r="N197" s="823"/>
      <c r="O197" s="823"/>
      <c r="P197" s="823"/>
      <c r="Q197" s="823"/>
      <c r="R197" s="823"/>
      <c r="S197" s="823"/>
      <c r="T197" s="823"/>
      <c r="U197" s="823"/>
      <c r="V197" s="824"/>
      <c r="W197" s="896">
        <v>16</v>
      </c>
      <c r="X197" s="1025" t="s">
        <v>747</v>
      </c>
      <c r="Z197" s="1039"/>
      <c r="AB197" s="826"/>
      <c r="AC197" s="1040"/>
      <c r="AD197" s="1041"/>
      <c r="AF197" s="1041"/>
      <c r="AH197" s="846"/>
      <c r="AJ197" s="1041"/>
      <c r="AK197" s="1041"/>
      <c r="AM197" s="1041"/>
      <c r="AO197" s="1041"/>
      <c r="AP197" s="1042"/>
      <c r="AQ197" s="1040"/>
      <c r="AR197" s="1040"/>
      <c r="AU197" s="1043"/>
      <c r="AW197" s="1044"/>
      <c r="AX197" s="1044"/>
      <c r="AY197" s="1044"/>
      <c r="AZ197" s="1044"/>
    </row>
    <row r="198" spans="2:52" s="1025" customFormat="1">
      <c r="B198" s="824"/>
      <c r="C198" s="824"/>
      <c r="D198" s="823"/>
      <c r="E198" s="823"/>
      <c r="F198" s="823"/>
      <c r="G198" s="823"/>
      <c r="H198" s="823"/>
      <c r="I198" s="823"/>
      <c r="J198" s="823"/>
      <c r="K198" s="823"/>
      <c r="L198" s="823"/>
      <c r="M198" s="823"/>
      <c r="N198" s="823"/>
      <c r="O198" s="823"/>
      <c r="P198" s="823"/>
      <c r="Q198" s="823"/>
      <c r="R198" s="823"/>
      <c r="S198" s="823"/>
      <c r="T198" s="823"/>
      <c r="U198" s="823"/>
      <c r="V198" s="824"/>
      <c r="W198" s="896">
        <v>17</v>
      </c>
      <c r="X198" s="1025" t="s">
        <v>792</v>
      </c>
      <c r="Z198" s="1039"/>
      <c r="AB198" s="826"/>
      <c r="AC198" s="1040"/>
      <c r="AD198" s="1041"/>
      <c r="AF198" s="1041"/>
      <c r="AH198" s="846"/>
      <c r="AJ198" s="1041"/>
      <c r="AK198" s="1041"/>
      <c r="AM198" s="1041"/>
      <c r="AO198" s="1041"/>
      <c r="AP198" s="1042"/>
      <c r="AQ198" s="1040"/>
      <c r="AR198" s="1040"/>
      <c r="AU198" s="1043"/>
      <c r="AW198" s="1044"/>
      <c r="AX198" s="1044"/>
      <c r="AY198" s="1044"/>
      <c r="AZ198" s="1044"/>
    </row>
    <row r="199" spans="2:52" s="1025" customFormat="1">
      <c r="B199" s="824"/>
      <c r="C199" s="824"/>
      <c r="D199" s="823"/>
      <c r="E199" s="823"/>
      <c r="F199" s="823"/>
      <c r="G199" s="823"/>
      <c r="H199" s="823"/>
      <c r="I199" s="823"/>
      <c r="J199" s="823"/>
      <c r="K199" s="823"/>
      <c r="L199" s="823"/>
      <c r="M199" s="823"/>
      <c r="N199" s="823"/>
      <c r="O199" s="823"/>
      <c r="P199" s="823"/>
      <c r="Q199" s="823"/>
      <c r="R199" s="823"/>
      <c r="S199" s="823"/>
      <c r="T199" s="823"/>
      <c r="U199" s="823"/>
      <c r="V199" s="824"/>
      <c r="W199" s="896">
        <v>18</v>
      </c>
      <c r="X199" s="1025" t="s">
        <v>503</v>
      </c>
      <c r="Z199" s="1039"/>
      <c r="AB199" s="826"/>
      <c r="AC199" s="1040"/>
      <c r="AD199" s="1041"/>
      <c r="AF199" s="1041"/>
      <c r="AH199" s="846"/>
      <c r="AJ199" s="1041"/>
      <c r="AK199" s="1041"/>
      <c r="AM199" s="1041"/>
      <c r="AO199" s="1041"/>
      <c r="AP199" s="1042"/>
      <c r="AQ199" s="1040"/>
      <c r="AR199" s="1040"/>
      <c r="AU199" s="1043"/>
      <c r="AW199" s="1044"/>
      <c r="AX199" s="1044"/>
      <c r="AY199" s="1044"/>
      <c r="AZ199" s="1044"/>
    </row>
    <row r="200" spans="2:52" s="1025" customFormat="1">
      <c r="B200" s="824"/>
      <c r="C200" s="824"/>
      <c r="D200" s="823"/>
      <c r="E200" s="823"/>
      <c r="F200" s="823"/>
      <c r="G200" s="823"/>
      <c r="H200" s="823"/>
      <c r="I200" s="823"/>
      <c r="J200" s="823"/>
      <c r="K200" s="823"/>
      <c r="L200" s="823"/>
      <c r="M200" s="823"/>
      <c r="N200" s="823"/>
      <c r="O200" s="823"/>
      <c r="P200" s="823"/>
      <c r="Q200" s="823"/>
      <c r="R200" s="823"/>
      <c r="S200" s="823"/>
      <c r="T200" s="823"/>
      <c r="U200" s="823"/>
      <c r="V200" s="824"/>
      <c r="W200" s="896">
        <v>19</v>
      </c>
      <c r="X200" s="1025" t="s">
        <v>107</v>
      </c>
      <c r="Z200" s="1039"/>
      <c r="AB200" s="826"/>
      <c r="AC200" s="1040"/>
      <c r="AD200" s="1041"/>
      <c r="AF200" s="1041"/>
      <c r="AH200" s="846"/>
      <c r="AJ200" s="1041"/>
      <c r="AK200" s="1041"/>
      <c r="AM200" s="1041"/>
      <c r="AO200" s="1041"/>
      <c r="AP200" s="1042"/>
      <c r="AQ200" s="1040"/>
      <c r="AR200" s="1040"/>
      <c r="AU200" s="1043"/>
      <c r="AW200" s="1044"/>
      <c r="AX200" s="1044"/>
      <c r="AY200" s="1044"/>
      <c r="AZ200" s="1044"/>
    </row>
    <row r="201" spans="2:52" s="1025" customFormat="1">
      <c r="B201" s="824"/>
      <c r="C201" s="824"/>
      <c r="D201" s="823"/>
      <c r="E201" s="823"/>
      <c r="F201" s="823"/>
      <c r="G201" s="823"/>
      <c r="H201" s="823"/>
      <c r="I201" s="823"/>
      <c r="J201" s="823"/>
      <c r="K201" s="823"/>
      <c r="L201" s="823"/>
      <c r="M201" s="823"/>
      <c r="N201" s="823"/>
      <c r="O201" s="823"/>
      <c r="P201" s="823"/>
      <c r="Q201" s="823"/>
      <c r="R201" s="823"/>
      <c r="S201" s="823"/>
      <c r="T201" s="823"/>
      <c r="U201" s="823"/>
      <c r="V201" s="824"/>
      <c r="W201" s="896">
        <v>20</v>
      </c>
      <c r="X201" s="1025" t="s">
        <v>108</v>
      </c>
      <c r="Z201" s="1039"/>
      <c r="AB201" s="826"/>
      <c r="AC201" s="1040"/>
      <c r="AD201" s="1041"/>
      <c r="AF201" s="1041"/>
      <c r="AH201" s="846"/>
      <c r="AJ201" s="1041"/>
      <c r="AK201" s="1041"/>
      <c r="AM201" s="1041"/>
      <c r="AO201" s="1041"/>
      <c r="AP201" s="1042"/>
      <c r="AQ201" s="1040"/>
      <c r="AR201" s="1040"/>
      <c r="AU201" s="1043"/>
      <c r="AW201" s="1044"/>
      <c r="AX201" s="1044"/>
      <c r="AY201" s="1044"/>
      <c r="AZ201" s="1044"/>
    </row>
    <row r="202" spans="2:52" s="1025" customFormat="1">
      <c r="B202" s="824"/>
      <c r="C202" s="824"/>
      <c r="D202" s="823"/>
      <c r="E202" s="823"/>
      <c r="F202" s="823"/>
      <c r="G202" s="823"/>
      <c r="H202" s="823"/>
      <c r="I202" s="823"/>
      <c r="J202" s="823"/>
      <c r="K202" s="823"/>
      <c r="L202" s="823"/>
      <c r="M202" s="823"/>
      <c r="N202" s="823"/>
      <c r="O202" s="823"/>
      <c r="P202" s="823"/>
      <c r="Q202" s="823"/>
      <c r="R202" s="823"/>
      <c r="S202" s="823"/>
      <c r="T202" s="823"/>
      <c r="U202" s="823"/>
      <c r="V202" s="824"/>
      <c r="W202" s="896">
        <v>21</v>
      </c>
      <c r="X202" s="1025" t="s">
        <v>71</v>
      </c>
      <c r="Z202" s="1039"/>
      <c r="AB202" s="826"/>
      <c r="AC202" s="1040"/>
      <c r="AD202" s="1041"/>
      <c r="AF202" s="1041"/>
      <c r="AH202" s="846"/>
      <c r="AJ202" s="1041"/>
      <c r="AK202" s="1041"/>
      <c r="AM202" s="1041"/>
      <c r="AO202" s="1041"/>
      <c r="AP202" s="1042"/>
      <c r="AQ202" s="1040"/>
      <c r="AR202" s="1040"/>
      <c r="AU202" s="1043"/>
      <c r="AW202" s="1044"/>
      <c r="AX202" s="1044"/>
      <c r="AY202" s="1044"/>
      <c r="AZ202" s="1044"/>
    </row>
    <row r="203" spans="2:52" s="1025" customFormat="1">
      <c r="B203" s="824"/>
      <c r="C203" s="824"/>
      <c r="D203" s="823"/>
      <c r="E203" s="823"/>
      <c r="F203" s="823"/>
      <c r="G203" s="823"/>
      <c r="H203" s="823"/>
      <c r="I203" s="823"/>
      <c r="J203" s="823"/>
      <c r="K203" s="823"/>
      <c r="L203" s="823"/>
      <c r="M203" s="823"/>
      <c r="N203" s="823"/>
      <c r="O203" s="823"/>
      <c r="P203" s="823"/>
      <c r="Q203" s="823"/>
      <c r="R203" s="823"/>
      <c r="S203" s="823"/>
      <c r="T203" s="823"/>
      <c r="U203" s="823"/>
      <c r="V203" s="824"/>
      <c r="W203" s="1025">
        <v>22</v>
      </c>
      <c r="X203" s="1025" t="s">
        <v>4722</v>
      </c>
      <c r="Z203" s="1039"/>
      <c r="AB203" s="826"/>
      <c r="AC203" s="1040"/>
      <c r="AD203" s="1041"/>
      <c r="AF203" s="1041"/>
      <c r="AH203" s="846"/>
      <c r="AJ203" s="1041"/>
      <c r="AK203" s="1041"/>
      <c r="AM203" s="1041"/>
      <c r="AO203" s="1041"/>
      <c r="AP203" s="1042"/>
      <c r="AQ203" s="1040"/>
      <c r="AR203" s="1040"/>
      <c r="AU203" s="1043"/>
      <c r="AW203" s="1044"/>
      <c r="AX203" s="1044"/>
      <c r="AY203" s="1044"/>
      <c r="AZ203" s="1044"/>
    </row>
    <row r="204" spans="2:52" s="1025" customFormat="1">
      <c r="B204" s="824"/>
      <c r="C204" s="824"/>
      <c r="D204" s="823"/>
      <c r="E204" s="823"/>
      <c r="F204" s="823"/>
      <c r="G204" s="823"/>
      <c r="H204" s="823"/>
      <c r="I204" s="823"/>
      <c r="J204" s="823"/>
      <c r="K204" s="823"/>
      <c r="L204" s="823"/>
      <c r="M204" s="823"/>
      <c r="N204" s="823"/>
      <c r="O204" s="823"/>
      <c r="P204" s="823"/>
      <c r="Q204" s="823"/>
      <c r="R204" s="823"/>
      <c r="S204" s="823"/>
      <c r="T204" s="823"/>
      <c r="U204" s="823"/>
      <c r="V204" s="824"/>
      <c r="Z204" s="1039"/>
      <c r="AB204" s="826"/>
      <c r="AC204" s="1040"/>
      <c r="AD204" s="1041"/>
      <c r="AF204" s="1041"/>
      <c r="AH204" s="846"/>
      <c r="AJ204" s="1041"/>
      <c r="AK204" s="1041"/>
      <c r="AM204" s="1041"/>
      <c r="AO204" s="1041"/>
      <c r="AP204" s="1042"/>
      <c r="AQ204" s="1040"/>
      <c r="AR204" s="1040"/>
      <c r="AU204" s="1043"/>
      <c r="AW204" s="1044"/>
      <c r="AX204" s="1044"/>
      <c r="AY204" s="1044"/>
      <c r="AZ204" s="1044"/>
    </row>
    <row r="205" spans="2:52" s="1025" customFormat="1">
      <c r="B205" s="824"/>
      <c r="C205" s="824"/>
      <c r="D205" s="823"/>
      <c r="E205" s="823"/>
      <c r="F205" s="823"/>
      <c r="G205" s="823"/>
      <c r="H205" s="823"/>
      <c r="I205" s="823"/>
      <c r="J205" s="823"/>
      <c r="K205" s="823"/>
      <c r="L205" s="823"/>
      <c r="M205" s="823"/>
      <c r="N205" s="823"/>
      <c r="O205" s="823"/>
      <c r="P205" s="823"/>
      <c r="Q205" s="823"/>
      <c r="R205" s="823"/>
      <c r="S205" s="823"/>
      <c r="T205" s="823"/>
      <c r="U205" s="823"/>
      <c r="V205" s="824"/>
      <c r="Z205" s="1039"/>
      <c r="AB205" s="826"/>
      <c r="AC205" s="1040"/>
      <c r="AD205" s="1041"/>
      <c r="AF205" s="1041"/>
      <c r="AH205" s="846"/>
      <c r="AJ205" s="1041"/>
      <c r="AK205" s="1041"/>
      <c r="AM205" s="1041"/>
      <c r="AO205" s="1041"/>
      <c r="AP205" s="1042"/>
      <c r="AQ205" s="1040"/>
      <c r="AR205" s="1040"/>
      <c r="AU205" s="1043"/>
      <c r="AW205" s="1044"/>
      <c r="AX205" s="1044"/>
      <c r="AY205" s="1044"/>
      <c r="AZ205" s="1044"/>
    </row>
    <row r="206" spans="2:52" s="1025" customFormat="1">
      <c r="B206" s="824"/>
      <c r="C206" s="824"/>
      <c r="D206" s="823"/>
      <c r="E206" s="823"/>
      <c r="F206" s="823"/>
      <c r="G206" s="823"/>
      <c r="H206" s="823"/>
      <c r="I206" s="823"/>
      <c r="J206" s="823"/>
      <c r="K206" s="823"/>
      <c r="L206" s="823"/>
      <c r="M206" s="823"/>
      <c r="N206" s="823"/>
      <c r="O206" s="823"/>
      <c r="P206" s="823"/>
      <c r="Q206" s="823"/>
      <c r="R206" s="823"/>
      <c r="S206" s="823"/>
      <c r="T206" s="823"/>
      <c r="U206" s="823"/>
      <c r="V206" s="824"/>
      <c r="Z206" s="1039"/>
      <c r="AB206" s="826"/>
      <c r="AC206" s="1040"/>
      <c r="AD206" s="1041"/>
      <c r="AF206" s="1041"/>
      <c r="AH206" s="846"/>
      <c r="AJ206" s="1041"/>
      <c r="AK206" s="1041"/>
      <c r="AM206" s="1041"/>
      <c r="AO206" s="1041"/>
      <c r="AP206" s="1042"/>
      <c r="AQ206" s="1040"/>
      <c r="AR206" s="1040"/>
      <c r="AU206" s="1043"/>
      <c r="AW206" s="1044"/>
      <c r="AX206" s="1044"/>
      <c r="AY206" s="1044"/>
      <c r="AZ206" s="1044"/>
    </row>
    <row r="207" spans="2:52" s="1025" customFormat="1">
      <c r="B207" s="824"/>
      <c r="C207" s="824"/>
      <c r="D207" s="823"/>
      <c r="E207" s="823"/>
      <c r="F207" s="823"/>
      <c r="G207" s="823"/>
      <c r="H207" s="823"/>
      <c r="I207" s="823"/>
      <c r="J207" s="823"/>
      <c r="K207" s="823"/>
      <c r="L207" s="823"/>
      <c r="M207" s="823"/>
      <c r="N207" s="823"/>
      <c r="O207" s="823"/>
      <c r="P207" s="823"/>
      <c r="Q207" s="823"/>
      <c r="R207" s="823"/>
      <c r="S207" s="823"/>
      <c r="T207" s="823"/>
      <c r="U207" s="823"/>
      <c r="V207" s="824"/>
      <c r="Z207" s="1039"/>
      <c r="AB207" s="826"/>
      <c r="AC207" s="1040"/>
      <c r="AD207" s="1041"/>
      <c r="AF207" s="1041"/>
      <c r="AH207" s="846"/>
      <c r="AJ207" s="1041"/>
      <c r="AK207" s="1041"/>
      <c r="AM207" s="1041"/>
      <c r="AO207" s="1041"/>
      <c r="AP207" s="1042"/>
      <c r="AQ207" s="1040"/>
      <c r="AR207" s="1040"/>
      <c r="AU207" s="1043"/>
      <c r="AW207" s="1044"/>
      <c r="AX207" s="1044"/>
      <c r="AY207" s="1044"/>
      <c r="AZ207" s="1044"/>
    </row>
    <row r="208" spans="2:52" s="1025" customFormat="1">
      <c r="B208" s="824"/>
      <c r="C208" s="824"/>
      <c r="D208" s="823"/>
      <c r="E208" s="823"/>
      <c r="F208" s="823"/>
      <c r="G208" s="823"/>
      <c r="H208" s="823"/>
      <c r="I208" s="823"/>
      <c r="J208" s="823"/>
      <c r="K208" s="823"/>
      <c r="L208" s="823"/>
      <c r="M208" s="823"/>
      <c r="N208" s="823"/>
      <c r="O208" s="823"/>
      <c r="P208" s="823"/>
      <c r="Q208" s="823"/>
      <c r="R208" s="823"/>
      <c r="S208" s="823"/>
      <c r="T208" s="823"/>
      <c r="U208" s="823"/>
      <c r="V208" s="824"/>
      <c r="Z208" s="1039"/>
      <c r="AB208" s="826"/>
      <c r="AC208" s="1040"/>
      <c r="AD208" s="1041"/>
      <c r="AF208" s="1041"/>
      <c r="AH208" s="846"/>
      <c r="AJ208" s="1041"/>
      <c r="AK208" s="1041"/>
      <c r="AM208" s="1041"/>
      <c r="AO208" s="1041"/>
      <c r="AP208" s="1042"/>
      <c r="AQ208" s="1040"/>
      <c r="AR208" s="1040"/>
      <c r="AU208" s="1043"/>
      <c r="AW208" s="1044"/>
      <c r="AX208" s="1044"/>
      <c r="AY208" s="1044"/>
      <c r="AZ208" s="1044"/>
    </row>
    <row r="209" spans="2:52" s="1025" customFormat="1">
      <c r="B209" s="824"/>
      <c r="C209" s="824"/>
      <c r="D209" s="823"/>
      <c r="E209" s="823"/>
      <c r="F209" s="823"/>
      <c r="G209" s="823"/>
      <c r="H209" s="823"/>
      <c r="I209" s="823"/>
      <c r="J209" s="823"/>
      <c r="K209" s="823"/>
      <c r="L209" s="823"/>
      <c r="M209" s="823"/>
      <c r="N209" s="823"/>
      <c r="O209" s="823"/>
      <c r="P209" s="823"/>
      <c r="Q209" s="823"/>
      <c r="R209" s="823"/>
      <c r="S209" s="823"/>
      <c r="T209" s="823"/>
      <c r="U209" s="823"/>
      <c r="V209" s="824"/>
      <c r="Z209" s="1039"/>
      <c r="AB209" s="826"/>
      <c r="AC209" s="1040"/>
      <c r="AD209" s="1041"/>
      <c r="AF209" s="1041"/>
      <c r="AH209" s="846"/>
      <c r="AJ209" s="1041"/>
      <c r="AK209" s="1041"/>
      <c r="AM209" s="1041"/>
      <c r="AO209" s="1041"/>
      <c r="AP209" s="1042"/>
      <c r="AQ209" s="1040"/>
      <c r="AR209" s="1040"/>
      <c r="AU209" s="1043"/>
      <c r="AW209" s="1044"/>
      <c r="AX209" s="1044"/>
      <c r="AY209" s="1044"/>
      <c r="AZ209" s="1044"/>
    </row>
    <row r="210" spans="2:52" s="1025" customFormat="1">
      <c r="B210" s="824"/>
      <c r="C210" s="824"/>
      <c r="D210" s="823"/>
      <c r="E210" s="823"/>
      <c r="F210" s="823"/>
      <c r="G210" s="823"/>
      <c r="H210" s="823"/>
      <c r="I210" s="823"/>
      <c r="J210" s="823"/>
      <c r="K210" s="823"/>
      <c r="L210" s="823"/>
      <c r="M210" s="823"/>
      <c r="N210" s="823"/>
      <c r="O210" s="823"/>
      <c r="P210" s="823"/>
      <c r="Q210" s="823"/>
      <c r="R210" s="823"/>
      <c r="S210" s="823"/>
      <c r="T210" s="823"/>
      <c r="U210" s="823"/>
      <c r="V210" s="824"/>
      <c r="Z210" s="1039"/>
      <c r="AB210" s="826"/>
      <c r="AC210" s="1040"/>
      <c r="AD210" s="1041"/>
      <c r="AF210" s="1041"/>
      <c r="AH210" s="846"/>
      <c r="AJ210" s="1041"/>
      <c r="AK210" s="1041"/>
      <c r="AM210" s="1041"/>
      <c r="AO210" s="1041"/>
      <c r="AP210" s="1042"/>
      <c r="AQ210" s="1040"/>
      <c r="AR210" s="1040"/>
      <c r="AU210" s="1043"/>
      <c r="AW210" s="1044"/>
      <c r="AX210" s="1044"/>
      <c r="AY210" s="1044"/>
      <c r="AZ210" s="1044"/>
    </row>
    <row r="211" spans="2:52" s="1025" customFormat="1">
      <c r="B211" s="824"/>
      <c r="C211" s="824"/>
      <c r="D211" s="823"/>
      <c r="E211" s="823"/>
      <c r="F211" s="823"/>
      <c r="G211" s="823"/>
      <c r="H211" s="823"/>
      <c r="I211" s="823"/>
      <c r="J211" s="823"/>
      <c r="K211" s="823"/>
      <c r="L211" s="823"/>
      <c r="M211" s="823"/>
      <c r="N211" s="823"/>
      <c r="O211" s="823"/>
      <c r="P211" s="823"/>
      <c r="Q211" s="823"/>
      <c r="R211" s="823"/>
      <c r="S211" s="823"/>
      <c r="T211" s="823"/>
      <c r="U211" s="823"/>
      <c r="V211" s="824"/>
      <c r="Z211" s="1039"/>
      <c r="AB211" s="826"/>
      <c r="AC211" s="1040"/>
      <c r="AD211" s="1041"/>
      <c r="AF211" s="1041"/>
      <c r="AH211" s="846"/>
      <c r="AJ211" s="1041"/>
      <c r="AK211" s="1041"/>
      <c r="AM211" s="1041"/>
      <c r="AO211" s="1041"/>
      <c r="AP211" s="1042"/>
      <c r="AQ211" s="1040"/>
      <c r="AR211" s="1040"/>
      <c r="AU211" s="1043"/>
      <c r="AW211" s="1044"/>
      <c r="AX211" s="1044"/>
      <c r="AY211" s="1044"/>
      <c r="AZ211" s="1044"/>
    </row>
    <row r="212" spans="2:52" s="1025" customFormat="1">
      <c r="B212" s="824"/>
      <c r="C212" s="824"/>
      <c r="D212" s="823"/>
      <c r="E212" s="823"/>
      <c r="F212" s="823"/>
      <c r="G212" s="823"/>
      <c r="H212" s="823"/>
      <c r="I212" s="823"/>
      <c r="J212" s="823"/>
      <c r="K212" s="823"/>
      <c r="L212" s="823"/>
      <c r="M212" s="823"/>
      <c r="N212" s="823"/>
      <c r="O212" s="823"/>
      <c r="P212" s="823"/>
      <c r="Q212" s="823"/>
      <c r="R212" s="823"/>
      <c r="S212" s="823"/>
      <c r="T212" s="823"/>
      <c r="U212" s="823"/>
      <c r="V212" s="824"/>
      <c r="Z212" s="1039"/>
      <c r="AB212" s="826"/>
      <c r="AC212" s="1040"/>
      <c r="AD212" s="1041"/>
      <c r="AF212" s="1041"/>
      <c r="AH212" s="846"/>
      <c r="AJ212" s="1041"/>
      <c r="AK212" s="1041"/>
      <c r="AM212" s="1041"/>
      <c r="AO212" s="1041"/>
      <c r="AP212" s="1042"/>
      <c r="AQ212" s="1040"/>
      <c r="AR212" s="1040"/>
      <c r="AU212" s="1043"/>
      <c r="AW212" s="1044"/>
      <c r="AX212" s="1044"/>
      <c r="AY212" s="1044"/>
      <c r="AZ212" s="1044"/>
    </row>
    <row r="213" spans="2:52" s="1025" customFormat="1">
      <c r="B213" s="824"/>
      <c r="C213" s="824"/>
      <c r="D213" s="823"/>
      <c r="E213" s="823"/>
      <c r="F213" s="823"/>
      <c r="G213" s="823"/>
      <c r="H213" s="823"/>
      <c r="I213" s="823"/>
      <c r="J213" s="823"/>
      <c r="K213" s="823"/>
      <c r="L213" s="823"/>
      <c r="M213" s="823"/>
      <c r="N213" s="823"/>
      <c r="O213" s="823"/>
      <c r="P213" s="823"/>
      <c r="Q213" s="823"/>
      <c r="R213" s="823"/>
      <c r="S213" s="823"/>
      <c r="T213" s="823"/>
      <c r="U213" s="823"/>
      <c r="V213" s="824"/>
      <c r="Z213" s="1039"/>
      <c r="AB213" s="826"/>
      <c r="AC213" s="1040"/>
      <c r="AD213" s="1041"/>
      <c r="AF213" s="1041"/>
      <c r="AH213" s="846"/>
      <c r="AJ213" s="1041"/>
      <c r="AK213" s="1041"/>
      <c r="AM213" s="1041"/>
      <c r="AO213" s="1041"/>
      <c r="AP213" s="1042"/>
      <c r="AQ213" s="1040"/>
      <c r="AR213" s="1040"/>
      <c r="AU213" s="1043"/>
      <c r="AW213" s="1044"/>
      <c r="AX213" s="1044"/>
      <c r="AY213" s="1044"/>
      <c r="AZ213" s="1044"/>
    </row>
    <row r="214" spans="2:52" s="1025" customFormat="1">
      <c r="B214" s="824"/>
      <c r="C214" s="824"/>
      <c r="D214" s="823"/>
      <c r="E214" s="823"/>
      <c r="F214" s="823"/>
      <c r="G214" s="823"/>
      <c r="H214" s="823"/>
      <c r="I214" s="823"/>
      <c r="J214" s="823"/>
      <c r="K214" s="823"/>
      <c r="L214" s="823"/>
      <c r="M214" s="823"/>
      <c r="N214" s="823"/>
      <c r="O214" s="823"/>
      <c r="P214" s="823"/>
      <c r="Q214" s="823"/>
      <c r="R214" s="823"/>
      <c r="S214" s="823"/>
      <c r="T214" s="823"/>
      <c r="U214" s="823"/>
      <c r="V214" s="824"/>
      <c r="Z214" s="1039"/>
      <c r="AB214" s="826"/>
      <c r="AC214" s="1040"/>
      <c r="AD214" s="1041"/>
      <c r="AF214" s="1041"/>
      <c r="AH214" s="846"/>
      <c r="AJ214" s="1041"/>
      <c r="AK214" s="1041"/>
      <c r="AM214" s="1041"/>
      <c r="AO214" s="1041"/>
      <c r="AP214" s="1042"/>
      <c r="AQ214" s="1040"/>
      <c r="AR214" s="1040"/>
      <c r="AU214" s="1043"/>
      <c r="AW214" s="1044"/>
      <c r="AX214" s="1044"/>
      <c r="AY214" s="1044"/>
      <c r="AZ214" s="1044"/>
    </row>
    <row r="215" spans="2:52" s="1025" customFormat="1">
      <c r="B215" s="824"/>
      <c r="C215" s="824"/>
      <c r="D215" s="823"/>
      <c r="E215" s="823"/>
      <c r="F215" s="823"/>
      <c r="G215" s="823"/>
      <c r="H215" s="823"/>
      <c r="I215" s="823"/>
      <c r="J215" s="823"/>
      <c r="K215" s="823"/>
      <c r="L215" s="823"/>
      <c r="M215" s="823"/>
      <c r="N215" s="823"/>
      <c r="O215" s="823"/>
      <c r="P215" s="823"/>
      <c r="Q215" s="823"/>
      <c r="R215" s="823"/>
      <c r="S215" s="823"/>
      <c r="T215" s="823"/>
      <c r="U215" s="823"/>
      <c r="V215" s="824"/>
      <c r="Z215" s="1039"/>
      <c r="AB215" s="826"/>
      <c r="AC215" s="1040"/>
      <c r="AD215" s="1041"/>
      <c r="AF215" s="1041"/>
      <c r="AH215" s="846"/>
      <c r="AJ215" s="1041"/>
      <c r="AK215" s="1041"/>
      <c r="AM215" s="1041"/>
      <c r="AO215" s="1041"/>
      <c r="AP215" s="1042"/>
      <c r="AQ215" s="1040"/>
      <c r="AR215" s="1040"/>
      <c r="AU215" s="1043"/>
      <c r="AW215" s="1044"/>
      <c r="AX215" s="1044"/>
      <c r="AY215" s="1044"/>
      <c r="AZ215" s="1044"/>
    </row>
    <row r="216" spans="2:52" s="1025" customFormat="1">
      <c r="B216" s="824"/>
      <c r="C216" s="824"/>
      <c r="D216" s="823"/>
      <c r="E216" s="823"/>
      <c r="F216" s="823"/>
      <c r="G216" s="823"/>
      <c r="H216" s="823"/>
      <c r="I216" s="823"/>
      <c r="J216" s="823"/>
      <c r="K216" s="823"/>
      <c r="L216" s="823"/>
      <c r="M216" s="823"/>
      <c r="N216" s="823"/>
      <c r="O216" s="823"/>
      <c r="P216" s="823"/>
      <c r="Q216" s="823"/>
      <c r="R216" s="823"/>
      <c r="S216" s="823"/>
      <c r="T216" s="823"/>
      <c r="U216" s="823"/>
      <c r="V216" s="824"/>
      <c r="Z216" s="1039"/>
      <c r="AB216" s="826"/>
      <c r="AC216" s="1040"/>
      <c r="AD216" s="1041"/>
      <c r="AF216" s="1041"/>
      <c r="AH216" s="846"/>
      <c r="AJ216" s="1041"/>
      <c r="AK216" s="1041"/>
      <c r="AM216" s="1041"/>
      <c r="AO216" s="1041"/>
      <c r="AP216" s="1042"/>
      <c r="AQ216" s="1040"/>
      <c r="AR216" s="1040"/>
      <c r="AU216" s="1043"/>
      <c r="AW216" s="1044"/>
      <c r="AX216" s="1044"/>
      <c r="AY216" s="1044"/>
      <c r="AZ216" s="1044"/>
    </row>
    <row r="217" spans="2:52" s="1025" customFormat="1">
      <c r="B217" s="824"/>
      <c r="C217" s="824"/>
      <c r="D217" s="823"/>
      <c r="E217" s="823"/>
      <c r="F217" s="823"/>
      <c r="G217" s="823"/>
      <c r="H217" s="823"/>
      <c r="I217" s="823"/>
      <c r="J217" s="823"/>
      <c r="K217" s="823"/>
      <c r="L217" s="823"/>
      <c r="M217" s="823"/>
      <c r="N217" s="823"/>
      <c r="O217" s="823"/>
      <c r="P217" s="823"/>
      <c r="Q217" s="823"/>
      <c r="R217" s="823"/>
      <c r="S217" s="823"/>
      <c r="T217" s="823"/>
      <c r="U217" s="823"/>
      <c r="V217" s="824"/>
      <c r="Z217" s="1039"/>
      <c r="AB217" s="826"/>
      <c r="AC217" s="1040"/>
      <c r="AD217" s="1041"/>
      <c r="AF217" s="1041"/>
      <c r="AH217" s="846"/>
      <c r="AJ217" s="1041"/>
      <c r="AK217" s="1041"/>
      <c r="AM217" s="1041"/>
      <c r="AO217" s="1041"/>
      <c r="AP217" s="1042"/>
      <c r="AQ217" s="1040"/>
      <c r="AR217" s="1040"/>
      <c r="AU217" s="1043"/>
      <c r="AW217" s="1044"/>
      <c r="AX217" s="1044"/>
      <c r="AY217" s="1044"/>
      <c r="AZ217" s="1044"/>
    </row>
    <row r="218" spans="2:52" s="1025" customFormat="1">
      <c r="B218" s="824"/>
      <c r="C218" s="824"/>
      <c r="D218" s="823"/>
      <c r="E218" s="823"/>
      <c r="F218" s="823"/>
      <c r="G218" s="823"/>
      <c r="H218" s="823"/>
      <c r="I218" s="823"/>
      <c r="J218" s="823"/>
      <c r="K218" s="823"/>
      <c r="L218" s="823"/>
      <c r="M218" s="823"/>
      <c r="N218" s="823"/>
      <c r="O218" s="823"/>
      <c r="P218" s="823"/>
      <c r="Q218" s="823"/>
      <c r="R218" s="823"/>
      <c r="S218" s="823"/>
      <c r="T218" s="823"/>
      <c r="U218" s="823"/>
      <c r="V218" s="824"/>
      <c r="Z218" s="1039"/>
      <c r="AB218" s="826"/>
      <c r="AC218" s="1040"/>
      <c r="AD218" s="1041"/>
      <c r="AF218" s="1041"/>
      <c r="AH218" s="846"/>
      <c r="AJ218" s="1041"/>
      <c r="AK218" s="1041"/>
      <c r="AM218" s="1041"/>
      <c r="AO218" s="1041"/>
      <c r="AP218" s="1042"/>
      <c r="AQ218" s="1040"/>
      <c r="AR218" s="1040"/>
      <c r="AU218" s="1043"/>
      <c r="AW218" s="1044"/>
      <c r="AX218" s="1044"/>
      <c r="AY218" s="1044"/>
      <c r="AZ218" s="1044"/>
    </row>
    <row r="219" spans="2:52" s="1025" customFormat="1">
      <c r="B219" s="824"/>
      <c r="C219" s="824"/>
      <c r="D219" s="823"/>
      <c r="E219" s="823"/>
      <c r="F219" s="823"/>
      <c r="G219" s="823"/>
      <c r="H219" s="823"/>
      <c r="I219" s="823"/>
      <c r="J219" s="823"/>
      <c r="K219" s="823"/>
      <c r="L219" s="823"/>
      <c r="M219" s="823"/>
      <c r="N219" s="823"/>
      <c r="O219" s="823"/>
      <c r="P219" s="823"/>
      <c r="Q219" s="823"/>
      <c r="R219" s="823"/>
      <c r="S219" s="823"/>
      <c r="T219" s="823"/>
      <c r="U219" s="823"/>
      <c r="V219" s="824"/>
      <c r="Z219" s="1039"/>
      <c r="AB219" s="826"/>
      <c r="AC219" s="1040"/>
      <c r="AD219" s="1041"/>
      <c r="AF219" s="1041"/>
      <c r="AH219" s="846"/>
      <c r="AJ219" s="1041"/>
      <c r="AK219" s="1041"/>
      <c r="AM219" s="1041"/>
      <c r="AO219" s="1041"/>
      <c r="AP219" s="1042"/>
      <c r="AQ219" s="1040"/>
      <c r="AR219" s="1040"/>
      <c r="AU219" s="1043"/>
      <c r="AW219" s="1044"/>
      <c r="AX219" s="1044"/>
      <c r="AY219" s="1044"/>
      <c r="AZ219" s="1044"/>
    </row>
    <row r="220" spans="2:52" s="1025" customFormat="1">
      <c r="B220" s="824"/>
      <c r="C220" s="824"/>
      <c r="D220" s="823"/>
      <c r="E220" s="823"/>
      <c r="F220" s="823"/>
      <c r="G220" s="823"/>
      <c r="H220" s="823"/>
      <c r="I220" s="823"/>
      <c r="J220" s="823"/>
      <c r="K220" s="823"/>
      <c r="L220" s="823"/>
      <c r="M220" s="823"/>
      <c r="N220" s="823"/>
      <c r="O220" s="823"/>
      <c r="P220" s="823"/>
      <c r="Q220" s="823"/>
      <c r="R220" s="823"/>
      <c r="S220" s="823"/>
      <c r="T220" s="823"/>
      <c r="U220" s="823"/>
      <c r="V220" s="824"/>
      <c r="Z220" s="1039"/>
      <c r="AB220" s="826"/>
      <c r="AC220" s="1040"/>
      <c r="AD220" s="1041"/>
      <c r="AF220" s="1041"/>
      <c r="AH220" s="846"/>
      <c r="AJ220" s="1041"/>
      <c r="AK220" s="1041"/>
      <c r="AM220" s="1041"/>
      <c r="AO220" s="1041"/>
      <c r="AP220" s="1042"/>
      <c r="AQ220" s="1040"/>
      <c r="AR220" s="1040"/>
      <c r="AU220" s="1043"/>
      <c r="AW220" s="1044"/>
      <c r="AX220" s="1044"/>
      <c r="AY220" s="1044"/>
      <c r="AZ220" s="1044"/>
    </row>
    <row r="221" spans="2:52" s="1025" customFormat="1">
      <c r="B221" s="824"/>
      <c r="C221" s="824"/>
      <c r="D221" s="823"/>
      <c r="E221" s="823"/>
      <c r="F221" s="823"/>
      <c r="G221" s="823"/>
      <c r="H221" s="823"/>
      <c r="I221" s="823"/>
      <c r="J221" s="823"/>
      <c r="K221" s="823"/>
      <c r="L221" s="823"/>
      <c r="M221" s="823"/>
      <c r="N221" s="823"/>
      <c r="O221" s="823"/>
      <c r="P221" s="823"/>
      <c r="Q221" s="823"/>
      <c r="R221" s="823"/>
      <c r="S221" s="823"/>
      <c r="T221" s="823"/>
      <c r="U221" s="823"/>
      <c r="V221" s="824"/>
      <c r="Z221" s="1039"/>
      <c r="AB221" s="826"/>
      <c r="AC221" s="1040"/>
      <c r="AD221" s="1041"/>
      <c r="AF221" s="1041"/>
      <c r="AH221" s="846"/>
      <c r="AJ221" s="1041"/>
      <c r="AK221" s="1041"/>
      <c r="AM221" s="1041"/>
      <c r="AO221" s="1041"/>
      <c r="AP221" s="1042"/>
      <c r="AQ221" s="1040"/>
      <c r="AR221" s="1040"/>
      <c r="AU221" s="1043"/>
      <c r="AW221" s="1044"/>
      <c r="AX221" s="1044"/>
      <c r="AY221" s="1044"/>
      <c r="AZ221" s="1044"/>
    </row>
    <row r="222" spans="2:52" s="1025" customFormat="1">
      <c r="B222" s="824"/>
      <c r="C222" s="824"/>
      <c r="D222" s="823"/>
      <c r="E222" s="823"/>
      <c r="F222" s="823"/>
      <c r="G222" s="823"/>
      <c r="H222" s="823"/>
      <c r="I222" s="823"/>
      <c r="J222" s="823"/>
      <c r="K222" s="823"/>
      <c r="L222" s="823"/>
      <c r="M222" s="823"/>
      <c r="N222" s="823"/>
      <c r="O222" s="823"/>
      <c r="P222" s="823"/>
      <c r="Q222" s="823"/>
      <c r="R222" s="823"/>
      <c r="S222" s="823"/>
      <c r="T222" s="823"/>
      <c r="U222" s="823"/>
      <c r="V222" s="824"/>
      <c r="Z222" s="1039"/>
      <c r="AB222" s="826"/>
      <c r="AC222" s="1040"/>
      <c r="AD222" s="1041"/>
      <c r="AF222" s="1041"/>
      <c r="AH222" s="846"/>
      <c r="AJ222" s="1041"/>
      <c r="AK222" s="1041"/>
      <c r="AM222" s="1041"/>
      <c r="AO222" s="1041"/>
      <c r="AP222" s="1042"/>
      <c r="AQ222" s="1040"/>
      <c r="AR222" s="1040"/>
      <c r="AU222" s="1043"/>
      <c r="AW222" s="1044"/>
      <c r="AX222" s="1044"/>
      <c r="AY222" s="1044"/>
      <c r="AZ222" s="1044"/>
    </row>
    <row r="223" spans="2:52" s="1025" customFormat="1">
      <c r="B223" s="824"/>
      <c r="C223" s="824"/>
      <c r="D223" s="823"/>
      <c r="E223" s="823"/>
      <c r="F223" s="823"/>
      <c r="G223" s="823"/>
      <c r="H223" s="823"/>
      <c r="I223" s="823"/>
      <c r="J223" s="823"/>
      <c r="K223" s="823"/>
      <c r="L223" s="823"/>
      <c r="M223" s="823"/>
      <c r="N223" s="823"/>
      <c r="O223" s="823"/>
      <c r="P223" s="823"/>
      <c r="Q223" s="823"/>
      <c r="R223" s="823"/>
      <c r="S223" s="823"/>
      <c r="T223" s="823"/>
      <c r="U223" s="823"/>
      <c r="V223" s="824"/>
      <c r="Z223" s="1039"/>
      <c r="AB223" s="826"/>
      <c r="AC223" s="1040"/>
      <c r="AD223" s="1041"/>
      <c r="AF223" s="1041"/>
      <c r="AH223" s="846"/>
      <c r="AJ223" s="1041"/>
      <c r="AK223" s="1041"/>
      <c r="AM223" s="1041"/>
      <c r="AO223" s="1041"/>
      <c r="AP223" s="1042"/>
      <c r="AQ223" s="1040"/>
      <c r="AR223" s="1040"/>
      <c r="AU223" s="1043"/>
      <c r="AW223" s="1044"/>
      <c r="AX223" s="1044"/>
      <c r="AY223" s="1044"/>
      <c r="AZ223" s="1044"/>
    </row>
    <row r="224" spans="2:52" s="1025" customFormat="1">
      <c r="B224" s="824"/>
      <c r="C224" s="824"/>
      <c r="D224" s="823"/>
      <c r="E224" s="823"/>
      <c r="F224" s="823"/>
      <c r="G224" s="823"/>
      <c r="H224" s="823"/>
      <c r="I224" s="823"/>
      <c r="J224" s="823"/>
      <c r="K224" s="823"/>
      <c r="L224" s="823"/>
      <c r="M224" s="823"/>
      <c r="N224" s="823"/>
      <c r="O224" s="823"/>
      <c r="P224" s="823"/>
      <c r="Q224" s="823"/>
      <c r="R224" s="823"/>
      <c r="S224" s="823"/>
      <c r="T224" s="823"/>
      <c r="U224" s="823"/>
      <c r="V224" s="824"/>
      <c r="Z224" s="1039"/>
      <c r="AB224" s="826"/>
      <c r="AC224" s="1040"/>
      <c r="AD224" s="1041"/>
      <c r="AF224" s="1041"/>
      <c r="AH224" s="846"/>
      <c r="AJ224" s="1041"/>
      <c r="AK224" s="1041"/>
      <c r="AM224" s="1041"/>
      <c r="AO224" s="1041"/>
      <c r="AP224" s="1042"/>
      <c r="AQ224" s="1040"/>
      <c r="AR224" s="1040"/>
      <c r="AU224" s="1043"/>
      <c r="AW224" s="1044"/>
      <c r="AX224" s="1044"/>
      <c r="AY224" s="1044"/>
      <c r="AZ224" s="1044"/>
    </row>
    <row r="225" spans="2:52" s="1025" customFormat="1">
      <c r="B225" s="824"/>
      <c r="C225" s="824"/>
      <c r="D225" s="823"/>
      <c r="E225" s="823"/>
      <c r="F225" s="823"/>
      <c r="G225" s="823"/>
      <c r="H225" s="823"/>
      <c r="I225" s="823"/>
      <c r="J225" s="823"/>
      <c r="K225" s="823"/>
      <c r="L225" s="823"/>
      <c r="M225" s="823"/>
      <c r="N225" s="823"/>
      <c r="O225" s="823"/>
      <c r="P225" s="823"/>
      <c r="Q225" s="823"/>
      <c r="R225" s="823"/>
      <c r="S225" s="823"/>
      <c r="T225" s="823"/>
      <c r="U225" s="823"/>
      <c r="V225" s="824"/>
      <c r="Z225" s="1039"/>
      <c r="AB225" s="826"/>
      <c r="AC225" s="1040"/>
      <c r="AD225" s="1041"/>
      <c r="AF225" s="1041"/>
      <c r="AH225" s="846"/>
      <c r="AJ225" s="1041"/>
      <c r="AK225" s="1041"/>
      <c r="AM225" s="1041"/>
      <c r="AO225" s="1041"/>
      <c r="AP225" s="1042"/>
      <c r="AQ225" s="1040"/>
      <c r="AR225" s="1040"/>
      <c r="AU225" s="1043"/>
      <c r="AW225" s="1044"/>
      <c r="AX225" s="1044"/>
      <c r="AY225" s="1044"/>
      <c r="AZ225" s="1044"/>
    </row>
    <row r="226" spans="2:52" s="1025" customFormat="1">
      <c r="B226" s="824"/>
      <c r="C226" s="824"/>
      <c r="D226" s="823"/>
      <c r="E226" s="823"/>
      <c r="F226" s="823"/>
      <c r="G226" s="823"/>
      <c r="H226" s="823"/>
      <c r="I226" s="823"/>
      <c r="J226" s="823"/>
      <c r="K226" s="823"/>
      <c r="L226" s="823"/>
      <c r="M226" s="823"/>
      <c r="N226" s="823"/>
      <c r="O226" s="823"/>
      <c r="P226" s="823"/>
      <c r="Q226" s="823"/>
      <c r="R226" s="823"/>
      <c r="S226" s="823"/>
      <c r="T226" s="823"/>
      <c r="U226" s="823"/>
      <c r="V226" s="824"/>
      <c r="Z226" s="1039"/>
      <c r="AB226" s="826"/>
      <c r="AC226" s="1040"/>
      <c r="AD226" s="1041"/>
      <c r="AF226" s="1041"/>
      <c r="AH226" s="846"/>
      <c r="AJ226" s="1041"/>
      <c r="AK226" s="1041"/>
      <c r="AM226" s="1041"/>
      <c r="AO226" s="1041"/>
      <c r="AP226" s="1042"/>
      <c r="AQ226" s="1040"/>
      <c r="AR226" s="1040"/>
      <c r="AU226" s="1043"/>
      <c r="AW226" s="1044"/>
      <c r="AX226" s="1044"/>
      <c r="AY226" s="1044"/>
      <c r="AZ226" s="1044"/>
    </row>
    <row r="227" spans="2:52" s="1025" customFormat="1">
      <c r="B227" s="824"/>
      <c r="C227" s="824"/>
      <c r="D227" s="823"/>
      <c r="E227" s="823"/>
      <c r="F227" s="823"/>
      <c r="G227" s="823"/>
      <c r="H227" s="823"/>
      <c r="I227" s="823"/>
      <c r="J227" s="823"/>
      <c r="K227" s="823"/>
      <c r="L227" s="823"/>
      <c r="M227" s="823"/>
      <c r="N227" s="823"/>
      <c r="O227" s="823"/>
      <c r="P227" s="823"/>
      <c r="Q227" s="823"/>
      <c r="R227" s="823"/>
      <c r="S227" s="823"/>
      <c r="T227" s="823"/>
      <c r="U227" s="823"/>
      <c r="V227" s="824"/>
      <c r="Z227" s="1039"/>
      <c r="AB227" s="826"/>
      <c r="AC227" s="1040"/>
      <c r="AD227" s="1041"/>
      <c r="AF227" s="1041"/>
      <c r="AH227" s="846"/>
      <c r="AJ227" s="1041"/>
      <c r="AK227" s="1041"/>
      <c r="AM227" s="1041"/>
      <c r="AO227" s="1041"/>
      <c r="AP227" s="1042"/>
      <c r="AQ227" s="1040"/>
      <c r="AR227" s="1040"/>
      <c r="AU227" s="1043"/>
      <c r="AW227" s="1044"/>
      <c r="AX227" s="1044"/>
      <c r="AY227" s="1044"/>
      <c r="AZ227" s="1044"/>
    </row>
    <row r="228" spans="2:52" s="1025" customFormat="1">
      <c r="B228" s="824"/>
      <c r="C228" s="824"/>
      <c r="D228" s="823"/>
      <c r="E228" s="823"/>
      <c r="F228" s="823"/>
      <c r="G228" s="823"/>
      <c r="H228" s="823"/>
      <c r="I228" s="823"/>
      <c r="J228" s="823"/>
      <c r="K228" s="823"/>
      <c r="L228" s="823"/>
      <c r="M228" s="823"/>
      <c r="N228" s="823"/>
      <c r="O228" s="823"/>
      <c r="P228" s="823"/>
      <c r="Q228" s="823"/>
      <c r="R228" s="823"/>
      <c r="S228" s="823"/>
      <c r="T228" s="823"/>
      <c r="U228" s="823"/>
      <c r="V228" s="824"/>
      <c r="Z228" s="1039"/>
      <c r="AB228" s="826"/>
      <c r="AC228" s="1040"/>
      <c r="AD228" s="1041"/>
      <c r="AF228" s="1041"/>
      <c r="AH228" s="846"/>
      <c r="AJ228" s="1041"/>
      <c r="AK228" s="1041"/>
      <c r="AM228" s="1041"/>
      <c r="AO228" s="1041"/>
      <c r="AP228" s="1042"/>
      <c r="AQ228" s="1040"/>
      <c r="AR228" s="1040"/>
      <c r="AU228" s="1043"/>
      <c r="AW228" s="1044"/>
      <c r="AX228" s="1044"/>
      <c r="AY228" s="1044"/>
      <c r="AZ228" s="1044"/>
    </row>
    <row r="229" spans="2:52" s="1025" customFormat="1">
      <c r="B229" s="824"/>
      <c r="C229" s="824"/>
      <c r="D229" s="823"/>
      <c r="E229" s="823"/>
      <c r="F229" s="823"/>
      <c r="G229" s="823"/>
      <c r="H229" s="823"/>
      <c r="I229" s="823"/>
      <c r="J229" s="823"/>
      <c r="K229" s="823"/>
      <c r="L229" s="823"/>
      <c r="M229" s="823"/>
      <c r="N229" s="823"/>
      <c r="O229" s="823"/>
      <c r="P229" s="823"/>
      <c r="Q229" s="823"/>
      <c r="R229" s="823"/>
      <c r="S229" s="823"/>
      <c r="T229" s="823"/>
      <c r="U229" s="823"/>
      <c r="V229" s="824"/>
      <c r="Z229" s="1039"/>
      <c r="AB229" s="826"/>
      <c r="AC229" s="1040"/>
      <c r="AD229" s="1041"/>
      <c r="AF229" s="1041"/>
      <c r="AH229" s="846"/>
      <c r="AJ229" s="1041"/>
      <c r="AK229" s="1041"/>
      <c r="AM229" s="1041"/>
      <c r="AO229" s="1041"/>
      <c r="AP229" s="1042"/>
      <c r="AQ229" s="1040"/>
      <c r="AR229" s="1040"/>
      <c r="AU229" s="1043"/>
      <c r="AW229" s="1044"/>
      <c r="AX229" s="1044"/>
      <c r="AY229" s="1044"/>
      <c r="AZ229" s="1044"/>
    </row>
    <row r="230" spans="2:52" s="1025" customFormat="1">
      <c r="B230" s="824"/>
      <c r="C230" s="824"/>
      <c r="D230" s="823"/>
      <c r="E230" s="823"/>
      <c r="F230" s="823"/>
      <c r="G230" s="823"/>
      <c r="H230" s="823"/>
      <c r="I230" s="823"/>
      <c r="J230" s="823"/>
      <c r="K230" s="823"/>
      <c r="L230" s="823"/>
      <c r="M230" s="823"/>
      <c r="N230" s="823"/>
      <c r="O230" s="823"/>
      <c r="P230" s="823"/>
      <c r="Q230" s="823"/>
      <c r="R230" s="823"/>
      <c r="S230" s="823"/>
      <c r="T230" s="823"/>
      <c r="U230" s="823"/>
      <c r="V230" s="824"/>
      <c r="Z230" s="1039"/>
      <c r="AB230" s="826"/>
      <c r="AC230" s="1040"/>
      <c r="AD230" s="1041"/>
      <c r="AF230" s="1041"/>
      <c r="AH230" s="846"/>
      <c r="AJ230" s="1041"/>
      <c r="AK230" s="1041"/>
      <c r="AM230" s="1041"/>
      <c r="AO230" s="1041"/>
      <c r="AP230" s="1042"/>
      <c r="AQ230" s="1040"/>
      <c r="AR230" s="1040"/>
      <c r="AU230" s="1043"/>
      <c r="AW230" s="1044"/>
      <c r="AX230" s="1044"/>
      <c r="AY230" s="1044"/>
      <c r="AZ230" s="1044"/>
    </row>
    <row r="231" spans="2:52" s="1025" customFormat="1">
      <c r="B231" s="824"/>
      <c r="C231" s="824"/>
      <c r="D231" s="823"/>
      <c r="E231" s="823"/>
      <c r="F231" s="823"/>
      <c r="G231" s="823"/>
      <c r="H231" s="823"/>
      <c r="I231" s="823"/>
      <c r="J231" s="823"/>
      <c r="K231" s="823"/>
      <c r="L231" s="823"/>
      <c r="M231" s="823"/>
      <c r="N231" s="823"/>
      <c r="O231" s="823"/>
      <c r="P231" s="823"/>
      <c r="Q231" s="823"/>
      <c r="R231" s="823"/>
      <c r="S231" s="823"/>
      <c r="T231" s="823"/>
      <c r="U231" s="823"/>
      <c r="V231" s="824"/>
      <c r="Z231" s="1039"/>
      <c r="AB231" s="826"/>
      <c r="AC231" s="1040"/>
      <c r="AD231" s="1041"/>
      <c r="AF231" s="1041"/>
      <c r="AH231" s="846"/>
      <c r="AJ231" s="1041"/>
      <c r="AK231" s="1041"/>
      <c r="AM231" s="1041"/>
      <c r="AO231" s="1041"/>
      <c r="AP231" s="1042"/>
      <c r="AQ231" s="1040"/>
      <c r="AR231" s="1040"/>
      <c r="AU231" s="1043"/>
      <c r="AW231" s="1044"/>
      <c r="AX231" s="1044"/>
      <c r="AY231" s="1044"/>
      <c r="AZ231" s="1044"/>
    </row>
    <row r="232" spans="2:52" s="1025" customFormat="1">
      <c r="B232" s="824"/>
      <c r="C232" s="824"/>
      <c r="D232" s="823"/>
      <c r="E232" s="823"/>
      <c r="F232" s="823"/>
      <c r="G232" s="823"/>
      <c r="H232" s="823"/>
      <c r="I232" s="823"/>
      <c r="J232" s="823"/>
      <c r="K232" s="823"/>
      <c r="L232" s="823"/>
      <c r="M232" s="823"/>
      <c r="N232" s="823"/>
      <c r="O232" s="823"/>
      <c r="P232" s="823"/>
      <c r="Q232" s="823"/>
      <c r="R232" s="823"/>
      <c r="S232" s="823"/>
      <c r="T232" s="823"/>
      <c r="U232" s="823"/>
      <c r="V232" s="824"/>
      <c r="Z232" s="1039"/>
      <c r="AB232" s="826"/>
      <c r="AC232" s="1040"/>
      <c r="AD232" s="1041"/>
      <c r="AF232" s="1041"/>
      <c r="AH232" s="846"/>
      <c r="AJ232" s="1041"/>
      <c r="AK232" s="1041"/>
      <c r="AM232" s="1041"/>
      <c r="AO232" s="1041"/>
      <c r="AP232" s="1042"/>
      <c r="AQ232" s="1040"/>
      <c r="AR232" s="1040"/>
      <c r="AU232" s="1043"/>
      <c r="AW232" s="1044"/>
      <c r="AX232" s="1044"/>
      <c r="AY232" s="1044"/>
      <c r="AZ232" s="1044"/>
    </row>
    <row r="233" spans="2:52" s="1025" customFormat="1">
      <c r="B233" s="824"/>
      <c r="C233" s="824"/>
      <c r="D233" s="823"/>
      <c r="E233" s="823"/>
      <c r="F233" s="823"/>
      <c r="G233" s="823"/>
      <c r="H233" s="823"/>
      <c r="I233" s="823"/>
      <c r="J233" s="823"/>
      <c r="K233" s="823"/>
      <c r="L233" s="823"/>
      <c r="M233" s="823"/>
      <c r="N233" s="823"/>
      <c r="O233" s="823"/>
      <c r="P233" s="823"/>
      <c r="Q233" s="823"/>
      <c r="R233" s="823"/>
      <c r="S233" s="823"/>
      <c r="T233" s="823"/>
      <c r="U233" s="823"/>
      <c r="V233" s="824"/>
      <c r="Z233" s="1039"/>
      <c r="AB233" s="826"/>
      <c r="AC233" s="1040"/>
      <c r="AD233" s="1041"/>
      <c r="AF233" s="1041"/>
      <c r="AH233" s="846"/>
      <c r="AJ233" s="1041"/>
      <c r="AK233" s="1041"/>
      <c r="AM233" s="1041"/>
      <c r="AO233" s="1041"/>
      <c r="AP233" s="1042"/>
      <c r="AQ233" s="1040"/>
      <c r="AR233" s="1040"/>
      <c r="AU233" s="1043"/>
      <c r="AW233" s="1044"/>
      <c r="AX233" s="1044"/>
      <c r="AY233" s="1044"/>
      <c r="AZ233" s="1044"/>
    </row>
    <row r="234" spans="2:52" s="1025" customFormat="1">
      <c r="B234" s="824"/>
      <c r="C234" s="824"/>
      <c r="D234" s="823"/>
      <c r="E234" s="823"/>
      <c r="F234" s="823"/>
      <c r="G234" s="823"/>
      <c r="H234" s="823"/>
      <c r="I234" s="823"/>
      <c r="J234" s="823"/>
      <c r="K234" s="823"/>
      <c r="L234" s="823"/>
      <c r="M234" s="823"/>
      <c r="N234" s="823"/>
      <c r="O234" s="823"/>
      <c r="P234" s="823"/>
      <c r="Q234" s="823"/>
      <c r="R234" s="823"/>
      <c r="S234" s="823"/>
      <c r="T234" s="823"/>
      <c r="U234" s="823"/>
      <c r="V234" s="824"/>
      <c r="Z234" s="1039"/>
      <c r="AB234" s="826"/>
      <c r="AC234" s="1040"/>
      <c r="AD234" s="1041"/>
      <c r="AF234" s="1041"/>
      <c r="AH234" s="846"/>
      <c r="AJ234" s="1041"/>
      <c r="AK234" s="1041"/>
      <c r="AM234" s="1041"/>
      <c r="AO234" s="1041"/>
      <c r="AP234" s="1042"/>
      <c r="AQ234" s="1040"/>
      <c r="AR234" s="1040"/>
      <c r="AU234" s="1043"/>
      <c r="AW234" s="1044"/>
      <c r="AX234" s="1044"/>
      <c r="AY234" s="1044"/>
      <c r="AZ234" s="1044"/>
    </row>
    <row r="235" spans="2:52" s="1025" customFormat="1">
      <c r="B235" s="824"/>
      <c r="C235" s="824"/>
      <c r="D235" s="823"/>
      <c r="E235" s="823"/>
      <c r="F235" s="823"/>
      <c r="G235" s="823"/>
      <c r="H235" s="823"/>
      <c r="I235" s="823"/>
      <c r="J235" s="823"/>
      <c r="K235" s="823"/>
      <c r="L235" s="823"/>
      <c r="M235" s="823"/>
      <c r="N235" s="823"/>
      <c r="O235" s="823"/>
      <c r="P235" s="823"/>
      <c r="Q235" s="823"/>
      <c r="R235" s="823"/>
      <c r="S235" s="823"/>
      <c r="T235" s="823"/>
      <c r="U235" s="823"/>
      <c r="V235" s="824"/>
      <c r="Z235" s="1039"/>
      <c r="AB235" s="826"/>
      <c r="AC235" s="1040"/>
      <c r="AD235" s="1041"/>
      <c r="AF235" s="1041"/>
      <c r="AH235" s="846"/>
      <c r="AJ235" s="1041"/>
      <c r="AK235" s="1041"/>
      <c r="AM235" s="1041"/>
      <c r="AO235" s="1041"/>
      <c r="AP235" s="1042"/>
      <c r="AQ235" s="1040"/>
      <c r="AR235" s="1040"/>
      <c r="AU235" s="1043"/>
      <c r="AW235" s="1044"/>
      <c r="AX235" s="1044"/>
      <c r="AY235" s="1044"/>
      <c r="AZ235" s="1044"/>
    </row>
    <row r="236" spans="2:52" s="1025" customFormat="1">
      <c r="B236" s="824"/>
      <c r="C236" s="824"/>
      <c r="D236" s="823"/>
      <c r="E236" s="823"/>
      <c r="F236" s="823"/>
      <c r="G236" s="823"/>
      <c r="H236" s="823"/>
      <c r="I236" s="823"/>
      <c r="J236" s="823"/>
      <c r="K236" s="823"/>
      <c r="L236" s="823"/>
      <c r="M236" s="823"/>
      <c r="N236" s="823"/>
      <c r="O236" s="823"/>
      <c r="P236" s="823"/>
      <c r="Q236" s="823"/>
      <c r="R236" s="823"/>
      <c r="S236" s="823"/>
      <c r="T236" s="823"/>
      <c r="U236" s="823"/>
      <c r="V236" s="824"/>
      <c r="Z236" s="1039"/>
      <c r="AB236" s="826"/>
      <c r="AC236" s="1040"/>
      <c r="AD236" s="1041"/>
      <c r="AF236" s="1041"/>
      <c r="AH236" s="846"/>
      <c r="AJ236" s="1041"/>
      <c r="AK236" s="1041"/>
      <c r="AM236" s="1041"/>
      <c r="AO236" s="1041"/>
      <c r="AP236" s="1042"/>
      <c r="AQ236" s="1040"/>
      <c r="AR236" s="1040"/>
      <c r="AU236" s="1043"/>
      <c r="AW236" s="1044"/>
      <c r="AX236" s="1044"/>
      <c r="AY236" s="1044"/>
      <c r="AZ236" s="1044"/>
    </row>
    <row r="237" spans="2:52" s="1025" customFormat="1">
      <c r="B237" s="824"/>
      <c r="C237" s="824"/>
      <c r="D237" s="823"/>
      <c r="E237" s="823"/>
      <c r="F237" s="823"/>
      <c r="G237" s="823"/>
      <c r="H237" s="823"/>
      <c r="I237" s="823"/>
      <c r="J237" s="823"/>
      <c r="K237" s="823"/>
      <c r="L237" s="823"/>
      <c r="M237" s="823"/>
      <c r="N237" s="823"/>
      <c r="O237" s="823"/>
      <c r="P237" s="823"/>
      <c r="Q237" s="823"/>
      <c r="R237" s="823"/>
      <c r="S237" s="823"/>
      <c r="T237" s="823"/>
      <c r="U237" s="823"/>
      <c r="V237" s="824"/>
      <c r="Z237" s="1039"/>
      <c r="AB237" s="826"/>
      <c r="AC237" s="1040"/>
      <c r="AD237" s="1041"/>
      <c r="AF237" s="1041"/>
      <c r="AH237" s="846"/>
      <c r="AJ237" s="1041"/>
      <c r="AK237" s="1041"/>
      <c r="AM237" s="1041"/>
      <c r="AO237" s="1041"/>
      <c r="AP237" s="1042"/>
      <c r="AQ237" s="1040"/>
      <c r="AR237" s="1040"/>
      <c r="AU237" s="1043"/>
      <c r="AW237" s="1044"/>
      <c r="AX237" s="1044"/>
      <c r="AY237" s="1044"/>
      <c r="AZ237" s="1044"/>
    </row>
    <row r="238" spans="2:52" s="1025" customFormat="1">
      <c r="B238" s="824"/>
      <c r="C238" s="824"/>
      <c r="D238" s="823"/>
      <c r="E238" s="823"/>
      <c r="F238" s="823"/>
      <c r="G238" s="823"/>
      <c r="H238" s="823"/>
      <c r="I238" s="823"/>
      <c r="J238" s="823"/>
      <c r="K238" s="823"/>
      <c r="L238" s="823"/>
      <c r="M238" s="823"/>
      <c r="N238" s="823"/>
      <c r="O238" s="823"/>
      <c r="P238" s="823"/>
      <c r="Q238" s="823"/>
      <c r="R238" s="823"/>
      <c r="S238" s="823"/>
      <c r="T238" s="823"/>
      <c r="U238" s="823"/>
      <c r="V238" s="824"/>
      <c r="Z238" s="1039"/>
      <c r="AB238" s="826"/>
      <c r="AC238" s="1040"/>
      <c r="AD238" s="1041"/>
      <c r="AF238" s="1041"/>
      <c r="AH238" s="846"/>
      <c r="AJ238" s="1041"/>
      <c r="AK238" s="1041"/>
      <c r="AM238" s="1041"/>
      <c r="AO238" s="1041"/>
      <c r="AP238" s="1042"/>
      <c r="AQ238" s="1040"/>
      <c r="AR238" s="1040"/>
      <c r="AU238" s="1043"/>
      <c r="AW238" s="1044"/>
      <c r="AX238" s="1044"/>
      <c r="AY238" s="1044"/>
      <c r="AZ238" s="1044"/>
    </row>
    <row r="239" spans="2:52" s="1025" customFormat="1">
      <c r="B239" s="824"/>
      <c r="C239" s="824"/>
      <c r="D239" s="823"/>
      <c r="E239" s="823"/>
      <c r="F239" s="823"/>
      <c r="G239" s="823"/>
      <c r="H239" s="823"/>
      <c r="I239" s="823"/>
      <c r="J239" s="823"/>
      <c r="K239" s="823"/>
      <c r="L239" s="823"/>
      <c r="M239" s="823"/>
      <c r="N239" s="823"/>
      <c r="O239" s="823"/>
      <c r="P239" s="823"/>
      <c r="Q239" s="823"/>
      <c r="R239" s="823"/>
      <c r="S239" s="823"/>
      <c r="T239" s="823"/>
      <c r="U239" s="823"/>
      <c r="V239" s="824"/>
      <c r="Z239" s="1039"/>
      <c r="AB239" s="826"/>
      <c r="AC239" s="1040"/>
      <c r="AD239" s="1041"/>
      <c r="AF239" s="1041"/>
      <c r="AH239" s="846"/>
      <c r="AJ239" s="1041"/>
      <c r="AK239" s="1041"/>
      <c r="AM239" s="1041"/>
      <c r="AO239" s="1041"/>
      <c r="AP239" s="1042"/>
      <c r="AQ239" s="1040"/>
      <c r="AR239" s="1040"/>
      <c r="AU239" s="1043"/>
      <c r="AW239" s="1044"/>
      <c r="AX239" s="1044"/>
      <c r="AY239" s="1044"/>
      <c r="AZ239" s="1044"/>
    </row>
    <row r="240" spans="2:52" s="1025" customFormat="1">
      <c r="B240" s="824"/>
      <c r="C240" s="824"/>
      <c r="D240" s="823"/>
      <c r="E240" s="823"/>
      <c r="F240" s="823"/>
      <c r="G240" s="823"/>
      <c r="H240" s="823"/>
      <c r="I240" s="823"/>
      <c r="J240" s="823"/>
      <c r="K240" s="823"/>
      <c r="L240" s="823"/>
      <c r="M240" s="823"/>
      <c r="N240" s="823"/>
      <c r="O240" s="823"/>
      <c r="P240" s="823"/>
      <c r="Q240" s="823"/>
      <c r="R240" s="823"/>
      <c r="S240" s="823"/>
      <c r="T240" s="823"/>
      <c r="U240" s="823"/>
      <c r="V240" s="824"/>
      <c r="Z240" s="1039"/>
      <c r="AB240" s="826"/>
      <c r="AC240" s="1040"/>
      <c r="AD240" s="1041"/>
      <c r="AF240" s="1041"/>
      <c r="AH240" s="846"/>
      <c r="AJ240" s="1041"/>
      <c r="AK240" s="1041"/>
      <c r="AM240" s="1041"/>
      <c r="AO240" s="1041"/>
      <c r="AP240" s="1042"/>
      <c r="AQ240" s="1040"/>
      <c r="AR240" s="1040"/>
      <c r="AU240" s="1043"/>
      <c r="AW240" s="1044"/>
      <c r="AX240" s="1044"/>
      <c r="AY240" s="1044"/>
      <c r="AZ240" s="1044"/>
    </row>
    <row r="241" spans="2:52" s="1025" customFormat="1">
      <c r="B241" s="824"/>
      <c r="C241" s="824"/>
      <c r="D241" s="823"/>
      <c r="E241" s="823"/>
      <c r="F241" s="823"/>
      <c r="G241" s="823"/>
      <c r="H241" s="823"/>
      <c r="I241" s="823"/>
      <c r="J241" s="823"/>
      <c r="K241" s="823"/>
      <c r="L241" s="823"/>
      <c r="M241" s="823"/>
      <c r="N241" s="823"/>
      <c r="O241" s="823"/>
      <c r="P241" s="823"/>
      <c r="Q241" s="823"/>
      <c r="R241" s="823"/>
      <c r="S241" s="823"/>
      <c r="T241" s="823"/>
      <c r="U241" s="823"/>
      <c r="V241" s="824"/>
      <c r="Z241" s="1039"/>
      <c r="AB241" s="826"/>
      <c r="AC241" s="1040"/>
      <c r="AD241" s="1041"/>
      <c r="AF241" s="1041"/>
      <c r="AH241" s="846"/>
      <c r="AJ241" s="1041"/>
      <c r="AK241" s="1041"/>
      <c r="AM241" s="1041"/>
      <c r="AO241" s="1041"/>
      <c r="AP241" s="1042"/>
      <c r="AQ241" s="1040"/>
      <c r="AR241" s="1040"/>
      <c r="AU241" s="1043"/>
      <c r="AW241" s="1044"/>
      <c r="AX241" s="1044"/>
      <c r="AY241" s="1044"/>
      <c r="AZ241" s="1044"/>
    </row>
    <row r="242" spans="2:52" s="1025" customFormat="1">
      <c r="B242" s="824"/>
      <c r="C242" s="824"/>
      <c r="D242" s="823"/>
      <c r="E242" s="823"/>
      <c r="F242" s="823"/>
      <c r="G242" s="823"/>
      <c r="H242" s="823"/>
      <c r="I242" s="823"/>
      <c r="J242" s="823"/>
      <c r="K242" s="823"/>
      <c r="L242" s="823"/>
      <c r="M242" s="823"/>
      <c r="N242" s="823"/>
      <c r="O242" s="823"/>
      <c r="P242" s="823"/>
      <c r="Q242" s="823"/>
      <c r="R242" s="823"/>
      <c r="S242" s="823"/>
      <c r="T242" s="823"/>
      <c r="U242" s="823"/>
      <c r="V242" s="824"/>
      <c r="Z242" s="1039"/>
      <c r="AB242" s="826"/>
      <c r="AC242" s="1040"/>
      <c r="AD242" s="1041"/>
      <c r="AF242" s="1041"/>
      <c r="AH242" s="846"/>
      <c r="AJ242" s="1041"/>
      <c r="AK242" s="1041"/>
      <c r="AM242" s="1041"/>
      <c r="AO242" s="1041"/>
      <c r="AP242" s="1042"/>
      <c r="AQ242" s="1040"/>
      <c r="AR242" s="1040"/>
      <c r="AU242" s="1043"/>
      <c r="AW242" s="1044"/>
      <c r="AX242" s="1044"/>
      <c r="AY242" s="1044"/>
      <c r="AZ242" s="1044"/>
    </row>
    <row r="243" spans="2:52" s="1025" customFormat="1">
      <c r="B243" s="824"/>
      <c r="C243" s="824"/>
      <c r="D243" s="823"/>
      <c r="E243" s="823"/>
      <c r="F243" s="823"/>
      <c r="G243" s="823"/>
      <c r="H243" s="823"/>
      <c r="I243" s="823"/>
      <c r="J243" s="823"/>
      <c r="K243" s="823"/>
      <c r="L243" s="823"/>
      <c r="M243" s="823"/>
      <c r="N243" s="823"/>
      <c r="O243" s="823"/>
      <c r="P243" s="823"/>
      <c r="Q243" s="823"/>
      <c r="R243" s="823"/>
      <c r="S243" s="823"/>
      <c r="T243" s="823"/>
      <c r="U243" s="823"/>
      <c r="V243" s="824"/>
      <c r="Z243" s="1039"/>
      <c r="AB243" s="826"/>
      <c r="AC243" s="1040"/>
      <c r="AD243" s="1041"/>
      <c r="AF243" s="1041"/>
      <c r="AH243" s="846"/>
      <c r="AJ243" s="1041"/>
      <c r="AK243" s="1041"/>
      <c r="AM243" s="1041"/>
      <c r="AO243" s="1041"/>
      <c r="AP243" s="1042"/>
      <c r="AQ243" s="1040"/>
      <c r="AR243" s="1040"/>
      <c r="AU243" s="1043"/>
      <c r="AW243" s="1044"/>
      <c r="AX243" s="1044"/>
      <c r="AY243" s="1044"/>
      <c r="AZ243" s="1044"/>
    </row>
    <row r="244" spans="2:52" s="1025" customFormat="1">
      <c r="B244" s="824"/>
      <c r="C244" s="824"/>
      <c r="D244" s="823"/>
      <c r="E244" s="823"/>
      <c r="F244" s="823"/>
      <c r="G244" s="823"/>
      <c r="H244" s="823"/>
      <c r="I244" s="823"/>
      <c r="J244" s="823"/>
      <c r="K244" s="823"/>
      <c r="L244" s="823"/>
      <c r="M244" s="823"/>
      <c r="N244" s="823"/>
      <c r="O244" s="823"/>
      <c r="P244" s="823"/>
      <c r="Q244" s="823"/>
      <c r="R244" s="823"/>
      <c r="S244" s="823"/>
      <c r="T244" s="823"/>
      <c r="U244" s="823"/>
      <c r="V244" s="824"/>
      <c r="Z244" s="1039"/>
      <c r="AB244" s="826"/>
      <c r="AC244" s="1040"/>
      <c r="AD244" s="1041"/>
      <c r="AF244" s="1041"/>
      <c r="AH244" s="846"/>
      <c r="AJ244" s="1041"/>
      <c r="AK244" s="1041"/>
      <c r="AM244" s="1041"/>
      <c r="AO244" s="1041"/>
      <c r="AP244" s="1042"/>
      <c r="AQ244" s="1040"/>
      <c r="AR244" s="1040"/>
      <c r="AU244" s="1043"/>
      <c r="AW244" s="1044"/>
      <c r="AX244" s="1044"/>
      <c r="AY244" s="1044"/>
      <c r="AZ244" s="1044"/>
    </row>
    <row r="245" spans="2:52" s="1025" customFormat="1">
      <c r="B245" s="824"/>
      <c r="C245" s="824"/>
      <c r="D245" s="823"/>
      <c r="E245" s="823"/>
      <c r="F245" s="823"/>
      <c r="G245" s="823"/>
      <c r="H245" s="823"/>
      <c r="I245" s="823"/>
      <c r="J245" s="823"/>
      <c r="K245" s="823"/>
      <c r="L245" s="823"/>
      <c r="M245" s="823"/>
      <c r="N245" s="823"/>
      <c r="O245" s="823"/>
      <c r="P245" s="823"/>
      <c r="Q245" s="823"/>
      <c r="R245" s="823"/>
      <c r="S245" s="823"/>
      <c r="T245" s="823"/>
      <c r="U245" s="823"/>
      <c r="V245" s="824"/>
      <c r="Z245" s="1039"/>
      <c r="AB245" s="826"/>
      <c r="AC245" s="1040"/>
      <c r="AD245" s="1041"/>
      <c r="AF245" s="1041"/>
      <c r="AH245" s="846"/>
      <c r="AJ245" s="1041"/>
      <c r="AK245" s="1041"/>
      <c r="AM245" s="1041"/>
      <c r="AO245" s="1041"/>
      <c r="AP245" s="1042"/>
      <c r="AQ245" s="1040"/>
      <c r="AR245" s="1040"/>
      <c r="AU245" s="1043"/>
      <c r="AW245" s="1044"/>
      <c r="AX245" s="1044"/>
      <c r="AY245" s="1044"/>
      <c r="AZ245" s="1044"/>
    </row>
    <row r="246" spans="2:52" s="1025" customFormat="1">
      <c r="B246" s="824"/>
      <c r="C246" s="824"/>
      <c r="D246" s="823"/>
      <c r="E246" s="823"/>
      <c r="F246" s="823"/>
      <c r="G246" s="823"/>
      <c r="H246" s="823"/>
      <c r="I246" s="823"/>
      <c r="J246" s="823"/>
      <c r="K246" s="823"/>
      <c r="L246" s="823"/>
      <c r="M246" s="823"/>
      <c r="N246" s="823"/>
      <c r="O246" s="823"/>
      <c r="P246" s="823"/>
      <c r="Q246" s="823"/>
      <c r="R246" s="823"/>
      <c r="S246" s="823"/>
      <c r="T246" s="823"/>
      <c r="U246" s="823"/>
      <c r="V246" s="824"/>
      <c r="Z246" s="1039"/>
      <c r="AB246" s="826"/>
      <c r="AC246" s="1040"/>
      <c r="AD246" s="1041"/>
      <c r="AF246" s="1041"/>
      <c r="AH246" s="846"/>
      <c r="AJ246" s="1041"/>
      <c r="AK246" s="1041"/>
      <c r="AM246" s="1041"/>
      <c r="AO246" s="1041"/>
      <c r="AP246" s="1042"/>
      <c r="AQ246" s="1040"/>
      <c r="AR246" s="1040"/>
      <c r="AU246" s="1043"/>
      <c r="AW246" s="1044"/>
      <c r="AX246" s="1044"/>
      <c r="AY246" s="1044"/>
      <c r="AZ246" s="1044"/>
    </row>
    <row r="247" spans="2:52" s="1025" customFormat="1">
      <c r="B247" s="824"/>
      <c r="C247" s="824"/>
      <c r="D247" s="823"/>
      <c r="E247" s="823"/>
      <c r="F247" s="823"/>
      <c r="G247" s="823"/>
      <c r="H247" s="823"/>
      <c r="I247" s="823"/>
      <c r="J247" s="823"/>
      <c r="K247" s="823"/>
      <c r="L247" s="823"/>
      <c r="M247" s="823"/>
      <c r="N247" s="823"/>
      <c r="O247" s="823"/>
      <c r="P247" s="823"/>
      <c r="Q247" s="823"/>
      <c r="R247" s="823"/>
      <c r="S247" s="823"/>
      <c r="T247" s="823"/>
      <c r="U247" s="823"/>
      <c r="V247" s="824"/>
      <c r="Z247" s="1039"/>
      <c r="AB247" s="826"/>
      <c r="AC247" s="1040"/>
      <c r="AD247" s="1041"/>
      <c r="AF247" s="1041"/>
      <c r="AH247" s="846"/>
      <c r="AJ247" s="1041"/>
      <c r="AK247" s="1041"/>
      <c r="AM247" s="1041"/>
      <c r="AO247" s="1041"/>
      <c r="AP247" s="1042"/>
      <c r="AQ247" s="1040"/>
      <c r="AR247" s="1040"/>
      <c r="AU247" s="1043"/>
      <c r="AW247" s="1044"/>
      <c r="AX247" s="1044"/>
      <c r="AY247" s="1044"/>
      <c r="AZ247" s="1044"/>
    </row>
    <row r="248" spans="2:52" s="1025" customFormat="1">
      <c r="B248" s="824"/>
      <c r="C248" s="824"/>
      <c r="D248" s="823"/>
      <c r="E248" s="823"/>
      <c r="F248" s="823"/>
      <c r="G248" s="823"/>
      <c r="H248" s="823"/>
      <c r="I248" s="823"/>
      <c r="J248" s="823"/>
      <c r="K248" s="823"/>
      <c r="L248" s="823"/>
      <c r="M248" s="823"/>
      <c r="N248" s="823"/>
      <c r="O248" s="823"/>
      <c r="P248" s="823"/>
      <c r="Q248" s="823"/>
      <c r="R248" s="823"/>
      <c r="S248" s="823"/>
      <c r="T248" s="823"/>
      <c r="U248" s="823"/>
      <c r="V248" s="824"/>
      <c r="Z248" s="1039"/>
      <c r="AB248" s="826"/>
      <c r="AC248" s="1040"/>
      <c r="AD248" s="1041"/>
      <c r="AF248" s="1041"/>
      <c r="AH248" s="846"/>
      <c r="AJ248" s="1041"/>
      <c r="AK248" s="1041"/>
      <c r="AM248" s="1041"/>
      <c r="AO248" s="1041"/>
      <c r="AP248" s="1042"/>
      <c r="AQ248" s="1040"/>
      <c r="AR248" s="1040"/>
      <c r="AU248" s="1043"/>
      <c r="AW248" s="1044"/>
      <c r="AX248" s="1044"/>
      <c r="AY248" s="1044"/>
      <c r="AZ248" s="1044"/>
    </row>
    <row r="249" spans="2:52" s="1025" customFormat="1">
      <c r="B249" s="824"/>
      <c r="C249" s="824"/>
      <c r="D249" s="823"/>
      <c r="E249" s="823"/>
      <c r="F249" s="823"/>
      <c r="G249" s="823"/>
      <c r="H249" s="823"/>
      <c r="I249" s="823"/>
      <c r="J249" s="823"/>
      <c r="K249" s="823"/>
      <c r="L249" s="823"/>
      <c r="M249" s="823"/>
      <c r="N249" s="823"/>
      <c r="O249" s="823"/>
      <c r="P249" s="823"/>
      <c r="Q249" s="823"/>
      <c r="R249" s="823"/>
      <c r="S249" s="823"/>
      <c r="T249" s="823"/>
      <c r="U249" s="823"/>
      <c r="V249" s="824"/>
      <c r="Z249" s="1039"/>
      <c r="AB249" s="826"/>
      <c r="AC249" s="1040"/>
      <c r="AD249" s="1041"/>
      <c r="AF249" s="1041"/>
      <c r="AH249" s="846"/>
      <c r="AJ249" s="1041"/>
      <c r="AK249" s="1041"/>
      <c r="AM249" s="1041"/>
      <c r="AO249" s="1041"/>
      <c r="AP249" s="1042"/>
      <c r="AQ249" s="1040"/>
      <c r="AR249" s="1040"/>
      <c r="AU249" s="1043"/>
      <c r="AW249" s="1044"/>
      <c r="AX249" s="1044"/>
      <c r="AY249" s="1044"/>
      <c r="AZ249" s="1044"/>
    </row>
    <row r="250" spans="2:52" s="1025" customFormat="1">
      <c r="B250" s="824"/>
      <c r="C250" s="824"/>
      <c r="D250" s="823"/>
      <c r="E250" s="823"/>
      <c r="F250" s="823"/>
      <c r="G250" s="823"/>
      <c r="H250" s="823"/>
      <c r="I250" s="823"/>
      <c r="J250" s="823"/>
      <c r="K250" s="823"/>
      <c r="L250" s="823"/>
      <c r="M250" s="823"/>
      <c r="N250" s="823"/>
      <c r="O250" s="823"/>
      <c r="P250" s="823"/>
      <c r="Q250" s="823"/>
      <c r="R250" s="823"/>
      <c r="S250" s="823"/>
      <c r="T250" s="823"/>
      <c r="U250" s="823"/>
      <c r="V250" s="824"/>
      <c r="Z250" s="1039"/>
      <c r="AB250" s="826"/>
      <c r="AC250" s="1040"/>
      <c r="AD250" s="1041"/>
      <c r="AF250" s="1041"/>
      <c r="AH250" s="846"/>
      <c r="AJ250" s="1041"/>
      <c r="AK250" s="1041"/>
      <c r="AM250" s="1041"/>
      <c r="AO250" s="1041"/>
      <c r="AP250" s="1042"/>
      <c r="AQ250" s="1040"/>
      <c r="AR250" s="1040"/>
      <c r="AU250" s="1043"/>
      <c r="AW250" s="1044"/>
      <c r="AX250" s="1044"/>
      <c r="AY250" s="1044"/>
      <c r="AZ250" s="1044"/>
    </row>
    <row r="251" spans="2:52" s="1025" customFormat="1">
      <c r="B251" s="824"/>
      <c r="C251" s="824"/>
      <c r="D251" s="823"/>
      <c r="E251" s="823"/>
      <c r="F251" s="823"/>
      <c r="G251" s="823"/>
      <c r="H251" s="823"/>
      <c r="I251" s="823"/>
      <c r="J251" s="823"/>
      <c r="K251" s="823"/>
      <c r="L251" s="823"/>
      <c r="M251" s="823"/>
      <c r="N251" s="823"/>
      <c r="O251" s="823"/>
      <c r="P251" s="823"/>
      <c r="Q251" s="823"/>
      <c r="R251" s="823"/>
      <c r="S251" s="823"/>
      <c r="T251" s="823"/>
      <c r="U251" s="823"/>
      <c r="V251" s="824"/>
      <c r="Z251" s="1039"/>
      <c r="AB251" s="826"/>
      <c r="AC251" s="1040"/>
      <c r="AD251" s="1041"/>
      <c r="AF251" s="1041"/>
      <c r="AH251" s="846"/>
      <c r="AJ251" s="1041"/>
      <c r="AK251" s="1041"/>
      <c r="AM251" s="1041"/>
      <c r="AO251" s="1041"/>
      <c r="AP251" s="1042"/>
      <c r="AQ251" s="1040"/>
      <c r="AR251" s="1040"/>
      <c r="AU251" s="1043"/>
      <c r="AW251" s="1044"/>
      <c r="AX251" s="1044"/>
      <c r="AY251" s="1044"/>
      <c r="AZ251" s="1044"/>
    </row>
    <row r="252" spans="2:52" s="1025" customFormat="1">
      <c r="B252" s="824"/>
      <c r="C252" s="824"/>
      <c r="D252" s="823"/>
      <c r="E252" s="823"/>
      <c r="F252" s="823"/>
      <c r="G252" s="823"/>
      <c r="H252" s="823"/>
      <c r="I252" s="823"/>
      <c r="J252" s="823"/>
      <c r="K252" s="823"/>
      <c r="L252" s="823"/>
      <c r="M252" s="823"/>
      <c r="N252" s="823"/>
      <c r="O252" s="823"/>
      <c r="P252" s="823"/>
      <c r="Q252" s="823"/>
      <c r="R252" s="823"/>
      <c r="S252" s="823"/>
      <c r="T252" s="823"/>
      <c r="U252" s="823"/>
      <c r="V252" s="824"/>
      <c r="Z252" s="1039"/>
      <c r="AB252" s="826"/>
      <c r="AC252" s="1040"/>
      <c r="AD252" s="1041"/>
      <c r="AF252" s="1041"/>
      <c r="AH252" s="846"/>
      <c r="AJ252" s="1041"/>
      <c r="AK252" s="1041"/>
      <c r="AM252" s="1041"/>
      <c r="AO252" s="1041"/>
      <c r="AP252" s="1042"/>
      <c r="AQ252" s="1040"/>
      <c r="AR252" s="1040"/>
      <c r="AU252" s="1043"/>
      <c r="AW252" s="1044"/>
      <c r="AX252" s="1044"/>
      <c r="AY252" s="1044"/>
      <c r="AZ252" s="1044"/>
    </row>
    <row r="253" spans="2:52" s="1025" customFormat="1">
      <c r="B253" s="824"/>
      <c r="C253" s="824"/>
      <c r="D253" s="823"/>
      <c r="E253" s="823"/>
      <c r="F253" s="823"/>
      <c r="G253" s="823"/>
      <c r="H253" s="823"/>
      <c r="I253" s="823"/>
      <c r="J253" s="823"/>
      <c r="K253" s="823"/>
      <c r="L253" s="823"/>
      <c r="M253" s="823"/>
      <c r="N253" s="823"/>
      <c r="O253" s="823"/>
      <c r="P253" s="823"/>
      <c r="Q253" s="823"/>
      <c r="R253" s="823"/>
      <c r="S253" s="823"/>
      <c r="T253" s="823"/>
      <c r="U253" s="823"/>
      <c r="V253" s="824"/>
      <c r="Z253" s="1039"/>
      <c r="AB253" s="826"/>
      <c r="AC253" s="1040"/>
      <c r="AD253" s="1041"/>
      <c r="AF253" s="1041"/>
      <c r="AH253" s="846"/>
      <c r="AJ253" s="1041"/>
      <c r="AK253" s="1041"/>
      <c r="AM253" s="1041"/>
      <c r="AO253" s="1041"/>
      <c r="AP253" s="1042"/>
      <c r="AQ253" s="1040"/>
      <c r="AR253" s="1040"/>
      <c r="AU253" s="1043"/>
      <c r="AW253" s="1044"/>
      <c r="AX253" s="1044"/>
      <c r="AY253" s="1044"/>
      <c r="AZ253" s="1044"/>
    </row>
    <row r="254" spans="2:52" s="1025" customFormat="1">
      <c r="B254" s="824"/>
      <c r="C254" s="824"/>
      <c r="D254" s="823"/>
      <c r="E254" s="823"/>
      <c r="F254" s="823"/>
      <c r="G254" s="823"/>
      <c r="H254" s="823"/>
      <c r="I254" s="823"/>
      <c r="J254" s="823"/>
      <c r="K254" s="823"/>
      <c r="L254" s="823"/>
      <c r="M254" s="823"/>
      <c r="N254" s="823"/>
      <c r="O254" s="823"/>
      <c r="P254" s="823"/>
      <c r="Q254" s="823"/>
      <c r="R254" s="823"/>
      <c r="S254" s="823"/>
      <c r="T254" s="823"/>
      <c r="U254" s="823"/>
      <c r="V254" s="824"/>
      <c r="Z254" s="1039"/>
      <c r="AB254" s="826"/>
      <c r="AC254" s="1040"/>
      <c r="AD254" s="1041"/>
      <c r="AF254" s="1041"/>
      <c r="AH254" s="846"/>
      <c r="AJ254" s="1041"/>
      <c r="AK254" s="1041"/>
      <c r="AM254" s="1041"/>
      <c r="AO254" s="1041"/>
      <c r="AP254" s="1042"/>
      <c r="AQ254" s="1040"/>
      <c r="AR254" s="1040"/>
      <c r="AU254" s="1043"/>
      <c r="AW254" s="1044"/>
      <c r="AX254" s="1044"/>
      <c r="AY254" s="1044"/>
      <c r="AZ254" s="1044"/>
    </row>
    <row r="255" spans="2:52" s="1025" customFormat="1">
      <c r="B255" s="824"/>
      <c r="C255" s="824"/>
      <c r="D255" s="823"/>
      <c r="E255" s="823"/>
      <c r="F255" s="823"/>
      <c r="G255" s="823"/>
      <c r="H255" s="823"/>
      <c r="I255" s="823"/>
      <c r="J255" s="823"/>
      <c r="K255" s="823"/>
      <c r="L255" s="823"/>
      <c r="M255" s="823"/>
      <c r="N255" s="823"/>
      <c r="O255" s="823"/>
      <c r="P255" s="823"/>
      <c r="Q255" s="823"/>
      <c r="R255" s="823"/>
      <c r="S255" s="823"/>
      <c r="T255" s="823"/>
      <c r="U255" s="823"/>
      <c r="V255" s="824"/>
      <c r="Z255" s="1039"/>
      <c r="AB255" s="826"/>
      <c r="AC255" s="1040"/>
      <c r="AD255" s="1041"/>
      <c r="AF255" s="1041"/>
      <c r="AH255" s="846"/>
      <c r="AJ255" s="1041"/>
      <c r="AK255" s="1041"/>
      <c r="AM255" s="1041"/>
      <c r="AO255" s="1041"/>
      <c r="AP255" s="1042"/>
      <c r="AQ255" s="1040"/>
      <c r="AR255" s="1040"/>
      <c r="AU255" s="1043"/>
      <c r="AW255" s="1044"/>
      <c r="AX255" s="1044"/>
      <c r="AY255" s="1044"/>
      <c r="AZ255" s="1044"/>
    </row>
    <row r="256" spans="2:52" s="1025" customFormat="1">
      <c r="B256" s="824"/>
      <c r="C256" s="824"/>
      <c r="D256" s="823"/>
      <c r="E256" s="823"/>
      <c r="F256" s="823"/>
      <c r="G256" s="823"/>
      <c r="H256" s="823"/>
      <c r="I256" s="823"/>
      <c r="J256" s="823"/>
      <c r="K256" s="823"/>
      <c r="L256" s="823"/>
      <c r="M256" s="823"/>
      <c r="N256" s="823"/>
      <c r="O256" s="823"/>
      <c r="P256" s="823"/>
      <c r="Q256" s="823"/>
      <c r="R256" s="823"/>
      <c r="S256" s="823"/>
      <c r="T256" s="823"/>
      <c r="U256" s="823"/>
      <c r="V256" s="824"/>
      <c r="Z256" s="1039"/>
      <c r="AB256" s="826"/>
      <c r="AC256" s="1040"/>
      <c r="AD256" s="1041"/>
      <c r="AF256" s="1041"/>
      <c r="AH256" s="846"/>
      <c r="AJ256" s="1041"/>
      <c r="AK256" s="1041"/>
      <c r="AM256" s="1041"/>
      <c r="AO256" s="1041"/>
      <c r="AP256" s="1042"/>
      <c r="AQ256" s="1040"/>
      <c r="AR256" s="1040"/>
      <c r="AU256" s="1043"/>
      <c r="AW256" s="1044"/>
      <c r="AX256" s="1044"/>
      <c r="AY256" s="1044"/>
      <c r="AZ256" s="1044"/>
    </row>
    <row r="257" spans="2:52" s="1025" customFormat="1">
      <c r="B257" s="824"/>
      <c r="C257" s="824"/>
      <c r="D257" s="823"/>
      <c r="E257" s="823"/>
      <c r="F257" s="823"/>
      <c r="G257" s="823"/>
      <c r="H257" s="823"/>
      <c r="I257" s="823"/>
      <c r="J257" s="823"/>
      <c r="K257" s="823"/>
      <c r="L257" s="823"/>
      <c r="M257" s="823"/>
      <c r="N257" s="823"/>
      <c r="O257" s="823"/>
      <c r="P257" s="823"/>
      <c r="Q257" s="823"/>
      <c r="R257" s="823"/>
      <c r="S257" s="823"/>
      <c r="T257" s="823"/>
      <c r="U257" s="823"/>
      <c r="V257" s="824"/>
      <c r="Z257" s="1039"/>
      <c r="AB257" s="826"/>
      <c r="AC257" s="1040"/>
      <c r="AD257" s="1041"/>
      <c r="AF257" s="1041"/>
      <c r="AH257" s="846"/>
      <c r="AJ257" s="1041"/>
      <c r="AK257" s="1041"/>
      <c r="AM257" s="1041"/>
      <c r="AO257" s="1041"/>
      <c r="AP257" s="1042"/>
      <c r="AQ257" s="1040"/>
      <c r="AR257" s="1040"/>
      <c r="AU257" s="1043"/>
      <c r="AW257" s="1044"/>
      <c r="AX257" s="1044"/>
      <c r="AY257" s="1044"/>
      <c r="AZ257" s="1044"/>
    </row>
    <row r="258" spans="2:52" s="1025" customFormat="1">
      <c r="B258" s="824"/>
      <c r="C258" s="824"/>
      <c r="D258" s="823"/>
      <c r="E258" s="823"/>
      <c r="F258" s="823"/>
      <c r="G258" s="823"/>
      <c r="H258" s="823"/>
      <c r="I258" s="823"/>
      <c r="J258" s="823"/>
      <c r="K258" s="823"/>
      <c r="L258" s="823"/>
      <c r="M258" s="823"/>
      <c r="N258" s="823"/>
      <c r="O258" s="823"/>
      <c r="P258" s="823"/>
      <c r="Q258" s="823"/>
      <c r="R258" s="823"/>
      <c r="S258" s="823"/>
      <c r="T258" s="823"/>
      <c r="U258" s="823"/>
      <c r="V258" s="824"/>
      <c r="Z258" s="1039"/>
      <c r="AB258" s="826"/>
      <c r="AC258" s="1040"/>
      <c r="AD258" s="1041"/>
      <c r="AF258" s="1041"/>
      <c r="AH258" s="846"/>
      <c r="AJ258" s="1041"/>
      <c r="AK258" s="1041"/>
      <c r="AM258" s="1041"/>
      <c r="AO258" s="1041"/>
      <c r="AP258" s="1042"/>
      <c r="AQ258" s="1040"/>
      <c r="AR258" s="1040"/>
      <c r="AU258" s="1043"/>
      <c r="AW258" s="1044"/>
      <c r="AX258" s="1044"/>
      <c r="AY258" s="1044"/>
      <c r="AZ258" s="1044"/>
    </row>
    <row r="259" spans="2:52" s="1025" customFormat="1">
      <c r="B259" s="824"/>
      <c r="C259" s="824"/>
      <c r="D259" s="823"/>
      <c r="E259" s="823"/>
      <c r="F259" s="823"/>
      <c r="G259" s="823"/>
      <c r="H259" s="823"/>
      <c r="I259" s="823"/>
      <c r="J259" s="823"/>
      <c r="K259" s="823"/>
      <c r="L259" s="823"/>
      <c r="M259" s="823"/>
      <c r="N259" s="823"/>
      <c r="O259" s="823"/>
      <c r="P259" s="823"/>
      <c r="Q259" s="823"/>
      <c r="R259" s="823"/>
      <c r="S259" s="823"/>
      <c r="T259" s="823"/>
      <c r="U259" s="823"/>
      <c r="V259" s="824"/>
      <c r="Z259" s="1039"/>
      <c r="AB259" s="826"/>
      <c r="AC259" s="1040"/>
      <c r="AD259" s="1041"/>
      <c r="AF259" s="1041"/>
      <c r="AH259" s="846"/>
      <c r="AJ259" s="1041"/>
      <c r="AK259" s="1041"/>
      <c r="AM259" s="1041"/>
      <c r="AO259" s="1041"/>
      <c r="AP259" s="1042"/>
      <c r="AQ259" s="1040"/>
      <c r="AR259" s="1040"/>
      <c r="AU259" s="1043"/>
      <c r="AW259" s="1044"/>
      <c r="AX259" s="1044"/>
      <c r="AY259" s="1044"/>
      <c r="AZ259" s="1044"/>
    </row>
    <row r="260" spans="2:52" s="1025" customFormat="1">
      <c r="B260" s="824"/>
      <c r="C260" s="824"/>
      <c r="D260" s="823"/>
      <c r="E260" s="823"/>
      <c r="F260" s="823"/>
      <c r="G260" s="823"/>
      <c r="H260" s="823"/>
      <c r="I260" s="823"/>
      <c r="J260" s="823"/>
      <c r="K260" s="823"/>
      <c r="L260" s="823"/>
      <c r="M260" s="823"/>
      <c r="N260" s="823"/>
      <c r="O260" s="823"/>
      <c r="P260" s="823"/>
      <c r="Q260" s="823"/>
      <c r="R260" s="823"/>
      <c r="S260" s="823"/>
      <c r="T260" s="823"/>
      <c r="U260" s="823"/>
      <c r="V260" s="824"/>
      <c r="Z260" s="1039"/>
      <c r="AB260" s="826"/>
      <c r="AC260" s="1040"/>
      <c r="AD260" s="1041"/>
      <c r="AF260" s="1041"/>
      <c r="AH260" s="846"/>
      <c r="AJ260" s="1041"/>
      <c r="AK260" s="1041"/>
      <c r="AM260" s="1041"/>
      <c r="AO260" s="1041"/>
      <c r="AP260" s="1042"/>
      <c r="AQ260" s="1040"/>
      <c r="AR260" s="1040"/>
      <c r="AU260" s="1043"/>
      <c r="AW260" s="1044"/>
      <c r="AX260" s="1044"/>
      <c r="AY260" s="1044"/>
      <c r="AZ260" s="1044"/>
    </row>
    <row r="261" spans="2:52" s="1025" customFormat="1">
      <c r="B261" s="824"/>
      <c r="C261" s="824"/>
      <c r="D261" s="823"/>
      <c r="E261" s="823"/>
      <c r="F261" s="823"/>
      <c r="G261" s="823"/>
      <c r="H261" s="823"/>
      <c r="I261" s="823"/>
      <c r="J261" s="823"/>
      <c r="K261" s="823"/>
      <c r="L261" s="823"/>
      <c r="M261" s="823"/>
      <c r="N261" s="823"/>
      <c r="O261" s="823"/>
      <c r="P261" s="823"/>
      <c r="Q261" s="823"/>
      <c r="R261" s="823"/>
      <c r="S261" s="823"/>
      <c r="T261" s="823"/>
      <c r="U261" s="823"/>
      <c r="V261" s="824"/>
      <c r="Z261" s="1039"/>
      <c r="AB261" s="826"/>
      <c r="AC261" s="1040"/>
      <c r="AD261" s="1041"/>
      <c r="AF261" s="1041"/>
      <c r="AH261" s="846"/>
      <c r="AJ261" s="1041"/>
      <c r="AK261" s="1041"/>
      <c r="AM261" s="1041"/>
      <c r="AO261" s="1041"/>
      <c r="AP261" s="1042"/>
      <c r="AQ261" s="1040"/>
      <c r="AR261" s="1040"/>
      <c r="AU261" s="1043"/>
      <c r="AW261" s="1044"/>
      <c r="AX261" s="1044"/>
      <c r="AY261" s="1044"/>
      <c r="AZ261" s="1044"/>
    </row>
    <row r="262" spans="2:52" s="1025" customFormat="1">
      <c r="B262" s="824"/>
      <c r="C262" s="824"/>
      <c r="D262" s="823"/>
      <c r="E262" s="823"/>
      <c r="F262" s="823"/>
      <c r="G262" s="823"/>
      <c r="H262" s="823"/>
      <c r="I262" s="823"/>
      <c r="J262" s="823"/>
      <c r="K262" s="823"/>
      <c r="L262" s="823"/>
      <c r="M262" s="823"/>
      <c r="N262" s="823"/>
      <c r="O262" s="823"/>
      <c r="P262" s="823"/>
      <c r="Q262" s="823"/>
      <c r="R262" s="823"/>
      <c r="S262" s="823"/>
      <c r="T262" s="823"/>
      <c r="U262" s="823"/>
      <c r="V262" s="824"/>
      <c r="Z262" s="1039"/>
      <c r="AB262" s="826"/>
      <c r="AC262" s="1040"/>
      <c r="AD262" s="1041"/>
      <c r="AF262" s="1041"/>
      <c r="AH262" s="846"/>
      <c r="AJ262" s="1041"/>
      <c r="AK262" s="1041"/>
      <c r="AM262" s="1041"/>
      <c r="AO262" s="1041"/>
      <c r="AP262" s="1042"/>
      <c r="AQ262" s="1040"/>
      <c r="AR262" s="1040"/>
      <c r="AU262" s="1043"/>
      <c r="AW262" s="1044"/>
      <c r="AX262" s="1044"/>
      <c r="AY262" s="1044"/>
      <c r="AZ262" s="1044"/>
    </row>
    <row r="263" spans="2:52" s="1025" customFormat="1">
      <c r="B263" s="824"/>
      <c r="C263" s="824"/>
      <c r="D263" s="823"/>
      <c r="E263" s="823"/>
      <c r="F263" s="823"/>
      <c r="G263" s="823"/>
      <c r="H263" s="823"/>
      <c r="I263" s="823"/>
      <c r="J263" s="823"/>
      <c r="K263" s="823"/>
      <c r="L263" s="823"/>
      <c r="M263" s="823"/>
      <c r="N263" s="823"/>
      <c r="O263" s="823"/>
      <c r="P263" s="823"/>
      <c r="Q263" s="823"/>
      <c r="R263" s="823"/>
      <c r="S263" s="823"/>
      <c r="T263" s="823"/>
      <c r="U263" s="823"/>
      <c r="V263" s="824"/>
      <c r="Z263" s="1039"/>
      <c r="AB263" s="826"/>
      <c r="AC263" s="1040"/>
      <c r="AD263" s="1041"/>
      <c r="AF263" s="1041"/>
      <c r="AH263" s="846"/>
      <c r="AJ263" s="1041"/>
      <c r="AK263" s="1041"/>
      <c r="AM263" s="1041"/>
      <c r="AO263" s="1041"/>
      <c r="AP263" s="1042"/>
      <c r="AQ263" s="1040"/>
      <c r="AR263" s="1040"/>
      <c r="AU263" s="1043"/>
      <c r="AW263" s="1044"/>
      <c r="AX263" s="1044"/>
      <c r="AY263" s="1044"/>
      <c r="AZ263" s="1044"/>
    </row>
    <row r="264" spans="2:52" s="1025" customFormat="1">
      <c r="B264" s="824"/>
      <c r="C264" s="824"/>
      <c r="D264" s="823"/>
      <c r="E264" s="823"/>
      <c r="F264" s="823"/>
      <c r="G264" s="823"/>
      <c r="H264" s="823"/>
      <c r="I264" s="823"/>
      <c r="J264" s="823"/>
      <c r="K264" s="823"/>
      <c r="L264" s="823"/>
      <c r="M264" s="823"/>
      <c r="N264" s="823"/>
      <c r="O264" s="823"/>
      <c r="P264" s="823"/>
      <c r="Q264" s="823"/>
      <c r="R264" s="823"/>
      <c r="S264" s="823"/>
      <c r="T264" s="823"/>
      <c r="U264" s="823"/>
      <c r="V264" s="824"/>
      <c r="Z264" s="1039"/>
      <c r="AB264" s="826"/>
      <c r="AC264" s="1040"/>
      <c r="AD264" s="1041"/>
      <c r="AF264" s="1041"/>
      <c r="AH264" s="846"/>
      <c r="AJ264" s="1041"/>
      <c r="AK264" s="1041"/>
      <c r="AM264" s="1041"/>
      <c r="AO264" s="1041"/>
      <c r="AP264" s="1042"/>
      <c r="AQ264" s="1040"/>
      <c r="AR264" s="1040"/>
      <c r="AU264" s="1043"/>
      <c r="AW264" s="1044"/>
      <c r="AX264" s="1044"/>
      <c r="AY264" s="1044"/>
      <c r="AZ264" s="1044"/>
    </row>
    <row r="265" spans="2:52" s="1025" customFormat="1">
      <c r="B265" s="824"/>
      <c r="C265" s="824"/>
      <c r="D265" s="823"/>
      <c r="E265" s="823"/>
      <c r="F265" s="823"/>
      <c r="G265" s="823"/>
      <c r="H265" s="823"/>
      <c r="I265" s="823"/>
      <c r="J265" s="823"/>
      <c r="K265" s="823"/>
      <c r="L265" s="823"/>
      <c r="M265" s="823"/>
      <c r="N265" s="823"/>
      <c r="O265" s="823"/>
      <c r="P265" s="823"/>
      <c r="Q265" s="823"/>
      <c r="R265" s="823"/>
      <c r="S265" s="823"/>
      <c r="T265" s="823"/>
      <c r="U265" s="823"/>
      <c r="V265" s="824"/>
      <c r="Z265" s="1039"/>
      <c r="AB265" s="826"/>
      <c r="AC265" s="1040"/>
      <c r="AD265" s="1041"/>
      <c r="AF265" s="1041"/>
      <c r="AH265" s="846"/>
      <c r="AJ265" s="1041"/>
      <c r="AK265" s="1041"/>
      <c r="AM265" s="1041"/>
      <c r="AO265" s="1041"/>
      <c r="AP265" s="1042"/>
      <c r="AQ265" s="1040"/>
      <c r="AR265" s="1040"/>
      <c r="AU265" s="1043"/>
      <c r="AW265" s="1044"/>
      <c r="AX265" s="1044"/>
      <c r="AY265" s="1044"/>
      <c r="AZ265" s="1044"/>
    </row>
    <row r="266" spans="2:52" s="1025" customFormat="1">
      <c r="B266" s="824"/>
      <c r="C266" s="824"/>
      <c r="D266" s="823"/>
      <c r="E266" s="823"/>
      <c r="F266" s="823"/>
      <c r="G266" s="823"/>
      <c r="H266" s="823"/>
      <c r="I266" s="823"/>
      <c r="J266" s="823"/>
      <c r="K266" s="823"/>
      <c r="L266" s="823"/>
      <c r="M266" s="823"/>
      <c r="N266" s="823"/>
      <c r="O266" s="823"/>
      <c r="P266" s="823"/>
      <c r="Q266" s="823"/>
      <c r="R266" s="823"/>
      <c r="S266" s="823"/>
      <c r="T266" s="823"/>
      <c r="U266" s="823"/>
      <c r="V266" s="824"/>
      <c r="Z266" s="1039"/>
      <c r="AB266" s="826"/>
      <c r="AC266" s="1040"/>
      <c r="AD266" s="1041"/>
      <c r="AF266" s="1041"/>
      <c r="AH266" s="846"/>
      <c r="AJ266" s="1041"/>
      <c r="AK266" s="1041"/>
      <c r="AM266" s="1041"/>
      <c r="AO266" s="1041"/>
      <c r="AP266" s="1042"/>
      <c r="AQ266" s="1040"/>
      <c r="AR266" s="1040"/>
      <c r="AU266" s="1043"/>
      <c r="AW266" s="1044"/>
      <c r="AX266" s="1044"/>
      <c r="AY266" s="1044"/>
      <c r="AZ266" s="1044"/>
    </row>
    <row r="267" spans="2:52" s="1025" customFormat="1">
      <c r="B267" s="824"/>
      <c r="C267" s="824"/>
      <c r="D267" s="823"/>
      <c r="E267" s="823"/>
      <c r="F267" s="823"/>
      <c r="G267" s="823"/>
      <c r="H267" s="823"/>
      <c r="I267" s="823"/>
      <c r="J267" s="823"/>
      <c r="K267" s="823"/>
      <c r="L267" s="823"/>
      <c r="M267" s="823"/>
      <c r="N267" s="823"/>
      <c r="O267" s="823"/>
      <c r="P267" s="823"/>
      <c r="Q267" s="823"/>
      <c r="R267" s="823"/>
      <c r="S267" s="823"/>
      <c r="T267" s="823"/>
      <c r="U267" s="823"/>
      <c r="V267" s="824"/>
      <c r="Z267" s="1039"/>
      <c r="AB267" s="826"/>
      <c r="AC267" s="1040"/>
      <c r="AD267" s="1041"/>
      <c r="AF267" s="1041"/>
      <c r="AH267" s="846"/>
      <c r="AJ267" s="1041"/>
      <c r="AK267" s="1041"/>
      <c r="AM267" s="1041"/>
      <c r="AO267" s="1041"/>
      <c r="AP267" s="1042"/>
      <c r="AQ267" s="1040"/>
      <c r="AR267" s="1040"/>
      <c r="AU267" s="1043"/>
      <c r="AW267" s="1044"/>
      <c r="AX267" s="1044"/>
      <c r="AY267" s="1044"/>
      <c r="AZ267" s="1044"/>
    </row>
    <row r="268" spans="2:52" s="1025" customFormat="1">
      <c r="B268" s="824"/>
      <c r="C268" s="824"/>
      <c r="D268" s="823"/>
      <c r="E268" s="823"/>
      <c r="F268" s="823"/>
      <c r="G268" s="823"/>
      <c r="H268" s="823"/>
      <c r="I268" s="823"/>
      <c r="J268" s="823"/>
      <c r="K268" s="823"/>
      <c r="L268" s="823"/>
      <c r="M268" s="823"/>
      <c r="N268" s="823"/>
      <c r="O268" s="823"/>
      <c r="P268" s="823"/>
      <c r="Q268" s="823"/>
      <c r="R268" s="823"/>
      <c r="S268" s="823"/>
      <c r="T268" s="823"/>
      <c r="U268" s="823"/>
      <c r="V268" s="824"/>
      <c r="Z268" s="1039"/>
      <c r="AB268" s="826"/>
      <c r="AC268" s="1040"/>
      <c r="AD268" s="1041"/>
      <c r="AF268" s="1041"/>
      <c r="AH268" s="846"/>
      <c r="AJ268" s="1041"/>
      <c r="AK268" s="1041"/>
      <c r="AM268" s="1041"/>
      <c r="AO268" s="1041"/>
      <c r="AP268" s="1042"/>
      <c r="AQ268" s="1040"/>
      <c r="AR268" s="1040"/>
      <c r="AU268" s="1043"/>
      <c r="AW268" s="1044"/>
      <c r="AX268" s="1044"/>
      <c r="AY268" s="1044"/>
      <c r="AZ268" s="1044"/>
    </row>
    <row r="269" spans="2:52" s="1025" customFormat="1">
      <c r="B269" s="824"/>
      <c r="C269" s="824"/>
      <c r="D269" s="823"/>
      <c r="E269" s="823"/>
      <c r="F269" s="823"/>
      <c r="G269" s="823"/>
      <c r="H269" s="823"/>
      <c r="I269" s="823"/>
      <c r="J269" s="823"/>
      <c r="K269" s="823"/>
      <c r="L269" s="823"/>
      <c r="M269" s="823"/>
      <c r="N269" s="823"/>
      <c r="O269" s="823"/>
      <c r="P269" s="823"/>
      <c r="Q269" s="823"/>
      <c r="R269" s="823"/>
      <c r="S269" s="823"/>
      <c r="T269" s="823"/>
      <c r="U269" s="823"/>
      <c r="V269" s="824"/>
      <c r="Z269" s="1039"/>
      <c r="AB269" s="826"/>
      <c r="AC269" s="1040"/>
      <c r="AD269" s="1041"/>
      <c r="AF269" s="1041"/>
      <c r="AH269" s="846"/>
      <c r="AJ269" s="1041"/>
      <c r="AK269" s="1041"/>
      <c r="AM269" s="1041"/>
      <c r="AO269" s="1041"/>
      <c r="AP269" s="1042"/>
      <c r="AQ269" s="1040"/>
      <c r="AR269" s="1040"/>
      <c r="AU269" s="1043"/>
      <c r="AW269" s="1044"/>
      <c r="AX269" s="1044"/>
      <c r="AY269" s="1044"/>
      <c r="AZ269" s="1044"/>
    </row>
    <row r="270" spans="2:52" s="1025" customFormat="1">
      <c r="B270" s="824"/>
      <c r="C270" s="824"/>
      <c r="D270" s="823"/>
      <c r="E270" s="823"/>
      <c r="F270" s="823"/>
      <c r="G270" s="823"/>
      <c r="H270" s="823"/>
      <c r="I270" s="823"/>
      <c r="J270" s="823"/>
      <c r="K270" s="823"/>
      <c r="L270" s="823"/>
      <c r="M270" s="823"/>
      <c r="N270" s="823"/>
      <c r="O270" s="823"/>
      <c r="P270" s="823"/>
      <c r="Q270" s="823"/>
      <c r="R270" s="823"/>
      <c r="S270" s="823"/>
      <c r="T270" s="823"/>
      <c r="U270" s="823"/>
      <c r="V270" s="824"/>
      <c r="Z270" s="1039"/>
      <c r="AB270" s="826"/>
      <c r="AC270" s="1040"/>
      <c r="AD270" s="1041"/>
      <c r="AF270" s="1041"/>
      <c r="AH270" s="846"/>
      <c r="AJ270" s="1041"/>
      <c r="AK270" s="1041"/>
      <c r="AM270" s="1041"/>
      <c r="AO270" s="1041"/>
      <c r="AP270" s="1042"/>
      <c r="AQ270" s="1040"/>
      <c r="AR270" s="1040"/>
      <c r="AU270" s="1043"/>
      <c r="AW270" s="1044"/>
      <c r="AX270" s="1044"/>
      <c r="AY270" s="1044"/>
      <c r="AZ270" s="1044"/>
    </row>
    <row r="271" spans="2:52" s="1025" customFormat="1">
      <c r="B271" s="824"/>
      <c r="C271" s="824"/>
      <c r="D271" s="823"/>
      <c r="E271" s="823"/>
      <c r="F271" s="823"/>
      <c r="G271" s="823"/>
      <c r="H271" s="823"/>
      <c r="I271" s="823"/>
      <c r="J271" s="823"/>
      <c r="K271" s="823"/>
      <c r="L271" s="823"/>
      <c r="M271" s="823"/>
      <c r="N271" s="823"/>
      <c r="O271" s="823"/>
      <c r="P271" s="823"/>
      <c r="Q271" s="823"/>
      <c r="R271" s="823"/>
      <c r="S271" s="823"/>
      <c r="T271" s="823"/>
      <c r="U271" s="823"/>
      <c r="V271" s="824"/>
      <c r="Z271" s="1039"/>
      <c r="AB271" s="826"/>
      <c r="AC271" s="1040"/>
      <c r="AD271" s="1041"/>
      <c r="AF271" s="1041"/>
      <c r="AH271" s="846"/>
      <c r="AJ271" s="1041"/>
      <c r="AK271" s="1041"/>
      <c r="AM271" s="1041"/>
      <c r="AO271" s="1041"/>
      <c r="AP271" s="1042"/>
      <c r="AQ271" s="1040"/>
      <c r="AR271" s="1040"/>
      <c r="AU271" s="1043"/>
      <c r="AW271" s="1044"/>
      <c r="AX271" s="1044"/>
      <c r="AY271" s="1044"/>
      <c r="AZ271" s="1044"/>
    </row>
    <row r="272" spans="2:52" s="1025" customFormat="1">
      <c r="B272" s="824"/>
      <c r="C272" s="824"/>
      <c r="D272" s="823"/>
      <c r="E272" s="823"/>
      <c r="F272" s="823"/>
      <c r="G272" s="823"/>
      <c r="H272" s="823"/>
      <c r="I272" s="823"/>
      <c r="J272" s="823"/>
      <c r="K272" s="823"/>
      <c r="L272" s="823"/>
      <c r="M272" s="823"/>
      <c r="N272" s="823"/>
      <c r="O272" s="823"/>
      <c r="P272" s="823"/>
      <c r="Q272" s="823"/>
      <c r="R272" s="823"/>
      <c r="S272" s="823"/>
      <c r="T272" s="823"/>
      <c r="U272" s="823"/>
      <c r="V272" s="824"/>
      <c r="Z272" s="1039"/>
      <c r="AB272" s="826"/>
      <c r="AC272" s="1040"/>
      <c r="AD272" s="1041"/>
      <c r="AF272" s="1041"/>
      <c r="AH272" s="846"/>
      <c r="AJ272" s="1041"/>
      <c r="AK272" s="1041"/>
      <c r="AM272" s="1041"/>
      <c r="AO272" s="1041"/>
      <c r="AP272" s="1042"/>
      <c r="AQ272" s="1040"/>
      <c r="AR272" s="1040"/>
      <c r="AU272" s="1043"/>
      <c r="AW272" s="1044"/>
      <c r="AX272" s="1044"/>
      <c r="AY272" s="1044"/>
      <c r="AZ272" s="1044"/>
    </row>
    <row r="273" spans="2:52" s="1025" customFormat="1">
      <c r="B273" s="824"/>
      <c r="C273" s="824"/>
      <c r="D273" s="823"/>
      <c r="E273" s="823"/>
      <c r="F273" s="823"/>
      <c r="G273" s="823"/>
      <c r="H273" s="823"/>
      <c r="I273" s="823"/>
      <c r="J273" s="823"/>
      <c r="K273" s="823"/>
      <c r="L273" s="823"/>
      <c r="M273" s="823"/>
      <c r="N273" s="823"/>
      <c r="O273" s="823"/>
      <c r="P273" s="823"/>
      <c r="Q273" s="823"/>
      <c r="R273" s="823"/>
      <c r="S273" s="823"/>
      <c r="T273" s="823"/>
      <c r="U273" s="823"/>
      <c r="V273" s="824"/>
      <c r="Z273" s="1039"/>
      <c r="AB273" s="826"/>
      <c r="AC273" s="1040"/>
      <c r="AD273" s="1041"/>
      <c r="AF273" s="1041"/>
      <c r="AH273" s="846"/>
      <c r="AJ273" s="1041"/>
      <c r="AK273" s="1041"/>
      <c r="AM273" s="1041"/>
      <c r="AO273" s="1041"/>
      <c r="AP273" s="1042"/>
      <c r="AQ273" s="1040"/>
      <c r="AR273" s="1040"/>
      <c r="AU273" s="1043"/>
      <c r="AW273" s="1044"/>
      <c r="AX273" s="1044"/>
      <c r="AY273" s="1044"/>
      <c r="AZ273" s="1044"/>
    </row>
    <row r="274" spans="2:52" s="1025" customFormat="1">
      <c r="B274" s="824"/>
      <c r="C274" s="824"/>
      <c r="D274" s="823"/>
      <c r="E274" s="823"/>
      <c r="F274" s="823"/>
      <c r="G274" s="823"/>
      <c r="H274" s="823"/>
      <c r="I274" s="823"/>
      <c r="J274" s="823"/>
      <c r="K274" s="823"/>
      <c r="L274" s="823"/>
      <c r="M274" s="823"/>
      <c r="N274" s="823"/>
      <c r="O274" s="823"/>
      <c r="P274" s="823"/>
      <c r="Q274" s="823"/>
      <c r="R274" s="823"/>
      <c r="S274" s="823"/>
      <c r="T274" s="823"/>
      <c r="U274" s="823"/>
      <c r="V274" s="824"/>
      <c r="Z274" s="1039"/>
      <c r="AB274" s="826"/>
      <c r="AC274" s="1040"/>
      <c r="AD274" s="1041"/>
      <c r="AF274" s="1041"/>
      <c r="AH274" s="846"/>
      <c r="AJ274" s="1041"/>
      <c r="AK274" s="1041"/>
      <c r="AM274" s="1041"/>
      <c r="AO274" s="1041"/>
      <c r="AP274" s="1042"/>
      <c r="AQ274" s="1040"/>
      <c r="AR274" s="1040"/>
      <c r="AU274" s="1043"/>
      <c r="AW274" s="1044"/>
      <c r="AX274" s="1044"/>
      <c r="AY274" s="1044"/>
      <c r="AZ274" s="1044"/>
    </row>
    <row r="275" spans="2:52" s="1025" customFormat="1">
      <c r="B275" s="824"/>
      <c r="C275" s="824"/>
      <c r="D275" s="823"/>
      <c r="E275" s="823"/>
      <c r="F275" s="823"/>
      <c r="G275" s="823"/>
      <c r="H275" s="823"/>
      <c r="I275" s="823"/>
      <c r="J275" s="823"/>
      <c r="K275" s="823"/>
      <c r="L275" s="823"/>
      <c r="M275" s="823"/>
      <c r="N275" s="823"/>
      <c r="O275" s="823"/>
      <c r="P275" s="823"/>
      <c r="Q275" s="823"/>
      <c r="R275" s="823"/>
      <c r="S275" s="823"/>
      <c r="T275" s="823"/>
      <c r="U275" s="823"/>
      <c r="V275" s="824"/>
      <c r="Z275" s="1039"/>
      <c r="AB275" s="826"/>
      <c r="AC275" s="1040"/>
      <c r="AD275" s="1041"/>
      <c r="AF275" s="1041"/>
      <c r="AH275" s="846"/>
      <c r="AJ275" s="1041"/>
      <c r="AK275" s="1041"/>
      <c r="AM275" s="1041"/>
      <c r="AO275" s="1041"/>
      <c r="AP275" s="1042"/>
      <c r="AQ275" s="1040"/>
      <c r="AR275" s="1040"/>
      <c r="AU275" s="1043"/>
      <c r="AW275" s="1044"/>
      <c r="AX275" s="1044"/>
      <c r="AY275" s="1044"/>
      <c r="AZ275" s="1044"/>
    </row>
    <row r="276" spans="2:52" s="1025" customFormat="1">
      <c r="B276" s="824"/>
      <c r="C276" s="824"/>
      <c r="D276" s="823"/>
      <c r="E276" s="823"/>
      <c r="F276" s="823"/>
      <c r="G276" s="823"/>
      <c r="H276" s="823"/>
      <c r="I276" s="823"/>
      <c r="J276" s="823"/>
      <c r="K276" s="823"/>
      <c r="L276" s="823"/>
      <c r="M276" s="823"/>
      <c r="N276" s="823"/>
      <c r="O276" s="823"/>
      <c r="P276" s="823"/>
      <c r="Q276" s="823"/>
      <c r="R276" s="823"/>
      <c r="S276" s="823"/>
      <c r="T276" s="823"/>
      <c r="U276" s="823"/>
      <c r="V276" s="824"/>
      <c r="Z276" s="1039"/>
      <c r="AB276" s="826"/>
      <c r="AC276" s="1040"/>
      <c r="AD276" s="1041"/>
      <c r="AF276" s="1041"/>
      <c r="AH276" s="846"/>
      <c r="AJ276" s="1041"/>
      <c r="AK276" s="1041"/>
      <c r="AM276" s="1041"/>
      <c r="AO276" s="1041"/>
      <c r="AP276" s="1042"/>
      <c r="AQ276" s="1040"/>
      <c r="AR276" s="1040"/>
      <c r="AU276" s="1043"/>
      <c r="AW276" s="1044"/>
      <c r="AX276" s="1044"/>
      <c r="AY276" s="1044"/>
      <c r="AZ276" s="1044"/>
    </row>
    <row r="277" spans="2:52" s="1025" customFormat="1">
      <c r="B277" s="824"/>
      <c r="C277" s="824"/>
      <c r="D277" s="823"/>
      <c r="E277" s="823"/>
      <c r="F277" s="823"/>
      <c r="G277" s="823"/>
      <c r="H277" s="823"/>
      <c r="I277" s="823"/>
      <c r="J277" s="823"/>
      <c r="K277" s="823"/>
      <c r="L277" s="823"/>
      <c r="M277" s="823"/>
      <c r="N277" s="823"/>
      <c r="O277" s="823"/>
      <c r="P277" s="823"/>
      <c r="Q277" s="823"/>
      <c r="R277" s="823"/>
      <c r="S277" s="823"/>
      <c r="T277" s="823"/>
      <c r="U277" s="823"/>
      <c r="V277" s="824"/>
      <c r="Z277" s="1039"/>
      <c r="AB277" s="826"/>
      <c r="AC277" s="1040"/>
      <c r="AD277" s="1041"/>
      <c r="AF277" s="1041"/>
      <c r="AH277" s="846"/>
      <c r="AJ277" s="1041"/>
      <c r="AK277" s="1041"/>
      <c r="AM277" s="1041"/>
      <c r="AO277" s="1041"/>
      <c r="AP277" s="1042"/>
      <c r="AQ277" s="1040"/>
      <c r="AR277" s="1040"/>
      <c r="AU277" s="1043"/>
      <c r="AW277" s="1044"/>
      <c r="AX277" s="1044"/>
      <c r="AY277" s="1044"/>
      <c r="AZ277" s="1044"/>
    </row>
    <row r="278" spans="2:52" s="1025" customFormat="1">
      <c r="B278" s="824"/>
      <c r="C278" s="824"/>
      <c r="D278" s="823"/>
      <c r="E278" s="823"/>
      <c r="F278" s="823"/>
      <c r="G278" s="823"/>
      <c r="H278" s="823"/>
      <c r="I278" s="823"/>
      <c r="J278" s="823"/>
      <c r="K278" s="823"/>
      <c r="L278" s="823"/>
      <c r="M278" s="823"/>
      <c r="N278" s="823"/>
      <c r="O278" s="823"/>
      <c r="P278" s="823"/>
      <c r="Q278" s="823"/>
      <c r="R278" s="823"/>
      <c r="S278" s="823"/>
      <c r="T278" s="823"/>
      <c r="U278" s="823"/>
      <c r="V278" s="824"/>
      <c r="Z278" s="1039"/>
      <c r="AB278" s="826"/>
      <c r="AC278" s="1040"/>
      <c r="AD278" s="1041"/>
      <c r="AF278" s="1041"/>
      <c r="AH278" s="846"/>
      <c r="AJ278" s="1041"/>
      <c r="AK278" s="1041"/>
      <c r="AM278" s="1041"/>
      <c r="AO278" s="1041"/>
      <c r="AP278" s="1042"/>
      <c r="AQ278" s="1040"/>
      <c r="AR278" s="1040"/>
      <c r="AU278" s="1043"/>
      <c r="AW278" s="1044"/>
      <c r="AX278" s="1044"/>
      <c r="AY278" s="1044"/>
      <c r="AZ278" s="1044"/>
    </row>
    <row r="279" spans="2:52" s="1025" customFormat="1">
      <c r="B279" s="824"/>
      <c r="C279" s="824"/>
      <c r="D279" s="823"/>
      <c r="E279" s="823"/>
      <c r="F279" s="823"/>
      <c r="G279" s="823"/>
      <c r="H279" s="823"/>
      <c r="I279" s="823"/>
      <c r="J279" s="823"/>
      <c r="K279" s="823"/>
      <c r="L279" s="823"/>
      <c r="M279" s="823"/>
      <c r="N279" s="823"/>
      <c r="O279" s="823"/>
      <c r="P279" s="823"/>
      <c r="Q279" s="823"/>
      <c r="R279" s="823"/>
      <c r="S279" s="823"/>
      <c r="T279" s="823"/>
      <c r="U279" s="823"/>
      <c r="V279" s="824"/>
      <c r="Z279" s="1039"/>
      <c r="AB279" s="826"/>
      <c r="AC279" s="1040"/>
      <c r="AD279" s="1041"/>
      <c r="AF279" s="1041"/>
      <c r="AH279" s="846"/>
      <c r="AJ279" s="1041"/>
      <c r="AK279" s="1041"/>
      <c r="AM279" s="1041"/>
      <c r="AO279" s="1041"/>
      <c r="AP279" s="1042"/>
      <c r="AQ279" s="1040"/>
      <c r="AR279" s="1040"/>
      <c r="AU279" s="1043"/>
      <c r="AW279" s="1044"/>
      <c r="AX279" s="1044"/>
      <c r="AY279" s="1044"/>
      <c r="AZ279" s="1044"/>
    </row>
    <row r="280" spans="2:52" s="1025" customFormat="1">
      <c r="B280" s="824"/>
      <c r="C280" s="824"/>
      <c r="D280" s="823"/>
      <c r="E280" s="823"/>
      <c r="F280" s="823"/>
      <c r="G280" s="823"/>
      <c r="H280" s="823"/>
      <c r="I280" s="823"/>
      <c r="J280" s="823"/>
      <c r="K280" s="823"/>
      <c r="L280" s="823"/>
      <c r="M280" s="823"/>
      <c r="N280" s="823"/>
      <c r="O280" s="823"/>
      <c r="P280" s="823"/>
      <c r="Q280" s="823"/>
      <c r="R280" s="823"/>
      <c r="S280" s="823"/>
      <c r="T280" s="823"/>
      <c r="U280" s="823"/>
      <c r="V280" s="824"/>
      <c r="Z280" s="1039"/>
      <c r="AB280" s="826"/>
      <c r="AC280" s="1040"/>
      <c r="AD280" s="1041"/>
      <c r="AF280" s="1041"/>
      <c r="AH280" s="846"/>
      <c r="AJ280" s="1041"/>
      <c r="AK280" s="1041"/>
      <c r="AM280" s="1041"/>
      <c r="AO280" s="1041"/>
      <c r="AP280" s="1042"/>
      <c r="AQ280" s="1040"/>
      <c r="AR280" s="1040"/>
      <c r="AU280" s="1043"/>
      <c r="AW280" s="1044"/>
      <c r="AX280" s="1044"/>
      <c r="AY280" s="1044"/>
      <c r="AZ280" s="1044"/>
    </row>
    <row r="281" spans="2:52" s="1025" customFormat="1">
      <c r="B281" s="824"/>
      <c r="C281" s="824"/>
      <c r="D281" s="823"/>
      <c r="E281" s="823"/>
      <c r="F281" s="823"/>
      <c r="G281" s="823"/>
      <c r="H281" s="823"/>
      <c r="I281" s="823"/>
      <c r="J281" s="823"/>
      <c r="K281" s="823"/>
      <c r="L281" s="823"/>
      <c r="M281" s="823"/>
      <c r="N281" s="823"/>
      <c r="O281" s="823"/>
      <c r="P281" s="823"/>
      <c r="Q281" s="823"/>
      <c r="R281" s="823"/>
      <c r="S281" s="823"/>
      <c r="T281" s="823"/>
      <c r="U281" s="823"/>
      <c r="V281" s="824"/>
      <c r="Z281" s="1039"/>
      <c r="AB281" s="826"/>
      <c r="AC281" s="1040"/>
      <c r="AD281" s="1041"/>
      <c r="AF281" s="1041"/>
      <c r="AH281" s="846"/>
      <c r="AJ281" s="1041"/>
      <c r="AK281" s="1041"/>
      <c r="AM281" s="1041"/>
      <c r="AO281" s="1041"/>
      <c r="AP281" s="1042"/>
      <c r="AQ281" s="1040"/>
      <c r="AR281" s="1040"/>
      <c r="AU281" s="1043"/>
      <c r="AW281" s="1044"/>
      <c r="AX281" s="1044"/>
      <c r="AY281" s="1044"/>
      <c r="AZ281" s="1044"/>
    </row>
    <row r="282" spans="2:52" s="1025" customFormat="1">
      <c r="B282" s="824"/>
      <c r="C282" s="824"/>
      <c r="D282" s="823"/>
      <c r="E282" s="823"/>
      <c r="F282" s="823"/>
      <c r="G282" s="823"/>
      <c r="H282" s="823"/>
      <c r="I282" s="823"/>
      <c r="J282" s="823"/>
      <c r="K282" s="823"/>
      <c r="L282" s="823"/>
      <c r="M282" s="823"/>
      <c r="N282" s="823"/>
      <c r="O282" s="823"/>
      <c r="P282" s="823"/>
      <c r="Q282" s="823"/>
      <c r="R282" s="823"/>
      <c r="S282" s="823"/>
      <c r="T282" s="823"/>
      <c r="U282" s="823"/>
      <c r="V282" s="824"/>
      <c r="Z282" s="1039"/>
      <c r="AB282" s="826"/>
      <c r="AC282" s="1040"/>
      <c r="AD282" s="1041"/>
      <c r="AF282" s="1041"/>
      <c r="AH282" s="846"/>
      <c r="AJ282" s="1041"/>
      <c r="AK282" s="1041"/>
      <c r="AM282" s="1041"/>
      <c r="AO282" s="1041"/>
      <c r="AP282" s="1042"/>
      <c r="AQ282" s="1040"/>
      <c r="AR282" s="1040"/>
      <c r="AU282" s="1043"/>
      <c r="AW282" s="1044"/>
      <c r="AX282" s="1044"/>
      <c r="AY282" s="1044"/>
      <c r="AZ282" s="1044"/>
    </row>
    <row r="283" spans="2:52" s="1025" customFormat="1">
      <c r="B283" s="824"/>
      <c r="C283" s="824"/>
      <c r="D283" s="823"/>
      <c r="E283" s="823"/>
      <c r="F283" s="823"/>
      <c r="G283" s="823"/>
      <c r="H283" s="823"/>
      <c r="I283" s="823"/>
      <c r="J283" s="823"/>
      <c r="K283" s="823"/>
      <c r="L283" s="823"/>
      <c r="M283" s="823"/>
      <c r="N283" s="823"/>
      <c r="O283" s="823"/>
      <c r="P283" s="823"/>
      <c r="Q283" s="823"/>
      <c r="R283" s="823"/>
      <c r="S283" s="823"/>
      <c r="T283" s="823"/>
      <c r="U283" s="823"/>
      <c r="V283" s="824"/>
      <c r="Z283" s="1039"/>
      <c r="AB283" s="826"/>
      <c r="AC283" s="1040"/>
      <c r="AD283" s="1041"/>
      <c r="AF283" s="1041"/>
      <c r="AH283" s="846"/>
      <c r="AJ283" s="1041"/>
      <c r="AK283" s="1041"/>
      <c r="AM283" s="1041"/>
      <c r="AO283" s="1041"/>
      <c r="AP283" s="1042"/>
      <c r="AQ283" s="1040"/>
      <c r="AR283" s="1040"/>
      <c r="AU283" s="1043"/>
      <c r="AW283" s="1044"/>
      <c r="AX283" s="1044"/>
      <c r="AY283" s="1044"/>
      <c r="AZ283" s="1044"/>
    </row>
    <row r="284" spans="2:52" s="1025" customFormat="1">
      <c r="B284" s="824"/>
      <c r="C284" s="824"/>
      <c r="D284" s="823"/>
      <c r="E284" s="823"/>
      <c r="F284" s="823"/>
      <c r="G284" s="823"/>
      <c r="H284" s="823"/>
      <c r="I284" s="823"/>
      <c r="J284" s="823"/>
      <c r="K284" s="823"/>
      <c r="L284" s="823"/>
      <c r="M284" s="823"/>
      <c r="N284" s="823"/>
      <c r="O284" s="823"/>
      <c r="P284" s="823"/>
      <c r="Q284" s="823"/>
      <c r="R284" s="823"/>
      <c r="S284" s="823"/>
      <c r="T284" s="823"/>
      <c r="U284" s="823"/>
      <c r="V284" s="824"/>
      <c r="Z284" s="1039"/>
      <c r="AB284" s="826"/>
      <c r="AC284" s="1040"/>
      <c r="AD284" s="1041"/>
      <c r="AF284" s="1041"/>
      <c r="AH284" s="846"/>
      <c r="AJ284" s="1041"/>
      <c r="AK284" s="1041"/>
      <c r="AM284" s="1041"/>
      <c r="AO284" s="1041"/>
      <c r="AP284" s="1042"/>
      <c r="AQ284" s="1040"/>
      <c r="AR284" s="1040"/>
      <c r="AU284" s="1043"/>
      <c r="AW284" s="1044"/>
      <c r="AX284" s="1044"/>
      <c r="AY284" s="1044"/>
      <c r="AZ284" s="1044"/>
    </row>
    <row r="285" spans="2:52" s="1025" customFormat="1">
      <c r="B285" s="824"/>
      <c r="C285" s="824"/>
      <c r="D285" s="823"/>
      <c r="E285" s="823"/>
      <c r="F285" s="823"/>
      <c r="G285" s="823"/>
      <c r="H285" s="823"/>
      <c r="I285" s="823"/>
      <c r="J285" s="823"/>
      <c r="K285" s="823"/>
      <c r="L285" s="823"/>
      <c r="M285" s="823"/>
      <c r="N285" s="823"/>
      <c r="O285" s="823"/>
      <c r="P285" s="823"/>
      <c r="Q285" s="823"/>
      <c r="R285" s="823"/>
      <c r="S285" s="823"/>
      <c r="T285" s="823"/>
      <c r="U285" s="823"/>
      <c r="V285" s="824"/>
      <c r="Z285" s="1039"/>
      <c r="AB285" s="826"/>
      <c r="AC285" s="1040"/>
      <c r="AD285" s="1041"/>
      <c r="AF285" s="1041"/>
      <c r="AH285" s="846"/>
      <c r="AJ285" s="1041"/>
      <c r="AK285" s="1041"/>
      <c r="AM285" s="1041"/>
      <c r="AO285" s="1041"/>
      <c r="AP285" s="1042"/>
      <c r="AQ285" s="1040"/>
      <c r="AR285" s="1040"/>
      <c r="AU285" s="1043"/>
      <c r="AW285" s="1044"/>
      <c r="AX285" s="1044"/>
      <c r="AY285" s="1044"/>
      <c r="AZ285" s="1044"/>
    </row>
    <row r="286" spans="2:52" s="1025" customFormat="1">
      <c r="B286" s="824"/>
      <c r="C286" s="824"/>
      <c r="D286" s="823"/>
      <c r="E286" s="823"/>
      <c r="F286" s="823"/>
      <c r="G286" s="823"/>
      <c r="H286" s="823"/>
      <c r="I286" s="823"/>
      <c r="J286" s="823"/>
      <c r="K286" s="823"/>
      <c r="L286" s="823"/>
      <c r="M286" s="823"/>
      <c r="N286" s="823"/>
      <c r="O286" s="823"/>
      <c r="P286" s="823"/>
      <c r="Q286" s="823"/>
      <c r="R286" s="823"/>
      <c r="S286" s="823"/>
      <c r="T286" s="823"/>
      <c r="U286" s="823"/>
      <c r="V286" s="824"/>
      <c r="Z286" s="1039"/>
      <c r="AB286" s="826"/>
      <c r="AC286" s="1040"/>
      <c r="AD286" s="1041"/>
      <c r="AF286" s="1041"/>
      <c r="AH286" s="846"/>
      <c r="AJ286" s="1041"/>
      <c r="AK286" s="1041"/>
      <c r="AM286" s="1041"/>
      <c r="AO286" s="1041"/>
      <c r="AP286" s="1042"/>
      <c r="AQ286" s="1040"/>
      <c r="AR286" s="1040"/>
      <c r="AU286" s="1043"/>
      <c r="AW286" s="1044"/>
      <c r="AX286" s="1044"/>
      <c r="AY286" s="1044"/>
      <c r="AZ286" s="1044"/>
    </row>
    <row r="287" spans="2:52" s="1025" customFormat="1">
      <c r="B287" s="824"/>
      <c r="C287" s="824"/>
      <c r="D287" s="823"/>
      <c r="E287" s="823"/>
      <c r="F287" s="823"/>
      <c r="G287" s="823"/>
      <c r="H287" s="823"/>
      <c r="I287" s="823"/>
      <c r="J287" s="823"/>
      <c r="K287" s="823"/>
      <c r="L287" s="823"/>
      <c r="M287" s="823"/>
      <c r="N287" s="823"/>
      <c r="O287" s="823"/>
      <c r="P287" s="823"/>
      <c r="Q287" s="823"/>
      <c r="R287" s="823"/>
      <c r="S287" s="823"/>
      <c r="T287" s="823"/>
      <c r="U287" s="823"/>
      <c r="V287" s="824"/>
      <c r="Z287" s="1039"/>
      <c r="AB287" s="826"/>
      <c r="AC287" s="1040"/>
      <c r="AD287" s="1041"/>
      <c r="AF287" s="1041"/>
      <c r="AH287" s="846"/>
      <c r="AJ287" s="1041"/>
      <c r="AK287" s="1041"/>
      <c r="AM287" s="1041"/>
      <c r="AO287" s="1041"/>
      <c r="AP287" s="1042"/>
      <c r="AQ287" s="1040"/>
      <c r="AR287" s="1040"/>
      <c r="AU287" s="1043"/>
      <c r="AW287" s="1044"/>
      <c r="AX287" s="1044"/>
      <c r="AY287" s="1044"/>
      <c r="AZ287" s="1044"/>
    </row>
    <row r="288" spans="2:52" s="1025" customFormat="1">
      <c r="B288" s="824"/>
      <c r="C288" s="824"/>
      <c r="D288" s="823"/>
      <c r="E288" s="823"/>
      <c r="F288" s="823"/>
      <c r="G288" s="823"/>
      <c r="H288" s="823"/>
      <c r="I288" s="823"/>
      <c r="J288" s="823"/>
      <c r="K288" s="823"/>
      <c r="L288" s="823"/>
      <c r="M288" s="823"/>
      <c r="N288" s="823"/>
      <c r="O288" s="823"/>
      <c r="P288" s="823"/>
      <c r="Q288" s="823"/>
      <c r="R288" s="823"/>
      <c r="S288" s="823"/>
      <c r="T288" s="823"/>
      <c r="U288" s="823"/>
      <c r="V288" s="824"/>
      <c r="Z288" s="1039"/>
      <c r="AB288" s="826"/>
      <c r="AC288" s="1040"/>
      <c r="AD288" s="1041"/>
      <c r="AF288" s="1041"/>
      <c r="AH288" s="846"/>
      <c r="AJ288" s="1041"/>
      <c r="AK288" s="1041"/>
      <c r="AM288" s="1041"/>
      <c r="AO288" s="1041"/>
      <c r="AP288" s="1042"/>
      <c r="AQ288" s="1040"/>
      <c r="AR288" s="1040"/>
      <c r="AU288" s="1043"/>
      <c r="AW288" s="1044"/>
      <c r="AX288" s="1044"/>
      <c r="AY288" s="1044"/>
      <c r="AZ288" s="1044"/>
    </row>
    <row r="289" spans="2:52" s="1025" customFormat="1">
      <c r="B289" s="824"/>
      <c r="C289" s="824"/>
      <c r="D289" s="823"/>
      <c r="E289" s="823"/>
      <c r="F289" s="823"/>
      <c r="G289" s="823"/>
      <c r="H289" s="823"/>
      <c r="I289" s="823"/>
      <c r="J289" s="823"/>
      <c r="K289" s="823"/>
      <c r="L289" s="823"/>
      <c r="M289" s="823"/>
      <c r="N289" s="823"/>
      <c r="O289" s="823"/>
      <c r="P289" s="823"/>
      <c r="Q289" s="823"/>
      <c r="R289" s="823"/>
      <c r="S289" s="823"/>
      <c r="T289" s="823"/>
      <c r="U289" s="823"/>
      <c r="V289" s="824"/>
      <c r="Z289" s="1039"/>
      <c r="AB289" s="826"/>
      <c r="AC289" s="1040"/>
      <c r="AD289" s="1041"/>
      <c r="AF289" s="1041"/>
      <c r="AH289" s="846"/>
      <c r="AJ289" s="1041"/>
      <c r="AK289" s="1041"/>
      <c r="AM289" s="1041"/>
      <c r="AO289" s="1041"/>
      <c r="AP289" s="1042"/>
      <c r="AQ289" s="1040"/>
      <c r="AR289" s="1040"/>
      <c r="AU289" s="1043"/>
      <c r="AW289" s="1044"/>
      <c r="AX289" s="1044"/>
      <c r="AY289" s="1044"/>
      <c r="AZ289" s="1044"/>
    </row>
    <row r="290" spans="2:52" s="1025" customFormat="1">
      <c r="B290" s="824"/>
      <c r="C290" s="824"/>
      <c r="D290" s="823"/>
      <c r="E290" s="823"/>
      <c r="F290" s="823"/>
      <c r="G290" s="823"/>
      <c r="H290" s="823"/>
      <c r="I290" s="823"/>
      <c r="J290" s="823"/>
      <c r="K290" s="823"/>
      <c r="L290" s="823"/>
      <c r="M290" s="823"/>
      <c r="N290" s="823"/>
      <c r="O290" s="823"/>
      <c r="P290" s="823"/>
      <c r="Q290" s="823"/>
      <c r="R290" s="823"/>
      <c r="S290" s="823"/>
      <c r="T290" s="823"/>
      <c r="U290" s="823"/>
      <c r="V290" s="824"/>
      <c r="Z290" s="1039"/>
      <c r="AB290" s="826"/>
      <c r="AC290" s="1040"/>
      <c r="AD290" s="1041"/>
      <c r="AF290" s="1041"/>
      <c r="AH290" s="846"/>
      <c r="AJ290" s="1041"/>
      <c r="AK290" s="1041"/>
      <c r="AM290" s="1041"/>
      <c r="AO290" s="1041"/>
      <c r="AP290" s="1042"/>
      <c r="AQ290" s="1040"/>
      <c r="AR290" s="1040"/>
      <c r="AU290" s="1043"/>
      <c r="AW290" s="1044"/>
      <c r="AX290" s="1044"/>
      <c r="AY290" s="1044"/>
      <c r="AZ290" s="1044"/>
    </row>
    <row r="291" spans="2:52" s="1025" customFormat="1">
      <c r="B291" s="824"/>
      <c r="C291" s="824"/>
      <c r="D291" s="823"/>
      <c r="E291" s="823"/>
      <c r="F291" s="823"/>
      <c r="G291" s="823"/>
      <c r="H291" s="823"/>
      <c r="I291" s="823"/>
      <c r="J291" s="823"/>
      <c r="K291" s="823"/>
      <c r="L291" s="823"/>
      <c r="M291" s="823"/>
      <c r="N291" s="823"/>
      <c r="O291" s="823"/>
      <c r="P291" s="823"/>
      <c r="Q291" s="823"/>
      <c r="R291" s="823"/>
      <c r="S291" s="823"/>
      <c r="T291" s="823"/>
      <c r="U291" s="823"/>
      <c r="V291" s="824"/>
      <c r="Z291" s="1039"/>
      <c r="AB291" s="826"/>
      <c r="AC291" s="1040"/>
      <c r="AD291" s="1041"/>
      <c r="AF291" s="1041"/>
      <c r="AH291" s="846"/>
      <c r="AJ291" s="1041"/>
      <c r="AK291" s="1041"/>
      <c r="AM291" s="1041"/>
      <c r="AO291" s="1041"/>
      <c r="AP291" s="1042"/>
      <c r="AQ291" s="1040"/>
      <c r="AR291" s="1040"/>
      <c r="AU291" s="1043"/>
      <c r="AW291" s="1044"/>
      <c r="AX291" s="1044"/>
      <c r="AY291" s="1044"/>
      <c r="AZ291" s="1044"/>
    </row>
    <row r="292" spans="2:52" s="1025" customFormat="1">
      <c r="B292" s="824"/>
      <c r="C292" s="824"/>
      <c r="D292" s="823"/>
      <c r="E292" s="823"/>
      <c r="F292" s="823"/>
      <c r="G292" s="823"/>
      <c r="H292" s="823"/>
      <c r="I292" s="823"/>
      <c r="J292" s="823"/>
      <c r="K292" s="823"/>
      <c r="L292" s="823"/>
      <c r="M292" s="823"/>
      <c r="N292" s="823"/>
      <c r="O292" s="823"/>
      <c r="P292" s="823"/>
      <c r="Q292" s="823"/>
      <c r="R292" s="823"/>
      <c r="S292" s="823"/>
      <c r="T292" s="823"/>
      <c r="U292" s="823"/>
      <c r="V292" s="824"/>
      <c r="Z292" s="1039"/>
      <c r="AB292" s="826"/>
      <c r="AC292" s="1040"/>
      <c r="AD292" s="1041"/>
      <c r="AF292" s="1041"/>
      <c r="AH292" s="846"/>
      <c r="AJ292" s="1041"/>
      <c r="AK292" s="1041"/>
      <c r="AM292" s="1041"/>
      <c r="AO292" s="1041"/>
      <c r="AP292" s="1042"/>
      <c r="AQ292" s="1040"/>
      <c r="AR292" s="1040"/>
      <c r="AU292" s="1043"/>
      <c r="AW292" s="1044"/>
      <c r="AX292" s="1044"/>
      <c r="AY292" s="1044"/>
      <c r="AZ292" s="1044"/>
    </row>
    <row r="293" spans="2:52" s="1025" customFormat="1">
      <c r="B293" s="824"/>
      <c r="C293" s="824"/>
      <c r="D293" s="823"/>
      <c r="E293" s="823"/>
      <c r="F293" s="823"/>
      <c r="G293" s="823"/>
      <c r="H293" s="823"/>
      <c r="I293" s="823"/>
      <c r="J293" s="823"/>
      <c r="K293" s="823"/>
      <c r="L293" s="823"/>
      <c r="M293" s="823"/>
      <c r="N293" s="823"/>
      <c r="O293" s="823"/>
      <c r="P293" s="823"/>
      <c r="Q293" s="823"/>
      <c r="R293" s="823"/>
      <c r="S293" s="823"/>
      <c r="T293" s="823"/>
      <c r="U293" s="823"/>
      <c r="V293" s="824"/>
      <c r="Z293" s="1039"/>
      <c r="AB293" s="826"/>
      <c r="AC293" s="1040"/>
      <c r="AD293" s="1041"/>
      <c r="AF293" s="1041"/>
      <c r="AH293" s="846"/>
      <c r="AJ293" s="1041"/>
      <c r="AK293" s="1041"/>
      <c r="AM293" s="1041"/>
      <c r="AO293" s="1041"/>
      <c r="AP293" s="1042"/>
      <c r="AQ293" s="1040"/>
      <c r="AR293" s="1040"/>
      <c r="AU293" s="1043"/>
      <c r="AW293" s="1044"/>
      <c r="AX293" s="1044"/>
      <c r="AY293" s="1044"/>
      <c r="AZ293" s="1044"/>
    </row>
    <row r="294" spans="2:52" s="1025" customFormat="1">
      <c r="B294" s="824"/>
      <c r="C294" s="824"/>
      <c r="D294" s="823"/>
      <c r="E294" s="823"/>
      <c r="F294" s="823"/>
      <c r="G294" s="823"/>
      <c r="H294" s="823"/>
      <c r="I294" s="823"/>
      <c r="J294" s="823"/>
      <c r="K294" s="823"/>
      <c r="L294" s="823"/>
      <c r="M294" s="823"/>
      <c r="N294" s="823"/>
      <c r="O294" s="823"/>
      <c r="P294" s="823"/>
      <c r="Q294" s="823"/>
      <c r="R294" s="823"/>
      <c r="S294" s="823"/>
      <c r="T294" s="823"/>
      <c r="U294" s="823"/>
      <c r="V294" s="824"/>
      <c r="Z294" s="1039"/>
      <c r="AB294" s="826"/>
      <c r="AC294" s="1040"/>
      <c r="AD294" s="1041"/>
      <c r="AF294" s="1041"/>
      <c r="AH294" s="846"/>
      <c r="AJ294" s="1041"/>
      <c r="AK294" s="1041"/>
      <c r="AM294" s="1041"/>
      <c r="AO294" s="1041"/>
      <c r="AP294" s="1042"/>
      <c r="AQ294" s="1040"/>
      <c r="AR294" s="1040"/>
      <c r="AU294" s="1043"/>
      <c r="AW294" s="1044"/>
      <c r="AX294" s="1044"/>
      <c r="AY294" s="1044"/>
      <c r="AZ294" s="1044"/>
    </row>
    <row r="295" spans="2:52" s="1025" customFormat="1">
      <c r="B295" s="824"/>
      <c r="C295" s="824"/>
      <c r="D295" s="823"/>
      <c r="E295" s="823"/>
      <c r="F295" s="823"/>
      <c r="G295" s="823"/>
      <c r="H295" s="823"/>
      <c r="I295" s="823"/>
      <c r="J295" s="823"/>
      <c r="K295" s="823"/>
      <c r="L295" s="823"/>
      <c r="M295" s="823"/>
      <c r="N295" s="823"/>
      <c r="O295" s="823"/>
      <c r="P295" s="823"/>
      <c r="Q295" s="823"/>
      <c r="R295" s="823"/>
      <c r="S295" s="823"/>
      <c r="T295" s="823"/>
      <c r="U295" s="823"/>
      <c r="V295" s="824"/>
      <c r="Z295" s="1039"/>
      <c r="AB295" s="826"/>
      <c r="AC295" s="1040"/>
      <c r="AD295" s="1041"/>
      <c r="AF295" s="1041"/>
      <c r="AH295" s="846"/>
      <c r="AJ295" s="1041"/>
      <c r="AK295" s="1041"/>
      <c r="AM295" s="1041"/>
      <c r="AO295" s="1041"/>
      <c r="AP295" s="1042"/>
      <c r="AQ295" s="1040"/>
      <c r="AR295" s="1040"/>
      <c r="AU295" s="1043"/>
      <c r="AW295" s="1044"/>
      <c r="AX295" s="1044"/>
      <c r="AY295" s="1044"/>
      <c r="AZ295" s="1044"/>
    </row>
    <row r="296" spans="2:52" s="1025" customFormat="1">
      <c r="B296" s="824"/>
      <c r="C296" s="824"/>
      <c r="D296" s="823"/>
      <c r="E296" s="823"/>
      <c r="F296" s="823"/>
      <c r="G296" s="823"/>
      <c r="H296" s="823"/>
      <c r="I296" s="823"/>
      <c r="J296" s="823"/>
      <c r="K296" s="823"/>
      <c r="L296" s="823"/>
      <c r="M296" s="823"/>
      <c r="N296" s="823"/>
      <c r="O296" s="823"/>
      <c r="P296" s="823"/>
      <c r="Q296" s="823"/>
      <c r="R296" s="823"/>
      <c r="S296" s="823"/>
      <c r="T296" s="823"/>
      <c r="U296" s="823"/>
      <c r="V296" s="824"/>
      <c r="Z296" s="1039"/>
      <c r="AB296" s="826"/>
      <c r="AC296" s="1040"/>
      <c r="AD296" s="1041"/>
      <c r="AF296" s="1041"/>
      <c r="AH296" s="846"/>
      <c r="AJ296" s="1041"/>
      <c r="AK296" s="1041"/>
      <c r="AM296" s="1041"/>
      <c r="AO296" s="1041"/>
      <c r="AP296" s="1042"/>
      <c r="AQ296" s="1040"/>
      <c r="AR296" s="1040"/>
      <c r="AU296" s="1043"/>
      <c r="AW296" s="1044"/>
      <c r="AX296" s="1044"/>
      <c r="AY296" s="1044"/>
      <c r="AZ296" s="1044"/>
    </row>
    <row r="297" spans="2:52" s="1025" customFormat="1">
      <c r="B297" s="824"/>
      <c r="C297" s="824"/>
      <c r="D297" s="823"/>
      <c r="E297" s="823"/>
      <c r="F297" s="823"/>
      <c r="G297" s="823"/>
      <c r="H297" s="823"/>
      <c r="I297" s="823"/>
      <c r="J297" s="823"/>
      <c r="K297" s="823"/>
      <c r="L297" s="823"/>
      <c r="M297" s="823"/>
      <c r="N297" s="823"/>
      <c r="O297" s="823"/>
      <c r="P297" s="823"/>
      <c r="Q297" s="823"/>
      <c r="R297" s="823"/>
      <c r="S297" s="823"/>
      <c r="T297" s="823"/>
      <c r="U297" s="823"/>
      <c r="V297" s="824"/>
      <c r="Z297" s="1039"/>
      <c r="AB297" s="826"/>
      <c r="AC297" s="1040"/>
      <c r="AD297" s="1041"/>
      <c r="AF297" s="1041"/>
      <c r="AH297" s="846"/>
      <c r="AJ297" s="1041"/>
      <c r="AK297" s="1041"/>
      <c r="AM297" s="1041"/>
      <c r="AO297" s="1041"/>
      <c r="AP297" s="1042"/>
      <c r="AQ297" s="1040"/>
      <c r="AR297" s="1040"/>
      <c r="AU297" s="1043"/>
      <c r="AW297" s="1044"/>
      <c r="AX297" s="1044"/>
      <c r="AY297" s="1044"/>
      <c r="AZ297" s="1044"/>
    </row>
    <row r="298" spans="2:52" s="1025" customFormat="1">
      <c r="B298" s="824"/>
      <c r="C298" s="824"/>
      <c r="D298" s="823"/>
      <c r="E298" s="823"/>
      <c r="F298" s="823"/>
      <c r="G298" s="823"/>
      <c r="H298" s="823"/>
      <c r="I298" s="823"/>
      <c r="J298" s="823"/>
      <c r="K298" s="823"/>
      <c r="L298" s="823"/>
      <c r="M298" s="823"/>
      <c r="N298" s="823"/>
      <c r="O298" s="823"/>
      <c r="P298" s="823"/>
      <c r="Q298" s="823"/>
      <c r="R298" s="823"/>
      <c r="S298" s="823"/>
      <c r="T298" s="823"/>
      <c r="U298" s="823"/>
      <c r="V298" s="824"/>
      <c r="Z298" s="1039"/>
      <c r="AB298" s="826"/>
      <c r="AC298" s="1040"/>
      <c r="AD298" s="1041"/>
      <c r="AF298" s="1041"/>
      <c r="AH298" s="846"/>
      <c r="AJ298" s="1041"/>
      <c r="AK298" s="1041"/>
      <c r="AM298" s="1041"/>
      <c r="AO298" s="1041"/>
      <c r="AP298" s="1042"/>
      <c r="AQ298" s="1040"/>
      <c r="AR298" s="1040"/>
      <c r="AU298" s="1043"/>
      <c r="AW298" s="1044"/>
      <c r="AX298" s="1044"/>
      <c r="AY298" s="1044"/>
      <c r="AZ298" s="1044"/>
    </row>
    <row r="299" spans="2:52" s="1025" customFormat="1">
      <c r="B299" s="824"/>
      <c r="C299" s="824"/>
      <c r="D299" s="823"/>
      <c r="E299" s="823"/>
      <c r="F299" s="823"/>
      <c r="G299" s="823"/>
      <c r="H299" s="823"/>
      <c r="I299" s="823"/>
      <c r="J299" s="823"/>
      <c r="K299" s="823"/>
      <c r="L299" s="823"/>
      <c r="M299" s="823"/>
      <c r="N299" s="823"/>
      <c r="O299" s="823"/>
      <c r="P299" s="823"/>
      <c r="Q299" s="823"/>
      <c r="R299" s="823"/>
      <c r="S299" s="823"/>
      <c r="T299" s="823"/>
      <c r="U299" s="823"/>
      <c r="V299" s="824"/>
      <c r="Z299" s="1039"/>
      <c r="AB299" s="826"/>
      <c r="AC299" s="1040"/>
      <c r="AD299" s="1041"/>
      <c r="AF299" s="1041"/>
      <c r="AH299" s="846"/>
      <c r="AJ299" s="1041"/>
      <c r="AK299" s="1041"/>
      <c r="AM299" s="1041"/>
      <c r="AO299" s="1041"/>
      <c r="AP299" s="1042"/>
      <c r="AQ299" s="1040"/>
      <c r="AR299" s="1040"/>
      <c r="AU299" s="1043"/>
      <c r="AW299" s="1044"/>
      <c r="AX299" s="1044"/>
      <c r="AY299" s="1044"/>
      <c r="AZ299" s="1044"/>
    </row>
    <row r="300" spans="2:52" s="1025" customFormat="1">
      <c r="B300" s="824"/>
      <c r="C300" s="824"/>
      <c r="D300" s="823"/>
      <c r="E300" s="823"/>
      <c r="F300" s="823"/>
      <c r="G300" s="823"/>
      <c r="H300" s="823"/>
      <c r="I300" s="823"/>
      <c r="J300" s="823"/>
      <c r="K300" s="823"/>
      <c r="L300" s="823"/>
      <c r="M300" s="823"/>
      <c r="N300" s="823"/>
      <c r="O300" s="823"/>
      <c r="P300" s="823"/>
      <c r="Q300" s="823"/>
      <c r="R300" s="823"/>
      <c r="S300" s="823"/>
      <c r="T300" s="823"/>
      <c r="U300" s="823"/>
      <c r="V300" s="824"/>
      <c r="Z300" s="1039"/>
      <c r="AB300" s="826"/>
      <c r="AC300" s="1040"/>
      <c r="AD300" s="1041"/>
      <c r="AF300" s="1041"/>
      <c r="AH300" s="846"/>
      <c r="AJ300" s="1041"/>
      <c r="AK300" s="1041"/>
      <c r="AM300" s="1041"/>
      <c r="AO300" s="1041"/>
      <c r="AP300" s="1042"/>
      <c r="AQ300" s="1040"/>
      <c r="AR300" s="1040"/>
      <c r="AU300" s="1043"/>
      <c r="AW300" s="1044"/>
      <c r="AX300" s="1044"/>
      <c r="AY300" s="1044"/>
      <c r="AZ300" s="1044"/>
    </row>
    <row r="301" spans="2:52" s="1025" customFormat="1">
      <c r="B301" s="824"/>
      <c r="C301" s="824"/>
      <c r="D301" s="823"/>
      <c r="E301" s="823"/>
      <c r="F301" s="823"/>
      <c r="G301" s="823"/>
      <c r="H301" s="823"/>
      <c r="I301" s="823"/>
      <c r="J301" s="823"/>
      <c r="K301" s="823"/>
      <c r="L301" s="823"/>
      <c r="M301" s="823"/>
      <c r="N301" s="823"/>
      <c r="O301" s="823"/>
      <c r="P301" s="823"/>
      <c r="Q301" s="823"/>
      <c r="R301" s="823"/>
      <c r="S301" s="823"/>
      <c r="T301" s="823"/>
      <c r="U301" s="823"/>
      <c r="V301" s="824"/>
      <c r="Z301" s="1039"/>
      <c r="AB301" s="826"/>
      <c r="AC301" s="1040"/>
      <c r="AD301" s="1041"/>
      <c r="AF301" s="1041"/>
      <c r="AH301" s="846"/>
      <c r="AJ301" s="1041"/>
      <c r="AK301" s="1041"/>
      <c r="AM301" s="1041"/>
      <c r="AO301" s="1041"/>
      <c r="AP301" s="1042"/>
      <c r="AQ301" s="1040"/>
      <c r="AR301" s="1040"/>
      <c r="AU301" s="1043"/>
      <c r="AW301" s="1044"/>
      <c r="AX301" s="1044"/>
      <c r="AY301" s="1044"/>
      <c r="AZ301" s="1044"/>
    </row>
    <row r="302" spans="2:52" s="1025" customFormat="1">
      <c r="B302" s="824"/>
      <c r="C302" s="824"/>
      <c r="D302" s="823"/>
      <c r="E302" s="823"/>
      <c r="F302" s="823"/>
      <c r="G302" s="823"/>
      <c r="H302" s="823"/>
      <c r="I302" s="823"/>
      <c r="J302" s="823"/>
      <c r="K302" s="823"/>
      <c r="L302" s="823"/>
      <c r="M302" s="823"/>
      <c r="N302" s="823"/>
      <c r="O302" s="823"/>
      <c r="P302" s="823"/>
      <c r="Q302" s="823"/>
      <c r="R302" s="823"/>
      <c r="S302" s="823"/>
      <c r="T302" s="823"/>
      <c r="U302" s="823"/>
      <c r="V302" s="824"/>
      <c r="Z302" s="1039"/>
      <c r="AB302" s="826"/>
      <c r="AC302" s="1040"/>
      <c r="AD302" s="1041"/>
      <c r="AF302" s="1041"/>
      <c r="AH302" s="846"/>
      <c r="AJ302" s="1041"/>
      <c r="AK302" s="1041"/>
      <c r="AM302" s="1041"/>
      <c r="AO302" s="1041"/>
      <c r="AP302" s="1042"/>
      <c r="AQ302" s="1040"/>
      <c r="AR302" s="1040"/>
      <c r="AU302" s="1043"/>
      <c r="AW302" s="1044"/>
      <c r="AX302" s="1044"/>
      <c r="AY302" s="1044"/>
      <c r="AZ302" s="1044"/>
    </row>
    <row r="303" spans="2:52" s="1025" customFormat="1">
      <c r="B303" s="824"/>
      <c r="C303" s="824"/>
      <c r="D303" s="823"/>
      <c r="E303" s="823"/>
      <c r="F303" s="823"/>
      <c r="G303" s="823"/>
      <c r="H303" s="823"/>
      <c r="I303" s="823"/>
      <c r="J303" s="823"/>
      <c r="K303" s="823"/>
      <c r="L303" s="823"/>
      <c r="M303" s="823"/>
      <c r="N303" s="823"/>
      <c r="O303" s="823"/>
      <c r="P303" s="823"/>
      <c r="Q303" s="823"/>
      <c r="R303" s="823"/>
      <c r="S303" s="823"/>
      <c r="T303" s="823"/>
      <c r="U303" s="823"/>
      <c r="V303" s="824"/>
      <c r="Z303" s="1039"/>
      <c r="AB303" s="826"/>
      <c r="AC303" s="1040"/>
      <c r="AD303" s="1041"/>
      <c r="AF303" s="1041"/>
      <c r="AH303" s="846"/>
      <c r="AJ303" s="1041"/>
      <c r="AK303" s="1041"/>
      <c r="AM303" s="1041"/>
      <c r="AO303" s="1041"/>
      <c r="AP303" s="1042"/>
      <c r="AQ303" s="1040"/>
      <c r="AR303" s="1040"/>
      <c r="AU303" s="1043"/>
      <c r="AW303" s="1044"/>
      <c r="AX303" s="1044"/>
      <c r="AY303" s="1044"/>
      <c r="AZ303" s="1044"/>
    </row>
    <row r="304" spans="2:52" s="1025" customFormat="1">
      <c r="B304" s="824"/>
      <c r="C304" s="824"/>
      <c r="D304" s="823"/>
      <c r="E304" s="823"/>
      <c r="F304" s="823"/>
      <c r="G304" s="823"/>
      <c r="H304" s="823"/>
      <c r="I304" s="823"/>
      <c r="J304" s="823"/>
      <c r="K304" s="823"/>
      <c r="L304" s="823"/>
      <c r="M304" s="823"/>
      <c r="N304" s="823"/>
      <c r="O304" s="823"/>
      <c r="P304" s="823"/>
      <c r="Q304" s="823"/>
      <c r="R304" s="823"/>
      <c r="S304" s="823"/>
      <c r="T304" s="823"/>
      <c r="U304" s="823"/>
      <c r="V304" s="824"/>
      <c r="Z304" s="1039"/>
      <c r="AB304" s="826"/>
      <c r="AC304" s="1040"/>
      <c r="AD304" s="1041"/>
      <c r="AF304" s="1041"/>
      <c r="AH304" s="846"/>
      <c r="AJ304" s="1041"/>
      <c r="AK304" s="1041"/>
      <c r="AM304" s="1041"/>
      <c r="AO304" s="1041"/>
      <c r="AP304" s="1042"/>
      <c r="AQ304" s="1040"/>
      <c r="AR304" s="1040"/>
      <c r="AU304" s="1043"/>
      <c r="AW304" s="1044"/>
      <c r="AX304" s="1044"/>
      <c r="AY304" s="1044"/>
      <c r="AZ304" s="1044"/>
    </row>
    <row r="305" spans="2:52" s="1025" customFormat="1">
      <c r="B305" s="824"/>
      <c r="C305" s="824"/>
      <c r="D305" s="823"/>
      <c r="E305" s="823"/>
      <c r="F305" s="823"/>
      <c r="G305" s="823"/>
      <c r="H305" s="823"/>
      <c r="I305" s="823"/>
      <c r="J305" s="823"/>
      <c r="K305" s="823"/>
      <c r="L305" s="823"/>
      <c r="M305" s="823"/>
      <c r="N305" s="823"/>
      <c r="O305" s="823"/>
      <c r="P305" s="823"/>
      <c r="Q305" s="823"/>
      <c r="R305" s="823"/>
      <c r="S305" s="823"/>
      <c r="T305" s="823"/>
      <c r="U305" s="823"/>
      <c r="V305" s="824"/>
      <c r="Z305" s="1039"/>
      <c r="AB305" s="826"/>
      <c r="AC305" s="1040"/>
      <c r="AD305" s="1041"/>
      <c r="AF305" s="1041"/>
      <c r="AH305" s="846"/>
      <c r="AJ305" s="1041"/>
      <c r="AK305" s="1041"/>
      <c r="AM305" s="1041"/>
      <c r="AO305" s="1041"/>
      <c r="AP305" s="1042"/>
      <c r="AQ305" s="1040"/>
      <c r="AR305" s="1040"/>
      <c r="AU305" s="1043"/>
      <c r="AW305" s="1044"/>
      <c r="AX305" s="1044"/>
      <c r="AY305" s="1044"/>
      <c r="AZ305" s="1044"/>
    </row>
    <row r="306" spans="2:52" s="1025" customFormat="1">
      <c r="B306" s="824"/>
      <c r="C306" s="824"/>
      <c r="D306" s="823"/>
      <c r="E306" s="823"/>
      <c r="F306" s="823"/>
      <c r="G306" s="823"/>
      <c r="H306" s="823"/>
      <c r="I306" s="823"/>
      <c r="J306" s="823"/>
      <c r="K306" s="823"/>
      <c r="L306" s="823"/>
      <c r="M306" s="823"/>
      <c r="N306" s="823"/>
      <c r="O306" s="823"/>
      <c r="P306" s="823"/>
      <c r="Q306" s="823"/>
      <c r="R306" s="823"/>
      <c r="S306" s="823"/>
      <c r="T306" s="823"/>
      <c r="U306" s="823"/>
      <c r="V306" s="824"/>
      <c r="Z306" s="1039"/>
      <c r="AB306" s="826"/>
      <c r="AC306" s="1040"/>
      <c r="AD306" s="1041"/>
      <c r="AF306" s="1041"/>
      <c r="AH306" s="846"/>
      <c r="AJ306" s="1041"/>
      <c r="AK306" s="1041"/>
      <c r="AM306" s="1041"/>
      <c r="AO306" s="1041"/>
      <c r="AP306" s="1042"/>
      <c r="AQ306" s="1040"/>
      <c r="AR306" s="1040"/>
      <c r="AU306" s="1043"/>
      <c r="AW306" s="1044"/>
      <c r="AX306" s="1044"/>
      <c r="AY306" s="1044"/>
      <c r="AZ306" s="1044"/>
    </row>
    <row r="307" spans="2:52" s="1025" customFormat="1">
      <c r="B307" s="824"/>
      <c r="C307" s="824"/>
      <c r="D307" s="823"/>
      <c r="E307" s="823"/>
      <c r="F307" s="823"/>
      <c r="G307" s="823"/>
      <c r="H307" s="823"/>
      <c r="I307" s="823"/>
      <c r="J307" s="823"/>
      <c r="K307" s="823"/>
      <c r="L307" s="823"/>
      <c r="M307" s="823"/>
      <c r="N307" s="823"/>
      <c r="O307" s="823"/>
      <c r="P307" s="823"/>
      <c r="Q307" s="823"/>
      <c r="R307" s="823"/>
      <c r="S307" s="823"/>
      <c r="T307" s="823"/>
      <c r="U307" s="823"/>
      <c r="V307" s="824"/>
      <c r="Z307" s="1039"/>
      <c r="AB307" s="826"/>
      <c r="AC307" s="1040"/>
      <c r="AD307" s="1041"/>
      <c r="AF307" s="1041"/>
      <c r="AH307" s="846"/>
      <c r="AJ307" s="1041"/>
      <c r="AK307" s="1041"/>
      <c r="AM307" s="1041"/>
      <c r="AO307" s="1041"/>
      <c r="AP307" s="1042"/>
      <c r="AQ307" s="1040"/>
      <c r="AR307" s="1040"/>
      <c r="AU307" s="1043"/>
      <c r="AW307" s="1044"/>
      <c r="AX307" s="1044"/>
      <c r="AY307" s="1044"/>
      <c r="AZ307" s="1044"/>
    </row>
    <row r="308" spans="2:52" s="1025" customFormat="1">
      <c r="B308" s="824"/>
      <c r="C308" s="824"/>
      <c r="D308" s="823"/>
      <c r="E308" s="823"/>
      <c r="F308" s="823"/>
      <c r="G308" s="823"/>
      <c r="H308" s="823"/>
      <c r="I308" s="823"/>
      <c r="J308" s="823"/>
      <c r="K308" s="823"/>
      <c r="L308" s="823"/>
      <c r="M308" s="823"/>
      <c r="N308" s="823"/>
      <c r="O308" s="823"/>
      <c r="P308" s="823"/>
      <c r="Q308" s="823"/>
      <c r="R308" s="823"/>
      <c r="S308" s="823"/>
      <c r="T308" s="823"/>
      <c r="U308" s="823"/>
      <c r="V308" s="824"/>
      <c r="Z308" s="1039"/>
      <c r="AB308" s="826"/>
      <c r="AC308" s="1040"/>
      <c r="AD308" s="1041"/>
      <c r="AF308" s="1041"/>
      <c r="AH308" s="846"/>
      <c r="AJ308" s="1041"/>
      <c r="AK308" s="1041"/>
      <c r="AM308" s="1041"/>
      <c r="AO308" s="1041"/>
      <c r="AP308" s="1042"/>
      <c r="AQ308" s="1040"/>
      <c r="AR308" s="1040"/>
      <c r="AU308" s="1043"/>
      <c r="AW308" s="1044"/>
      <c r="AX308" s="1044"/>
      <c r="AY308" s="1044"/>
      <c r="AZ308" s="1044"/>
    </row>
    <row r="309" spans="2:52" s="1025" customFormat="1">
      <c r="B309" s="824"/>
      <c r="C309" s="824"/>
      <c r="D309" s="823"/>
      <c r="E309" s="823"/>
      <c r="F309" s="823"/>
      <c r="G309" s="823"/>
      <c r="H309" s="823"/>
      <c r="I309" s="823"/>
      <c r="J309" s="823"/>
      <c r="K309" s="823"/>
      <c r="L309" s="823"/>
      <c r="M309" s="823"/>
      <c r="N309" s="823"/>
      <c r="O309" s="823"/>
      <c r="P309" s="823"/>
      <c r="Q309" s="823"/>
      <c r="R309" s="823"/>
      <c r="S309" s="823"/>
      <c r="T309" s="823"/>
      <c r="U309" s="823"/>
      <c r="V309" s="824"/>
      <c r="Z309" s="1039"/>
      <c r="AB309" s="826"/>
      <c r="AC309" s="1040"/>
      <c r="AD309" s="1041"/>
      <c r="AF309" s="1041"/>
      <c r="AH309" s="846"/>
      <c r="AJ309" s="1041"/>
      <c r="AK309" s="1041"/>
      <c r="AM309" s="1041"/>
      <c r="AO309" s="1041"/>
      <c r="AP309" s="1042"/>
      <c r="AQ309" s="1040"/>
      <c r="AR309" s="1040"/>
      <c r="AU309" s="1043"/>
      <c r="AW309" s="1044"/>
      <c r="AX309" s="1044"/>
      <c r="AY309" s="1044"/>
      <c r="AZ309" s="1044"/>
    </row>
    <row r="310" spans="2:52" s="1025" customFormat="1">
      <c r="B310" s="824"/>
      <c r="C310" s="824"/>
      <c r="D310" s="823"/>
      <c r="E310" s="823"/>
      <c r="F310" s="823"/>
      <c r="G310" s="823"/>
      <c r="H310" s="823"/>
      <c r="I310" s="823"/>
      <c r="J310" s="823"/>
      <c r="K310" s="823"/>
      <c r="L310" s="823"/>
      <c r="M310" s="823"/>
      <c r="N310" s="823"/>
      <c r="O310" s="823"/>
      <c r="P310" s="823"/>
      <c r="Q310" s="823"/>
      <c r="R310" s="823"/>
      <c r="S310" s="823"/>
      <c r="T310" s="823"/>
      <c r="U310" s="823"/>
      <c r="V310" s="824"/>
      <c r="Z310" s="1039"/>
      <c r="AB310" s="826"/>
      <c r="AC310" s="1040"/>
      <c r="AD310" s="1041"/>
      <c r="AF310" s="1041"/>
      <c r="AH310" s="846"/>
      <c r="AJ310" s="1041"/>
      <c r="AK310" s="1041"/>
      <c r="AM310" s="1041"/>
      <c r="AO310" s="1041"/>
      <c r="AP310" s="1042"/>
      <c r="AQ310" s="1040"/>
      <c r="AR310" s="1040"/>
      <c r="AU310" s="1043"/>
      <c r="AW310" s="1044"/>
      <c r="AX310" s="1044"/>
      <c r="AY310" s="1044"/>
      <c r="AZ310" s="1044"/>
    </row>
    <row r="311" spans="2:52" s="1025" customFormat="1">
      <c r="B311" s="824"/>
      <c r="C311" s="824"/>
      <c r="D311" s="823"/>
      <c r="E311" s="823"/>
      <c r="F311" s="823"/>
      <c r="G311" s="823"/>
      <c r="H311" s="823"/>
      <c r="I311" s="823"/>
      <c r="J311" s="823"/>
      <c r="K311" s="823"/>
      <c r="L311" s="823"/>
      <c r="M311" s="823"/>
      <c r="N311" s="823"/>
      <c r="O311" s="823"/>
      <c r="P311" s="823"/>
      <c r="Q311" s="823"/>
      <c r="R311" s="823"/>
      <c r="S311" s="823"/>
      <c r="T311" s="823"/>
      <c r="U311" s="823"/>
      <c r="V311" s="824"/>
      <c r="Z311" s="1039"/>
      <c r="AB311" s="826"/>
      <c r="AC311" s="1040"/>
      <c r="AD311" s="1041"/>
      <c r="AF311" s="1041"/>
      <c r="AH311" s="846"/>
      <c r="AJ311" s="1041"/>
      <c r="AK311" s="1041"/>
      <c r="AM311" s="1041"/>
      <c r="AO311" s="1041"/>
      <c r="AP311" s="1042"/>
      <c r="AQ311" s="1040"/>
      <c r="AR311" s="1040"/>
      <c r="AU311" s="1043"/>
      <c r="AW311" s="1044"/>
      <c r="AX311" s="1044"/>
      <c r="AY311" s="1044"/>
      <c r="AZ311" s="1044"/>
    </row>
    <row r="312" spans="2:52" s="1025" customFormat="1">
      <c r="B312" s="824"/>
      <c r="C312" s="824"/>
      <c r="D312" s="823"/>
      <c r="E312" s="823"/>
      <c r="F312" s="823"/>
      <c r="G312" s="823"/>
      <c r="H312" s="823"/>
      <c r="I312" s="823"/>
      <c r="J312" s="823"/>
      <c r="K312" s="823"/>
      <c r="L312" s="823"/>
      <c r="M312" s="823"/>
      <c r="N312" s="823"/>
      <c r="O312" s="823"/>
      <c r="P312" s="823"/>
      <c r="Q312" s="823"/>
      <c r="R312" s="823"/>
      <c r="S312" s="823"/>
      <c r="T312" s="823"/>
      <c r="U312" s="823"/>
      <c r="V312" s="824"/>
      <c r="Z312" s="1039"/>
      <c r="AB312" s="826"/>
      <c r="AC312" s="1040"/>
      <c r="AD312" s="1041"/>
      <c r="AF312" s="1041"/>
      <c r="AH312" s="846"/>
      <c r="AJ312" s="1041"/>
      <c r="AK312" s="1041"/>
      <c r="AM312" s="1041"/>
      <c r="AO312" s="1041"/>
      <c r="AP312" s="1042"/>
      <c r="AQ312" s="1040"/>
      <c r="AR312" s="1040"/>
      <c r="AU312" s="1043"/>
      <c r="AW312" s="1044"/>
      <c r="AX312" s="1044"/>
      <c r="AY312" s="1044"/>
      <c r="AZ312" s="1044"/>
    </row>
    <row r="313" spans="2:52" s="1025" customFormat="1">
      <c r="B313" s="824"/>
      <c r="C313" s="824"/>
      <c r="D313" s="823"/>
      <c r="E313" s="823"/>
      <c r="F313" s="823"/>
      <c r="G313" s="823"/>
      <c r="H313" s="823"/>
      <c r="I313" s="823"/>
      <c r="J313" s="823"/>
      <c r="K313" s="823"/>
      <c r="L313" s="823"/>
      <c r="M313" s="823"/>
      <c r="N313" s="823"/>
      <c r="O313" s="823"/>
      <c r="P313" s="823"/>
      <c r="Q313" s="823"/>
      <c r="R313" s="823"/>
      <c r="S313" s="823"/>
      <c r="T313" s="823"/>
      <c r="U313" s="823"/>
      <c r="V313" s="824"/>
      <c r="Z313" s="1039"/>
      <c r="AB313" s="826"/>
      <c r="AC313" s="1040"/>
      <c r="AD313" s="1041"/>
      <c r="AF313" s="1041"/>
      <c r="AH313" s="846"/>
      <c r="AJ313" s="1041"/>
      <c r="AK313" s="1041"/>
      <c r="AM313" s="1041"/>
      <c r="AO313" s="1041"/>
      <c r="AP313" s="1042"/>
      <c r="AQ313" s="1040"/>
      <c r="AR313" s="1040"/>
      <c r="AU313" s="1043"/>
      <c r="AW313" s="1044"/>
      <c r="AX313" s="1044"/>
      <c r="AY313" s="1044"/>
      <c r="AZ313" s="1044"/>
    </row>
    <row r="314" spans="2:52" s="1025" customFormat="1">
      <c r="B314" s="824"/>
      <c r="C314" s="824"/>
      <c r="D314" s="823"/>
      <c r="E314" s="823"/>
      <c r="F314" s="823"/>
      <c r="G314" s="823"/>
      <c r="H314" s="823"/>
      <c r="I314" s="823"/>
      <c r="J314" s="823"/>
      <c r="K314" s="823"/>
      <c r="L314" s="823"/>
      <c r="M314" s="823"/>
      <c r="N314" s="823"/>
      <c r="O314" s="823"/>
      <c r="P314" s="823"/>
      <c r="Q314" s="823"/>
      <c r="R314" s="823"/>
      <c r="S314" s="823"/>
      <c r="T314" s="823"/>
      <c r="U314" s="823"/>
      <c r="V314" s="824"/>
      <c r="Z314" s="1039"/>
      <c r="AB314" s="826"/>
      <c r="AC314" s="1040"/>
      <c r="AD314" s="1041"/>
      <c r="AF314" s="1041"/>
      <c r="AH314" s="846"/>
      <c r="AJ314" s="1041"/>
      <c r="AK314" s="1041"/>
      <c r="AM314" s="1041"/>
      <c r="AO314" s="1041"/>
      <c r="AP314" s="1042"/>
      <c r="AQ314" s="1040"/>
      <c r="AR314" s="1040"/>
      <c r="AU314" s="1043"/>
      <c r="AW314" s="1044"/>
      <c r="AX314" s="1044"/>
      <c r="AY314" s="1044"/>
      <c r="AZ314" s="1044"/>
    </row>
    <row r="315" spans="2:52" s="1025" customFormat="1">
      <c r="B315" s="824"/>
      <c r="C315" s="824"/>
      <c r="D315" s="823"/>
      <c r="E315" s="823"/>
      <c r="F315" s="823"/>
      <c r="G315" s="823"/>
      <c r="H315" s="823"/>
      <c r="I315" s="823"/>
      <c r="J315" s="823"/>
      <c r="K315" s="823"/>
      <c r="L315" s="823"/>
      <c r="M315" s="823"/>
      <c r="N315" s="823"/>
      <c r="O315" s="823"/>
      <c r="P315" s="823"/>
      <c r="Q315" s="823"/>
      <c r="R315" s="823"/>
      <c r="S315" s="823"/>
      <c r="T315" s="823"/>
      <c r="U315" s="823"/>
      <c r="V315" s="824"/>
      <c r="Z315" s="1039"/>
      <c r="AB315" s="826"/>
      <c r="AC315" s="1040"/>
      <c r="AD315" s="1041"/>
      <c r="AF315" s="1041"/>
      <c r="AH315" s="846"/>
      <c r="AJ315" s="1041"/>
      <c r="AK315" s="1041"/>
      <c r="AM315" s="1041"/>
      <c r="AO315" s="1041"/>
      <c r="AP315" s="1042"/>
      <c r="AQ315" s="1040"/>
      <c r="AR315" s="1040"/>
      <c r="AU315" s="1043"/>
      <c r="AW315" s="1044"/>
      <c r="AX315" s="1044"/>
      <c r="AY315" s="1044"/>
      <c r="AZ315" s="1044"/>
    </row>
    <row r="316" spans="2:52" s="1025" customFormat="1">
      <c r="B316" s="824"/>
      <c r="C316" s="824"/>
      <c r="D316" s="823"/>
      <c r="E316" s="823"/>
      <c r="F316" s="823"/>
      <c r="G316" s="823"/>
      <c r="H316" s="823"/>
      <c r="I316" s="823"/>
      <c r="J316" s="823"/>
      <c r="K316" s="823"/>
      <c r="L316" s="823"/>
      <c r="M316" s="823"/>
      <c r="N316" s="823"/>
      <c r="O316" s="823"/>
      <c r="P316" s="823"/>
      <c r="Q316" s="823"/>
      <c r="R316" s="823"/>
      <c r="S316" s="823"/>
      <c r="T316" s="823"/>
      <c r="U316" s="823"/>
      <c r="V316" s="824"/>
      <c r="Z316" s="1039"/>
      <c r="AB316" s="826"/>
      <c r="AC316" s="1040"/>
      <c r="AD316" s="1041"/>
      <c r="AF316" s="1041"/>
      <c r="AH316" s="846"/>
      <c r="AJ316" s="1041"/>
      <c r="AK316" s="1041"/>
      <c r="AM316" s="1041"/>
      <c r="AO316" s="1041"/>
      <c r="AP316" s="1042"/>
      <c r="AQ316" s="1040"/>
      <c r="AR316" s="1040"/>
      <c r="AU316" s="1043"/>
      <c r="AW316" s="1044"/>
      <c r="AX316" s="1044"/>
      <c r="AY316" s="1044"/>
      <c r="AZ316" s="1044"/>
    </row>
    <row r="317" spans="2:52" s="1025" customFormat="1">
      <c r="B317" s="824"/>
      <c r="C317" s="824"/>
      <c r="D317" s="823"/>
      <c r="E317" s="823"/>
      <c r="F317" s="823"/>
      <c r="G317" s="823"/>
      <c r="H317" s="823"/>
      <c r="I317" s="823"/>
      <c r="J317" s="823"/>
      <c r="K317" s="823"/>
      <c r="L317" s="823"/>
      <c r="M317" s="823"/>
      <c r="N317" s="823"/>
      <c r="O317" s="823"/>
      <c r="P317" s="823"/>
      <c r="Q317" s="823"/>
      <c r="R317" s="823"/>
      <c r="S317" s="823"/>
      <c r="T317" s="823"/>
      <c r="U317" s="823"/>
      <c r="V317" s="824"/>
      <c r="Z317" s="1039"/>
      <c r="AB317" s="826"/>
      <c r="AC317" s="1040"/>
      <c r="AD317" s="1041"/>
      <c r="AF317" s="1041"/>
      <c r="AH317" s="846"/>
      <c r="AJ317" s="1041"/>
      <c r="AK317" s="1041"/>
      <c r="AM317" s="1041"/>
      <c r="AO317" s="1041"/>
      <c r="AP317" s="1042"/>
      <c r="AQ317" s="1040"/>
      <c r="AR317" s="1040"/>
      <c r="AU317" s="1043"/>
      <c r="AW317" s="1044"/>
      <c r="AX317" s="1044"/>
      <c r="AY317" s="1044"/>
      <c r="AZ317" s="1044"/>
    </row>
    <row r="318" spans="2:52" s="1025" customFormat="1">
      <c r="B318" s="824"/>
      <c r="C318" s="824"/>
      <c r="D318" s="823"/>
      <c r="E318" s="823"/>
      <c r="F318" s="823"/>
      <c r="G318" s="823"/>
      <c r="H318" s="823"/>
      <c r="I318" s="823"/>
      <c r="J318" s="823"/>
      <c r="K318" s="823"/>
      <c r="L318" s="823"/>
      <c r="M318" s="823"/>
      <c r="N318" s="823"/>
      <c r="O318" s="823"/>
      <c r="P318" s="823"/>
      <c r="Q318" s="823"/>
      <c r="R318" s="823"/>
      <c r="S318" s="823"/>
      <c r="T318" s="823"/>
      <c r="U318" s="823"/>
      <c r="V318" s="824"/>
      <c r="Z318" s="1039"/>
      <c r="AB318" s="826"/>
      <c r="AC318" s="1040"/>
      <c r="AD318" s="1041"/>
      <c r="AF318" s="1041"/>
      <c r="AH318" s="846"/>
      <c r="AJ318" s="1041"/>
      <c r="AK318" s="1041"/>
      <c r="AM318" s="1041"/>
      <c r="AO318" s="1041"/>
      <c r="AP318" s="1042"/>
      <c r="AQ318" s="1040"/>
      <c r="AR318" s="1040"/>
      <c r="AU318" s="1043"/>
      <c r="AW318" s="1044"/>
      <c r="AX318" s="1044"/>
      <c r="AY318" s="1044"/>
      <c r="AZ318" s="1044"/>
    </row>
    <row r="319" spans="2:52" s="1025" customFormat="1">
      <c r="B319" s="824"/>
      <c r="C319" s="824"/>
      <c r="D319" s="823"/>
      <c r="E319" s="823"/>
      <c r="F319" s="823"/>
      <c r="G319" s="823"/>
      <c r="H319" s="823"/>
      <c r="I319" s="823"/>
      <c r="J319" s="823"/>
      <c r="K319" s="823"/>
      <c r="L319" s="823"/>
      <c r="M319" s="823"/>
      <c r="N319" s="823"/>
      <c r="O319" s="823"/>
      <c r="P319" s="823"/>
      <c r="Q319" s="823"/>
      <c r="R319" s="823"/>
      <c r="S319" s="823"/>
      <c r="T319" s="823"/>
      <c r="U319" s="823"/>
      <c r="V319" s="824"/>
      <c r="Z319" s="1039"/>
      <c r="AB319" s="826"/>
      <c r="AC319" s="1040"/>
      <c r="AD319" s="1041"/>
      <c r="AF319" s="1041"/>
      <c r="AH319" s="846"/>
      <c r="AJ319" s="1041"/>
      <c r="AK319" s="1041"/>
      <c r="AM319" s="1041"/>
      <c r="AO319" s="1041"/>
      <c r="AP319" s="1042"/>
      <c r="AQ319" s="1040"/>
      <c r="AR319" s="1040"/>
      <c r="AU319" s="1043"/>
      <c r="AW319" s="1044"/>
      <c r="AX319" s="1044"/>
      <c r="AY319" s="1044"/>
      <c r="AZ319" s="1044"/>
    </row>
    <row r="320" spans="2:52" s="1025" customFormat="1">
      <c r="B320" s="824"/>
      <c r="C320" s="824"/>
      <c r="D320" s="823"/>
      <c r="E320" s="823"/>
      <c r="F320" s="823"/>
      <c r="G320" s="823"/>
      <c r="H320" s="823"/>
      <c r="I320" s="823"/>
      <c r="J320" s="823"/>
      <c r="K320" s="823"/>
      <c r="L320" s="823"/>
      <c r="M320" s="823"/>
      <c r="N320" s="823"/>
      <c r="O320" s="823"/>
      <c r="P320" s="823"/>
      <c r="Q320" s="823"/>
      <c r="R320" s="823"/>
      <c r="S320" s="823"/>
      <c r="T320" s="823"/>
      <c r="U320" s="823"/>
      <c r="V320" s="824"/>
      <c r="Z320" s="1039"/>
      <c r="AB320" s="826"/>
      <c r="AC320" s="1040"/>
      <c r="AD320" s="1041"/>
      <c r="AF320" s="1041"/>
      <c r="AH320" s="846"/>
      <c r="AJ320" s="1041"/>
      <c r="AK320" s="1041"/>
      <c r="AM320" s="1041"/>
      <c r="AO320" s="1041"/>
      <c r="AP320" s="1042"/>
      <c r="AQ320" s="1040"/>
      <c r="AR320" s="1040"/>
      <c r="AU320" s="1043"/>
      <c r="AW320" s="1044"/>
      <c r="AX320" s="1044"/>
      <c r="AY320" s="1044"/>
      <c r="AZ320" s="1044"/>
    </row>
    <row r="321" spans="2:52" s="1025" customFormat="1">
      <c r="B321" s="824"/>
      <c r="C321" s="824"/>
      <c r="D321" s="823"/>
      <c r="E321" s="823"/>
      <c r="F321" s="823"/>
      <c r="G321" s="823"/>
      <c r="H321" s="823"/>
      <c r="I321" s="823"/>
      <c r="J321" s="823"/>
      <c r="K321" s="823"/>
      <c r="L321" s="823"/>
      <c r="M321" s="823"/>
      <c r="N321" s="823"/>
      <c r="O321" s="823"/>
      <c r="P321" s="823"/>
      <c r="Q321" s="823"/>
      <c r="R321" s="823"/>
      <c r="S321" s="823"/>
      <c r="T321" s="823"/>
      <c r="U321" s="823"/>
      <c r="V321" s="824"/>
      <c r="Z321" s="1039"/>
      <c r="AB321" s="826"/>
      <c r="AC321" s="1040"/>
      <c r="AD321" s="1041"/>
      <c r="AF321" s="1041"/>
      <c r="AH321" s="846"/>
      <c r="AJ321" s="1041"/>
      <c r="AK321" s="1041"/>
      <c r="AM321" s="1041"/>
      <c r="AO321" s="1041"/>
      <c r="AP321" s="1042"/>
      <c r="AQ321" s="1040"/>
      <c r="AR321" s="1040"/>
      <c r="AU321" s="1043"/>
      <c r="AW321" s="1044"/>
      <c r="AX321" s="1044"/>
      <c r="AY321" s="1044"/>
      <c r="AZ321" s="1044"/>
    </row>
    <row r="322" spans="2:52" s="1025" customFormat="1">
      <c r="B322" s="824"/>
      <c r="C322" s="824"/>
      <c r="D322" s="823"/>
      <c r="E322" s="823"/>
      <c r="F322" s="823"/>
      <c r="G322" s="823"/>
      <c r="H322" s="823"/>
      <c r="I322" s="823"/>
      <c r="J322" s="823"/>
      <c r="K322" s="823"/>
      <c r="L322" s="823"/>
      <c r="M322" s="823"/>
      <c r="N322" s="823"/>
      <c r="O322" s="823"/>
      <c r="P322" s="823"/>
      <c r="Q322" s="823"/>
      <c r="R322" s="823"/>
      <c r="S322" s="823"/>
      <c r="T322" s="823"/>
      <c r="U322" s="823"/>
      <c r="V322" s="824"/>
      <c r="Z322" s="1039"/>
      <c r="AB322" s="826"/>
      <c r="AC322" s="1040"/>
      <c r="AD322" s="1041"/>
      <c r="AF322" s="1041"/>
      <c r="AH322" s="846"/>
      <c r="AJ322" s="1041"/>
      <c r="AK322" s="1041"/>
      <c r="AM322" s="1041"/>
      <c r="AO322" s="1041"/>
      <c r="AP322" s="1042"/>
      <c r="AQ322" s="1040"/>
      <c r="AR322" s="1040"/>
      <c r="AU322" s="1043"/>
      <c r="AW322" s="1044"/>
      <c r="AX322" s="1044"/>
      <c r="AY322" s="1044"/>
      <c r="AZ322" s="1044"/>
    </row>
    <row r="323" spans="2:52" s="1025" customFormat="1">
      <c r="B323" s="824"/>
      <c r="C323" s="824"/>
      <c r="D323" s="823"/>
      <c r="E323" s="823"/>
      <c r="F323" s="823"/>
      <c r="G323" s="823"/>
      <c r="H323" s="823"/>
      <c r="I323" s="823"/>
      <c r="J323" s="823"/>
      <c r="K323" s="823"/>
      <c r="L323" s="823"/>
      <c r="M323" s="823"/>
      <c r="N323" s="823"/>
      <c r="O323" s="823"/>
      <c r="P323" s="823"/>
      <c r="Q323" s="823"/>
      <c r="R323" s="823"/>
      <c r="S323" s="823"/>
      <c r="T323" s="823"/>
      <c r="U323" s="823"/>
      <c r="V323" s="824"/>
      <c r="Z323" s="1039"/>
      <c r="AB323" s="826"/>
      <c r="AC323" s="1040"/>
      <c r="AD323" s="1041"/>
      <c r="AF323" s="1041"/>
      <c r="AH323" s="846"/>
      <c r="AJ323" s="1041"/>
      <c r="AK323" s="1041"/>
      <c r="AM323" s="1041"/>
      <c r="AO323" s="1041"/>
      <c r="AP323" s="1042"/>
      <c r="AQ323" s="1040"/>
      <c r="AR323" s="1040"/>
      <c r="AU323" s="1043"/>
      <c r="AW323" s="1044"/>
      <c r="AX323" s="1044"/>
      <c r="AY323" s="1044"/>
      <c r="AZ323" s="1044"/>
    </row>
    <row r="324" spans="2:52" s="1025" customFormat="1">
      <c r="B324" s="824"/>
      <c r="C324" s="824"/>
      <c r="D324" s="823"/>
      <c r="E324" s="823"/>
      <c r="F324" s="823"/>
      <c r="G324" s="823"/>
      <c r="H324" s="823"/>
      <c r="I324" s="823"/>
      <c r="J324" s="823"/>
      <c r="K324" s="823"/>
      <c r="L324" s="823"/>
      <c r="M324" s="823"/>
      <c r="N324" s="823"/>
      <c r="O324" s="823"/>
      <c r="P324" s="823"/>
      <c r="Q324" s="823"/>
      <c r="R324" s="823"/>
      <c r="S324" s="823"/>
      <c r="T324" s="823"/>
      <c r="U324" s="823"/>
      <c r="V324" s="824"/>
      <c r="Z324" s="1039"/>
      <c r="AB324" s="826"/>
      <c r="AC324" s="1040"/>
      <c r="AD324" s="1041"/>
      <c r="AF324" s="1041"/>
      <c r="AH324" s="846"/>
      <c r="AJ324" s="1041"/>
      <c r="AK324" s="1041"/>
      <c r="AM324" s="1041"/>
      <c r="AO324" s="1041"/>
      <c r="AP324" s="1042"/>
      <c r="AQ324" s="1040"/>
      <c r="AR324" s="1040"/>
      <c r="AU324" s="1043"/>
      <c r="AW324" s="1044"/>
      <c r="AX324" s="1044"/>
      <c r="AY324" s="1044"/>
      <c r="AZ324" s="1044"/>
    </row>
    <row r="325" spans="2:52" s="1025" customFormat="1">
      <c r="B325" s="824"/>
      <c r="C325" s="824"/>
      <c r="D325" s="823"/>
      <c r="E325" s="823"/>
      <c r="F325" s="823"/>
      <c r="G325" s="823"/>
      <c r="H325" s="823"/>
      <c r="I325" s="823"/>
      <c r="J325" s="823"/>
      <c r="K325" s="823"/>
      <c r="L325" s="823"/>
      <c r="M325" s="823"/>
      <c r="N325" s="823"/>
      <c r="O325" s="823"/>
      <c r="P325" s="823"/>
      <c r="Q325" s="823"/>
      <c r="R325" s="823"/>
      <c r="S325" s="823"/>
      <c r="T325" s="823"/>
      <c r="U325" s="823"/>
      <c r="V325" s="824"/>
      <c r="Z325" s="1039"/>
      <c r="AB325" s="826"/>
      <c r="AC325" s="1040"/>
      <c r="AD325" s="1041"/>
      <c r="AF325" s="1041"/>
      <c r="AH325" s="846"/>
      <c r="AJ325" s="1041"/>
      <c r="AK325" s="1041"/>
      <c r="AM325" s="1041"/>
      <c r="AO325" s="1041"/>
      <c r="AP325" s="1042"/>
      <c r="AQ325" s="1040"/>
      <c r="AR325" s="1040"/>
      <c r="AU325" s="1043"/>
      <c r="AW325" s="1044"/>
      <c r="AX325" s="1044"/>
      <c r="AY325" s="1044"/>
      <c r="AZ325" s="1044"/>
    </row>
    <row r="326" spans="2:52" s="1025" customFormat="1">
      <c r="B326" s="824"/>
      <c r="C326" s="824"/>
      <c r="D326" s="823"/>
      <c r="E326" s="823"/>
      <c r="F326" s="823"/>
      <c r="G326" s="823"/>
      <c r="H326" s="823"/>
      <c r="I326" s="823"/>
      <c r="J326" s="823"/>
      <c r="K326" s="823"/>
      <c r="L326" s="823"/>
      <c r="M326" s="823"/>
      <c r="N326" s="823"/>
      <c r="O326" s="823"/>
      <c r="P326" s="823"/>
      <c r="Q326" s="823"/>
      <c r="R326" s="823"/>
      <c r="S326" s="823"/>
      <c r="T326" s="823"/>
      <c r="U326" s="823"/>
      <c r="V326" s="824"/>
      <c r="Z326" s="1039"/>
      <c r="AB326" s="826"/>
      <c r="AC326" s="1040"/>
      <c r="AD326" s="1041"/>
      <c r="AF326" s="1041"/>
      <c r="AH326" s="846"/>
      <c r="AJ326" s="1041"/>
      <c r="AK326" s="1041"/>
      <c r="AM326" s="1041"/>
      <c r="AO326" s="1041"/>
      <c r="AP326" s="1042"/>
      <c r="AQ326" s="1040"/>
      <c r="AR326" s="1040"/>
      <c r="AU326" s="1043"/>
      <c r="AW326" s="1044"/>
      <c r="AX326" s="1044"/>
      <c r="AY326" s="1044"/>
      <c r="AZ326" s="1044"/>
    </row>
    <row r="327" spans="2:52" s="1025" customFormat="1">
      <c r="B327" s="824"/>
      <c r="C327" s="824"/>
      <c r="D327" s="823"/>
      <c r="E327" s="823"/>
      <c r="F327" s="823"/>
      <c r="G327" s="823"/>
      <c r="H327" s="823"/>
      <c r="I327" s="823"/>
      <c r="J327" s="823"/>
      <c r="K327" s="823"/>
      <c r="L327" s="823"/>
      <c r="M327" s="823"/>
      <c r="N327" s="823"/>
      <c r="O327" s="823"/>
      <c r="P327" s="823"/>
      <c r="Q327" s="823"/>
      <c r="R327" s="823"/>
      <c r="S327" s="823"/>
      <c r="T327" s="823"/>
      <c r="U327" s="823"/>
      <c r="V327" s="824"/>
      <c r="Z327" s="1039"/>
      <c r="AB327" s="826"/>
      <c r="AC327" s="1040"/>
      <c r="AD327" s="1041"/>
      <c r="AF327" s="1041"/>
      <c r="AH327" s="846"/>
      <c r="AJ327" s="1041"/>
      <c r="AK327" s="1041"/>
      <c r="AM327" s="1041"/>
      <c r="AO327" s="1041"/>
      <c r="AP327" s="1042"/>
      <c r="AQ327" s="1040"/>
      <c r="AR327" s="1040"/>
      <c r="AU327" s="1043"/>
      <c r="AW327" s="1044"/>
      <c r="AX327" s="1044"/>
      <c r="AY327" s="1044"/>
      <c r="AZ327" s="1044"/>
    </row>
    <row r="328" spans="2:52" s="1025" customFormat="1">
      <c r="B328" s="824"/>
      <c r="C328" s="824"/>
      <c r="D328" s="823"/>
      <c r="E328" s="823"/>
      <c r="F328" s="823"/>
      <c r="G328" s="823"/>
      <c r="H328" s="823"/>
      <c r="I328" s="823"/>
      <c r="J328" s="823"/>
      <c r="K328" s="823"/>
      <c r="L328" s="823"/>
      <c r="M328" s="823"/>
      <c r="N328" s="823"/>
      <c r="O328" s="823"/>
      <c r="P328" s="823"/>
      <c r="Q328" s="823"/>
      <c r="R328" s="823"/>
      <c r="S328" s="823"/>
      <c r="T328" s="823"/>
      <c r="U328" s="823"/>
      <c r="V328" s="824"/>
      <c r="Z328" s="1039"/>
      <c r="AB328" s="826"/>
      <c r="AC328" s="1040"/>
      <c r="AD328" s="1041"/>
      <c r="AF328" s="1041"/>
      <c r="AH328" s="846"/>
      <c r="AJ328" s="1041"/>
      <c r="AK328" s="1041"/>
      <c r="AM328" s="1041"/>
      <c r="AO328" s="1041"/>
      <c r="AP328" s="1042"/>
      <c r="AQ328" s="1040"/>
      <c r="AR328" s="1040"/>
      <c r="AU328" s="1043"/>
      <c r="AW328" s="1044"/>
      <c r="AX328" s="1044"/>
      <c r="AY328" s="1044"/>
      <c r="AZ328" s="1044"/>
    </row>
    <row r="329" spans="2:52" s="1025" customFormat="1">
      <c r="B329" s="824"/>
      <c r="C329" s="824"/>
      <c r="D329" s="823"/>
      <c r="E329" s="823"/>
      <c r="F329" s="823"/>
      <c r="G329" s="823"/>
      <c r="H329" s="823"/>
      <c r="I329" s="823"/>
      <c r="J329" s="823"/>
      <c r="K329" s="823"/>
      <c r="L329" s="823"/>
      <c r="M329" s="823"/>
      <c r="N329" s="823"/>
      <c r="O329" s="823"/>
      <c r="P329" s="823"/>
      <c r="Q329" s="823"/>
      <c r="R329" s="823"/>
      <c r="S329" s="823"/>
      <c r="T329" s="823"/>
      <c r="U329" s="823"/>
      <c r="V329" s="824"/>
      <c r="Z329" s="1039"/>
      <c r="AB329" s="826"/>
      <c r="AC329" s="1040"/>
      <c r="AD329" s="1041"/>
      <c r="AF329" s="1041"/>
      <c r="AH329" s="846"/>
      <c r="AJ329" s="1041"/>
      <c r="AK329" s="1041"/>
      <c r="AM329" s="1041"/>
      <c r="AO329" s="1041"/>
      <c r="AP329" s="1042"/>
      <c r="AQ329" s="1040"/>
      <c r="AR329" s="1040"/>
      <c r="AU329" s="1043"/>
      <c r="AW329" s="1044"/>
      <c r="AX329" s="1044"/>
      <c r="AY329" s="1044"/>
      <c r="AZ329" s="1044"/>
    </row>
    <row r="330" spans="2:52" s="1025" customFormat="1">
      <c r="B330" s="824"/>
      <c r="C330" s="824"/>
      <c r="D330" s="823"/>
      <c r="E330" s="823"/>
      <c r="F330" s="823"/>
      <c r="G330" s="823"/>
      <c r="H330" s="823"/>
      <c r="I330" s="823"/>
      <c r="J330" s="823"/>
      <c r="K330" s="823"/>
      <c r="L330" s="823"/>
      <c r="M330" s="823"/>
      <c r="N330" s="823"/>
      <c r="O330" s="823"/>
      <c r="P330" s="823"/>
      <c r="Q330" s="823"/>
      <c r="R330" s="823"/>
      <c r="S330" s="823"/>
      <c r="T330" s="823"/>
      <c r="U330" s="823"/>
      <c r="V330" s="824"/>
      <c r="Z330" s="1039"/>
      <c r="AB330" s="826"/>
      <c r="AC330" s="1040"/>
      <c r="AD330" s="1041"/>
      <c r="AF330" s="1041"/>
      <c r="AH330" s="846"/>
      <c r="AJ330" s="1041"/>
      <c r="AK330" s="1041"/>
      <c r="AM330" s="1041"/>
      <c r="AO330" s="1041"/>
      <c r="AP330" s="1042"/>
      <c r="AQ330" s="1040"/>
      <c r="AR330" s="1040"/>
      <c r="AU330" s="1043"/>
      <c r="AW330" s="1044"/>
      <c r="AX330" s="1044"/>
      <c r="AY330" s="1044"/>
      <c r="AZ330" s="1044"/>
    </row>
    <row r="331" spans="2:52" s="1025" customFormat="1">
      <c r="B331" s="824"/>
      <c r="C331" s="824"/>
      <c r="D331" s="823"/>
      <c r="E331" s="823"/>
      <c r="F331" s="823"/>
      <c r="G331" s="823"/>
      <c r="H331" s="823"/>
      <c r="I331" s="823"/>
      <c r="J331" s="823"/>
      <c r="K331" s="823"/>
      <c r="L331" s="823"/>
      <c r="M331" s="823"/>
      <c r="N331" s="823"/>
      <c r="O331" s="823"/>
      <c r="P331" s="823"/>
      <c r="Q331" s="823"/>
      <c r="R331" s="823"/>
      <c r="S331" s="823"/>
      <c r="T331" s="823"/>
      <c r="U331" s="823"/>
      <c r="V331" s="824"/>
      <c r="Z331" s="1039"/>
      <c r="AB331" s="826"/>
      <c r="AC331" s="1040"/>
      <c r="AD331" s="1041"/>
      <c r="AF331" s="1041"/>
      <c r="AH331" s="846"/>
      <c r="AJ331" s="1041"/>
      <c r="AK331" s="1041"/>
      <c r="AM331" s="1041"/>
      <c r="AO331" s="1041"/>
      <c r="AP331" s="1042"/>
      <c r="AQ331" s="1040"/>
      <c r="AR331" s="1040"/>
      <c r="AU331" s="1043"/>
      <c r="AW331" s="1044"/>
      <c r="AX331" s="1044"/>
      <c r="AY331" s="1044"/>
      <c r="AZ331" s="1044"/>
    </row>
    <row r="332" spans="2:52" s="1025" customFormat="1">
      <c r="B332" s="824"/>
      <c r="C332" s="824"/>
      <c r="D332" s="823"/>
      <c r="E332" s="823"/>
      <c r="F332" s="823"/>
      <c r="G332" s="823"/>
      <c r="H332" s="823"/>
      <c r="I332" s="823"/>
      <c r="J332" s="823"/>
      <c r="K332" s="823"/>
      <c r="L332" s="823"/>
      <c r="M332" s="823"/>
      <c r="N332" s="823"/>
      <c r="O332" s="823"/>
      <c r="P332" s="823"/>
      <c r="Q332" s="823"/>
      <c r="R332" s="823"/>
      <c r="S332" s="823"/>
      <c r="T332" s="823"/>
      <c r="U332" s="823"/>
      <c r="V332" s="824"/>
      <c r="Z332" s="1039"/>
      <c r="AB332" s="826"/>
      <c r="AC332" s="1040"/>
      <c r="AD332" s="1041"/>
      <c r="AF332" s="1041"/>
      <c r="AH332" s="846"/>
      <c r="AJ332" s="1041"/>
      <c r="AK332" s="1041"/>
      <c r="AM332" s="1041"/>
      <c r="AO332" s="1041"/>
      <c r="AP332" s="1042"/>
      <c r="AQ332" s="1040"/>
      <c r="AR332" s="1040"/>
      <c r="AU332" s="1043"/>
      <c r="AW332" s="1044"/>
      <c r="AX332" s="1044"/>
      <c r="AY332" s="1044"/>
      <c r="AZ332" s="1044"/>
    </row>
    <row r="333" spans="2:52" s="1025" customFormat="1">
      <c r="B333" s="824"/>
      <c r="C333" s="824"/>
      <c r="D333" s="823"/>
      <c r="E333" s="823"/>
      <c r="F333" s="823"/>
      <c r="G333" s="823"/>
      <c r="H333" s="823"/>
      <c r="I333" s="823"/>
      <c r="J333" s="823"/>
      <c r="K333" s="823"/>
      <c r="L333" s="823"/>
      <c r="M333" s="823"/>
      <c r="N333" s="823"/>
      <c r="O333" s="823"/>
      <c r="P333" s="823"/>
      <c r="Q333" s="823"/>
      <c r="R333" s="823"/>
      <c r="S333" s="823"/>
      <c r="T333" s="823"/>
      <c r="U333" s="823"/>
      <c r="V333" s="824"/>
      <c r="Z333" s="1039"/>
      <c r="AB333" s="826"/>
      <c r="AC333" s="1040"/>
      <c r="AD333" s="1041"/>
      <c r="AF333" s="1041"/>
      <c r="AH333" s="846"/>
      <c r="AJ333" s="1041"/>
      <c r="AK333" s="1041"/>
      <c r="AM333" s="1041"/>
      <c r="AO333" s="1041"/>
      <c r="AP333" s="1042"/>
      <c r="AQ333" s="1040"/>
      <c r="AR333" s="1040"/>
      <c r="AU333" s="1043"/>
      <c r="AW333" s="1044"/>
      <c r="AX333" s="1044"/>
      <c r="AY333" s="1044"/>
      <c r="AZ333" s="1044"/>
    </row>
    <row r="334" spans="2:52" s="1025" customFormat="1">
      <c r="B334" s="824"/>
      <c r="C334" s="824"/>
      <c r="D334" s="823"/>
      <c r="E334" s="823"/>
      <c r="F334" s="823"/>
      <c r="G334" s="823"/>
      <c r="H334" s="823"/>
      <c r="I334" s="823"/>
      <c r="J334" s="823"/>
      <c r="K334" s="823"/>
      <c r="L334" s="823"/>
      <c r="M334" s="823"/>
      <c r="N334" s="823"/>
      <c r="O334" s="823"/>
      <c r="P334" s="823"/>
      <c r="Q334" s="823"/>
      <c r="R334" s="823"/>
      <c r="S334" s="823"/>
      <c r="T334" s="823"/>
      <c r="U334" s="823"/>
      <c r="V334" s="824"/>
      <c r="Z334" s="1039"/>
      <c r="AB334" s="826"/>
      <c r="AC334" s="1040"/>
      <c r="AD334" s="1041"/>
      <c r="AF334" s="1041"/>
      <c r="AH334" s="846"/>
      <c r="AJ334" s="1041"/>
      <c r="AK334" s="1041"/>
      <c r="AM334" s="1041"/>
      <c r="AO334" s="1041"/>
      <c r="AP334" s="1042"/>
      <c r="AQ334" s="1040"/>
      <c r="AR334" s="1040"/>
      <c r="AU334" s="1043"/>
      <c r="AW334" s="1044"/>
      <c r="AX334" s="1044"/>
      <c r="AY334" s="1044"/>
      <c r="AZ334" s="1044"/>
    </row>
    <row r="335" spans="2:52" s="1025" customFormat="1">
      <c r="B335" s="824"/>
      <c r="C335" s="824"/>
      <c r="D335" s="823"/>
      <c r="E335" s="823"/>
      <c r="F335" s="823"/>
      <c r="G335" s="823"/>
      <c r="H335" s="823"/>
      <c r="I335" s="823"/>
      <c r="J335" s="823"/>
      <c r="K335" s="823"/>
      <c r="L335" s="823"/>
      <c r="M335" s="823"/>
      <c r="N335" s="823"/>
      <c r="O335" s="823"/>
      <c r="P335" s="823"/>
      <c r="Q335" s="823"/>
      <c r="R335" s="823"/>
      <c r="S335" s="823"/>
      <c r="T335" s="823"/>
      <c r="U335" s="823"/>
      <c r="V335" s="824"/>
      <c r="Z335" s="1039"/>
      <c r="AB335" s="826"/>
      <c r="AC335" s="1040"/>
      <c r="AD335" s="1041"/>
      <c r="AF335" s="1041"/>
      <c r="AH335" s="846"/>
      <c r="AJ335" s="1041"/>
      <c r="AK335" s="1041"/>
      <c r="AM335" s="1041"/>
      <c r="AO335" s="1041"/>
      <c r="AP335" s="1042"/>
      <c r="AQ335" s="1040"/>
      <c r="AR335" s="1040"/>
      <c r="AU335" s="1043"/>
      <c r="AW335" s="1044"/>
      <c r="AX335" s="1044"/>
      <c r="AY335" s="1044"/>
      <c r="AZ335" s="1044"/>
    </row>
    <row r="336" spans="2:52" s="1025" customFormat="1">
      <c r="B336" s="824"/>
      <c r="C336" s="824"/>
      <c r="D336" s="823"/>
      <c r="E336" s="823"/>
      <c r="F336" s="823"/>
      <c r="G336" s="823"/>
      <c r="H336" s="823"/>
      <c r="I336" s="823"/>
      <c r="J336" s="823"/>
      <c r="K336" s="823"/>
      <c r="L336" s="823"/>
      <c r="M336" s="823"/>
      <c r="N336" s="823"/>
      <c r="O336" s="823"/>
      <c r="P336" s="823"/>
      <c r="Q336" s="823"/>
      <c r="R336" s="823"/>
      <c r="S336" s="823"/>
      <c r="T336" s="823"/>
      <c r="U336" s="823"/>
      <c r="V336" s="824"/>
      <c r="Z336" s="1039"/>
      <c r="AB336" s="826"/>
      <c r="AC336" s="1040"/>
      <c r="AD336" s="1041"/>
      <c r="AF336" s="1041"/>
      <c r="AH336" s="846"/>
      <c r="AJ336" s="1041"/>
      <c r="AK336" s="1041"/>
      <c r="AM336" s="1041"/>
      <c r="AO336" s="1041"/>
      <c r="AP336" s="1042"/>
      <c r="AQ336" s="1040"/>
      <c r="AR336" s="1040"/>
      <c r="AU336" s="1043"/>
      <c r="AW336" s="1044"/>
      <c r="AX336" s="1044"/>
      <c r="AY336" s="1044"/>
      <c r="AZ336" s="1044"/>
    </row>
    <row r="337" spans="2:52" s="1025" customFormat="1">
      <c r="B337" s="824"/>
      <c r="C337" s="824"/>
      <c r="D337" s="823"/>
      <c r="E337" s="823"/>
      <c r="F337" s="823"/>
      <c r="G337" s="823"/>
      <c r="H337" s="823"/>
      <c r="I337" s="823"/>
      <c r="J337" s="823"/>
      <c r="K337" s="823"/>
      <c r="L337" s="823"/>
      <c r="M337" s="823"/>
      <c r="N337" s="823"/>
      <c r="O337" s="823"/>
      <c r="P337" s="823"/>
      <c r="Q337" s="823"/>
      <c r="R337" s="823"/>
      <c r="S337" s="823"/>
      <c r="T337" s="823"/>
      <c r="U337" s="823"/>
      <c r="V337" s="824"/>
      <c r="Z337" s="1039"/>
      <c r="AB337" s="826"/>
      <c r="AC337" s="1040"/>
      <c r="AD337" s="1041"/>
      <c r="AF337" s="1041"/>
      <c r="AH337" s="846"/>
      <c r="AJ337" s="1041"/>
      <c r="AK337" s="1041"/>
      <c r="AM337" s="1041"/>
      <c r="AO337" s="1041"/>
      <c r="AP337" s="1042"/>
      <c r="AQ337" s="1040"/>
      <c r="AR337" s="1040"/>
      <c r="AU337" s="1043"/>
      <c r="AW337" s="1044"/>
      <c r="AX337" s="1044"/>
      <c r="AY337" s="1044"/>
      <c r="AZ337" s="1044"/>
    </row>
    <row r="338" spans="2:52" s="1025" customFormat="1">
      <c r="B338" s="824"/>
      <c r="C338" s="824"/>
      <c r="D338" s="823"/>
      <c r="E338" s="823"/>
      <c r="F338" s="823"/>
      <c r="G338" s="823"/>
      <c r="H338" s="823"/>
      <c r="I338" s="823"/>
      <c r="J338" s="823"/>
      <c r="K338" s="823"/>
      <c r="L338" s="823"/>
      <c r="M338" s="823"/>
      <c r="N338" s="823"/>
      <c r="O338" s="823"/>
      <c r="P338" s="823"/>
      <c r="Q338" s="823"/>
      <c r="R338" s="823"/>
      <c r="S338" s="823"/>
      <c r="T338" s="823"/>
      <c r="U338" s="823"/>
      <c r="V338" s="824"/>
      <c r="Z338" s="1039"/>
      <c r="AB338" s="826"/>
      <c r="AC338" s="1040"/>
      <c r="AD338" s="1041"/>
      <c r="AF338" s="1041"/>
      <c r="AH338" s="846"/>
      <c r="AJ338" s="1041"/>
      <c r="AK338" s="1041"/>
      <c r="AM338" s="1041"/>
      <c r="AO338" s="1041"/>
      <c r="AP338" s="1042"/>
      <c r="AQ338" s="1040"/>
      <c r="AR338" s="1040"/>
      <c r="AU338" s="1043"/>
      <c r="AW338" s="1044"/>
      <c r="AX338" s="1044"/>
      <c r="AY338" s="1044"/>
      <c r="AZ338" s="1044"/>
    </row>
    <row r="339" spans="2:52" s="1025" customFormat="1">
      <c r="B339" s="824"/>
      <c r="C339" s="824"/>
      <c r="D339" s="823"/>
      <c r="E339" s="823"/>
      <c r="F339" s="823"/>
      <c r="G339" s="823"/>
      <c r="H339" s="823"/>
      <c r="I339" s="823"/>
      <c r="J339" s="823"/>
      <c r="K339" s="823"/>
      <c r="L339" s="823"/>
      <c r="M339" s="823"/>
      <c r="N339" s="823"/>
      <c r="O339" s="823"/>
      <c r="P339" s="823"/>
      <c r="Q339" s="823"/>
      <c r="R339" s="823"/>
      <c r="S339" s="823"/>
      <c r="T339" s="823"/>
      <c r="U339" s="823"/>
      <c r="V339" s="824"/>
      <c r="Z339" s="1039"/>
      <c r="AB339" s="826"/>
      <c r="AC339" s="1040"/>
      <c r="AD339" s="1041"/>
      <c r="AF339" s="1041"/>
      <c r="AH339" s="846"/>
      <c r="AJ339" s="1041"/>
      <c r="AK339" s="1041"/>
      <c r="AM339" s="1041"/>
      <c r="AO339" s="1041"/>
      <c r="AP339" s="1042"/>
      <c r="AQ339" s="1040"/>
      <c r="AR339" s="1040"/>
      <c r="AU339" s="1043"/>
      <c r="AW339" s="1044"/>
      <c r="AX339" s="1044"/>
      <c r="AY339" s="1044"/>
      <c r="AZ339" s="1044"/>
    </row>
    <row r="340" spans="2:52" s="1025" customFormat="1">
      <c r="B340" s="824"/>
      <c r="C340" s="824"/>
      <c r="D340" s="823"/>
      <c r="E340" s="823"/>
      <c r="F340" s="823"/>
      <c r="G340" s="823"/>
      <c r="H340" s="823"/>
      <c r="I340" s="823"/>
      <c r="J340" s="823"/>
      <c r="K340" s="823"/>
      <c r="L340" s="823"/>
      <c r="M340" s="823"/>
      <c r="N340" s="823"/>
      <c r="O340" s="823"/>
      <c r="P340" s="823"/>
      <c r="Q340" s="823"/>
      <c r="R340" s="823"/>
      <c r="S340" s="823"/>
      <c r="T340" s="823"/>
      <c r="U340" s="823"/>
      <c r="V340" s="824"/>
      <c r="Z340" s="1039"/>
      <c r="AB340" s="826"/>
      <c r="AC340" s="1040"/>
      <c r="AD340" s="1041"/>
      <c r="AF340" s="1041"/>
      <c r="AH340" s="846"/>
      <c r="AJ340" s="1041"/>
      <c r="AK340" s="1041"/>
      <c r="AM340" s="1041"/>
      <c r="AO340" s="1041"/>
      <c r="AP340" s="1042"/>
      <c r="AQ340" s="1040"/>
      <c r="AR340" s="1040"/>
      <c r="AU340" s="1043"/>
      <c r="AW340" s="1044"/>
      <c r="AX340" s="1044"/>
      <c r="AY340" s="1044"/>
      <c r="AZ340" s="1044"/>
    </row>
    <row r="341" spans="2:52" s="1025" customFormat="1">
      <c r="B341" s="824"/>
      <c r="C341" s="824"/>
      <c r="D341" s="823"/>
      <c r="E341" s="823"/>
      <c r="F341" s="823"/>
      <c r="G341" s="823"/>
      <c r="H341" s="823"/>
      <c r="I341" s="823"/>
      <c r="J341" s="823"/>
      <c r="K341" s="823"/>
      <c r="L341" s="823"/>
      <c r="M341" s="823"/>
      <c r="N341" s="823"/>
      <c r="O341" s="823"/>
      <c r="P341" s="823"/>
      <c r="Q341" s="823"/>
      <c r="R341" s="823"/>
      <c r="S341" s="823"/>
      <c r="T341" s="823"/>
      <c r="U341" s="823"/>
      <c r="V341" s="824"/>
      <c r="Z341" s="1039"/>
      <c r="AB341" s="826"/>
      <c r="AC341" s="1040"/>
      <c r="AD341" s="1041"/>
      <c r="AF341" s="1041"/>
      <c r="AH341" s="846"/>
      <c r="AJ341" s="1041"/>
      <c r="AK341" s="1041"/>
      <c r="AM341" s="1041"/>
      <c r="AO341" s="1041"/>
      <c r="AP341" s="1042"/>
      <c r="AQ341" s="1040"/>
      <c r="AR341" s="1040"/>
      <c r="AU341" s="1043"/>
      <c r="AW341" s="1044"/>
      <c r="AX341" s="1044"/>
      <c r="AY341" s="1044"/>
      <c r="AZ341" s="1044"/>
    </row>
    <row r="342" spans="2:52" s="1025" customFormat="1">
      <c r="B342" s="824"/>
      <c r="C342" s="824"/>
      <c r="D342" s="823"/>
      <c r="E342" s="823"/>
      <c r="F342" s="823"/>
      <c r="G342" s="823"/>
      <c r="H342" s="823"/>
      <c r="I342" s="823"/>
      <c r="J342" s="823"/>
      <c r="K342" s="823"/>
      <c r="L342" s="823"/>
      <c r="M342" s="823"/>
      <c r="N342" s="823"/>
      <c r="O342" s="823"/>
      <c r="P342" s="823"/>
      <c r="Q342" s="823"/>
      <c r="R342" s="823"/>
      <c r="S342" s="823"/>
      <c r="T342" s="823"/>
      <c r="U342" s="823"/>
      <c r="V342" s="824"/>
      <c r="Z342" s="1039"/>
      <c r="AB342" s="826"/>
      <c r="AC342" s="1040"/>
      <c r="AD342" s="1041"/>
      <c r="AF342" s="1041"/>
      <c r="AH342" s="846"/>
      <c r="AJ342" s="1041"/>
      <c r="AK342" s="1041"/>
      <c r="AM342" s="1041"/>
      <c r="AO342" s="1041"/>
      <c r="AP342" s="1042"/>
      <c r="AQ342" s="1040"/>
      <c r="AR342" s="1040"/>
      <c r="AU342" s="1043"/>
      <c r="AW342" s="1044"/>
      <c r="AX342" s="1044"/>
      <c r="AY342" s="1044"/>
      <c r="AZ342" s="1044"/>
    </row>
    <row r="343" spans="2:52" s="1025" customFormat="1">
      <c r="B343" s="824"/>
      <c r="C343" s="824"/>
      <c r="D343" s="823"/>
      <c r="E343" s="823"/>
      <c r="F343" s="823"/>
      <c r="G343" s="823"/>
      <c r="H343" s="823"/>
      <c r="I343" s="823"/>
      <c r="J343" s="823"/>
      <c r="K343" s="823"/>
      <c r="L343" s="823"/>
      <c r="M343" s="823"/>
      <c r="N343" s="823"/>
      <c r="O343" s="823"/>
      <c r="P343" s="823"/>
      <c r="Q343" s="823"/>
      <c r="R343" s="823"/>
      <c r="S343" s="823"/>
      <c r="T343" s="823"/>
      <c r="U343" s="823"/>
      <c r="V343" s="824"/>
      <c r="Z343" s="1039"/>
      <c r="AB343" s="826"/>
      <c r="AC343" s="1040"/>
      <c r="AD343" s="1041"/>
      <c r="AF343" s="1041"/>
      <c r="AH343" s="846"/>
      <c r="AJ343" s="1041"/>
      <c r="AK343" s="1041"/>
      <c r="AM343" s="1041"/>
      <c r="AO343" s="1041"/>
      <c r="AP343" s="1042"/>
      <c r="AQ343" s="1040"/>
      <c r="AR343" s="1040"/>
      <c r="AU343" s="1043"/>
      <c r="AW343" s="1044"/>
      <c r="AX343" s="1044"/>
      <c r="AY343" s="1044"/>
      <c r="AZ343" s="1044"/>
    </row>
    <row r="344" spans="2:52" s="1025" customFormat="1">
      <c r="B344" s="824"/>
      <c r="C344" s="824"/>
      <c r="D344" s="823"/>
      <c r="E344" s="823"/>
      <c r="F344" s="823"/>
      <c r="G344" s="823"/>
      <c r="H344" s="823"/>
      <c r="I344" s="823"/>
      <c r="J344" s="823"/>
      <c r="K344" s="823"/>
      <c r="L344" s="823"/>
      <c r="M344" s="823"/>
      <c r="N344" s="823"/>
      <c r="O344" s="823"/>
      <c r="P344" s="823"/>
      <c r="Q344" s="823"/>
      <c r="R344" s="823"/>
      <c r="S344" s="823"/>
      <c r="T344" s="823"/>
      <c r="U344" s="823"/>
      <c r="V344" s="824"/>
      <c r="Z344" s="1039"/>
      <c r="AB344" s="826"/>
      <c r="AC344" s="1040"/>
      <c r="AD344" s="1041"/>
      <c r="AF344" s="1041"/>
      <c r="AH344" s="846"/>
      <c r="AJ344" s="1041"/>
      <c r="AK344" s="1041"/>
      <c r="AM344" s="1041"/>
      <c r="AO344" s="1041"/>
      <c r="AP344" s="1042"/>
      <c r="AQ344" s="1040"/>
      <c r="AR344" s="1040"/>
      <c r="AU344" s="1043"/>
      <c r="AW344" s="1044"/>
      <c r="AX344" s="1044"/>
      <c r="AY344" s="1044"/>
      <c r="AZ344" s="1044"/>
    </row>
    <row r="345" spans="2:52" s="1025" customFormat="1">
      <c r="B345" s="824"/>
      <c r="C345" s="824"/>
      <c r="D345" s="823"/>
      <c r="E345" s="823"/>
      <c r="F345" s="823"/>
      <c r="G345" s="823"/>
      <c r="H345" s="823"/>
      <c r="I345" s="823"/>
      <c r="J345" s="823"/>
      <c r="K345" s="823"/>
      <c r="L345" s="823"/>
      <c r="M345" s="823"/>
      <c r="N345" s="823"/>
      <c r="O345" s="823"/>
      <c r="P345" s="823"/>
      <c r="Q345" s="823"/>
      <c r="R345" s="823"/>
      <c r="S345" s="823"/>
      <c r="T345" s="823"/>
      <c r="U345" s="823"/>
      <c r="V345" s="824"/>
      <c r="Z345" s="1039"/>
      <c r="AB345" s="826"/>
      <c r="AC345" s="1040"/>
      <c r="AD345" s="1041"/>
      <c r="AF345" s="1041"/>
      <c r="AH345" s="846"/>
      <c r="AJ345" s="1041"/>
      <c r="AK345" s="1041"/>
      <c r="AM345" s="1041"/>
      <c r="AO345" s="1041"/>
      <c r="AP345" s="1042"/>
      <c r="AQ345" s="1040"/>
      <c r="AR345" s="1040"/>
      <c r="AU345" s="1043"/>
      <c r="AW345" s="1044"/>
      <c r="AX345" s="1044"/>
      <c r="AY345" s="1044"/>
      <c r="AZ345" s="1044"/>
    </row>
    <row r="346" spans="2:52" s="1025" customFormat="1">
      <c r="B346" s="824"/>
      <c r="C346" s="824"/>
      <c r="D346" s="823"/>
      <c r="E346" s="823"/>
      <c r="F346" s="823"/>
      <c r="G346" s="823"/>
      <c r="H346" s="823"/>
      <c r="I346" s="823"/>
      <c r="J346" s="823"/>
      <c r="K346" s="823"/>
      <c r="L346" s="823"/>
      <c r="M346" s="823"/>
      <c r="N346" s="823"/>
      <c r="O346" s="823"/>
      <c r="P346" s="823"/>
      <c r="Q346" s="823"/>
      <c r="R346" s="823"/>
      <c r="S346" s="823"/>
      <c r="T346" s="823"/>
      <c r="U346" s="823"/>
      <c r="V346" s="824"/>
      <c r="Z346" s="1039"/>
      <c r="AB346" s="826"/>
      <c r="AC346" s="1040"/>
      <c r="AD346" s="1041"/>
      <c r="AF346" s="1041"/>
      <c r="AH346" s="846"/>
      <c r="AJ346" s="1041"/>
      <c r="AK346" s="1041"/>
      <c r="AM346" s="1041"/>
      <c r="AO346" s="1041"/>
      <c r="AP346" s="1042"/>
      <c r="AQ346" s="1040"/>
      <c r="AR346" s="1040"/>
      <c r="AU346" s="1043"/>
      <c r="AW346" s="1044"/>
      <c r="AX346" s="1044"/>
      <c r="AY346" s="1044"/>
      <c r="AZ346" s="1044"/>
    </row>
    <row r="347" spans="2:52" s="1025" customFormat="1">
      <c r="B347" s="824"/>
      <c r="C347" s="824"/>
      <c r="D347" s="823"/>
      <c r="E347" s="823"/>
      <c r="F347" s="823"/>
      <c r="G347" s="823"/>
      <c r="H347" s="823"/>
      <c r="I347" s="823"/>
      <c r="J347" s="823"/>
      <c r="K347" s="823"/>
      <c r="L347" s="823"/>
      <c r="M347" s="823"/>
      <c r="N347" s="823"/>
      <c r="O347" s="823"/>
      <c r="P347" s="823"/>
      <c r="Q347" s="823"/>
      <c r="R347" s="823"/>
      <c r="S347" s="823"/>
      <c r="T347" s="823"/>
      <c r="U347" s="823"/>
      <c r="V347" s="824"/>
      <c r="Z347" s="1039"/>
      <c r="AB347" s="826"/>
      <c r="AC347" s="1040"/>
      <c r="AD347" s="1041"/>
      <c r="AF347" s="1041"/>
      <c r="AH347" s="846"/>
      <c r="AJ347" s="1041"/>
      <c r="AK347" s="1041"/>
      <c r="AM347" s="1041"/>
      <c r="AO347" s="1041"/>
      <c r="AP347" s="1042"/>
      <c r="AQ347" s="1040"/>
      <c r="AR347" s="1040"/>
      <c r="AU347" s="1043"/>
      <c r="AW347" s="1044"/>
      <c r="AX347" s="1044"/>
      <c r="AY347" s="1044"/>
      <c r="AZ347" s="1044"/>
    </row>
    <row r="348" spans="2:52" s="1025" customFormat="1">
      <c r="B348" s="824"/>
      <c r="C348" s="824"/>
      <c r="D348" s="823"/>
      <c r="E348" s="823"/>
      <c r="F348" s="823"/>
      <c r="G348" s="823"/>
      <c r="H348" s="823"/>
      <c r="I348" s="823"/>
      <c r="J348" s="823"/>
      <c r="K348" s="823"/>
      <c r="L348" s="823"/>
      <c r="M348" s="823"/>
      <c r="N348" s="823"/>
      <c r="O348" s="823"/>
      <c r="P348" s="823"/>
      <c r="Q348" s="823"/>
      <c r="R348" s="823"/>
      <c r="S348" s="823"/>
      <c r="T348" s="823"/>
      <c r="U348" s="823"/>
      <c r="V348" s="824"/>
      <c r="Z348" s="1039"/>
      <c r="AB348" s="826"/>
      <c r="AC348" s="1040"/>
      <c r="AD348" s="1041"/>
      <c r="AF348" s="1041"/>
      <c r="AH348" s="846"/>
      <c r="AJ348" s="1041"/>
      <c r="AK348" s="1041"/>
      <c r="AM348" s="1041"/>
      <c r="AO348" s="1041"/>
      <c r="AP348" s="1042"/>
      <c r="AQ348" s="1040"/>
      <c r="AR348" s="1040"/>
      <c r="AU348" s="1043"/>
      <c r="AW348" s="1044"/>
      <c r="AX348" s="1044"/>
      <c r="AY348" s="1044"/>
      <c r="AZ348" s="1044"/>
    </row>
    <row r="349" spans="2:52" s="1025" customFormat="1">
      <c r="B349" s="824"/>
      <c r="C349" s="824"/>
      <c r="D349" s="823"/>
      <c r="E349" s="823"/>
      <c r="F349" s="823"/>
      <c r="G349" s="823"/>
      <c r="H349" s="823"/>
      <c r="I349" s="823"/>
      <c r="J349" s="823"/>
      <c r="K349" s="823"/>
      <c r="L349" s="823"/>
      <c r="M349" s="823"/>
      <c r="N349" s="823"/>
      <c r="O349" s="823"/>
      <c r="P349" s="823"/>
      <c r="Q349" s="823"/>
      <c r="R349" s="823"/>
      <c r="S349" s="823"/>
      <c r="T349" s="823"/>
      <c r="U349" s="823"/>
      <c r="V349" s="824"/>
      <c r="Z349" s="1039"/>
      <c r="AB349" s="826"/>
      <c r="AC349" s="1040"/>
      <c r="AD349" s="1041"/>
      <c r="AF349" s="1041"/>
      <c r="AH349" s="846"/>
      <c r="AJ349" s="1041"/>
      <c r="AK349" s="1041"/>
      <c r="AM349" s="1041"/>
      <c r="AO349" s="1041"/>
      <c r="AP349" s="1042"/>
      <c r="AQ349" s="1040"/>
      <c r="AR349" s="1040"/>
      <c r="AU349" s="1043"/>
      <c r="AW349" s="1044"/>
      <c r="AX349" s="1044"/>
      <c r="AY349" s="1044"/>
      <c r="AZ349" s="1044"/>
    </row>
    <row r="350" spans="2:52" s="1025" customFormat="1">
      <c r="B350" s="824"/>
      <c r="C350" s="824"/>
      <c r="D350" s="823"/>
      <c r="E350" s="823"/>
      <c r="F350" s="823"/>
      <c r="G350" s="823"/>
      <c r="H350" s="823"/>
      <c r="I350" s="823"/>
      <c r="J350" s="823"/>
      <c r="K350" s="823"/>
      <c r="L350" s="823"/>
      <c r="M350" s="823"/>
      <c r="N350" s="823"/>
      <c r="O350" s="823"/>
      <c r="P350" s="823"/>
      <c r="Q350" s="823"/>
      <c r="R350" s="823"/>
      <c r="S350" s="823"/>
      <c r="T350" s="823"/>
      <c r="U350" s="823"/>
      <c r="V350" s="824"/>
      <c r="Z350" s="1039"/>
      <c r="AB350" s="826"/>
      <c r="AC350" s="1040"/>
      <c r="AD350" s="1041"/>
      <c r="AF350" s="1041"/>
      <c r="AH350" s="846"/>
      <c r="AJ350" s="1041"/>
      <c r="AK350" s="1041"/>
      <c r="AM350" s="1041"/>
      <c r="AO350" s="1041"/>
      <c r="AP350" s="1042"/>
      <c r="AQ350" s="1040"/>
      <c r="AR350" s="1040"/>
      <c r="AU350" s="1043"/>
      <c r="AW350" s="1044"/>
      <c r="AX350" s="1044"/>
      <c r="AY350" s="1044"/>
      <c r="AZ350" s="1044"/>
    </row>
    <row r="351" spans="2:52" s="1025" customFormat="1">
      <c r="B351" s="824"/>
      <c r="C351" s="824"/>
      <c r="D351" s="823"/>
      <c r="E351" s="823"/>
      <c r="F351" s="823"/>
      <c r="G351" s="823"/>
      <c r="H351" s="823"/>
      <c r="I351" s="823"/>
      <c r="J351" s="823"/>
      <c r="K351" s="823"/>
      <c r="L351" s="823"/>
      <c r="M351" s="823"/>
      <c r="N351" s="823"/>
      <c r="O351" s="823"/>
      <c r="P351" s="823"/>
      <c r="Q351" s="823"/>
      <c r="R351" s="823"/>
      <c r="S351" s="823"/>
      <c r="T351" s="823"/>
      <c r="U351" s="823"/>
      <c r="V351" s="824"/>
      <c r="Z351" s="1039"/>
      <c r="AB351" s="826"/>
      <c r="AC351" s="1040"/>
      <c r="AD351" s="1041"/>
      <c r="AF351" s="1041"/>
      <c r="AH351" s="846"/>
      <c r="AJ351" s="1041"/>
      <c r="AK351" s="1041"/>
      <c r="AM351" s="1041"/>
      <c r="AO351" s="1041"/>
      <c r="AP351" s="1042"/>
      <c r="AQ351" s="1040"/>
      <c r="AR351" s="1040"/>
      <c r="AU351" s="1043"/>
      <c r="AW351" s="1044"/>
      <c r="AX351" s="1044"/>
      <c r="AY351" s="1044"/>
      <c r="AZ351" s="1044"/>
    </row>
    <row r="352" spans="2:52" s="1025" customFormat="1">
      <c r="B352" s="824"/>
      <c r="C352" s="824"/>
      <c r="D352" s="823"/>
      <c r="E352" s="823"/>
      <c r="F352" s="823"/>
      <c r="G352" s="823"/>
      <c r="H352" s="823"/>
      <c r="I352" s="823"/>
      <c r="J352" s="823"/>
      <c r="K352" s="823"/>
      <c r="L352" s="823"/>
      <c r="M352" s="823"/>
      <c r="N352" s="823"/>
      <c r="O352" s="823"/>
      <c r="P352" s="823"/>
      <c r="Q352" s="823"/>
      <c r="R352" s="823"/>
      <c r="S352" s="823"/>
      <c r="T352" s="823"/>
      <c r="U352" s="823"/>
      <c r="V352" s="824"/>
      <c r="Z352" s="1039"/>
      <c r="AB352" s="826"/>
      <c r="AC352" s="1040"/>
      <c r="AD352" s="1041"/>
      <c r="AF352" s="1041"/>
      <c r="AH352" s="846"/>
      <c r="AJ352" s="1041"/>
      <c r="AK352" s="1041"/>
      <c r="AM352" s="1041"/>
      <c r="AO352" s="1041"/>
      <c r="AP352" s="1042"/>
      <c r="AQ352" s="1040"/>
      <c r="AR352" s="1040"/>
      <c r="AU352" s="1043"/>
      <c r="AW352" s="1044"/>
      <c r="AX352" s="1044"/>
      <c r="AY352" s="1044"/>
      <c r="AZ352" s="1044"/>
    </row>
    <row r="353" spans="2:52" s="1025" customFormat="1">
      <c r="B353" s="824"/>
      <c r="C353" s="824"/>
      <c r="D353" s="823"/>
      <c r="E353" s="823"/>
      <c r="F353" s="823"/>
      <c r="G353" s="823"/>
      <c r="H353" s="823"/>
      <c r="I353" s="823"/>
      <c r="J353" s="823"/>
      <c r="K353" s="823"/>
      <c r="L353" s="823"/>
      <c r="M353" s="823"/>
      <c r="N353" s="823"/>
      <c r="O353" s="823"/>
      <c r="P353" s="823"/>
      <c r="Q353" s="823"/>
      <c r="R353" s="823"/>
      <c r="S353" s="823"/>
      <c r="T353" s="823"/>
      <c r="U353" s="823"/>
      <c r="V353" s="824"/>
      <c r="Z353" s="1039"/>
      <c r="AB353" s="826"/>
      <c r="AC353" s="1040"/>
      <c r="AD353" s="1041"/>
      <c r="AF353" s="1041"/>
      <c r="AH353" s="846"/>
      <c r="AJ353" s="1041"/>
      <c r="AK353" s="1041"/>
      <c r="AM353" s="1041"/>
      <c r="AO353" s="1041"/>
      <c r="AP353" s="1042"/>
      <c r="AQ353" s="1040"/>
      <c r="AR353" s="1040"/>
      <c r="AU353" s="1043"/>
      <c r="AW353" s="1044"/>
      <c r="AX353" s="1044"/>
      <c r="AY353" s="1044"/>
      <c r="AZ353" s="1044"/>
    </row>
    <row r="354" spans="2:52" s="1025" customFormat="1">
      <c r="B354" s="824"/>
      <c r="C354" s="824"/>
      <c r="D354" s="823"/>
      <c r="E354" s="823"/>
      <c r="F354" s="823"/>
      <c r="G354" s="823"/>
      <c r="H354" s="823"/>
      <c r="I354" s="823"/>
      <c r="J354" s="823"/>
      <c r="K354" s="823"/>
      <c r="L354" s="823"/>
      <c r="M354" s="823"/>
      <c r="N354" s="823"/>
      <c r="O354" s="823"/>
      <c r="P354" s="823"/>
      <c r="Q354" s="823"/>
      <c r="R354" s="823"/>
      <c r="S354" s="823"/>
      <c r="T354" s="823"/>
      <c r="U354" s="823"/>
      <c r="V354" s="824"/>
      <c r="Z354" s="1039"/>
      <c r="AB354" s="826"/>
      <c r="AC354" s="1040"/>
      <c r="AD354" s="1041"/>
      <c r="AF354" s="1041"/>
      <c r="AH354" s="846"/>
      <c r="AJ354" s="1041"/>
      <c r="AK354" s="1041"/>
      <c r="AM354" s="1041"/>
      <c r="AO354" s="1041"/>
      <c r="AP354" s="1042"/>
      <c r="AQ354" s="1040"/>
      <c r="AR354" s="1040"/>
      <c r="AU354" s="1043"/>
      <c r="AW354" s="1044"/>
      <c r="AX354" s="1044"/>
      <c r="AY354" s="1044"/>
      <c r="AZ354" s="1044"/>
    </row>
    <row r="355" spans="2:52" s="1025" customFormat="1">
      <c r="B355" s="824"/>
      <c r="C355" s="824"/>
      <c r="D355" s="823"/>
      <c r="E355" s="823"/>
      <c r="F355" s="823"/>
      <c r="G355" s="823"/>
      <c r="H355" s="823"/>
      <c r="I355" s="823"/>
      <c r="J355" s="823"/>
      <c r="K355" s="823"/>
      <c r="L355" s="823"/>
      <c r="M355" s="823"/>
      <c r="N355" s="823"/>
      <c r="O355" s="823"/>
      <c r="P355" s="823"/>
      <c r="Q355" s="823"/>
      <c r="R355" s="823"/>
      <c r="S355" s="823"/>
      <c r="T355" s="823"/>
      <c r="U355" s="823"/>
      <c r="V355" s="824"/>
      <c r="Z355" s="1039"/>
      <c r="AB355" s="826"/>
      <c r="AC355" s="1040"/>
      <c r="AD355" s="1041"/>
      <c r="AF355" s="1041"/>
      <c r="AH355" s="846"/>
      <c r="AJ355" s="1041"/>
      <c r="AK355" s="1041"/>
      <c r="AM355" s="1041"/>
      <c r="AO355" s="1041"/>
      <c r="AP355" s="1042"/>
      <c r="AQ355" s="1040"/>
      <c r="AR355" s="1040"/>
      <c r="AU355" s="1043"/>
      <c r="AW355" s="1044"/>
      <c r="AX355" s="1044"/>
      <c r="AY355" s="1044"/>
      <c r="AZ355" s="1044"/>
    </row>
    <row r="356" spans="2:52" s="1025" customFormat="1">
      <c r="B356" s="824"/>
      <c r="C356" s="824"/>
      <c r="D356" s="823"/>
      <c r="E356" s="823"/>
      <c r="F356" s="823"/>
      <c r="G356" s="823"/>
      <c r="H356" s="823"/>
      <c r="I356" s="823"/>
      <c r="J356" s="823"/>
      <c r="K356" s="823"/>
      <c r="L356" s="823"/>
      <c r="M356" s="823"/>
      <c r="N356" s="823"/>
      <c r="O356" s="823"/>
      <c r="P356" s="823"/>
      <c r="Q356" s="823"/>
      <c r="R356" s="823"/>
      <c r="S356" s="823"/>
      <c r="T356" s="823"/>
      <c r="U356" s="823"/>
      <c r="V356" s="824"/>
      <c r="Z356" s="1039"/>
      <c r="AB356" s="826"/>
      <c r="AC356" s="1040"/>
      <c r="AD356" s="1041"/>
      <c r="AF356" s="1041"/>
      <c r="AH356" s="846"/>
      <c r="AJ356" s="1041"/>
      <c r="AK356" s="1041"/>
      <c r="AM356" s="1041"/>
      <c r="AO356" s="1041"/>
      <c r="AP356" s="1042"/>
      <c r="AQ356" s="1040"/>
      <c r="AR356" s="1040"/>
      <c r="AU356" s="1043"/>
      <c r="AW356" s="1044"/>
      <c r="AX356" s="1044"/>
      <c r="AY356" s="1044"/>
      <c r="AZ356" s="1044"/>
    </row>
    <row r="357" spans="2:52" s="1025" customFormat="1">
      <c r="B357" s="824"/>
      <c r="C357" s="824"/>
      <c r="D357" s="823"/>
      <c r="E357" s="823"/>
      <c r="F357" s="823"/>
      <c r="G357" s="823"/>
      <c r="H357" s="823"/>
      <c r="I357" s="823"/>
      <c r="J357" s="823"/>
      <c r="K357" s="823"/>
      <c r="L357" s="823"/>
      <c r="M357" s="823"/>
      <c r="N357" s="823"/>
      <c r="O357" s="823"/>
      <c r="P357" s="823"/>
      <c r="Q357" s="823"/>
      <c r="R357" s="823"/>
      <c r="S357" s="823"/>
      <c r="T357" s="823"/>
      <c r="U357" s="823"/>
      <c r="V357" s="824"/>
      <c r="Z357" s="1039"/>
      <c r="AB357" s="826"/>
      <c r="AC357" s="1040"/>
      <c r="AD357" s="1041"/>
      <c r="AF357" s="1041"/>
      <c r="AH357" s="846"/>
      <c r="AJ357" s="1041"/>
      <c r="AK357" s="1041"/>
      <c r="AM357" s="1041"/>
      <c r="AO357" s="1041"/>
      <c r="AP357" s="1042"/>
      <c r="AQ357" s="1040"/>
      <c r="AR357" s="1040"/>
      <c r="AU357" s="1043"/>
      <c r="AW357" s="1044"/>
      <c r="AX357" s="1044"/>
      <c r="AY357" s="1044"/>
      <c r="AZ357" s="1044"/>
    </row>
    <row r="358" spans="2:52" s="1025" customFormat="1">
      <c r="B358" s="824"/>
      <c r="C358" s="824"/>
      <c r="D358" s="823"/>
      <c r="E358" s="823"/>
      <c r="F358" s="823"/>
      <c r="G358" s="823"/>
      <c r="H358" s="823"/>
      <c r="I358" s="823"/>
      <c r="J358" s="823"/>
      <c r="K358" s="823"/>
      <c r="L358" s="823"/>
      <c r="M358" s="823"/>
      <c r="N358" s="823"/>
      <c r="O358" s="823"/>
      <c r="P358" s="823"/>
      <c r="Q358" s="823"/>
      <c r="R358" s="823"/>
      <c r="S358" s="823"/>
      <c r="T358" s="823"/>
      <c r="U358" s="823"/>
      <c r="V358" s="824"/>
      <c r="Z358" s="1039"/>
      <c r="AB358" s="826"/>
      <c r="AC358" s="1040"/>
      <c r="AD358" s="1041"/>
      <c r="AF358" s="1041"/>
      <c r="AH358" s="846"/>
      <c r="AJ358" s="1041"/>
      <c r="AK358" s="1041"/>
      <c r="AM358" s="1041"/>
      <c r="AO358" s="1041"/>
      <c r="AP358" s="1042"/>
      <c r="AQ358" s="1040"/>
      <c r="AR358" s="1040"/>
      <c r="AU358" s="1043"/>
      <c r="AW358" s="1044"/>
      <c r="AX358" s="1044"/>
      <c r="AY358" s="1044"/>
      <c r="AZ358" s="1044"/>
    </row>
    <row r="359" spans="2:52" s="1025" customFormat="1">
      <c r="B359" s="824"/>
      <c r="C359" s="824"/>
      <c r="D359" s="823"/>
      <c r="E359" s="823"/>
      <c r="F359" s="823"/>
      <c r="G359" s="823"/>
      <c r="H359" s="823"/>
      <c r="I359" s="823"/>
      <c r="J359" s="823"/>
      <c r="K359" s="823"/>
      <c r="L359" s="823"/>
      <c r="M359" s="823"/>
      <c r="N359" s="823"/>
      <c r="O359" s="823"/>
      <c r="P359" s="823"/>
      <c r="Q359" s="823"/>
      <c r="R359" s="823"/>
      <c r="S359" s="823"/>
      <c r="T359" s="823"/>
      <c r="U359" s="823"/>
      <c r="V359" s="824"/>
      <c r="Z359" s="1039"/>
      <c r="AB359" s="826"/>
      <c r="AC359" s="1040"/>
      <c r="AD359" s="1041"/>
      <c r="AF359" s="1041"/>
      <c r="AH359" s="846"/>
      <c r="AJ359" s="1041"/>
      <c r="AK359" s="1041"/>
      <c r="AM359" s="1041"/>
      <c r="AO359" s="1041"/>
      <c r="AP359" s="1042"/>
      <c r="AQ359" s="1040"/>
      <c r="AR359" s="1040"/>
      <c r="AU359" s="1043"/>
      <c r="AW359" s="1044"/>
      <c r="AX359" s="1044"/>
      <c r="AY359" s="1044"/>
      <c r="AZ359" s="1044"/>
    </row>
    <row r="360" spans="2:52" s="1025" customFormat="1">
      <c r="B360" s="824"/>
      <c r="C360" s="824"/>
      <c r="D360" s="823"/>
      <c r="E360" s="823"/>
      <c r="F360" s="823"/>
      <c r="G360" s="823"/>
      <c r="H360" s="823"/>
      <c r="I360" s="823"/>
      <c r="J360" s="823"/>
      <c r="K360" s="823"/>
      <c r="L360" s="823"/>
      <c r="M360" s="823"/>
      <c r="N360" s="823"/>
      <c r="O360" s="823"/>
      <c r="P360" s="823"/>
      <c r="Q360" s="823"/>
      <c r="R360" s="823"/>
      <c r="S360" s="823"/>
      <c r="T360" s="823"/>
      <c r="U360" s="823"/>
      <c r="V360" s="824"/>
      <c r="Z360" s="1039"/>
      <c r="AB360" s="826"/>
      <c r="AC360" s="1040"/>
      <c r="AD360" s="1041"/>
      <c r="AF360" s="1041"/>
      <c r="AH360" s="846"/>
      <c r="AJ360" s="1041"/>
      <c r="AK360" s="1041"/>
      <c r="AM360" s="1041"/>
      <c r="AO360" s="1041"/>
      <c r="AP360" s="1042"/>
      <c r="AQ360" s="1040"/>
      <c r="AR360" s="1040"/>
      <c r="AU360" s="1043"/>
      <c r="AW360" s="1044"/>
      <c r="AX360" s="1044"/>
      <c r="AY360" s="1044"/>
      <c r="AZ360" s="1044"/>
    </row>
    <row r="361" spans="2:52" s="1025" customFormat="1">
      <c r="B361" s="824"/>
      <c r="C361" s="824"/>
      <c r="D361" s="823"/>
      <c r="E361" s="823"/>
      <c r="F361" s="823"/>
      <c r="G361" s="823"/>
      <c r="H361" s="823"/>
      <c r="I361" s="823"/>
      <c r="J361" s="823"/>
      <c r="K361" s="823"/>
      <c r="L361" s="823"/>
      <c r="M361" s="823"/>
      <c r="N361" s="823"/>
      <c r="O361" s="823"/>
      <c r="P361" s="823"/>
      <c r="Q361" s="823"/>
      <c r="R361" s="823"/>
      <c r="S361" s="823"/>
      <c r="T361" s="823"/>
      <c r="U361" s="823"/>
      <c r="V361" s="824"/>
      <c r="Z361" s="1039"/>
      <c r="AB361" s="826"/>
      <c r="AC361" s="1040"/>
      <c r="AD361" s="1041"/>
      <c r="AF361" s="1041"/>
      <c r="AH361" s="846"/>
      <c r="AJ361" s="1041"/>
      <c r="AK361" s="1041"/>
      <c r="AM361" s="1041"/>
      <c r="AO361" s="1041"/>
      <c r="AP361" s="1042"/>
      <c r="AQ361" s="1040"/>
      <c r="AR361" s="1040"/>
      <c r="AU361" s="1043"/>
      <c r="AW361" s="1044"/>
      <c r="AX361" s="1044"/>
      <c r="AY361" s="1044"/>
      <c r="AZ361" s="1044"/>
    </row>
    <row r="362" spans="2:52" s="1025" customFormat="1">
      <c r="B362" s="824"/>
      <c r="C362" s="824"/>
      <c r="D362" s="823"/>
      <c r="E362" s="823"/>
      <c r="F362" s="823"/>
      <c r="G362" s="823"/>
      <c r="H362" s="823"/>
      <c r="I362" s="823"/>
      <c r="J362" s="823"/>
      <c r="K362" s="823"/>
      <c r="L362" s="823"/>
      <c r="M362" s="823"/>
      <c r="N362" s="823"/>
      <c r="O362" s="823"/>
      <c r="P362" s="823"/>
      <c r="Q362" s="823"/>
      <c r="R362" s="823"/>
      <c r="S362" s="823"/>
      <c r="T362" s="823"/>
      <c r="U362" s="823"/>
      <c r="V362" s="824"/>
      <c r="Z362" s="1039"/>
      <c r="AB362" s="826"/>
      <c r="AC362" s="1040"/>
      <c r="AD362" s="1041"/>
      <c r="AF362" s="1041"/>
      <c r="AH362" s="846"/>
      <c r="AJ362" s="1041"/>
      <c r="AK362" s="1041"/>
      <c r="AM362" s="1041"/>
      <c r="AO362" s="1041"/>
      <c r="AP362" s="1042"/>
      <c r="AQ362" s="1040"/>
      <c r="AR362" s="1040"/>
      <c r="AU362" s="1043"/>
      <c r="AW362" s="1044"/>
      <c r="AX362" s="1044"/>
      <c r="AY362" s="1044"/>
      <c r="AZ362" s="1044"/>
    </row>
    <row r="363" spans="2:52" s="1025" customFormat="1">
      <c r="B363" s="824"/>
      <c r="C363" s="824"/>
      <c r="D363" s="823"/>
      <c r="E363" s="823"/>
      <c r="F363" s="823"/>
      <c r="G363" s="823"/>
      <c r="H363" s="823"/>
      <c r="I363" s="823"/>
      <c r="J363" s="823"/>
      <c r="K363" s="823"/>
      <c r="L363" s="823"/>
      <c r="M363" s="823"/>
      <c r="N363" s="823"/>
      <c r="O363" s="823"/>
      <c r="P363" s="823"/>
      <c r="Q363" s="823"/>
      <c r="R363" s="823"/>
      <c r="S363" s="823"/>
      <c r="T363" s="823"/>
      <c r="U363" s="823"/>
      <c r="V363" s="824"/>
      <c r="Z363" s="1039"/>
      <c r="AB363" s="826"/>
      <c r="AC363" s="1040"/>
      <c r="AD363" s="1041"/>
      <c r="AF363" s="1041"/>
      <c r="AH363" s="846"/>
      <c r="AJ363" s="1041"/>
      <c r="AK363" s="1041"/>
      <c r="AM363" s="1041"/>
      <c r="AO363" s="1041"/>
      <c r="AP363" s="1042"/>
      <c r="AQ363" s="1040"/>
      <c r="AR363" s="1040"/>
      <c r="AU363" s="1043"/>
      <c r="AW363" s="1044"/>
      <c r="AX363" s="1044"/>
      <c r="AY363" s="1044"/>
      <c r="AZ363" s="1044"/>
    </row>
    <row r="364" spans="2:52" s="1025" customFormat="1">
      <c r="B364" s="824"/>
      <c r="C364" s="824"/>
      <c r="D364" s="823"/>
      <c r="E364" s="823"/>
      <c r="F364" s="823"/>
      <c r="G364" s="823"/>
      <c r="H364" s="823"/>
      <c r="I364" s="823"/>
      <c r="J364" s="823"/>
      <c r="K364" s="823"/>
      <c r="L364" s="823"/>
      <c r="M364" s="823"/>
      <c r="N364" s="823"/>
      <c r="O364" s="823"/>
      <c r="P364" s="823"/>
      <c r="Q364" s="823"/>
      <c r="R364" s="823"/>
      <c r="S364" s="823"/>
      <c r="T364" s="823"/>
      <c r="U364" s="823"/>
      <c r="V364" s="824"/>
      <c r="Z364" s="1039"/>
      <c r="AB364" s="826"/>
      <c r="AC364" s="1040"/>
      <c r="AD364" s="1041"/>
      <c r="AF364" s="1041"/>
      <c r="AH364" s="846"/>
      <c r="AJ364" s="1041"/>
      <c r="AK364" s="1041"/>
      <c r="AM364" s="1041"/>
      <c r="AO364" s="1041"/>
      <c r="AP364" s="1042"/>
      <c r="AQ364" s="1040"/>
      <c r="AR364" s="1040"/>
      <c r="AU364" s="1043"/>
      <c r="AW364" s="1044"/>
      <c r="AX364" s="1044"/>
      <c r="AY364" s="1044"/>
      <c r="AZ364" s="1044"/>
    </row>
    <row r="365" spans="2:52" s="1025" customFormat="1">
      <c r="B365" s="824"/>
      <c r="C365" s="824"/>
      <c r="D365" s="823"/>
      <c r="E365" s="823"/>
      <c r="F365" s="823"/>
      <c r="G365" s="823"/>
      <c r="H365" s="823"/>
      <c r="I365" s="823"/>
      <c r="J365" s="823"/>
      <c r="K365" s="823"/>
      <c r="L365" s="823"/>
      <c r="M365" s="823"/>
      <c r="N365" s="823"/>
      <c r="O365" s="823"/>
      <c r="P365" s="823"/>
      <c r="Q365" s="823"/>
      <c r="R365" s="823"/>
      <c r="S365" s="823"/>
      <c r="T365" s="823"/>
      <c r="U365" s="823"/>
      <c r="V365" s="824"/>
      <c r="Z365" s="1039"/>
      <c r="AB365" s="826"/>
      <c r="AC365" s="1040"/>
      <c r="AD365" s="1041"/>
      <c r="AF365" s="1041"/>
      <c r="AH365" s="846"/>
      <c r="AJ365" s="1041"/>
      <c r="AK365" s="1041"/>
      <c r="AM365" s="1041"/>
      <c r="AO365" s="1041"/>
      <c r="AP365" s="1042"/>
      <c r="AQ365" s="1040"/>
      <c r="AR365" s="1040"/>
      <c r="AU365" s="1043"/>
      <c r="AW365" s="1044"/>
      <c r="AX365" s="1044"/>
      <c r="AY365" s="1044"/>
      <c r="AZ365" s="1044"/>
    </row>
    <row r="366" spans="2:52" s="1025" customFormat="1">
      <c r="B366" s="824"/>
      <c r="C366" s="824"/>
      <c r="D366" s="823"/>
      <c r="E366" s="823"/>
      <c r="F366" s="823"/>
      <c r="G366" s="823"/>
      <c r="H366" s="823"/>
      <c r="I366" s="823"/>
      <c r="J366" s="823"/>
      <c r="K366" s="823"/>
      <c r="L366" s="823"/>
      <c r="M366" s="823"/>
      <c r="N366" s="823"/>
      <c r="O366" s="823"/>
      <c r="P366" s="823"/>
      <c r="Q366" s="823"/>
      <c r="R366" s="823"/>
      <c r="S366" s="823"/>
      <c r="T366" s="823"/>
      <c r="U366" s="823"/>
      <c r="V366" s="824"/>
      <c r="Z366" s="1039"/>
      <c r="AB366" s="826"/>
      <c r="AC366" s="1040"/>
      <c r="AD366" s="1041"/>
      <c r="AF366" s="1041"/>
      <c r="AH366" s="846"/>
      <c r="AJ366" s="1041"/>
      <c r="AK366" s="1041"/>
      <c r="AM366" s="1041"/>
      <c r="AO366" s="1041"/>
      <c r="AP366" s="1042"/>
      <c r="AQ366" s="1040"/>
      <c r="AR366" s="1040"/>
      <c r="AU366" s="1043"/>
      <c r="AW366" s="1044"/>
      <c r="AX366" s="1044"/>
      <c r="AY366" s="1044"/>
      <c r="AZ366" s="1044"/>
    </row>
    <row r="367" spans="2:52" s="1025" customFormat="1">
      <c r="B367" s="824"/>
      <c r="C367" s="824"/>
      <c r="D367" s="823"/>
      <c r="E367" s="823"/>
      <c r="F367" s="823"/>
      <c r="G367" s="823"/>
      <c r="H367" s="823"/>
      <c r="I367" s="823"/>
      <c r="J367" s="823"/>
      <c r="K367" s="823"/>
      <c r="L367" s="823"/>
      <c r="M367" s="823"/>
      <c r="N367" s="823"/>
      <c r="O367" s="823"/>
      <c r="P367" s="823"/>
      <c r="Q367" s="823"/>
      <c r="R367" s="823"/>
      <c r="S367" s="823"/>
      <c r="T367" s="823"/>
      <c r="U367" s="823"/>
      <c r="V367" s="824"/>
      <c r="Z367" s="1039"/>
      <c r="AB367" s="826"/>
      <c r="AC367" s="1040"/>
      <c r="AD367" s="1041"/>
      <c r="AF367" s="1041"/>
      <c r="AH367" s="846"/>
      <c r="AJ367" s="1041"/>
      <c r="AK367" s="1041"/>
      <c r="AM367" s="1041"/>
      <c r="AO367" s="1041"/>
      <c r="AP367" s="1042"/>
      <c r="AQ367" s="1040"/>
      <c r="AR367" s="1040"/>
      <c r="AU367" s="1043"/>
      <c r="AW367" s="1044"/>
      <c r="AX367" s="1044"/>
      <c r="AY367" s="1044"/>
      <c r="AZ367" s="1044"/>
    </row>
    <row r="368" spans="2:52" s="1025" customFormat="1">
      <c r="B368" s="824"/>
      <c r="C368" s="824"/>
      <c r="D368" s="823"/>
      <c r="E368" s="823"/>
      <c r="F368" s="823"/>
      <c r="G368" s="823"/>
      <c r="H368" s="823"/>
      <c r="I368" s="823"/>
      <c r="J368" s="823"/>
      <c r="K368" s="823"/>
      <c r="L368" s="823"/>
      <c r="M368" s="823"/>
      <c r="N368" s="823"/>
      <c r="O368" s="823"/>
      <c r="P368" s="823"/>
      <c r="Q368" s="823"/>
      <c r="R368" s="823"/>
      <c r="S368" s="823"/>
      <c r="T368" s="823"/>
      <c r="U368" s="823"/>
      <c r="V368" s="824"/>
      <c r="Z368" s="1039"/>
      <c r="AB368" s="826"/>
      <c r="AC368" s="1040"/>
      <c r="AD368" s="1041"/>
      <c r="AF368" s="1041"/>
      <c r="AH368" s="846"/>
      <c r="AJ368" s="1041"/>
      <c r="AK368" s="1041"/>
      <c r="AM368" s="1041"/>
      <c r="AO368" s="1041"/>
      <c r="AP368" s="1042"/>
      <c r="AQ368" s="1040"/>
      <c r="AR368" s="1040"/>
      <c r="AU368" s="1043"/>
      <c r="AW368" s="1044"/>
      <c r="AX368" s="1044"/>
      <c r="AY368" s="1044"/>
      <c r="AZ368" s="1044"/>
    </row>
    <row r="369" spans="2:52" s="1025" customFormat="1">
      <c r="B369" s="824"/>
      <c r="C369" s="824"/>
      <c r="D369" s="823"/>
      <c r="E369" s="823"/>
      <c r="F369" s="823"/>
      <c r="G369" s="823"/>
      <c r="H369" s="823"/>
      <c r="I369" s="823"/>
      <c r="J369" s="823"/>
      <c r="K369" s="823"/>
      <c r="L369" s="823"/>
      <c r="M369" s="823"/>
      <c r="N369" s="823"/>
      <c r="O369" s="823"/>
      <c r="P369" s="823"/>
      <c r="Q369" s="823"/>
      <c r="R369" s="823"/>
      <c r="S369" s="823"/>
      <c r="T369" s="823"/>
      <c r="U369" s="823"/>
      <c r="V369" s="824"/>
      <c r="Z369" s="1039"/>
      <c r="AB369" s="826"/>
      <c r="AC369" s="1040"/>
      <c r="AD369" s="1041"/>
      <c r="AF369" s="1041"/>
      <c r="AH369" s="846"/>
      <c r="AJ369" s="1041"/>
      <c r="AK369" s="1041"/>
      <c r="AM369" s="1041"/>
      <c r="AO369" s="1041"/>
      <c r="AP369" s="1042"/>
      <c r="AQ369" s="1040"/>
      <c r="AR369" s="1040"/>
      <c r="AU369" s="1043"/>
      <c r="AW369" s="1044"/>
      <c r="AX369" s="1044"/>
      <c r="AY369" s="1044"/>
      <c r="AZ369" s="1044"/>
    </row>
    <row r="370" spans="2:52" s="1025" customFormat="1">
      <c r="B370" s="824"/>
      <c r="C370" s="824"/>
      <c r="D370" s="823"/>
      <c r="E370" s="823"/>
      <c r="F370" s="823"/>
      <c r="G370" s="823"/>
      <c r="H370" s="823"/>
      <c r="I370" s="823"/>
      <c r="J370" s="823"/>
      <c r="K370" s="823"/>
      <c r="L370" s="823"/>
      <c r="M370" s="823"/>
      <c r="N370" s="823"/>
      <c r="O370" s="823"/>
      <c r="P370" s="823"/>
      <c r="Q370" s="823"/>
      <c r="R370" s="823"/>
      <c r="S370" s="823"/>
      <c r="T370" s="823"/>
      <c r="U370" s="823"/>
      <c r="V370" s="824"/>
      <c r="Z370" s="1039"/>
      <c r="AB370" s="826"/>
      <c r="AC370" s="1040"/>
      <c r="AD370" s="1041"/>
      <c r="AF370" s="1041"/>
      <c r="AH370" s="846"/>
      <c r="AJ370" s="1041"/>
      <c r="AK370" s="1041"/>
      <c r="AM370" s="1041"/>
      <c r="AO370" s="1041"/>
      <c r="AP370" s="1042"/>
      <c r="AQ370" s="1040"/>
      <c r="AR370" s="1040"/>
      <c r="AU370" s="1043"/>
      <c r="AW370" s="1044"/>
      <c r="AX370" s="1044"/>
      <c r="AY370" s="1044"/>
      <c r="AZ370" s="1044"/>
    </row>
    <row r="371" spans="2:52" s="1025" customFormat="1">
      <c r="B371" s="824"/>
      <c r="C371" s="824"/>
      <c r="D371" s="823"/>
      <c r="E371" s="823"/>
      <c r="F371" s="823"/>
      <c r="G371" s="823"/>
      <c r="H371" s="823"/>
      <c r="I371" s="823"/>
      <c r="J371" s="823"/>
      <c r="K371" s="823"/>
      <c r="L371" s="823"/>
      <c r="M371" s="823"/>
      <c r="N371" s="823"/>
      <c r="O371" s="823"/>
      <c r="P371" s="823"/>
      <c r="Q371" s="823"/>
      <c r="R371" s="823"/>
      <c r="S371" s="823"/>
      <c r="T371" s="823"/>
      <c r="U371" s="823"/>
      <c r="V371" s="824"/>
      <c r="Z371" s="1039"/>
      <c r="AB371" s="826"/>
      <c r="AC371" s="1040"/>
      <c r="AD371" s="1041"/>
      <c r="AF371" s="1041"/>
      <c r="AH371" s="846"/>
      <c r="AJ371" s="1041"/>
      <c r="AK371" s="1041"/>
      <c r="AM371" s="1041"/>
      <c r="AO371" s="1041"/>
      <c r="AP371" s="1042"/>
      <c r="AQ371" s="1040"/>
      <c r="AR371" s="1040"/>
      <c r="AU371" s="1043"/>
      <c r="AW371" s="1044"/>
      <c r="AX371" s="1044"/>
      <c r="AY371" s="1044"/>
      <c r="AZ371" s="1044"/>
    </row>
    <row r="372" spans="2:52" s="1025" customFormat="1">
      <c r="B372" s="824"/>
      <c r="C372" s="824"/>
      <c r="D372" s="823"/>
      <c r="E372" s="823"/>
      <c r="F372" s="823"/>
      <c r="G372" s="823"/>
      <c r="H372" s="823"/>
      <c r="I372" s="823"/>
      <c r="J372" s="823"/>
      <c r="K372" s="823"/>
      <c r="L372" s="823"/>
      <c r="M372" s="823"/>
      <c r="N372" s="823"/>
      <c r="O372" s="823"/>
      <c r="P372" s="823"/>
      <c r="Q372" s="823"/>
      <c r="R372" s="823"/>
      <c r="S372" s="823"/>
      <c r="T372" s="823"/>
      <c r="U372" s="823"/>
      <c r="V372" s="824"/>
      <c r="Z372" s="1039"/>
      <c r="AB372" s="826"/>
      <c r="AC372" s="1040"/>
      <c r="AD372" s="1041"/>
      <c r="AF372" s="1041"/>
      <c r="AH372" s="846"/>
      <c r="AJ372" s="1041"/>
      <c r="AK372" s="1041"/>
      <c r="AM372" s="1041"/>
      <c r="AO372" s="1041"/>
      <c r="AP372" s="1042"/>
      <c r="AQ372" s="1040"/>
      <c r="AR372" s="1040"/>
      <c r="AU372" s="1043"/>
      <c r="AW372" s="1044"/>
      <c r="AX372" s="1044"/>
      <c r="AY372" s="1044"/>
      <c r="AZ372" s="1044"/>
    </row>
    <row r="373" spans="2:52" s="1025" customFormat="1">
      <c r="B373" s="824"/>
      <c r="C373" s="824"/>
      <c r="D373" s="823"/>
      <c r="E373" s="823"/>
      <c r="F373" s="823"/>
      <c r="G373" s="823"/>
      <c r="H373" s="823"/>
      <c r="I373" s="823"/>
      <c r="J373" s="823"/>
      <c r="K373" s="823"/>
      <c r="L373" s="823"/>
      <c r="M373" s="823"/>
      <c r="N373" s="823"/>
      <c r="O373" s="823"/>
      <c r="P373" s="823"/>
      <c r="Q373" s="823"/>
      <c r="R373" s="823"/>
      <c r="S373" s="823"/>
      <c r="T373" s="823"/>
      <c r="U373" s="823"/>
      <c r="V373" s="824"/>
      <c r="Z373" s="1039"/>
      <c r="AB373" s="826"/>
      <c r="AC373" s="1040"/>
      <c r="AD373" s="1041"/>
      <c r="AF373" s="1041"/>
      <c r="AH373" s="846"/>
      <c r="AJ373" s="1041"/>
      <c r="AK373" s="1041"/>
      <c r="AM373" s="1041"/>
      <c r="AO373" s="1041"/>
      <c r="AP373" s="1042"/>
      <c r="AQ373" s="1040"/>
      <c r="AR373" s="1040"/>
      <c r="AU373" s="1043"/>
      <c r="AW373" s="1044"/>
      <c r="AX373" s="1044"/>
      <c r="AY373" s="1044"/>
      <c r="AZ373" s="1044"/>
    </row>
    <row r="374" spans="2:52" s="1025" customFormat="1">
      <c r="B374" s="824"/>
      <c r="C374" s="824"/>
      <c r="D374" s="823"/>
      <c r="E374" s="823"/>
      <c r="F374" s="823"/>
      <c r="G374" s="823"/>
      <c r="H374" s="823"/>
      <c r="I374" s="823"/>
      <c r="J374" s="823"/>
      <c r="K374" s="823"/>
      <c r="L374" s="823"/>
      <c r="M374" s="823"/>
      <c r="N374" s="823"/>
      <c r="O374" s="823"/>
      <c r="P374" s="823"/>
      <c r="Q374" s="823"/>
      <c r="R374" s="823"/>
      <c r="S374" s="823"/>
      <c r="T374" s="823"/>
      <c r="U374" s="823"/>
      <c r="V374" s="824"/>
      <c r="Z374" s="1039"/>
      <c r="AB374" s="826"/>
      <c r="AC374" s="1040"/>
      <c r="AD374" s="1041"/>
      <c r="AF374" s="1041"/>
      <c r="AH374" s="846"/>
      <c r="AJ374" s="1041"/>
      <c r="AK374" s="1041"/>
      <c r="AM374" s="1041"/>
      <c r="AO374" s="1041"/>
      <c r="AP374" s="1042"/>
      <c r="AQ374" s="1040"/>
      <c r="AR374" s="1040"/>
      <c r="AU374" s="1043"/>
      <c r="AW374" s="1044"/>
      <c r="AX374" s="1044"/>
      <c r="AY374" s="1044"/>
      <c r="AZ374" s="1044"/>
    </row>
    <row r="375" spans="2:52" s="1025" customFormat="1">
      <c r="B375" s="824"/>
      <c r="C375" s="824"/>
      <c r="D375" s="823"/>
      <c r="E375" s="823"/>
      <c r="F375" s="823"/>
      <c r="G375" s="823"/>
      <c r="H375" s="823"/>
      <c r="I375" s="823"/>
      <c r="J375" s="823"/>
      <c r="K375" s="823"/>
      <c r="L375" s="823"/>
      <c r="M375" s="823"/>
      <c r="N375" s="823"/>
      <c r="O375" s="823"/>
      <c r="P375" s="823"/>
      <c r="Q375" s="823"/>
      <c r="R375" s="823"/>
      <c r="S375" s="823"/>
      <c r="T375" s="823"/>
      <c r="U375" s="823"/>
      <c r="V375" s="824"/>
      <c r="Z375" s="1039"/>
      <c r="AB375" s="826"/>
      <c r="AC375" s="1040"/>
      <c r="AD375" s="1041"/>
      <c r="AF375" s="1041"/>
      <c r="AH375" s="846"/>
      <c r="AJ375" s="1041"/>
      <c r="AK375" s="1041"/>
      <c r="AM375" s="1041"/>
      <c r="AO375" s="1041"/>
      <c r="AP375" s="1042"/>
      <c r="AQ375" s="1040"/>
      <c r="AR375" s="1040"/>
      <c r="AU375" s="1043"/>
      <c r="AW375" s="1044"/>
      <c r="AX375" s="1044"/>
      <c r="AY375" s="1044"/>
      <c r="AZ375" s="1044"/>
    </row>
    <row r="376" spans="2:52" s="1025" customFormat="1">
      <c r="B376" s="824"/>
      <c r="C376" s="824"/>
      <c r="D376" s="823"/>
      <c r="E376" s="823"/>
      <c r="F376" s="823"/>
      <c r="G376" s="823"/>
      <c r="H376" s="823"/>
      <c r="I376" s="823"/>
      <c r="J376" s="823"/>
      <c r="K376" s="823"/>
      <c r="L376" s="823"/>
      <c r="M376" s="823"/>
      <c r="N376" s="823"/>
      <c r="O376" s="823"/>
      <c r="P376" s="823"/>
      <c r="Q376" s="823"/>
      <c r="R376" s="823"/>
      <c r="S376" s="823"/>
      <c r="T376" s="823"/>
      <c r="U376" s="823"/>
      <c r="V376" s="824"/>
      <c r="Z376" s="1039"/>
      <c r="AB376" s="826"/>
      <c r="AC376" s="1040"/>
      <c r="AD376" s="1041"/>
      <c r="AF376" s="1041"/>
      <c r="AH376" s="846"/>
      <c r="AJ376" s="1041"/>
      <c r="AK376" s="1041"/>
      <c r="AM376" s="1041"/>
      <c r="AO376" s="1041"/>
      <c r="AP376" s="1042"/>
      <c r="AQ376" s="1040"/>
      <c r="AR376" s="1040"/>
      <c r="AU376" s="1043"/>
      <c r="AW376" s="1044"/>
      <c r="AX376" s="1044"/>
      <c r="AY376" s="1044"/>
      <c r="AZ376" s="1044"/>
    </row>
    <row r="377" spans="2:52" s="1025" customFormat="1">
      <c r="B377" s="824"/>
      <c r="C377" s="824"/>
      <c r="D377" s="823"/>
      <c r="E377" s="823"/>
      <c r="F377" s="823"/>
      <c r="G377" s="823"/>
      <c r="H377" s="823"/>
      <c r="I377" s="823"/>
      <c r="J377" s="823"/>
      <c r="K377" s="823"/>
      <c r="L377" s="823"/>
      <c r="M377" s="823"/>
      <c r="N377" s="823"/>
      <c r="O377" s="823"/>
      <c r="P377" s="823"/>
      <c r="Q377" s="823"/>
      <c r="R377" s="823"/>
      <c r="S377" s="823"/>
      <c r="T377" s="823"/>
      <c r="U377" s="823"/>
      <c r="V377" s="824"/>
      <c r="Z377" s="1039"/>
      <c r="AB377" s="826"/>
      <c r="AC377" s="1040"/>
      <c r="AD377" s="1041"/>
      <c r="AF377" s="1041"/>
      <c r="AH377" s="846"/>
      <c r="AJ377" s="1041"/>
      <c r="AK377" s="1041"/>
      <c r="AM377" s="1041"/>
      <c r="AO377" s="1041"/>
      <c r="AP377" s="1042"/>
      <c r="AQ377" s="1040"/>
      <c r="AR377" s="1040"/>
      <c r="AU377" s="1043"/>
      <c r="AW377" s="1044"/>
      <c r="AX377" s="1044"/>
      <c r="AY377" s="1044"/>
      <c r="AZ377" s="1044"/>
    </row>
    <row r="378" spans="2:52" s="1025" customFormat="1">
      <c r="B378" s="824"/>
      <c r="C378" s="824"/>
      <c r="D378" s="823"/>
      <c r="E378" s="823"/>
      <c r="F378" s="823"/>
      <c r="G378" s="823"/>
      <c r="H378" s="823"/>
      <c r="I378" s="823"/>
      <c r="J378" s="823"/>
      <c r="K378" s="823"/>
      <c r="L378" s="823"/>
      <c r="M378" s="823"/>
      <c r="N378" s="823"/>
      <c r="O378" s="823"/>
      <c r="P378" s="823"/>
      <c r="Q378" s="823"/>
      <c r="R378" s="823"/>
      <c r="S378" s="823"/>
      <c r="T378" s="823"/>
      <c r="U378" s="823"/>
      <c r="V378" s="824"/>
      <c r="Z378" s="1039"/>
      <c r="AB378" s="826"/>
      <c r="AC378" s="1040"/>
      <c r="AD378" s="1041"/>
      <c r="AF378" s="1041"/>
      <c r="AH378" s="846"/>
      <c r="AJ378" s="1041"/>
      <c r="AK378" s="1041"/>
      <c r="AM378" s="1041"/>
      <c r="AO378" s="1041"/>
      <c r="AP378" s="1042"/>
      <c r="AQ378" s="1040"/>
      <c r="AR378" s="1040"/>
      <c r="AU378" s="1043"/>
      <c r="AW378" s="1044"/>
      <c r="AX378" s="1044"/>
      <c r="AY378" s="1044"/>
      <c r="AZ378" s="1044"/>
    </row>
    <row r="379" spans="2:52" s="1025" customFormat="1">
      <c r="B379" s="824"/>
      <c r="C379" s="824"/>
      <c r="D379" s="823"/>
      <c r="E379" s="823"/>
      <c r="F379" s="823"/>
      <c r="G379" s="823"/>
      <c r="H379" s="823"/>
      <c r="I379" s="823"/>
      <c r="J379" s="823"/>
      <c r="K379" s="823"/>
      <c r="L379" s="823"/>
      <c r="M379" s="823"/>
      <c r="N379" s="823"/>
      <c r="O379" s="823"/>
      <c r="P379" s="823"/>
      <c r="Q379" s="823"/>
      <c r="R379" s="823"/>
      <c r="S379" s="823"/>
      <c r="T379" s="823"/>
      <c r="U379" s="823"/>
      <c r="V379" s="824"/>
      <c r="Z379" s="1039"/>
      <c r="AB379" s="826"/>
      <c r="AC379" s="1040"/>
      <c r="AD379" s="1041"/>
      <c r="AF379" s="1041"/>
      <c r="AH379" s="846"/>
      <c r="AJ379" s="1041"/>
      <c r="AK379" s="1041"/>
      <c r="AM379" s="1041"/>
      <c r="AO379" s="1041"/>
      <c r="AP379" s="1042"/>
      <c r="AQ379" s="1040"/>
      <c r="AR379" s="1040"/>
      <c r="AU379" s="1043"/>
      <c r="AW379" s="1044"/>
      <c r="AX379" s="1044"/>
      <c r="AY379" s="1044"/>
      <c r="AZ379" s="1044"/>
    </row>
    <row r="380" spans="2:52" s="1025" customFormat="1">
      <c r="B380" s="824"/>
      <c r="C380" s="824"/>
      <c r="D380" s="823"/>
      <c r="E380" s="823"/>
      <c r="F380" s="823"/>
      <c r="G380" s="823"/>
      <c r="H380" s="823"/>
      <c r="I380" s="823"/>
      <c r="J380" s="823"/>
      <c r="K380" s="823"/>
      <c r="L380" s="823"/>
      <c r="M380" s="823"/>
      <c r="N380" s="823"/>
      <c r="O380" s="823"/>
      <c r="P380" s="823"/>
      <c r="Q380" s="823"/>
      <c r="R380" s="823"/>
      <c r="S380" s="823"/>
      <c r="T380" s="823"/>
      <c r="U380" s="823"/>
      <c r="V380" s="824"/>
      <c r="Z380" s="1039"/>
      <c r="AB380" s="826"/>
      <c r="AC380" s="1040"/>
      <c r="AD380" s="1041"/>
      <c r="AF380" s="1041"/>
      <c r="AH380" s="846"/>
      <c r="AJ380" s="1041"/>
      <c r="AK380" s="1041"/>
      <c r="AM380" s="1041"/>
      <c r="AO380" s="1041"/>
      <c r="AP380" s="1042"/>
      <c r="AQ380" s="1040"/>
      <c r="AR380" s="1040"/>
      <c r="AU380" s="1043"/>
      <c r="AW380" s="1044"/>
      <c r="AX380" s="1044"/>
      <c r="AY380" s="1044"/>
      <c r="AZ380" s="1044"/>
    </row>
    <row r="381" spans="2:52" s="1025" customFormat="1">
      <c r="B381" s="824"/>
      <c r="C381" s="824"/>
      <c r="D381" s="823"/>
      <c r="E381" s="823"/>
      <c r="F381" s="823"/>
      <c r="G381" s="823"/>
      <c r="H381" s="823"/>
      <c r="I381" s="823"/>
      <c r="J381" s="823"/>
      <c r="K381" s="823"/>
      <c r="L381" s="823"/>
      <c r="M381" s="823"/>
      <c r="N381" s="823"/>
      <c r="O381" s="823"/>
      <c r="P381" s="823"/>
      <c r="Q381" s="823"/>
      <c r="R381" s="823"/>
      <c r="S381" s="823"/>
      <c r="T381" s="823"/>
      <c r="U381" s="823"/>
      <c r="V381" s="824"/>
      <c r="Z381" s="1039"/>
      <c r="AB381" s="826"/>
      <c r="AC381" s="1040"/>
      <c r="AD381" s="1041"/>
      <c r="AF381" s="1041"/>
      <c r="AH381" s="846"/>
      <c r="AJ381" s="1041"/>
      <c r="AK381" s="1041"/>
      <c r="AM381" s="1041"/>
      <c r="AO381" s="1041"/>
      <c r="AP381" s="1042"/>
      <c r="AQ381" s="1040"/>
      <c r="AR381" s="1040"/>
      <c r="AU381" s="1043"/>
      <c r="AW381" s="1044"/>
      <c r="AX381" s="1044"/>
      <c r="AY381" s="1044"/>
      <c r="AZ381" s="1044"/>
    </row>
    <row r="382" spans="2:52" s="1025" customFormat="1">
      <c r="B382" s="824"/>
      <c r="C382" s="824"/>
      <c r="D382" s="823"/>
      <c r="E382" s="823"/>
      <c r="F382" s="823"/>
      <c r="G382" s="823"/>
      <c r="H382" s="823"/>
      <c r="I382" s="823"/>
      <c r="J382" s="823"/>
      <c r="K382" s="823"/>
      <c r="L382" s="823"/>
      <c r="M382" s="823"/>
      <c r="N382" s="823"/>
      <c r="O382" s="823"/>
      <c r="P382" s="823"/>
      <c r="Q382" s="823"/>
      <c r="R382" s="823"/>
      <c r="S382" s="823"/>
      <c r="T382" s="823"/>
      <c r="U382" s="823"/>
      <c r="V382" s="824"/>
      <c r="Z382" s="1039"/>
      <c r="AB382" s="826"/>
      <c r="AC382" s="1040"/>
      <c r="AD382" s="1041"/>
      <c r="AF382" s="1041"/>
      <c r="AH382" s="846"/>
      <c r="AJ382" s="1041"/>
      <c r="AK382" s="1041"/>
      <c r="AM382" s="1041"/>
      <c r="AO382" s="1041"/>
      <c r="AP382" s="1042"/>
      <c r="AQ382" s="1040"/>
      <c r="AR382" s="1040"/>
      <c r="AU382" s="1043"/>
      <c r="AW382" s="1044"/>
      <c r="AX382" s="1044"/>
      <c r="AY382" s="1044"/>
      <c r="AZ382" s="1044"/>
    </row>
    <row r="383" spans="2:52" s="1025" customFormat="1">
      <c r="B383" s="824"/>
      <c r="C383" s="824"/>
      <c r="D383" s="823"/>
      <c r="E383" s="823"/>
      <c r="F383" s="823"/>
      <c r="G383" s="823"/>
      <c r="H383" s="823"/>
      <c r="I383" s="823"/>
      <c r="J383" s="823"/>
      <c r="K383" s="823"/>
      <c r="L383" s="823"/>
      <c r="M383" s="823"/>
      <c r="N383" s="823"/>
      <c r="O383" s="823"/>
      <c r="P383" s="823"/>
      <c r="Q383" s="823"/>
      <c r="R383" s="823"/>
      <c r="S383" s="823"/>
      <c r="T383" s="823"/>
      <c r="U383" s="823"/>
      <c r="V383" s="824"/>
      <c r="Z383" s="1039"/>
      <c r="AB383" s="826"/>
      <c r="AC383" s="1040"/>
      <c r="AD383" s="1041"/>
      <c r="AF383" s="1041"/>
      <c r="AH383" s="846"/>
      <c r="AJ383" s="1041"/>
      <c r="AK383" s="1041"/>
      <c r="AM383" s="1041"/>
      <c r="AO383" s="1041"/>
      <c r="AP383" s="1042"/>
      <c r="AQ383" s="1040"/>
      <c r="AR383" s="1040"/>
      <c r="AU383" s="1043"/>
      <c r="AW383" s="1044"/>
      <c r="AX383" s="1044"/>
      <c r="AY383" s="1044"/>
      <c r="AZ383" s="1044"/>
    </row>
    <row r="384" spans="2:52" s="1025" customFormat="1">
      <c r="B384" s="824"/>
      <c r="C384" s="824"/>
      <c r="D384" s="823"/>
      <c r="E384" s="823"/>
      <c r="F384" s="823"/>
      <c r="G384" s="823"/>
      <c r="H384" s="823"/>
      <c r="I384" s="823"/>
      <c r="J384" s="823"/>
      <c r="K384" s="823"/>
      <c r="L384" s="823"/>
      <c r="M384" s="823"/>
      <c r="N384" s="823"/>
      <c r="O384" s="823"/>
      <c r="P384" s="823"/>
      <c r="Q384" s="823"/>
      <c r="R384" s="823"/>
      <c r="S384" s="823"/>
      <c r="T384" s="823"/>
      <c r="U384" s="823"/>
      <c r="V384" s="824"/>
      <c r="Z384" s="1039"/>
      <c r="AB384" s="826"/>
      <c r="AC384" s="1040"/>
      <c r="AD384" s="1041"/>
      <c r="AF384" s="1041"/>
      <c r="AH384" s="846"/>
      <c r="AJ384" s="1041"/>
      <c r="AK384" s="1041"/>
      <c r="AM384" s="1041"/>
      <c r="AO384" s="1041"/>
      <c r="AP384" s="1042"/>
      <c r="AQ384" s="1040"/>
      <c r="AR384" s="1040"/>
      <c r="AU384" s="1043"/>
      <c r="AW384" s="1044"/>
      <c r="AX384" s="1044"/>
      <c r="AY384" s="1044"/>
      <c r="AZ384" s="1044"/>
    </row>
    <row r="385" spans="2:52" s="1025" customFormat="1">
      <c r="B385" s="824"/>
      <c r="C385" s="824"/>
      <c r="D385" s="823"/>
      <c r="E385" s="823"/>
      <c r="F385" s="823"/>
      <c r="G385" s="823"/>
      <c r="H385" s="823"/>
      <c r="I385" s="823"/>
      <c r="J385" s="823"/>
      <c r="K385" s="823"/>
      <c r="L385" s="823"/>
      <c r="M385" s="823"/>
      <c r="N385" s="823"/>
      <c r="O385" s="823"/>
      <c r="P385" s="823"/>
      <c r="Q385" s="823"/>
      <c r="R385" s="823"/>
      <c r="S385" s="823"/>
      <c r="T385" s="823"/>
      <c r="U385" s="823"/>
      <c r="V385" s="824"/>
      <c r="Z385" s="1039"/>
      <c r="AB385" s="826"/>
      <c r="AC385" s="1040"/>
      <c r="AD385" s="1041"/>
      <c r="AF385" s="1041"/>
      <c r="AH385" s="846"/>
      <c r="AJ385" s="1041"/>
      <c r="AK385" s="1041"/>
      <c r="AM385" s="1041"/>
      <c r="AO385" s="1041"/>
      <c r="AP385" s="1042"/>
      <c r="AQ385" s="1040"/>
      <c r="AR385" s="1040"/>
      <c r="AU385" s="1043"/>
      <c r="AW385" s="1044"/>
      <c r="AX385" s="1044"/>
      <c r="AY385" s="1044"/>
      <c r="AZ385" s="1044"/>
    </row>
    <row r="386" spans="2:52" s="1025" customFormat="1">
      <c r="B386" s="824"/>
      <c r="C386" s="824"/>
      <c r="D386" s="823"/>
      <c r="E386" s="823"/>
      <c r="F386" s="823"/>
      <c r="G386" s="823"/>
      <c r="H386" s="823"/>
      <c r="I386" s="823"/>
      <c r="J386" s="823"/>
      <c r="K386" s="823"/>
      <c r="L386" s="823"/>
      <c r="M386" s="823"/>
      <c r="N386" s="823"/>
      <c r="O386" s="823"/>
      <c r="P386" s="823"/>
      <c r="Q386" s="823"/>
      <c r="R386" s="823"/>
      <c r="S386" s="823"/>
      <c r="T386" s="823"/>
      <c r="U386" s="823"/>
      <c r="V386" s="824"/>
      <c r="Z386" s="1039"/>
      <c r="AB386" s="826"/>
      <c r="AC386" s="1040"/>
      <c r="AD386" s="1041"/>
      <c r="AF386" s="1041"/>
      <c r="AH386" s="846"/>
      <c r="AJ386" s="1041"/>
      <c r="AK386" s="1041"/>
      <c r="AM386" s="1041"/>
      <c r="AO386" s="1041"/>
      <c r="AP386" s="1042"/>
      <c r="AQ386" s="1040"/>
      <c r="AR386" s="1040"/>
      <c r="AU386" s="1043"/>
      <c r="AW386" s="1044"/>
      <c r="AX386" s="1044"/>
      <c r="AY386" s="1044"/>
      <c r="AZ386" s="1044"/>
    </row>
    <row r="387" spans="2:52" s="1025" customFormat="1">
      <c r="B387" s="824"/>
      <c r="C387" s="824"/>
      <c r="D387" s="823"/>
      <c r="E387" s="823"/>
      <c r="F387" s="823"/>
      <c r="G387" s="823"/>
      <c r="H387" s="823"/>
      <c r="I387" s="823"/>
      <c r="J387" s="823"/>
      <c r="K387" s="823"/>
      <c r="L387" s="823"/>
      <c r="M387" s="823"/>
      <c r="N387" s="823"/>
      <c r="O387" s="823"/>
      <c r="P387" s="823"/>
      <c r="Q387" s="823"/>
      <c r="R387" s="823"/>
      <c r="S387" s="823"/>
      <c r="T387" s="823"/>
      <c r="U387" s="823"/>
      <c r="V387" s="824"/>
      <c r="Z387" s="1039"/>
      <c r="AB387" s="826"/>
      <c r="AC387" s="1040"/>
      <c r="AD387" s="1041"/>
      <c r="AF387" s="1041"/>
      <c r="AH387" s="846"/>
      <c r="AJ387" s="1041"/>
      <c r="AK387" s="1041"/>
      <c r="AM387" s="1041"/>
      <c r="AO387" s="1041"/>
      <c r="AP387" s="1042"/>
      <c r="AQ387" s="1040"/>
      <c r="AR387" s="1040"/>
      <c r="AU387" s="1043"/>
      <c r="AW387" s="1044"/>
      <c r="AX387" s="1044"/>
      <c r="AY387" s="1044"/>
      <c r="AZ387" s="1044"/>
    </row>
    <row r="388" spans="2:52" s="1025" customFormat="1">
      <c r="B388" s="824"/>
      <c r="C388" s="824"/>
      <c r="D388" s="823"/>
      <c r="E388" s="823"/>
      <c r="F388" s="823"/>
      <c r="G388" s="823"/>
      <c r="H388" s="823"/>
      <c r="I388" s="823"/>
      <c r="J388" s="823"/>
      <c r="K388" s="823"/>
      <c r="L388" s="823"/>
      <c r="M388" s="823"/>
      <c r="N388" s="823"/>
      <c r="O388" s="823"/>
      <c r="P388" s="823"/>
      <c r="Q388" s="823"/>
      <c r="R388" s="823"/>
      <c r="S388" s="823"/>
      <c r="T388" s="823"/>
      <c r="U388" s="823"/>
      <c r="V388" s="824"/>
      <c r="Z388" s="1039"/>
      <c r="AB388" s="826"/>
      <c r="AC388" s="1040"/>
      <c r="AD388" s="1041"/>
      <c r="AF388" s="1041"/>
      <c r="AH388" s="846"/>
      <c r="AJ388" s="1041"/>
      <c r="AK388" s="1041"/>
      <c r="AM388" s="1041"/>
      <c r="AO388" s="1041"/>
      <c r="AP388" s="1042"/>
      <c r="AQ388" s="1040"/>
      <c r="AR388" s="1040"/>
      <c r="AU388" s="1043"/>
      <c r="AW388" s="1044"/>
      <c r="AX388" s="1044"/>
      <c r="AY388" s="1044"/>
      <c r="AZ388" s="1044"/>
    </row>
    <row r="389" spans="2:52" s="1025" customFormat="1">
      <c r="B389" s="824"/>
      <c r="C389" s="824"/>
      <c r="D389" s="823"/>
      <c r="E389" s="823"/>
      <c r="F389" s="823"/>
      <c r="G389" s="823"/>
      <c r="H389" s="823"/>
      <c r="I389" s="823"/>
      <c r="J389" s="823"/>
      <c r="K389" s="823"/>
      <c r="L389" s="823"/>
      <c r="M389" s="823"/>
      <c r="N389" s="823"/>
      <c r="O389" s="823"/>
      <c r="P389" s="823"/>
      <c r="Q389" s="823"/>
      <c r="R389" s="823"/>
      <c r="S389" s="823"/>
      <c r="T389" s="823"/>
      <c r="U389" s="823"/>
      <c r="V389" s="824"/>
      <c r="Z389" s="1039"/>
      <c r="AB389" s="826"/>
      <c r="AC389" s="1040"/>
      <c r="AD389" s="1041"/>
      <c r="AF389" s="1041"/>
      <c r="AH389" s="846"/>
      <c r="AJ389" s="1041"/>
      <c r="AK389" s="1041"/>
      <c r="AM389" s="1041"/>
      <c r="AO389" s="1041"/>
      <c r="AP389" s="1042"/>
      <c r="AQ389" s="1040"/>
      <c r="AR389" s="1040"/>
      <c r="AU389" s="1043"/>
      <c r="AW389" s="1044"/>
      <c r="AX389" s="1044"/>
      <c r="AY389" s="1044"/>
      <c r="AZ389" s="1044"/>
    </row>
    <row r="390" spans="2:52" s="1025" customFormat="1">
      <c r="B390" s="824"/>
      <c r="C390" s="824"/>
      <c r="D390" s="823"/>
      <c r="E390" s="823"/>
      <c r="F390" s="823"/>
      <c r="G390" s="823"/>
      <c r="H390" s="823"/>
      <c r="I390" s="823"/>
      <c r="J390" s="823"/>
      <c r="K390" s="823"/>
      <c r="L390" s="823"/>
      <c r="M390" s="823"/>
      <c r="N390" s="823"/>
      <c r="O390" s="823"/>
      <c r="P390" s="823"/>
      <c r="Q390" s="823"/>
      <c r="R390" s="823"/>
      <c r="S390" s="823"/>
      <c r="T390" s="823"/>
      <c r="U390" s="823"/>
      <c r="V390" s="824"/>
      <c r="Z390" s="1039"/>
      <c r="AB390" s="826"/>
      <c r="AC390" s="1040"/>
      <c r="AD390" s="1041"/>
      <c r="AF390" s="1041"/>
      <c r="AH390" s="846"/>
      <c r="AJ390" s="1041"/>
      <c r="AK390" s="1041"/>
      <c r="AM390" s="1041"/>
      <c r="AO390" s="1041"/>
      <c r="AP390" s="1042"/>
      <c r="AQ390" s="1040"/>
      <c r="AR390" s="1040"/>
      <c r="AU390" s="1043"/>
      <c r="AW390" s="1044"/>
      <c r="AX390" s="1044"/>
      <c r="AY390" s="1044"/>
      <c r="AZ390" s="1044"/>
    </row>
    <row r="391" spans="2:52" s="1025" customFormat="1">
      <c r="B391" s="824"/>
      <c r="C391" s="824"/>
      <c r="D391" s="823"/>
      <c r="E391" s="823"/>
      <c r="F391" s="823"/>
      <c r="G391" s="823"/>
      <c r="H391" s="823"/>
      <c r="I391" s="823"/>
      <c r="J391" s="823"/>
      <c r="K391" s="823"/>
      <c r="L391" s="823"/>
      <c r="M391" s="823"/>
      <c r="N391" s="823"/>
      <c r="O391" s="823"/>
      <c r="P391" s="823"/>
      <c r="Q391" s="823"/>
      <c r="R391" s="823"/>
      <c r="S391" s="823"/>
      <c r="T391" s="823"/>
      <c r="U391" s="823"/>
      <c r="V391" s="824"/>
      <c r="Z391" s="1039"/>
      <c r="AB391" s="826"/>
      <c r="AC391" s="1040"/>
      <c r="AD391" s="1041"/>
      <c r="AF391" s="1041"/>
      <c r="AH391" s="846"/>
      <c r="AJ391" s="1041"/>
      <c r="AK391" s="1041"/>
      <c r="AM391" s="1041"/>
      <c r="AO391" s="1041"/>
      <c r="AP391" s="1042"/>
      <c r="AQ391" s="1040"/>
      <c r="AR391" s="1040"/>
      <c r="AU391" s="1043"/>
      <c r="AW391" s="1044"/>
      <c r="AX391" s="1044"/>
      <c r="AY391" s="1044"/>
      <c r="AZ391" s="1044"/>
    </row>
    <row r="392" spans="2:52" s="1025" customFormat="1">
      <c r="B392" s="824"/>
      <c r="C392" s="824"/>
      <c r="D392" s="823"/>
      <c r="E392" s="823"/>
      <c r="F392" s="823"/>
      <c r="G392" s="823"/>
      <c r="H392" s="823"/>
      <c r="I392" s="823"/>
      <c r="J392" s="823"/>
      <c r="K392" s="823"/>
      <c r="L392" s="823"/>
      <c r="M392" s="823"/>
      <c r="N392" s="823"/>
      <c r="O392" s="823"/>
      <c r="P392" s="823"/>
      <c r="Q392" s="823"/>
      <c r="R392" s="823"/>
      <c r="S392" s="823"/>
      <c r="T392" s="823"/>
      <c r="U392" s="823"/>
      <c r="V392" s="824"/>
      <c r="Z392" s="1039"/>
      <c r="AB392" s="826"/>
      <c r="AC392" s="1040"/>
      <c r="AD392" s="1041"/>
      <c r="AF392" s="1041"/>
      <c r="AH392" s="846"/>
      <c r="AJ392" s="1041"/>
      <c r="AK392" s="1041"/>
      <c r="AM392" s="1041"/>
      <c r="AO392" s="1041"/>
      <c r="AP392" s="1042"/>
      <c r="AQ392" s="1040"/>
      <c r="AR392" s="1040"/>
      <c r="AU392" s="1043"/>
      <c r="AW392" s="1044"/>
      <c r="AX392" s="1044"/>
      <c r="AY392" s="1044"/>
      <c r="AZ392" s="1044"/>
    </row>
    <row r="393" spans="2:52" s="1025" customFormat="1">
      <c r="B393" s="824"/>
      <c r="C393" s="824"/>
      <c r="D393" s="823"/>
      <c r="E393" s="823"/>
      <c r="F393" s="823"/>
      <c r="G393" s="823"/>
      <c r="H393" s="823"/>
      <c r="I393" s="823"/>
      <c r="J393" s="823"/>
      <c r="K393" s="823"/>
      <c r="L393" s="823"/>
      <c r="M393" s="823"/>
      <c r="N393" s="823"/>
      <c r="O393" s="823"/>
      <c r="P393" s="823"/>
      <c r="Q393" s="823"/>
      <c r="R393" s="823"/>
      <c r="S393" s="823"/>
      <c r="T393" s="823"/>
      <c r="U393" s="823"/>
      <c r="V393" s="824"/>
      <c r="Z393" s="1039"/>
      <c r="AB393" s="826"/>
      <c r="AC393" s="1040"/>
      <c r="AD393" s="1041"/>
      <c r="AF393" s="1041"/>
      <c r="AH393" s="846"/>
      <c r="AJ393" s="1041"/>
      <c r="AK393" s="1041"/>
      <c r="AM393" s="1041"/>
      <c r="AO393" s="1041"/>
      <c r="AP393" s="1042"/>
      <c r="AQ393" s="1040"/>
      <c r="AR393" s="1040"/>
      <c r="AU393" s="1043"/>
      <c r="AW393" s="1044"/>
      <c r="AX393" s="1044"/>
      <c r="AY393" s="1044"/>
      <c r="AZ393" s="1044"/>
    </row>
    <row r="394" spans="2:52" s="1025" customFormat="1">
      <c r="B394" s="824"/>
      <c r="C394" s="824"/>
      <c r="D394" s="823"/>
      <c r="E394" s="823"/>
      <c r="F394" s="823"/>
      <c r="G394" s="823"/>
      <c r="H394" s="823"/>
      <c r="I394" s="823"/>
      <c r="J394" s="823"/>
      <c r="K394" s="823"/>
      <c r="L394" s="823"/>
      <c r="M394" s="823"/>
      <c r="N394" s="823"/>
      <c r="O394" s="823"/>
      <c r="P394" s="823"/>
      <c r="Q394" s="823"/>
      <c r="R394" s="823"/>
      <c r="S394" s="823"/>
      <c r="T394" s="823"/>
      <c r="U394" s="823"/>
      <c r="V394" s="824"/>
      <c r="Z394" s="1039"/>
      <c r="AB394" s="826"/>
      <c r="AC394" s="1040"/>
      <c r="AD394" s="1041"/>
      <c r="AF394" s="1041"/>
      <c r="AH394" s="846"/>
      <c r="AJ394" s="1041"/>
      <c r="AK394" s="1041"/>
      <c r="AM394" s="1041"/>
      <c r="AO394" s="1041"/>
      <c r="AP394" s="1042"/>
      <c r="AQ394" s="1040"/>
      <c r="AR394" s="1040"/>
      <c r="AU394" s="1043"/>
      <c r="AW394" s="1044"/>
      <c r="AX394" s="1044"/>
      <c r="AY394" s="1044"/>
      <c r="AZ394" s="1044"/>
    </row>
    <row r="395" spans="2:52" s="1025" customFormat="1">
      <c r="B395" s="824"/>
      <c r="C395" s="824"/>
      <c r="D395" s="823"/>
      <c r="E395" s="823"/>
      <c r="F395" s="823"/>
      <c r="G395" s="823"/>
      <c r="H395" s="823"/>
      <c r="I395" s="823"/>
      <c r="J395" s="823"/>
      <c r="K395" s="823"/>
      <c r="L395" s="823"/>
      <c r="M395" s="823"/>
      <c r="N395" s="823"/>
      <c r="O395" s="823"/>
      <c r="P395" s="823"/>
      <c r="Q395" s="823"/>
      <c r="R395" s="823"/>
      <c r="S395" s="823"/>
      <c r="T395" s="823"/>
      <c r="U395" s="823"/>
      <c r="V395" s="824"/>
      <c r="Z395" s="1039"/>
      <c r="AB395" s="826"/>
      <c r="AC395" s="1040"/>
      <c r="AD395" s="1041"/>
      <c r="AF395" s="1041"/>
      <c r="AH395" s="846"/>
      <c r="AJ395" s="1041"/>
      <c r="AK395" s="1041"/>
      <c r="AM395" s="1041"/>
      <c r="AO395" s="1041"/>
      <c r="AP395" s="1042"/>
      <c r="AQ395" s="1040"/>
      <c r="AR395" s="1040"/>
      <c r="AU395" s="1043"/>
      <c r="AW395" s="1044"/>
      <c r="AX395" s="1044"/>
      <c r="AY395" s="1044"/>
      <c r="AZ395" s="1044"/>
    </row>
    <row r="396" spans="2:52" s="1025" customFormat="1">
      <c r="B396" s="824"/>
      <c r="C396" s="824"/>
      <c r="D396" s="823"/>
      <c r="E396" s="823"/>
      <c r="F396" s="823"/>
      <c r="G396" s="823"/>
      <c r="H396" s="823"/>
      <c r="I396" s="823"/>
      <c r="J396" s="823"/>
      <c r="K396" s="823"/>
      <c r="L396" s="823"/>
      <c r="M396" s="823"/>
      <c r="N396" s="823"/>
      <c r="O396" s="823"/>
      <c r="P396" s="823"/>
      <c r="Q396" s="823"/>
      <c r="R396" s="823"/>
      <c r="S396" s="823"/>
      <c r="T396" s="823"/>
      <c r="U396" s="823"/>
      <c r="V396" s="824"/>
      <c r="Z396" s="1039"/>
      <c r="AB396" s="826"/>
      <c r="AC396" s="1040"/>
      <c r="AD396" s="1041"/>
      <c r="AF396" s="1041"/>
      <c r="AH396" s="846"/>
      <c r="AJ396" s="1041"/>
      <c r="AK396" s="1041"/>
      <c r="AM396" s="1041"/>
      <c r="AO396" s="1041"/>
      <c r="AP396" s="1042"/>
      <c r="AQ396" s="1040"/>
      <c r="AR396" s="1040"/>
      <c r="AU396" s="1043"/>
      <c r="AW396" s="1044"/>
      <c r="AX396" s="1044"/>
      <c r="AY396" s="1044"/>
      <c r="AZ396" s="1044"/>
    </row>
    <row r="397" spans="2:52" s="1025" customFormat="1">
      <c r="B397" s="824"/>
      <c r="C397" s="824"/>
      <c r="D397" s="823"/>
      <c r="E397" s="823"/>
      <c r="F397" s="823"/>
      <c r="G397" s="823"/>
      <c r="H397" s="823"/>
      <c r="I397" s="823"/>
      <c r="J397" s="823"/>
      <c r="K397" s="823"/>
      <c r="L397" s="823"/>
      <c r="M397" s="823"/>
      <c r="N397" s="823"/>
      <c r="O397" s="823"/>
      <c r="P397" s="823"/>
      <c r="Q397" s="823"/>
      <c r="R397" s="823"/>
      <c r="S397" s="823"/>
      <c r="T397" s="823"/>
      <c r="U397" s="823"/>
      <c r="V397" s="824"/>
      <c r="Z397" s="1039"/>
      <c r="AB397" s="826"/>
      <c r="AC397" s="1040"/>
      <c r="AD397" s="1041"/>
      <c r="AF397" s="1041"/>
      <c r="AH397" s="846"/>
      <c r="AJ397" s="1041"/>
      <c r="AK397" s="1041"/>
      <c r="AM397" s="1041"/>
      <c r="AO397" s="1041"/>
      <c r="AP397" s="1042"/>
      <c r="AQ397" s="1040"/>
      <c r="AR397" s="1040"/>
      <c r="AU397" s="1043"/>
      <c r="AW397" s="1044"/>
      <c r="AX397" s="1044"/>
      <c r="AY397" s="1044"/>
      <c r="AZ397" s="1044"/>
    </row>
    <row r="398" spans="2:52" s="1025" customFormat="1">
      <c r="B398" s="824"/>
      <c r="C398" s="824"/>
      <c r="D398" s="823"/>
      <c r="E398" s="823"/>
      <c r="F398" s="823"/>
      <c r="G398" s="823"/>
      <c r="H398" s="823"/>
      <c r="I398" s="823"/>
      <c r="J398" s="823"/>
      <c r="K398" s="823"/>
      <c r="L398" s="823"/>
      <c r="M398" s="823"/>
      <c r="N398" s="823"/>
      <c r="O398" s="823"/>
      <c r="P398" s="823"/>
      <c r="Q398" s="823"/>
      <c r="R398" s="823"/>
      <c r="S398" s="823"/>
      <c r="T398" s="823"/>
      <c r="U398" s="823"/>
      <c r="V398" s="824"/>
      <c r="Z398" s="1039"/>
      <c r="AB398" s="826"/>
      <c r="AC398" s="1040"/>
      <c r="AD398" s="1041"/>
      <c r="AF398" s="1041"/>
      <c r="AH398" s="846"/>
      <c r="AJ398" s="1041"/>
      <c r="AK398" s="1041"/>
      <c r="AM398" s="1041"/>
      <c r="AO398" s="1041"/>
      <c r="AP398" s="1042"/>
      <c r="AQ398" s="1040"/>
      <c r="AR398" s="1040"/>
      <c r="AU398" s="1043"/>
      <c r="AW398" s="1044"/>
      <c r="AX398" s="1044"/>
      <c r="AY398" s="1044"/>
      <c r="AZ398" s="1044"/>
    </row>
    <row r="399" spans="2:52" s="1025" customFormat="1">
      <c r="B399" s="824"/>
      <c r="C399" s="824"/>
      <c r="D399" s="823"/>
      <c r="E399" s="823"/>
      <c r="F399" s="823"/>
      <c r="G399" s="823"/>
      <c r="H399" s="823"/>
      <c r="I399" s="823"/>
      <c r="J399" s="823"/>
      <c r="K399" s="823"/>
      <c r="L399" s="823"/>
      <c r="M399" s="823"/>
      <c r="N399" s="823"/>
      <c r="O399" s="823"/>
      <c r="P399" s="823"/>
      <c r="Q399" s="823"/>
      <c r="R399" s="823"/>
      <c r="S399" s="823"/>
      <c r="T399" s="823"/>
      <c r="U399" s="823"/>
      <c r="V399" s="824"/>
      <c r="Z399" s="1039"/>
      <c r="AB399" s="826"/>
      <c r="AC399" s="1040"/>
      <c r="AD399" s="1041"/>
      <c r="AF399" s="1041"/>
      <c r="AH399" s="846"/>
      <c r="AJ399" s="1041"/>
      <c r="AK399" s="1041"/>
      <c r="AM399" s="1041"/>
      <c r="AO399" s="1041"/>
      <c r="AP399" s="1042"/>
      <c r="AQ399" s="1040"/>
      <c r="AR399" s="1040"/>
      <c r="AU399" s="1043"/>
      <c r="AW399" s="1044"/>
      <c r="AX399" s="1044"/>
      <c r="AY399" s="1044"/>
      <c r="AZ399" s="1044"/>
    </row>
    <row r="400" spans="2:52" s="1025" customFormat="1">
      <c r="B400" s="824"/>
      <c r="C400" s="824"/>
      <c r="D400" s="823"/>
      <c r="E400" s="823"/>
      <c r="F400" s="823"/>
      <c r="G400" s="823"/>
      <c r="H400" s="823"/>
      <c r="I400" s="823"/>
      <c r="J400" s="823"/>
      <c r="K400" s="823"/>
      <c r="L400" s="823"/>
      <c r="M400" s="823"/>
      <c r="N400" s="823"/>
      <c r="O400" s="823"/>
      <c r="P400" s="823"/>
      <c r="Q400" s="823"/>
      <c r="R400" s="823"/>
      <c r="S400" s="823"/>
      <c r="T400" s="823"/>
      <c r="U400" s="823"/>
      <c r="V400" s="824"/>
      <c r="Z400" s="1039"/>
      <c r="AB400" s="826"/>
      <c r="AC400" s="1040"/>
      <c r="AD400" s="1041"/>
      <c r="AF400" s="1041"/>
      <c r="AH400" s="846"/>
      <c r="AJ400" s="1041"/>
      <c r="AK400" s="1041"/>
      <c r="AM400" s="1041"/>
      <c r="AO400" s="1041"/>
      <c r="AP400" s="1042"/>
      <c r="AQ400" s="1040"/>
      <c r="AR400" s="1040"/>
      <c r="AU400" s="1043"/>
      <c r="AW400" s="1044"/>
      <c r="AX400" s="1044"/>
      <c r="AY400" s="1044"/>
      <c r="AZ400" s="1044"/>
    </row>
    <row r="401" spans="2:52" s="1025" customFormat="1">
      <c r="B401" s="824"/>
      <c r="C401" s="824"/>
      <c r="D401" s="823"/>
      <c r="E401" s="823"/>
      <c r="F401" s="823"/>
      <c r="G401" s="823"/>
      <c r="H401" s="823"/>
      <c r="I401" s="823"/>
      <c r="J401" s="823"/>
      <c r="K401" s="823"/>
      <c r="L401" s="823"/>
      <c r="M401" s="823"/>
      <c r="N401" s="823"/>
      <c r="O401" s="823"/>
      <c r="P401" s="823"/>
      <c r="Q401" s="823"/>
      <c r="R401" s="823"/>
      <c r="S401" s="823"/>
      <c r="T401" s="823"/>
      <c r="U401" s="823"/>
      <c r="V401" s="824"/>
      <c r="Z401" s="1039"/>
      <c r="AB401" s="826"/>
      <c r="AC401" s="1040"/>
      <c r="AD401" s="1041"/>
      <c r="AF401" s="1041"/>
      <c r="AH401" s="846"/>
      <c r="AJ401" s="1041"/>
      <c r="AK401" s="1041"/>
      <c r="AM401" s="1041"/>
      <c r="AO401" s="1041"/>
      <c r="AP401" s="1042"/>
      <c r="AQ401" s="1040"/>
      <c r="AR401" s="1040"/>
      <c r="AU401" s="1043"/>
      <c r="AW401" s="1044"/>
      <c r="AX401" s="1044"/>
      <c r="AY401" s="1044"/>
      <c r="AZ401" s="1044"/>
    </row>
    <row r="402" spans="2:52" s="1025" customFormat="1">
      <c r="B402" s="824"/>
      <c r="C402" s="824"/>
      <c r="D402" s="823"/>
      <c r="E402" s="823"/>
      <c r="F402" s="823"/>
      <c r="G402" s="823"/>
      <c r="H402" s="823"/>
      <c r="I402" s="823"/>
      <c r="J402" s="823"/>
      <c r="K402" s="823"/>
      <c r="L402" s="823"/>
      <c r="M402" s="823"/>
      <c r="N402" s="823"/>
      <c r="O402" s="823"/>
      <c r="P402" s="823"/>
      <c r="Q402" s="823"/>
      <c r="R402" s="823"/>
      <c r="S402" s="823"/>
      <c r="T402" s="823"/>
      <c r="U402" s="823"/>
      <c r="V402" s="824"/>
      <c r="Z402" s="1039"/>
      <c r="AB402" s="826"/>
      <c r="AC402" s="1040"/>
      <c r="AD402" s="1041"/>
      <c r="AF402" s="1041"/>
      <c r="AH402" s="846"/>
      <c r="AJ402" s="1041"/>
      <c r="AK402" s="1041"/>
      <c r="AM402" s="1041"/>
      <c r="AO402" s="1041"/>
      <c r="AP402" s="1042"/>
      <c r="AQ402" s="1040"/>
      <c r="AR402" s="1040"/>
      <c r="AU402" s="1043"/>
      <c r="AW402" s="1044"/>
      <c r="AX402" s="1044"/>
      <c r="AY402" s="1044"/>
      <c r="AZ402" s="1044"/>
    </row>
    <row r="403" spans="2:52" s="1025" customFormat="1">
      <c r="B403" s="824"/>
      <c r="C403" s="824"/>
      <c r="D403" s="823"/>
      <c r="E403" s="823"/>
      <c r="F403" s="823"/>
      <c r="G403" s="823"/>
      <c r="H403" s="823"/>
      <c r="I403" s="823"/>
      <c r="J403" s="823"/>
      <c r="K403" s="823"/>
      <c r="L403" s="823"/>
      <c r="M403" s="823"/>
      <c r="N403" s="823"/>
      <c r="O403" s="823"/>
      <c r="P403" s="823"/>
      <c r="Q403" s="823"/>
      <c r="R403" s="823"/>
      <c r="S403" s="823"/>
      <c r="T403" s="823"/>
      <c r="U403" s="823"/>
      <c r="V403" s="824"/>
      <c r="Z403" s="1039"/>
      <c r="AB403" s="826"/>
      <c r="AC403" s="1040"/>
      <c r="AD403" s="1041"/>
      <c r="AF403" s="1041"/>
      <c r="AH403" s="846"/>
      <c r="AJ403" s="1041"/>
      <c r="AK403" s="1041"/>
      <c r="AM403" s="1041"/>
      <c r="AO403" s="1041"/>
      <c r="AP403" s="1042"/>
      <c r="AQ403" s="1040"/>
      <c r="AR403" s="1040"/>
      <c r="AU403" s="1043"/>
      <c r="AW403" s="1044"/>
      <c r="AX403" s="1044"/>
      <c r="AY403" s="1044"/>
      <c r="AZ403" s="1044"/>
    </row>
    <row r="404" spans="2:52" s="1025" customFormat="1">
      <c r="B404" s="824"/>
      <c r="C404" s="824"/>
      <c r="D404" s="823"/>
      <c r="E404" s="823"/>
      <c r="F404" s="823"/>
      <c r="G404" s="823"/>
      <c r="H404" s="823"/>
      <c r="I404" s="823"/>
      <c r="J404" s="823"/>
      <c r="K404" s="823"/>
      <c r="L404" s="823"/>
      <c r="M404" s="823"/>
      <c r="N404" s="823"/>
      <c r="O404" s="823"/>
      <c r="P404" s="823"/>
      <c r="Q404" s="823"/>
      <c r="R404" s="823"/>
      <c r="S404" s="823"/>
      <c r="T404" s="823"/>
      <c r="U404" s="823"/>
      <c r="V404" s="824"/>
      <c r="Z404" s="1039"/>
      <c r="AB404" s="826"/>
      <c r="AC404" s="1040"/>
      <c r="AD404" s="1041"/>
      <c r="AF404" s="1041"/>
      <c r="AH404" s="846"/>
      <c r="AJ404" s="1041"/>
      <c r="AK404" s="1041"/>
      <c r="AM404" s="1041"/>
      <c r="AO404" s="1041"/>
      <c r="AP404" s="1042"/>
      <c r="AQ404" s="1040"/>
      <c r="AR404" s="1040"/>
      <c r="AU404" s="1043"/>
      <c r="AW404" s="1044"/>
      <c r="AX404" s="1044"/>
      <c r="AY404" s="1044"/>
      <c r="AZ404" s="1044"/>
    </row>
    <row r="405" spans="2:52" s="1025" customFormat="1">
      <c r="B405" s="824"/>
      <c r="C405" s="824"/>
      <c r="D405" s="823"/>
      <c r="E405" s="823"/>
      <c r="F405" s="823"/>
      <c r="G405" s="823"/>
      <c r="H405" s="823"/>
      <c r="I405" s="823"/>
      <c r="J405" s="823"/>
      <c r="K405" s="823"/>
      <c r="L405" s="823"/>
      <c r="M405" s="823"/>
      <c r="N405" s="823"/>
      <c r="O405" s="823"/>
      <c r="P405" s="823"/>
      <c r="Q405" s="823"/>
      <c r="R405" s="823"/>
      <c r="S405" s="823"/>
      <c r="T405" s="823"/>
      <c r="U405" s="823"/>
      <c r="V405" s="824"/>
      <c r="Z405" s="1039"/>
      <c r="AB405" s="826"/>
      <c r="AC405" s="1040"/>
      <c r="AD405" s="1041"/>
      <c r="AF405" s="1041"/>
      <c r="AH405" s="846"/>
      <c r="AJ405" s="1041"/>
      <c r="AK405" s="1041"/>
      <c r="AM405" s="1041"/>
      <c r="AO405" s="1041"/>
      <c r="AP405" s="1042"/>
      <c r="AQ405" s="1040"/>
      <c r="AR405" s="1040"/>
      <c r="AU405" s="1043"/>
      <c r="AW405" s="1044"/>
      <c r="AX405" s="1044"/>
      <c r="AY405" s="1044"/>
      <c r="AZ405" s="1044"/>
    </row>
    <row r="406" spans="2:52" s="1025" customFormat="1">
      <c r="B406" s="824"/>
      <c r="C406" s="824"/>
      <c r="D406" s="823"/>
      <c r="E406" s="823"/>
      <c r="F406" s="823"/>
      <c r="G406" s="823"/>
      <c r="H406" s="823"/>
      <c r="I406" s="823"/>
      <c r="J406" s="823"/>
      <c r="K406" s="823"/>
      <c r="L406" s="823"/>
      <c r="M406" s="823"/>
      <c r="N406" s="823"/>
      <c r="O406" s="823"/>
      <c r="P406" s="823"/>
      <c r="Q406" s="823"/>
      <c r="R406" s="823"/>
      <c r="S406" s="823"/>
      <c r="T406" s="823"/>
      <c r="U406" s="823"/>
      <c r="V406" s="824"/>
      <c r="Z406" s="1039"/>
      <c r="AB406" s="826"/>
      <c r="AC406" s="1040"/>
      <c r="AD406" s="1041"/>
      <c r="AF406" s="1041"/>
      <c r="AH406" s="846"/>
      <c r="AJ406" s="1041"/>
      <c r="AK406" s="1041"/>
      <c r="AM406" s="1041"/>
      <c r="AO406" s="1041"/>
      <c r="AP406" s="1042"/>
      <c r="AQ406" s="1040"/>
      <c r="AR406" s="1040"/>
      <c r="AU406" s="1043"/>
      <c r="AW406" s="1044"/>
      <c r="AX406" s="1044"/>
      <c r="AY406" s="1044"/>
      <c r="AZ406" s="1044"/>
    </row>
    <row r="407" spans="2:52" s="1025" customFormat="1">
      <c r="B407" s="824"/>
      <c r="C407" s="824"/>
      <c r="D407" s="823"/>
      <c r="E407" s="823"/>
      <c r="F407" s="823"/>
      <c r="G407" s="823"/>
      <c r="H407" s="823"/>
      <c r="I407" s="823"/>
      <c r="J407" s="823"/>
      <c r="K407" s="823"/>
      <c r="L407" s="823"/>
      <c r="M407" s="823"/>
      <c r="N407" s="823"/>
      <c r="O407" s="823"/>
      <c r="P407" s="823"/>
      <c r="Q407" s="823"/>
      <c r="R407" s="823"/>
      <c r="S407" s="823"/>
      <c r="T407" s="823"/>
      <c r="U407" s="823"/>
      <c r="V407" s="824"/>
      <c r="Z407" s="1039"/>
      <c r="AB407" s="826"/>
      <c r="AC407" s="1040"/>
      <c r="AD407" s="1041"/>
      <c r="AF407" s="1041"/>
      <c r="AH407" s="846"/>
      <c r="AJ407" s="1041"/>
      <c r="AK407" s="1041"/>
      <c r="AM407" s="1041"/>
      <c r="AO407" s="1041"/>
      <c r="AP407" s="1042"/>
      <c r="AQ407" s="1040"/>
      <c r="AR407" s="1040"/>
      <c r="AU407" s="1043"/>
      <c r="AW407" s="1044"/>
      <c r="AX407" s="1044"/>
      <c r="AY407" s="1044"/>
      <c r="AZ407" s="1044"/>
    </row>
    <row r="408" spans="2:52" s="1025" customFormat="1">
      <c r="B408" s="824"/>
      <c r="C408" s="824"/>
      <c r="D408" s="823"/>
      <c r="E408" s="823"/>
      <c r="F408" s="823"/>
      <c r="G408" s="823"/>
      <c r="H408" s="823"/>
      <c r="I408" s="823"/>
      <c r="J408" s="823"/>
      <c r="K408" s="823"/>
      <c r="L408" s="823"/>
      <c r="M408" s="823"/>
      <c r="N408" s="823"/>
      <c r="O408" s="823"/>
      <c r="P408" s="823"/>
      <c r="Q408" s="823"/>
      <c r="R408" s="823"/>
      <c r="S408" s="823"/>
      <c r="T408" s="823"/>
      <c r="U408" s="823"/>
      <c r="V408" s="824"/>
      <c r="Z408" s="1039"/>
      <c r="AB408" s="826"/>
      <c r="AC408" s="1040"/>
      <c r="AD408" s="1041"/>
      <c r="AF408" s="1041"/>
      <c r="AH408" s="846"/>
      <c r="AJ408" s="1041"/>
      <c r="AK408" s="1041"/>
      <c r="AM408" s="1041"/>
      <c r="AO408" s="1041"/>
      <c r="AP408" s="1042"/>
      <c r="AQ408" s="1040"/>
      <c r="AR408" s="1040"/>
      <c r="AU408" s="1043"/>
      <c r="AW408" s="1044"/>
      <c r="AX408" s="1044"/>
      <c r="AY408" s="1044"/>
      <c r="AZ408" s="1044"/>
    </row>
    <row r="409" spans="2:52" s="1025" customFormat="1">
      <c r="B409" s="824"/>
      <c r="C409" s="824"/>
      <c r="D409" s="823"/>
      <c r="E409" s="823"/>
      <c r="F409" s="823"/>
      <c r="G409" s="823"/>
      <c r="H409" s="823"/>
      <c r="I409" s="823"/>
      <c r="J409" s="823"/>
      <c r="K409" s="823"/>
      <c r="L409" s="823"/>
      <c r="M409" s="823"/>
      <c r="N409" s="823"/>
      <c r="O409" s="823"/>
      <c r="P409" s="823"/>
      <c r="Q409" s="823"/>
      <c r="R409" s="823"/>
      <c r="S409" s="823"/>
      <c r="T409" s="823"/>
      <c r="U409" s="823"/>
      <c r="V409" s="824"/>
      <c r="Z409" s="1039"/>
      <c r="AB409" s="826"/>
      <c r="AC409" s="1040"/>
      <c r="AD409" s="1041"/>
      <c r="AF409" s="1041"/>
      <c r="AH409" s="846"/>
      <c r="AJ409" s="1041"/>
      <c r="AK409" s="1041"/>
      <c r="AM409" s="1041"/>
      <c r="AO409" s="1041"/>
      <c r="AP409" s="1042"/>
      <c r="AQ409" s="1040"/>
      <c r="AR409" s="1040"/>
      <c r="AU409" s="1043"/>
      <c r="AW409" s="1044"/>
      <c r="AX409" s="1044"/>
      <c r="AY409" s="1044"/>
      <c r="AZ409" s="1044"/>
    </row>
    <row r="410" spans="2:52" s="1025" customFormat="1">
      <c r="B410" s="824"/>
      <c r="C410" s="824"/>
      <c r="D410" s="823"/>
      <c r="E410" s="823"/>
      <c r="F410" s="823"/>
      <c r="G410" s="823"/>
      <c r="H410" s="823"/>
      <c r="I410" s="823"/>
      <c r="J410" s="823"/>
      <c r="K410" s="823"/>
      <c r="L410" s="823"/>
      <c r="M410" s="823"/>
      <c r="N410" s="823"/>
      <c r="O410" s="823"/>
      <c r="P410" s="823"/>
      <c r="Q410" s="823"/>
      <c r="R410" s="823"/>
      <c r="S410" s="823"/>
      <c r="T410" s="823"/>
      <c r="U410" s="823"/>
      <c r="V410" s="824"/>
      <c r="Z410" s="1039"/>
      <c r="AB410" s="826"/>
      <c r="AC410" s="1040"/>
      <c r="AD410" s="1041"/>
      <c r="AF410" s="1041"/>
      <c r="AH410" s="846"/>
      <c r="AJ410" s="1041"/>
      <c r="AK410" s="1041"/>
      <c r="AM410" s="1041"/>
      <c r="AO410" s="1041"/>
      <c r="AP410" s="1042"/>
      <c r="AQ410" s="1040"/>
      <c r="AR410" s="1040"/>
      <c r="AU410" s="1043"/>
      <c r="AW410" s="1044"/>
      <c r="AX410" s="1044"/>
      <c r="AY410" s="1044"/>
      <c r="AZ410" s="1044"/>
    </row>
    <row r="411" spans="2:52" s="1025" customFormat="1">
      <c r="B411" s="824"/>
      <c r="C411" s="824"/>
      <c r="D411" s="823"/>
      <c r="E411" s="823"/>
      <c r="F411" s="823"/>
      <c r="G411" s="823"/>
      <c r="H411" s="823"/>
      <c r="I411" s="823"/>
      <c r="J411" s="823"/>
      <c r="K411" s="823"/>
      <c r="L411" s="823"/>
      <c r="M411" s="823"/>
      <c r="N411" s="823"/>
      <c r="O411" s="823"/>
      <c r="P411" s="823"/>
      <c r="Q411" s="823"/>
      <c r="R411" s="823"/>
      <c r="S411" s="823"/>
      <c r="T411" s="823"/>
      <c r="U411" s="823"/>
      <c r="V411" s="824"/>
      <c r="Z411" s="1039"/>
      <c r="AB411" s="826"/>
      <c r="AC411" s="1040"/>
      <c r="AD411" s="1041"/>
      <c r="AF411" s="1041"/>
      <c r="AH411" s="846"/>
      <c r="AJ411" s="1041"/>
      <c r="AK411" s="1041"/>
      <c r="AM411" s="1041"/>
      <c r="AO411" s="1041"/>
      <c r="AP411" s="1042"/>
      <c r="AQ411" s="1040"/>
      <c r="AR411" s="1040"/>
      <c r="AU411" s="1043"/>
      <c r="AW411" s="1044"/>
      <c r="AX411" s="1044"/>
      <c r="AY411" s="1044"/>
      <c r="AZ411" s="1044"/>
    </row>
    <row r="412" spans="2:52" s="1025" customFormat="1">
      <c r="B412" s="824"/>
      <c r="C412" s="824"/>
      <c r="D412" s="823"/>
      <c r="E412" s="823"/>
      <c r="F412" s="823"/>
      <c r="G412" s="823"/>
      <c r="H412" s="823"/>
      <c r="I412" s="823"/>
      <c r="J412" s="823"/>
      <c r="K412" s="823"/>
      <c r="L412" s="823"/>
      <c r="M412" s="823"/>
      <c r="N412" s="823"/>
      <c r="O412" s="823"/>
      <c r="P412" s="823"/>
      <c r="Q412" s="823"/>
      <c r="R412" s="823"/>
      <c r="S412" s="823"/>
      <c r="T412" s="823"/>
      <c r="U412" s="823"/>
      <c r="V412" s="824"/>
      <c r="Z412" s="1039"/>
      <c r="AB412" s="826"/>
      <c r="AC412" s="1040"/>
      <c r="AD412" s="1041"/>
      <c r="AF412" s="1041"/>
      <c r="AH412" s="846"/>
      <c r="AJ412" s="1041"/>
      <c r="AK412" s="1041"/>
      <c r="AM412" s="1041"/>
      <c r="AO412" s="1041"/>
      <c r="AP412" s="1042"/>
      <c r="AQ412" s="1040"/>
      <c r="AR412" s="1040"/>
      <c r="AU412" s="1043"/>
      <c r="AW412" s="1044"/>
      <c r="AX412" s="1044"/>
      <c r="AY412" s="1044"/>
      <c r="AZ412" s="1044"/>
    </row>
    <row r="413" spans="2:52" s="1025" customFormat="1">
      <c r="B413" s="824"/>
      <c r="C413" s="824"/>
      <c r="D413" s="823"/>
      <c r="E413" s="823"/>
      <c r="F413" s="823"/>
      <c r="G413" s="823"/>
      <c r="H413" s="823"/>
      <c r="I413" s="823"/>
      <c r="J413" s="823"/>
      <c r="K413" s="823"/>
      <c r="L413" s="823"/>
      <c r="M413" s="823"/>
      <c r="N413" s="823"/>
      <c r="O413" s="823"/>
      <c r="P413" s="823"/>
      <c r="Q413" s="823"/>
      <c r="R413" s="823"/>
      <c r="S413" s="823"/>
      <c r="T413" s="823"/>
      <c r="U413" s="823"/>
      <c r="V413" s="824"/>
      <c r="Z413" s="1039"/>
      <c r="AB413" s="826"/>
      <c r="AC413" s="1040"/>
      <c r="AD413" s="1041"/>
      <c r="AF413" s="1041"/>
      <c r="AH413" s="846"/>
      <c r="AJ413" s="1041"/>
      <c r="AK413" s="1041"/>
      <c r="AM413" s="1041"/>
      <c r="AO413" s="1041"/>
      <c r="AP413" s="1042"/>
      <c r="AQ413" s="1040"/>
      <c r="AR413" s="1040"/>
      <c r="AU413" s="1043"/>
      <c r="AW413" s="1044"/>
      <c r="AX413" s="1044"/>
      <c r="AY413" s="1044"/>
      <c r="AZ413" s="1044"/>
    </row>
    <row r="414" spans="2:52" s="1025" customFormat="1">
      <c r="B414" s="824"/>
      <c r="C414" s="824"/>
      <c r="D414" s="823"/>
      <c r="E414" s="823"/>
      <c r="F414" s="823"/>
      <c r="G414" s="823"/>
      <c r="H414" s="823"/>
      <c r="I414" s="823"/>
      <c r="J414" s="823"/>
      <c r="K414" s="823"/>
      <c r="L414" s="823"/>
      <c r="M414" s="823"/>
      <c r="N414" s="823"/>
      <c r="O414" s="823"/>
      <c r="P414" s="823"/>
      <c r="Q414" s="823"/>
      <c r="R414" s="823"/>
      <c r="S414" s="823"/>
      <c r="T414" s="823"/>
      <c r="U414" s="823"/>
      <c r="V414" s="824"/>
      <c r="Z414" s="1039"/>
      <c r="AB414" s="826"/>
      <c r="AC414" s="1040"/>
      <c r="AD414" s="1041"/>
      <c r="AF414" s="1041"/>
      <c r="AH414" s="846"/>
      <c r="AJ414" s="1041"/>
      <c r="AK414" s="1041"/>
      <c r="AM414" s="1041"/>
      <c r="AO414" s="1041"/>
      <c r="AP414" s="1042"/>
      <c r="AQ414" s="1040"/>
      <c r="AR414" s="1040"/>
      <c r="AU414" s="1043"/>
      <c r="AW414" s="1044"/>
      <c r="AX414" s="1044"/>
      <c r="AY414" s="1044"/>
      <c r="AZ414" s="1044"/>
    </row>
    <row r="415" spans="2:52" s="1025" customFormat="1">
      <c r="B415" s="824"/>
      <c r="C415" s="824"/>
      <c r="D415" s="823"/>
      <c r="E415" s="823"/>
      <c r="F415" s="823"/>
      <c r="G415" s="823"/>
      <c r="H415" s="823"/>
      <c r="I415" s="823"/>
      <c r="J415" s="823"/>
      <c r="K415" s="823"/>
      <c r="L415" s="823"/>
      <c r="M415" s="823"/>
      <c r="N415" s="823"/>
      <c r="O415" s="823"/>
      <c r="P415" s="823"/>
      <c r="Q415" s="823"/>
      <c r="R415" s="823"/>
      <c r="S415" s="823"/>
      <c r="T415" s="823"/>
      <c r="U415" s="823"/>
      <c r="V415" s="824"/>
      <c r="Z415" s="1039"/>
      <c r="AB415" s="826"/>
      <c r="AC415" s="1040"/>
      <c r="AD415" s="1041"/>
      <c r="AF415" s="1041"/>
      <c r="AH415" s="846"/>
      <c r="AJ415" s="1041"/>
      <c r="AK415" s="1041"/>
      <c r="AM415" s="1041"/>
      <c r="AO415" s="1041"/>
      <c r="AP415" s="1042"/>
      <c r="AQ415" s="1040"/>
      <c r="AR415" s="1040"/>
      <c r="AU415" s="1043"/>
      <c r="AW415" s="1044"/>
      <c r="AX415" s="1044"/>
      <c r="AY415" s="1044"/>
      <c r="AZ415" s="1044"/>
    </row>
    <row r="416" spans="2:52" s="1025" customFormat="1">
      <c r="B416" s="824"/>
      <c r="C416" s="824"/>
      <c r="D416" s="823"/>
      <c r="E416" s="823"/>
      <c r="F416" s="823"/>
      <c r="G416" s="823"/>
      <c r="H416" s="823"/>
      <c r="I416" s="823"/>
      <c r="J416" s="823"/>
      <c r="K416" s="823"/>
      <c r="L416" s="823"/>
      <c r="M416" s="823"/>
      <c r="N416" s="823"/>
      <c r="O416" s="823"/>
      <c r="P416" s="823"/>
      <c r="Q416" s="823"/>
      <c r="R416" s="823"/>
      <c r="S416" s="823"/>
      <c r="T416" s="823"/>
      <c r="U416" s="823"/>
      <c r="V416" s="824"/>
      <c r="Z416" s="1039"/>
      <c r="AB416" s="826"/>
      <c r="AC416" s="1040"/>
      <c r="AD416" s="1041"/>
      <c r="AF416" s="1041"/>
      <c r="AH416" s="846"/>
      <c r="AJ416" s="1041"/>
      <c r="AK416" s="1041"/>
      <c r="AM416" s="1041"/>
      <c r="AO416" s="1041"/>
      <c r="AP416" s="1042"/>
      <c r="AQ416" s="1040"/>
      <c r="AR416" s="1040"/>
      <c r="AU416" s="1043"/>
      <c r="AW416" s="1044"/>
      <c r="AX416" s="1044"/>
      <c r="AY416" s="1044"/>
      <c r="AZ416" s="1044"/>
    </row>
    <row r="417" spans="2:52" s="1025" customFormat="1">
      <c r="B417" s="824"/>
      <c r="C417" s="824"/>
      <c r="D417" s="823"/>
      <c r="E417" s="823"/>
      <c r="F417" s="823"/>
      <c r="G417" s="823"/>
      <c r="H417" s="823"/>
      <c r="I417" s="823"/>
      <c r="J417" s="823"/>
      <c r="K417" s="823"/>
      <c r="L417" s="823"/>
      <c r="M417" s="823"/>
      <c r="N417" s="823"/>
      <c r="O417" s="823"/>
      <c r="P417" s="823"/>
      <c r="Q417" s="823"/>
      <c r="R417" s="823"/>
      <c r="S417" s="823"/>
      <c r="T417" s="823"/>
      <c r="U417" s="823"/>
      <c r="V417" s="824"/>
      <c r="Z417" s="1039"/>
      <c r="AB417" s="826"/>
      <c r="AC417" s="1040"/>
      <c r="AD417" s="1041"/>
      <c r="AF417" s="1041"/>
      <c r="AH417" s="846"/>
      <c r="AJ417" s="1041"/>
      <c r="AK417" s="1041"/>
      <c r="AM417" s="1041"/>
      <c r="AO417" s="1041"/>
      <c r="AP417" s="1042"/>
      <c r="AQ417" s="1040"/>
      <c r="AR417" s="1040"/>
      <c r="AU417" s="1043"/>
      <c r="AW417" s="1044"/>
      <c r="AX417" s="1044"/>
      <c r="AY417" s="1044"/>
      <c r="AZ417" s="1044"/>
    </row>
    <row r="418" spans="2:52" s="1025" customFormat="1">
      <c r="B418" s="824"/>
      <c r="C418" s="824"/>
      <c r="D418" s="823"/>
      <c r="E418" s="823"/>
      <c r="F418" s="823"/>
      <c r="G418" s="823"/>
      <c r="H418" s="823"/>
      <c r="I418" s="823"/>
      <c r="J418" s="823"/>
      <c r="K418" s="823"/>
      <c r="L418" s="823"/>
      <c r="M418" s="823"/>
      <c r="N418" s="823"/>
      <c r="O418" s="823"/>
      <c r="P418" s="823"/>
      <c r="Q418" s="823"/>
      <c r="R418" s="823"/>
      <c r="S418" s="823"/>
      <c r="T418" s="823"/>
      <c r="U418" s="823"/>
      <c r="V418" s="824"/>
      <c r="Z418" s="1039"/>
      <c r="AB418" s="826"/>
      <c r="AC418" s="1040"/>
      <c r="AD418" s="1041"/>
      <c r="AF418" s="1041"/>
      <c r="AH418" s="846"/>
      <c r="AJ418" s="1041"/>
      <c r="AK418" s="1041"/>
      <c r="AM418" s="1041"/>
      <c r="AO418" s="1041"/>
      <c r="AP418" s="1042"/>
      <c r="AQ418" s="1040"/>
      <c r="AR418" s="1040"/>
      <c r="AU418" s="1043"/>
      <c r="AW418" s="1044"/>
      <c r="AX418" s="1044"/>
      <c r="AY418" s="1044"/>
      <c r="AZ418" s="1044"/>
    </row>
    <row r="419" spans="2:52" s="1025" customFormat="1">
      <c r="B419" s="824"/>
      <c r="C419" s="824"/>
      <c r="D419" s="823"/>
      <c r="E419" s="823"/>
      <c r="F419" s="823"/>
      <c r="G419" s="823"/>
      <c r="H419" s="823"/>
      <c r="I419" s="823"/>
      <c r="J419" s="823"/>
      <c r="K419" s="823"/>
      <c r="L419" s="823"/>
      <c r="M419" s="823"/>
      <c r="N419" s="823"/>
      <c r="O419" s="823"/>
      <c r="P419" s="823"/>
      <c r="Q419" s="823"/>
      <c r="R419" s="823"/>
      <c r="S419" s="823"/>
      <c r="T419" s="823"/>
      <c r="U419" s="823"/>
      <c r="V419" s="824"/>
      <c r="Z419" s="1039"/>
      <c r="AB419" s="826"/>
      <c r="AC419" s="1040"/>
      <c r="AD419" s="1041"/>
      <c r="AF419" s="1041"/>
      <c r="AH419" s="846"/>
      <c r="AJ419" s="1041"/>
      <c r="AK419" s="1041"/>
      <c r="AM419" s="1041"/>
      <c r="AO419" s="1041"/>
      <c r="AP419" s="1042"/>
      <c r="AQ419" s="1040"/>
      <c r="AR419" s="1040"/>
      <c r="AU419" s="1043"/>
      <c r="AW419" s="1044"/>
      <c r="AX419" s="1044"/>
      <c r="AY419" s="1044"/>
      <c r="AZ419" s="1044"/>
    </row>
    <row r="420" spans="2:52" s="1025" customFormat="1">
      <c r="B420" s="824"/>
      <c r="C420" s="824"/>
      <c r="D420" s="823"/>
      <c r="E420" s="823"/>
      <c r="F420" s="823"/>
      <c r="G420" s="823"/>
      <c r="H420" s="823"/>
      <c r="I420" s="823"/>
      <c r="J420" s="823"/>
      <c r="K420" s="823"/>
      <c r="L420" s="823"/>
      <c r="M420" s="823"/>
      <c r="N420" s="823"/>
      <c r="O420" s="823"/>
      <c r="P420" s="823"/>
      <c r="Q420" s="823"/>
      <c r="R420" s="823"/>
      <c r="S420" s="823"/>
      <c r="T420" s="823"/>
      <c r="U420" s="823"/>
      <c r="V420" s="824"/>
      <c r="Z420" s="1039"/>
      <c r="AB420" s="826"/>
      <c r="AC420" s="1040"/>
      <c r="AD420" s="1041"/>
      <c r="AF420" s="1041"/>
      <c r="AH420" s="846"/>
      <c r="AJ420" s="1041"/>
      <c r="AK420" s="1041"/>
      <c r="AM420" s="1041"/>
      <c r="AO420" s="1041"/>
      <c r="AP420" s="1042"/>
      <c r="AQ420" s="1040"/>
      <c r="AR420" s="1040"/>
      <c r="AU420" s="1043"/>
      <c r="AW420" s="1044"/>
      <c r="AX420" s="1044"/>
      <c r="AY420" s="1044"/>
      <c r="AZ420" s="1044"/>
    </row>
    <row r="421" spans="2:52" s="1025" customFormat="1">
      <c r="B421" s="824"/>
      <c r="C421" s="824"/>
      <c r="D421" s="823"/>
      <c r="E421" s="823"/>
      <c r="F421" s="823"/>
      <c r="G421" s="823"/>
      <c r="H421" s="823"/>
      <c r="I421" s="823"/>
      <c r="J421" s="823"/>
      <c r="K421" s="823"/>
      <c r="L421" s="823"/>
      <c r="M421" s="823"/>
      <c r="N421" s="823"/>
      <c r="O421" s="823"/>
      <c r="P421" s="823"/>
      <c r="Q421" s="823"/>
      <c r="R421" s="823"/>
      <c r="S421" s="823"/>
      <c r="T421" s="823"/>
      <c r="U421" s="823"/>
      <c r="V421" s="824"/>
      <c r="Z421" s="1039"/>
      <c r="AB421" s="826"/>
      <c r="AC421" s="1040"/>
      <c r="AD421" s="1041"/>
      <c r="AF421" s="1041"/>
      <c r="AH421" s="846"/>
      <c r="AJ421" s="1041"/>
      <c r="AK421" s="1041"/>
      <c r="AM421" s="1041"/>
      <c r="AO421" s="1041"/>
      <c r="AP421" s="1042"/>
      <c r="AQ421" s="1040"/>
      <c r="AR421" s="1040"/>
      <c r="AU421" s="1043"/>
      <c r="AW421" s="1044"/>
      <c r="AX421" s="1044"/>
      <c r="AY421" s="1044"/>
      <c r="AZ421" s="1044"/>
    </row>
    <row r="422" spans="2:52" s="1025" customFormat="1">
      <c r="B422" s="824"/>
      <c r="C422" s="824"/>
      <c r="D422" s="823"/>
      <c r="E422" s="823"/>
      <c r="F422" s="823"/>
      <c r="G422" s="823"/>
      <c r="H422" s="823"/>
      <c r="I422" s="823"/>
      <c r="J422" s="823"/>
      <c r="K422" s="823"/>
      <c r="L422" s="823"/>
      <c r="M422" s="823"/>
      <c r="N422" s="823"/>
      <c r="O422" s="823"/>
      <c r="P422" s="823"/>
      <c r="Q422" s="823"/>
      <c r="R422" s="823"/>
      <c r="S422" s="823"/>
      <c r="T422" s="823"/>
      <c r="U422" s="823"/>
      <c r="V422" s="824"/>
      <c r="Z422" s="1039"/>
      <c r="AB422" s="826"/>
      <c r="AC422" s="1040"/>
      <c r="AD422" s="1041"/>
      <c r="AF422" s="1041"/>
      <c r="AH422" s="846"/>
      <c r="AJ422" s="1041"/>
      <c r="AK422" s="1041"/>
      <c r="AM422" s="1041"/>
      <c r="AO422" s="1041"/>
      <c r="AP422" s="1042"/>
      <c r="AQ422" s="1040"/>
      <c r="AR422" s="1040"/>
      <c r="AU422" s="1043"/>
      <c r="AW422" s="1044"/>
      <c r="AX422" s="1044"/>
      <c r="AY422" s="1044"/>
      <c r="AZ422" s="1044"/>
    </row>
    <row r="423" spans="2:52" s="1025" customFormat="1">
      <c r="B423" s="824"/>
      <c r="C423" s="824"/>
      <c r="D423" s="823"/>
      <c r="E423" s="823"/>
      <c r="F423" s="823"/>
      <c r="G423" s="823"/>
      <c r="H423" s="823"/>
      <c r="I423" s="823"/>
      <c r="J423" s="823"/>
      <c r="K423" s="823"/>
      <c r="L423" s="823"/>
      <c r="M423" s="823"/>
      <c r="N423" s="823"/>
      <c r="O423" s="823"/>
      <c r="P423" s="823"/>
      <c r="Q423" s="823"/>
      <c r="R423" s="823"/>
      <c r="S423" s="823"/>
      <c r="T423" s="823"/>
      <c r="U423" s="823"/>
      <c r="V423" s="824"/>
      <c r="Z423" s="1039"/>
      <c r="AB423" s="826"/>
      <c r="AC423" s="1040"/>
      <c r="AD423" s="1041"/>
      <c r="AF423" s="1041"/>
      <c r="AH423" s="846"/>
      <c r="AJ423" s="1041"/>
      <c r="AK423" s="1041"/>
      <c r="AM423" s="1041"/>
      <c r="AO423" s="1041"/>
      <c r="AP423" s="1042"/>
      <c r="AQ423" s="1040"/>
      <c r="AR423" s="1040"/>
      <c r="AU423" s="1043"/>
      <c r="AW423" s="1044"/>
      <c r="AX423" s="1044"/>
      <c r="AY423" s="1044"/>
      <c r="AZ423" s="1044"/>
    </row>
    <row r="424" spans="2:52" s="1025" customFormat="1">
      <c r="B424" s="824"/>
      <c r="C424" s="824"/>
      <c r="D424" s="823"/>
      <c r="E424" s="823"/>
      <c r="F424" s="823"/>
      <c r="G424" s="823"/>
      <c r="H424" s="823"/>
      <c r="I424" s="823"/>
      <c r="J424" s="823"/>
      <c r="K424" s="823"/>
      <c r="L424" s="823"/>
      <c r="M424" s="823"/>
      <c r="N424" s="823"/>
      <c r="O424" s="823"/>
      <c r="P424" s="823"/>
      <c r="Q424" s="823"/>
      <c r="R424" s="823"/>
      <c r="S424" s="823"/>
      <c r="T424" s="823"/>
      <c r="U424" s="823"/>
      <c r="V424" s="824"/>
      <c r="Z424" s="1039"/>
      <c r="AB424" s="826"/>
      <c r="AC424" s="1040"/>
      <c r="AD424" s="1041"/>
      <c r="AF424" s="1041"/>
      <c r="AH424" s="846"/>
      <c r="AJ424" s="1041"/>
      <c r="AK424" s="1041"/>
      <c r="AM424" s="1041"/>
      <c r="AO424" s="1041"/>
      <c r="AP424" s="1042"/>
      <c r="AQ424" s="1040"/>
      <c r="AR424" s="1040"/>
      <c r="AU424" s="1043"/>
      <c r="AW424" s="1044"/>
      <c r="AX424" s="1044"/>
      <c r="AY424" s="1044"/>
      <c r="AZ424" s="1044"/>
    </row>
    <row r="425" spans="2:52" s="1025" customFormat="1">
      <c r="B425" s="824"/>
      <c r="C425" s="824"/>
      <c r="D425" s="823"/>
      <c r="E425" s="823"/>
      <c r="F425" s="823"/>
      <c r="G425" s="823"/>
      <c r="H425" s="823"/>
      <c r="I425" s="823"/>
      <c r="J425" s="823"/>
      <c r="K425" s="823"/>
      <c r="L425" s="823"/>
      <c r="M425" s="823"/>
      <c r="N425" s="823"/>
      <c r="O425" s="823"/>
      <c r="P425" s="823"/>
      <c r="Q425" s="823"/>
      <c r="R425" s="823"/>
      <c r="S425" s="823"/>
      <c r="T425" s="823"/>
      <c r="U425" s="823"/>
      <c r="V425" s="824"/>
      <c r="Z425" s="1039"/>
      <c r="AB425" s="826"/>
      <c r="AC425" s="1040"/>
      <c r="AD425" s="1041"/>
      <c r="AF425" s="1041"/>
      <c r="AH425" s="846"/>
      <c r="AJ425" s="1041"/>
      <c r="AK425" s="1041"/>
      <c r="AM425" s="1041"/>
      <c r="AO425" s="1041"/>
      <c r="AP425" s="1042"/>
      <c r="AQ425" s="1040"/>
      <c r="AR425" s="1040"/>
      <c r="AU425" s="1043"/>
      <c r="AW425" s="1044"/>
      <c r="AX425" s="1044"/>
      <c r="AY425" s="1044"/>
      <c r="AZ425" s="1044"/>
    </row>
    <row r="426" spans="2:52" s="1025" customFormat="1">
      <c r="B426" s="824"/>
      <c r="C426" s="824"/>
      <c r="D426" s="823"/>
      <c r="E426" s="823"/>
      <c r="F426" s="823"/>
      <c r="G426" s="823"/>
      <c r="H426" s="823"/>
      <c r="I426" s="823"/>
      <c r="J426" s="823"/>
      <c r="K426" s="823"/>
      <c r="L426" s="823"/>
      <c r="M426" s="823"/>
      <c r="N426" s="823"/>
      <c r="O426" s="823"/>
      <c r="P426" s="823"/>
      <c r="Q426" s="823"/>
      <c r="R426" s="823"/>
      <c r="S426" s="823"/>
      <c r="T426" s="823"/>
      <c r="U426" s="823"/>
      <c r="V426" s="824"/>
      <c r="Z426" s="1039"/>
      <c r="AB426" s="826"/>
      <c r="AC426" s="1040"/>
      <c r="AD426" s="1041"/>
      <c r="AF426" s="1041"/>
      <c r="AH426" s="846"/>
      <c r="AJ426" s="1041"/>
      <c r="AK426" s="1041"/>
      <c r="AM426" s="1041"/>
      <c r="AO426" s="1041"/>
      <c r="AP426" s="1042"/>
      <c r="AQ426" s="1040"/>
      <c r="AR426" s="1040"/>
      <c r="AU426" s="1043"/>
      <c r="AW426" s="1044"/>
      <c r="AX426" s="1044"/>
      <c r="AY426" s="1044"/>
      <c r="AZ426" s="1044"/>
    </row>
    <row r="427" spans="2:52" s="1025" customFormat="1">
      <c r="B427" s="824"/>
      <c r="C427" s="824"/>
      <c r="D427" s="823"/>
      <c r="E427" s="823"/>
      <c r="F427" s="823"/>
      <c r="G427" s="823"/>
      <c r="H427" s="823"/>
      <c r="I427" s="823"/>
      <c r="J427" s="823"/>
      <c r="K427" s="823"/>
      <c r="L427" s="823"/>
      <c r="M427" s="823"/>
      <c r="N427" s="823"/>
      <c r="O427" s="823"/>
      <c r="P427" s="823"/>
      <c r="Q427" s="823"/>
      <c r="R427" s="823"/>
      <c r="S427" s="823"/>
      <c r="T427" s="823"/>
      <c r="U427" s="823"/>
      <c r="V427" s="824"/>
      <c r="Z427" s="1039"/>
      <c r="AB427" s="826"/>
      <c r="AC427" s="1040"/>
      <c r="AD427" s="1041"/>
      <c r="AF427" s="1041"/>
      <c r="AH427" s="846"/>
      <c r="AJ427" s="1041"/>
      <c r="AK427" s="1041"/>
      <c r="AM427" s="1041"/>
      <c r="AO427" s="1041"/>
      <c r="AP427" s="1042"/>
      <c r="AQ427" s="1040"/>
      <c r="AR427" s="1040"/>
      <c r="AU427" s="1043"/>
      <c r="AW427" s="1044"/>
      <c r="AX427" s="1044"/>
      <c r="AY427" s="1044"/>
      <c r="AZ427" s="1044"/>
    </row>
    <row r="428" spans="2:52" s="1025" customFormat="1">
      <c r="B428" s="824"/>
      <c r="C428" s="824"/>
      <c r="D428" s="823"/>
      <c r="E428" s="823"/>
      <c r="F428" s="823"/>
      <c r="G428" s="823"/>
      <c r="H428" s="823"/>
      <c r="I428" s="823"/>
      <c r="J428" s="823"/>
      <c r="K428" s="823"/>
      <c r="L428" s="823"/>
      <c r="M428" s="823"/>
      <c r="N428" s="823"/>
      <c r="O428" s="823"/>
      <c r="P428" s="823"/>
      <c r="Q428" s="823"/>
      <c r="R428" s="823"/>
      <c r="S428" s="823"/>
      <c r="T428" s="823"/>
      <c r="U428" s="823"/>
      <c r="V428" s="824"/>
      <c r="Z428" s="1039"/>
      <c r="AB428" s="826"/>
      <c r="AC428" s="1040"/>
      <c r="AD428" s="1041"/>
      <c r="AF428" s="1041"/>
      <c r="AH428" s="846"/>
      <c r="AJ428" s="1041"/>
      <c r="AK428" s="1041"/>
      <c r="AM428" s="1041"/>
      <c r="AO428" s="1041"/>
      <c r="AP428" s="1042"/>
      <c r="AQ428" s="1040"/>
      <c r="AR428" s="1040"/>
      <c r="AU428" s="1043"/>
      <c r="AW428" s="1044"/>
      <c r="AX428" s="1044"/>
      <c r="AY428" s="1044"/>
      <c r="AZ428" s="1044"/>
    </row>
    <row r="429" spans="2:52" s="1025" customFormat="1">
      <c r="B429" s="824"/>
      <c r="C429" s="824"/>
      <c r="D429" s="823"/>
      <c r="E429" s="823"/>
      <c r="F429" s="823"/>
      <c r="G429" s="823"/>
      <c r="H429" s="823"/>
      <c r="I429" s="823"/>
      <c r="J429" s="823"/>
      <c r="K429" s="823"/>
      <c r="L429" s="823"/>
      <c r="M429" s="823"/>
      <c r="N429" s="823"/>
      <c r="O429" s="823"/>
      <c r="P429" s="823"/>
      <c r="Q429" s="823"/>
      <c r="R429" s="823"/>
      <c r="S429" s="823"/>
      <c r="T429" s="823"/>
      <c r="U429" s="823"/>
      <c r="V429" s="824"/>
      <c r="Z429" s="1039"/>
      <c r="AB429" s="826"/>
      <c r="AC429" s="1040"/>
      <c r="AD429" s="1041"/>
      <c r="AF429" s="1041"/>
      <c r="AH429" s="846"/>
      <c r="AJ429" s="1041"/>
      <c r="AK429" s="1041"/>
      <c r="AM429" s="1041"/>
      <c r="AO429" s="1041"/>
      <c r="AP429" s="1042"/>
      <c r="AQ429" s="1040"/>
      <c r="AR429" s="1040"/>
      <c r="AU429" s="1043"/>
      <c r="AW429" s="1044"/>
      <c r="AX429" s="1044"/>
      <c r="AY429" s="1044"/>
      <c r="AZ429" s="1044"/>
    </row>
    <row r="430" spans="2:52" s="1025" customFormat="1">
      <c r="B430" s="824"/>
      <c r="C430" s="824"/>
      <c r="D430" s="823"/>
      <c r="E430" s="823"/>
      <c r="F430" s="823"/>
      <c r="G430" s="823"/>
      <c r="H430" s="823"/>
      <c r="I430" s="823"/>
      <c r="J430" s="823"/>
      <c r="K430" s="823"/>
      <c r="L430" s="823"/>
      <c r="M430" s="823"/>
      <c r="N430" s="823"/>
      <c r="O430" s="823"/>
      <c r="P430" s="823"/>
      <c r="Q430" s="823"/>
      <c r="R430" s="823"/>
      <c r="S430" s="823"/>
      <c r="T430" s="823"/>
      <c r="U430" s="823"/>
      <c r="V430" s="824"/>
      <c r="Z430" s="1039"/>
      <c r="AB430" s="826"/>
      <c r="AC430" s="1040"/>
      <c r="AD430" s="1041"/>
      <c r="AF430" s="1041"/>
      <c r="AH430" s="846"/>
      <c r="AJ430" s="1041"/>
      <c r="AK430" s="1041"/>
      <c r="AM430" s="1041"/>
      <c r="AO430" s="1041"/>
      <c r="AP430" s="1042"/>
      <c r="AQ430" s="1040"/>
      <c r="AR430" s="1040"/>
      <c r="AU430" s="1043"/>
      <c r="AW430" s="1044"/>
      <c r="AX430" s="1044"/>
      <c r="AY430" s="1044"/>
      <c r="AZ430" s="1044"/>
    </row>
    <row r="431" spans="2:52" s="1025" customFormat="1">
      <c r="B431" s="824"/>
      <c r="C431" s="824"/>
      <c r="D431" s="823"/>
      <c r="E431" s="823"/>
      <c r="F431" s="823"/>
      <c r="G431" s="823"/>
      <c r="H431" s="823"/>
      <c r="I431" s="823"/>
      <c r="J431" s="823"/>
      <c r="K431" s="823"/>
      <c r="L431" s="823"/>
      <c r="M431" s="823"/>
      <c r="N431" s="823"/>
      <c r="O431" s="823"/>
      <c r="P431" s="823"/>
      <c r="Q431" s="823"/>
      <c r="R431" s="823"/>
      <c r="S431" s="823"/>
      <c r="T431" s="823"/>
      <c r="U431" s="823"/>
      <c r="V431" s="824"/>
      <c r="Z431" s="1039"/>
      <c r="AB431" s="826"/>
      <c r="AC431" s="1040"/>
      <c r="AD431" s="1041"/>
      <c r="AF431" s="1041"/>
      <c r="AH431" s="846"/>
      <c r="AJ431" s="1041"/>
      <c r="AK431" s="1041"/>
      <c r="AM431" s="1041"/>
      <c r="AO431" s="1041"/>
      <c r="AP431" s="1042"/>
      <c r="AQ431" s="1040"/>
      <c r="AR431" s="1040"/>
      <c r="AU431" s="1043"/>
      <c r="AW431" s="1044"/>
      <c r="AX431" s="1044"/>
      <c r="AY431" s="1044"/>
      <c r="AZ431" s="1044"/>
    </row>
    <row r="432" spans="2:52" s="1025" customFormat="1">
      <c r="B432" s="824"/>
      <c r="C432" s="824"/>
      <c r="D432" s="823"/>
      <c r="E432" s="823"/>
      <c r="F432" s="823"/>
      <c r="G432" s="823"/>
      <c r="H432" s="823"/>
      <c r="I432" s="823"/>
      <c r="J432" s="823"/>
      <c r="K432" s="823"/>
      <c r="L432" s="823"/>
      <c r="M432" s="823"/>
      <c r="N432" s="823"/>
      <c r="O432" s="823"/>
      <c r="P432" s="823"/>
      <c r="Q432" s="823"/>
      <c r="R432" s="823"/>
      <c r="S432" s="823"/>
      <c r="T432" s="823"/>
      <c r="U432" s="823"/>
      <c r="V432" s="824"/>
      <c r="Z432" s="1039"/>
      <c r="AB432" s="826"/>
      <c r="AC432" s="1040"/>
      <c r="AD432" s="1041"/>
      <c r="AF432" s="1041"/>
      <c r="AH432" s="846"/>
      <c r="AJ432" s="1041"/>
      <c r="AK432" s="1041"/>
      <c r="AM432" s="1041"/>
      <c r="AO432" s="1041"/>
      <c r="AP432" s="1042"/>
      <c r="AQ432" s="1040"/>
      <c r="AR432" s="1040"/>
      <c r="AU432" s="1043"/>
      <c r="AW432" s="1044"/>
      <c r="AX432" s="1044"/>
      <c r="AY432" s="1044"/>
      <c r="AZ432" s="1044"/>
    </row>
    <row r="433" spans="2:52" s="1025" customFormat="1">
      <c r="B433" s="824"/>
      <c r="C433" s="824"/>
      <c r="D433" s="823"/>
      <c r="E433" s="823"/>
      <c r="F433" s="823"/>
      <c r="G433" s="823"/>
      <c r="H433" s="823"/>
      <c r="I433" s="823"/>
      <c r="J433" s="823"/>
      <c r="K433" s="823"/>
      <c r="L433" s="823"/>
      <c r="M433" s="823"/>
      <c r="N433" s="823"/>
      <c r="O433" s="823"/>
      <c r="P433" s="823"/>
      <c r="Q433" s="823"/>
      <c r="R433" s="823"/>
      <c r="S433" s="823"/>
      <c r="T433" s="823"/>
      <c r="U433" s="823"/>
      <c r="V433" s="824"/>
      <c r="Z433" s="1039"/>
      <c r="AB433" s="826"/>
      <c r="AC433" s="1040"/>
      <c r="AD433" s="1041"/>
      <c r="AF433" s="1041"/>
      <c r="AH433" s="846"/>
      <c r="AJ433" s="1041"/>
      <c r="AK433" s="1041"/>
      <c r="AM433" s="1041"/>
      <c r="AO433" s="1041"/>
      <c r="AP433" s="1042"/>
      <c r="AQ433" s="1040"/>
      <c r="AR433" s="1040"/>
      <c r="AU433" s="1043"/>
      <c r="AW433" s="1044"/>
      <c r="AX433" s="1044"/>
      <c r="AY433" s="1044"/>
      <c r="AZ433" s="1044"/>
    </row>
    <row r="434" spans="2:52" s="1025" customFormat="1">
      <c r="B434" s="824"/>
      <c r="C434" s="824"/>
      <c r="D434" s="823"/>
      <c r="E434" s="823"/>
      <c r="F434" s="823"/>
      <c r="G434" s="823"/>
      <c r="H434" s="823"/>
      <c r="I434" s="823"/>
      <c r="J434" s="823"/>
      <c r="K434" s="823"/>
      <c r="L434" s="823"/>
      <c r="M434" s="823"/>
      <c r="N434" s="823"/>
      <c r="O434" s="823"/>
      <c r="P434" s="823"/>
      <c r="Q434" s="823"/>
      <c r="R434" s="823"/>
      <c r="S434" s="823"/>
      <c r="T434" s="823"/>
      <c r="U434" s="823"/>
      <c r="V434" s="824"/>
      <c r="Z434" s="1039"/>
      <c r="AB434" s="826"/>
      <c r="AC434" s="1040"/>
      <c r="AD434" s="1041"/>
      <c r="AF434" s="1041"/>
      <c r="AH434" s="846"/>
      <c r="AJ434" s="1041"/>
      <c r="AK434" s="1041"/>
      <c r="AM434" s="1041"/>
      <c r="AO434" s="1041"/>
      <c r="AP434" s="1042"/>
      <c r="AQ434" s="1040"/>
      <c r="AR434" s="1040"/>
      <c r="AU434" s="1043"/>
      <c r="AW434" s="1044"/>
      <c r="AX434" s="1044"/>
      <c r="AY434" s="1044"/>
      <c r="AZ434" s="1044"/>
    </row>
    <row r="435" spans="2:52" s="1025" customFormat="1">
      <c r="B435" s="824"/>
      <c r="C435" s="824"/>
      <c r="D435" s="823"/>
      <c r="E435" s="823"/>
      <c r="F435" s="823"/>
      <c r="G435" s="823"/>
      <c r="H435" s="823"/>
      <c r="I435" s="823"/>
      <c r="J435" s="823"/>
      <c r="K435" s="823"/>
      <c r="L435" s="823"/>
      <c r="M435" s="823"/>
      <c r="N435" s="823"/>
      <c r="O435" s="823"/>
      <c r="P435" s="823"/>
      <c r="Q435" s="823"/>
      <c r="R435" s="823"/>
      <c r="S435" s="823"/>
      <c r="T435" s="823"/>
      <c r="U435" s="823"/>
      <c r="V435" s="824"/>
      <c r="Z435" s="1039"/>
      <c r="AB435" s="826"/>
      <c r="AC435" s="1040"/>
      <c r="AD435" s="1041"/>
      <c r="AF435" s="1041"/>
      <c r="AH435" s="846"/>
      <c r="AJ435" s="1041"/>
      <c r="AK435" s="1041"/>
      <c r="AM435" s="1041"/>
      <c r="AO435" s="1041"/>
      <c r="AP435" s="1042"/>
      <c r="AQ435" s="1040"/>
      <c r="AR435" s="1040"/>
      <c r="AU435" s="1043"/>
      <c r="AW435" s="1044"/>
      <c r="AX435" s="1044"/>
      <c r="AY435" s="1044"/>
      <c r="AZ435" s="1044"/>
    </row>
    <row r="436" spans="2:52" s="1025" customFormat="1">
      <c r="B436" s="824"/>
      <c r="C436" s="824"/>
      <c r="D436" s="823"/>
      <c r="E436" s="823"/>
      <c r="F436" s="823"/>
      <c r="G436" s="823"/>
      <c r="H436" s="823"/>
      <c r="I436" s="823"/>
      <c r="J436" s="823"/>
      <c r="K436" s="823"/>
      <c r="L436" s="823"/>
      <c r="M436" s="823"/>
      <c r="N436" s="823"/>
      <c r="O436" s="823"/>
      <c r="P436" s="823"/>
      <c r="Q436" s="823"/>
      <c r="R436" s="823"/>
      <c r="S436" s="823"/>
      <c r="T436" s="823"/>
      <c r="U436" s="823"/>
      <c r="V436" s="824"/>
      <c r="Z436" s="1039"/>
      <c r="AB436" s="826"/>
      <c r="AC436" s="1040"/>
      <c r="AD436" s="1041"/>
      <c r="AF436" s="1041"/>
      <c r="AH436" s="846"/>
      <c r="AJ436" s="1041"/>
      <c r="AK436" s="1041"/>
      <c r="AM436" s="1041"/>
      <c r="AO436" s="1041"/>
      <c r="AP436" s="1042"/>
      <c r="AQ436" s="1040"/>
      <c r="AR436" s="1040"/>
      <c r="AU436" s="1043"/>
      <c r="AW436" s="1044"/>
      <c r="AX436" s="1044"/>
      <c r="AY436" s="1044"/>
      <c r="AZ436" s="1044"/>
    </row>
    <row r="437" spans="2:52" s="1025" customFormat="1">
      <c r="B437" s="824"/>
      <c r="C437" s="824"/>
      <c r="D437" s="823"/>
      <c r="E437" s="823"/>
      <c r="F437" s="823"/>
      <c r="G437" s="823"/>
      <c r="H437" s="823"/>
      <c r="I437" s="823"/>
      <c r="J437" s="823"/>
      <c r="K437" s="823"/>
      <c r="L437" s="823"/>
      <c r="M437" s="823"/>
      <c r="N437" s="823"/>
      <c r="O437" s="823"/>
      <c r="P437" s="823"/>
      <c r="Q437" s="823"/>
      <c r="R437" s="823"/>
      <c r="S437" s="823"/>
      <c r="T437" s="823"/>
      <c r="U437" s="823"/>
      <c r="V437" s="824"/>
      <c r="Z437" s="1039"/>
      <c r="AB437" s="826"/>
      <c r="AC437" s="1040"/>
      <c r="AD437" s="1041"/>
      <c r="AF437" s="1041"/>
      <c r="AH437" s="846"/>
      <c r="AJ437" s="1041"/>
      <c r="AK437" s="1041"/>
      <c r="AM437" s="1041"/>
      <c r="AO437" s="1041"/>
      <c r="AP437" s="1042"/>
      <c r="AQ437" s="1040"/>
      <c r="AR437" s="1040"/>
      <c r="AU437" s="1043"/>
      <c r="AW437" s="1044"/>
      <c r="AX437" s="1044"/>
      <c r="AY437" s="1044"/>
      <c r="AZ437" s="1044"/>
    </row>
    <row r="438" spans="2:52" s="1025" customFormat="1">
      <c r="B438" s="824"/>
      <c r="C438" s="824"/>
      <c r="D438" s="823"/>
      <c r="E438" s="823"/>
      <c r="F438" s="823"/>
      <c r="G438" s="823"/>
      <c r="H438" s="823"/>
      <c r="I438" s="823"/>
      <c r="J438" s="823"/>
      <c r="K438" s="823"/>
      <c r="L438" s="823"/>
      <c r="M438" s="823"/>
      <c r="N438" s="823"/>
      <c r="O438" s="823"/>
      <c r="P438" s="823"/>
      <c r="Q438" s="823"/>
      <c r="R438" s="823"/>
      <c r="S438" s="823"/>
      <c r="T438" s="823"/>
      <c r="U438" s="823"/>
      <c r="V438" s="824"/>
      <c r="Z438" s="1039"/>
      <c r="AB438" s="826"/>
      <c r="AC438" s="1040"/>
      <c r="AD438" s="1041"/>
      <c r="AF438" s="1041"/>
      <c r="AH438" s="846"/>
      <c r="AJ438" s="1041"/>
      <c r="AK438" s="1041"/>
      <c r="AM438" s="1041"/>
      <c r="AO438" s="1041"/>
      <c r="AP438" s="1042"/>
      <c r="AQ438" s="1040"/>
      <c r="AR438" s="1040"/>
      <c r="AU438" s="1043"/>
      <c r="AW438" s="1044"/>
      <c r="AX438" s="1044"/>
      <c r="AY438" s="1044"/>
      <c r="AZ438" s="1044"/>
    </row>
    <row r="439" spans="2:52" s="1025" customFormat="1">
      <c r="B439" s="824"/>
      <c r="C439" s="824"/>
      <c r="D439" s="823"/>
      <c r="E439" s="823"/>
      <c r="F439" s="823"/>
      <c r="G439" s="823"/>
      <c r="H439" s="823"/>
      <c r="I439" s="823"/>
      <c r="J439" s="823"/>
      <c r="K439" s="823"/>
      <c r="L439" s="823"/>
      <c r="M439" s="823"/>
      <c r="N439" s="823"/>
      <c r="O439" s="823"/>
      <c r="P439" s="823"/>
      <c r="Q439" s="823"/>
      <c r="R439" s="823"/>
      <c r="S439" s="823"/>
      <c r="T439" s="823"/>
      <c r="U439" s="823"/>
      <c r="V439" s="824"/>
      <c r="Z439" s="1039"/>
      <c r="AB439" s="826"/>
      <c r="AC439" s="1040"/>
      <c r="AD439" s="1041"/>
      <c r="AF439" s="1041"/>
      <c r="AH439" s="846"/>
      <c r="AJ439" s="1041"/>
      <c r="AK439" s="1041"/>
      <c r="AM439" s="1041"/>
      <c r="AO439" s="1041"/>
      <c r="AP439" s="1042"/>
      <c r="AQ439" s="1040"/>
      <c r="AR439" s="1040"/>
      <c r="AU439" s="1043"/>
      <c r="AW439" s="1044"/>
      <c r="AX439" s="1044"/>
      <c r="AY439" s="1044"/>
      <c r="AZ439" s="1044"/>
    </row>
    <row r="440" spans="2:52" s="1025" customFormat="1">
      <c r="B440" s="824"/>
      <c r="C440" s="824"/>
      <c r="D440" s="823"/>
      <c r="E440" s="823"/>
      <c r="F440" s="823"/>
      <c r="G440" s="823"/>
      <c r="H440" s="823"/>
      <c r="I440" s="823"/>
      <c r="J440" s="823"/>
      <c r="K440" s="823"/>
      <c r="L440" s="823"/>
      <c r="M440" s="823"/>
      <c r="N440" s="823"/>
      <c r="O440" s="823"/>
      <c r="P440" s="823"/>
      <c r="Q440" s="823"/>
      <c r="R440" s="823"/>
      <c r="S440" s="823"/>
      <c r="T440" s="823"/>
      <c r="U440" s="823"/>
      <c r="V440" s="824"/>
      <c r="Z440" s="1039"/>
      <c r="AB440" s="826"/>
      <c r="AC440" s="1040"/>
      <c r="AD440" s="1041"/>
      <c r="AF440" s="1041"/>
      <c r="AH440" s="846"/>
      <c r="AJ440" s="1041"/>
      <c r="AK440" s="1041"/>
      <c r="AM440" s="1041"/>
      <c r="AO440" s="1041"/>
      <c r="AP440" s="1042"/>
      <c r="AQ440" s="1040"/>
      <c r="AR440" s="1040"/>
      <c r="AU440" s="1043"/>
      <c r="AW440" s="1044"/>
      <c r="AX440" s="1044"/>
      <c r="AY440" s="1044"/>
      <c r="AZ440" s="1044"/>
    </row>
    <row r="441" spans="2:52" s="1025" customFormat="1">
      <c r="B441" s="824"/>
      <c r="C441" s="824"/>
      <c r="D441" s="823"/>
      <c r="E441" s="823"/>
      <c r="F441" s="823"/>
      <c r="G441" s="823"/>
      <c r="H441" s="823"/>
      <c r="I441" s="823"/>
      <c r="J441" s="823"/>
      <c r="K441" s="823"/>
      <c r="L441" s="823"/>
      <c r="M441" s="823"/>
      <c r="N441" s="823"/>
      <c r="O441" s="823"/>
      <c r="P441" s="823"/>
      <c r="Q441" s="823"/>
      <c r="R441" s="823"/>
      <c r="S441" s="823"/>
      <c r="T441" s="823"/>
      <c r="U441" s="823"/>
      <c r="V441" s="824"/>
      <c r="Z441" s="1039"/>
      <c r="AB441" s="826"/>
      <c r="AC441" s="1040"/>
      <c r="AD441" s="1041"/>
      <c r="AF441" s="1041"/>
      <c r="AH441" s="846"/>
      <c r="AJ441" s="1041"/>
      <c r="AK441" s="1041"/>
      <c r="AM441" s="1041"/>
      <c r="AO441" s="1041"/>
      <c r="AP441" s="1042"/>
      <c r="AQ441" s="1040"/>
      <c r="AR441" s="1040"/>
      <c r="AU441" s="1043"/>
      <c r="AW441" s="1044"/>
      <c r="AX441" s="1044"/>
      <c r="AY441" s="1044"/>
      <c r="AZ441" s="1044"/>
    </row>
    <row r="442" spans="2:52" s="1025" customFormat="1">
      <c r="B442" s="824"/>
      <c r="C442" s="824"/>
      <c r="D442" s="823"/>
      <c r="E442" s="823"/>
      <c r="F442" s="823"/>
      <c r="G442" s="823"/>
      <c r="H442" s="823"/>
      <c r="I442" s="823"/>
      <c r="J442" s="823"/>
      <c r="K442" s="823"/>
      <c r="L442" s="823"/>
      <c r="M442" s="823"/>
      <c r="N442" s="823"/>
      <c r="O442" s="823"/>
      <c r="P442" s="823"/>
      <c r="Q442" s="823"/>
      <c r="R442" s="823"/>
      <c r="S442" s="823"/>
      <c r="T442" s="823"/>
      <c r="U442" s="823"/>
      <c r="V442" s="824"/>
      <c r="Z442" s="1039"/>
      <c r="AB442" s="826"/>
      <c r="AC442" s="1040"/>
      <c r="AD442" s="1041"/>
      <c r="AF442" s="1041"/>
      <c r="AH442" s="846"/>
      <c r="AJ442" s="1041"/>
      <c r="AK442" s="1041"/>
      <c r="AM442" s="1041"/>
      <c r="AO442" s="1041"/>
      <c r="AP442" s="1042"/>
      <c r="AQ442" s="1040"/>
      <c r="AR442" s="1040"/>
      <c r="AU442" s="1043"/>
      <c r="AW442" s="1044"/>
      <c r="AX442" s="1044"/>
      <c r="AY442" s="1044"/>
      <c r="AZ442" s="1044"/>
    </row>
    <row r="443" spans="2:52" s="1025" customFormat="1">
      <c r="B443" s="824"/>
      <c r="C443" s="824"/>
      <c r="D443" s="823"/>
      <c r="E443" s="823"/>
      <c r="F443" s="823"/>
      <c r="G443" s="823"/>
      <c r="H443" s="823"/>
      <c r="I443" s="823"/>
      <c r="J443" s="823"/>
      <c r="K443" s="823"/>
      <c r="L443" s="823"/>
      <c r="M443" s="823"/>
      <c r="N443" s="823"/>
      <c r="O443" s="823"/>
      <c r="P443" s="823"/>
      <c r="Q443" s="823"/>
      <c r="R443" s="823"/>
      <c r="S443" s="823"/>
      <c r="T443" s="823"/>
      <c r="U443" s="823"/>
      <c r="V443" s="824"/>
      <c r="Z443" s="1039"/>
      <c r="AB443" s="826"/>
      <c r="AC443" s="1040"/>
      <c r="AD443" s="1041"/>
      <c r="AF443" s="1041"/>
      <c r="AH443" s="846"/>
      <c r="AJ443" s="1041"/>
      <c r="AK443" s="1041"/>
      <c r="AM443" s="1041"/>
      <c r="AO443" s="1041"/>
      <c r="AP443" s="1042"/>
      <c r="AQ443" s="1040"/>
      <c r="AR443" s="1040"/>
      <c r="AU443" s="1043"/>
      <c r="AW443" s="1044"/>
      <c r="AX443" s="1044"/>
      <c r="AY443" s="1044"/>
      <c r="AZ443" s="1044"/>
    </row>
    <row r="444" spans="2:52" s="1025" customFormat="1">
      <c r="B444" s="824"/>
      <c r="C444" s="824"/>
      <c r="D444" s="823"/>
      <c r="E444" s="823"/>
      <c r="F444" s="823"/>
      <c r="G444" s="823"/>
      <c r="H444" s="823"/>
      <c r="I444" s="823"/>
      <c r="J444" s="823"/>
      <c r="K444" s="823"/>
      <c r="L444" s="823"/>
      <c r="M444" s="823"/>
      <c r="N444" s="823"/>
      <c r="O444" s="823"/>
      <c r="P444" s="823"/>
      <c r="Q444" s="823"/>
      <c r="R444" s="823"/>
      <c r="S444" s="823"/>
      <c r="T444" s="823"/>
      <c r="U444" s="823"/>
      <c r="V444" s="824"/>
      <c r="Z444" s="1039"/>
      <c r="AB444" s="826"/>
      <c r="AC444" s="1040"/>
      <c r="AD444" s="1041"/>
      <c r="AF444" s="1041"/>
      <c r="AH444" s="846"/>
      <c r="AJ444" s="1041"/>
      <c r="AK444" s="1041"/>
      <c r="AM444" s="1041"/>
      <c r="AO444" s="1041"/>
      <c r="AP444" s="1042"/>
      <c r="AQ444" s="1040"/>
      <c r="AR444" s="1040"/>
      <c r="AU444" s="1043"/>
      <c r="AW444" s="1044"/>
      <c r="AX444" s="1044"/>
      <c r="AY444" s="1044"/>
      <c r="AZ444" s="1044"/>
    </row>
    <row r="445" spans="2:52" s="1025" customFormat="1">
      <c r="B445" s="824"/>
      <c r="C445" s="824"/>
      <c r="D445" s="823"/>
      <c r="E445" s="823"/>
      <c r="F445" s="823"/>
      <c r="G445" s="823"/>
      <c r="H445" s="823"/>
      <c r="I445" s="823"/>
      <c r="J445" s="823"/>
      <c r="K445" s="823"/>
      <c r="L445" s="823"/>
      <c r="M445" s="823"/>
      <c r="N445" s="823"/>
      <c r="O445" s="823"/>
      <c r="P445" s="823"/>
      <c r="Q445" s="823"/>
      <c r="R445" s="823"/>
      <c r="S445" s="823"/>
      <c r="T445" s="823"/>
      <c r="U445" s="823"/>
      <c r="V445" s="824"/>
      <c r="Z445" s="1039"/>
      <c r="AB445" s="826"/>
      <c r="AC445" s="1040"/>
      <c r="AD445" s="1041"/>
      <c r="AF445" s="1041"/>
      <c r="AH445" s="846"/>
      <c r="AJ445" s="1041"/>
      <c r="AK445" s="1041"/>
      <c r="AM445" s="1041"/>
      <c r="AO445" s="1041"/>
      <c r="AP445" s="1042"/>
      <c r="AQ445" s="1040"/>
      <c r="AR445" s="1040"/>
      <c r="AU445" s="1043"/>
      <c r="AW445" s="1044"/>
      <c r="AX445" s="1044"/>
      <c r="AY445" s="1044"/>
      <c r="AZ445" s="1044"/>
    </row>
    <row r="446" spans="2:52" s="1025" customFormat="1">
      <c r="B446" s="824"/>
      <c r="C446" s="824"/>
      <c r="D446" s="823"/>
      <c r="E446" s="823"/>
      <c r="F446" s="823"/>
      <c r="G446" s="823"/>
      <c r="H446" s="823"/>
      <c r="I446" s="823"/>
      <c r="J446" s="823"/>
      <c r="K446" s="823"/>
      <c r="L446" s="823"/>
      <c r="M446" s="823"/>
      <c r="N446" s="823"/>
      <c r="O446" s="823"/>
      <c r="P446" s="823"/>
      <c r="Q446" s="823"/>
      <c r="R446" s="823"/>
      <c r="S446" s="823"/>
      <c r="T446" s="823"/>
      <c r="U446" s="823"/>
      <c r="V446" s="824"/>
      <c r="Z446" s="1039"/>
      <c r="AB446" s="826"/>
      <c r="AC446" s="1040"/>
      <c r="AD446" s="1041"/>
      <c r="AF446" s="1041"/>
      <c r="AH446" s="846"/>
      <c r="AJ446" s="1041"/>
      <c r="AK446" s="1041"/>
      <c r="AM446" s="1041"/>
      <c r="AO446" s="1041"/>
      <c r="AP446" s="1042"/>
      <c r="AQ446" s="1040"/>
      <c r="AR446" s="1040"/>
      <c r="AU446" s="1043"/>
      <c r="AW446" s="1044"/>
      <c r="AX446" s="1044"/>
      <c r="AY446" s="1044"/>
      <c r="AZ446" s="1044"/>
    </row>
    <row r="447" spans="2:52" s="1025" customFormat="1">
      <c r="B447" s="824"/>
      <c r="C447" s="824"/>
      <c r="D447" s="823"/>
      <c r="E447" s="823"/>
      <c r="F447" s="823"/>
      <c r="G447" s="823"/>
      <c r="H447" s="823"/>
      <c r="I447" s="823"/>
      <c r="J447" s="823"/>
      <c r="K447" s="823"/>
      <c r="L447" s="823"/>
      <c r="M447" s="823"/>
      <c r="N447" s="823"/>
      <c r="O447" s="823"/>
      <c r="P447" s="823"/>
      <c r="Q447" s="823"/>
      <c r="R447" s="823"/>
      <c r="S447" s="823"/>
      <c r="T447" s="823"/>
      <c r="U447" s="823"/>
      <c r="V447" s="824"/>
      <c r="Z447" s="1039"/>
      <c r="AB447" s="826"/>
      <c r="AC447" s="1040"/>
      <c r="AD447" s="1041"/>
      <c r="AF447" s="1041"/>
      <c r="AH447" s="846"/>
      <c r="AJ447" s="1041"/>
      <c r="AK447" s="1041"/>
      <c r="AM447" s="1041"/>
      <c r="AO447" s="1041"/>
      <c r="AP447" s="1042"/>
      <c r="AQ447" s="1040"/>
      <c r="AR447" s="1040"/>
      <c r="AU447" s="1043"/>
      <c r="AW447" s="1044"/>
      <c r="AX447" s="1044"/>
      <c r="AY447" s="1044"/>
      <c r="AZ447" s="1044"/>
    </row>
    <row r="448" spans="2:52" s="1025" customFormat="1">
      <c r="B448" s="824"/>
      <c r="C448" s="824"/>
      <c r="D448" s="823"/>
      <c r="E448" s="823"/>
      <c r="F448" s="823"/>
      <c r="G448" s="823"/>
      <c r="H448" s="823"/>
      <c r="I448" s="823"/>
      <c r="J448" s="823"/>
      <c r="K448" s="823"/>
      <c r="L448" s="823"/>
      <c r="M448" s="823"/>
      <c r="N448" s="823"/>
      <c r="O448" s="823"/>
      <c r="P448" s="823"/>
      <c r="Q448" s="823"/>
      <c r="R448" s="823"/>
      <c r="S448" s="823"/>
      <c r="T448" s="823"/>
      <c r="U448" s="823"/>
      <c r="V448" s="824"/>
      <c r="Z448" s="1039"/>
      <c r="AB448" s="826"/>
      <c r="AC448" s="1040"/>
      <c r="AD448" s="1041"/>
      <c r="AF448" s="1041"/>
      <c r="AH448" s="846"/>
      <c r="AJ448" s="1041"/>
      <c r="AK448" s="1041"/>
      <c r="AM448" s="1041"/>
      <c r="AO448" s="1041"/>
      <c r="AP448" s="1042"/>
      <c r="AQ448" s="1040"/>
      <c r="AR448" s="1040"/>
      <c r="AU448" s="1043"/>
      <c r="AW448" s="1044"/>
      <c r="AX448" s="1044"/>
      <c r="AY448" s="1044"/>
      <c r="AZ448" s="1044"/>
    </row>
    <row r="449" spans="2:52" s="1025" customFormat="1">
      <c r="B449" s="824"/>
      <c r="C449" s="824"/>
      <c r="D449" s="823"/>
      <c r="E449" s="823"/>
      <c r="F449" s="823"/>
      <c r="G449" s="823"/>
      <c r="H449" s="823"/>
      <c r="I449" s="823"/>
      <c r="J449" s="823"/>
      <c r="K449" s="823"/>
      <c r="L449" s="823"/>
      <c r="M449" s="823"/>
      <c r="N449" s="823"/>
      <c r="O449" s="823"/>
      <c r="P449" s="823"/>
      <c r="Q449" s="823"/>
      <c r="R449" s="823"/>
      <c r="S449" s="823"/>
      <c r="T449" s="823"/>
      <c r="U449" s="823"/>
      <c r="V449" s="824"/>
      <c r="Z449" s="1039"/>
      <c r="AB449" s="826"/>
      <c r="AC449" s="1040"/>
      <c r="AD449" s="1041"/>
      <c r="AF449" s="1041"/>
      <c r="AH449" s="846"/>
      <c r="AJ449" s="1041"/>
      <c r="AK449" s="1041"/>
      <c r="AM449" s="1041"/>
      <c r="AO449" s="1041"/>
      <c r="AP449" s="1042"/>
      <c r="AQ449" s="1040"/>
      <c r="AR449" s="1040"/>
      <c r="AU449" s="1043"/>
      <c r="AW449" s="1044"/>
      <c r="AX449" s="1044"/>
      <c r="AY449" s="1044"/>
      <c r="AZ449" s="1044"/>
    </row>
    <row r="450" spans="2:52" s="1025" customFormat="1">
      <c r="B450" s="824"/>
      <c r="C450" s="824"/>
      <c r="D450" s="823"/>
      <c r="E450" s="823"/>
      <c r="F450" s="823"/>
      <c r="G450" s="823"/>
      <c r="H450" s="823"/>
      <c r="I450" s="823"/>
      <c r="J450" s="823"/>
      <c r="K450" s="823"/>
      <c r="L450" s="823"/>
      <c r="M450" s="823"/>
      <c r="N450" s="823"/>
      <c r="O450" s="823"/>
      <c r="P450" s="823"/>
      <c r="Q450" s="823"/>
      <c r="R450" s="823"/>
      <c r="S450" s="823"/>
      <c r="T450" s="823"/>
      <c r="U450" s="823"/>
      <c r="V450" s="824"/>
      <c r="Z450" s="1039"/>
      <c r="AB450" s="826"/>
      <c r="AC450" s="1040"/>
      <c r="AD450" s="1041"/>
      <c r="AF450" s="1041"/>
      <c r="AH450" s="846"/>
      <c r="AJ450" s="1041"/>
      <c r="AK450" s="1041"/>
      <c r="AM450" s="1041"/>
      <c r="AO450" s="1041"/>
      <c r="AP450" s="1042"/>
      <c r="AQ450" s="1040"/>
      <c r="AR450" s="1040"/>
      <c r="AU450" s="1043"/>
      <c r="AW450" s="1044"/>
      <c r="AX450" s="1044"/>
      <c r="AY450" s="1044"/>
      <c r="AZ450" s="1044"/>
    </row>
    <row r="451" spans="2:52" s="1025" customFormat="1">
      <c r="B451" s="824"/>
      <c r="C451" s="824"/>
      <c r="D451" s="823"/>
      <c r="E451" s="823"/>
      <c r="F451" s="823"/>
      <c r="G451" s="823"/>
      <c r="H451" s="823"/>
      <c r="I451" s="823"/>
      <c r="J451" s="823"/>
      <c r="K451" s="823"/>
      <c r="L451" s="823"/>
      <c r="M451" s="823"/>
      <c r="N451" s="823"/>
      <c r="O451" s="823"/>
      <c r="P451" s="823"/>
      <c r="Q451" s="823"/>
      <c r="R451" s="823"/>
      <c r="S451" s="823"/>
      <c r="T451" s="823"/>
      <c r="U451" s="823"/>
      <c r="V451" s="824"/>
      <c r="Z451" s="1039"/>
      <c r="AB451" s="826"/>
      <c r="AC451" s="1040"/>
      <c r="AD451" s="1041"/>
      <c r="AF451" s="1041"/>
      <c r="AH451" s="846"/>
      <c r="AJ451" s="1041"/>
      <c r="AK451" s="1041"/>
      <c r="AM451" s="1041"/>
      <c r="AO451" s="1041"/>
      <c r="AP451" s="1042"/>
      <c r="AQ451" s="1040"/>
      <c r="AR451" s="1040"/>
      <c r="AU451" s="1043"/>
      <c r="AW451" s="1044"/>
      <c r="AX451" s="1044"/>
      <c r="AY451" s="1044"/>
      <c r="AZ451" s="1044"/>
    </row>
    <row r="452" spans="2:52" s="1025" customFormat="1">
      <c r="B452" s="824"/>
      <c r="C452" s="824"/>
      <c r="D452" s="823"/>
      <c r="E452" s="823"/>
      <c r="F452" s="823"/>
      <c r="G452" s="823"/>
      <c r="H452" s="823"/>
      <c r="I452" s="823"/>
      <c r="J452" s="823"/>
      <c r="K452" s="823"/>
      <c r="L452" s="823"/>
      <c r="M452" s="823"/>
      <c r="N452" s="823"/>
      <c r="O452" s="823"/>
      <c r="P452" s="823"/>
      <c r="Q452" s="823"/>
      <c r="R452" s="823"/>
      <c r="S452" s="823"/>
      <c r="T452" s="823"/>
      <c r="U452" s="823"/>
      <c r="V452" s="824"/>
      <c r="Z452" s="1039"/>
      <c r="AB452" s="826"/>
      <c r="AC452" s="1040"/>
      <c r="AD452" s="1041"/>
      <c r="AF452" s="1041"/>
      <c r="AH452" s="846"/>
      <c r="AJ452" s="1041"/>
      <c r="AK452" s="1041"/>
      <c r="AM452" s="1041"/>
      <c r="AO452" s="1041"/>
      <c r="AP452" s="1042"/>
      <c r="AQ452" s="1040"/>
      <c r="AR452" s="1040"/>
      <c r="AU452" s="1043"/>
      <c r="AW452" s="1044"/>
      <c r="AX452" s="1044"/>
      <c r="AY452" s="1044"/>
      <c r="AZ452" s="1044"/>
    </row>
    <row r="453" spans="2:52" s="1025" customFormat="1">
      <c r="B453" s="824"/>
      <c r="C453" s="824"/>
      <c r="D453" s="823"/>
      <c r="E453" s="823"/>
      <c r="F453" s="823"/>
      <c r="G453" s="823"/>
      <c r="H453" s="823"/>
      <c r="I453" s="823"/>
      <c r="J453" s="823"/>
      <c r="K453" s="823"/>
      <c r="L453" s="823"/>
      <c r="M453" s="823"/>
      <c r="N453" s="823"/>
      <c r="O453" s="823"/>
      <c r="P453" s="823"/>
      <c r="Q453" s="823"/>
      <c r="R453" s="823"/>
      <c r="S453" s="823"/>
      <c r="T453" s="823"/>
      <c r="U453" s="823"/>
      <c r="V453" s="824"/>
      <c r="Z453" s="1039"/>
      <c r="AB453" s="826"/>
      <c r="AC453" s="1040"/>
      <c r="AD453" s="1041"/>
      <c r="AF453" s="1041"/>
      <c r="AH453" s="846"/>
      <c r="AJ453" s="1041"/>
      <c r="AK453" s="1041"/>
      <c r="AM453" s="1041"/>
      <c r="AO453" s="1041"/>
      <c r="AP453" s="1042"/>
      <c r="AQ453" s="1040"/>
      <c r="AR453" s="1040"/>
      <c r="AU453" s="1043"/>
      <c r="AW453" s="1044"/>
      <c r="AX453" s="1044"/>
      <c r="AY453" s="1044"/>
      <c r="AZ453" s="1044"/>
    </row>
    <row r="454" spans="2:52" s="1025" customFormat="1">
      <c r="B454" s="824"/>
      <c r="C454" s="824"/>
      <c r="D454" s="823"/>
      <c r="E454" s="823"/>
      <c r="F454" s="823"/>
      <c r="G454" s="823"/>
      <c r="H454" s="823"/>
      <c r="I454" s="823"/>
      <c r="J454" s="823"/>
      <c r="K454" s="823"/>
      <c r="L454" s="823"/>
      <c r="M454" s="823"/>
      <c r="N454" s="823"/>
      <c r="O454" s="823"/>
      <c r="P454" s="823"/>
      <c r="Q454" s="823"/>
      <c r="R454" s="823"/>
      <c r="S454" s="823"/>
      <c r="T454" s="823"/>
      <c r="U454" s="823"/>
      <c r="V454" s="824"/>
      <c r="Z454" s="1039"/>
      <c r="AB454" s="826"/>
      <c r="AC454" s="1040"/>
      <c r="AD454" s="1041"/>
      <c r="AF454" s="1041"/>
      <c r="AH454" s="846"/>
      <c r="AJ454" s="1041"/>
      <c r="AK454" s="1041"/>
      <c r="AM454" s="1041"/>
      <c r="AO454" s="1041"/>
      <c r="AP454" s="1042"/>
      <c r="AQ454" s="1040"/>
      <c r="AR454" s="1040"/>
      <c r="AU454" s="1043"/>
      <c r="AW454" s="1044"/>
      <c r="AX454" s="1044"/>
      <c r="AY454" s="1044"/>
      <c r="AZ454" s="1044"/>
    </row>
    <row r="455" spans="2:52" s="1025" customFormat="1">
      <c r="B455" s="824"/>
      <c r="C455" s="824"/>
      <c r="D455" s="823"/>
      <c r="E455" s="823"/>
      <c r="F455" s="823"/>
      <c r="G455" s="823"/>
      <c r="H455" s="823"/>
      <c r="I455" s="823"/>
      <c r="J455" s="823"/>
      <c r="K455" s="823"/>
      <c r="L455" s="823"/>
      <c r="M455" s="823"/>
      <c r="N455" s="823"/>
      <c r="O455" s="823"/>
      <c r="P455" s="823"/>
      <c r="Q455" s="823"/>
      <c r="R455" s="823"/>
      <c r="S455" s="823"/>
      <c r="T455" s="823"/>
      <c r="U455" s="823"/>
      <c r="V455" s="824"/>
      <c r="Z455" s="1039"/>
      <c r="AB455" s="826"/>
      <c r="AC455" s="1040"/>
      <c r="AD455" s="1041"/>
      <c r="AF455" s="1041"/>
      <c r="AH455" s="846"/>
      <c r="AJ455" s="1041"/>
      <c r="AK455" s="1041"/>
      <c r="AM455" s="1041"/>
      <c r="AO455" s="1041"/>
      <c r="AP455" s="1042"/>
      <c r="AQ455" s="1040"/>
      <c r="AR455" s="1040"/>
      <c r="AU455" s="1043"/>
      <c r="AW455" s="1044"/>
      <c r="AX455" s="1044"/>
      <c r="AY455" s="1044"/>
      <c r="AZ455" s="1044"/>
    </row>
    <row r="456" spans="2:52" s="1025" customFormat="1">
      <c r="B456" s="824"/>
      <c r="C456" s="824"/>
      <c r="D456" s="823"/>
      <c r="E456" s="823"/>
      <c r="F456" s="823"/>
      <c r="G456" s="823"/>
      <c r="H456" s="823"/>
      <c r="I456" s="823"/>
      <c r="J456" s="823"/>
      <c r="K456" s="823"/>
      <c r="L456" s="823"/>
      <c r="M456" s="823"/>
      <c r="N456" s="823"/>
      <c r="O456" s="823"/>
      <c r="P456" s="823"/>
      <c r="Q456" s="823"/>
      <c r="R456" s="823"/>
      <c r="S456" s="823"/>
      <c r="T456" s="823"/>
      <c r="U456" s="823"/>
      <c r="V456" s="824"/>
      <c r="Z456" s="1039"/>
      <c r="AB456" s="826"/>
      <c r="AC456" s="1040"/>
      <c r="AD456" s="1041"/>
      <c r="AF456" s="1041"/>
      <c r="AH456" s="846"/>
      <c r="AJ456" s="1041"/>
      <c r="AK456" s="1041"/>
      <c r="AM456" s="1041"/>
      <c r="AO456" s="1041"/>
      <c r="AP456" s="1042"/>
      <c r="AQ456" s="1040"/>
      <c r="AR456" s="1040"/>
      <c r="AU456" s="1043"/>
      <c r="AW456" s="1044"/>
      <c r="AX456" s="1044"/>
      <c r="AY456" s="1044"/>
      <c r="AZ456" s="1044"/>
    </row>
    <row r="457" spans="2:52" s="1025" customFormat="1">
      <c r="B457" s="824"/>
      <c r="C457" s="824"/>
      <c r="D457" s="823"/>
      <c r="E457" s="823"/>
      <c r="F457" s="823"/>
      <c r="G457" s="823"/>
      <c r="H457" s="823"/>
      <c r="I457" s="823"/>
      <c r="J457" s="823"/>
      <c r="K457" s="823"/>
      <c r="L457" s="823"/>
      <c r="M457" s="823"/>
      <c r="N457" s="823"/>
      <c r="O457" s="823"/>
      <c r="P457" s="823"/>
      <c r="Q457" s="823"/>
      <c r="R457" s="823"/>
      <c r="S457" s="823"/>
      <c r="T457" s="823"/>
      <c r="U457" s="823"/>
      <c r="V457" s="824"/>
      <c r="Z457" s="1039"/>
      <c r="AB457" s="826"/>
      <c r="AC457" s="1040"/>
      <c r="AD457" s="1041"/>
      <c r="AF457" s="1041"/>
      <c r="AH457" s="846"/>
      <c r="AJ457" s="1041"/>
      <c r="AK457" s="1041"/>
      <c r="AM457" s="1041"/>
      <c r="AO457" s="1041"/>
      <c r="AP457" s="1042"/>
      <c r="AQ457" s="1040"/>
      <c r="AR457" s="1040"/>
      <c r="AU457" s="1043"/>
      <c r="AW457" s="1044"/>
      <c r="AX457" s="1044"/>
      <c r="AY457" s="1044"/>
      <c r="AZ457" s="1044"/>
    </row>
    <row r="458" spans="2:52" s="1025" customFormat="1">
      <c r="B458" s="824"/>
      <c r="C458" s="824"/>
      <c r="D458" s="823"/>
      <c r="E458" s="823"/>
      <c r="F458" s="823"/>
      <c r="G458" s="823"/>
      <c r="H458" s="823"/>
      <c r="I458" s="823"/>
      <c r="J458" s="823"/>
      <c r="K458" s="823"/>
      <c r="L458" s="823"/>
      <c r="M458" s="823"/>
      <c r="N458" s="823"/>
      <c r="O458" s="823"/>
      <c r="P458" s="823"/>
      <c r="Q458" s="823"/>
      <c r="R458" s="823"/>
      <c r="S458" s="823"/>
      <c r="T458" s="823"/>
      <c r="U458" s="823"/>
      <c r="V458" s="824"/>
      <c r="Z458" s="1039"/>
      <c r="AB458" s="826"/>
      <c r="AC458" s="1040"/>
      <c r="AD458" s="1041"/>
      <c r="AF458" s="1041"/>
      <c r="AH458" s="846"/>
      <c r="AJ458" s="1041"/>
      <c r="AK458" s="1041"/>
      <c r="AM458" s="1041"/>
      <c r="AO458" s="1041"/>
      <c r="AP458" s="1042"/>
      <c r="AQ458" s="1040"/>
      <c r="AR458" s="1040"/>
      <c r="AU458" s="1043"/>
      <c r="AW458" s="1044"/>
      <c r="AX458" s="1044"/>
      <c r="AY458" s="1044"/>
      <c r="AZ458" s="1044"/>
    </row>
    <row r="459" spans="2:52" s="1025" customFormat="1">
      <c r="B459" s="824"/>
      <c r="C459" s="824"/>
      <c r="D459" s="823"/>
      <c r="E459" s="823"/>
      <c r="F459" s="823"/>
      <c r="G459" s="823"/>
      <c r="H459" s="823"/>
      <c r="I459" s="823"/>
      <c r="J459" s="823"/>
      <c r="K459" s="823"/>
      <c r="L459" s="823"/>
      <c r="M459" s="823"/>
      <c r="N459" s="823"/>
      <c r="O459" s="823"/>
      <c r="P459" s="823"/>
      <c r="Q459" s="823"/>
      <c r="R459" s="823"/>
      <c r="S459" s="823"/>
      <c r="T459" s="823"/>
      <c r="U459" s="823"/>
      <c r="V459" s="824"/>
      <c r="Z459" s="1039"/>
      <c r="AB459" s="826"/>
      <c r="AC459" s="1040"/>
      <c r="AD459" s="1041"/>
      <c r="AF459" s="1041"/>
      <c r="AH459" s="846"/>
      <c r="AJ459" s="1041"/>
      <c r="AK459" s="1041"/>
      <c r="AM459" s="1041"/>
      <c r="AO459" s="1041"/>
      <c r="AP459" s="1042"/>
      <c r="AQ459" s="1040"/>
      <c r="AR459" s="1040"/>
      <c r="AU459" s="1043"/>
      <c r="AW459" s="1044"/>
      <c r="AX459" s="1044"/>
      <c r="AY459" s="1044"/>
      <c r="AZ459" s="1044"/>
    </row>
    <row r="460" spans="2:52" s="1025" customFormat="1">
      <c r="B460" s="824"/>
      <c r="C460" s="824"/>
      <c r="D460" s="823"/>
      <c r="E460" s="823"/>
      <c r="F460" s="823"/>
      <c r="G460" s="823"/>
      <c r="H460" s="823"/>
      <c r="I460" s="823"/>
      <c r="J460" s="823"/>
      <c r="K460" s="823"/>
      <c r="L460" s="823"/>
      <c r="M460" s="823"/>
      <c r="N460" s="823"/>
      <c r="O460" s="823"/>
      <c r="P460" s="823"/>
      <c r="Q460" s="823"/>
      <c r="R460" s="823"/>
      <c r="S460" s="823"/>
      <c r="T460" s="823"/>
      <c r="U460" s="823"/>
      <c r="V460" s="824"/>
      <c r="Z460" s="1039"/>
      <c r="AB460" s="826"/>
      <c r="AC460" s="1040"/>
      <c r="AD460" s="1041"/>
      <c r="AF460" s="1041"/>
      <c r="AH460" s="846"/>
      <c r="AJ460" s="1041"/>
      <c r="AK460" s="1041"/>
      <c r="AM460" s="1041"/>
      <c r="AO460" s="1041"/>
      <c r="AP460" s="1042"/>
      <c r="AQ460" s="1040"/>
      <c r="AR460" s="1040"/>
      <c r="AU460" s="1043"/>
      <c r="AW460" s="1044"/>
      <c r="AX460" s="1044"/>
      <c r="AY460" s="1044"/>
      <c r="AZ460" s="1044"/>
    </row>
    <row r="461" spans="2:52" s="1025" customFormat="1">
      <c r="B461" s="824"/>
      <c r="C461" s="824"/>
      <c r="D461" s="823"/>
      <c r="E461" s="823"/>
      <c r="F461" s="823"/>
      <c r="G461" s="823"/>
      <c r="H461" s="823"/>
      <c r="I461" s="823"/>
      <c r="J461" s="823"/>
      <c r="K461" s="823"/>
      <c r="L461" s="823"/>
      <c r="M461" s="823"/>
      <c r="N461" s="823"/>
      <c r="O461" s="823"/>
      <c r="P461" s="823"/>
      <c r="Q461" s="823"/>
      <c r="R461" s="823"/>
      <c r="S461" s="823"/>
      <c r="T461" s="823"/>
      <c r="U461" s="823"/>
      <c r="V461" s="824"/>
      <c r="Z461" s="1039"/>
      <c r="AB461" s="826"/>
      <c r="AC461" s="1040"/>
      <c r="AD461" s="1041"/>
      <c r="AF461" s="1041"/>
      <c r="AH461" s="846"/>
      <c r="AJ461" s="1041"/>
      <c r="AK461" s="1041"/>
      <c r="AM461" s="1041"/>
      <c r="AO461" s="1041"/>
      <c r="AP461" s="1042"/>
      <c r="AQ461" s="1040"/>
      <c r="AR461" s="1040"/>
      <c r="AU461" s="1043"/>
      <c r="AW461" s="1044"/>
      <c r="AX461" s="1044"/>
      <c r="AY461" s="1044"/>
      <c r="AZ461" s="1044"/>
    </row>
    <row r="462" spans="2:52" s="1025" customFormat="1">
      <c r="B462" s="824"/>
      <c r="C462" s="824"/>
      <c r="D462" s="823"/>
      <c r="E462" s="823"/>
      <c r="F462" s="823"/>
      <c r="G462" s="823"/>
      <c r="H462" s="823"/>
      <c r="I462" s="823"/>
      <c r="J462" s="823"/>
      <c r="K462" s="823"/>
      <c r="L462" s="823"/>
      <c r="M462" s="823"/>
      <c r="N462" s="823"/>
      <c r="O462" s="823"/>
      <c r="P462" s="823"/>
      <c r="Q462" s="823"/>
      <c r="R462" s="823"/>
      <c r="S462" s="823"/>
      <c r="T462" s="823"/>
      <c r="U462" s="823"/>
      <c r="V462" s="824"/>
      <c r="Z462" s="1039"/>
      <c r="AB462" s="826"/>
      <c r="AC462" s="1040"/>
      <c r="AD462" s="1041"/>
      <c r="AF462" s="1041"/>
      <c r="AH462" s="846"/>
      <c r="AJ462" s="1041"/>
      <c r="AK462" s="1041"/>
      <c r="AM462" s="1041"/>
      <c r="AO462" s="1041"/>
      <c r="AP462" s="1042"/>
      <c r="AQ462" s="1040"/>
      <c r="AR462" s="1040"/>
      <c r="AU462" s="1043"/>
      <c r="AW462" s="1044"/>
      <c r="AX462" s="1044"/>
      <c r="AY462" s="1044"/>
      <c r="AZ462" s="1044"/>
    </row>
    <row r="463" spans="2:52" s="1025" customFormat="1">
      <c r="B463" s="824"/>
      <c r="C463" s="824"/>
      <c r="D463" s="823"/>
      <c r="E463" s="823"/>
      <c r="F463" s="823"/>
      <c r="G463" s="823"/>
      <c r="H463" s="823"/>
      <c r="I463" s="823"/>
      <c r="J463" s="823"/>
      <c r="K463" s="823"/>
      <c r="L463" s="823"/>
      <c r="M463" s="823"/>
      <c r="N463" s="823"/>
      <c r="O463" s="823"/>
      <c r="P463" s="823"/>
      <c r="Q463" s="823"/>
      <c r="R463" s="823"/>
      <c r="S463" s="823"/>
      <c r="T463" s="823"/>
      <c r="U463" s="823"/>
      <c r="V463" s="824"/>
      <c r="Z463" s="1039"/>
      <c r="AB463" s="826"/>
      <c r="AC463" s="1040"/>
      <c r="AD463" s="1041"/>
      <c r="AF463" s="1041"/>
      <c r="AH463" s="846"/>
      <c r="AJ463" s="1041"/>
      <c r="AK463" s="1041"/>
      <c r="AM463" s="1041"/>
      <c r="AO463" s="1041"/>
      <c r="AP463" s="1042"/>
      <c r="AQ463" s="1040"/>
      <c r="AR463" s="1040"/>
      <c r="AU463" s="1043"/>
      <c r="AW463" s="1044"/>
      <c r="AX463" s="1044"/>
      <c r="AY463" s="1044"/>
      <c r="AZ463" s="1044"/>
    </row>
    <row r="464" spans="2:52" s="1025" customFormat="1">
      <c r="B464" s="824"/>
      <c r="C464" s="824"/>
      <c r="D464" s="823"/>
      <c r="E464" s="823"/>
      <c r="F464" s="823"/>
      <c r="G464" s="823"/>
      <c r="H464" s="823"/>
      <c r="I464" s="823"/>
      <c r="J464" s="823"/>
      <c r="K464" s="823"/>
      <c r="L464" s="823"/>
      <c r="M464" s="823"/>
      <c r="N464" s="823"/>
      <c r="O464" s="823"/>
      <c r="P464" s="823"/>
      <c r="Q464" s="823"/>
      <c r="R464" s="823"/>
      <c r="S464" s="823"/>
      <c r="T464" s="823"/>
      <c r="U464" s="823"/>
      <c r="V464" s="824"/>
      <c r="Z464" s="1039"/>
      <c r="AB464" s="826"/>
      <c r="AC464" s="1040"/>
      <c r="AD464" s="1041"/>
      <c r="AF464" s="1041"/>
      <c r="AH464" s="846"/>
      <c r="AJ464" s="1041"/>
      <c r="AK464" s="1041"/>
      <c r="AM464" s="1041"/>
      <c r="AO464" s="1041"/>
      <c r="AP464" s="1042"/>
      <c r="AQ464" s="1040"/>
      <c r="AR464" s="1040"/>
      <c r="AU464" s="1043"/>
      <c r="AW464" s="1044"/>
      <c r="AX464" s="1044"/>
      <c r="AY464" s="1044"/>
      <c r="AZ464" s="1044"/>
    </row>
    <row r="465" spans="2:52" s="1025" customFormat="1">
      <c r="B465" s="824"/>
      <c r="C465" s="824"/>
      <c r="D465" s="823"/>
      <c r="E465" s="823"/>
      <c r="F465" s="823"/>
      <c r="G465" s="823"/>
      <c r="H465" s="823"/>
      <c r="I465" s="823"/>
      <c r="J465" s="823"/>
      <c r="K465" s="823"/>
      <c r="L465" s="823"/>
      <c r="M465" s="823"/>
      <c r="N465" s="823"/>
      <c r="O465" s="823"/>
      <c r="P465" s="823"/>
      <c r="Q465" s="823"/>
      <c r="R465" s="823"/>
      <c r="S465" s="823"/>
      <c r="T465" s="823"/>
      <c r="U465" s="823"/>
      <c r="V465" s="824"/>
      <c r="Z465" s="1039"/>
      <c r="AB465" s="826"/>
      <c r="AC465" s="1040"/>
      <c r="AD465" s="1041"/>
      <c r="AF465" s="1041"/>
      <c r="AH465" s="846"/>
      <c r="AJ465" s="1041"/>
      <c r="AK465" s="1041"/>
      <c r="AM465" s="1041"/>
      <c r="AO465" s="1041"/>
      <c r="AP465" s="1042"/>
      <c r="AQ465" s="1040"/>
      <c r="AR465" s="1040"/>
      <c r="AU465" s="1043"/>
      <c r="AW465" s="1044"/>
      <c r="AX465" s="1044"/>
      <c r="AY465" s="1044"/>
      <c r="AZ465" s="1044"/>
    </row>
    <row r="466" spans="2:52" s="1025" customFormat="1">
      <c r="B466" s="824"/>
      <c r="C466" s="824"/>
      <c r="D466" s="823"/>
      <c r="E466" s="823"/>
      <c r="F466" s="823"/>
      <c r="G466" s="823"/>
      <c r="H466" s="823"/>
      <c r="I466" s="823"/>
      <c r="J466" s="823"/>
      <c r="K466" s="823"/>
      <c r="L466" s="823"/>
      <c r="M466" s="823"/>
      <c r="N466" s="823"/>
      <c r="O466" s="823"/>
      <c r="P466" s="823"/>
      <c r="Q466" s="823"/>
      <c r="R466" s="823"/>
      <c r="S466" s="823"/>
      <c r="T466" s="823"/>
      <c r="U466" s="823"/>
      <c r="V466" s="824"/>
      <c r="Z466" s="1039"/>
      <c r="AB466" s="826"/>
      <c r="AC466" s="1040"/>
      <c r="AD466" s="1041"/>
      <c r="AF466" s="1041"/>
      <c r="AH466" s="846"/>
      <c r="AJ466" s="1041"/>
      <c r="AK466" s="1041"/>
      <c r="AM466" s="1041"/>
      <c r="AO466" s="1041"/>
      <c r="AP466" s="1042"/>
      <c r="AQ466" s="1040"/>
      <c r="AR466" s="1040"/>
      <c r="AU466" s="1043"/>
      <c r="AW466" s="1044"/>
      <c r="AX466" s="1044"/>
      <c r="AY466" s="1044"/>
      <c r="AZ466" s="1044"/>
    </row>
    <row r="467" spans="2:52" s="1025" customFormat="1">
      <c r="B467" s="824"/>
      <c r="C467" s="824"/>
      <c r="D467" s="823"/>
      <c r="E467" s="823"/>
      <c r="F467" s="823"/>
      <c r="G467" s="823"/>
      <c r="H467" s="823"/>
      <c r="I467" s="823"/>
      <c r="J467" s="823"/>
      <c r="K467" s="823"/>
      <c r="L467" s="823"/>
      <c r="M467" s="823"/>
      <c r="N467" s="823"/>
      <c r="O467" s="823"/>
      <c r="P467" s="823"/>
      <c r="Q467" s="823"/>
      <c r="R467" s="823"/>
      <c r="S467" s="823"/>
      <c r="T467" s="823"/>
      <c r="U467" s="823"/>
      <c r="V467" s="824"/>
      <c r="Z467" s="1039"/>
      <c r="AB467" s="826"/>
      <c r="AC467" s="1040"/>
      <c r="AD467" s="1041"/>
      <c r="AF467" s="1041"/>
      <c r="AH467" s="846"/>
      <c r="AJ467" s="1041"/>
      <c r="AK467" s="1041"/>
      <c r="AM467" s="1041"/>
      <c r="AO467" s="1041"/>
      <c r="AP467" s="1042"/>
      <c r="AQ467" s="1040"/>
      <c r="AR467" s="1040"/>
      <c r="AU467" s="1043"/>
      <c r="AW467" s="1044"/>
      <c r="AX467" s="1044"/>
      <c r="AY467" s="1044"/>
      <c r="AZ467" s="1044"/>
    </row>
    <row r="468" spans="2:52" s="1025" customFormat="1">
      <c r="B468" s="824"/>
      <c r="C468" s="824"/>
      <c r="D468" s="823"/>
      <c r="E468" s="823"/>
      <c r="F468" s="823"/>
      <c r="G468" s="823"/>
      <c r="H468" s="823"/>
      <c r="I468" s="823"/>
      <c r="J468" s="823"/>
      <c r="K468" s="823"/>
      <c r="L468" s="823"/>
      <c r="M468" s="823"/>
      <c r="N468" s="823"/>
      <c r="O468" s="823"/>
      <c r="P468" s="823"/>
      <c r="Q468" s="823"/>
      <c r="R468" s="823"/>
      <c r="S468" s="823"/>
      <c r="T468" s="823"/>
      <c r="U468" s="823"/>
      <c r="V468" s="824"/>
      <c r="Z468" s="1039"/>
      <c r="AB468" s="826"/>
      <c r="AC468" s="1040"/>
      <c r="AD468" s="1041"/>
      <c r="AF468" s="1041"/>
      <c r="AH468" s="846"/>
      <c r="AJ468" s="1041"/>
      <c r="AK468" s="1041"/>
      <c r="AM468" s="1041"/>
      <c r="AO468" s="1041"/>
      <c r="AP468" s="1042"/>
      <c r="AQ468" s="1040"/>
      <c r="AR468" s="1040"/>
      <c r="AU468" s="1043"/>
      <c r="AW468" s="1044"/>
      <c r="AX468" s="1044"/>
      <c r="AY468" s="1044"/>
      <c r="AZ468" s="1044"/>
    </row>
    <row r="469" spans="2:52" s="1025" customFormat="1">
      <c r="B469" s="824"/>
      <c r="C469" s="824"/>
      <c r="D469" s="823"/>
      <c r="E469" s="823"/>
      <c r="F469" s="823"/>
      <c r="G469" s="823"/>
      <c r="H469" s="823"/>
      <c r="I469" s="823"/>
      <c r="J469" s="823"/>
      <c r="K469" s="823"/>
      <c r="L469" s="823"/>
      <c r="M469" s="823"/>
      <c r="N469" s="823"/>
      <c r="O469" s="823"/>
      <c r="P469" s="823"/>
      <c r="Q469" s="823"/>
      <c r="R469" s="823"/>
      <c r="S469" s="823"/>
      <c r="T469" s="823"/>
      <c r="U469" s="823"/>
      <c r="V469" s="824"/>
      <c r="Z469" s="1039"/>
      <c r="AB469" s="826"/>
      <c r="AC469" s="1040"/>
      <c r="AD469" s="1041"/>
      <c r="AF469" s="1041"/>
      <c r="AH469" s="846"/>
      <c r="AJ469" s="1041"/>
      <c r="AK469" s="1041"/>
      <c r="AM469" s="1041"/>
      <c r="AO469" s="1041"/>
      <c r="AP469" s="1042"/>
      <c r="AQ469" s="1040"/>
      <c r="AR469" s="1040"/>
      <c r="AU469" s="1043"/>
      <c r="AW469" s="1044"/>
      <c r="AX469" s="1044"/>
      <c r="AY469" s="1044"/>
      <c r="AZ469" s="1044"/>
    </row>
    <row r="470" spans="2:52" s="1025" customFormat="1">
      <c r="B470" s="824"/>
      <c r="C470" s="824"/>
      <c r="D470" s="823"/>
      <c r="E470" s="823"/>
      <c r="F470" s="823"/>
      <c r="G470" s="823"/>
      <c r="H470" s="823"/>
      <c r="I470" s="823"/>
      <c r="J470" s="823"/>
      <c r="K470" s="823"/>
      <c r="L470" s="823"/>
      <c r="M470" s="823"/>
      <c r="N470" s="823"/>
      <c r="O470" s="823"/>
      <c r="P470" s="823"/>
      <c r="Q470" s="823"/>
      <c r="R470" s="823"/>
      <c r="S470" s="823"/>
      <c r="T470" s="823"/>
      <c r="U470" s="823"/>
      <c r="V470" s="824"/>
      <c r="Z470" s="1039"/>
      <c r="AB470" s="826"/>
      <c r="AC470" s="1040"/>
      <c r="AD470" s="1041"/>
      <c r="AF470" s="1041"/>
      <c r="AH470" s="846"/>
      <c r="AJ470" s="1041"/>
      <c r="AK470" s="1041"/>
      <c r="AM470" s="1041"/>
      <c r="AO470" s="1041"/>
      <c r="AP470" s="1042"/>
      <c r="AQ470" s="1040"/>
      <c r="AR470" s="1040"/>
      <c r="AU470" s="1043"/>
      <c r="AW470" s="1044"/>
      <c r="AX470" s="1044"/>
      <c r="AY470" s="1044"/>
      <c r="AZ470" s="1044"/>
    </row>
    <row r="471" spans="2:52" s="1025" customFormat="1">
      <c r="B471" s="824"/>
      <c r="C471" s="824"/>
      <c r="D471" s="823"/>
      <c r="E471" s="823"/>
      <c r="F471" s="823"/>
      <c r="G471" s="823"/>
      <c r="H471" s="823"/>
      <c r="I471" s="823"/>
      <c r="J471" s="823"/>
      <c r="K471" s="823"/>
      <c r="L471" s="823"/>
      <c r="M471" s="823"/>
      <c r="N471" s="823"/>
      <c r="O471" s="823"/>
      <c r="P471" s="823"/>
      <c r="Q471" s="823"/>
      <c r="R471" s="823"/>
      <c r="S471" s="823"/>
      <c r="T471" s="823"/>
      <c r="U471" s="823"/>
      <c r="V471" s="824"/>
      <c r="Z471" s="1039"/>
      <c r="AB471" s="826"/>
      <c r="AC471" s="1040"/>
      <c r="AD471" s="1041"/>
      <c r="AF471" s="1041"/>
      <c r="AH471" s="846"/>
      <c r="AJ471" s="1041"/>
      <c r="AK471" s="1041"/>
      <c r="AM471" s="1041"/>
      <c r="AO471" s="1041"/>
      <c r="AP471" s="1042"/>
      <c r="AQ471" s="1040"/>
      <c r="AR471" s="1040"/>
      <c r="AU471" s="1043"/>
      <c r="AW471" s="1044"/>
      <c r="AX471" s="1044"/>
      <c r="AY471" s="1044"/>
      <c r="AZ471" s="1044"/>
    </row>
    <row r="472" spans="2:52" s="1025" customFormat="1">
      <c r="B472" s="824"/>
      <c r="C472" s="824"/>
      <c r="D472" s="823"/>
      <c r="E472" s="823"/>
      <c r="F472" s="823"/>
      <c r="G472" s="823"/>
      <c r="H472" s="823"/>
      <c r="I472" s="823"/>
      <c r="J472" s="823"/>
      <c r="K472" s="823"/>
      <c r="L472" s="823"/>
      <c r="M472" s="823"/>
      <c r="N472" s="823"/>
      <c r="O472" s="823"/>
      <c r="P472" s="823"/>
      <c r="Q472" s="823"/>
      <c r="R472" s="823"/>
      <c r="S472" s="823"/>
      <c r="T472" s="823"/>
      <c r="U472" s="823"/>
      <c r="V472" s="824"/>
      <c r="Z472" s="1039"/>
      <c r="AB472" s="826"/>
      <c r="AC472" s="1040"/>
      <c r="AD472" s="1041"/>
      <c r="AF472" s="1041"/>
      <c r="AH472" s="846"/>
      <c r="AJ472" s="1041"/>
      <c r="AK472" s="1041"/>
      <c r="AM472" s="1041"/>
      <c r="AO472" s="1041"/>
      <c r="AP472" s="1042"/>
      <c r="AQ472" s="1040"/>
      <c r="AR472" s="1040"/>
      <c r="AU472" s="1043"/>
      <c r="AW472" s="1044"/>
      <c r="AX472" s="1044"/>
      <c r="AY472" s="1044"/>
      <c r="AZ472" s="1044"/>
    </row>
    <row r="473" spans="2:52" s="1025" customFormat="1">
      <c r="B473" s="824"/>
      <c r="C473" s="824"/>
      <c r="D473" s="823"/>
      <c r="E473" s="823"/>
      <c r="F473" s="823"/>
      <c r="G473" s="823"/>
      <c r="H473" s="823"/>
      <c r="I473" s="823"/>
      <c r="J473" s="823"/>
      <c r="K473" s="823"/>
      <c r="L473" s="823"/>
      <c r="M473" s="823"/>
      <c r="N473" s="823"/>
      <c r="O473" s="823"/>
      <c r="P473" s="823"/>
      <c r="Q473" s="823"/>
      <c r="R473" s="823"/>
      <c r="S473" s="823"/>
      <c r="T473" s="823"/>
      <c r="U473" s="823"/>
      <c r="V473" s="824"/>
      <c r="Z473" s="1039"/>
      <c r="AB473" s="826"/>
      <c r="AC473" s="1040"/>
      <c r="AD473" s="1041"/>
      <c r="AF473" s="1041"/>
      <c r="AH473" s="846"/>
      <c r="AJ473" s="1041"/>
      <c r="AK473" s="1041"/>
      <c r="AM473" s="1041"/>
      <c r="AO473" s="1041"/>
      <c r="AP473" s="1042"/>
      <c r="AQ473" s="1040"/>
      <c r="AR473" s="1040"/>
      <c r="AU473" s="1043"/>
      <c r="AW473" s="1044"/>
      <c r="AX473" s="1044"/>
      <c r="AY473" s="1044"/>
      <c r="AZ473" s="1044"/>
    </row>
    <row r="474" spans="2:52" s="1025" customFormat="1">
      <c r="B474" s="824"/>
      <c r="C474" s="824"/>
      <c r="D474" s="823"/>
      <c r="E474" s="823"/>
      <c r="F474" s="823"/>
      <c r="G474" s="823"/>
      <c r="H474" s="823"/>
      <c r="I474" s="823"/>
      <c r="J474" s="823"/>
      <c r="K474" s="823"/>
      <c r="L474" s="823"/>
      <c r="M474" s="823"/>
      <c r="N474" s="823"/>
      <c r="O474" s="823"/>
      <c r="P474" s="823"/>
      <c r="Q474" s="823"/>
      <c r="R474" s="823"/>
      <c r="S474" s="823"/>
      <c r="T474" s="823"/>
      <c r="U474" s="823"/>
      <c r="V474" s="824"/>
      <c r="Z474" s="1039"/>
      <c r="AB474" s="826"/>
      <c r="AC474" s="1040"/>
      <c r="AD474" s="1041"/>
      <c r="AF474" s="1041"/>
      <c r="AH474" s="846"/>
      <c r="AJ474" s="1041"/>
      <c r="AK474" s="1041"/>
      <c r="AM474" s="1041"/>
      <c r="AO474" s="1041"/>
      <c r="AP474" s="1042"/>
      <c r="AQ474" s="1040"/>
      <c r="AR474" s="1040"/>
      <c r="AU474" s="1043"/>
      <c r="AW474" s="1044"/>
      <c r="AX474" s="1044"/>
      <c r="AY474" s="1044"/>
      <c r="AZ474" s="1044"/>
    </row>
    <row r="475" spans="2:52" s="1025" customFormat="1">
      <c r="B475" s="824"/>
      <c r="C475" s="824"/>
      <c r="D475" s="823"/>
      <c r="E475" s="823"/>
      <c r="F475" s="823"/>
      <c r="G475" s="823"/>
      <c r="H475" s="823"/>
      <c r="I475" s="823"/>
      <c r="J475" s="823"/>
      <c r="K475" s="823"/>
      <c r="L475" s="823"/>
      <c r="M475" s="823"/>
      <c r="N475" s="823"/>
      <c r="O475" s="823"/>
      <c r="P475" s="823"/>
      <c r="Q475" s="823"/>
      <c r="R475" s="823"/>
      <c r="S475" s="823"/>
      <c r="T475" s="823"/>
      <c r="U475" s="823"/>
      <c r="V475" s="824"/>
      <c r="Z475" s="1039"/>
      <c r="AB475" s="826"/>
      <c r="AC475" s="1040"/>
      <c r="AD475" s="1041"/>
      <c r="AF475" s="1041"/>
      <c r="AH475" s="846"/>
      <c r="AJ475" s="1041"/>
      <c r="AK475" s="1041"/>
      <c r="AM475" s="1041"/>
      <c r="AO475" s="1041"/>
      <c r="AP475" s="1042"/>
      <c r="AQ475" s="1040"/>
      <c r="AR475" s="1040"/>
      <c r="AU475" s="1043"/>
      <c r="AW475" s="1044"/>
      <c r="AX475" s="1044"/>
      <c r="AY475" s="1044"/>
      <c r="AZ475" s="1044"/>
    </row>
    <row r="476" spans="2:52" s="1025" customFormat="1">
      <c r="B476" s="824"/>
      <c r="C476" s="824"/>
      <c r="D476" s="823"/>
      <c r="E476" s="823"/>
      <c r="F476" s="823"/>
      <c r="G476" s="823"/>
      <c r="H476" s="823"/>
      <c r="I476" s="823"/>
      <c r="J476" s="823"/>
      <c r="K476" s="823"/>
      <c r="L476" s="823"/>
      <c r="M476" s="823"/>
      <c r="N476" s="823"/>
      <c r="O476" s="823"/>
      <c r="P476" s="823"/>
      <c r="Q476" s="823"/>
      <c r="R476" s="823"/>
      <c r="S476" s="823"/>
      <c r="T476" s="823"/>
      <c r="U476" s="823"/>
      <c r="V476" s="824"/>
      <c r="Z476" s="1039"/>
      <c r="AB476" s="826"/>
      <c r="AC476" s="1040"/>
      <c r="AD476" s="1041"/>
      <c r="AF476" s="1041"/>
      <c r="AH476" s="846"/>
      <c r="AJ476" s="1041"/>
      <c r="AK476" s="1041"/>
      <c r="AM476" s="1041"/>
      <c r="AO476" s="1041"/>
      <c r="AP476" s="1042"/>
      <c r="AQ476" s="1040"/>
      <c r="AR476" s="1040"/>
      <c r="AU476" s="1043"/>
      <c r="AW476" s="1044"/>
      <c r="AX476" s="1044"/>
      <c r="AY476" s="1044"/>
      <c r="AZ476" s="1044"/>
    </row>
    <row r="477" spans="2:52" s="1025" customFormat="1">
      <c r="B477" s="824"/>
      <c r="C477" s="824"/>
      <c r="D477" s="823"/>
      <c r="E477" s="823"/>
      <c r="F477" s="823"/>
      <c r="G477" s="823"/>
      <c r="H477" s="823"/>
      <c r="I477" s="823"/>
      <c r="J477" s="823"/>
      <c r="K477" s="823"/>
      <c r="L477" s="823"/>
      <c r="M477" s="823"/>
      <c r="N477" s="823"/>
      <c r="O477" s="823"/>
      <c r="P477" s="823"/>
      <c r="Q477" s="823"/>
      <c r="R477" s="823"/>
      <c r="S477" s="823"/>
      <c r="T477" s="823"/>
      <c r="U477" s="823"/>
      <c r="V477" s="824"/>
      <c r="Z477" s="1039"/>
      <c r="AB477" s="826"/>
      <c r="AC477" s="1040"/>
      <c r="AD477" s="1041"/>
      <c r="AF477" s="1041"/>
      <c r="AH477" s="846"/>
      <c r="AJ477" s="1041"/>
      <c r="AK477" s="1041"/>
      <c r="AM477" s="1041"/>
      <c r="AO477" s="1041"/>
      <c r="AP477" s="1042"/>
      <c r="AQ477" s="1040"/>
      <c r="AR477" s="1040"/>
      <c r="AU477" s="1043"/>
      <c r="AW477" s="1044"/>
      <c r="AX477" s="1044"/>
      <c r="AY477" s="1044"/>
      <c r="AZ477" s="1044"/>
    </row>
    <row r="478" spans="2:52" s="1025" customFormat="1">
      <c r="B478" s="824"/>
      <c r="C478" s="824"/>
      <c r="D478" s="823"/>
      <c r="E478" s="823"/>
      <c r="F478" s="823"/>
      <c r="G478" s="823"/>
      <c r="H478" s="823"/>
      <c r="I478" s="823"/>
      <c r="J478" s="823"/>
      <c r="K478" s="823"/>
      <c r="L478" s="823"/>
      <c r="M478" s="823"/>
      <c r="N478" s="823"/>
      <c r="O478" s="823"/>
      <c r="P478" s="823"/>
      <c r="Q478" s="823"/>
      <c r="R478" s="823"/>
      <c r="S478" s="823"/>
      <c r="T478" s="823"/>
      <c r="U478" s="823"/>
      <c r="V478" s="824"/>
      <c r="Z478" s="1039"/>
      <c r="AB478" s="826"/>
      <c r="AC478" s="1040"/>
      <c r="AD478" s="1041"/>
      <c r="AF478" s="1041"/>
      <c r="AH478" s="846"/>
      <c r="AJ478" s="1041"/>
      <c r="AK478" s="1041"/>
      <c r="AM478" s="1041"/>
      <c r="AO478" s="1041"/>
      <c r="AP478" s="1042"/>
      <c r="AQ478" s="1040"/>
      <c r="AR478" s="1040"/>
      <c r="AU478" s="1043"/>
      <c r="AW478" s="1044"/>
      <c r="AX478" s="1044"/>
      <c r="AY478" s="1044"/>
      <c r="AZ478" s="1044"/>
    </row>
    <row r="479" spans="2:52" s="1025" customFormat="1">
      <c r="B479" s="824"/>
      <c r="C479" s="824"/>
      <c r="D479" s="823"/>
      <c r="E479" s="823"/>
      <c r="F479" s="823"/>
      <c r="G479" s="823"/>
      <c r="H479" s="823"/>
      <c r="I479" s="823"/>
      <c r="J479" s="823"/>
      <c r="K479" s="823"/>
      <c r="L479" s="823"/>
      <c r="M479" s="823"/>
      <c r="N479" s="823"/>
      <c r="O479" s="823"/>
      <c r="P479" s="823"/>
      <c r="Q479" s="823"/>
      <c r="R479" s="823"/>
      <c r="S479" s="823"/>
      <c r="T479" s="823"/>
      <c r="U479" s="823"/>
      <c r="V479" s="824"/>
      <c r="Z479" s="1039"/>
      <c r="AB479" s="826"/>
      <c r="AC479" s="1040"/>
      <c r="AD479" s="1041"/>
      <c r="AF479" s="1041"/>
      <c r="AH479" s="846"/>
      <c r="AJ479" s="1041"/>
      <c r="AK479" s="1041"/>
      <c r="AM479" s="1041"/>
      <c r="AO479" s="1041"/>
      <c r="AP479" s="1042"/>
      <c r="AQ479" s="1040"/>
      <c r="AR479" s="1040"/>
      <c r="AU479" s="1043"/>
      <c r="AW479" s="1044"/>
      <c r="AX479" s="1044"/>
      <c r="AY479" s="1044"/>
      <c r="AZ479" s="1044"/>
    </row>
    <row r="480" spans="2:52" s="1025" customFormat="1">
      <c r="B480" s="824"/>
      <c r="C480" s="824"/>
      <c r="D480" s="823"/>
      <c r="E480" s="823"/>
      <c r="F480" s="823"/>
      <c r="G480" s="823"/>
      <c r="H480" s="823"/>
      <c r="I480" s="823"/>
      <c r="J480" s="823"/>
      <c r="K480" s="823"/>
      <c r="L480" s="823"/>
      <c r="M480" s="823"/>
      <c r="N480" s="823"/>
      <c r="O480" s="823"/>
      <c r="P480" s="823"/>
      <c r="Q480" s="823"/>
      <c r="R480" s="823"/>
      <c r="S480" s="823"/>
      <c r="T480" s="823"/>
      <c r="U480" s="823"/>
      <c r="V480" s="824"/>
      <c r="Z480" s="1039"/>
      <c r="AB480" s="826"/>
      <c r="AC480" s="1040"/>
      <c r="AD480" s="1041"/>
      <c r="AF480" s="1041"/>
      <c r="AH480" s="846"/>
      <c r="AJ480" s="1041"/>
      <c r="AK480" s="1041"/>
      <c r="AM480" s="1041"/>
      <c r="AO480" s="1041"/>
      <c r="AP480" s="1042"/>
      <c r="AQ480" s="1040"/>
      <c r="AR480" s="1040"/>
      <c r="AU480" s="1043"/>
      <c r="AW480" s="1044"/>
      <c r="AX480" s="1044"/>
      <c r="AY480" s="1044"/>
      <c r="AZ480" s="1044"/>
    </row>
    <row r="481" spans="2:52" s="1025" customFormat="1">
      <c r="B481" s="824"/>
      <c r="C481" s="824"/>
      <c r="D481" s="823"/>
      <c r="E481" s="823"/>
      <c r="F481" s="823"/>
      <c r="G481" s="823"/>
      <c r="H481" s="823"/>
      <c r="I481" s="823"/>
      <c r="J481" s="823"/>
      <c r="K481" s="823"/>
      <c r="L481" s="823"/>
      <c r="M481" s="823"/>
      <c r="N481" s="823"/>
      <c r="O481" s="823"/>
      <c r="P481" s="823"/>
      <c r="Q481" s="823"/>
      <c r="R481" s="823"/>
      <c r="S481" s="823"/>
      <c r="T481" s="823"/>
      <c r="U481" s="823"/>
      <c r="V481" s="824"/>
      <c r="Z481" s="1039"/>
      <c r="AB481" s="826"/>
      <c r="AC481" s="1040"/>
      <c r="AD481" s="1041"/>
      <c r="AF481" s="1041"/>
      <c r="AH481" s="846"/>
      <c r="AJ481" s="1041"/>
      <c r="AK481" s="1041"/>
      <c r="AM481" s="1041"/>
      <c r="AO481" s="1041"/>
      <c r="AP481" s="1042"/>
      <c r="AQ481" s="1040"/>
      <c r="AR481" s="1040"/>
      <c r="AU481" s="1043"/>
      <c r="AW481" s="1044"/>
      <c r="AX481" s="1044"/>
      <c r="AY481" s="1044"/>
      <c r="AZ481" s="1044"/>
    </row>
    <row r="482" spans="2:52" s="1025" customFormat="1">
      <c r="B482" s="824"/>
      <c r="C482" s="824"/>
      <c r="D482" s="823"/>
      <c r="E482" s="823"/>
      <c r="F482" s="823"/>
      <c r="G482" s="823"/>
      <c r="H482" s="823"/>
      <c r="I482" s="823"/>
      <c r="J482" s="823"/>
      <c r="K482" s="823"/>
      <c r="L482" s="823"/>
      <c r="M482" s="823"/>
      <c r="N482" s="823"/>
      <c r="O482" s="823"/>
      <c r="P482" s="823"/>
      <c r="Q482" s="823"/>
      <c r="R482" s="823"/>
      <c r="S482" s="823"/>
      <c r="T482" s="823"/>
      <c r="U482" s="823"/>
      <c r="V482" s="824"/>
      <c r="Z482" s="1039"/>
      <c r="AB482" s="826"/>
      <c r="AC482" s="1040"/>
      <c r="AD482" s="1041"/>
      <c r="AF482" s="1041"/>
      <c r="AH482" s="846"/>
      <c r="AJ482" s="1041"/>
      <c r="AK482" s="1041"/>
      <c r="AM482" s="1041"/>
      <c r="AO482" s="1041"/>
      <c r="AP482" s="1042"/>
      <c r="AQ482" s="1040"/>
      <c r="AR482" s="1040"/>
      <c r="AU482" s="1043"/>
      <c r="AW482" s="1044"/>
      <c r="AX482" s="1044"/>
      <c r="AY482" s="1044"/>
      <c r="AZ482" s="1044"/>
    </row>
    <row r="483" spans="2:52" s="1025" customFormat="1">
      <c r="B483" s="824"/>
      <c r="C483" s="824"/>
      <c r="D483" s="823"/>
      <c r="E483" s="823"/>
      <c r="F483" s="823"/>
      <c r="G483" s="823"/>
      <c r="H483" s="823"/>
      <c r="I483" s="823"/>
      <c r="J483" s="823"/>
      <c r="K483" s="823"/>
      <c r="L483" s="823"/>
      <c r="M483" s="823"/>
      <c r="N483" s="823"/>
      <c r="O483" s="823"/>
      <c r="P483" s="823"/>
      <c r="Q483" s="823"/>
      <c r="R483" s="823"/>
      <c r="S483" s="823"/>
      <c r="T483" s="823"/>
      <c r="U483" s="823"/>
      <c r="V483" s="824"/>
      <c r="Z483" s="1039"/>
      <c r="AB483" s="826"/>
      <c r="AC483" s="1040"/>
      <c r="AD483" s="1041"/>
      <c r="AF483" s="1041"/>
      <c r="AH483" s="846"/>
      <c r="AJ483" s="1041"/>
      <c r="AK483" s="1041"/>
      <c r="AM483" s="1041"/>
      <c r="AO483" s="1041"/>
      <c r="AP483" s="1042"/>
      <c r="AQ483" s="1040"/>
      <c r="AR483" s="1040"/>
      <c r="AU483" s="1043"/>
      <c r="AW483" s="1044"/>
      <c r="AX483" s="1044"/>
      <c r="AY483" s="1044"/>
      <c r="AZ483" s="1044"/>
    </row>
    <row r="484" spans="2:52" s="1025" customFormat="1">
      <c r="B484" s="824"/>
      <c r="C484" s="824"/>
      <c r="D484" s="823"/>
      <c r="E484" s="823"/>
      <c r="F484" s="823"/>
      <c r="G484" s="823"/>
      <c r="H484" s="823"/>
      <c r="I484" s="823"/>
      <c r="J484" s="823"/>
      <c r="K484" s="823"/>
      <c r="L484" s="823"/>
      <c r="M484" s="823"/>
      <c r="N484" s="823"/>
      <c r="O484" s="823"/>
      <c r="P484" s="823"/>
      <c r="Q484" s="823"/>
      <c r="R484" s="823"/>
      <c r="S484" s="823"/>
      <c r="T484" s="823"/>
      <c r="U484" s="823"/>
      <c r="V484" s="824"/>
      <c r="Z484" s="1039"/>
      <c r="AB484" s="826"/>
      <c r="AC484" s="1040"/>
      <c r="AD484" s="1041"/>
      <c r="AF484" s="1041"/>
      <c r="AH484" s="846"/>
      <c r="AJ484" s="1041"/>
      <c r="AK484" s="1041"/>
      <c r="AM484" s="1041"/>
      <c r="AO484" s="1041"/>
      <c r="AP484" s="1042"/>
      <c r="AQ484" s="1040"/>
      <c r="AR484" s="1040"/>
      <c r="AU484" s="1043"/>
      <c r="AW484" s="1044"/>
      <c r="AX484" s="1044"/>
      <c r="AY484" s="1044"/>
      <c r="AZ484" s="1044"/>
    </row>
    <row r="485" spans="2:52" s="1025" customFormat="1">
      <c r="B485" s="824"/>
      <c r="C485" s="824"/>
      <c r="D485" s="823"/>
      <c r="E485" s="823"/>
      <c r="F485" s="823"/>
      <c r="G485" s="823"/>
      <c r="H485" s="823"/>
      <c r="I485" s="823"/>
      <c r="J485" s="823"/>
      <c r="K485" s="823"/>
      <c r="L485" s="823"/>
      <c r="M485" s="823"/>
      <c r="N485" s="823"/>
      <c r="O485" s="823"/>
      <c r="P485" s="823"/>
      <c r="Q485" s="823"/>
      <c r="R485" s="823"/>
      <c r="S485" s="823"/>
      <c r="T485" s="823"/>
      <c r="U485" s="823"/>
      <c r="V485" s="824"/>
      <c r="Z485" s="1039"/>
      <c r="AB485" s="826"/>
      <c r="AC485" s="1040"/>
      <c r="AD485" s="1041"/>
      <c r="AF485" s="1041"/>
      <c r="AH485" s="846"/>
      <c r="AJ485" s="1041"/>
      <c r="AK485" s="1041"/>
      <c r="AM485" s="1041"/>
      <c r="AO485" s="1041"/>
      <c r="AP485" s="1042"/>
      <c r="AQ485" s="1040"/>
      <c r="AR485" s="1040"/>
      <c r="AU485" s="1043"/>
      <c r="AW485" s="1044"/>
      <c r="AX485" s="1044"/>
      <c r="AY485" s="1044"/>
      <c r="AZ485" s="1044"/>
    </row>
    <row r="486" spans="2:52" s="1025" customFormat="1">
      <c r="B486" s="824"/>
      <c r="C486" s="824"/>
      <c r="D486" s="823"/>
      <c r="E486" s="823"/>
      <c r="F486" s="823"/>
      <c r="G486" s="823"/>
      <c r="H486" s="823"/>
      <c r="I486" s="823"/>
      <c r="J486" s="823"/>
      <c r="K486" s="823"/>
      <c r="L486" s="823"/>
      <c r="M486" s="823"/>
      <c r="N486" s="823"/>
      <c r="O486" s="823"/>
      <c r="P486" s="823"/>
      <c r="Q486" s="823"/>
      <c r="R486" s="823"/>
      <c r="S486" s="823"/>
      <c r="T486" s="823"/>
      <c r="U486" s="823"/>
      <c r="V486" s="824"/>
      <c r="Z486" s="1039"/>
      <c r="AB486" s="826"/>
      <c r="AC486" s="1040"/>
      <c r="AD486" s="1041"/>
      <c r="AF486" s="1041"/>
      <c r="AH486" s="846"/>
      <c r="AJ486" s="1041"/>
      <c r="AK486" s="1041"/>
      <c r="AM486" s="1041"/>
      <c r="AO486" s="1041"/>
      <c r="AP486" s="1042"/>
      <c r="AQ486" s="1040"/>
      <c r="AR486" s="1040"/>
      <c r="AU486" s="1043"/>
      <c r="AW486" s="1044"/>
      <c r="AX486" s="1044"/>
      <c r="AY486" s="1044"/>
      <c r="AZ486" s="1044"/>
    </row>
    <row r="487" spans="2:52" s="1025" customFormat="1">
      <c r="B487" s="824"/>
      <c r="C487" s="824"/>
      <c r="D487" s="823"/>
      <c r="E487" s="823"/>
      <c r="F487" s="823"/>
      <c r="G487" s="823"/>
      <c r="H487" s="823"/>
      <c r="I487" s="823"/>
      <c r="J487" s="823"/>
      <c r="K487" s="823"/>
      <c r="L487" s="823"/>
      <c r="M487" s="823"/>
      <c r="N487" s="823"/>
      <c r="O487" s="823"/>
      <c r="P487" s="823"/>
      <c r="Q487" s="823"/>
      <c r="R487" s="823"/>
      <c r="S487" s="823"/>
      <c r="T487" s="823"/>
      <c r="U487" s="823"/>
      <c r="V487" s="824"/>
      <c r="Z487" s="1039"/>
      <c r="AB487" s="826"/>
      <c r="AC487" s="1040"/>
      <c r="AD487" s="1041"/>
      <c r="AF487" s="1041"/>
      <c r="AH487" s="846"/>
      <c r="AJ487" s="1041"/>
      <c r="AK487" s="1041"/>
      <c r="AM487" s="1041"/>
      <c r="AO487" s="1041"/>
      <c r="AP487" s="1042"/>
      <c r="AQ487" s="1040"/>
      <c r="AR487" s="1040"/>
      <c r="AU487" s="1043"/>
      <c r="AW487" s="1044"/>
      <c r="AX487" s="1044"/>
      <c r="AY487" s="1044"/>
      <c r="AZ487" s="1044"/>
    </row>
    <row r="488" spans="2:52" s="1025" customFormat="1">
      <c r="B488" s="824"/>
      <c r="C488" s="824"/>
      <c r="D488" s="823"/>
      <c r="E488" s="823"/>
      <c r="F488" s="823"/>
      <c r="G488" s="823"/>
      <c r="H488" s="823"/>
      <c r="I488" s="823"/>
      <c r="J488" s="823"/>
      <c r="K488" s="823"/>
      <c r="L488" s="823"/>
      <c r="M488" s="823"/>
      <c r="N488" s="823"/>
      <c r="O488" s="823"/>
      <c r="P488" s="823"/>
      <c r="Q488" s="823"/>
      <c r="R488" s="823"/>
      <c r="S488" s="823"/>
      <c r="T488" s="823"/>
      <c r="U488" s="823"/>
      <c r="V488" s="824"/>
      <c r="Z488" s="1039"/>
      <c r="AB488" s="826"/>
      <c r="AC488" s="1040"/>
      <c r="AD488" s="1041"/>
      <c r="AF488" s="1041"/>
      <c r="AH488" s="846"/>
      <c r="AJ488" s="1041"/>
      <c r="AK488" s="1041"/>
      <c r="AM488" s="1041"/>
      <c r="AO488" s="1041"/>
      <c r="AP488" s="1042"/>
      <c r="AQ488" s="1040"/>
      <c r="AR488" s="1040"/>
      <c r="AU488" s="1043"/>
      <c r="AW488" s="1044"/>
      <c r="AX488" s="1044"/>
      <c r="AY488" s="1044"/>
      <c r="AZ488" s="1044"/>
    </row>
    <row r="489" spans="2:52" s="1025" customFormat="1">
      <c r="B489" s="824"/>
      <c r="C489" s="824"/>
      <c r="D489" s="823"/>
      <c r="E489" s="823"/>
      <c r="F489" s="823"/>
      <c r="G489" s="823"/>
      <c r="H489" s="823"/>
      <c r="I489" s="823"/>
      <c r="J489" s="823"/>
      <c r="K489" s="823"/>
      <c r="L489" s="823"/>
      <c r="M489" s="823"/>
      <c r="N489" s="823"/>
      <c r="O489" s="823"/>
      <c r="P489" s="823"/>
      <c r="Q489" s="823"/>
      <c r="R489" s="823"/>
      <c r="S489" s="823"/>
      <c r="T489" s="823"/>
      <c r="U489" s="823"/>
      <c r="V489" s="824"/>
      <c r="Z489" s="1039"/>
      <c r="AB489" s="826"/>
      <c r="AC489" s="1040"/>
      <c r="AD489" s="1041"/>
      <c r="AF489" s="1041"/>
      <c r="AH489" s="846"/>
      <c r="AJ489" s="1041"/>
      <c r="AK489" s="1041"/>
      <c r="AM489" s="1041"/>
      <c r="AO489" s="1041"/>
      <c r="AP489" s="1042"/>
      <c r="AQ489" s="1040"/>
      <c r="AR489" s="1040"/>
      <c r="AU489" s="1043"/>
      <c r="AW489" s="1044"/>
      <c r="AX489" s="1044"/>
      <c r="AY489" s="1044"/>
      <c r="AZ489" s="1044"/>
    </row>
    <row r="490" spans="2:52" s="1025" customFormat="1">
      <c r="B490" s="824"/>
      <c r="C490" s="824"/>
      <c r="D490" s="823"/>
      <c r="E490" s="823"/>
      <c r="F490" s="823"/>
      <c r="G490" s="823"/>
      <c r="H490" s="823"/>
      <c r="I490" s="823"/>
      <c r="J490" s="823"/>
      <c r="K490" s="823"/>
      <c r="L490" s="823"/>
      <c r="M490" s="823"/>
      <c r="N490" s="823"/>
      <c r="O490" s="823"/>
      <c r="P490" s="823"/>
      <c r="Q490" s="823"/>
      <c r="R490" s="823"/>
      <c r="S490" s="823"/>
      <c r="T490" s="823"/>
      <c r="U490" s="823"/>
      <c r="V490" s="824"/>
      <c r="Z490" s="1039"/>
      <c r="AB490" s="826"/>
      <c r="AC490" s="1040"/>
      <c r="AD490" s="1041"/>
      <c r="AF490" s="1041"/>
      <c r="AH490" s="846"/>
      <c r="AJ490" s="1041"/>
      <c r="AK490" s="1041"/>
      <c r="AM490" s="1041"/>
      <c r="AO490" s="1041"/>
      <c r="AP490" s="1042"/>
      <c r="AQ490" s="1040"/>
      <c r="AR490" s="1040"/>
      <c r="AU490" s="1043"/>
      <c r="AW490" s="1044"/>
      <c r="AX490" s="1044"/>
      <c r="AY490" s="1044"/>
      <c r="AZ490" s="1044"/>
    </row>
    <row r="491" spans="2:52" s="1025" customFormat="1">
      <c r="B491" s="824"/>
      <c r="C491" s="824"/>
      <c r="D491" s="823"/>
      <c r="E491" s="823"/>
      <c r="F491" s="823"/>
      <c r="G491" s="823"/>
      <c r="H491" s="823"/>
      <c r="I491" s="823"/>
      <c r="J491" s="823"/>
      <c r="K491" s="823"/>
      <c r="L491" s="823"/>
      <c r="M491" s="823"/>
      <c r="N491" s="823"/>
      <c r="O491" s="823"/>
      <c r="P491" s="823"/>
      <c r="Q491" s="823"/>
      <c r="R491" s="823"/>
      <c r="S491" s="823"/>
      <c r="T491" s="823"/>
      <c r="U491" s="823"/>
      <c r="V491" s="824"/>
      <c r="Z491" s="1039"/>
      <c r="AB491" s="826"/>
      <c r="AC491" s="1040"/>
      <c r="AD491" s="1041"/>
      <c r="AF491" s="1041"/>
      <c r="AH491" s="846"/>
      <c r="AJ491" s="1041"/>
      <c r="AK491" s="1041"/>
      <c r="AM491" s="1041"/>
      <c r="AO491" s="1041"/>
      <c r="AP491" s="1042"/>
      <c r="AQ491" s="1040"/>
      <c r="AR491" s="1040"/>
      <c r="AU491" s="1043"/>
      <c r="AW491" s="1044"/>
      <c r="AX491" s="1044"/>
      <c r="AY491" s="1044"/>
      <c r="AZ491" s="1044"/>
    </row>
    <row r="492" spans="2:52" s="1025" customFormat="1">
      <c r="B492" s="824"/>
      <c r="C492" s="824"/>
      <c r="D492" s="823"/>
      <c r="E492" s="823"/>
      <c r="F492" s="823"/>
      <c r="G492" s="823"/>
      <c r="H492" s="823"/>
      <c r="I492" s="823"/>
      <c r="J492" s="823"/>
      <c r="K492" s="823"/>
      <c r="L492" s="823"/>
      <c r="M492" s="823"/>
      <c r="N492" s="823"/>
      <c r="O492" s="823"/>
      <c r="P492" s="823"/>
      <c r="Q492" s="823"/>
      <c r="R492" s="823"/>
      <c r="S492" s="823"/>
      <c r="T492" s="823"/>
      <c r="U492" s="823"/>
      <c r="V492" s="824"/>
      <c r="Z492" s="1039"/>
      <c r="AB492" s="826"/>
      <c r="AC492" s="1040"/>
      <c r="AD492" s="1041"/>
      <c r="AF492" s="1041"/>
      <c r="AH492" s="846"/>
      <c r="AJ492" s="1041"/>
      <c r="AK492" s="1041"/>
      <c r="AM492" s="1041"/>
      <c r="AO492" s="1041"/>
      <c r="AP492" s="1042"/>
      <c r="AQ492" s="1040"/>
      <c r="AR492" s="1040"/>
      <c r="AU492" s="1043"/>
      <c r="AW492" s="1044"/>
      <c r="AX492" s="1044"/>
      <c r="AY492" s="1044"/>
      <c r="AZ492" s="1044"/>
    </row>
    <row r="493" spans="2:52" s="1025" customFormat="1">
      <c r="B493" s="824"/>
      <c r="C493" s="824"/>
      <c r="D493" s="823"/>
      <c r="E493" s="823"/>
      <c r="F493" s="823"/>
      <c r="G493" s="823"/>
      <c r="H493" s="823"/>
      <c r="I493" s="823"/>
      <c r="J493" s="823"/>
      <c r="K493" s="823"/>
      <c r="L493" s="823"/>
      <c r="M493" s="823"/>
      <c r="N493" s="823"/>
      <c r="O493" s="823"/>
      <c r="P493" s="823"/>
      <c r="Q493" s="823"/>
      <c r="R493" s="823"/>
      <c r="S493" s="823"/>
      <c r="T493" s="823"/>
      <c r="U493" s="823"/>
      <c r="V493" s="824"/>
      <c r="Z493" s="1039"/>
      <c r="AB493" s="826"/>
      <c r="AC493" s="1040"/>
      <c r="AD493" s="1041"/>
      <c r="AF493" s="1041"/>
      <c r="AH493" s="846"/>
      <c r="AJ493" s="1041"/>
      <c r="AK493" s="1041"/>
      <c r="AM493" s="1041"/>
      <c r="AO493" s="1041"/>
      <c r="AP493" s="1042"/>
      <c r="AQ493" s="1040"/>
      <c r="AR493" s="1040"/>
      <c r="AU493" s="1043"/>
      <c r="AW493" s="1044"/>
      <c r="AX493" s="1044"/>
      <c r="AY493" s="1044"/>
      <c r="AZ493" s="1044"/>
    </row>
    <row r="494" spans="2:52" s="1025" customFormat="1">
      <c r="B494" s="824"/>
      <c r="C494" s="824"/>
      <c r="D494" s="823"/>
      <c r="E494" s="823"/>
      <c r="F494" s="823"/>
      <c r="G494" s="823"/>
      <c r="H494" s="823"/>
      <c r="I494" s="823"/>
      <c r="J494" s="823"/>
      <c r="K494" s="823"/>
      <c r="L494" s="823"/>
      <c r="M494" s="823"/>
      <c r="N494" s="823"/>
      <c r="O494" s="823"/>
      <c r="P494" s="823"/>
      <c r="Q494" s="823"/>
      <c r="R494" s="823"/>
      <c r="S494" s="823"/>
      <c r="T494" s="823"/>
      <c r="U494" s="823"/>
      <c r="V494" s="824"/>
      <c r="Z494" s="1039"/>
      <c r="AB494" s="826"/>
      <c r="AC494" s="1040"/>
      <c r="AD494" s="1041"/>
      <c r="AF494" s="1041"/>
      <c r="AH494" s="846"/>
      <c r="AJ494" s="1041"/>
      <c r="AK494" s="1041"/>
      <c r="AM494" s="1041"/>
      <c r="AO494" s="1041"/>
      <c r="AP494" s="1042"/>
      <c r="AQ494" s="1040"/>
      <c r="AR494" s="1040"/>
      <c r="AU494" s="1043"/>
      <c r="AW494" s="1044"/>
      <c r="AX494" s="1044"/>
      <c r="AY494" s="1044"/>
      <c r="AZ494" s="1044"/>
    </row>
    <row r="495" spans="2:52" s="1025" customFormat="1">
      <c r="B495" s="824"/>
      <c r="C495" s="824"/>
      <c r="D495" s="823"/>
      <c r="E495" s="823"/>
      <c r="F495" s="823"/>
      <c r="G495" s="823"/>
      <c r="H495" s="823"/>
      <c r="I495" s="823"/>
      <c r="J495" s="823"/>
      <c r="K495" s="823"/>
      <c r="L495" s="823"/>
      <c r="M495" s="823"/>
      <c r="N495" s="823"/>
      <c r="O495" s="823"/>
      <c r="P495" s="823"/>
      <c r="Q495" s="823"/>
      <c r="R495" s="823"/>
      <c r="S495" s="823"/>
      <c r="T495" s="823"/>
      <c r="U495" s="823"/>
      <c r="V495" s="824"/>
      <c r="Z495" s="1039"/>
      <c r="AB495" s="826"/>
      <c r="AC495" s="1040"/>
      <c r="AD495" s="1041"/>
      <c r="AF495" s="1041"/>
      <c r="AH495" s="846"/>
      <c r="AJ495" s="1041"/>
      <c r="AK495" s="1041"/>
      <c r="AM495" s="1041"/>
      <c r="AO495" s="1041"/>
      <c r="AP495" s="1042"/>
      <c r="AQ495" s="1040"/>
      <c r="AR495" s="1040"/>
      <c r="AU495" s="1043"/>
      <c r="AW495" s="1044"/>
      <c r="AX495" s="1044"/>
      <c r="AY495" s="1044"/>
      <c r="AZ495" s="1044"/>
    </row>
    <row r="496" spans="2:52" s="1025" customFormat="1">
      <c r="B496" s="824"/>
      <c r="C496" s="824"/>
      <c r="D496" s="823"/>
      <c r="E496" s="823"/>
      <c r="F496" s="823"/>
      <c r="G496" s="823"/>
      <c r="H496" s="823"/>
      <c r="I496" s="823"/>
      <c r="J496" s="823"/>
      <c r="K496" s="823"/>
      <c r="L496" s="823"/>
      <c r="M496" s="823"/>
      <c r="N496" s="823"/>
      <c r="O496" s="823"/>
      <c r="P496" s="823"/>
      <c r="Q496" s="823"/>
      <c r="R496" s="823"/>
      <c r="S496" s="823"/>
      <c r="T496" s="823"/>
      <c r="U496" s="823"/>
      <c r="V496" s="824"/>
      <c r="Z496" s="1039"/>
      <c r="AB496" s="826"/>
      <c r="AC496" s="1040"/>
      <c r="AD496" s="1041"/>
      <c r="AF496" s="1041"/>
      <c r="AH496" s="846"/>
      <c r="AJ496" s="1041"/>
      <c r="AK496" s="1041"/>
      <c r="AM496" s="1041"/>
      <c r="AO496" s="1041"/>
      <c r="AP496" s="1042"/>
      <c r="AQ496" s="1040"/>
      <c r="AR496" s="1040"/>
      <c r="AU496" s="1043"/>
      <c r="AW496" s="1044"/>
      <c r="AX496" s="1044"/>
      <c r="AY496" s="1044"/>
      <c r="AZ496" s="1044"/>
    </row>
    <row r="497" spans="2:52" s="1025" customFormat="1">
      <c r="B497" s="824"/>
      <c r="C497" s="824"/>
      <c r="D497" s="823"/>
      <c r="E497" s="823"/>
      <c r="F497" s="823"/>
      <c r="G497" s="823"/>
      <c r="H497" s="823"/>
      <c r="I497" s="823"/>
      <c r="J497" s="823"/>
      <c r="K497" s="823"/>
      <c r="L497" s="823"/>
      <c r="M497" s="823"/>
      <c r="N497" s="823"/>
      <c r="O497" s="823"/>
      <c r="P497" s="823"/>
      <c r="Q497" s="823"/>
      <c r="R497" s="823"/>
      <c r="S497" s="823"/>
      <c r="T497" s="823"/>
      <c r="U497" s="823"/>
      <c r="V497" s="824"/>
      <c r="Z497" s="1039"/>
      <c r="AB497" s="826"/>
      <c r="AC497" s="1040"/>
      <c r="AD497" s="1041"/>
      <c r="AF497" s="1041"/>
      <c r="AH497" s="846"/>
      <c r="AJ497" s="1041"/>
      <c r="AK497" s="1041"/>
      <c r="AM497" s="1041"/>
      <c r="AO497" s="1041"/>
      <c r="AP497" s="1042"/>
      <c r="AQ497" s="1040"/>
      <c r="AR497" s="1040"/>
      <c r="AU497" s="1043"/>
      <c r="AW497" s="1044"/>
      <c r="AX497" s="1044"/>
      <c r="AY497" s="1044"/>
      <c r="AZ497" s="1044"/>
    </row>
    <row r="498" spans="2:52" s="1025" customFormat="1">
      <c r="B498" s="824"/>
      <c r="C498" s="824"/>
      <c r="D498" s="823"/>
      <c r="E498" s="823"/>
      <c r="F498" s="823"/>
      <c r="G498" s="823"/>
      <c r="H498" s="823"/>
      <c r="I498" s="823"/>
      <c r="J498" s="823"/>
      <c r="K498" s="823"/>
      <c r="L498" s="823"/>
      <c r="M498" s="823"/>
      <c r="N498" s="823"/>
      <c r="O498" s="823"/>
      <c r="P498" s="823"/>
      <c r="Q498" s="823"/>
      <c r="R498" s="823"/>
      <c r="S498" s="823"/>
      <c r="T498" s="823"/>
      <c r="U498" s="823"/>
      <c r="V498" s="824"/>
      <c r="Z498" s="1039"/>
      <c r="AB498" s="826"/>
      <c r="AC498" s="1040"/>
      <c r="AD498" s="1041"/>
      <c r="AF498" s="1041"/>
      <c r="AH498" s="846"/>
      <c r="AJ498" s="1041"/>
      <c r="AK498" s="1041"/>
      <c r="AM498" s="1041"/>
      <c r="AO498" s="1041"/>
      <c r="AP498" s="1042"/>
      <c r="AQ498" s="1040"/>
      <c r="AR498" s="1040"/>
      <c r="AU498" s="1043"/>
      <c r="AW498" s="1044"/>
      <c r="AX498" s="1044"/>
      <c r="AY498" s="1044"/>
      <c r="AZ498" s="1044"/>
    </row>
    <row r="499" spans="2:52" s="1025" customFormat="1">
      <c r="B499" s="824"/>
      <c r="C499" s="824"/>
      <c r="D499" s="823"/>
      <c r="E499" s="823"/>
      <c r="F499" s="823"/>
      <c r="G499" s="823"/>
      <c r="H499" s="823"/>
      <c r="I499" s="823"/>
      <c r="J499" s="823"/>
      <c r="K499" s="823"/>
      <c r="L499" s="823"/>
      <c r="M499" s="823"/>
      <c r="N499" s="823"/>
      <c r="O499" s="823"/>
      <c r="P499" s="823"/>
      <c r="Q499" s="823"/>
      <c r="R499" s="823"/>
      <c r="S499" s="823"/>
      <c r="T499" s="823"/>
      <c r="U499" s="823"/>
      <c r="V499" s="824"/>
      <c r="Z499" s="1039"/>
      <c r="AB499" s="826"/>
      <c r="AC499" s="1040"/>
      <c r="AD499" s="1041"/>
      <c r="AF499" s="1041"/>
      <c r="AH499" s="846"/>
      <c r="AJ499" s="1041"/>
      <c r="AK499" s="1041"/>
      <c r="AM499" s="1041"/>
      <c r="AO499" s="1041"/>
      <c r="AP499" s="1042"/>
      <c r="AQ499" s="1040"/>
      <c r="AR499" s="1040"/>
      <c r="AU499" s="1043"/>
      <c r="AW499" s="1044"/>
      <c r="AX499" s="1044"/>
      <c r="AY499" s="1044"/>
      <c r="AZ499" s="1044"/>
    </row>
    <row r="500" spans="2:52" s="1025" customFormat="1">
      <c r="B500" s="824"/>
      <c r="C500" s="824"/>
      <c r="D500" s="823"/>
      <c r="E500" s="823"/>
      <c r="F500" s="823"/>
      <c r="G500" s="823"/>
      <c r="H500" s="823"/>
      <c r="I500" s="823"/>
      <c r="J500" s="823"/>
      <c r="K500" s="823"/>
      <c r="L500" s="823"/>
      <c r="M500" s="823"/>
      <c r="N500" s="823"/>
      <c r="O500" s="823"/>
      <c r="P500" s="823"/>
      <c r="Q500" s="823"/>
      <c r="R500" s="823"/>
      <c r="S500" s="823"/>
      <c r="T500" s="823"/>
      <c r="U500" s="823"/>
      <c r="V500" s="824"/>
      <c r="Z500" s="1039"/>
      <c r="AB500" s="826"/>
      <c r="AC500" s="1040"/>
      <c r="AD500" s="1041"/>
      <c r="AF500" s="1041"/>
      <c r="AH500" s="846"/>
      <c r="AJ500" s="1041"/>
      <c r="AK500" s="1041"/>
      <c r="AM500" s="1041"/>
      <c r="AO500" s="1041"/>
      <c r="AP500" s="1042"/>
      <c r="AQ500" s="1040"/>
      <c r="AR500" s="1040"/>
      <c r="AU500" s="1043"/>
      <c r="AW500" s="1044"/>
      <c r="AX500" s="1044"/>
      <c r="AY500" s="1044"/>
      <c r="AZ500" s="1044"/>
    </row>
    <row r="501" spans="2:52" s="1025" customFormat="1">
      <c r="B501" s="824"/>
      <c r="C501" s="824"/>
      <c r="D501" s="823"/>
      <c r="E501" s="823"/>
      <c r="F501" s="823"/>
      <c r="G501" s="823"/>
      <c r="H501" s="823"/>
      <c r="I501" s="823"/>
      <c r="J501" s="823"/>
      <c r="K501" s="823"/>
      <c r="L501" s="823"/>
      <c r="M501" s="823"/>
      <c r="N501" s="823"/>
      <c r="O501" s="823"/>
      <c r="P501" s="823"/>
      <c r="Q501" s="823"/>
      <c r="R501" s="823"/>
      <c r="S501" s="823"/>
      <c r="T501" s="823"/>
      <c r="U501" s="823"/>
      <c r="V501" s="824"/>
      <c r="Z501" s="1039"/>
      <c r="AB501" s="826"/>
      <c r="AC501" s="1040"/>
      <c r="AD501" s="1041"/>
      <c r="AF501" s="1041"/>
      <c r="AH501" s="846"/>
      <c r="AJ501" s="1041"/>
      <c r="AK501" s="1041"/>
      <c r="AM501" s="1041"/>
      <c r="AO501" s="1041"/>
      <c r="AP501" s="1042"/>
      <c r="AQ501" s="1040"/>
      <c r="AR501" s="1040"/>
      <c r="AU501" s="1043"/>
      <c r="AW501" s="1044"/>
      <c r="AX501" s="1044"/>
      <c r="AY501" s="1044"/>
      <c r="AZ501" s="1044"/>
    </row>
    <row r="502" spans="2:52" s="1025" customFormat="1">
      <c r="B502" s="824"/>
      <c r="C502" s="824"/>
      <c r="D502" s="823"/>
      <c r="E502" s="823"/>
      <c r="F502" s="823"/>
      <c r="G502" s="823"/>
      <c r="H502" s="823"/>
      <c r="I502" s="823"/>
      <c r="J502" s="823"/>
      <c r="K502" s="823"/>
      <c r="L502" s="823"/>
      <c r="M502" s="823"/>
      <c r="N502" s="823"/>
      <c r="O502" s="823"/>
      <c r="P502" s="823"/>
      <c r="Q502" s="823"/>
      <c r="R502" s="823"/>
      <c r="S502" s="823"/>
      <c r="T502" s="823"/>
      <c r="U502" s="823"/>
      <c r="V502" s="824"/>
      <c r="Z502" s="1039"/>
      <c r="AB502" s="826"/>
      <c r="AC502" s="1040"/>
      <c r="AD502" s="1041"/>
      <c r="AF502" s="1041"/>
      <c r="AH502" s="846"/>
      <c r="AJ502" s="1041"/>
      <c r="AK502" s="1041"/>
      <c r="AM502" s="1041"/>
      <c r="AO502" s="1041"/>
      <c r="AP502" s="1042"/>
      <c r="AQ502" s="1040"/>
      <c r="AR502" s="1040"/>
      <c r="AU502" s="1043"/>
      <c r="AW502" s="1044"/>
      <c r="AX502" s="1044"/>
      <c r="AY502" s="1044"/>
      <c r="AZ502" s="1044"/>
    </row>
    <row r="503" spans="2:52" s="1025" customFormat="1">
      <c r="B503" s="824"/>
      <c r="C503" s="824"/>
      <c r="D503" s="823"/>
      <c r="E503" s="823"/>
      <c r="F503" s="823"/>
      <c r="G503" s="823"/>
      <c r="H503" s="823"/>
      <c r="I503" s="823"/>
      <c r="J503" s="823"/>
      <c r="K503" s="823"/>
      <c r="L503" s="823"/>
      <c r="M503" s="823"/>
      <c r="N503" s="823"/>
      <c r="O503" s="823"/>
      <c r="P503" s="823"/>
      <c r="Q503" s="823"/>
      <c r="R503" s="823"/>
      <c r="S503" s="823"/>
      <c r="T503" s="823"/>
      <c r="U503" s="823"/>
      <c r="V503" s="824"/>
      <c r="Z503" s="1039"/>
      <c r="AB503" s="826"/>
      <c r="AC503" s="1040"/>
      <c r="AD503" s="1041"/>
      <c r="AF503" s="1041"/>
      <c r="AH503" s="846"/>
      <c r="AJ503" s="1041"/>
      <c r="AK503" s="1041"/>
      <c r="AM503" s="1041"/>
      <c r="AO503" s="1041"/>
      <c r="AP503" s="1042"/>
      <c r="AQ503" s="1040"/>
      <c r="AR503" s="1040"/>
      <c r="AU503" s="1043"/>
      <c r="AW503" s="1044"/>
      <c r="AX503" s="1044"/>
      <c r="AY503" s="1044"/>
      <c r="AZ503" s="1044"/>
    </row>
    <row r="504" spans="2:52" s="1025" customFormat="1">
      <c r="B504" s="824"/>
      <c r="C504" s="824"/>
      <c r="D504" s="823"/>
      <c r="E504" s="823"/>
      <c r="F504" s="823"/>
      <c r="G504" s="823"/>
      <c r="H504" s="823"/>
      <c r="I504" s="823"/>
      <c r="J504" s="823"/>
      <c r="K504" s="823"/>
      <c r="L504" s="823"/>
      <c r="M504" s="823"/>
      <c r="N504" s="823"/>
      <c r="O504" s="823"/>
      <c r="P504" s="823"/>
      <c r="Q504" s="823"/>
      <c r="R504" s="823"/>
      <c r="S504" s="823"/>
      <c r="T504" s="823"/>
      <c r="U504" s="823"/>
      <c r="V504" s="824"/>
      <c r="Z504" s="1039"/>
      <c r="AB504" s="826"/>
      <c r="AC504" s="1040"/>
      <c r="AD504" s="1041"/>
      <c r="AF504" s="1041"/>
      <c r="AH504" s="846"/>
      <c r="AJ504" s="1041"/>
      <c r="AK504" s="1041"/>
      <c r="AM504" s="1041"/>
      <c r="AO504" s="1041"/>
      <c r="AP504" s="1042"/>
      <c r="AQ504" s="1040"/>
      <c r="AR504" s="1040"/>
      <c r="AU504" s="1043"/>
      <c r="AW504" s="1044"/>
      <c r="AX504" s="1044"/>
      <c r="AY504" s="1044"/>
      <c r="AZ504" s="1044"/>
    </row>
    <row r="505" spans="2:52" s="1025" customFormat="1">
      <c r="B505" s="824"/>
      <c r="C505" s="824"/>
      <c r="D505" s="823"/>
      <c r="E505" s="823"/>
      <c r="F505" s="823"/>
      <c r="G505" s="823"/>
      <c r="H505" s="823"/>
      <c r="I505" s="823"/>
      <c r="J505" s="823"/>
      <c r="K505" s="823"/>
      <c r="L505" s="823"/>
      <c r="M505" s="823"/>
      <c r="N505" s="823"/>
      <c r="O505" s="823"/>
      <c r="P505" s="823"/>
      <c r="Q505" s="823"/>
      <c r="R505" s="823"/>
      <c r="S505" s="823"/>
      <c r="T505" s="823"/>
      <c r="U505" s="823"/>
      <c r="V505" s="824"/>
      <c r="Z505" s="1039"/>
      <c r="AB505" s="826"/>
      <c r="AC505" s="1040"/>
      <c r="AD505" s="1041"/>
      <c r="AF505" s="1041"/>
      <c r="AH505" s="846"/>
      <c r="AJ505" s="1041"/>
      <c r="AK505" s="1041"/>
      <c r="AM505" s="1041"/>
      <c r="AO505" s="1041"/>
      <c r="AP505" s="1042"/>
      <c r="AQ505" s="1040"/>
      <c r="AR505" s="1040"/>
      <c r="AU505" s="1043"/>
      <c r="AW505" s="1044"/>
      <c r="AX505" s="1044"/>
      <c r="AY505" s="1044"/>
      <c r="AZ505" s="1044"/>
    </row>
    <row r="506" spans="2:52" s="1025" customFormat="1">
      <c r="B506" s="824"/>
      <c r="C506" s="824"/>
      <c r="D506" s="823"/>
      <c r="E506" s="823"/>
      <c r="F506" s="823"/>
      <c r="G506" s="823"/>
      <c r="H506" s="823"/>
      <c r="I506" s="823"/>
      <c r="J506" s="823"/>
      <c r="K506" s="823"/>
      <c r="L506" s="823"/>
      <c r="M506" s="823"/>
      <c r="N506" s="823"/>
      <c r="O506" s="823"/>
      <c r="P506" s="823"/>
      <c r="Q506" s="823"/>
      <c r="R506" s="823"/>
      <c r="S506" s="823"/>
      <c r="T506" s="823"/>
      <c r="U506" s="823"/>
      <c r="V506" s="824"/>
      <c r="Z506" s="1039"/>
      <c r="AB506" s="826"/>
      <c r="AC506" s="1040"/>
      <c r="AD506" s="1041"/>
      <c r="AF506" s="1041"/>
      <c r="AH506" s="846"/>
      <c r="AJ506" s="1041"/>
      <c r="AK506" s="1041"/>
      <c r="AM506" s="1041"/>
      <c r="AO506" s="1041"/>
      <c r="AP506" s="1042"/>
      <c r="AQ506" s="1040"/>
      <c r="AR506" s="1040"/>
      <c r="AU506" s="1043"/>
      <c r="AW506" s="1044"/>
      <c r="AX506" s="1044"/>
      <c r="AY506" s="1044"/>
      <c r="AZ506" s="1044"/>
    </row>
    <row r="507" spans="2:52" s="1025" customFormat="1">
      <c r="B507" s="824"/>
      <c r="C507" s="824"/>
      <c r="D507" s="823"/>
      <c r="E507" s="823"/>
      <c r="F507" s="823"/>
      <c r="G507" s="823"/>
      <c r="H507" s="823"/>
      <c r="I507" s="823"/>
      <c r="J507" s="823"/>
      <c r="K507" s="823"/>
      <c r="L507" s="823"/>
      <c r="M507" s="823"/>
      <c r="N507" s="823"/>
      <c r="O507" s="823"/>
      <c r="P507" s="823"/>
      <c r="Q507" s="823"/>
      <c r="R507" s="823"/>
      <c r="S507" s="823"/>
      <c r="T507" s="823"/>
      <c r="U507" s="823"/>
      <c r="V507" s="824"/>
      <c r="Z507" s="1039"/>
      <c r="AB507" s="826"/>
      <c r="AC507" s="1040"/>
      <c r="AD507" s="1041"/>
      <c r="AF507" s="1041"/>
      <c r="AH507" s="846"/>
      <c r="AJ507" s="1041"/>
      <c r="AK507" s="1041"/>
      <c r="AM507" s="1041"/>
      <c r="AO507" s="1041"/>
      <c r="AP507" s="1042"/>
      <c r="AQ507" s="1040"/>
      <c r="AR507" s="1040"/>
      <c r="AU507" s="1043"/>
      <c r="AW507" s="1044"/>
      <c r="AX507" s="1044"/>
      <c r="AY507" s="1044"/>
      <c r="AZ507" s="1044"/>
    </row>
    <row r="508" spans="2:52" s="1025" customFormat="1">
      <c r="B508" s="824"/>
      <c r="C508" s="824"/>
      <c r="D508" s="823"/>
      <c r="E508" s="823"/>
      <c r="F508" s="823"/>
      <c r="G508" s="823"/>
      <c r="H508" s="823"/>
      <c r="I508" s="823"/>
      <c r="J508" s="823"/>
      <c r="K508" s="823"/>
      <c r="L508" s="823"/>
      <c r="M508" s="823"/>
      <c r="N508" s="823"/>
      <c r="O508" s="823"/>
      <c r="P508" s="823"/>
      <c r="Q508" s="823"/>
      <c r="R508" s="823"/>
      <c r="S508" s="823"/>
      <c r="T508" s="823"/>
      <c r="U508" s="823"/>
      <c r="V508" s="824"/>
      <c r="Z508" s="1039"/>
      <c r="AB508" s="826"/>
      <c r="AC508" s="1040"/>
      <c r="AD508" s="1041"/>
      <c r="AF508" s="1041"/>
      <c r="AH508" s="846"/>
      <c r="AJ508" s="1041"/>
      <c r="AK508" s="1041"/>
      <c r="AM508" s="1041"/>
      <c r="AO508" s="1041"/>
      <c r="AP508" s="1042"/>
      <c r="AQ508" s="1040"/>
      <c r="AR508" s="1040"/>
      <c r="AU508" s="1043"/>
      <c r="AW508" s="1044"/>
      <c r="AX508" s="1044"/>
      <c r="AY508" s="1044"/>
      <c r="AZ508" s="1044"/>
    </row>
    <row r="509" spans="2:52" s="1025" customFormat="1">
      <c r="B509" s="824"/>
      <c r="C509" s="824"/>
      <c r="D509" s="823"/>
      <c r="E509" s="823"/>
      <c r="F509" s="823"/>
      <c r="G509" s="823"/>
      <c r="H509" s="823"/>
      <c r="I509" s="823"/>
      <c r="J509" s="823"/>
      <c r="K509" s="823"/>
      <c r="L509" s="823"/>
      <c r="M509" s="823"/>
      <c r="N509" s="823"/>
      <c r="O509" s="823"/>
      <c r="P509" s="823"/>
      <c r="Q509" s="823"/>
      <c r="R509" s="823"/>
      <c r="S509" s="823"/>
      <c r="T509" s="823"/>
      <c r="U509" s="823"/>
      <c r="V509" s="824"/>
      <c r="Z509" s="1039"/>
      <c r="AB509" s="826"/>
      <c r="AC509" s="1040"/>
      <c r="AD509" s="1041"/>
      <c r="AF509" s="1041"/>
      <c r="AH509" s="846"/>
      <c r="AJ509" s="1041"/>
      <c r="AK509" s="1041"/>
      <c r="AM509" s="1041"/>
      <c r="AO509" s="1041"/>
      <c r="AP509" s="1042"/>
      <c r="AQ509" s="1040"/>
      <c r="AR509" s="1040"/>
      <c r="AU509" s="1043"/>
      <c r="AW509" s="1044"/>
      <c r="AX509" s="1044"/>
      <c r="AY509" s="1044"/>
      <c r="AZ509" s="1044"/>
    </row>
    <row r="510" spans="2:52" s="1025" customFormat="1">
      <c r="B510" s="824"/>
      <c r="C510" s="824"/>
      <c r="D510" s="823"/>
      <c r="E510" s="823"/>
      <c r="F510" s="823"/>
      <c r="G510" s="823"/>
      <c r="H510" s="823"/>
      <c r="I510" s="823"/>
      <c r="J510" s="823"/>
      <c r="K510" s="823"/>
      <c r="L510" s="823"/>
      <c r="M510" s="823"/>
      <c r="N510" s="823"/>
      <c r="O510" s="823"/>
      <c r="P510" s="823"/>
      <c r="Q510" s="823"/>
      <c r="R510" s="823"/>
      <c r="S510" s="823"/>
      <c r="T510" s="823"/>
      <c r="U510" s="823"/>
      <c r="V510" s="824"/>
      <c r="Z510" s="1039"/>
      <c r="AB510" s="826"/>
      <c r="AC510" s="1040"/>
      <c r="AD510" s="1041"/>
      <c r="AF510" s="1041"/>
      <c r="AH510" s="846"/>
      <c r="AJ510" s="1041"/>
      <c r="AK510" s="1041"/>
      <c r="AM510" s="1041"/>
      <c r="AO510" s="1041"/>
      <c r="AP510" s="1042"/>
      <c r="AQ510" s="1040"/>
      <c r="AR510" s="1040"/>
      <c r="AU510" s="1043"/>
      <c r="AW510" s="1044"/>
      <c r="AX510" s="1044"/>
      <c r="AY510" s="1044"/>
      <c r="AZ510" s="1044"/>
    </row>
    <row r="511" spans="2:52" s="1025" customFormat="1">
      <c r="B511" s="824"/>
      <c r="C511" s="824"/>
      <c r="D511" s="823"/>
      <c r="E511" s="823"/>
      <c r="F511" s="823"/>
      <c r="G511" s="823"/>
      <c r="H511" s="823"/>
      <c r="I511" s="823"/>
      <c r="J511" s="823"/>
      <c r="K511" s="823"/>
      <c r="L511" s="823"/>
      <c r="M511" s="823"/>
      <c r="N511" s="823"/>
      <c r="O511" s="823"/>
      <c r="P511" s="823"/>
      <c r="Q511" s="823"/>
      <c r="R511" s="823"/>
      <c r="S511" s="823"/>
      <c r="T511" s="823"/>
      <c r="U511" s="823"/>
      <c r="V511" s="824"/>
      <c r="Z511" s="1039"/>
      <c r="AB511" s="826"/>
      <c r="AC511" s="1040"/>
      <c r="AD511" s="1041"/>
      <c r="AF511" s="1041"/>
      <c r="AH511" s="846"/>
      <c r="AJ511" s="1041"/>
      <c r="AK511" s="1041"/>
      <c r="AM511" s="1041"/>
      <c r="AO511" s="1041"/>
      <c r="AP511" s="1042"/>
      <c r="AQ511" s="1040"/>
      <c r="AR511" s="1040"/>
      <c r="AU511" s="1043"/>
      <c r="AW511" s="1044"/>
      <c r="AX511" s="1044"/>
      <c r="AY511" s="1044"/>
      <c r="AZ511" s="1044"/>
    </row>
    <row r="512" spans="2:52" s="1025" customFormat="1">
      <c r="B512" s="824"/>
      <c r="C512" s="824"/>
      <c r="D512" s="823"/>
      <c r="E512" s="823"/>
      <c r="F512" s="823"/>
      <c r="G512" s="823"/>
      <c r="H512" s="823"/>
      <c r="I512" s="823"/>
      <c r="J512" s="823"/>
      <c r="K512" s="823"/>
      <c r="L512" s="823"/>
      <c r="M512" s="823"/>
      <c r="N512" s="823"/>
      <c r="O512" s="823"/>
      <c r="P512" s="823"/>
      <c r="Q512" s="823"/>
      <c r="R512" s="823"/>
      <c r="S512" s="823"/>
      <c r="T512" s="823"/>
      <c r="U512" s="823"/>
      <c r="V512" s="824"/>
      <c r="Z512" s="1039"/>
      <c r="AB512" s="826"/>
      <c r="AC512" s="1040"/>
      <c r="AD512" s="1041"/>
      <c r="AF512" s="1041"/>
      <c r="AH512" s="846"/>
      <c r="AJ512" s="1041"/>
      <c r="AK512" s="1041"/>
      <c r="AM512" s="1041"/>
      <c r="AO512" s="1041"/>
      <c r="AP512" s="1042"/>
      <c r="AQ512" s="1040"/>
      <c r="AR512" s="1040"/>
      <c r="AU512" s="1043"/>
      <c r="AW512" s="1044"/>
      <c r="AX512" s="1044"/>
      <c r="AY512" s="1044"/>
      <c r="AZ512" s="1044"/>
    </row>
    <row r="513" spans="2:52" s="1025" customFormat="1">
      <c r="B513" s="824"/>
      <c r="C513" s="824"/>
      <c r="D513" s="823"/>
      <c r="E513" s="823"/>
      <c r="F513" s="823"/>
      <c r="G513" s="823"/>
      <c r="H513" s="823"/>
      <c r="I513" s="823"/>
      <c r="J513" s="823"/>
      <c r="K513" s="823"/>
      <c r="L513" s="823"/>
      <c r="M513" s="823"/>
      <c r="N513" s="823"/>
      <c r="O513" s="823"/>
      <c r="P513" s="823"/>
      <c r="Q513" s="823"/>
      <c r="R513" s="823"/>
      <c r="S513" s="823"/>
      <c r="T513" s="823"/>
      <c r="U513" s="823"/>
      <c r="V513" s="824"/>
      <c r="Z513" s="1039"/>
      <c r="AB513" s="826"/>
      <c r="AC513" s="1040"/>
      <c r="AD513" s="1041"/>
      <c r="AF513" s="1041"/>
      <c r="AH513" s="846"/>
      <c r="AJ513" s="1041"/>
      <c r="AK513" s="1041"/>
      <c r="AM513" s="1041"/>
      <c r="AO513" s="1041"/>
      <c r="AP513" s="1042"/>
      <c r="AQ513" s="1040"/>
      <c r="AR513" s="1040"/>
      <c r="AU513" s="1043"/>
      <c r="AW513" s="1044"/>
      <c r="AX513" s="1044"/>
      <c r="AY513" s="1044"/>
      <c r="AZ513" s="1044"/>
    </row>
    <row r="514" spans="2:52" s="1025" customFormat="1">
      <c r="B514" s="824"/>
      <c r="C514" s="824"/>
      <c r="D514" s="823"/>
      <c r="E514" s="823"/>
      <c r="F514" s="823"/>
      <c r="G514" s="823"/>
      <c r="H514" s="823"/>
      <c r="I514" s="823"/>
      <c r="J514" s="823"/>
      <c r="K514" s="823"/>
      <c r="L514" s="823"/>
      <c r="M514" s="823"/>
      <c r="N514" s="823"/>
      <c r="O514" s="823"/>
      <c r="P514" s="823"/>
      <c r="Q514" s="823"/>
      <c r="R514" s="823"/>
      <c r="S514" s="823"/>
      <c r="T514" s="823"/>
      <c r="U514" s="823"/>
      <c r="V514" s="824"/>
      <c r="Z514" s="1039"/>
      <c r="AB514" s="826"/>
      <c r="AC514" s="1040"/>
      <c r="AD514" s="1041"/>
      <c r="AF514" s="1041"/>
      <c r="AH514" s="846"/>
      <c r="AJ514" s="1041"/>
      <c r="AK514" s="1041"/>
      <c r="AM514" s="1041"/>
      <c r="AO514" s="1041"/>
      <c r="AP514" s="1042"/>
      <c r="AQ514" s="1040"/>
      <c r="AR514" s="1040"/>
      <c r="AU514" s="1043"/>
      <c r="AW514" s="1044"/>
      <c r="AX514" s="1044"/>
      <c r="AY514" s="1044"/>
      <c r="AZ514" s="1044"/>
    </row>
    <row r="515" spans="2:52" s="1025" customFormat="1">
      <c r="B515" s="824"/>
      <c r="C515" s="824"/>
      <c r="D515" s="823"/>
      <c r="E515" s="823"/>
      <c r="F515" s="823"/>
      <c r="G515" s="823"/>
      <c r="H515" s="823"/>
      <c r="I515" s="823"/>
      <c r="J515" s="823"/>
      <c r="K515" s="823"/>
      <c r="L515" s="823"/>
      <c r="M515" s="823"/>
      <c r="N515" s="823"/>
      <c r="O515" s="823"/>
      <c r="P515" s="823"/>
      <c r="Q515" s="823"/>
      <c r="R515" s="823"/>
      <c r="S515" s="823"/>
      <c r="T515" s="823"/>
      <c r="U515" s="823"/>
      <c r="V515" s="824"/>
      <c r="Z515" s="1039"/>
      <c r="AB515" s="826"/>
      <c r="AC515" s="1040"/>
      <c r="AD515" s="1041"/>
      <c r="AF515" s="1041"/>
      <c r="AH515" s="846"/>
      <c r="AJ515" s="1041"/>
      <c r="AK515" s="1041"/>
      <c r="AM515" s="1041"/>
      <c r="AO515" s="1041"/>
      <c r="AP515" s="1042"/>
      <c r="AQ515" s="1040"/>
      <c r="AR515" s="1040"/>
      <c r="AU515" s="1043"/>
      <c r="AW515" s="1044"/>
      <c r="AX515" s="1044"/>
      <c r="AY515" s="1044"/>
      <c r="AZ515" s="1044"/>
    </row>
    <row r="516" spans="2:52" s="1025" customFormat="1">
      <c r="B516" s="824"/>
      <c r="C516" s="824"/>
      <c r="D516" s="823"/>
      <c r="E516" s="823"/>
      <c r="F516" s="823"/>
      <c r="G516" s="823"/>
      <c r="H516" s="823"/>
      <c r="I516" s="823"/>
      <c r="J516" s="823"/>
      <c r="K516" s="823"/>
      <c r="L516" s="823"/>
      <c r="M516" s="823"/>
      <c r="N516" s="823"/>
      <c r="O516" s="823"/>
      <c r="P516" s="823"/>
      <c r="Q516" s="823"/>
      <c r="R516" s="823"/>
      <c r="S516" s="823"/>
      <c r="T516" s="823"/>
      <c r="U516" s="823"/>
      <c r="V516" s="824"/>
      <c r="Z516" s="1039"/>
      <c r="AB516" s="826"/>
      <c r="AC516" s="1040"/>
      <c r="AD516" s="1041"/>
      <c r="AF516" s="1041"/>
      <c r="AH516" s="846"/>
      <c r="AJ516" s="1041"/>
      <c r="AK516" s="1041"/>
      <c r="AM516" s="1041"/>
      <c r="AO516" s="1041"/>
      <c r="AP516" s="1042"/>
      <c r="AQ516" s="1040"/>
      <c r="AR516" s="1040"/>
      <c r="AU516" s="1043"/>
      <c r="AW516" s="1044"/>
      <c r="AX516" s="1044"/>
      <c r="AY516" s="1044"/>
      <c r="AZ516" s="1044"/>
    </row>
    <row r="517" spans="2:52" s="1025" customFormat="1">
      <c r="B517" s="824"/>
      <c r="C517" s="824"/>
      <c r="D517" s="823"/>
      <c r="E517" s="823"/>
      <c r="F517" s="823"/>
      <c r="G517" s="823"/>
      <c r="H517" s="823"/>
      <c r="I517" s="823"/>
      <c r="J517" s="823"/>
      <c r="K517" s="823"/>
      <c r="L517" s="823"/>
      <c r="M517" s="823"/>
      <c r="N517" s="823"/>
      <c r="O517" s="823"/>
      <c r="P517" s="823"/>
      <c r="Q517" s="823"/>
      <c r="R517" s="823"/>
      <c r="S517" s="823"/>
      <c r="T517" s="823"/>
      <c r="U517" s="823"/>
      <c r="V517" s="824"/>
      <c r="Z517" s="1039"/>
      <c r="AB517" s="826"/>
      <c r="AC517" s="1040"/>
      <c r="AD517" s="1041"/>
      <c r="AF517" s="1041"/>
      <c r="AH517" s="846"/>
      <c r="AJ517" s="1041"/>
      <c r="AK517" s="1041"/>
      <c r="AM517" s="1041"/>
      <c r="AO517" s="1041"/>
      <c r="AP517" s="1042"/>
      <c r="AQ517" s="1040"/>
      <c r="AR517" s="1040"/>
      <c r="AU517" s="1043"/>
      <c r="AW517" s="1044"/>
      <c r="AX517" s="1044"/>
      <c r="AY517" s="1044"/>
      <c r="AZ517" s="1044"/>
    </row>
    <row r="518" spans="2:52" s="1025" customFormat="1">
      <c r="B518" s="824"/>
      <c r="C518" s="824"/>
      <c r="D518" s="823"/>
      <c r="E518" s="823"/>
      <c r="F518" s="823"/>
      <c r="G518" s="823"/>
      <c r="H518" s="823"/>
      <c r="I518" s="823"/>
      <c r="J518" s="823"/>
      <c r="K518" s="823"/>
      <c r="L518" s="823"/>
      <c r="M518" s="823"/>
      <c r="N518" s="823"/>
      <c r="O518" s="823"/>
      <c r="P518" s="823"/>
      <c r="Q518" s="823"/>
      <c r="R518" s="823"/>
      <c r="S518" s="823"/>
      <c r="T518" s="823"/>
      <c r="U518" s="823"/>
      <c r="V518" s="824"/>
      <c r="Z518" s="1039"/>
      <c r="AB518" s="826"/>
      <c r="AC518" s="1040"/>
      <c r="AD518" s="1041"/>
      <c r="AF518" s="1041"/>
      <c r="AH518" s="846"/>
      <c r="AJ518" s="1041"/>
      <c r="AK518" s="1041"/>
      <c r="AM518" s="1041"/>
      <c r="AO518" s="1041"/>
      <c r="AP518" s="1042"/>
      <c r="AQ518" s="1040"/>
      <c r="AR518" s="1040"/>
      <c r="AU518" s="1043"/>
      <c r="AW518" s="1044"/>
      <c r="AX518" s="1044"/>
      <c r="AY518" s="1044"/>
      <c r="AZ518" s="1044"/>
    </row>
    <row r="519" spans="2:52" s="1025" customFormat="1">
      <c r="B519" s="824"/>
      <c r="C519" s="824"/>
      <c r="D519" s="823"/>
      <c r="E519" s="823"/>
      <c r="F519" s="823"/>
      <c r="G519" s="823"/>
      <c r="H519" s="823"/>
      <c r="I519" s="823"/>
      <c r="J519" s="823"/>
      <c r="K519" s="823"/>
      <c r="L519" s="823"/>
      <c r="M519" s="823"/>
      <c r="N519" s="823"/>
      <c r="O519" s="823"/>
      <c r="P519" s="823"/>
      <c r="Q519" s="823"/>
      <c r="R519" s="823"/>
      <c r="S519" s="823"/>
      <c r="T519" s="823"/>
      <c r="U519" s="823"/>
      <c r="V519" s="824"/>
      <c r="Z519" s="1039"/>
      <c r="AB519" s="826"/>
      <c r="AC519" s="1040"/>
      <c r="AD519" s="1041"/>
      <c r="AF519" s="1041"/>
      <c r="AH519" s="846"/>
      <c r="AJ519" s="1041"/>
      <c r="AK519" s="1041"/>
      <c r="AM519" s="1041"/>
      <c r="AO519" s="1041"/>
      <c r="AP519" s="1042"/>
      <c r="AQ519" s="1040"/>
      <c r="AR519" s="1040"/>
      <c r="AU519" s="1043"/>
      <c r="AW519" s="1044"/>
      <c r="AX519" s="1044"/>
      <c r="AY519" s="1044"/>
      <c r="AZ519" s="1044"/>
    </row>
    <row r="520" spans="2:52" s="1025" customFormat="1">
      <c r="B520" s="824"/>
      <c r="C520" s="824"/>
      <c r="D520" s="823"/>
      <c r="E520" s="823"/>
      <c r="F520" s="823"/>
      <c r="G520" s="823"/>
      <c r="H520" s="823"/>
      <c r="I520" s="823"/>
      <c r="J520" s="823"/>
      <c r="K520" s="823"/>
      <c r="L520" s="823"/>
      <c r="M520" s="823"/>
      <c r="N520" s="823"/>
      <c r="O520" s="823"/>
      <c r="P520" s="823"/>
      <c r="Q520" s="823"/>
      <c r="R520" s="823"/>
      <c r="S520" s="823"/>
      <c r="T520" s="823"/>
      <c r="U520" s="823"/>
      <c r="V520" s="824"/>
      <c r="Z520" s="1039"/>
      <c r="AB520" s="826"/>
      <c r="AC520" s="1040"/>
      <c r="AD520" s="1041"/>
      <c r="AF520" s="1041"/>
      <c r="AH520" s="846"/>
      <c r="AJ520" s="1041"/>
      <c r="AK520" s="1041"/>
      <c r="AM520" s="1041"/>
      <c r="AO520" s="1041"/>
      <c r="AP520" s="1042"/>
      <c r="AQ520" s="1040"/>
      <c r="AR520" s="1040"/>
      <c r="AU520" s="1043"/>
      <c r="AW520" s="1044"/>
      <c r="AX520" s="1044"/>
      <c r="AY520" s="1044"/>
      <c r="AZ520" s="1044"/>
    </row>
    <row r="521" spans="2:52" s="1025" customFormat="1">
      <c r="B521" s="824"/>
      <c r="C521" s="824"/>
      <c r="D521" s="823"/>
      <c r="E521" s="823"/>
      <c r="F521" s="823"/>
      <c r="G521" s="823"/>
      <c r="H521" s="823"/>
      <c r="I521" s="823"/>
      <c r="J521" s="823"/>
      <c r="K521" s="823"/>
      <c r="L521" s="823"/>
      <c r="M521" s="823"/>
      <c r="N521" s="823"/>
      <c r="O521" s="823"/>
      <c r="P521" s="823"/>
      <c r="Q521" s="823"/>
      <c r="R521" s="823"/>
      <c r="S521" s="823"/>
      <c r="T521" s="823"/>
      <c r="U521" s="823"/>
      <c r="V521" s="824"/>
      <c r="Z521" s="1039"/>
      <c r="AB521" s="826"/>
      <c r="AC521" s="1040"/>
      <c r="AD521" s="1041"/>
      <c r="AF521" s="1041"/>
      <c r="AH521" s="846"/>
      <c r="AJ521" s="1041"/>
      <c r="AK521" s="1041"/>
      <c r="AM521" s="1041"/>
      <c r="AO521" s="1041"/>
      <c r="AP521" s="1042"/>
      <c r="AQ521" s="1040"/>
      <c r="AR521" s="1040"/>
      <c r="AU521" s="1043"/>
      <c r="AW521" s="1044"/>
      <c r="AX521" s="1044"/>
      <c r="AY521" s="1044"/>
      <c r="AZ521" s="1044"/>
    </row>
    <row r="522" spans="2:52" s="1025" customFormat="1">
      <c r="B522" s="824"/>
      <c r="C522" s="824"/>
      <c r="D522" s="823"/>
      <c r="E522" s="823"/>
      <c r="F522" s="823"/>
      <c r="G522" s="823"/>
      <c r="H522" s="823"/>
      <c r="I522" s="823"/>
      <c r="J522" s="823"/>
      <c r="K522" s="823"/>
      <c r="L522" s="823"/>
      <c r="M522" s="823"/>
      <c r="N522" s="823"/>
      <c r="O522" s="823"/>
      <c r="P522" s="823"/>
      <c r="Q522" s="823"/>
      <c r="R522" s="823"/>
      <c r="S522" s="823"/>
      <c r="T522" s="823"/>
      <c r="U522" s="823"/>
      <c r="V522" s="824"/>
      <c r="Z522" s="1039"/>
      <c r="AB522" s="826"/>
      <c r="AC522" s="1040"/>
      <c r="AD522" s="1041"/>
      <c r="AF522" s="1041"/>
      <c r="AH522" s="846"/>
      <c r="AJ522" s="1041"/>
      <c r="AK522" s="1041"/>
      <c r="AM522" s="1041"/>
      <c r="AO522" s="1041"/>
      <c r="AP522" s="1042"/>
      <c r="AQ522" s="1040"/>
      <c r="AR522" s="1040"/>
      <c r="AU522" s="1043"/>
      <c r="AW522" s="1044"/>
      <c r="AX522" s="1044"/>
      <c r="AY522" s="1044"/>
      <c r="AZ522" s="1044"/>
    </row>
    <row r="523" spans="2:52" s="1025" customFormat="1">
      <c r="B523" s="824"/>
      <c r="C523" s="824"/>
      <c r="D523" s="823"/>
      <c r="E523" s="823"/>
      <c r="F523" s="823"/>
      <c r="G523" s="823"/>
      <c r="H523" s="823"/>
      <c r="I523" s="823"/>
      <c r="J523" s="823"/>
      <c r="K523" s="823"/>
      <c r="L523" s="823"/>
      <c r="M523" s="823"/>
      <c r="N523" s="823"/>
      <c r="O523" s="823"/>
      <c r="P523" s="823"/>
      <c r="Q523" s="823"/>
      <c r="R523" s="823"/>
      <c r="S523" s="823"/>
      <c r="T523" s="823"/>
      <c r="U523" s="823"/>
      <c r="V523" s="824"/>
      <c r="Z523" s="1039"/>
      <c r="AB523" s="826"/>
      <c r="AC523" s="1040"/>
      <c r="AD523" s="1041"/>
      <c r="AF523" s="1041"/>
      <c r="AH523" s="846"/>
      <c r="AJ523" s="1041"/>
      <c r="AK523" s="1041"/>
      <c r="AM523" s="1041"/>
      <c r="AO523" s="1041"/>
      <c r="AP523" s="1042"/>
      <c r="AQ523" s="1040"/>
      <c r="AR523" s="1040"/>
      <c r="AU523" s="1043"/>
      <c r="AW523" s="1044"/>
      <c r="AX523" s="1044"/>
      <c r="AY523" s="1044"/>
      <c r="AZ523" s="1044"/>
    </row>
    <row r="524" spans="2:52" s="1025" customFormat="1">
      <c r="B524" s="824"/>
      <c r="C524" s="824"/>
      <c r="D524" s="823"/>
      <c r="E524" s="823"/>
      <c r="F524" s="823"/>
      <c r="G524" s="823"/>
      <c r="H524" s="823"/>
      <c r="I524" s="823"/>
      <c r="J524" s="823"/>
      <c r="K524" s="823"/>
      <c r="L524" s="823"/>
      <c r="M524" s="823"/>
      <c r="N524" s="823"/>
      <c r="O524" s="823"/>
      <c r="P524" s="823"/>
      <c r="Q524" s="823"/>
      <c r="R524" s="823"/>
      <c r="S524" s="823"/>
      <c r="T524" s="823"/>
      <c r="U524" s="823"/>
      <c r="V524" s="824"/>
      <c r="Z524" s="1039"/>
      <c r="AB524" s="826"/>
      <c r="AC524" s="1040"/>
      <c r="AD524" s="1041"/>
      <c r="AF524" s="1041"/>
      <c r="AH524" s="846"/>
      <c r="AJ524" s="1041"/>
      <c r="AK524" s="1041"/>
      <c r="AM524" s="1041"/>
      <c r="AO524" s="1041"/>
      <c r="AP524" s="1042"/>
      <c r="AQ524" s="1040"/>
      <c r="AR524" s="1040"/>
      <c r="AU524" s="1043"/>
      <c r="AW524" s="1044"/>
      <c r="AX524" s="1044"/>
      <c r="AY524" s="1044"/>
      <c r="AZ524" s="1044"/>
    </row>
    <row r="525" spans="2:52" s="1025" customFormat="1">
      <c r="B525" s="824"/>
      <c r="C525" s="824"/>
      <c r="D525" s="823"/>
      <c r="E525" s="823"/>
      <c r="F525" s="823"/>
      <c r="G525" s="823"/>
      <c r="H525" s="823"/>
      <c r="I525" s="823"/>
      <c r="J525" s="823"/>
      <c r="K525" s="823"/>
      <c r="L525" s="823"/>
      <c r="M525" s="823"/>
      <c r="N525" s="823"/>
      <c r="O525" s="823"/>
      <c r="P525" s="823"/>
      <c r="Q525" s="823"/>
      <c r="R525" s="823"/>
      <c r="S525" s="823"/>
      <c r="T525" s="823"/>
      <c r="U525" s="823"/>
      <c r="V525" s="824"/>
      <c r="Z525" s="1039"/>
      <c r="AB525" s="826"/>
      <c r="AC525" s="1040"/>
      <c r="AD525" s="1041"/>
      <c r="AF525" s="1041"/>
      <c r="AH525" s="846"/>
      <c r="AJ525" s="1041"/>
      <c r="AK525" s="1041"/>
      <c r="AM525" s="1041"/>
      <c r="AO525" s="1041"/>
      <c r="AP525" s="1042"/>
      <c r="AQ525" s="1040"/>
      <c r="AR525" s="1040"/>
      <c r="AU525" s="1043"/>
      <c r="AW525" s="1044"/>
      <c r="AX525" s="1044"/>
      <c r="AY525" s="1044"/>
      <c r="AZ525" s="1044"/>
    </row>
    <row r="526" spans="2:52" s="1025" customFormat="1">
      <c r="B526" s="824"/>
      <c r="C526" s="824"/>
      <c r="D526" s="823"/>
      <c r="E526" s="823"/>
      <c r="F526" s="823"/>
      <c r="G526" s="823"/>
      <c r="H526" s="823"/>
      <c r="I526" s="823"/>
      <c r="J526" s="823"/>
      <c r="K526" s="823"/>
      <c r="L526" s="823"/>
      <c r="M526" s="823"/>
      <c r="N526" s="823"/>
      <c r="O526" s="823"/>
      <c r="P526" s="823"/>
      <c r="Q526" s="823"/>
      <c r="R526" s="823"/>
      <c r="S526" s="823"/>
      <c r="T526" s="823"/>
      <c r="U526" s="823"/>
      <c r="V526" s="824"/>
      <c r="Z526" s="1039"/>
      <c r="AB526" s="826"/>
      <c r="AC526" s="1040"/>
      <c r="AD526" s="1041"/>
      <c r="AF526" s="1041"/>
      <c r="AH526" s="846"/>
      <c r="AJ526" s="1041"/>
      <c r="AK526" s="1041"/>
      <c r="AM526" s="1041"/>
      <c r="AO526" s="1041"/>
      <c r="AP526" s="1042"/>
      <c r="AQ526" s="1040"/>
      <c r="AR526" s="1040"/>
      <c r="AU526" s="1043"/>
      <c r="AW526" s="1044"/>
      <c r="AX526" s="1044"/>
      <c r="AY526" s="1044"/>
      <c r="AZ526" s="1044"/>
    </row>
    <row r="527" spans="2:52" s="1025" customFormat="1">
      <c r="B527" s="824"/>
      <c r="C527" s="824"/>
      <c r="D527" s="823"/>
      <c r="E527" s="823"/>
      <c r="F527" s="823"/>
      <c r="G527" s="823"/>
      <c r="H527" s="823"/>
      <c r="I527" s="823"/>
      <c r="J527" s="823"/>
      <c r="K527" s="823"/>
      <c r="L527" s="823"/>
      <c r="M527" s="823"/>
      <c r="N527" s="823"/>
      <c r="O527" s="823"/>
      <c r="P527" s="823"/>
      <c r="Q527" s="823"/>
      <c r="R527" s="823"/>
      <c r="S527" s="823"/>
      <c r="T527" s="823"/>
      <c r="U527" s="823"/>
      <c r="V527" s="824"/>
      <c r="Z527" s="1039"/>
      <c r="AB527" s="826"/>
      <c r="AC527" s="1040"/>
      <c r="AD527" s="1041"/>
      <c r="AF527" s="1041"/>
      <c r="AH527" s="846"/>
      <c r="AJ527" s="1041"/>
      <c r="AK527" s="1041"/>
      <c r="AM527" s="1041"/>
      <c r="AO527" s="1041"/>
      <c r="AP527" s="1042"/>
      <c r="AQ527" s="1040"/>
      <c r="AR527" s="1040"/>
      <c r="AU527" s="1043"/>
      <c r="AW527" s="1044"/>
      <c r="AX527" s="1044"/>
      <c r="AY527" s="1044"/>
      <c r="AZ527" s="1044"/>
    </row>
    <row r="528" spans="2:52" s="1025" customFormat="1">
      <c r="B528" s="824"/>
      <c r="C528" s="824"/>
      <c r="D528" s="823"/>
      <c r="E528" s="823"/>
      <c r="F528" s="823"/>
      <c r="G528" s="823"/>
      <c r="H528" s="823"/>
      <c r="I528" s="823"/>
      <c r="J528" s="823"/>
      <c r="K528" s="823"/>
      <c r="L528" s="823"/>
      <c r="M528" s="823"/>
      <c r="N528" s="823"/>
      <c r="O528" s="823"/>
      <c r="P528" s="823"/>
      <c r="Q528" s="823"/>
      <c r="R528" s="823"/>
      <c r="S528" s="823"/>
      <c r="T528" s="823"/>
      <c r="U528" s="823"/>
      <c r="V528" s="824"/>
      <c r="Z528" s="1039"/>
      <c r="AB528" s="826"/>
      <c r="AC528" s="1040"/>
      <c r="AD528" s="1041"/>
      <c r="AF528" s="1041"/>
      <c r="AH528" s="846"/>
      <c r="AJ528" s="1041"/>
      <c r="AK528" s="1041"/>
      <c r="AM528" s="1041"/>
      <c r="AO528" s="1041"/>
      <c r="AP528" s="1042"/>
      <c r="AQ528" s="1040"/>
      <c r="AR528" s="1040"/>
      <c r="AU528" s="1043"/>
      <c r="AW528" s="1044"/>
      <c r="AX528" s="1044"/>
      <c r="AY528" s="1044"/>
      <c r="AZ528" s="1044"/>
    </row>
    <row r="529" spans="2:52" s="1025" customFormat="1">
      <c r="B529" s="824"/>
      <c r="C529" s="824"/>
      <c r="D529" s="823"/>
      <c r="E529" s="823"/>
      <c r="F529" s="823"/>
      <c r="G529" s="823"/>
      <c r="H529" s="823"/>
      <c r="I529" s="823"/>
      <c r="J529" s="823"/>
      <c r="K529" s="823"/>
      <c r="L529" s="823"/>
      <c r="M529" s="823"/>
      <c r="N529" s="823"/>
      <c r="O529" s="823"/>
      <c r="P529" s="823"/>
      <c r="Q529" s="823"/>
      <c r="R529" s="823"/>
      <c r="S529" s="823"/>
      <c r="T529" s="823"/>
      <c r="U529" s="823"/>
      <c r="V529" s="824"/>
      <c r="Z529" s="1039"/>
      <c r="AB529" s="826"/>
      <c r="AC529" s="1040"/>
      <c r="AD529" s="1041"/>
      <c r="AF529" s="1041"/>
      <c r="AH529" s="846"/>
      <c r="AJ529" s="1041"/>
      <c r="AK529" s="1041"/>
      <c r="AM529" s="1041"/>
      <c r="AO529" s="1041"/>
      <c r="AP529" s="1042"/>
      <c r="AQ529" s="1040"/>
      <c r="AR529" s="1040"/>
      <c r="AU529" s="1043"/>
      <c r="AW529" s="1044"/>
      <c r="AX529" s="1044"/>
      <c r="AY529" s="1044"/>
      <c r="AZ529" s="1044"/>
    </row>
    <row r="530" spans="2:52" s="1025" customFormat="1">
      <c r="B530" s="824"/>
      <c r="C530" s="824"/>
      <c r="D530" s="823"/>
      <c r="E530" s="823"/>
      <c r="F530" s="823"/>
      <c r="G530" s="823"/>
      <c r="H530" s="823"/>
      <c r="I530" s="823"/>
      <c r="J530" s="823"/>
      <c r="K530" s="823"/>
      <c r="L530" s="823"/>
      <c r="M530" s="823"/>
      <c r="N530" s="823"/>
      <c r="O530" s="823"/>
      <c r="P530" s="823"/>
      <c r="Q530" s="823"/>
      <c r="R530" s="823"/>
      <c r="S530" s="823"/>
      <c r="T530" s="823"/>
      <c r="U530" s="823"/>
      <c r="V530" s="824"/>
      <c r="Z530" s="1039"/>
      <c r="AB530" s="826"/>
      <c r="AC530" s="1040"/>
      <c r="AD530" s="1041"/>
      <c r="AF530" s="1041"/>
      <c r="AH530" s="846"/>
      <c r="AJ530" s="1041"/>
      <c r="AK530" s="1041"/>
      <c r="AM530" s="1041"/>
      <c r="AO530" s="1041"/>
      <c r="AP530" s="1042"/>
      <c r="AQ530" s="1040"/>
      <c r="AR530" s="1040"/>
      <c r="AU530" s="1043"/>
      <c r="AW530" s="1044"/>
      <c r="AX530" s="1044"/>
      <c r="AY530" s="1044"/>
      <c r="AZ530" s="1044"/>
    </row>
    <row r="531" spans="2:52" s="1025" customFormat="1">
      <c r="B531" s="824"/>
      <c r="C531" s="824"/>
      <c r="D531" s="823"/>
      <c r="E531" s="823"/>
      <c r="F531" s="823"/>
      <c r="G531" s="823"/>
      <c r="H531" s="823"/>
      <c r="I531" s="823"/>
      <c r="J531" s="823"/>
      <c r="K531" s="823"/>
      <c r="L531" s="823"/>
      <c r="M531" s="823"/>
      <c r="N531" s="823"/>
      <c r="O531" s="823"/>
      <c r="P531" s="823"/>
      <c r="Q531" s="823"/>
      <c r="R531" s="823"/>
      <c r="S531" s="823"/>
      <c r="T531" s="823"/>
      <c r="U531" s="823"/>
      <c r="V531" s="824"/>
      <c r="Z531" s="1039"/>
      <c r="AB531" s="826"/>
      <c r="AC531" s="1040"/>
      <c r="AD531" s="1041"/>
      <c r="AF531" s="1041"/>
      <c r="AH531" s="846"/>
      <c r="AJ531" s="1041"/>
      <c r="AK531" s="1041"/>
      <c r="AM531" s="1041"/>
      <c r="AO531" s="1041"/>
      <c r="AP531" s="1042"/>
      <c r="AQ531" s="1040"/>
      <c r="AR531" s="1040"/>
      <c r="AU531" s="1043"/>
      <c r="AW531" s="1044"/>
      <c r="AX531" s="1044"/>
      <c r="AY531" s="1044"/>
      <c r="AZ531" s="1044"/>
    </row>
    <row r="532" spans="2:52" s="1025" customFormat="1">
      <c r="B532" s="824"/>
      <c r="C532" s="824"/>
      <c r="D532" s="823"/>
      <c r="E532" s="823"/>
      <c r="F532" s="823"/>
      <c r="G532" s="823"/>
      <c r="H532" s="823"/>
      <c r="I532" s="823"/>
      <c r="J532" s="823"/>
      <c r="K532" s="823"/>
      <c r="L532" s="823"/>
      <c r="M532" s="823"/>
      <c r="N532" s="823"/>
      <c r="O532" s="823"/>
      <c r="P532" s="823"/>
      <c r="Q532" s="823"/>
      <c r="R532" s="823"/>
      <c r="S532" s="823"/>
      <c r="T532" s="823"/>
      <c r="U532" s="823"/>
      <c r="V532" s="824"/>
      <c r="Z532" s="1039"/>
      <c r="AB532" s="826"/>
      <c r="AC532" s="1040"/>
      <c r="AD532" s="1041"/>
      <c r="AF532" s="1041"/>
      <c r="AH532" s="846"/>
      <c r="AJ532" s="1041"/>
      <c r="AK532" s="1041"/>
      <c r="AM532" s="1041"/>
      <c r="AO532" s="1041"/>
      <c r="AP532" s="1042"/>
      <c r="AQ532" s="1040"/>
      <c r="AR532" s="1040"/>
      <c r="AU532" s="1043"/>
      <c r="AW532" s="1044"/>
      <c r="AX532" s="1044"/>
      <c r="AY532" s="1044"/>
      <c r="AZ532" s="1044"/>
    </row>
    <row r="533" spans="2:52" s="1025" customFormat="1">
      <c r="B533" s="824"/>
      <c r="C533" s="824"/>
      <c r="D533" s="823"/>
      <c r="E533" s="823"/>
      <c r="F533" s="823"/>
      <c r="G533" s="823"/>
      <c r="H533" s="823"/>
      <c r="I533" s="823"/>
      <c r="J533" s="823"/>
      <c r="K533" s="823"/>
      <c r="L533" s="823"/>
      <c r="M533" s="823"/>
      <c r="N533" s="823"/>
      <c r="O533" s="823"/>
      <c r="P533" s="823"/>
      <c r="Q533" s="823"/>
      <c r="R533" s="823"/>
      <c r="S533" s="823"/>
      <c r="T533" s="823"/>
      <c r="U533" s="823"/>
      <c r="V533" s="824"/>
      <c r="Z533" s="1039"/>
      <c r="AB533" s="826"/>
      <c r="AC533" s="1040"/>
      <c r="AD533" s="1041"/>
      <c r="AF533" s="1041"/>
      <c r="AH533" s="846"/>
      <c r="AJ533" s="1041"/>
      <c r="AK533" s="1041"/>
      <c r="AM533" s="1041"/>
      <c r="AO533" s="1041"/>
      <c r="AP533" s="1042"/>
      <c r="AQ533" s="1040"/>
      <c r="AR533" s="1040"/>
      <c r="AU533" s="1043"/>
      <c r="AW533" s="1044"/>
      <c r="AX533" s="1044"/>
      <c r="AY533" s="1044"/>
      <c r="AZ533" s="1044"/>
    </row>
    <row r="534" spans="2:52" s="1025" customFormat="1">
      <c r="B534" s="824"/>
      <c r="C534" s="824"/>
      <c r="D534" s="823"/>
      <c r="E534" s="823"/>
      <c r="F534" s="823"/>
      <c r="G534" s="823"/>
      <c r="H534" s="823"/>
      <c r="I534" s="823"/>
      <c r="J534" s="823"/>
      <c r="K534" s="823"/>
      <c r="L534" s="823"/>
      <c r="M534" s="823"/>
      <c r="N534" s="823"/>
      <c r="O534" s="823"/>
      <c r="P534" s="823"/>
      <c r="Q534" s="823"/>
      <c r="R534" s="823"/>
      <c r="S534" s="823"/>
      <c r="T534" s="823"/>
      <c r="U534" s="823"/>
      <c r="V534" s="824"/>
      <c r="Z534" s="1039"/>
      <c r="AB534" s="826"/>
      <c r="AC534" s="1040"/>
      <c r="AD534" s="1041"/>
      <c r="AF534" s="1041"/>
      <c r="AH534" s="846"/>
      <c r="AJ534" s="1041"/>
      <c r="AK534" s="1041"/>
      <c r="AM534" s="1041"/>
      <c r="AO534" s="1041"/>
      <c r="AP534" s="1042"/>
      <c r="AQ534" s="1040"/>
      <c r="AR534" s="1040"/>
      <c r="AU534" s="1043"/>
      <c r="AW534" s="1044"/>
      <c r="AX534" s="1044"/>
      <c r="AY534" s="1044"/>
      <c r="AZ534" s="1044"/>
    </row>
    <row r="535" spans="2:52" s="1025" customFormat="1">
      <c r="B535" s="824"/>
      <c r="C535" s="824"/>
      <c r="D535" s="823"/>
      <c r="E535" s="823"/>
      <c r="F535" s="823"/>
      <c r="G535" s="823"/>
      <c r="H535" s="823"/>
      <c r="I535" s="823"/>
      <c r="J535" s="823"/>
      <c r="K535" s="823"/>
      <c r="L535" s="823"/>
      <c r="M535" s="823"/>
      <c r="N535" s="823"/>
      <c r="O535" s="823"/>
      <c r="P535" s="823"/>
      <c r="Q535" s="823"/>
      <c r="R535" s="823"/>
      <c r="S535" s="823"/>
      <c r="T535" s="823"/>
      <c r="U535" s="823"/>
      <c r="V535" s="824"/>
      <c r="Z535" s="1039"/>
      <c r="AB535" s="826"/>
      <c r="AC535" s="1040"/>
      <c r="AD535" s="1041"/>
      <c r="AF535" s="1041"/>
      <c r="AH535" s="846"/>
      <c r="AJ535" s="1041"/>
      <c r="AK535" s="1041"/>
      <c r="AM535" s="1041"/>
      <c r="AO535" s="1041"/>
      <c r="AP535" s="1042"/>
      <c r="AQ535" s="1040"/>
      <c r="AR535" s="1040"/>
      <c r="AU535" s="1043"/>
      <c r="AW535" s="1044"/>
      <c r="AX535" s="1044"/>
      <c r="AY535" s="1044"/>
      <c r="AZ535" s="1044"/>
    </row>
    <row r="536" spans="2:52" s="1025" customFormat="1">
      <c r="B536" s="824"/>
      <c r="C536" s="824"/>
      <c r="D536" s="823"/>
      <c r="E536" s="823"/>
      <c r="F536" s="823"/>
      <c r="G536" s="823"/>
      <c r="H536" s="823"/>
      <c r="I536" s="823"/>
      <c r="J536" s="823"/>
      <c r="K536" s="823"/>
      <c r="L536" s="823"/>
      <c r="M536" s="823"/>
      <c r="N536" s="823"/>
      <c r="O536" s="823"/>
      <c r="P536" s="823"/>
      <c r="Q536" s="823"/>
      <c r="R536" s="823"/>
      <c r="S536" s="823"/>
      <c r="T536" s="823"/>
      <c r="U536" s="823"/>
      <c r="V536" s="824"/>
      <c r="Z536" s="1039"/>
      <c r="AB536" s="826"/>
      <c r="AC536" s="1040"/>
      <c r="AD536" s="1041"/>
      <c r="AF536" s="1041"/>
      <c r="AH536" s="846"/>
      <c r="AJ536" s="1041"/>
      <c r="AK536" s="1041"/>
      <c r="AM536" s="1041"/>
      <c r="AO536" s="1041"/>
      <c r="AP536" s="1042"/>
      <c r="AQ536" s="1040"/>
      <c r="AR536" s="1040"/>
      <c r="AU536" s="1043"/>
      <c r="AW536" s="1044"/>
      <c r="AX536" s="1044"/>
      <c r="AY536" s="1044"/>
      <c r="AZ536" s="1044"/>
    </row>
    <row r="537" spans="2:52" s="1025" customFormat="1">
      <c r="B537" s="824"/>
      <c r="C537" s="824"/>
      <c r="D537" s="823"/>
      <c r="E537" s="823"/>
      <c r="F537" s="823"/>
      <c r="G537" s="823"/>
      <c r="H537" s="823"/>
      <c r="I537" s="823"/>
      <c r="J537" s="823"/>
      <c r="K537" s="823"/>
      <c r="L537" s="823"/>
      <c r="M537" s="823"/>
      <c r="N537" s="823"/>
      <c r="O537" s="823"/>
      <c r="P537" s="823"/>
      <c r="Q537" s="823"/>
      <c r="R537" s="823"/>
      <c r="S537" s="823"/>
      <c r="T537" s="823"/>
      <c r="U537" s="823"/>
      <c r="V537" s="824"/>
      <c r="Z537" s="1039"/>
      <c r="AB537" s="826"/>
      <c r="AC537" s="1040"/>
      <c r="AD537" s="1041"/>
      <c r="AF537" s="1041"/>
      <c r="AH537" s="846"/>
      <c r="AJ537" s="1041"/>
      <c r="AK537" s="1041"/>
      <c r="AM537" s="1041"/>
      <c r="AO537" s="1041"/>
      <c r="AP537" s="1042"/>
      <c r="AQ537" s="1040"/>
      <c r="AR537" s="1040"/>
      <c r="AU537" s="1043"/>
      <c r="AW537" s="1044"/>
      <c r="AX537" s="1044"/>
      <c r="AY537" s="1044"/>
      <c r="AZ537" s="1044"/>
    </row>
    <row r="538" spans="2:52" s="1025" customFormat="1">
      <c r="B538" s="824"/>
      <c r="C538" s="824"/>
      <c r="D538" s="823"/>
      <c r="E538" s="823"/>
      <c r="F538" s="823"/>
      <c r="G538" s="823"/>
      <c r="H538" s="823"/>
      <c r="I538" s="823"/>
      <c r="J538" s="823"/>
      <c r="K538" s="823"/>
      <c r="L538" s="823"/>
      <c r="M538" s="823"/>
      <c r="N538" s="823"/>
      <c r="O538" s="823"/>
      <c r="P538" s="823"/>
      <c r="Q538" s="823"/>
      <c r="R538" s="823"/>
      <c r="S538" s="823"/>
      <c r="T538" s="823"/>
      <c r="U538" s="823"/>
      <c r="V538" s="824"/>
      <c r="Z538" s="1039"/>
      <c r="AB538" s="826"/>
      <c r="AC538" s="1040"/>
      <c r="AD538" s="1041"/>
      <c r="AF538" s="1041"/>
      <c r="AH538" s="846"/>
      <c r="AJ538" s="1041"/>
      <c r="AK538" s="1041"/>
      <c r="AM538" s="1041"/>
      <c r="AO538" s="1041"/>
      <c r="AP538" s="1042"/>
      <c r="AQ538" s="1040"/>
      <c r="AR538" s="1040"/>
      <c r="AU538" s="1043"/>
      <c r="AW538" s="1044"/>
      <c r="AX538" s="1044"/>
      <c r="AY538" s="1044"/>
      <c r="AZ538" s="1044"/>
    </row>
    <row r="539" spans="2:52" s="1025" customFormat="1">
      <c r="B539" s="824"/>
      <c r="C539" s="824"/>
      <c r="D539" s="823"/>
      <c r="E539" s="823"/>
      <c r="F539" s="823"/>
      <c r="G539" s="823"/>
      <c r="H539" s="823"/>
      <c r="I539" s="823"/>
      <c r="J539" s="823"/>
      <c r="K539" s="823"/>
      <c r="L539" s="823"/>
      <c r="M539" s="823"/>
      <c r="N539" s="823"/>
      <c r="O539" s="823"/>
      <c r="P539" s="823"/>
      <c r="Q539" s="823"/>
      <c r="R539" s="823"/>
      <c r="S539" s="823"/>
      <c r="T539" s="823"/>
      <c r="U539" s="823"/>
      <c r="V539" s="824"/>
      <c r="Z539" s="1039"/>
      <c r="AB539" s="826"/>
      <c r="AC539" s="1040"/>
      <c r="AD539" s="1041"/>
      <c r="AF539" s="1041"/>
      <c r="AH539" s="846"/>
      <c r="AJ539" s="1041"/>
      <c r="AK539" s="1041"/>
      <c r="AM539" s="1041"/>
      <c r="AO539" s="1041"/>
      <c r="AP539" s="1042"/>
      <c r="AQ539" s="1040"/>
      <c r="AR539" s="1040"/>
      <c r="AU539" s="1043"/>
      <c r="AW539" s="1044"/>
      <c r="AX539" s="1044"/>
      <c r="AY539" s="1044"/>
      <c r="AZ539" s="1044"/>
    </row>
    <row r="540" spans="2:52" s="1025" customFormat="1">
      <c r="B540" s="824"/>
      <c r="C540" s="824"/>
      <c r="D540" s="823"/>
      <c r="E540" s="823"/>
      <c r="F540" s="823"/>
      <c r="G540" s="823"/>
      <c r="H540" s="823"/>
      <c r="I540" s="823"/>
      <c r="J540" s="823"/>
      <c r="K540" s="823"/>
      <c r="L540" s="823"/>
      <c r="M540" s="823"/>
      <c r="N540" s="823"/>
      <c r="O540" s="823"/>
      <c r="P540" s="823"/>
      <c r="Q540" s="823"/>
      <c r="R540" s="823"/>
      <c r="S540" s="823"/>
      <c r="T540" s="823"/>
      <c r="U540" s="823"/>
      <c r="V540" s="824"/>
      <c r="Z540" s="1039"/>
      <c r="AB540" s="826"/>
      <c r="AC540" s="1040"/>
      <c r="AD540" s="1041"/>
      <c r="AF540" s="1041"/>
      <c r="AH540" s="846"/>
      <c r="AJ540" s="1041"/>
      <c r="AK540" s="1041"/>
      <c r="AM540" s="1041"/>
      <c r="AO540" s="1041"/>
      <c r="AP540" s="1042"/>
      <c r="AQ540" s="1040"/>
      <c r="AR540" s="1040"/>
      <c r="AU540" s="1043"/>
      <c r="AW540" s="1044"/>
      <c r="AX540" s="1044"/>
      <c r="AY540" s="1044"/>
      <c r="AZ540" s="1044"/>
    </row>
    <row r="541" spans="2:52" s="1025" customFormat="1">
      <c r="B541" s="824"/>
      <c r="C541" s="824"/>
      <c r="D541" s="823"/>
      <c r="E541" s="823"/>
      <c r="F541" s="823"/>
      <c r="G541" s="823"/>
      <c r="H541" s="823"/>
      <c r="I541" s="823"/>
      <c r="J541" s="823"/>
      <c r="K541" s="823"/>
      <c r="L541" s="823"/>
      <c r="M541" s="823"/>
      <c r="N541" s="823"/>
      <c r="O541" s="823"/>
      <c r="P541" s="823"/>
      <c r="Q541" s="823"/>
      <c r="R541" s="823"/>
      <c r="S541" s="823"/>
      <c r="T541" s="823"/>
      <c r="U541" s="823"/>
      <c r="V541" s="824"/>
      <c r="Z541" s="1039"/>
      <c r="AB541" s="826"/>
      <c r="AC541" s="1040"/>
      <c r="AD541" s="1041"/>
      <c r="AF541" s="1041"/>
      <c r="AH541" s="846"/>
      <c r="AJ541" s="1041"/>
      <c r="AK541" s="1041"/>
      <c r="AM541" s="1041"/>
      <c r="AO541" s="1041"/>
      <c r="AP541" s="1042"/>
      <c r="AQ541" s="1040"/>
      <c r="AR541" s="1040"/>
      <c r="AU541" s="1043"/>
      <c r="AW541" s="1044"/>
      <c r="AX541" s="1044"/>
      <c r="AY541" s="1044"/>
      <c r="AZ541" s="1044"/>
    </row>
    <row r="542" spans="2:52" s="1025" customFormat="1">
      <c r="B542" s="824"/>
      <c r="C542" s="824"/>
      <c r="D542" s="823"/>
      <c r="E542" s="823"/>
      <c r="F542" s="823"/>
      <c r="G542" s="823"/>
      <c r="H542" s="823"/>
      <c r="I542" s="823"/>
      <c r="J542" s="823"/>
      <c r="K542" s="823"/>
      <c r="L542" s="823"/>
      <c r="M542" s="823"/>
      <c r="N542" s="823"/>
      <c r="O542" s="823"/>
      <c r="P542" s="823"/>
      <c r="Q542" s="823"/>
      <c r="R542" s="823"/>
      <c r="S542" s="823"/>
      <c r="T542" s="823"/>
      <c r="U542" s="823"/>
      <c r="V542" s="824"/>
      <c r="Z542" s="1039"/>
      <c r="AB542" s="826"/>
      <c r="AC542" s="1040"/>
      <c r="AD542" s="1041"/>
      <c r="AF542" s="1041"/>
      <c r="AH542" s="846"/>
      <c r="AJ542" s="1041"/>
      <c r="AK542" s="1041"/>
      <c r="AM542" s="1041"/>
      <c r="AO542" s="1041"/>
      <c r="AP542" s="1042"/>
      <c r="AQ542" s="1040"/>
      <c r="AR542" s="1040"/>
      <c r="AU542" s="1043"/>
      <c r="AW542" s="1044"/>
      <c r="AX542" s="1044"/>
      <c r="AY542" s="1044"/>
      <c r="AZ542" s="1044"/>
    </row>
    <row r="543" spans="2:52" s="1025" customFormat="1">
      <c r="B543" s="824"/>
      <c r="C543" s="824"/>
      <c r="D543" s="823"/>
      <c r="E543" s="823"/>
      <c r="F543" s="823"/>
      <c r="G543" s="823"/>
      <c r="H543" s="823"/>
      <c r="I543" s="823"/>
      <c r="J543" s="823"/>
      <c r="K543" s="823"/>
      <c r="L543" s="823"/>
      <c r="M543" s="823"/>
      <c r="N543" s="823"/>
      <c r="O543" s="823"/>
      <c r="P543" s="823"/>
      <c r="Q543" s="823"/>
      <c r="R543" s="823"/>
      <c r="S543" s="823"/>
      <c r="T543" s="823"/>
      <c r="U543" s="823"/>
      <c r="V543" s="824"/>
      <c r="Z543" s="1039"/>
      <c r="AB543" s="826"/>
      <c r="AC543" s="1040"/>
      <c r="AD543" s="1041"/>
      <c r="AF543" s="1041"/>
      <c r="AH543" s="846"/>
      <c r="AJ543" s="1041"/>
      <c r="AK543" s="1041"/>
      <c r="AM543" s="1041"/>
      <c r="AO543" s="1041"/>
      <c r="AP543" s="1042"/>
      <c r="AQ543" s="1040"/>
      <c r="AR543" s="1040"/>
      <c r="AU543" s="1043"/>
      <c r="AW543" s="1044"/>
      <c r="AX543" s="1044"/>
      <c r="AY543" s="1044"/>
      <c r="AZ543" s="1044"/>
    </row>
    <row r="544" spans="2:52" s="1025" customFormat="1">
      <c r="B544" s="824"/>
      <c r="C544" s="824"/>
      <c r="D544" s="823"/>
      <c r="E544" s="823"/>
      <c r="F544" s="823"/>
      <c r="G544" s="823"/>
      <c r="H544" s="823"/>
      <c r="I544" s="823"/>
      <c r="J544" s="823"/>
      <c r="K544" s="823"/>
      <c r="L544" s="823"/>
      <c r="M544" s="823"/>
      <c r="N544" s="823"/>
      <c r="O544" s="823"/>
      <c r="P544" s="823"/>
      <c r="Q544" s="823"/>
      <c r="R544" s="823"/>
      <c r="S544" s="823"/>
      <c r="T544" s="823"/>
      <c r="U544" s="823"/>
      <c r="V544" s="824"/>
      <c r="Z544" s="1039"/>
      <c r="AB544" s="826"/>
      <c r="AC544" s="1040"/>
      <c r="AD544" s="1041"/>
      <c r="AF544" s="1041"/>
      <c r="AH544" s="846"/>
      <c r="AJ544" s="1041"/>
      <c r="AK544" s="1041"/>
      <c r="AM544" s="1041"/>
      <c r="AO544" s="1041"/>
      <c r="AP544" s="1042"/>
      <c r="AQ544" s="1040"/>
      <c r="AR544" s="1040"/>
      <c r="AU544" s="1043"/>
      <c r="AW544" s="1044"/>
      <c r="AX544" s="1044"/>
      <c r="AY544" s="1044"/>
      <c r="AZ544" s="1044"/>
    </row>
    <row r="545" spans="2:52" s="1025" customFormat="1">
      <c r="B545" s="824"/>
      <c r="C545" s="824"/>
      <c r="D545" s="823"/>
      <c r="E545" s="823"/>
      <c r="F545" s="823"/>
      <c r="G545" s="823"/>
      <c r="H545" s="823"/>
      <c r="I545" s="823"/>
      <c r="J545" s="823"/>
      <c r="K545" s="823"/>
      <c r="L545" s="823"/>
      <c r="M545" s="823"/>
      <c r="N545" s="823"/>
      <c r="O545" s="823"/>
      <c r="P545" s="823"/>
      <c r="Q545" s="823"/>
      <c r="R545" s="823"/>
      <c r="S545" s="823"/>
      <c r="T545" s="823"/>
      <c r="U545" s="823"/>
      <c r="V545" s="824"/>
      <c r="Z545" s="1039"/>
      <c r="AB545" s="826"/>
      <c r="AC545" s="1040"/>
      <c r="AD545" s="1041"/>
      <c r="AF545" s="1041"/>
      <c r="AH545" s="846"/>
      <c r="AJ545" s="1041"/>
      <c r="AK545" s="1041"/>
      <c r="AM545" s="1041"/>
      <c r="AO545" s="1041"/>
      <c r="AP545" s="1042"/>
      <c r="AQ545" s="1040"/>
      <c r="AR545" s="1040"/>
      <c r="AU545" s="1043"/>
      <c r="AW545" s="1044"/>
      <c r="AX545" s="1044"/>
      <c r="AY545" s="1044"/>
      <c r="AZ545" s="1044"/>
    </row>
    <row r="546" spans="2:52" s="1025" customFormat="1">
      <c r="B546" s="824"/>
      <c r="C546" s="824"/>
      <c r="D546" s="823"/>
      <c r="E546" s="823"/>
      <c r="F546" s="823"/>
      <c r="G546" s="823"/>
      <c r="H546" s="823"/>
      <c r="I546" s="823"/>
      <c r="J546" s="823"/>
      <c r="K546" s="823"/>
      <c r="L546" s="823"/>
      <c r="M546" s="823"/>
      <c r="N546" s="823"/>
      <c r="O546" s="823"/>
      <c r="P546" s="823"/>
      <c r="Q546" s="823"/>
      <c r="R546" s="823"/>
      <c r="S546" s="823"/>
      <c r="T546" s="823"/>
      <c r="U546" s="823"/>
      <c r="V546" s="824"/>
      <c r="Z546" s="1039"/>
      <c r="AB546" s="826"/>
      <c r="AC546" s="1040"/>
      <c r="AD546" s="1041"/>
      <c r="AF546" s="1041"/>
      <c r="AH546" s="846"/>
      <c r="AJ546" s="1041"/>
      <c r="AK546" s="1041"/>
      <c r="AM546" s="1041"/>
      <c r="AO546" s="1041"/>
      <c r="AP546" s="1042"/>
      <c r="AQ546" s="1040"/>
      <c r="AR546" s="1040"/>
      <c r="AU546" s="1043"/>
      <c r="AW546" s="1044"/>
      <c r="AX546" s="1044"/>
      <c r="AY546" s="1044"/>
      <c r="AZ546" s="1044"/>
    </row>
    <row r="547" spans="2:52" s="1025" customFormat="1">
      <c r="B547" s="824"/>
      <c r="C547" s="824"/>
      <c r="D547" s="823"/>
      <c r="E547" s="823"/>
      <c r="F547" s="823"/>
      <c r="G547" s="823"/>
      <c r="H547" s="823"/>
      <c r="I547" s="823"/>
      <c r="J547" s="823"/>
      <c r="K547" s="823"/>
      <c r="L547" s="823"/>
      <c r="M547" s="823"/>
      <c r="N547" s="823"/>
      <c r="O547" s="823"/>
      <c r="P547" s="823"/>
      <c r="Q547" s="823"/>
      <c r="R547" s="823"/>
      <c r="S547" s="823"/>
      <c r="T547" s="823"/>
      <c r="U547" s="823"/>
      <c r="V547" s="824"/>
      <c r="Z547" s="1039"/>
      <c r="AB547" s="826"/>
      <c r="AC547" s="1040"/>
      <c r="AD547" s="1041"/>
      <c r="AF547" s="1041"/>
      <c r="AH547" s="846"/>
      <c r="AJ547" s="1041"/>
      <c r="AK547" s="1041"/>
      <c r="AM547" s="1041"/>
      <c r="AO547" s="1041"/>
      <c r="AP547" s="1042"/>
      <c r="AQ547" s="1040"/>
      <c r="AR547" s="1040"/>
      <c r="AU547" s="1043"/>
      <c r="AW547" s="1044"/>
      <c r="AX547" s="1044"/>
      <c r="AY547" s="1044"/>
      <c r="AZ547" s="1044"/>
    </row>
    <row r="548" spans="2:52" s="1025" customFormat="1">
      <c r="B548" s="824"/>
      <c r="C548" s="824"/>
      <c r="D548" s="823"/>
      <c r="E548" s="823"/>
      <c r="F548" s="823"/>
      <c r="G548" s="823"/>
      <c r="H548" s="823"/>
      <c r="I548" s="823"/>
      <c r="J548" s="823"/>
      <c r="K548" s="823"/>
      <c r="L548" s="823"/>
      <c r="M548" s="823"/>
      <c r="N548" s="823"/>
      <c r="O548" s="823"/>
      <c r="P548" s="823"/>
      <c r="Q548" s="823"/>
      <c r="R548" s="823"/>
      <c r="S548" s="823"/>
      <c r="T548" s="823"/>
      <c r="U548" s="823"/>
      <c r="V548" s="824"/>
      <c r="Z548" s="1039"/>
      <c r="AB548" s="826"/>
      <c r="AC548" s="1040"/>
      <c r="AD548" s="1041"/>
      <c r="AF548" s="1041"/>
      <c r="AH548" s="846"/>
      <c r="AJ548" s="1041"/>
      <c r="AK548" s="1041"/>
      <c r="AM548" s="1041"/>
      <c r="AO548" s="1041"/>
      <c r="AP548" s="1042"/>
      <c r="AQ548" s="1040"/>
      <c r="AR548" s="1040"/>
      <c r="AU548" s="1043"/>
      <c r="AW548" s="1044"/>
      <c r="AX548" s="1044"/>
      <c r="AY548" s="1044"/>
      <c r="AZ548" s="1044"/>
    </row>
    <row r="549" spans="2:52" s="1025" customFormat="1">
      <c r="B549" s="824"/>
      <c r="C549" s="824"/>
      <c r="D549" s="823"/>
      <c r="E549" s="823"/>
      <c r="F549" s="823"/>
      <c r="G549" s="823"/>
      <c r="H549" s="823"/>
      <c r="I549" s="823"/>
      <c r="J549" s="823"/>
      <c r="K549" s="823"/>
      <c r="L549" s="823"/>
      <c r="M549" s="823"/>
      <c r="N549" s="823"/>
      <c r="O549" s="823"/>
      <c r="P549" s="823"/>
      <c r="Q549" s="823"/>
      <c r="R549" s="823"/>
      <c r="S549" s="823"/>
      <c r="T549" s="823"/>
      <c r="U549" s="823"/>
      <c r="V549" s="824"/>
      <c r="Z549" s="1039"/>
      <c r="AB549" s="826"/>
      <c r="AC549" s="1040"/>
      <c r="AD549" s="1041"/>
      <c r="AF549" s="1041"/>
      <c r="AH549" s="846"/>
      <c r="AJ549" s="1041"/>
      <c r="AK549" s="1041"/>
      <c r="AM549" s="1041"/>
      <c r="AO549" s="1041"/>
      <c r="AP549" s="1042"/>
      <c r="AQ549" s="1040"/>
      <c r="AR549" s="1040"/>
      <c r="AU549" s="1043"/>
      <c r="AW549" s="1044"/>
      <c r="AX549" s="1044"/>
      <c r="AY549" s="1044"/>
      <c r="AZ549" s="1044"/>
    </row>
    <row r="550" spans="2:52" s="1025" customFormat="1">
      <c r="B550" s="824"/>
      <c r="C550" s="824"/>
      <c r="D550" s="823"/>
      <c r="E550" s="823"/>
      <c r="F550" s="823"/>
      <c r="G550" s="823"/>
      <c r="H550" s="823"/>
      <c r="I550" s="823"/>
      <c r="J550" s="823"/>
      <c r="K550" s="823"/>
      <c r="L550" s="823"/>
      <c r="M550" s="823"/>
      <c r="N550" s="823"/>
      <c r="O550" s="823"/>
      <c r="P550" s="823"/>
      <c r="Q550" s="823"/>
      <c r="R550" s="823"/>
      <c r="S550" s="823"/>
      <c r="T550" s="823"/>
      <c r="U550" s="823"/>
      <c r="V550" s="824"/>
      <c r="Z550" s="1039"/>
      <c r="AB550" s="826"/>
      <c r="AC550" s="1040"/>
      <c r="AD550" s="1041"/>
      <c r="AF550" s="1041"/>
      <c r="AH550" s="846"/>
      <c r="AJ550" s="1041"/>
      <c r="AK550" s="1041"/>
      <c r="AM550" s="1041"/>
      <c r="AO550" s="1041"/>
      <c r="AP550" s="1042"/>
      <c r="AQ550" s="1040"/>
      <c r="AR550" s="1040"/>
      <c r="AU550" s="1043"/>
      <c r="AW550" s="1044"/>
      <c r="AX550" s="1044"/>
      <c r="AY550" s="1044"/>
      <c r="AZ550" s="1044"/>
    </row>
    <row r="551" spans="2:52" s="1025" customFormat="1">
      <c r="B551" s="824"/>
      <c r="C551" s="824"/>
      <c r="D551" s="823"/>
      <c r="E551" s="823"/>
      <c r="F551" s="823"/>
      <c r="G551" s="823"/>
      <c r="H551" s="823"/>
      <c r="I551" s="823"/>
      <c r="J551" s="823"/>
      <c r="K551" s="823"/>
      <c r="L551" s="823"/>
      <c r="M551" s="823"/>
      <c r="N551" s="823"/>
      <c r="O551" s="823"/>
      <c r="P551" s="823"/>
      <c r="Q551" s="823"/>
      <c r="R551" s="823"/>
      <c r="S551" s="823"/>
      <c r="T551" s="823"/>
      <c r="U551" s="823"/>
      <c r="V551" s="824"/>
      <c r="Z551" s="1039"/>
      <c r="AB551" s="826"/>
      <c r="AC551" s="1040"/>
      <c r="AD551" s="1041"/>
      <c r="AF551" s="1041"/>
      <c r="AH551" s="846"/>
      <c r="AJ551" s="1041"/>
      <c r="AK551" s="1041"/>
      <c r="AM551" s="1041"/>
      <c r="AO551" s="1041"/>
      <c r="AP551" s="1042"/>
      <c r="AQ551" s="1040"/>
      <c r="AR551" s="1040"/>
      <c r="AU551" s="1043"/>
      <c r="AW551" s="1044"/>
      <c r="AX551" s="1044"/>
      <c r="AY551" s="1044"/>
      <c r="AZ551" s="1044"/>
    </row>
    <row r="552" spans="2:52" s="1025" customFormat="1">
      <c r="B552" s="824"/>
      <c r="C552" s="824"/>
      <c r="D552" s="823"/>
      <c r="E552" s="823"/>
      <c r="F552" s="823"/>
      <c r="G552" s="823"/>
      <c r="H552" s="823"/>
      <c r="I552" s="823"/>
      <c r="J552" s="823"/>
      <c r="K552" s="823"/>
      <c r="L552" s="823"/>
      <c r="M552" s="823"/>
      <c r="N552" s="823"/>
      <c r="O552" s="823"/>
      <c r="P552" s="823"/>
      <c r="Q552" s="823"/>
      <c r="R552" s="823"/>
      <c r="S552" s="823"/>
      <c r="T552" s="823"/>
      <c r="U552" s="823"/>
      <c r="V552" s="824"/>
      <c r="Z552" s="1039"/>
      <c r="AB552" s="826"/>
      <c r="AC552" s="1040"/>
      <c r="AD552" s="1041"/>
      <c r="AF552" s="1041"/>
      <c r="AH552" s="846"/>
      <c r="AJ552" s="1041"/>
      <c r="AK552" s="1041"/>
      <c r="AM552" s="1041"/>
      <c r="AO552" s="1041"/>
      <c r="AP552" s="1042"/>
      <c r="AQ552" s="1040"/>
      <c r="AR552" s="1040"/>
      <c r="AU552" s="1043"/>
      <c r="AW552" s="1044"/>
      <c r="AX552" s="1044"/>
      <c r="AY552" s="1044"/>
      <c r="AZ552" s="1044"/>
    </row>
    <row r="553" spans="2:52" s="1025" customFormat="1">
      <c r="B553" s="824"/>
      <c r="C553" s="824"/>
      <c r="D553" s="823"/>
      <c r="E553" s="823"/>
      <c r="F553" s="823"/>
      <c r="G553" s="823"/>
      <c r="H553" s="823"/>
      <c r="I553" s="823"/>
      <c r="J553" s="823"/>
      <c r="K553" s="823"/>
      <c r="L553" s="823"/>
      <c r="M553" s="823"/>
      <c r="N553" s="823"/>
      <c r="O553" s="823"/>
      <c r="P553" s="823"/>
      <c r="Q553" s="823"/>
      <c r="R553" s="823"/>
      <c r="S553" s="823"/>
      <c r="T553" s="823"/>
      <c r="U553" s="823"/>
      <c r="V553" s="824"/>
      <c r="Z553" s="1039"/>
      <c r="AB553" s="826"/>
      <c r="AC553" s="1040"/>
      <c r="AD553" s="1041"/>
      <c r="AF553" s="1041"/>
      <c r="AH553" s="846"/>
      <c r="AJ553" s="1041"/>
      <c r="AK553" s="1041"/>
      <c r="AM553" s="1041"/>
      <c r="AO553" s="1041"/>
      <c r="AP553" s="1042"/>
      <c r="AQ553" s="1040"/>
      <c r="AR553" s="1040"/>
      <c r="AU553" s="1043"/>
      <c r="AW553" s="1044"/>
      <c r="AX553" s="1044"/>
      <c r="AY553" s="1044"/>
      <c r="AZ553" s="1044"/>
    </row>
    <row r="554" spans="2:52" s="1025" customFormat="1">
      <c r="B554" s="824"/>
      <c r="C554" s="824"/>
      <c r="D554" s="823"/>
      <c r="E554" s="823"/>
      <c r="F554" s="823"/>
      <c r="G554" s="823"/>
      <c r="H554" s="823"/>
      <c r="I554" s="823"/>
      <c r="J554" s="823"/>
      <c r="K554" s="823"/>
      <c r="L554" s="823"/>
      <c r="M554" s="823"/>
      <c r="N554" s="823"/>
      <c r="O554" s="823"/>
      <c r="P554" s="823"/>
      <c r="Q554" s="823"/>
      <c r="R554" s="823"/>
      <c r="S554" s="823"/>
      <c r="T554" s="823"/>
      <c r="U554" s="823"/>
      <c r="V554" s="824"/>
      <c r="Z554" s="1039"/>
      <c r="AB554" s="826"/>
      <c r="AC554" s="1040"/>
      <c r="AD554" s="1041"/>
      <c r="AF554" s="1041"/>
      <c r="AH554" s="846"/>
      <c r="AJ554" s="1041"/>
      <c r="AK554" s="1041"/>
      <c r="AM554" s="1041"/>
      <c r="AO554" s="1041"/>
      <c r="AP554" s="1042"/>
      <c r="AQ554" s="1040"/>
      <c r="AR554" s="1040"/>
      <c r="AU554" s="1043"/>
      <c r="AW554" s="1044"/>
      <c r="AX554" s="1044"/>
      <c r="AY554" s="1044"/>
      <c r="AZ554" s="1044"/>
    </row>
    <row r="555" spans="2:52" s="1025" customFormat="1">
      <c r="B555" s="824"/>
      <c r="C555" s="824"/>
      <c r="D555" s="823"/>
      <c r="E555" s="823"/>
      <c r="F555" s="823"/>
      <c r="G555" s="823"/>
      <c r="H555" s="823"/>
      <c r="I555" s="823"/>
      <c r="J555" s="823"/>
      <c r="K555" s="823"/>
      <c r="L555" s="823"/>
      <c r="M555" s="823"/>
      <c r="N555" s="823"/>
      <c r="O555" s="823"/>
      <c r="P555" s="823"/>
      <c r="Q555" s="823"/>
      <c r="R555" s="823"/>
      <c r="S555" s="823"/>
      <c r="T555" s="823"/>
      <c r="U555" s="823"/>
      <c r="V555" s="824"/>
      <c r="Z555" s="1039"/>
      <c r="AB555" s="826"/>
      <c r="AC555" s="1040"/>
      <c r="AD555" s="1041"/>
      <c r="AF555" s="1041"/>
      <c r="AH555" s="846"/>
      <c r="AJ555" s="1041"/>
      <c r="AK555" s="1041"/>
      <c r="AM555" s="1041"/>
      <c r="AO555" s="1041"/>
      <c r="AP555" s="1042"/>
      <c r="AQ555" s="1040"/>
      <c r="AR555" s="1040"/>
      <c r="AU555" s="1043"/>
      <c r="AW555" s="1044"/>
      <c r="AX555" s="1044"/>
      <c r="AY555" s="1044"/>
      <c r="AZ555" s="1044"/>
    </row>
    <row r="556" spans="2:52" s="1025" customFormat="1">
      <c r="B556" s="824"/>
      <c r="C556" s="824"/>
      <c r="D556" s="823"/>
      <c r="E556" s="823"/>
      <c r="F556" s="823"/>
      <c r="G556" s="823"/>
      <c r="H556" s="823"/>
      <c r="I556" s="823"/>
      <c r="J556" s="823"/>
      <c r="K556" s="823"/>
      <c r="L556" s="823"/>
      <c r="M556" s="823"/>
      <c r="N556" s="823"/>
      <c r="O556" s="823"/>
      <c r="P556" s="823"/>
      <c r="Q556" s="823"/>
      <c r="R556" s="823"/>
      <c r="S556" s="823"/>
      <c r="T556" s="823"/>
      <c r="U556" s="823"/>
      <c r="V556" s="824"/>
      <c r="Z556" s="1039"/>
      <c r="AB556" s="826"/>
      <c r="AC556" s="1040"/>
      <c r="AD556" s="1041"/>
      <c r="AF556" s="1041"/>
      <c r="AH556" s="846"/>
      <c r="AJ556" s="1041"/>
      <c r="AK556" s="1041"/>
      <c r="AM556" s="1041"/>
      <c r="AO556" s="1041"/>
      <c r="AP556" s="1042"/>
      <c r="AQ556" s="1040"/>
      <c r="AR556" s="1040"/>
      <c r="AU556" s="1043"/>
      <c r="AW556" s="1044"/>
      <c r="AX556" s="1044"/>
      <c r="AY556" s="1044"/>
      <c r="AZ556" s="1044"/>
    </row>
    <row r="557" spans="2:52" s="1025" customFormat="1">
      <c r="B557" s="824"/>
      <c r="C557" s="824"/>
      <c r="D557" s="823"/>
      <c r="E557" s="823"/>
      <c r="F557" s="823"/>
      <c r="G557" s="823"/>
      <c r="H557" s="823"/>
      <c r="I557" s="823"/>
      <c r="J557" s="823"/>
      <c r="K557" s="823"/>
      <c r="L557" s="823"/>
      <c r="M557" s="823"/>
      <c r="N557" s="823"/>
      <c r="O557" s="823"/>
      <c r="P557" s="823"/>
      <c r="Q557" s="823"/>
      <c r="R557" s="823"/>
      <c r="S557" s="823"/>
      <c r="T557" s="823"/>
      <c r="U557" s="823"/>
      <c r="V557" s="824"/>
      <c r="Z557" s="1039"/>
      <c r="AB557" s="826"/>
      <c r="AC557" s="1040"/>
      <c r="AD557" s="1041"/>
      <c r="AF557" s="1041"/>
      <c r="AH557" s="846"/>
      <c r="AJ557" s="1041"/>
      <c r="AK557" s="1041"/>
      <c r="AM557" s="1041"/>
      <c r="AO557" s="1041"/>
      <c r="AP557" s="1042"/>
      <c r="AQ557" s="1040"/>
      <c r="AR557" s="1040"/>
      <c r="AU557" s="1043"/>
      <c r="AW557" s="1044"/>
      <c r="AX557" s="1044"/>
      <c r="AY557" s="1044"/>
      <c r="AZ557" s="1044"/>
    </row>
    <row r="558" spans="2:52" s="1025" customFormat="1">
      <c r="B558" s="824"/>
      <c r="C558" s="824"/>
      <c r="D558" s="823"/>
      <c r="E558" s="823"/>
      <c r="F558" s="823"/>
      <c r="G558" s="823"/>
      <c r="H558" s="823"/>
      <c r="I558" s="823"/>
      <c r="J558" s="823"/>
      <c r="K558" s="823"/>
      <c r="L558" s="823"/>
      <c r="M558" s="823"/>
      <c r="N558" s="823"/>
      <c r="O558" s="823"/>
      <c r="P558" s="823"/>
      <c r="Q558" s="823"/>
      <c r="R558" s="823"/>
      <c r="S558" s="823"/>
      <c r="T558" s="823"/>
      <c r="U558" s="823"/>
      <c r="V558" s="824"/>
      <c r="Z558" s="1039"/>
      <c r="AB558" s="826"/>
      <c r="AC558" s="1040"/>
      <c r="AD558" s="1041"/>
      <c r="AF558" s="1041"/>
      <c r="AH558" s="846"/>
      <c r="AJ558" s="1041"/>
      <c r="AK558" s="1041"/>
      <c r="AM558" s="1041"/>
      <c r="AO558" s="1041"/>
      <c r="AP558" s="1042"/>
      <c r="AQ558" s="1040"/>
      <c r="AR558" s="1040"/>
      <c r="AU558" s="1043"/>
      <c r="AW558" s="1044"/>
      <c r="AX558" s="1044"/>
      <c r="AY558" s="1044"/>
      <c r="AZ558" s="1044"/>
    </row>
    <row r="559" spans="2:52" s="1025" customFormat="1">
      <c r="B559" s="824"/>
      <c r="C559" s="824"/>
      <c r="D559" s="823"/>
      <c r="E559" s="823"/>
      <c r="F559" s="823"/>
      <c r="G559" s="823"/>
      <c r="H559" s="823"/>
      <c r="I559" s="823"/>
      <c r="J559" s="823"/>
      <c r="K559" s="823"/>
      <c r="L559" s="823"/>
      <c r="M559" s="823"/>
      <c r="N559" s="823"/>
      <c r="O559" s="823"/>
      <c r="P559" s="823"/>
      <c r="Q559" s="823"/>
      <c r="R559" s="823"/>
      <c r="S559" s="823"/>
      <c r="T559" s="823"/>
      <c r="U559" s="823"/>
      <c r="V559" s="824"/>
      <c r="Z559" s="1039"/>
      <c r="AB559" s="826"/>
      <c r="AC559" s="1040"/>
      <c r="AD559" s="1041"/>
      <c r="AF559" s="1041"/>
      <c r="AH559" s="846"/>
      <c r="AJ559" s="1041"/>
      <c r="AK559" s="1041"/>
      <c r="AM559" s="1041"/>
      <c r="AO559" s="1041"/>
      <c r="AP559" s="1042"/>
      <c r="AQ559" s="1040"/>
      <c r="AR559" s="1040"/>
      <c r="AU559" s="1043"/>
      <c r="AW559" s="1044"/>
      <c r="AX559" s="1044"/>
      <c r="AY559" s="1044"/>
      <c r="AZ559" s="1044"/>
    </row>
    <row r="560" spans="2:52" s="1025" customFormat="1">
      <c r="B560" s="824"/>
      <c r="C560" s="824"/>
      <c r="D560" s="823"/>
      <c r="E560" s="823"/>
      <c r="F560" s="823"/>
      <c r="G560" s="823"/>
      <c r="H560" s="823"/>
      <c r="I560" s="823"/>
      <c r="J560" s="823"/>
      <c r="K560" s="823"/>
      <c r="L560" s="823"/>
      <c r="M560" s="823"/>
      <c r="N560" s="823"/>
      <c r="O560" s="823"/>
      <c r="P560" s="823"/>
      <c r="Q560" s="823"/>
      <c r="R560" s="823"/>
      <c r="S560" s="823"/>
      <c r="T560" s="823"/>
      <c r="U560" s="823"/>
      <c r="V560" s="824"/>
      <c r="Z560" s="1039"/>
      <c r="AB560" s="826"/>
      <c r="AC560" s="1040"/>
      <c r="AD560" s="1041"/>
      <c r="AF560" s="1041"/>
      <c r="AH560" s="846"/>
      <c r="AJ560" s="1041"/>
      <c r="AK560" s="1041"/>
      <c r="AM560" s="1041"/>
      <c r="AO560" s="1041"/>
      <c r="AP560" s="1042"/>
      <c r="AQ560" s="1040"/>
      <c r="AR560" s="1040"/>
      <c r="AU560" s="1043"/>
      <c r="AW560" s="1044"/>
      <c r="AX560" s="1044"/>
      <c r="AY560" s="1044"/>
      <c r="AZ560" s="1044"/>
    </row>
    <row r="561" spans="2:52" s="1025" customFormat="1">
      <c r="B561" s="824"/>
      <c r="C561" s="824"/>
      <c r="D561" s="823"/>
      <c r="E561" s="823"/>
      <c r="F561" s="823"/>
      <c r="G561" s="823"/>
      <c r="H561" s="823"/>
      <c r="I561" s="823"/>
      <c r="J561" s="823"/>
      <c r="K561" s="823"/>
      <c r="L561" s="823"/>
      <c r="M561" s="823"/>
      <c r="N561" s="823"/>
      <c r="O561" s="823"/>
      <c r="P561" s="823"/>
      <c r="Q561" s="823"/>
      <c r="R561" s="823"/>
      <c r="S561" s="823"/>
      <c r="T561" s="823"/>
      <c r="U561" s="823"/>
      <c r="V561" s="824"/>
      <c r="Z561" s="1039"/>
      <c r="AB561" s="826"/>
      <c r="AC561" s="1040"/>
      <c r="AD561" s="1041"/>
      <c r="AF561" s="1041"/>
      <c r="AH561" s="846"/>
      <c r="AJ561" s="1041"/>
      <c r="AK561" s="1041"/>
      <c r="AM561" s="1041"/>
      <c r="AO561" s="1041"/>
      <c r="AP561" s="1042"/>
      <c r="AQ561" s="1040"/>
      <c r="AR561" s="1040"/>
      <c r="AU561" s="1043"/>
      <c r="AW561" s="1044"/>
      <c r="AX561" s="1044"/>
      <c r="AY561" s="1044"/>
      <c r="AZ561" s="1044"/>
    </row>
    <row r="562" spans="2:52" s="1025" customFormat="1">
      <c r="B562" s="824"/>
      <c r="C562" s="824"/>
      <c r="D562" s="823"/>
      <c r="E562" s="823"/>
      <c r="F562" s="823"/>
      <c r="G562" s="823"/>
      <c r="H562" s="823"/>
      <c r="I562" s="823"/>
      <c r="J562" s="823"/>
      <c r="K562" s="823"/>
      <c r="L562" s="823"/>
      <c r="M562" s="823"/>
      <c r="N562" s="823"/>
      <c r="O562" s="823"/>
      <c r="P562" s="823"/>
      <c r="Q562" s="823"/>
      <c r="R562" s="823"/>
      <c r="S562" s="823"/>
      <c r="T562" s="823"/>
      <c r="U562" s="823"/>
      <c r="V562" s="824"/>
      <c r="Z562" s="1039"/>
      <c r="AB562" s="826"/>
      <c r="AC562" s="1040"/>
      <c r="AD562" s="1041"/>
      <c r="AF562" s="1041"/>
      <c r="AH562" s="846"/>
      <c r="AJ562" s="1041"/>
      <c r="AK562" s="1041"/>
      <c r="AM562" s="1041"/>
      <c r="AO562" s="1041"/>
      <c r="AP562" s="1042"/>
      <c r="AQ562" s="1040"/>
      <c r="AR562" s="1040"/>
      <c r="AU562" s="1043"/>
      <c r="AW562" s="1044"/>
      <c r="AX562" s="1044"/>
      <c r="AY562" s="1044"/>
      <c r="AZ562" s="1044"/>
    </row>
    <row r="563" spans="2:52" s="1025" customFormat="1">
      <c r="B563" s="824"/>
      <c r="C563" s="824"/>
      <c r="D563" s="823"/>
      <c r="E563" s="823"/>
      <c r="F563" s="823"/>
      <c r="G563" s="823"/>
      <c r="H563" s="823"/>
      <c r="I563" s="823"/>
      <c r="J563" s="823"/>
      <c r="K563" s="823"/>
      <c r="L563" s="823"/>
      <c r="M563" s="823"/>
      <c r="N563" s="823"/>
      <c r="O563" s="823"/>
      <c r="P563" s="823"/>
      <c r="Q563" s="823"/>
      <c r="R563" s="823"/>
      <c r="S563" s="823"/>
      <c r="T563" s="823"/>
      <c r="U563" s="823"/>
      <c r="V563" s="824"/>
      <c r="Z563" s="1039"/>
      <c r="AB563" s="826"/>
      <c r="AC563" s="1040"/>
      <c r="AD563" s="1041"/>
      <c r="AF563" s="1041"/>
      <c r="AH563" s="846"/>
      <c r="AJ563" s="1041"/>
      <c r="AK563" s="1041"/>
      <c r="AM563" s="1041"/>
      <c r="AO563" s="1041"/>
      <c r="AP563" s="1042"/>
      <c r="AQ563" s="1040"/>
      <c r="AR563" s="1040"/>
      <c r="AU563" s="1043"/>
      <c r="AW563" s="1044"/>
      <c r="AX563" s="1044"/>
      <c r="AY563" s="1044"/>
      <c r="AZ563" s="1044"/>
    </row>
    <row r="564" spans="2:52" s="1025" customFormat="1">
      <c r="B564" s="824"/>
      <c r="C564" s="824"/>
      <c r="D564" s="823"/>
      <c r="E564" s="823"/>
      <c r="F564" s="823"/>
      <c r="G564" s="823"/>
      <c r="H564" s="823"/>
      <c r="I564" s="823"/>
      <c r="J564" s="823"/>
      <c r="K564" s="823"/>
      <c r="L564" s="823"/>
      <c r="M564" s="823"/>
      <c r="N564" s="823"/>
      <c r="O564" s="823"/>
      <c r="P564" s="823"/>
      <c r="Q564" s="823"/>
      <c r="R564" s="823"/>
      <c r="S564" s="823"/>
      <c r="T564" s="823"/>
      <c r="U564" s="823"/>
      <c r="V564" s="824"/>
      <c r="Z564" s="1039"/>
      <c r="AB564" s="826"/>
      <c r="AC564" s="1040"/>
      <c r="AD564" s="1041"/>
      <c r="AF564" s="1041"/>
      <c r="AH564" s="846"/>
      <c r="AJ564" s="1041"/>
      <c r="AK564" s="1041"/>
      <c r="AM564" s="1041"/>
      <c r="AO564" s="1041"/>
      <c r="AP564" s="1042"/>
      <c r="AQ564" s="1040"/>
      <c r="AR564" s="1040"/>
      <c r="AU564" s="1043"/>
      <c r="AW564" s="1044"/>
      <c r="AX564" s="1044"/>
      <c r="AY564" s="1044"/>
      <c r="AZ564" s="1044"/>
    </row>
    <row r="565" spans="2:52" s="1025" customFormat="1">
      <c r="B565" s="824"/>
      <c r="C565" s="824"/>
      <c r="D565" s="823"/>
      <c r="E565" s="823"/>
      <c r="F565" s="823"/>
      <c r="G565" s="823"/>
      <c r="H565" s="823"/>
      <c r="I565" s="823"/>
      <c r="J565" s="823"/>
      <c r="K565" s="823"/>
      <c r="L565" s="823"/>
      <c r="M565" s="823"/>
      <c r="N565" s="823"/>
      <c r="O565" s="823"/>
      <c r="P565" s="823"/>
      <c r="Q565" s="823"/>
      <c r="R565" s="823"/>
      <c r="S565" s="823"/>
      <c r="T565" s="823"/>
      <c r="U565" s="823"/>
      <c r="V565" s="824"/>
      <c r="Z565" s="1039"/>
      <c r="AB565" s="826"/>
      <c r="AC565" s="1040"/>
      <c r="AD565" s="1041"/>
      <c r="AF565" s="1041"/>
      <c r="AH565" s="846"/>
      <c r="AJ565" s="1041"/>
      <c r="AK565" s="1041"/>
      <c r="AM565" s="1041"/>
      <c r="AO565" s="1041"/>
      <c r="AP565" s="1042"/>
      <c r="AQ565" s="1040"/>
      <c r="AR565" s="1040"/>
      <c r="AU565" s="1043"/>
      <c r="AW565" s="1044"/>
      <c r="AX565" s="1044"/>
      <c r="AY565" s="1044"/>
      <c r="AZ565" s="1044"/>
    </row>
    <row r="566" spans="2:52" s="1025" customFormat="1">
      <c r="B566" s="824"/>
      <c r="C566" s="824"/>
      <c r="D566" s="823"/>
      <c r="E566" s="823"/>
      <c r="F566" s="823"/>
      <c r="G566" s="823"/>
      <c r="H566" s="823"/>
      <c r="I566" s="823"/>
      <c r="J566" s="823"/>
      <c r="K566" s="823"/>
      <c r="L566" s="823"/>
      <c r="M566" s="823"/>
      <c r="N566" s="823"/>
      <c r="O566" s="823"/>
      <c r="P566" s="823"/>
      <c r="Q566" s="823"/>
      <c r="R566" s="823"/>
      <c r="S566" s="823"/>
      <c r="T566" s="823"/>
      <c r="U566" s="823"/>
      <c r="V566" s="824"/>
      <c r="Z566" s="1039"/>
      <c r="AB566" s="826"/>
      <c r="AC566" s="1040"/>
      <c r="AD566" s="1041"/>
      <c r="AF566" s="1041"/>
      <c r="AH566" s="846"/>
      <c r="AJ566" s="1041"/>
      <c r="AK566" s="1041"/>
      <c r="AM566" s="1041"/>
      <c r="AO566" s="1041"/>
      <c r="AP566" s="1042"/>
      <c r="AQ566" s="1040"/>
      <c r="AR566" s="1040"/>
      <c r="AU566" s="1043"/>
      <c r="AW566" s="1044"/>
      <c r="AX566" s="1044"/>
      <c r="AY566" s="1044"/>
      <c r="AZ566" s="1044"/>
    </row>
    <row r="567" spans="2:52" s="1025" customFormat="1">
      <c r="B567" s="824"/>
      <c r="C567" s="824"/>
      <c r="D567" s="823"/>
      <c r="E567" s="823"/>
      <c r="F567" s="823"/>
      <c r="G567" s="823"/>
      <c r="H567" s="823"/>
      <c r="I567" s="823"/>
      <c r="J567" s="823"/>
      <c r="K567" s="823"/>
      <c r="L567" s="823"/>
      <c r="M567" s="823"/>
      <c r="N567" s="823"/>
      <c r="O567" s="823"/>
      <c r="P567" s="823"/>
      <c r="Q567" s="823"/>
      <c r="R567" s="823"/>
      <c r="S567" s="823"/>
      <c r="T567" s="823"/>
      <c r="U567" s="823"/>
      <c r="V567" s="824"/>
      <c r="Z567" s="1039"/>
      <c r="AB567" s="826"/>
      <c r="AC567" s="1040"/>
      <c r="AD567" s="1041"/>
      <c r="AF567" s="1041"/>
      <c r="AH567" s="846"/>
      <c r="AJ567" s="1041"/>
      <c r="AK567" s="1041"/>
      <c r="AM567" s="1041"/>
      <c r="AO567" s="1041"/>
      <c r="AP567" s="1042"/>
      <c r="AQ567" s="1040"/>
      <c r="AR567" s="1040"/>
      <c r="AU567" s="1043"/>
      <c r="AW567" s="1044"/>
      <c r="AX567" s="1044"/>
      <c r="AY567" s="1044"/>
      <c r="AZ567" s="1044"/>
    </row>
    <row r="568" spans="2:52" s="1025" customFormat="1">
      <c r="B568" s="824"/>
      <c r="C568" s="824"/>
      <c r="D568" s="823"/>
      <c r="E568" s="823"/>
      <c r="F568" s="823"/>
      <c r="G568" s="823"/>
      <c r="H568" s="823"/>
      <c r="I568" s="823"/>
      <c r="J568" s="823"/>
      <c r="K568" s="823"/>
      <c r="L568" s="823"/>
      <c r="M568" s="823"/>
      <c r="N568" s="823"/>
      <c r="O568" s="823"/>
      <c r="P568" s="823"/>
      <c r="Q568" s="823"/>
      <c r="R568" s="823"/>
      <c r="S568" s="823"/>
      <c r="T568" s="823"/>
      <c r="U568" s="823"/>
      <c r="V568" s="824"/>
      <c r="Z568" s="1039"/>
      <c r="AB568" s="826"/>
      <c r="AC568" s="1040"/>
      <c r="AD568" s="1041"/>
      <c r="AF568" s="1041"/>
      <c r="AH568" s="846"/>
      <c r="AJ568" s="1041"/>
      <c r="AK568" s="1041"/>
      <c r="AM568" s="1041"/>
      <c r="AO568" s="1041"/>
      <c r="AP568" s="1042"/>
      <c r="AQ568" s="1040"/>
      <c r="AR568" s="1040"/>
      <c r="AU568" s="1043"/>
      <c r="AW568" s="1044"/>
      <c r="AX568" s="1044"/>
      <c r="AY568" s="1044"/>
      <c r="AZ568" s="1044"/>
    </row>
    <row r="569" spans="2:52" s="1025" customFormat="1">
      <c r="B569" s="824"/>
      <c r="C569" s="824"/>
      <c r="D569" s="823"/>
      <c r="E569" s="823"/>
      <c r="F569" s="823"/>
      <c r="G569" s="823"/>
      <c r="H569" s="823"/>
      <c r="I569" s="823"/>
      <c r="J569" s="823"/>
      <c r="K569" s="823"/>
      <c r="L569" s="823"/>
      <c r="M569" s="823"/>
      <c r="N569" s="823"/>
      <c r="O569" s="823"/>
      <c r="P569" s="823"/>
      <c r="Q569" s="823"/>
      <c r="R569" s="823"/>
      <c r="S569" s="823"/>
      <c r="T569" s="823"/>
      <c r="U569" s="823"/>
      <c r="V569" s="824"/>
      <c r="Z569" s="1039"/>
      <c r="AB569" s="826"/>
      <c r="AC569" s="1040"/>
      <c r="AD569" s="1041"/>
      <c r="AF569" s="1041"/>
      <c r="AH569" s="846"/>
      <c r="AJ569" s="1041"/>
      <c r="AK569" s="1041"/>
      <c r="AM569" s="1041"/>
      <c r="AO569" s="1041"/>
      <c r="AP569" s="1042"/>
      <c r="AQ569" s="1040"/>
      <c r="AR569" s="1040"/>
      <c r="AU569" s="1043"/>
      <c r="AW569" s="1044"/>
      <c r="AX569" s="1044"/>
      <c r="AY569" s="1044"/>
      <c r="AZ569" s="1044"/>
    </row>
    <row r="570" spans="2:52" s="1025" customFormat="1">
      <c r="B570" s="824"/>
      <c r="C570" s="824"/>
      <c r="D570" s="823"/>
      <c r="E570" s="823"/>
      <c r="F570" s="823"/>
      <c r="G570" s="823"/>
      <c r="H570" s="823"/>
      <c r="I570" s="823"/>
      <c r="J570" s="823"/>
      <c r="K570" s="823"/>
      <c r="L570" s="823"/>
      <c r="M570" s="823"/>
      <c r="N570" s="823"/>
      <c r="O570" s="823"/>
      <c r="P570" s="823"/>
      <c r="Q570" s="823"/>
      <c r="R570" s="823"/>
      <c r="S570" s="823"/>
      <c r="T570" s="823"/>
      <c r="U570" s="823"/>
      <c r="V570" s="824"/>
      <c r="Z570" s="1039"/>
      <c r="AB570" s="826"/>
      <c r="AC570" s="1040"/>
      <c r="AD570" s="1041"/>
      <c r="AF570" s="1041"/>
      <c r="AH570" s="846"/>
      <c r="AJ570" s="1041"/>
      <c r="AK570" s="1041"/>
      <c r="AM570" s="1041"/>
      <c r="AO570" s="1041"/>
      <c r="AP570" s="1042"/>
      <c r="AQ570" s="1040"/>
      <c r="AR570" s="1040"/>
      <c r="AU570" s="1043"/>
      <c r="AW570" s="1044"/>
      <c r="AX570" s="1044"/>
      <c r="AY570" s="1044"/>
      <c r="AZ570" s="1044"/>
    </row>
    <row r="571" spans="2:52" s="1025" customFormat="1">
      <c r="B571" s="824"/>
      <c r="C571" s="824"/>
      <c r="D571" s="823"/>
      <c r="E571" s="823"/>
      <c r="F571" s="823"/>
      <c r="G571" s="823"/>
      <c r="H571" s="823"/>
      <c r="I571" s="823"/>
      <c r="J571" s="823"/>
      <c r="K571" s="823"/>
      <c r="L571" s="823"/>
      <c r="M571" s="823"/>
      <c r="N571" s="823"/>
      <c r="O571" s="823"/>
      <c r="P571" s="823"/>
      <c r="Q571" s="823"/>
      <c r="R571" s="823"/>
      <c r="S571" s="823"/>
      <c r="T571" s="823"/>
      <c r="U571" s="823"/>
      <c r="V571" s="824"/>
      <c r="Z571" s="1039"/>
      <c r="AB571" s="826"/>
      <c r="AC571" s="1040"/>
      <c r="AD571" s="1041"/>
      <c r="AF571" s="1041"/>
      <c r="AH571" s="846"/>
      <c r="AJ571" s="1041"/>
      <c r="AK571" s="1041"/>
      <c r="AM571" s="1041"/>
      <c r="AO571" s="1041"/>
      <c r="AP571" s="1042"/>
      <c r="AQ571" s="1040"/>
      <c r="AR571" s="1040"/>
      <c r="AU571" s="1043"/>
      <c r="AW571" s="1044"/>
      <c r="AX571" s="1044"/>
      <c r="AY571" s="1044"/>
      <c r="AZ571" s="1044"/>
    </row>
    <row r="572" spans="2:52" s="1025" customFormat="1">
      <c r="B572" s="824"/>
      <c r="C572" s="824"/>
      <c r="D572" s="823"/>
      <c r="E572" s="823"/>
      <c r="F572" s="823"/>
      <c r="G572" s="823"/>
      <c r="H572" s="823"/>
      <c r="I572" s="823"/>
      <c r="J572" s="823"/>
      <c r="K572" s="823"/>
      <c r="L572" s="823"/>
      <c r="M572" s="823"/>
      <c r="N572" s="823"/>
      <c r="O572" s="823"/>
      <c r="P572" s="823"/>
      <c r="Q572" s="823"/>
      <c r="R572" s="823"/>
      <c r="S572" s="823"/>
      <c r="T572" s="823"/>
      <c r="U572" s="823"/>
      <c r="V572" s="824"/>
      <c r="Z572" s="1039"/>
      <c r="AB572" s="826"/>
      <c r="AC572" s="1040"/>
      <c r="AD572" s="1041"/>
      <c r="AF572" s="1041"/>
      <c r="AH572" s="846"/>
      <c r="AJ572" s="1041"/>
      <c r="AK572" s="1041"/>
      <c r="AM572" s="1041"/>
      <c r="AO572" s="1041"/>
      <c r="AP572" s="1042"/>
      <c r="AQ572" s="1040"/>
      <c r="AR572" s="1040"/>
      <c r="AU572" s="1043"/>
      <c r="AW572" s="1044"/>
      <c r="AX572" s="1044"/>
      <c r="AY572" s="1044"/>
      <c r="AZ572" s="1044"/>
    </row>
    <row r="573" spans="2:52" s="1025" customFormat="1">
      <c r="B573" s="824"/>
      <c r="C573" s="824"/>
      <c r="D573" s="823"/>
      <c r="E573" s="823"/>
      <c r="F573" s="823"/>
      <c r="G573" s="823"/>
      <c r="H573" s="823"/>
      <c r="I573" s="823"/>
      <c r="J573" s="823"/>
      <c r="K573" s="823"/>
      <c r="L573" s="823"/>
      <c r="M573" s="823"/>
      <c r="N573" s="823"/>
      <c r="O573" s="823"/>
      <c r="P573" s="823"/>
      <c r="Q573" s="823"/>
      <c r="R573" s="823"/>
      <c r="S573" s="823"/>
      <c r="T573" s="823"/>
      <c r="U573" s="823"/>
      <c r="V573" s="824"/>
      <c r="Z573" s="1039"/>
      <c r="AB573" s="826"/>
      <c r="AC573" s="1040"/>
      <c r="AD573" s="1041"/>
      <c r="AF573" s="1041"/>
      <c r="AH573" s="846"/>
      <c r="AJ573" s="1041"/>
      <c r="AK573" s="1041"/>
      <c r="AM573" s="1041"/>
      <c r="AO573" s="1041"/>
      <c r="AP573" s="1042"/>
      <c r="AQ573" s="1040"/>
      <c r="AR573" s="1040"/>
      <c r="AU573" s="1043"/>
      <c r="AW573" s="1044"/>
      <c r="AX573" s="1044"/>
      <c r="AY573" s="1044"/>
      <c r="AZ573" s="1044"/>
    </row>
    <row r="574" spans="2:52" s="1025" customFormat="1">
      <c r="B574" s="824"/>
      <c r="C574" s="824"/>
      <c r="D574" s="823"/>
      <c r="E574" s="823"/>
      <c r="F574" s="823"/>
      <c r="G574" s="823"/>
      <c r="H574" s="823"/>
      <c r="I574" s="823"/>
      <c r="J574" s="823"/>
      <c r="K574" s="823"/>
      <c r="L574" s="823"/>
      <c r="M574" s="823"/>
      <c r="N574" s="823"/>
      <c r="O574" s="823"/>
      <c r="P574" s="823"/>
      <c r="Q574" s="823"/>
      <c r="R574" s="823"/>
      <c r="S574" s="823"/>
      <c r="T574" s="823"/>
      <c r="U574" s="823"/>
      <c r="V574" s="824"/>
      <c r="Z574" s="1039"/>
      <c r="AB574" s="826"/>
      <c r="AC574" s="1040"/>
      <c r="AD574" s="1041"/>
      <c r="AF574" s="1041"/>
      <c r="AH574" s="846"/>
      <c r="AJ574" s="1041"/>
      <c r="AK574" s="1041"/>
      <c r="AM574" s="1041"/>
      <c r="AO574" s="1041"/>
      <c r="AP574" s="1042"/>
      <c r="AQ574" s="1040"/>
      <c r="AR574" s="1040"/>
      <c r="AU574" s="1043"/>
      <c r="AW574" s="1044"/>
      <c r="AX574" s="1044"/>
      <c r="AY574" s="1044"/>
      <c r="AZ574" s="1044"/>
    </row>
    <row r="575" spans="2:52" s="1025" customFormat="1">
      <c r="B575" s="824"/>
      <c r="C575" s="824"/>
      <c r="D575" s="823"/>
      <c r="E575" s="823"/>
      <c r="F575" s="823"/>
      <c r="G575" s="823"/>
      <c r="H575" s="823"/>
      <c r="I575" s="823"/>
      <c r="J575" s="823"/>
      <c r="K575" s="823"/>
      <c r="L575" s="823"/>
      <c r="M575" s="823"/>
      <c r="N575" s="823"/>
      <c r="O575" s="823"/>
      <c r="P575" s="823"/>
      <c r="Q575" s="823"/>
      <c r="R575" s="823"/>
      <c r="S575" s="823"/>
      <c r="T575" s="823"/>
      <c r="U575" s="823"/>
      <c r="V575" s="824"/>
      <c r="Z575" s="1039"/>
      <c r="AB575" s="826"/>
      <c r="AC575" s="1040"/>
      <c r="AD575" s="1041"/>
      <c r="AF575" s="1041"/>
      <c r="AH575" s="846"/>
      <c r="AJ575" s="1041"/>
      <c r="AK575" s="1041"/>
      <c r="AM575" s="1041"/>
      <c r="AO575" s="1041"/>
      <c r="AP575" s="1042"/>
      <c r="AQ575" s="1040"/>
      <c r="AR575" s="1040"/>
      <c r="AU575" s="1043"/>
      <c r="AW575" s="1044"/>
      <c r="AX575" s="1044"/>
      <c r="AY575" s="1044"/>
      <c r="AZ575" s="1044"/>
    </row>
    <row r="576" spans="2:52" s="1025" customFormat="1">
      <c r="B576" s="824"/>
      <c r="C576" s="824"/>
      <c r="D576" s="823"/>
      <c r="E576" s="823"/>
      <c r="F576" s="823"/>
      <c r="G576" s="823"/>
      <c r="H576" s="823"/>
      <c r="I576" s="823"/>
      <c r="J576" s="823"/>
      <c r="K576" s="823"/>
      <c r="L576" s="823"/>
      <c r="M576" s="823"/>
      <c r="N576" s="823"/>
      <c r="O576" s="823"/>
      <c r="P576" s="823"/>
      <c r="Q576" s="823"/>
      <c r="R576" s="823"/>
      <c r="S576" s="823"/>
      <c r="T576" s="823"/>
      <c r="U576" s="823"/>
      <c r="V576" s="824"/>
      <c r="Z576" s="1039"/>
      <c r="AB576" s="826"/>
      <c r="AC576" s="1040"/>
      <c r="AD576" s="1041"/>
      <c r="AF576" s="1041"/>
      <c r="AH576" s="846"/>
      <c r="AJ576" s="1041"/>
      <c r="AK576" s="1041"/>
      <c r="AM576" s="1041"/>
      <c r="AO576" s="1041"/>
      <c r="AP576" s="1042"/>
      <c r="AQ576" s="1040"/>
      <c r="AR576" s="1040"/>
      <c r="AU576" s="1043"/>
      <c r="AW576" s="1044"/>
      <c r="AX576" s="1044"/>
      <c r="AY576" s="1044"/>
      <c r="AZ576" s="1044"/>
    </row>
    <row r="577" spans="2:52" s="1025" customFormat="1">
      <c r="B577" s="824"/>
      <c r="C577" s="824"/>
      <c r="D577" s="823"/>
      <c r="E577" s="823"/>
      <c r="F577" s="823"/>
      <c r="G577" s="823"/>
      <c r="H577" s="823"/>
      <c r="I577" s="823"/>
      <c r="J577" s="823"/>
      <c r="K577" s="823"/>
      <c r="L577" s="823"/>
      <c r="M577" s="823"/>
      <c r="N577" s="823"/>
      <c r="O577" s="823"/>
      <c r="P577" s="823"/>
      <c r="Q577" s="823"/>
      <c r="R577" s="823"/>
      <c r="S577" s="823"/>
      <c r="T577" s="823"/>
      <c r="U577" s="823"/>
      <c r="V577" s="824"/>
      <c r="Z577" s="1039"/>
      <c r="AB577" s="826"/>
      <c r="AC577" s="1040"/>
      <c r="AD577" s="1041"/>
      <c r="AF577" s="1041"/>
      <c r="AH577" s="846"/>
      <c r="AJ577" s="1041"/>
      <c r="AK577" s="1041"/>
      <c r="AM577" s="1041"/>
      <c r="AO577" s="1041"/>
      <c r="AP577" s="1042"/>
      <c r="AQ577" s="1040"/>
      <c r="AR577" s="1040"/>
      <c r="AU577" s="1043"/>
      <c r="AW577" s="1044"/>
      <c r="AX577" s="1044"/>
      <c r="AY577" s="1044"/>
      <c r="AZ577" s="1044"/>
    </row>
    <row r="578" spans="2:52" s="1025" customFormat="1">
      <c r="B578" s="824"/>
      <c r="C578" s="824"/>
      <c r="D578" s="823"/>
      <c r="E578" s="823"/>
      <c r="F578" s="823"/>
      <c r="G578" s="823"/>
      <c r="H578" s="823"/>
      <c r="I578" s="823"/>
      <c r="J578" s="823"/>
      <c r="K578" s="823"/>
      <c r="L578" s="823"/>
      <c r="M578" s="823"/>
      <c r="N578" s="823"/>
      <c r="O578" s="823"/>
      <c r="P578" s="823"/>
      <c r="Q578" s="823"/>
      <c r="R578" s="823"/>
      <c r="S578" s="823"/>
      <c r="T578" s="823"/>
      <c r="U578" s="823"/>
      <c r="V578" s="824"/>
      <c r="Z578" s="1039"/>
      <c r="AB578" s="826"/>
      <c r="AC578" s="1040"/>
      <c r="AD578" s="1041"/>
      <c r="AF578" s="1041"/>
      <c r="AH578" s="846"/>
      <c r="AJ578" s="1041"/>
      <c r="AK578" s="1041"/>
      <c r="AM578" s="1041"/>
      <c r="AO578" s="1041"/>
      <c r="AP578" s="1042"/>
      <c r="AQ578" s="1040"/>
      <c r="AR578" s="1040"/>
      <c r="AU578" s="1043"/>
      <c r="AW578" s="1044"/>
      <c r="AX578" s="1044"/>
      <c r="AY578" s="1044"/>
      <c r="AZ578" s="1044"/>
    </row>
    <row r="579" spans="2:52" s="1025" customFormat="1">
      <c r="B579" s="824"/>
      <c r="C579" s="824"/>
      <c r="D579" s="823"/>
      <c r="E579" s="823"/>
      <c r="F579" s="823"/>
      <c r="G579" s="823"/>
      <c r="H579" s="823"/>
      <c r="I579" s="823"/>
      <c r="J579" s="823"/>
      <c r="K579" s="823"/>
      <c r="L579" s="823"/>
      <c r="M579" s="823"/>
      <c r="N579" s="823"/>
      <c r="O579" s="823"/>
      <c r="P579" s="823"/>
      <c r="Q579" s="823"/>
      <c r="R579" s="823"/>
      <c r="S579" s="823"/>
      <c r="T579" s="823"/>
      <c r="U579" s="823"/>
      <c r="V579" s="824"/>
      <c r="Z579" s="1039"/>
      <c r="AB579" s="826"/>
      <c r="AC579" s="1040"/>
      <c r="AD579" s="1041"/>
      <c r="AF579" s="1041"/>
      <c r="AH579" s="846"/>
      <c r="AJ579" s="1041"/>
      <c r="AK579" s="1041"/>
      <c r="AM579" s="1041"/>
      <c r="AO579" s="1041"/>
      <c r="AP579" s="1042"/>
      <c r="AQ579" s="1040"/>
      <c r="AR579" s="1040"/>
      <c r="AU579" s="1043"/>
      <c r="AW579" s="1044"/>
      <c r="AX579" s="1044"/>
      <c r="AY579" s="1044"/>
      <c r="AZ579" s="1044"/>
    </row>
    <row r="580" spans="2:52" s="1025" customFormat="1">
      <c r="B580" s="824"/>
      <c r="C580" s="824"/>
      <c r="D580" s="823"/>
      <c r="E580" s="823"/>
      <c r="F580" s="823"/>
      <c r="G580" s="823"/>
      <c r="H580" s="823"/>
      <c r="I580" s="823"/>
      <c r="J580" s="823"/>
      <c r="K580" s="823"/>
      <c r="L580" s="823"/>
      <c r="M580" s="823"/>
      <c r="N580" s="823"/>
      <c r="O580" s="823"/>
      <c r="P580" s="823"/>
      <c r="Q580" s="823"/>
      <c r="R580" s="823"/>
      <c r="S580" s="823"/>
      <c r="T580" s="823"/>
      <c r="U580" s="823"/>
      <c r="V580" s="824"/>
      <c r="Z580" s="1039"/>
      <c r="AB580" s="826"/>
      <c r="AC580" s="1040"/>
      <c r="AD580" s="1041"/>
      <c r="AF580" s="1041"/>
      <c r="AH580" s="846"/>
      <c r="AJ580" s="1041"/>
      <c r="AK580" s="1041"/>
      <c r="AM580" s="1041"/>
      <c r="AO580" s="1041"/>
      <c r="AP580" s="1042"/>
      <c r="AQ580" s="1040"/>
      <c r="AR580" s="1040"/>
      <c r="AU580" s="1043"/>
      <c r="AW580" s="1044"/>
      <c r="AX580" s="1044"/>
      <c r="AY580" s="1044"/>
      <c r="AZ580" s="1044"/>
    </row>
    <row r="581" spans="2:52" s="1025" customFormat="1">
      <c r="B581" s="824"/>
      <c r="C581" s="824"/>
      <c r="D581" s="823"/>
      <c r="E581" s="823"/>
      <c r="F581" s="823"/>
      <c r="G581" s="823"/>
      <c r="H581" s="823"/>
      <c r="I581" s="823"/>
      <c r="J581" s="823"/>
      <c r="K581" s="823"/>
      <c r="L581" s="823"/>
      <c r="M581" s="823"/>
      <c r="N581" s="823"/>
      <c r="O581" s="823"/>
      <c r="P581" s="823"/>
      <c r="Q581" s="823"/>
      <c r="R581" s="823"/>
      <c r="S581" s="823"/>
      <c r="T581" s="823"/>
      <c r="U581" s="823"/>
      <c r="V581" s="824"/>
      <c r="Z581" s="1039"/>
      <c r="AB581" s="826"/>
      <c r="AC581" s="1040"/>
      <c r="AD581" s="1041"/>
      <c r="AF581" s="1041"/>
      <c r="AH581" s="846"/>
      <c r="AJ581" s="1041"/>
      <c r="AK581" s="1041"/>
      <c r="AM581" s="1041"/>
      <c r="AO581" s="1041"/>
      <c r="AP581" s="1042"/>
      <c r="AQ581" s="1040"/>
      <c r="AR581" s="1040"/>
      <c r="AU581" s="1043"/>
      <c r="AW581" s="1044"/>
      <c r="AX581" s="1044"/>
      <c r="AY581" s="1044"/>
      <c r="AZ581" s="1044"/>
    </row>
    <row r="582" spans="2:52" s="1025" customFormat="1">
      <c r="B582" s="824"/>
      <c r="C582" s="824"/>
      <c r="D582" s="823"/>
      <c r="E582" s="823"/>
      <c r="F582" s="823"/>
      <c r="G582" s="823"/>
      <c r="H582" s="823"/>
      <c r="I582" s="823"/>
      <c r="J582" s="823"/>
      <c r="K582" s="823"/>
      <c r="L582" s="823"/>
      <c r="M582" s="823"/>
      <c r="N582" s="823"/>
      <c r="O582" s="823"/>
      <c r="P582" s="823"/>
      <c r="Q582" s="823"/>
      <c r="R582" s="823"/>
      <c r="S582" s="823"/>
      <c r="T582" s="823"/>
      <c r="U582" s="823"/>
      <c r="V582" s="824"/>
      <c r="Z582" s="1039"/>
      <c r="AB582" s="826"/>
      <c r="AC582" s="1040"/>
      <c r="AD582" s="1041"/>
      <c r="AF582" s="1041"/>
      <c r="AH582" s="846"/>
      <c r="AJ582" s="1041"/>
      <c r="AK582" s="1041"/>
      <c r="AM582" s="1041"/>
      <c r="AO582" s="1041"/>
      <c r="AP582" s="1042"/>
      <c r="AQ582" s="1040"/>
      <c r="AR582" s="1040"/>
      <c r="AU582" s="1043"/>
      <c r="AW582" s="1044"/>
      <c r="AX582" s="1044"/>
      <c r="AY582" s="1044"/>
      <c r="AZ582" s="1044"/>
    </row>
    <row r="583" spans="2:52" s="1025" customFormat="1">
      <c r="B583" s="824"/>
      <c r="C583" s="824"/>
      <c r="D583" s="823"/>
      <c r="E583" s="823"/>
      <c r="F583" s="823"/>
      <c r="G583" s="823"/>
      <c r="H583" s="823"/>
      <c r="I583" s="823"/>
      <c r="J583" s="823"/>
      <c r="K583" s="823"/>
      <c r="L583" s="823"/>
      <c r="M583" s="823"/>
      <c r="N583" s="823"/>
      <c r="O583" s="823"/>
      <c r="P583" s="823"/>
      <c r="Q583" s="823"/>
      <c r="R583" s="823"/>
      <c r="S583" s="823"/>
      <c r="T583" s="823"/>
      <c r="U583" s="823"/>
      <c r="V583" s="824"/>
      <c r="Z583" s="1039"/>
      <c r="AB583" s="826"/>
      <c r="AC583" s="1040"/>
      <c r="AD583" s="1041"/>
      <c r="AF583" s="1041"/>
      <c r="AH583" s="846"/>
      <c r="AJ583" s="1041"/>
      <c r="AK583" s="1041"/>
      <c r="AM583" s="1041"/>
      <c r="AO583" s="1041"/>
      <c r="AP583" s="1042"/>
      <c r="AQ583" s="1040"/>
      <c r="AR583" s="1040"/>
      <c r="AU583" s="1043"/>
      <c r="AW583" s="1044"/>
      <c r="AX583" s="1044"/>
      <c r="AY583" s="1044"/>
      <c r="AZ583" s="1044"/>
    </row>
    <row r="584" spans="2:52" s="1025" customFormat="1">
      <c r="B584" s="824"/>
      <c r="C584" s="824"/>
      <c r="D584" s="823"/>
      <c r="E584" s="823"/>
      <c r="F584" s="823"/>
      <c r="G584" s="823"/>
      <c r="H584" s="823"/>
      <c r="I584" s="823"/>
      <c r="J584" s="823"/>
      <c r="K584" s="823"/>
      <c r="L584" s="823"/>
      <c r="M584" s="823"/>
      <c r="N584" s="823"/>
      <c r="O584" s="823"/>
      <c r="P584" s="823"/>
      <c r="Q584" s="823"/>
      <c r="R584" s="823"/>
      <c r="S584" s="823"/>
      <c r="T584" s="823"/>
      <c r="U584" s="823"/>
      <c r="V584" s="824"/>
      <c r="Z584" s="1039"/>
      <c r="AB584" s="826"/>
      <c r="AC584" s="1040"/>
      <c r="AD584" s="1041"/>
      <c r="AF584" s="1041"/>
      <c r="AH584" s="846"/>
      <c r="AJ584" s="1041"/>
      <c r="AK584" s="1041"/>
      <c r="AM584" s="1041"/>
      <c r="AO584" s="1041"/>
      <c r="AP584" s="1042"/>
      <c r="AQ584" s="1040"/>
      <c r="AR584" s="1040"/>
      <c r="AU584" s="1043"/>
      <c r="AW584" s="1044"/>
      <c r="AX584" s="1044"/>
      <c r="AY584" s="1044"/>
      <c r="AZ584" s="1044"/>
    </row>
    <row r="585" spans="2:52" s="1025" customFormat="1">
      <c r="B585" s="824"/>
      <c r="C585" s="824"/>
      <c r="D585" s="823"/>
      <c r="E585" s="823"/>
      <c r="F585" s="823"/>
      <c r="G585" s="823"/>
      <c r="H585" s="823"/>
      <c r="I585" s="823"/>
      <c r="J585" s="823"/>
      <c r="K585" s="823"/>
      <c r="L585" s="823"/>
      <c r="M585" s="823"/>
      <c r="N585" s="823"/>
      <c r="O585" s="823"/>
      <c r="P585" s="823"/>
      <c r="Q585" s="823"/>
      <c r="R585" s="823"/>
      <c r="S585" s="823"/>
      <c r="T585" s="823"/>
      <c r="U585" s="823"/>
      <c r="V585" s="824"/>
      <c r="Z585" s="1039"/>
      <c r="AB585" s="826"/>
      <c r="AC585" s="1040"/>
      <c r="AD585" s="1041"/>
      <c r="AF585" s="1041"/>
      <c r="AH585" s="846"/>
      <c r="AJ585" s="1041"/>
      <c r="AK585" s="1041"/>
      <c r="AM585" s="1041"/>
      <c r="AO585" s="1041"/>
      <c r="AP585" s="1042"/>
      <c r="AQ585" s="1040"/>
      <c r="AR585" s="1040"/>
      <c r="AU585" s="1043"/>
      <c r="AW585" s="1044"/>
      <c r="AX585" s="1044"/>
      <c r="AY585" s="1044"/>
      <c r="AZ585" s="1044"/>
    </row>
    <row r="586" spans="2:52" s="1025" customFormat="1">
      <c r="B586" s="824"/>
      <c r="C586" s="824"/>
      <c r="D586" s="823"/>
      <c r="E586" s="823"/>
      <c r="F586" s="823"/>
      <c r="G586" s="823"/>
      <c r="H586" s="823"/>
      <c r="I586" s="823"/>
      <c r="J586" s="823"/>
      <c r="K586" s="823"/>
      <c r="L586" s="823"/>
      <c r="M586" s="823"/>
      <c r="N586" s="823"/>
      <c r="O586" s="823"/>
      <c r="P586" s="823"/>
      <c r="Q586" s="823"/>
      <c r="R586" s="823"/>
      <c r="S586" s="823"/>
      <c r="T586" s="823"/>
      <c r="U586" s="823"/>
      <c r="V586" s="824"/>
      <c r="Z586" s="1039"/>
      <c r="AB586" s="826"/>
      <c r="AC586" s="1040"/>
      <c r="AD586" s="1041"/>
      <c r="AF586" s="1041"/>
      <c r="AH586" s="846"/>
      <c r="AJ586" s="1041"/>
      <c r="AK586" s="1041"/>
      <c r="AM586" s="1041"/>
      <c r="AO586" s="1041"/>
      <c r="AP586" s="1042"/>
      <c r="AQ586" s="1040"/>
      <c r="AR586" s="1040"/>
      <c r="AU586" s="1043"/>
      <c r="AW586" s="1044"/>
      <c r="AX586" s="1044"/>
      <c r="AY586" s="1044"/>
      <c r="AZ586" s="1044"/>
    </row>
    <row r="587" spans="2:52" s="1025" customFormat="1">
      <c r="B587" s="824"/>
      <c r="C587" s="824"/>
      <c r="D587" s="823"/>
      <c r="E587" s="823"/>
      <c r="F587" s="823"/>
      <c r="G587" s="823"/>
      <c r="H587" s="823"/>
      <c r="I587" s="823"/>
      <c r="J587" s="823"/>
      <c r="K587" s="823"/>
      <c r="L587" s="823"/>
      <c r="M587" s="823"/>
      <c r="N587" s="823"/>
      <c r="O587" s="823"/>
      <c r="P587" s="823"/>
      <c r="Q587" s="823"/>
      <c r="R587" s="823"/>
      <c r="S587" s="823"/>
      <c r="T587" s="823"/>
      <c r="U587" s="823"/>
      <c r="V587" s="824"/>
      <c r="Z587" s="1039"/>
      <c r="AB587" s="826"/>
      <c r="AC587" s="1040"/>
      <c r="AD587" s="1041"/>
      <c r="AF587" s="1041"/>
      <c r="AH587" s="846"/>
      <c r="AJ587" s="1041"/>
      <c r="AK587" s="1041"/>
      <c r="AM587" s="1041"/>
      <c r="AO587" s="1041"/>
      <c r="AP587" s="1042"/>
      <c r="AQ587" s="1040"/>
      <c r="AR587" s="1040"/>
      <c r="AU587" s="1043"/>
      <c r="AW587" s="1044"/>
      <c r="AX587" s="1044"/>
      <c r="AY587" s="1044"/>
      <c r="AZ587" s="1044"/>
    </row>
    <row r="588" spans="2:52" s="1025" customFormat="1">
      <c r="B588" s="824"/>
      <c r="C588" s="824"/>
      <c r="D588" s="823"/>
      <c r="E588" s="823"/>
      <c r="F588" s="823"/>
      <c r="G588" s="823"/>
      <c r="H588" s="823"/>
      <c r="I588" s="823"/>
      <c r="J588" s="823"/>
      <c r="K588" s="823"/>
      <c r="L588" s="823"/>
      <c r="M588" s="823"/>
      <c r="N588" s="823"/>
      <c r="O588" s="823"/>
      <c r="P588" s="823"/>
      <c r="Q588" s="823"/>
      <c r="R588" s="823"/>
      <c r="S588" s="823"/>
      <c r="T588" s="823"/>
      <c r="U588" s="823"/>
      <c r="V588" s="824"/>
      <c r="Z588" s="1039"/>
      <c r="AB588" s="826"/>
      <c r="AC588" s="1040"/>
      <c r="AD588" s="1041"/>
      <c r="AF588" s="1041"/>
      <c r="AH588" s="846"/>
      <c r="AJ588" s="1041"/>
      <c r="AK588" s="1041"/>
      <c r="AM588" s="1041"/>
      <c r="AO588" s="1041"/>
      <c r="AP588" s="1042"/>
      <c r="AQ588" s="1040"/>
      <c r="AR588" s="1040"/>
      <c r="AU588" s="1043"/>
      <c r="AW588" s="1044"/>
      <c r="AX588" s="1044"/>
      <c r="AY588" s="1044"/>
      <c r="AZ588" s="1044"/>
    </row>
    <row r="589" spans="2:52" s="1025" customFormat="1">
      <c r="B589" s="824"/>
      <c r="C589" s="824"/>
      <c r="D589" s="823"/>
      <c r="E589" s="823"/>
      <c r="F589" s="823"/>
      <c r="G589" s="823"/>
      <c r="H589" s="823"/>
      <c r="I589" s="823"/>
      <c r="J589" s="823"/>
      <c r="K589" s="823"/>
      <c r="L589" s="823"/>
      <c r="M589" s="823"/>
      <c r="N589" s="823"/>
      <c r="O589" s="823"/>
      <c r="P589" s="823"/>
      <c r="Q589" s="823"/>
      <c r="R589" s="823"/>
      <c r="S589" s="823"/>
      <c r="T589" s="823"/>
      <c r="U589" s="823"/>
      <c r="V589" s="824"/>
      <c r="Z589" s="1039"/>
      <c r="AB589" s="826"/>
      <c r="AC589" s="1040"/>
      <c r="AD589" s="1041"/>
      <c r="AF589" s="1041"/>
      <c r="AH589" s="846"/>
      <c r="AJ589" s="1041"/>
      <c r="AK589" s="1041"/>
      <c r="AM589" s="1041"/>
      <c r="AO589" s="1041"/>
      <c r="AP589" s="1042"/>
      <c r="AQ589" s="1040"/>
      <c r="AR589" s="1040"/>
      <c r="AU589" s="1043"/>
      <c r="AW589" s="1044"/>
      <c r="AX589" s="1044"/>
      <c r="AY589" s="1044"/>
      <c r="AZ589" s="1044"/>
    </row>
    <row r="590" spans="2:52" s="1025" customFormat="1">
      <c r="B590" s="824"/>
      <c r="C590" s="824"/>
      <c r="D590" s="823"/>
      <c r="E590" s="823"/>
      <c r="F590" s="823"/>
      <c r="G590" s="823"/>
      <c r="H590" s="823"/>
      <c r="I590" s="823"/>
      <c r="J590" s="823"/>
      <c r="K590" s="823"/>
      <c r="L590" s="823"/>
      <c r="M590" s="823"/>
      <c r="N590" s="823"/>
      <c r="O590" s="823"/>
      <c r="P590" s="823"/>
      <c r="Q590" s="823"/>
      <c r="R590" s="823"/>
      <c r="S590" s="823"/>
      <c r="T590" s="823"/>
      <c r="U590" s="823"/>
      <c r="V590" s="824"/>
      <c r="Z590" s="1039"/>
      <c r="AB590" s="826"/>
      <c r="AC590" s="1040"/>
      <c r="AD590" s="1041"/>
      <c r="AF590" s="1041"/>
      <c r="AH590" s="846"/>
      <c r="AJ590" s="1041"/>
      <c r="AK590" s="1041"/>
      <c r="AM590" s="1041"/>
      <c r="AO590" s="1041"/>
      <c r="AP590" s="1042"/>
      <c r="AQ590" s="1040"/>
      <c r="AR590" s="1040"/>
      <c r="AU590" s="1043"/>
      <c r="AW590" s="1044"/>
      <c r="AX590" s="1044"/>
      <c r="AY590" s="1044"/>
      <c r="AZ590" s="1044"/>
    </row>
    <row r="591" spans="2:52" s="1025" customFormat="1">
      <c r="B591" s="824"/>
      <c r="C591" s="824"/>
      <c r="D591" s="823"/>
      <c r="E591" s="823"/>
      <c r="F591" s="823"/>
      <c r="G591" s="823"/>
      <c r="H591" s="823"/>
      <c r="I591" s="823"/>
      <c r="J591" s="823"/>
      <c r="K591" s="823"/>
      <c r="L591" s="823"/>
      <c r="M591" s="823"/>
      <c r="N591" s="823"/>
      <c r="O591" s="823"/>
      <c r="P591" s="823"/>
      <c r="Q591" s="823"/>
      <c r="R591" s="823"/>
      <c r="S591" s="823"/>
      <c r="T591" s="823"/>
      <c r="U591" s="823"/>
      <c r="V591" s="824"/>
      <c r="Z591" s="1039"/>
      <c r="AB591" s="826"/>
      <c r="AC591" s="1040"/>
      <c r="AD591" s="1041"/>
      <c r="AF591" s="1041"/>
      <c r="AH591" s="846"/>
      <c r="AJ591" s="1041"/>
      <c r="AK591" s="1041"/>
      <c r="AM591" s="1041"/>
      <c r="AO591" s="1041"/>
      <c r="AP591" s="1042"/>
      <c r="AQ591" s="1040"/>
      <c r="AR591" s="1040"/>
      <c r="AU591" s="1043"/>
      <c r="AW591" s="1044"/>
      <c r="AX591" s="1044"/>
      <c r="AY591" s="1044"/>
      <c r="AZ591" s="1044"/>
    </row>
    <row r="592" spans="2:52" s="1025" customFormat="1">
      <c r="B592" s="824"/>
      <c r="C592" s="824"/>
      <c r="D592" s="823"/>
      <c r="E592" s="823"/>
      <c r="F592" s="823"/>
      <c r="G592" s="823"/>
      <c r="H592" s="823"/>
      <c r="I592" s="823"/>
      <c r="J592" s="823"/>
      <c r="K592" s="823"/>
      <c r="L592" s="823"/>
      <c r="M592" s="823"/>
      <c r="N592" s="823"/>
      <c r="O592" s="823"/>
      <c r="P592" s="823"/>
      <c r="Q592" s="823"/>
      <c r="R592" s="823"/>
      <c r="S592" s="823"/>
      <c r="T592" s="823"/>
      <c r="U592" s="823"/>
      <c r="V592" s="824"/>
      <c r="Z592" s="1039"/>
      <c r="AB592" s="826"/>
      <c r="AC592" s="1040"/>
      <c r="AD592" s="1041"/>
      <c r="AF592" s="1041"/>
      <c r="AH592" s="846"/>
      <c r="AJ592" s="1041"/>
      <c r="AK592" s="1041"/>
      <c r="AM592" s="1041"/>
      <c r="AO592" s="1041"/>
      <c r="AP592" s="1042"/>
      <c r="AQ592" s="1040"/>
      <c r="AR592" s="1040"/>
      <c r="AU592" s="1043"/>
      <c r="AW592" s="1044"/>
      <c r="AX592" s="1044"/>
      <c r="AY592" s="1044"/>
      <c r="AZ592" s="1044"/>
    </row>
    <row r="593" spans="2:52" s="1025" customFormat="1">
      <c r="B593" s="824"/>
      <c r="C593" s="824"/>
      <c r="D593" s="823"/>
      <c r="E593" s="823"/>
      <c r="F593" s="823"/>
      <c r="G593" s="823"/>
      <c r="H593" s="823"/>
      <c r="I593" s="823"/>
      <c r="J593" s="823"/>
      <c r="K593" s="823"/>
      <c r="L593" s="823"/>
      <c r="M593" s="823"/>
      <c r="N593" s="823"/>
      <c r="O593" s="823"/>
      <c r="P593" s="823"/>
      <c r="Q593" s="823"/>
      <c r="R593" s="823"/>
      <c r="S593" s="823"/>
      <c r="T593" s="823"/>
      <c r="U593" s="823"/>
      <c r="V593" s="824"/>
      <c r="Z593" s="1039"/>
      <c r="AB593" s="826"/>
      <c r="AC593" s="1040"/>
      <c r="AD593" s="1041"/>
      <c r="AF593" s="1041"/>
      <c r="AH593" s="846"/>
      <c r="AJ593" s="1041"/>
      <c r="AK593" s="1041"/>
      <c r="AM593" s="1041"/>
      <c r="AO593" s="1041"/>
      <c r="AP593" s="1042"/>
      <c r="AQ593" s="1040"/>
      <c r="AR593" s="1040"/>
      <c r="AU593" s="1043"/>
      <c r="AW593" s="1044"/>
      <c r="AX593" s="1044"/>
      <c r="AY593" s="1044"/>
      <c r="AZ593" s="1044"/>
    </row>
    <row r="594" spans="2:52" s="1025" customFormat="1">
      <c r="B594" s="824"/>
      <c r="C594" s="824"/>
      <c r="D594" s="823"/>
      <c r="E594" s="823"/>
      <c r="F594" s="823"/>
      <c r="G594" s="823"/>
      <c r="H594" s="823"/>
      <c r="I594" s="823"/>
      <c r="J594" s="823"/>
      <c r="K594" s="823"/>
      <c r="L594" s="823"/>
      <c r="M594" s="823"/>
      <c r="N594" s="823"/>
      <c r="O594" s="823"/>
      <c r="P594" s="823"/>
      <c r="Q594" s="823"/>
      <c r="R594" s="823"/>
      <c r="S594" s="823"/>
      <c r="T594" s="823"/>
      <c r="U594" s="823"/>
      <c r="V594" s="824"/>
      <c r="Z594" s="1039"/>
      <c r="AB594" s="826"/>
      <c r="AC594" s="1040"/>
      <c r="AD594" s="1041"/>
      <c r="AF594" s="1041"/>
      <c r="AH594" s="846"/>
      <c r="AJ594" s="1041"/>
      <c r="AK594" s="1041"/>
      <c r="AM594" s="1041"/>
      <c r="AO594" s="1041"/>
      <c r="AP594" s="1042"/>
      <c r="AQ594" s="1040"/>
      <c r="AR594" s="1040"/>
      <c r="AU594" s="1043"/>
      <c r="AW594" s="1044"/>
      <c r="AX594" s="1044"/>
      <c r="AY594" s="1044"/>
      <c r="AZ594" s="1044"/>
    </row>
    <row r="595" spans="2:52" s="1025" customFormat="1">
      <c r="B595" s="824"/>
      <c r="C595" s="824"/>
      <c r="D595" s="823"/>
      <c r="E595" s="823"/>
      <c r="F595" s="823"/>
      <c r="G595" s="823"/>
      <c r="H595" s="823"/>
      <c r="I595" s="823"/>
      <c r="J595" s="823"/>
      <c r="K595" s="823"/>
      <c r="L595" s="823"/>
      <c r="M595" s="823"/>
      <c r="N595" s="823"/>
      <c r="O595" s="823"/>
      <c r="P595" s="823"/>
      <c r="Q595" s="823"/>
      <c r="R595" s="823"/>
      <c r="S595" s="823"/>
      <c r="T595" s="823"/>
      <c r="U595" s="823"/>
      <c r="V595" s="824"/>
      <c r="Z595" s="1039"/>
      <c r="AB595" s="826"/>
      <c r="AC595" s="1040"/>
      <c r="AD595" s="1041"/>
      <c r="AF595" s="1041"/>
      <c r="AH595" s="846"/>
      <c r="AJ595" s="1041"/>
      <c r="AK595" s="1041"/>
      <c r="AM595" s="1041"/>
      <c r="AO595" s="1041"/>
      <c r="AP595" s="1042"/>
      <c r="AQ595" s="1040"/>
      <c r="AR595" s="1040"/>
      <c r="AU595" s="1043"/>
      <c r="AW595" s="1044"/>
      <c r="AX595" s="1044"/>
      <c r="AY595" s="1044"/>
      <c r="AZ595" s="1044"/>
    </row>
    <row r="596" spans="2:52" s="1025" customFormat="1">
      <c r="B596" s="824"/>
      <c r="C596" s="824"/>
      <c r="D596" s="823"/>
      <c r="E596" s="823"/>
      <c r="F596" s="823"/>
      <c r="G596" s="823"/>
      <c r="H596" s="823"/>
      <c r="I596" s="823"/>
      <c r="J596" s="823"/>
      <c r="K596" s="823"/>
      <c r="L596" s="823"/>
      <c r="M596" s="823"/>
      <c r="N596" s="823"/>
      <c r="O596" s="823"/>
      <c r="P596" s="823"/>
      <c r="Q596" s="823"/>
      <c r="R596" s="823"/>
      <c r="S596" s="823"/>
      <c r="T596" s="823"/>
      <c r="U596" s="823"/>
      <c r="V596" s="824"/>
      <c r="Z596" s="1039"/>
      <c r="AB596" s="826"/>
      <c r="AC596" s="1040"/>
      <c r="AD596" s="1041"/>
      <c r="AF596" s="1041"/>
      <c r="AH596" s="846"/>
      <c r="AJ596" s="1041"/>
      <c r="AK596" s="1041"/>
      <c r="AM596" s="1041"/>
      <c r="AO596" s="1041"/>
      <c r="AP596" s="1042"/>
      <c r="AQ596" s="1040"/>
      <c r="AR596" s="1040"/>
      <c r="AU596" s="1043"/>
      <c r="AW596" s="1044"/>
      <c r="AX596" s="1044"/>
      <c r="AY596" s="1044"/>
      <c r="AZ596" s="1044"/>
    </row>
    <row r="597" spans="2:52" s="1025" customFormat="1">
      <c r="B597" s="824"/>
      <c r="C597" s="824"/>
      <c r="D597" s="823"/>
      <c r="E597" s="823"/>
      <c r="F597" s="823"/>
      <c r="G597" s="823"/>
      <c r="H597" s="823"/>
      <c r="I597" s="823"/>
      <c r="J597" s="823"/>
      <c r="K597" s="823"/>
      <c r="L597" s="823"/>
      <c r="M597" s="823"/>
      <c r="N597" s="823"/>
      <c r="O597" s="823"/>
      <c r="P597" s="823"/>
      <c r="Q597" s="823"/>
      <c r="R597" s="823"/>
      <c r="S597" s="823"/>
      <c r="T597" s="823"/>
      <c r="U597" s="823"/>
      <c r="V597" s="824"/>
      <c r="Z597" s="1039"/>
      <c r="AB597" s="826"/>
      <c r="AC597" s="1040"/>
      <c r="AD597" s="1041"/>
      <c r="AF597" s="1041"/>
      <c r="AH597" s="846"/>
      <c r="AJ597" s="1041"/>
      <c r="AK597" s="1041"/>
      <c r="AM597" s="1041"/>
      <c r="AO597" s="1041"/>
      <c r="AP597" s="1042"/>
      <c r="AQ597" s="1040"/>
      <c r="AR597" s="1040"/>
      <c r="AU597" s="1043"/>
      <c r="AW597" s="1044"/>
      <c r="AX597" s="1044"/>
      <c r="AY597" s="1044"/>
      <c r="AZ597" s="1044"/>
    </row>
    <row r="598" spans="2:52" s="1025" customFormat="1">
      <c r="B598" s="824"/>
      <c r="C598" s="824"/>
      <c r="D598" s="823"/>
      <c r="E598" s="823"/>
      <c r="F598" s="823"/>
      <c r="G598" s="823"/>
      <c r="H598" s="823"/>
      <c r="I598" s="823"/>
      <c r="J598" s="823"/>
      <c r="K598" s="823"/>
      <c r="L598" s="823"/>
      <c r="M598" s="823"/>
      <c r="N598" s="823"/>
      <c r="O598" s="823"/>
      <c r="P598" s="823"/>
      <c r="Q598" s="823"/>
      <c r="R598" s="823"/>
      <c r="S598" s="823"/>
      <c r="T598" s="823"/>
      <c r="U598" s="823"/>
      <c r="V598" s="824"/>
      <c r="Z598" s="1039"/>
      <c r="AB598" s="826"/>
      <c r="AC598" s="1040"/>
      <c r="AD598" s="1041"/>
      <c r="AF598" s="1041"/>
      <c r="AH598" s="846"/>
      <c r="AJ598" s="1041"/>
      <c r="AK598" s="1041"/>
      <c r="AM598" s="1041"/>
      <c r="AO598" s="1041"/>
      <c r="AP598" s="1042"/>
      <c r="AQ598" s="1040"/>
      <c r="AR598" s="1040"/>
      <c r="AU598" s="1043"/>
      <c r="AW598" s="1044"/>
      <c r="AX598" s="1044"/>
      <c r="AY598" s="1044"/>
      <c r="AZ598" s="1044"/>
    </row>
    <row r="599" spans="2:52" s="1025" customFormat="1">
      <c r="B599" s="824"/>
      <c r="C599" s="824"/>
      <c r="D599" s="823"/>
      <c r="E599" s="823"/>
      <c r="F599" s="823"/>
      <c r="G599" s="823"/>
      <c r="H599" s="823"/>
      <c r="I599" s="823"/>
      <c r="J599" s="823"/>
      <c r="K599" s="823"/>
      <c r="L599" s="823"/>
      <c r="M599" s="823"/>
      <c r="N599" s="823"/>
      <c r="O599" s="823"/>
      <c r="P599" s="823"/>
      <c r="Q599" s="823"/>
      <c r="R599" s="823"/>
      <c r="S599" s="823"/>
      <c r="T599" s="823"/>
      <c r="U599" s="823"/>
      <c r="V599" s="824"/>
      <c r="Z599" s="1039"/>
      <c r="AB599" s="826"/>
      <c r="AC599" s="1040"/>
      <c r="AD599" s="1041"/>
      <c r="AF599" s="1041"/>
      <c r="AH599" s="846"/>
      <c r="AJ599" s="1041"/>
      <c r="AK599" s="1041"/>
      <c r="AM599" s="1041"/>
      <c r="AO599" s="1041"/>
      <c r="AP599" s="1042"/>
      <c r="AQ599" s="1040"/>
      <c r="AR599" s="1040"/>
      <c r="AU599" s="1043"/>
      <c r="AW599" s="1044"/>
      <c r="AX599" s="1044"/>
      <c r="AY599" s="1044"/>
      <c r="AZ599" s="1044"/>
    </row>
    <row r="600" spans="2:52" s="1025" customFormat="1">
      <c r="B600" s="824"/>
      <c r="C600" s="824"/>
      <c r="D600" s="823"/>
      <c r="E600" s="823"/>
      <c r="F600" s="823"/>
      <c r="G600" s="823"/>
      <c r="H600" s="823"/>
      <c r="I600" s="823"/>
      <c r="J600" s="823"/>
      <c r="K600" s="823"/>
      <c r="L600" s="823"/>
      <c r="M600" s="823"/>
      <c r="N600" s="823"/>
      <c r="O600" s="823"/>
      <c r="P600" s="823"/>
      <c r="Q600" s="823"/>
      <c r="R600" s="823"/>
      <c r="S600" s="823"/>
      <c r="T600" s="823"/>
      <c r="U600" s="823"/>
      <c r="V600" s="824"/>
      <c r="Z600" s="1039"/>
      <c r="AB600" s="826"/>
      <c r="AC600" s="1040"/>
      <c r="AD600" s="1041"/>
      <c r="AF600" s="1041"/>
      <c r="AH600" s="846"/>
      <c r="AJ600" s="1041"/>
      <c r="AK600" s="1041"/>
      <c r="AM600" s="1041"/>
      <c r="AO600" s="1041"/>
      <c r="AP600" s="1042"/>
      <c r="AQ600" s="1040"/>
      <c r="AR600" s="1040"/>
      <c r="AU600" s="1043"/>
      <c r="AW600" s="1044"/>
      <c r="AX600" s="1044"/>
      <c r="AY600" s="1044"/>
      <c r="AZ600" s="1044"/>
    </row>
    <row r="601" spans="2:52" s="1025" customFormat="1">
      <c r="B601" s="824"/>
      <c r="C601" s="824"/>
      <c r="D601" s="823"/>
      <c r="E601" s="823"/>
      <c r="F601" s="823"/>
      <c r="G601" s="823"/>
      <c r="H601" s="823"/>
      <c r="I601" s="823"/>
      <c r="J601" s="823"/>
      <c r="K601" s="823"/>
      <c r="L601" s="823"/>
      <c r="M601" s="823"/>
      <c r="N601" s="823"/>
      <c r="O601" s="823"/>
      <c r="P601" s="823"/>
      <c r="Q601" s="823"/>
      <c r="R601" s="823"/>
      <c r="S601" s="823"/>
      <c r="T601" s="823"/>
      <c r="U601" s="823"/>
      <c r="V601" s="824"/>
      <c r="Z601" s="1039"/>
      <c r="AB601" s="826"/>
      <c r="AC601" s="1040"/>
      <c r="AD601" s="1041"/>
      <c r="AF601" s="1041"/>
      <c r="AH601" s="846"/>
      <c r="AJ601" s="1041"/>
      <c r="AK601" s="1041"/>
      <c r="AM601" s="1041"/>
      <c r="AO601" s="1041"/>
      <c r="AP601" s="1042"/>
      <c r="AQ601" s="1040"/>
      <c r="AR601" s="1040"/>
      <c r="AU601" s="1043"/>
      <c r="AW601" s="1044"/>
      <c r="AX601" s="1044"/>
      <c r="AY601" s="1044"/>
      <c r="AZ601" s="1044"/>
    </row>
    <row r="602" spans="2:52" s="1025" customFormat="1">
      <c r="B602" s="824"/>
      <c r="C602" s="824"/>
      <c r="D602" s="823"/>
      <c r="E602" s="823"/>
      <c r="F602" s="823"/>
      <c r="G602" s="823"/>
      <c r="H602" s="823"/>
      <c r="I602" s="823"/>
      <c r="J602" s="823"/>
      <c r="K602" s="823"/>
      <c r="L602" s="823"/>
      <c r="M602" s="823"/>
      <c r="N602" s="823"/>
      <c r="O602" s="823"/>
      <c r="P602" s="823"/>
      <c r="Q602" s="823"/>
      <c r="R602" s="823"/>
      <c r="S602" s="823"/>
      <c r="T602" s="823"/>
      <c r="U602" s="823"/>
      <c r="V602" s="824"/>
      <c r="Z602" s="1039"/>
      <c r="AB602" s="826"/>
      <c r="AC602" s="1040"/>
      <c r="AD602" s="1041"/>
      <c r="AF602" s="1041"/>
      <c r="AH602" s="846"/>
      <c r="AJ602" s="1041"/>
      <c r="AK602" s="1041"/>
      <c r="AM602" s="1041"/>
      <c r="AO602" s="1041"/>
      <c r="AP602" s="1042"/>
      <c r="AQ602" s="1040"/>
      <c r="AR602" s="1040"/>
      <c r="AU602" s="1043"/>
      <c r="AW602" s="1044"/>
      <c r="AX602" s="1044"/>
      <c r="AY602" s="1044"/>
      <c r="AZ602" s="1044"/>
    </row>
    <row r="603" spans="2:52" s="1025" customFormat="1">
      <c r="B603" s="824"/>
      <c r="C603" s="824"/>
      <c r="D603" s="823"/>
      <c r="E603" s="823"/>
      <c r="F603" s="823"/>
      <c r="G603" s="823"/>
      <c r="H603" s="823"/>
      <c r="I603" s="823"/>
      <c r="J603" s="823"/>
      <c r="K603" s="823"/>
      <c r="L603" s="823"/>
      <c r="M603" s="823"/>
      <c r="N603" s="823"/>
      <c r="O603" s="823"/>
      <c r="P603" s="823"/>
      <c r="Q603" s="823"/>
      <c r="R603" s="823"/>
      <c r="S603" s="823"/>
      <c r="T603" s="823"/>
      <c r="U603" s="823"/>
      <c r="V603" s="824"/>
      <c r="Z603" s="1039"/>
      <c r="AB603" s="826"/>
      <c r="AC603" s="1040"/>
      <c r="AD603" s="1041"/>
      <c r="AF603" s="1041"/>
      <c r="AH603" s="846"/>
      <c r="AJ603" s="1041"/>
      <c r="AK603" s="1041"/>
      <c r="AM603" s="1041"/>
      <c r="AO603" s="1041"/>
      <c r="AP603" s="1042"/>
      <c r="AQ603" s="1040"/>
      <c r="AR603" s="1040"/>
      <c r="AU603" s="1043"/>
      <c r="AW603" s="1044"/>
      <c r="AX603" s="1044"/>
      <c r="AY603" s="1044"/>
      <c r="AZ603" s="1044"/>
    </row>
    <row r="604" spans="2:52" s="1025" customFormat="1">
      <c r="B604" s="824"/>
      <c r="C604" s="824"/>
      <c r="D604" s="823"/>
      <c r="E604" s="823"/>
      <c r="F604" s="823"/>
      <c r="G604" s="823"/>
      <c r="H604" s="823"/>
      <c r="I604" s="823"/>
      <c r="J604" s="823"/>
      <c r="K604" s="823"/>
      <c r="L604" s="823"/>
      <c r="M604" s="823"/>
      <c r="N604" s="823"/>
      <c r="O604" s="823"/>
      <c r="P604" s="823"/>
      <c r="Q604" s="823"/>
      <c r="R604" s="823"/>
      <c r="S604" s="823"/>
      <c r="T604" s="823"/>
      <c r="U604" s="823"/>
      <c r="V604" s="824"/>
      <c r="Z604" s="1039"/>
      <c r="AB604" s="826"/>
      <c r="AC604" s="1040"/>
      <c r="AD604" s="1041"/>
      <c r="AF604" s="1041"/>
      <c r="AH604" s="846"/>
      <c r="AJ604" s="1041"/>
      <c r="AK604" s="1041"/>
      <c r="AM604" s="1041"/>
      <c r="AO604" s="1041"/>
      <c r="AP604" s="1042"/>
      <c r="AQ604" s="1040"/>
      <c r="AR604" s="1040"/>
      <c r="AU604" s="1043"/>
      <c r="AW604" s="1044"/>
      <c r="AX604" s="1044"/>
      <c r="AY604" s="1044"/>
      <c r="AZ604" s="1044"/>
    </row>
    <row r="605" spans="2:52" s="1025" customFormat="1">
      <c r="B605" s="824"/>
      <c r="C605" s="824"/>
      <c r="D605" s="823"/>
      <c r="E605" s="823"/>
      <c r="F605" s="823"/>
      <c r="G605" s="823"/>
      <c r="H605" s="823"/>
      <c r="I605" s="823"/>
      <c r="J605" s="823"/>
      <c r="K605" s="823"/>
      <c r="L605" s="823"/>
      <c r="M605" s="823"/>
      <c r="N605" s="823"/>
      <c r="O605" s="823"/>
      <c r="P605" s="823"/>
      <c r="Q605" s="823"/>
      <c r="R605" s="823"/>
      <c r="S605" s="823"/>
      <c r="T605" s="823"/>
      <c r="U605" s="823"/>
      <c r="V605" s="824"/>
      <c r="Z605" s="1039"/>
      <c r="AB605" s="826"/>
      <c r="AC605" s="1040"/>
      <c r="AD605" s="1041"/>
      <c r="AF605" s="1041"/>
      <c r="AH605" s="846"/>
      <c r="AJ605" s="1041"/>
      <c r="AK605" s="1041"/>
      <c r="AM605" s="1041"/>
      <c r="AO605" s="1041"/>
      <c r="AP605" s="1042"/>
      <c r="AQ605" s="1040"/>
      <c r="AR605" s="1040"/>
      <c r="AU605" s="1043"/>
      <c r="AW605" s="1044"/>
      <c r="AX605" s="1044"/>
      <c r="AY605" s="1044"/>
      <c r="AZ605" s="1044"/>
    </row>
    <row r="606" spans="2:52" s="1025" customFormat="1">
      <c r="B606" s="824"/>
      <c r="C606" s="824"/>
      <c r="D606" s="823"/>
      <c r="E606" s="823"/>
      <c r="F606" s="823"/>
      <c r="G606" s="823"/>
      <c r="H606" s="823"/>
      <c r="I606" s="823"/>
      <c r="J606" s="823"/>
      <c r="K606" s="823"/>
      <c r="L606" s="823"/>
      <c r="M606" s="823"/>
      <c r="N606" s="823"/>
      <c r="O606" s="823"/>
      <c r="P606" s="823"/>
      <c r="Q606" s="823"/>
      <c r="R606" s="823"/>
      <c r="S606" s="823"/>
      <c r="T606" s="823"/>
      <c r="U606" s="823"/>
      <c r="V606" s="824"/>
      <c r="Z606" s="1039"/>
      <c r="AB606" s="826"/>
      <c r="AC606" s="1040"/>
      <c r="AD606" s="1041"/>
      <c r="AF606" s="1041"/>
      <c r="AH606" s="846"/>
      <c r="AJ606" s="1041"/>
      <c r="AK606" s="1041"/>
      <c r="AM606" s="1041"/>
      <c r="AO606" s="1041"/>
      <c r="AP606" s="1042"/>
      <c r="AQ606" s="1040"/>
      <c r="AR606" s="1040"/>
      <c r="AU606" s="1043"/>
      <c r="AW606" s="1044"/>
      <c r="AX606" s="1044"/>
      <c r="AY606" s="1044"/>
      <c r="AZ606" s="1044"/>
    </row>
    <row r="607" spans="2:52" s="1025" customFormat="1">
      <c r="B607" s="824"/>
      <c r="C607" s="824"/>
      <c r="D607" s="823"/>
      <c r="E607" s="823"/>
      <c r="F607" s="823"/>
      <c r="G607" s="823"/>
      <c r="H607" s="823"/>
      <c r="I607" s="823"/>
      <c r="J607" s="823"/>
      <c r="K607" s="823"/>
      <c r="L607" s="823"/>
      <c r="M607" s="823"/>
      <c r="N607" s="823"/>
      <c r="O607" s="823"/>
      <c r="P607" s="823"/>
      <c r="Q607" s="823"/>
      <c r="R607" s="823"/>
      <c r="S607" s="823"/>
      <c r="T607" s="823"/>
      <c r="U607" s="823"/>
      <c r="V607" s="824"/>
      <c r="Z607" s="1039"/>
      <c r="AB607" s="826"/>
      <c r="AC607" s="1040"/>
      <c r="AD607" s="1041"/>
      <c r="AF607" s="1041"/>
      <c r="AH607" s="846"/>
      <c r="AJ607" s="1041"/>
      <c r="AK607" s="1041"/>
      <c r="AM607" s="1041"/>
      <c r="AO607" s="1041"/>
      <c r="AP607" s="1042"/>
      <c r="AQ607" s="1040"/>
      <c r="AR607" s="1040"/>
      <c r="AU607" s="1043"/>
      <c r="AW607" s="1044"/>
      <c r="AX607" s="1044"/>
      <c r="AY607" s="1044"/>
      <c r="AZ607" s="1044"/>
    </row>
    <row r="608" spans="2:52" s="1025" customFormat="1">
      <c r="B608" s="824"/>
      <c r="C608" s="824"/>
      <c r="D608" s="823"/>
      <c r="E608" s="823"/>
      <c r="F608" s="823"/>
      <c r="G608" s="823"/>
      <c r="H608" s="823"/>
      <c r="I608" s="823"/>
      <c r="J608" s="823"/>
      <c r="K608" s="823"/>
      <c r="L608" s="823"/>
      <c r="M608" s="823"/>
      <c r="N608" s="823"/>
      <c r="O608" s="823"/>
      <c r="P608" s="823"/>
      <c r="Q608" s="823"/>
      <c r="R608" s="823"/>
      <c r="S608" s="823"/>
      <c r="T608" s="823"/>
      <c r="U608" s="823"/>
      <c r="V608" s="824"/>
      <c r="Z608" s="1039"/>
      <c r="AB608" s="826"/>
      <c r="AC608" s="1040"/>
      <c r="AD608" s="1041"/>
      <c r="AF608" s="1041"/>
      <c r="AH608" s="846"/>
      <c r="AJ608" s="1041"/>
      <c r="AK608" s="1041"/>
      <c r="AM608" s="1041"/>
      <c r="AO608" s="1041"/>
      <c r="AP608" s="1042"/>
      <c r="AQ608" s="1040"/>
      <c r="AR608" s="1040"/>
      <c r="AU608" s="1043"/>
      <c r="AW608" s="1044"/>
      <c r="AX608" s="1044"/>
      <c r="AY608" s="1044"/>
      <c r="AZ608" s="1044"/>
    </row>
    <row r="609" spans="2:52" s="1025" customFormat="1">
      <c r="B609" s="824"/>
      <c r="C609" s="824"/>
      <c r="D609" s="823"/>
      <c r="E609" s="823"/>
      <c r="F609" s="823"/>
      <c r="G609" s="823"/>
      <c r="H609" s="823"/>
      <c r="I609" s="823"/>
      <c r="J609" s="823"/>
      <c r="K609" s="823"/>
      <c r="L609" s="823"/>
      <c r="M609" s="823"/>
      <c r="N609" s="823"/>
      <c r="O609" s="823"/>
      <c r="P609" s="823"/>
      <c r="Q609" s="823"/>
      <c r="R609" s="823"/>
      <c r="S609" s="823"/>
      <c r="T609" s="823"/>
      <c r="U609" s="823"/>
      <c r="V609" s="824"/>
      <c r="Z609" s="1039"/>
      <c r="AB609" s="826"/>
      <c r="AC609" s="1040"/>
      <c r="AD609" s="1041"/>
      <c r="AF609" s="1041"/>
      <c r="AH609" s="846"/>
      <c r="AJ609" s="1041"/>
      <c r="AK609" s="1041"/>
      <c r="AM609" s="1041"/>
      <c r="AO609" s="1041"/>
      <c r="AP609" s="1042"/>
      <c r="AQ609" s="1040"/>
      <c r="AR609" s="1040"/>
      <c r="AU609" s="1043"/>
      <c r="AW609" s="1044"/>
      <c r="AX609" s="1044"/>
      <c r="AY609" s="1044"/>
      <c r="AZ609" s="1044"/>
    </row>
    <row r="610" spans="2:52" s="1025" customFormat="1">
      <c r="B610" s="824"/>
      <c r="C610" s="824"/>
      <c r="D610" s="823"/>
      <c r="E610" s="823"/>
      <c r="F610" s="823"/>
      <c r="G610" s="823"/>
      <c r="H610" s="823"/>
      <c r="I610" s="823"/>
      <c r="J610" s="823"/>
      <c r="K610" s="823"/>
      <c r="L610" s="823"/>
      <c r="M610" s="823"/>
      <c r="N610" s="823"/>
      <c r="O610" s="823"/>
      <c r="P610" s="823"/>
      <c r="Q610" s="823"/>
      <c r="R610" s="823"/>
      <c r="S610" s="823"/>
      <c r="T610" s="823"/>
      <c r="U610" s="823"/>
      <c r="V610" s="824"/>
      <c r="Z610" s="1039"/>
      <c r="AB610" s="826"/>
      <c r="AC610" s="1040"/>
      <c r="AD610" s="1041"/>
      <c r="AF610" s="1041"/>
      <c r="AH610" s="846"/>
      <c r="AJ610" s="1041"/>
      <c r="AK610" s="1041"/>
      <c r="AM610" s="1041"/>
      <c r="AO610" s="1041"/>
      <c r="AP610" s="1042"/>
      <c r="AQ610" s="1040"/>
      <c r="AR610" s="1040"/>
      <c r="AU610" s="1043"/>
      <c r="AW610" s="1044"/>
      <c r="AX610" s="1044"/>
      <c r="AY610" s="1044"/>
      <c r="AZ610" s="1044"/>
    </row>
    <row r="611" spans="2:52" s="1025" customFormat="1">
      <c r="B611" s="824"/>
      <c r="C611" s="824"/>
      <c r="D611" s="823"/>
      <c r="E611" s="823"/>
      <c r="F611" s="823"/>
      <c r="G611" s="823"/>
      <c r="H611" s="823"/>
      <c r="I611" s="823"/>
      <c r="J611" s="823"/>
      <c r="K611" s="823"/>
      <c r="L611" s="823"/>
      <c r="M611" s="823"/>
      <c r="N611" s="823"/>
      <c r="O611" s="823"/>
      <c r="P611" s="823"/>
      <c r="Q611" s="823"/>
      <c r="R611" s="823"/>
      <c r="S611" s="823"/>
      <c r="T611" s="823"/>
      <c r="U611" s="823"/>
      <c r="V611" s="824"/>
      <c r="Z611" s="1039"/>
      <c r="AB611" s="826"/>
      <c r="AC611" s="1040"/>
      <c r="AD611" s="1041"/>
      <c r="AF611" s="1041"/>
      <c r="AH611" s="846"/>
      <c r="AJ611" s="1041"/>
      <c r="AK611" s="1041"/>
      <c r="AM611" s="1041"/>
      <c r="AO611" s="1041"/>
      <c r="AP611" s="1042"/>
      <c r="AQ611" s="1040"/>
      <c r="AR611" s="1040"/>
      <c r="AU611" s="1043"/>
      <c r="AW611" s="1044"/>
      <c r="AX611" s="1044"/>
      <c r="AY611" s="1044"/>
      <c r="AZ611" s="1044"/>
    </row>
    <row r="612" spans="2:52" s="1025" customFormat="1">
      <c r="B612" s="824"/>
      <c r="C612" s="824"/>
      <c r="D612" s="823"/>
      <c r="E612" s="823"/>
      <c r="F612" s="823"/>
      <c r="G612" s="823"/>
      <c r="H612" s="823"/>
      <c r="I612" s="823"/>
      <c r="J612" s="823"/>
      <c r="K612" s="823"/>
      <c r="L612" s="823"/>
      <c r="M612" s="823"/>
      <c r="N612" s="823"/>
      <c r="O612" s="823"/>
      <c r="P612" s="823"/>
      <c r="Q612" s="823"/>
      <c r="R612" s="823"/>
      <c r="S612" s="823"/>
      <c r="T612" s="823"/>
      <c r="U612" s="823"/>
      <c r="V612" s="824"/>
      <c r="Z612" s="1039"/>
      <c r="AB612" s="826"/>
      <c r="AC612" s="1040"/>
      <c r="AD612" s="1041"/>
      <c r="AF612" s="1041"/>
      <c r="AH612" s="846"/>
      <c r="AJ612" s="1041"/>
      <c r="AK612" s="1041"/>
      <c r="AM612" s="1041"/>
      <c r="AO612" s="1041"/>
      <c r="AP612" s="1042"/>
      <c r="AQ612" s="1040"/>
      <c r="AR612" s="1040"/>
      <c r="AU612" s="1043"/>
      <c r="AW612" s="1044"/>
      <c r="AX612" s="1044"/>
      <c r="AY612" s="1044"/>
      <c r="AZ612" s="1044"/>
    </row>
    <row r="613" spans="2:52" s="1025" customFormat="1">
      <c r="B613" s="824"/>
      <c r="C613" s="824"/>
      <c r="D613" s="823"/>
      <c r="E613" s="823"/>
      <c r="F613" s="823"/>
      <c r="G613" s="823"/>
      <c r="H613" s="823"/>
      <c r="I613" s="823"/>
      <c r="J613" s="823"/>
      <c r="K613" s="823"/>
      <c r="L613" s="823"/>
      <c r="M613" s="823"/>
      <c r="N613" s="823"/>
      <c r="O613" s="823"/>
      <c r="P613" s="823"/>
      <c r="Q613" s="823"/>
      <c r="R613" s="823"/>
      <c r="S613" s="823"/>
      <c r="T613" s="823"/>
      <c r="U613" s="823"/>
      <c r="V613" s="824"/>
      <c r="Z613" s="1039"/>
      <c r="AB613" s="826"/>
      <c r="AC613" s="1040"/>
      <c r="AD613" s="1041"/>
      <c r="AF613" s="1041"/>
      <c r="AH613" s="846"/>
      <c r="AJ613" s="1041"/>
      <c r="AK613" s="1041"/>
      <c r="AM613" s="1041"/>
      <c r="AO613" s="1041"/>
      <c r="AP613" s="1042"/>
      <c r="AQ613" s="1040"/>
      <c r="AR613" s="1040"/>
      <c r="AU613" s="1043"/>
      <c r="AW613" s="1044"/>
      <c r="AX613" s="1044"/>
      <c r="AY613" s="1044"/>
      <c r="AZ613" s="1044"/>
    </row>
    <row r="614" spans="2:52" s="1025" customFormat="1">
      <c r="B614" s="824"/>
      <c r="C614" s="824"/>
      <c r="D614" s="823"/>
      <c r="E614" s="823"/>
      <c r="F614" s="823"/>
      <c r="G614" s="823"/>
      <c r="H614" s="823"/>
      <c r="I614" s="823"/>
      <c r="J614" s="823"/>
      <c r="K614" s="823"/>
      <c r="L614" s="823"/>
      <c r="M614" s="823"/>
      <c r="N614" s="823"/>
      <c r="O614" s="823"/>
      <c r="P614" s="823"/>
      <c r="Q614" s="823"/>
      <c r="R614" s="823"/>
      <c r="S614" s="823"/>
      <c r="T614" s="823"/>
      <c r="U614" s="823"/>
      <c r="V614" s="824"/>
      <c r="Z614" s="1039"/>
      <c r="AB614" s="826"/>
      <c r="AC614" s="1040"/>
      <c r="AD614" s="1041"/>
      <c r="AF614" s="1041"/>
      <c r="AH614" s="846"/>
      <c r="AJ614" s="1041"/>
      <c r="AK614" s="1041"/>
      <c r="AM614" s="1041"/>
      <c r="AO614" s="1041"/>
      <c r="AP614" s="1042"/>
      <c r="AQ614" s="1040"/>
      <c r="AR614" s="1040"/>
      <c r="AU614" s="1043"/>
      <c r="AW614" s="1044"/>
      <c r="AX614" s="1044"/>
      <c r="AY614" s="1044"/>
      <c r="AZ614" s="1044"/>
    </row>
    <row r="615" spans="2:52" s="1025" customFormat="1">
      <c r="B615" s="824"/>
      <c r="C615" s="824"/>
      <c r="D615" s="823"/>
      <c r="E615" s="823"/>
      <c r="F615" s="823"/>
      <c r="G615" s="823"/>
      <c r="H615" s="823"/>
      <c r="I615" s="823"/>
      <c r="J615" s="823"/>
      <c r="K615" s="823"/>
      <c r="L615" s="823"/>
      <c r="M615" s="823"/>
      <c r="N615" s="823"/>
      <c r="O615" s="823"/>
      <c r="P615" s="823"/>
      <c r="Q615" s="823"/>
      <c r="R615" s="823"/>
      <c r="S615" s="823"/>
      <c r="T615" s="823"/>
      <c r="U615" s="823"/>
      <c r="V615" s="824"/>
      <c r="Z615" s="1039"/>
      <c r="AB615" s="826"/>
      <c r="AC615" s="1040"/>
      <c r="AD615" s="1041"/>
      <c r="AF615" s="1041"/>
      <c r="AH615" s="846"/>
      <c r="AJ615" s="1041"/>
      <c r="AK615" s="1041"/>
      <c r="AM615" s="1041"/>
      <c r="AO615" s="1041"/>
      <c r="AP615" s="1042"/>
      <c r="AQ615" s="1040"/>
      <c r="AR615" s="1040"/>
      <c r="AU615" s="1043"/>
      <c r="AW615" s="1044"/>
      <c r="AX615" s="1044"/>
      <c r="AY615" s="1044"/>
      <c r="AZ615" s="1044"/>
    </row>
    <row r="616" spans="2:52" s="1025" customFormat="1">
      <c r="B616" s="824"/>
      <c r="C616" s="824"/>
      <c r="D616" s="823"/>
      <c r="E616" s="823"/>
      <c r="F616" s="823"/>
      <c r="G616" s="823"/>
      <c r="H616" s="823"/>
      <c r="I616" s="823"/>
      <c r="J616" s="823"/>
      <c r="K616" s="823"/>
      <c r="L616" s="823"/>
      <c r="M616" s="823"/>
      <c r="N616" s="823"/>
      <c r="O616" s="823"/>
      <c r="P616" s="823"/>
      <c r="Q616" s="823"/>
      <c r="R616" s="823"/>
      <c r="S616" s="823"/>
      <c r="T616" s="823"/>
      <c r="U616" s="823"/>
      <c r="V616" s="824"/>
      <c r="Z616" s="1039"/>
      <c r="AB616" s="826"/>
      <c r="AC616" s="1040"/>
      <c r="AD616" s="1041"/>
      <c r="AF616" s="1041"/>
      <c r="AH616" s="846"/>
      <c r="AJ616" s="1041"/>
      <c r="AK616" s="1041"/>
      <c r="AM616" s="1041"/>
      <c r="AO616" s="1041"/>
      <c r="AP616" s="1042"/>
      <c r="AQ616" s="1040"/>
      <c r="AR616" s="1040"/>
      <c r="AU616" s="1043"/>
      <c r="AW616" s="1044"/>
      <c r="AX616" s="1044"/>
      <c r="AY616" s="1044"/>
      <c r="AZ616" s="1044"/>
    </row>
    <row r="617" spans="2:52" s="1025" customFormat="1">
      <c r="B617" s="824"/>
      <c r="C617" s="824"/>
      <c r="D617" s="823"/>
      <c r="E617" s="823"/>
      <c r="F617" s="823"/>
      <c r="G617" s="823"/>
      <c r="H617" s="823"/>
      <c r="I617" s="823"/>
      <c r="J617" s="823"/>
      <c r="K617" s="823"/>
      <c r="L617" s="823"/>
      <c r="M617" s="823"/>
      <c r="N617" s="823"/>
      <c r="O617" s="823"/>
      <c r="P617" s="823"/>
      <c r="Q617" s="823"/>
      <c r="R617" s="823"/>
      <c r="S617" s="823"/>
      <c r="T617" s="823"/>
      <c r="U617" s="823"/>
      <c r="V617" s="824"/>
      <c r="Z617" s="1039"/>
      <c r="AB617" s="826"/>
      <c r="AC617" s="1040"/>
      <c r="AD617" s="1041"/>
      <c r="AF617" s="1041"/>
      <c r="AH617" s="846"/>
      <c r="AJ617" s="1041"/>
      <c r="AK617" s="1041"/>
      <c r="AM617" s="1041"/>
      <c r="AO617" s="1041"/>
      <c r="AP617" s="1042"/>
      <c r="AQ617" s="1040"/>
      <c r="AR617" s="1040"/>
      <c r="AU617" s="1043"/>
      <c r="AW617" s="1044"/>
      <c r="AX617" s="1044"/>
      <c r="AY617" s="1044"/>
      <c r="AZ617" s="1044"/>
    </row>
    <row r="618" spans="2:52" s="1025" customFormat="1">
      <c r="B618" s="824"/>
      <c r="C618" s="824"/>
      <c r="D618" s="823"/>
      <c r="E618" s="823"/>
      <c r="F618" s="823"/>
      <c r="G618" s="823"/>
      <c r="H618" s="823"/>
      <c r="I618" s="823"/>
      <c r="J618" s="823"/>
      <c r="K618" s="823"/>
      <c r="L618" s="823"/>
      <c r="M618" s="823"/>
      <c r="N618" s="823"/>
      <c r="O618" s="823"/>
      <c r="P618" s="823"/>
      <c r="Q618" s="823"/>
      <c r="R618" s="823"/>
      <c r="S618" s="823"/>
      <c r="T618" s="823"/>
      <c r="U618" s="823"/>
      <c r="V618" s="824"/>
      <c r="Z618" s="1039"/>
      <c r="AB618" s="826"/>
      <c r="AC618" s="1040"/>
      <c r="AD618" s="1041"/>
      <c r="AF618" s="1041"/>
      <c r="AH618" s="846"/>
      <c r="AJ618" s="1041"/>
      <c r="AK618" s="1041"/>
      <c r="AM618" s="1041"/>
      <c r="AO618" s="1041"/>
      <c r="AP618" s="1042"/>
      <c r="AQ618" s="1040"/>
      <c r="AR618" s="1040"/>
      <c r="AU618" s="1043"/>
      <c r="AW618" s="1044"/>
      <c r="AX618" s="1044"/>
      <c r="AY618" s="1044"/>
      <c r="AZ618" s="1044"/>
    </row>
    <row r="619" spans="2:52" s="1025" customFormat="1">
      <c r="B619" s="824"/>
      <c r="C619" s="824"/>
      <c r="D619" s="823"/>
      <c r="E619" s="823"/>
      <c r="F619" s="823"/>
      <c r="G619" s="823"/>
      <c r="H619" s="823"/>
      <c r="I619" s="823"/>
      <c r="J619" s="823"/>
      <c r="K619" s="823"/>
      <c r="L619" s="823"/>
      <c r="M619" s="823"/>
      <c r="N619" s="823"/>
      <c r="O619" s="823"/>
      <c r="P619" s="823"/>
      <c r="Q619" s="823"/>
      <c r="R619" s="823"/>
      <c r="S619" s="823"/>
      <c r="T619" s="823"/>
      <c r="U619" s="823"/>
      <c r="V619" s="824"/>
      <c r="Z619" s="1039"/>
      <c r="AB619" s="826"/>
      <c r="AC619" s="1040"/>
      <c r="AD619" s="1041"/>
      <c r="AF619" s="1041"/>
      <c r="AH619" s="846"/>
      <c r="AJ619" s="1041"/>
      <c r="AK619" s="1041"/>
      <c r="AM619" s="1041"/>
      <c r="AO619" s="1041"/>
      <c r="AP619" s="1042"/>
      <c r="AQ619" s="1040"/>
      <c r="AR619" s="1040"/>
      <c r="AU619" s="1043"/>
      <c r="AW619" s="1044"/>
      <c r="AX619" s="1044"/>
      <c r="AY619" s="1044"/>
      <c r="AZ619" s="1044"/>
    </row>
    <row r="620" spans="2:52">
      <c r="Z620" s="1039"/>
      <c r="AC620" s="1045"/>
      <c r="AQ620" s="1045"/>
      <c r="AR620" s="1045"/>
    </row>
    <row r="621" spans="2:52">
      <c r="Z621" s="1039"/>
      <c r="AC621" s="1045"/>
      <c r="AQ621" s="1045"/>
      <c r="AR621" s="1045"/>
    </row>
    <row r="622" spans="2:52">
      <c r="Z622" s="1039"/>
      <c r="AC622" s="1045"/>
      <c r="AQ622" s="1045"/>
      <c r="AR622" s="1045"/>
    </row>
    <row r="623" spans="2:52">
      <c r="Z623" s="1039"/>
      <c r="AC623" s="1045"/>
      <c r="AQ623" s="1045"/>
      <c r="AR623" s="1045"/>
    </row>
    <row r="624" spans="2:52">
      <c r="Z624" s="1039"/>
      <c r="AC624" s="1045"/>
      <c r="AQ624" s="1045"/>
      <c r="AR624" s="1045"/>
    </row>
    <row r="625" spans="26:44">
      <c r="Z625" s="1039"/>
      <c r="AC625" s="1045"/>
      <c r="AQ625" s="1045"/>
      <c r="AR625" s="1045"/>
    </row>
    <row r="626" spans="26:44">
      <c r="Z626" s="1039"/>
      <c r="AC626" s="1045"/>
      <c r="AQ626" s="1045"/>
      <c r="AR626" s="1045"/>
    </row>
    <row r="627" spans="26:44">
      <c r="Z627" s="1039"/>
      <c r="AC627" s="1045"/>
      <c r="AQ627" s="1045"/>
      <c r="AR627" s="1045"/>
    </row>
    <row r="628" spans="26:44">
      <c r="Z628" s="1039"/>
      <c r="AC628" s="1045"/>
      <c r="AQ628" s="1045"/>
      <c r="AR628" s="1045"/>
    </row>
    <row r="629" spans="26:44">
      <c r="Z629" s="1039"/>
      <c r="AC629" s="1045"/>
      <c r="AQ629" s="1045"/>
      <c r="AR629" s="1045"/>
    </row>
    <row r="630" spans="26:44">
      <c r="Z630" s="1039"/>
      <c r="AC630" s="1045"/>
      <c r="AQ630" s="1045"/>
      <c r="AR630" s="1045"/>
    </row>
    <row r="631" spans="26:44">
      <c r="Z631" s="1039"/>
      <c r="AC631" s="1045"/>
      <c r="AQ631" s="1045"/>
      <c r="AR631" s="1045"/>
    </row>
    <row r="632" spans="26:44">
      <c r="Z632" s="1039"/>
      <c r="AC632" s="1045"/>
      <c r="AQ632" s="1045"/>
      <c r="AR632" s="1045"/>
    </row>
    <row r="633" spans="26:44">
      <c r="Z633" s="1039"/>
      <c r="AC633" s="1045"/>
      <c r="AQ633" s="1045"/>
      <c r="AR633" s="1045"/>
    </row>
    <row r="634" spans="26:44">
      <c r="Z634" s="1039"/>
      <c r="AC634" s="1045"/>
      <c r="AQ634" s="1045"/>
      <c r="AR634" s="1045"/>
    </row>
    <row r="635" spans="26:44">
      <c r="Z635" s="1039"/>
      <c r="AC635" s="1045"/>
      <c r="AQ635" s="1045"/>
      <c r="AR635" s="1045"/>
    </row>
    <row r="636" spans="26:44">
      <c r="Z636" s="1039"/>
      <c r="AC636" s="1045"/>
      <c r="AQ636" s="1045"/>
      <c r="AR636" s="1045"/>
    </row>
    <row r="637" spans="26:44">
      <c r="Z637" s="1039"/>
      <c r="AC637" s="1045"/>
      <c r="AQ637" s="1045"/>
      <c r="AR637" s="1045"/>
    </row>
    <row r="638" spans="26:44">
      <c r="Z638" s="1039"/>
      <c r="AC638" s="1045"/>
      <c r="AQ638" s="1045"/>
      <c r="AR638" s="1045"/>
    </row>
    <row r="639" spans="26:44">
      <c r="Z639" s="1039"/>
      <c r="AC639" s="1045"/>
      <c r="AQ639" s="1045"/>
      <c r="AR639" s="1045"/>
    </row>
    <row r="640" spans="26:44">
      <c r="Z640" s="1039"/>
      <c r="AC640" s="1045"/>
      <c r="AQ640" s="1045"/>
      <c r="AR640" s="1045"/>
    </row>
    <row r="641" spans="26:44">
      <c r="Z641" s="1039"/>
      <c r="AC641" s="1045"/>
      <c r="AQ641" s="1045"/>
      <c r="AR641" s="1045"/>
    </row>
    <row r="642" spans="26:44">
      <c r="Z642" s="1039"/>
      <c r="AC642" s="1045"/>
      <c r="AQ642" s="1045"/>
      <c r="AR642" s="1045"/>
    </row>
    <row r="643" spans="26:44">
      <c r="Z643" s="1039"/>
      <c r="AC643" s="1045"/>
      <c r="AQ643" s="1045"/>
      <c r="AR643" s="1045"/>
    </row>
    <row r="644" spans="26:44">
      <c r="Z644" s="1039"/>
      <c r="AC644" s="1045"/>
      <c r="AQ644" s="1045"/>
      <c r="AR644" s="1045"/>
    </row>
    <row r="645" spans="26:44">
      <c r="Z645" s="1039"/>
      <c r="AC645" s="1045"/>
      <c r="AQ645" s="1045"/>
      <c r="AR645" s="1045"/>
    </row>
    <row r="646" spans="26:44">
      <c r="Z646" s="1039"/>
      <c r="AC646" s="1045"/>
      <c r="AQ646" s="1045"/>
      <c r="AR646" s="1045"/>
    </row>
    <row r="647" spans="26:44">
      <c r="Z647" s="1039"/>
      <c r="AC647" s="1045"/>
      <c r="AQ647" s="1045"/>
      <c r="AR647" s="1045"/>
    </row>
    <row r="648" spans="26:44">
      <c r="Z648" s="1039"/>
      <c r="AC648" s="1045"/>
      <c r="AQ648" s="1045"/>
      <c r="AR648" s="1045"/>
    </row>
    <row r="649" spans="26:44">
      <c r="Z649" s="1039"/>
      <c r="AC649" s="1045"/>
      <c r="AQ649" s="1045"/>
      <c r="AR649" s="1045"/>
    </row>
    <row r="650" spans="26:44">
      <c r="Z650" s="1039"/>
      <c r="AC650" s="1045"/>
      <c r="AQ650" s="1045"/>
      <c r="AR650" s="1045"/>
    </row>
    <row r="651" spans="26:44">
      <c r="Z651" s="1039"/>
      <c r="AC651" s="1045"/>
      <c r="AQ651" s="1045"/>
      <c r="AR651" s="1045"/>
    </row>
    <row r="652" spans="26:44">
      <c r="Z652" s="1039"/>
      <c r="AC652" s="1045"/>
      <c r="AQ652" s="1045"/>
      <c r="AR652" s="1045"/>
    </row>
    <row r="653" spans="26:44">
      <c r="Z653" s="1039"/>
      <c r="AC653" s="1045"/>
      <c r="AQ653" s="1045"/>
      <c r="AR653" s="1045"/>
    </row>
    <row r="654" spans="26:44">
      <c r="Z654" s="1039"/>
      <c r="AC654" s="1045"/>
      <c r="AQ654" s="1045"/>
      <c r="AR654" s="1045"/>
    </row>
    <row r="655" spans="26:44">
      <c r="Z655" s="1039"/>
      <c r="AC655" s="1045"/>
      <c r="AQ655" s="1045"/>
      <c r="AR655" s="1045"/>
    </row>
    <row r="656" spans="26:44">
      <c r="Z656" s="1039"/>
      <c r="AC656" s="1045"/>
      <c r="AQ656" s="1045"/>
      <c r="AR656" s="1045"/>
    </row>
    <row r="657" spans="26:44">
      <c r="Z657" s="1039"/>
      <c r="AC657" s="1045"/>
      <c r="AQ657" s="1045"/>
      <c r="AR657" s="1045"/>
    </row>
    <row r="658" spans="26:44">
      <c r="Z658" s="1039"/>
      <c r="AC658" s="1045"/>
      <c r="AQ658" s="1045"/>
      <c r="AR658" s="1045"/>
    </row>
    <row r="659" spans="26:44">
      <c r="Z659" s="1039"/>
      <c r="AC659" s="1045"/>
      <c r="AQ659" s="1045"/>
      <c r="AR659" s="1045"/>
    </row>
    <row r="660" spans="26:44">
      <c r="Z660" s="1039"/>
      <c r="AC660" s="1045"/>
      <c r="AQ660" s="1045"/>
      <c r="AR660" s="1045"/>
    </row>
    <row r="661" spans="26:44">
      <c r="Z661" s="1039"/>
      <c r="AC661" s="1045"/>
      <c r="AQ661" s="1045"/>
      <c r="AR661" s="1045"/>
    </row>
    <row r="662" spans="26:44">
      <c r="Z662" s="1039"/>
      <c r="AC662" s="1045"/>
      <c r="AQ662" s="1045"/>
      <c r="AR662" s="1045"/>
    </row>
    <row r="663" spans="26:44">
      <c r="Z663" s="1039"/>
      <c r="AC663" s="1045"/>
      <c r="AQ663" s="1045"/>
      <c r="AR663" s="1045"/>
    </row>
    <row r="664" spans="26:44">
      <c r="Z664" s="1039"/>
      <c r="AC664" s="1045"/>
      <c r="AQ664" s="1045"/>
      <c r="AR664" s="1045"/>
    </row>
    <row r="665" spans="26:44">
      <c r="Z665" s="1039"/>
      <c r="AC665" s="1045"/>
      <c r="AQ665" s="1045"/>
      <c r="AR665" s="1045"/>
    </row>
    <row r="666" spans="26:44">
      <c r="Z666" s="1039"/>
      <c r="AC666" s="1045"/>
      <c r="AQ666" s="1045"/>
      <c r="AR666" s="1045"/>
    </row>
    <row r="667" spans="26:44">
      <c r="Z667" s="1039"/>
      <c r="AC667" s="1045"/>
      <c r="AQ667" s="1045"/>
      <c r="AR667" s="1045"/>
    </row>
    <row r="668" spans="26:44">
      <c r="Z668" s="1039"/>
      <c r="AC668" s="1045"/>
      <c r="AQ668" s="1045"/>
      <c r="AR668" s="1045"/>
    </row>
    <row r="669" spans="26:44">
      <c r="Z669" s="1039"/>
      <c r="AC669" s="1045"/>
      <c r="AQ669" s="1045"/>
      <c r="AR669" s="1045"/>
    </row>
    <row r="670" spans="26:44">
      <c r="Z670" s="1039"/>
      <c r="AC670" s="1045"/>
      <c r="AQ670" s="1045"/>
      <c r="AR670" s="1045"/>
    </row>
    <row r="671" spans="26:44">
      <c r="Z671" s="1039"/>
      <c r="AC671" s="1045"/>
      <c r="AQ671" s="1045"/>
      <c r="AR671" s="1045"/>
    </row>
    <row r="672" spans="26:44">
      <c r="Z672" s="1039"/>
      <c r="AC672" s="1045"/>
      <c r="AQ672" s="1045"/>
      <c r="AR672" s="1045"/>
    </row>
    <row r="673" spans="26:44">
      <c r="Z673" s="1039"/>
      <c r="AC673" s="1045"/>
      <c r="AQ673" s="1045"/>
      <c r="AR673" s="1045"/>
    </row>
    <row r="674" spans="26:44">
      <c r="Z674" s="1039"/>
      <c r="AC674" s="1045"/>
      <c r="AQ674" s="1045"/>
      <c r="AR674" s="1045"/>
    </row>
    <row r="675" spans="26:44">
      <c r="Z675" s="1039"/>
      <c r="AC675" s="1045"/>
      <c r="AQ675" s="1045"/>
      <c r="AR675" s="1045"/>
    </row>
    <row r="676" spans="26:44">
      <c r="Z676" s="1039"/>
      <c r="AC676" s="1045"/>
      <c r="AQ676" s="1045"/>
      <c r="AR676" s="1045"/>
    </row>
    <row r="677" spans="26:44">
      <c r="Z677" s="1039"/>
      <c r="AC677" s="1045"/>
      <c r="AQ677" s="1045"/>
      <c r="AR677" s="1045"/>
    </row>
    <row r="678" spans="26:44">
      <c r="Z678" s="1039"/>
      <c r="AC678" s="1045"/>
      <c r="AQ678" s="1045"/>
      <c r="AR678" s="1045"/>
    </row>
    <row r="679" spans="26:44">
      <c r="Z679" s="1039"/>
      <c r="AC679" s="1045"/>
      <c r="AQ679" s="1045"/>
      <c r="AR679" s="1045"/>
    </row>
    <row r="680" spans="26:44">
      <c r="Z680" s="1039"/>
      <c r="AC680" s="1045"/>
      <c r="AQ680" s="1045"/>
      <c r="AR680" s="1045"/>
    </row>
    <row r="681" spans="26:44">
      <c r="Z681" s="1039"/>
      <c r="AC681" s="1045"/>
      <c r="AQ681" s="1045"/>
      <c r="AR681" s="1045"/>
    </row>
    <row r="682" spans="26:44">
      <c r="Z682" s="1039"/>
      <c r="AC682" s="1045"/>
      <c r="AQ682" s="1045"/>
      <c r="AR682" s="1045"/>
    </row>
    <row r="683" spans="26:44">
      <c r="Z683" s="1039"/>
      <c r="AC683" s="1045"/>
      <c r="AQ683" s="1045"/>
      <c r="AR683" s="1045"/>
    </row>
    <row r="684" spans="26:44">
      <c r="Z684" s="1039"/>
      <c r="AC684" s="1045"/>
      <c r="AQ684" s="1045"/>
      <c r="AR684" s="1045"/>
    </row>
    <row r="685" spans="26:44">
      <c r="Z685" s="1039"/>
      <c r="AC685" s="1045"/>
      <c r="AQ685" s="1045"/>
      <c r="AR685" s="1045"/>
    </row>
    <row r="686" spans="26:44">
      <c r="Z686" s="1039"/>
      <c r="AC686" s="1045"/>
      <c r="AQ686" s="1045"/>
      <c r="AR686" s="1045"/>
    </row>
    <row r="687" spans="26:44">
      <c r="Z687" s="1039"/>
      <c r="AC687" s="1045"/>
      <c r="AQ687" s="1045"/>
      <c r="AR687" s="1045"/>
    </row>
    <row r="688" spans="26:44">
      <c r="Z688" s="1039"/>
      <c r="AC688" s="1045"/>
      <c r="AQ688" s="1045"/>
      <c r="AR688" s="1045"/>
    </row>
    <row r="689" spans="26:44">
      <c r="Z689" s="1039"/>
      <c r="AC689" s="1045"/>
      <c r="AQ689" s="1045"/>
      <c r="AR689" s="1045"/>
    </row>
    <row r="690" spans="26:44">
      <c r="Z690" s="1039"/>
      <c r="AC690" s="1045"/>
      <c r="AQ690" s="1045"/>
      <c r="AR690" s="1045"/>
    </row>
    <row r="691" spans="26:44">
      <c r="Z691" s="1039"/>
      <c r="AC691" s="1045"/>
      <c r="AQ691" s="1045"/>
      <c r="AR691" s="1045"/>
    </row>
    <row r="692" spans="26:44">
      <c r="Z692" s="1039"/>
      <c r="AC692" s="1045"/>
      <c r="AQ692" s="1045"/>
      <c r="AR692" s="1045"/>
    </row>
    <row r="693" spans="26:44">
      <c r="Z693" s="1039"/>
      <c r="AC693" s="1045"/>
      <c r="AQ693" s="1045"/>
      <c r="AR693" s="1045"/>
    </row>
    <row r="694" spans="26:44">
      <c r="Z694" s="1039"/>
      <c r="AC694" s="1045"/>
      <c r="AQ694" s="1045"/>
      <c r="AR694" s="1045"/>
    </row>
    <row r="695" spans="26:44">
      <c r="Z695" s="1039"/>
      <c r="AC695" s="1045"/>
      <c r="AQ695" s="1045"/>
      <c r="AR695" s="1045"/>
    </row>
    <row r="696" spans="26:44">
      <c r="Z696" s="1039"/>
      <c r="AC696" s="1045"/>
      <c r="AQ696" s="1045"/>
      <c r="AR696" s="1045"/>
    </row>
    <row r="697" spans="26:44">
      <c r="Z697" s="1039"/>
      <c r="AC697" s="1045"/>
      <c r="AQ697" s="1045"/>
      <c r="AR697" s="1045"/>
    </row>
    <row r="698" spans="26:44">
      <c r="Z698" s="1039"/>
      <c r="AC698" s="1045"/>
      <c r="AQ698" s="1045"/>
      <c r="AR698" s="1045"/>
    </row>
    <row r="699" spans="26:44">
      <c r="Z699" s="1039"/>
      <c r="AC699" s="1045"/>
      <c r="AQ699" s="1045"/>
      <c r="AR699" s="1045"/>
    </row>
    <row r="700" spans="26:44">
      <c r="Z700" s="1039"/>
      <c r="AC700" s="1045"/>
      <c r="AQ700" s="1045"/>
      <c r="AR700" s="1045"/>
    </row>
    <row r="701" spans="26:44">
      <c r="Z701" s="1039"/>
      <c r="AC701" s="1045"/>
      <c r="AQ701" s="1045"/>
      <c r="AR701" s="1045"/>
    </row>
    <row r="702" spans="26:44">
      <c r="Z702" s="1039"/>
      <c r="AC702" s="1045"/>
      <c r="AQ702" s="1045"/>
      <c r="AR702" s="1045"/>
    </row>
    <row r="703" spans="26:44">
      <c r="Z703" s="1039"/>
      <c r="AC703" s="1045"/>
      <c r="AQ703" s="1045"/>
      <c r="AR703" s="1045"/>
    </row>
    <row r="704" spans="26:44">
      <c r="Z704" s="1039"/>
      <c r="AC704" s="1045"/>
      <c r="AQ704" s="1045"/>
      <c r="AR704" s="1045"/>
    </row>
    <row r="705" spans="26:44">
      <c r="Z705" s="1039"/>
      <c r="AC705" s="1045"/>
      <c r="AQ705" s="1045"/>
      <c r="AR705" s="1045"/>
    </row>
    <row r="706" spans="26:44">
      <c r="Z706" s="1039"/>
      <c r="AC706" s="1045"/>
      <c r="AQ706" s="1045"/>
      <c r="AR706" s="1045"/>
    </row>
    <row r="707" spans="26:44">
      <c r="Z707" s="1039"/>
      <c r="AC707" s="1045"/>
      <c r="AQ707" s="1045"/>
      <c r="AR707" s="1045"/>
    </row>
    <row r="708" spans="26:44">
      <c r="Z708" s="1039"/>
      <c r="AC708" s="1045"/>
      <c r="AQ708" s="1045"/>
      <c r="AR708" s="1045"/>
    </row>
    <row r="709" spans="26:44">
      <c r="Z709" s="1039"/>
      <c r="AC709" s="1045"/>
      <c r="AQ709" s="1045"/>
      <c r="AR709" s="1045"/>
    </row>
    <row r="710" spans="26:44">
      <c r="Z710" s="1039"/>
      <c r="AC710" s="1045"/>
      <c r="AQ710" s="1045"/>
      <c r="AR710" s="1045"/>
    </row>
    <row r="711" spans="26:44">
      <c r="Z711" s="1039"/>
      <c r="AC711" s="1045"/>
      <c r="AQ711" s="1045"/>
      <c r="AR711" s="1045"/>
    </row>
    <row r="712" spans="26:44">
      <c r="Z712" s="1039"/>
      <c r="AC712" s="1045"/>
      <c r="AQ712" s="1045"/>
      <c r="AR712" s="1045"/>
    </row>
    <row r="713" spans="26:44">
      <c r="Z713" s="1039"/>
      <c r="AC713" s="1045"/>
      <c r="AQ713" s="1045"/>
      <c r="AR713" s="1045"/>
    </row>
    <row r="714" spans="26:44">
      <c r="Z714" s="1039"/>
      <c r="AC714" s="1045"/>
      <c r="AQ714" s="1045"/>
      <c r="AR714" s="1045"/>
    </row>
    <row r="715" spans="26:44">
      <c r="Z715" s="1039"/>
      <c r="AC715" s="1045"/>
      <c r="AQ715" s="1045"/>
      <c r="AR715" s="1045"/>
    </row>
    <row r="716" spans="26:44">
      <c r="Z716" s="1039"/>
      <c r="AC716" s="1045"/>
      <c r="AQ716" s="1045"/>
      <c r="AR716" s="1045"/>
    </row>
    <row r="717" spans="26:44">
      <c r="Z717" s="1039"/>
      <c r="AC717" s="1045"/>
      <c r="AQ717" s="1045"/>
      <c r="AR717" s="1045"/>
    </row>
    <row r="718" spans="26:44">
      <c r="Z718" s="1039"/>
      <c r="AC718" s="1045"/>
      <c r="AQ718" s="1045"/>
      <c r="AR718" s="1045"/>
    </row>
    <row r="719" spans="26:44">
      <c r="Z719" s="1039"/>
      <c r="AC719" s="1045"/>
      <c r="AQ719" s="1045"/>
      <c r="AR719" s="1045"/>
    </row>
    <row r="720" spans="26:44">
      <c r="Z720" s="1039"/>
      <c r="AC720" s="1045"/>
      <c r="AQ720" s="1045"/>
      <c r="AR720" s="1045"/>
    </row>
    <row r="721" spans="26:44">
      <c r="Z721" s="1039"/>
      <c r="AC721" s="1045"/>
      <c r="AQ721" s="1045"/>
      <c r="AR721" s="1045"/>
    </row>
    <row r="722" spans="26:44">
      <c r="Z722" s="1039"/>
      <c r="AC722" s="1045"/>
      <c r="AQ722" s="1045"/>
      <c r="AR722" s="1045"/>
    </row>
    <row r="723" spans="26:44">
      <c r="Z723" s="1039"/>
      <c r="AC723" s="1045"/>
      <c r="AQ723" s="1045"/>
      <c r="AR723" s="1045"/>
    </row>
    <row r="724" spans="26:44">
      <c r="Z724" s="1039"/>
      <c r="AC724" s="1045"/>
      <c r="AQ724" s="1045"/>
      <c r="AR724" s="1045"/>
    </row>
    <row r="725" spans="26:44">
      <c r="Z725" s="1039"/>
      <c r="AC725" s="1045"/>
      <c r="AQ725" s="1045"/>
      <c r="AR725" s="1045"/>
    </row>
    <row r="726" spans="26:44">
      <c r="Z726" s="1039"/>
      <c r="AC726" s="1045"/>
      <c r="AQ726" s="1045"/>
      <c r="AR726" s="1045"/>
    </row>
    <row r="727" spans="26:44">
      <c r="Z727" s="1039"/>
      <c r="AC727" s="1045"/>
      <c r="AQ727" s="1045"/>
      <c r="AR727" s="1045"/>
    </row>
    <row r="728" spans="26:44">
      <c r="Z728" s="1039"/>
      <c r="AC728" s="1045"/>
      <c r="AQ728" s="1045"/>
      <c r="AR728" s="1045"/>
    </row>
    <row r="729" spans="26:44">
      <c r="Z729" s="1039"/>
      <c r="AC729" s="1045"/>
      <c r="AQ729" s="1045"/>
      <c r="AR729" s="1045"/>
    </row>
    <row r="730" spans="26:44">
      <c r="Z730" s="1039"/>
      <c r="AC730" s="1045"/>
      <c r="AQ730" s="1045"/>
      <c r="AR730" s="1045"/>
    </row>
    <row r="731" spans="26:44">
      <c r="Z731" s="1039"/>
      <c r="AC731" s="1045"/>
      <c r="AQ731" s="1045"/>
      <c r="AR731" s="1045"/>
    </row>
    <row r="732" spans="26:44">
      <c r="Z732" s="1039"/>
      <c r="AC732" s="1045"/>
      <c r="AQ732" s="1045"/>
      <c r="AR732" s="1045"/>
    </row>
    <row r="733" spans="26:44">
      <c r="Z733" s="1039"/>
      <c r="AC733" s="1045"/>
      <c r="AQ733" s="1045"/>
      <c r="AR733" s="1045"/>
    </row>
    <row r="734" spans="26:44">
      <c r="Z734" s="1039"/>
      <c r="AC734" s="1045"/>
      <c r="AQ734" s="1045"/>
      <c r="AR734" s="1045"/>
    </row>
    <row r="735" spans="26:44">
      <c r="Z735" s="1039"/>
      <c r="AC735" s="1045"/>
      <c r="AQ735" s="1045"/>
      <c r="AR735" s="1045"/>
    </row>
    <row r="736" spans="26:44">
      <c r="Z736" s="1039"/>
      <c r="AC736" s="1045"/>
      <c r="AQ736" s="1045"/>
      <c r="AR736" s="1045"/>
    </row>
    <row r="737" spans="26:52">
      <c r="Z737" s="1039"/>
      <c r="AC737" s="1045"/>
    </row>
    <row r="738" spans="26:52">
      <c r="Z738" s="1039"/>
      <c r="AC738" s="1045"/>
      <c r="AD738" s="825"/>
      <c r="AF738" s="825"/>
      <c r="AH738" s="825"/>
      <c r="AJ738" s="825"/>
      <c r="AK738" s="825"/>
      <c r="AM738" s="825"/>
      <c r="AO738" s="825"/>
      <c r="AP738" s="825"/>
    </row>
    <row r="739" spans="26:52">
      <c r="Z739" s="1039"/>
      <c r="AC739" s="1045"/>
      <c r="AD739" s="825"/>
      <c r="AF739" s="825"/>
      <c r="AH739" s="825"/>
      <c r="AJ739" s="825"/>
      <c r="AK739" s="825"/>
      <c r="AM739" s="825"/>
      <c r="AO739" s="825"/>
      <c r="AP739" s="825"/>
    </row>
    <row r="740" spans="26:52">
      <c r="Z740" s="1039"/>
      <c r="AC740" s="1045"/>
      <c r="AD740" s="825"/>
      <c r="AF740" s="825"/>
      <c r="AH740" s="825"/>
      <c r="AJ740" s="825"/>
      <c r="AK740" s="825"/>
      <c r="AM740" s="825"/>
      <c r="AO740" s="825"/>
      <c r="AP740" s="825"/>
    </row>
    <row r="741" spans="26:52">
      <c r="Z741" s="1039"/>
      <c r="AC741" s="1045"/>
      <c r="AD741" s="825"/>
      <c r="AF741" s="825"/>
      <c r="AH741" s="825"/>
      <c r="AJ741" s="825"/>
      <c r="AK741" s="825"/>
      <c r="AM741" s="825"/>
      <c r="AO741" s="825"/>
      <c r="AP741" s="825"/>
    </row>
    <row r="742" spans="26:52">
      <c r="Z742" s="1039"/>
      <c r="AC742" s="1045"/>
      <c r="AD742" s="825"/>
      <c r="AF742" s="825"/>
      <c r="AH742" s="825"/>
      <c r="AJ742" s="825"/>
      <c r="AK742" s="825"/>
      <c r="AM742" s="825"/>
      <c r="AO742" s="825"/>
      <c r="AP742" s="825"/>
    </row>
    <row r="743" spans="26:52">
      <c r="Z743" s="1039"/>
      <c r="AC743" s="1045"/>
      <c r="AD743" s="825"/>
      <c r="AF743" s="825"/>
      <c r="AH743" s="825"/>
      <c r="AJ743" s="825"/>
      <c r="AK743" s="825"/>
      <c r="AM743" s="825"/>
      <c r="AO743" s="825"/>
      <c r="AP743" s="825"/>
    </row>
    <row r="744" spans="26:52">
      <c r="Z744" s="1039"/>
      <c r="AC744" s="1045"/>
      <c r="AD744" s="825"/>
      <c r="AF744" s="825"/>
      <c r="AH744" s="825"/>
      <c r="AJ744" s="825"/>
      <c r="AK744" s="825"/>
      <c r="AM744" s="825"/>
      <c r="AO744" s="825"/>
      <c r="AP744" s="825"/>
    </row>
    <row r="745" spans="26:52">
      <c r="Z745" s="1039"/>
      <c r="AC745" s="1045"/>
      <c r="AD745" s="825"/>
      <c r="AF745" s="825"/>
      <c r="AH745" s="825"/>
      <c r="AJ745" s="825"/>
      <c r="AK745" s="825"/>
      <c r="AM745" s="825"/>
      <c r="AO745" s="825"/>
      <c r="AP745" s="825"/>
    </row>
    <row r="746" spans="26:52">
      <c r="Z746" s="1039"/>
      <c r="AC746" s="1045"/>
      <c r="AD746" s="825"/>
      <c r="AF746" s="825"/>
      <c r="AH746" s="825"/>
      <c r="AJ746" s="825"/>
      <c r="AK746" s="825"/>
      <c r="AM746" s="825"/>
      <c r="AO746" s="825"/>
      <c r="AP746" s="825"/>
    </row>
    <row r="747" spans="26:52">
      <c r="Z747" s="1039"/>
      <c r="AC747" s="1045"/>
      <c r="AD747" s="825"/>
      <c r="AF747" s="825"/>
      <c r="AH747" s="825"/>
      <c r="AJ747" s="825"/>
      <c r="AK747" s="825"/>
      <c r="AM747" s="825"/>
      <c r="AO747" s="825"/>
      <c r="AP747" s="825"/>
    </row>
    <row r="748" spans="26:52">
      <c r="Z748" s="1039"/>
      <c r="AC748" s="1045"/>
      <c r="AD748" s="825"/>
      <c r="AF748" s="825"/>
      <c r="AH748" s="825"/>
      <c r="AJ748" s="825"/>
      <c r="AK748" s="825"/>
      <c r="AM748" s="825"/>
      <c r="AO748" s="825"/>
      <c r="AP748" s="825"/>
    </row>
    <row r="749" spans="26:52">
      <c r="Z749" s="1039"/>
      <c r="AC749" s="1045"/>
      <c r="AD749" s="825"/>
      <c r="AF749" s="825"/>
      <c r="AH749" s="825"/>
      <c r="AJ749" s="825"/>
      <c r="AK749" s="825"/>
      <c r="AM749" s="825"/>
      <c r="AO749" s="825"/>
      <c r="AP749" s="825"/>
      <c r="AU749" s="825"/>
      <c r="AW749" s="825"/>
      <c r="AX749" s="825"/>
      <c r="AY749" s="825"/>
      <c r="AZ749" s="825"/>
    </row>
    <row r="750" spans="26:52">
      <c r="Z750" s="1039"/>
      <c r="AC750" s="1045"/>
      <c r="AD750" s="825"/>
      <c r="AF750" s="825"/>
      <c r="AH750" s="825"/>
      <c r="AJ750" s="825"/>
      <c r="AK750" s="825"/>
      <c r="AM750" s="825"/>
      <c r="AO750" s="825"/>
      <c r="AP750" s="825"/>
      <c r="AU750" s="825"/>
      <c r="AW750" s="825"/>
      <c r="AX750" s="825"/>
      <c r="AY750" s="825"/>
      <c r="AZ750" s="825"/>
    </row>
    <row r="751" spans="26:52">
      <c r="Z751" s="1039"/>
      <c r="AC751" s="1045"/>
      <c r="AD751" s="825"/>
      <c r="AF751" s="825"/>
      <c r="AH751" s="825"/>
      <c r="AJ751" s="825"/>
      <c r="AK751" s="825"/>
      <c r="AM751" s="825"/>
      <c r="AO751" s="825"/>
      <c r="AP751" s="825"/>
      <c r="AU751" s="825"/>
      <c r="AW751" s="825"/>
      <c r="AX751" s="825"/>
      <c r="AY751" s="825"/>
      <c r="AZ751" s="825"/>
    </row>
    <row r="752" spans="26:52">
      <c r="Z752" s="1039"/>
      <c r="AC752" s="1045"/>
      <c r="AD752" s="825"/>
      <c r="AF752" s="825"/>
      <c r="AH752" s="825"/>
      <c r="AJ752" s="825"/>
      <c r="AK752" s="825"/>
      <c r="AM752" s="825"/>
      <c r="AO752" s="825"/>
      <c r="AP752" s="825"/>
      <c r="AU752" s="825"/>
      <c r="AW752" s="825"/>
      <c r="AX752" s="825"/>
      <c r="AY752" s="825"/>
      <c r="AZ752" s="825"/>
    </row>
    <row r="753" spans="26:52">
      <c r="Z753" s="1039"/>
      <c r="AC753" s="1045"/>
      <c r="AD753" s="825"/>
      <c r="AF753" s="825"/>
      <c r="AH753" s="825"/>
      <c r="AJ753" s="825"/>
      <c r="AK753" s="825"/>
      <c r="AM753" s="825"/>
      <c r="AO753" s="825"/>
      <c r="AP753" s="825"/>
      <c r="AU753" s="825"/>
      <c r="AW753" s="825"/>
      <c r="AX753" s="825"/>
      <c r="AY753" s="825"/>
      <c r="AZ753" s="825"/>
    </row>
    <row r="754" spans="26:52">
      <c r="Z754" s="1039"/>
      <c r="AC754" s="1045"/>
      <c r="AD754" s="825"/>
      <c r="AF754" s="825"/>
      <c r="AH754" s="825"/>
      <c r="AJ754" s="825"/>
      <c r="AK754" s="825"/>
      <c r="AM754" s="825"/>
      <c r="AO754" s="825"/>
      <c r="AP754" s="825"/>
      <c r="AU754" s="825"/>
      <c r="AW754" s="825"/>
      <c r="AX754" s="825"/>
      <c r="AY754" s="825"/>
      <c r="AZ754" s="825"/>
    </row>
    <row r="755" spans="26:52">
      <c r="Z755" s="1039"/>
      <c r="AC755" s="1045"/>
      <c r="AD755" s="825"/>
      <c r="AF755" s="825"/>
      <c r="AH755" s="825"/>
      <c r="AJ755" s="825"/>
      <c r="AK755" s="825"/>
      <c r="AM755" s="825"/>
      <c r="AO755" s="825"/>
      <c r="AP755" s="825"/>
      <c r="AU755" s="825"/>
      <c r="AW755" s="825"/>
      <c r="AX755" s="825"/>
      <c r="AY755" s="825"/>
      <c r="AZ755" s="825"/>
    </row>
    <row r="756" spans="26:52">
      <c r="Z756" s="1039"/>
      <c r="AC756" s="1045"/>
      <c r="AD756" s="825"/>
      <c r="AF756" s="825"/>
      <c r="AH756" s="825"/>
      <c r="AJ756" s="825"/>
      <c r="AK756" s="825"/>
      <c r="AM756" s="825"/>
      <c r="AO756" s="825"/>
      <c r="AP756" s="825"/>
      <c r="AU756" s="825"/>
      <c r="AW756" s="825"/>
      <c r="AX756" s="825"/>
      <c r="AY756" s="825"/>
      <c r="AZ756" s="825"/>
    </row>
    <row r="757" spans="26:52">
      <c r="Z757" s="1039"/>
      <c r="AC757" s="1045"/>
      <c r="AD757" s="825"/>
      <c r="AF757" s="825"/>
      <c r="AH757" s="825"/>
      <c r="AJ757" s="825"/>
      <c r="AK757" s="825"/>
      <c r="AM757" s="825"/>
      <c r="AO757" s="825"/>
      <c r="AP757" s="825"/>
      <c r="AU757" s="825"/>
      <c r="AW757" s="825"/>
      <c r="AX757" s="825"/>
      <c r="AY757" s="825"/>
      <c r="AZ757" s="825"/>
    </row>
    <row r="758" spans="26:52">
      <c r="Z758" s="1039"/>
      <c r="AC758" s="1045"/>
      <c r="AD758" s="825"/>
      <c r="AF758" s="825"/>
      <c r="AH758" s="825"/>
      <c r="AJ758" s="825"/>
      <c r="AK758" s="825"/>
      <c r="AM758" s="825"/>
      <c r="AO758" s="825"/>
      <c r="AP758" s="825"/>
      <c r="AU758" s="825"/>
      <c r="AW758" s="825"/>
      <c r="AX758" s="825"/>
      <c r="AY758" s="825"/>
      <c r="AZ758" s="825"/>
    </row>
    <row r="759" spans="26:52">
      <c r="Z759" s="1039"/>
      <c r="AC759" s="1045"/>
      <c r="AD759" s="825"/>
      <c r="AF759" s="825"/>
      <c r="AH759" s="825"/>
      <c r="AJ759" s="825"/>
      <c r="AK759" s="825"/>
      <c r="AM759" s="825"/>
      <c r="AO759" s="825"/>
      <c r="AP759" s="825"/>
      <c r="AU759" s="825"/>
      <c r="AW759" s="825"/>
      <c r="AX759" s="825"/>
      <c r="AY759" s="825"/>
      <c r="AZ759" s="825"/>
    </row>
    <row r="760" spans="26:52">
      <c r="Z760" s="1039"/>
      <c r="AC760" s="1045"/>
      <c r="AD760" s="825"/>
      <c r="AF760" s="825"/>
      <c r="AH760" s="825"/>
      <c r="AJ760" s="825"/>
      <c r="AK760" s="825"/>
      <c r="AM760" s="825"/>
      <c r="AO760" s="825"/>
      <c r="AP760" s="825"/>
      <c r="AU760" s="825"/>
      <c r="AW760" s="825"/>
      <c r="AX760" s="825"/>
      <c r="AY760" s="825"/>
      <c r="AZ760" s="825"/>
    </row>
    <row r="761" spans="26:52">
      <c r="Z761" s="1039"/>
      <c r="AC761" s="1045"/>
      <c r="AD761" s="825"/>
      <c r="AF761" s="825"/>
      <c r="AH761" s="825"/>
      <c r="AJ761" s="825"/>
      <c r="AK761" s="825"/>
      <c r="AM761" s="825"/>
      <c r="AO761" s="825"/>
      <c r="AP761" s="825"/>
      <c r="AU761" s="825"/>
      <c r="AW761" s="825"/>
      <c r="AX761" s="825"/>
      <c r="AY761" s="825"/>
      <c r="AZ761" s="825"/>
    </row>
    <row r="762" spans="26:52">
      <c r="Z762" s="1039"/>
      <c r="AC762" s="1045"/>
      <c r="AD762" s="825"/>
      <c r="AF762" s="825"/>
      <c r="AH762" s="825"/>
      <c r="AJ762" s="825"/>
      <c r="AK762" s="825"/>
      <c r="AM762" s="825"/>
      <c r="AO762" s="825"/>
      <c r="AP762" s="825"/>
      <c r="AU762" s="825"/>
      <c r="AW762" s="825"/>
      <c r="AX762" s="825"/>
      <c r="AY762" s="825"/>
      <c r="AZ762" s="825"/>
    </row>
    <row r="763" spans="26:52">
      <c r="Z763" s="1039"/>
      <c r="AC763" s="1045"/>
      <c r="AD763" s="825"/>
      <c r="AF763" s="825"/>
      <c r="AH763" s="825"/>
      <c r="AJ763" s="825"/>
      <c r="AK763" s="825"/>
      <c r="AM763" s="825"/>
      <c r="AO763" s="825"/>
      <c r="AP763" s="825"/>
      <c r="AU763" s="825"/>
      <c r="AW763" s="825"/>
      <c r="AX763" s="825"/>
      <c r="AY763" s="825"/>
      <c r="AZ763" s="825"/>
    </row>
    <row r="764" spans="26:52">
      <c r="Z764" s="1039"/>
      <c r="AC764" s="1045"/>
      <c r="AD764" s="825"/>
      <c r="AF764" s="825"/>
      <c r="AH764" s="825"/>
      <c r="AJ764" s="825"/>
      <c r="AK764" s="825"/>
      <c r="AM764" s="825"/>
      <c r="AO764" s="825"/>
      <c r="AP764" s="825"/>
      <c r="AU764" s="825"/>
      <c r="AW764" s="825"/>
      <c r="AX764" s="825"/>
      <c r="AY764" s="825"/>
      <c r="AZ764" s="825"/>
    </row>
    <row r="765" spans="26:52">
      <c r="Z765" s="1039"/>
      <c r="AC765" s="1045"/>
      <c r="AD765" s="825"/>
      <c r="AF765" s="825"/>
      <c r="AH765" s="825"/>
      <c r="AJ765" s="825"/>
      <c r="AK765" s="825"/>
      <c r="AM765" s="825"/>
      <c r="AO765" s="825"/>
      <c r="AP765" s="825"/>
      <c r="AU765" s="825"/>
      <c r="AW765" s="825"/>
      <c r="AX765" s="825"/>
      <c r="AY765" s="825"/>
      <c r="AZ765" s="825"/>
    </row>
    <row r="766" spans="26:52">
      <c r="Z766" s="1039"/>
      <c r="AC766" s="1045"/>
      <c r="AD766" s="825"/>
      <c r="AF766" s="825"/>
      <c r="AH766" s="825"/>
      <c r="AJ766" s="825"/>
      <c r="AK766" s="825"/>
      <c r="AM766" s="825"/>
      <c r="AO766" s="825"/>
      <c r="AP766" s="825"/>
      <c r="AU766" s="825"/>
      <c r="AW766" s="825"/>
      <c r="AX766" s="825"/>
      <c r="AY766" s="825"/>
      <c r="AZ766" s="825"/>
    </row>
    <row r="767" spans="26:52">
      <c r="Z767" s="1039"/>
      <c r="AC767" s="1045"/>
      <c r="AD767" s="825"/>
      <c r="AF767" s="825"/>
      <c r="AH767" s="825"/>
      <c r="AJ767" s="825"/>
      <c r="AK767" s="825"/>
      <c r="AM767" s="825"/>
      <c r="AO767" s="825"/>
      <c r="AP767" s="825"/>
      <c r="AU767" s="825"/>
      <c r="AW767" s="825"/>
      <c r="AX767" s="825"/>
      <c r="AY767" s="825"/>
      <c r="AZ767" s="825"/>
    </row>
    <row r="768" spans="26:52">
      <c r="Z768" s="1039"/>
      <c r="AC768" s="1045"/>
      <c r="AD768" s="825"/>
      <c r="AF768" s="825"/>
      <c r="AH768" s="825"/>
      <c r="AJ768" s="825"/>
      <c r="AK768" s="825"/>
      <c r="AM768" s="825"/>
      <c r="AO768" s="825"/>
      <c r="AP768" s="825"/>
      <c r="AU768" s="825"/>
      <c r="AW768" s="825"/>
      <c r="AX768" s="825"/>
      <c r="AY768" s="825"/>
      <c r="AZ768" s="825"/>
    </row>
    <row r="769" spans="26:52">
      <c r="Z769" s="1039"/>
      <c r="AC769" s="1045"/>
      <c r="AD769" s="825"/>
      <c r="AF769" s="825"/>
      <c r="AH769" s="825"/>
      <c r="AJ769" s="825"/>
      <c r="AK769" s="825"/>
      <c r="AM769" s="825"/>
      <c r="AO769" s="825"/>
      <c r="AP769" s="825"/>
      <c r="AU769" s="825"/>
      <c r="AW769" s="825"/>
      <c r="AX769" s="825"/>
      <c r="AY769" s="825"/>
      <c r="AZ769" s="825"/>
    </row>
    <row r="770" spans="26:52">
      <c r="Z770" s="1039"/>
      <c r="AC770" s="1045"/>
      <c r="AD770" s="825"/>
      <c r="AF770" s="825"/>
      <c r="AH770" s="825"/>
      <c r="AJ770" s="825"/>
      <c r="AK770" s="825"/>
      <c r="AM770" s="825"/>
      <c r="AO770" s="825"/>
      <c r="AP770" s="825"/>
      <c r="AU770" s="825"/>
      <c r="AW770" s="825"/>
      <c r="AX770" s="825"/>
      <c r="AY770" s="825"/>
      <c r="AZ770" s="825"/>
    </row>
    <row r="771" spans="26:52">
      <c r="Z771" s="1039"/>
      <c r="AC771" s="1045"/>
      <c r="AD771" s="825"/>
      <c r="AF771" s="825"/>
      <c r="AH771" s="825"/>
      <c r="AJ771" s="825"/>
      <c r="AK771" s="825"/>
      <c r="AM771" s="825"/>
      <c r="AO771" s="825"/>
      <c r="AP771" s="825"/>
      <c r="AU771" s="825"/>
      <c r="AW771" s="825"/>
      <c r="AX771" s="825"/>
      <c r="AY771" s="825"/>
      <c r="AZ771" s="825"/>
    </row>
    <row r="772" spans="26:52">
      <c r="Z772" s="1039"/>
      <c r="AC772" s="1045"/>
      <c r="AD772" s="825"/>
      <c r="AF772" s="825"/>
      <c r="AH772" s="825"/>
      <c r="AJ772" s="825"/>
      <c r="AK772" s="825"/>
      <c r="AM772" s="825"/>
      <c r="AO772" s="825"/>
      <c r="AP772" s="825"/>
      <c r="AU772" s="825"/>
      <c r="AW772" s="825"/>
      <c r="AX772" s="825"/>
      <c r="AY772" s="825"/>
      <c r="AZ772" s="825"/>
    </row>
    <row r="773" spans="26:52">
      <c r="Z773" s="1039"/>
      <c r="AC773" s="1045"/>
      <c r="AD773" s="825"/>
      <c r="AF773" s="825"/>
      <c r="AH773" s="825"/>
      <c r="AJ773" s="825"/>
      <c r="AK773" s="825"/>
      <c r="AM773" s="825"/>
      <c r="AO773" s="825"/>
      <c r="AP773" s="825"/>
      <c r="AU773" s="825"/>
      <c r="AW773" s="825"/>
      <c r="AX773" s="825"/>
      <c r="AY773" s="825"/>
      <c r="AZ773" s="825"/>
    </row>
    <row r="774" spans="26:52">
      <c r="Z774" s="1039"/>
      <c r="AC774" s="1045"/>
      <c r="AD774" s="825"/>
      <c r="AF774" s="825"/>
      <c r="AH774" s="825"/>
      <c r="AJ774" s="825"/>
      <c r="AK774" s="825"/>
      <c r="AM774" s="825"/>
      <c r="AO774" s="825"/>
      <c r="AP774" s="825"/>
      <c r="AU774" s="825"/>
      <c r="AW774" s="825"/>
      <c r="AX774" s="825"/>
      <c r="AY774" s="825"/>
      <c r="AZ774" s="825"/>
    </row>
    <row r="775" spans="26:52">
      <c r="Z775" s="1039"/>
      <c r="AC775" s="1045"/>
      <c r="AD775" s="825"/>
      <c r="AF775" s="825"/>
      <c r="AH775" s="825"/>
      <c r="AJ775" s="825"/>
      <c r="AK775" s="825"/>
      <c r="AM775" s="825"/>
      <c r="AO775" s="825"/>
      <c r="AP775" s="825"/>
      <c r="AU775" s="825"/>
      <c r="AW775" s="825"/>
      <c r="AX775" s="825"/>
      <c r="AY775" s="825"/>
      <c r="AZ775" s="825"/>
    </row>
    <row r="776" spans="26:52">
      <c r="Z776" s="1039"/>
      <c r="AC776" s="1045"/>
      <c r="AD776" s="825"/>
      <c r="AF776" s="825"/>
      <c r="AH776" s="825"/>
      <c r="AJ776" s="825"/>
      <c r="AK776" s="825"/>
      <c r="AM776" s="825"/>
      <c r="AO776" s="825"/>
      <c r="AP776" s="825"/>
      <c r="AU776" s="825"/>
      <c r="AW776" s="825"/>
      <c r="AX776" s="825"/>
      <c r="AY776" s="825"/>
      <c r="AZ776" s="825"/>
    </row>
    <row r="777" spans="26:52">
      <c r="Z777" s="1039"/>
      <c r="AC777" s="1045"/>
      <c r="AD777" s="825"/>
      <c r="AF777" s="825"/>
      <c r="AH777" s="825"/>
      <c r="AJ777" s="825"/>
      <c r="AK777" s="825"/>
      <c r="AM777" s="825"/>
      <c r="AO777" s="825"/>
      <c r="AP777" s="825"/>
      <c r="AU777" s="825"/>
      <c r="AW777" s="825"/>
      <c r="AX777" s="825"/>
      <c r="AY777" s="825"/>
      <c r="AZ777" s="825"/>
    </row>
    <row r="778" spans="26:52">
      <c r="Z778" s="1039"/>
      <c r="AC778" s="1045"/>
      <c r="AD778" s="825"/>
      <c r="AF778" s="825"/>
      <c r="AH778" s="825"/>
      <c r="AJ778" s="825"/>
      <c r="AK778" s="825"/>
      <c r="AM778" s="825"/>
      <c r="AO778" s="825"/>
      <c r="AP778" s="825"/>
      <c r="AU778" s="825"/>
      <c r="AW778" s="825"/>
      <c r="AX778" s="825"/>
      <c r="AY778" s="825"/>
      <c r="AZ778" s="825"/>
    </row>
    <row r="779" spans="26:52">
      <c r="Z779" s="1039"/>
      <c r="AC779" s="1045"/>
      <c r="AD779" s="825"/>
      <c r="AF779" s="825"/>
      <c r="AH779" s="825"/>
      <c r="AJ779" s="825"/>
      <c r="AK779" s="825"/>
      <c r="AM779" s="825"/>
      <c r="AO779" s="825"/>
      <c r="AP779" s="825"/>
      <c r="AU779" s="825"/>
      <c r="AW779" s="825"/>
      <c r="AX779" s="825"/>
      <c r="AY779" s="825"/>
      <c r="AZ779" s="825"/>
    </row>
    <row r="780" spans="26:52">
      <c r="Z780" s="1039"/>
      <c r="AC780" s="1045"/>
      <c r="AD780" s="825"/>
      <c r="AF780" s="825"/>
      <c r="AH780" s="825"/>
      <c r="AJ780" s="825"/>
      <c r="AK780" s="825"/>
      <c r="AM780" s="825"/>
      <c r="AO780" s="825"/>
      <c r="AP780" s="825"/>
      <c r="AU780" s="825"/>
      <c r="AW780" s="825"/>
      <c r="AX780" s="825"/>
      <c r="AY780" s="825"/>
      <c r="AZ780" s="825"/>
    </row>
    <row r="781" spans="26:52">
      <c r="Z781" s="1039"/>
      <c r="AC781" s="1045"/>
      <c r="AD781" s="825"/>
      <c r="AF781" s="825"/>
      <c r="AH781" s="825"/>
      <c r="AJ781" s="825"/>
      <c r="AK781" s="825"/>
      <c r="AM781" s="825"/>
      <c r="AO781" s="825"/>
      <c r="AP781" s="825"/>
      <c r="AU781" s="825"/>
      <c r="AW781" s="825"/>
      <c r="AX781" s="825"/>
      <c r="AY781" s="825"/>
      <c r="AZ781" s="825"/>
    </row>
    <row r="782" spans="26:52">
      <c r="Z782" s="1039"/>
      <c r="AC782" s="1045"/>
      <c r="AD782" s="825"/>
      <c r="AF782" s="825"/>
      <c r="AH782" s="825"/>
      <c r="AJ782" s="825"/>
      <c r="AK782" s="825"/>
      <c r="AM782" s="825"/>
      <c r="AO782" s="825"/>
      <c r="AP782" s="825"/>
      <c r="AU782" s="825"/>
      <c r="AW782" s="825"/>
      <c r="AX782" s="825"/>
      <c r="AY782" s="825"/>
      <c r="AZ782" s="825"/>
    </row>
    <row r="783" spans="26:52">
      <c r="Z783" s="1039"/>
      <c r="AC783" s="1045"/>
      <c r="AD783" s="825"/>
      <c r="AF783" s="825"/>
      <c r="AH783" s="825"/>
      <c r="AJ783" s="825"/>
      <c r="AK783" s="825"/>
      <c r="AM783" s="825"/>
      <c r="AO783" s="825"/>
      <c r="AP783" s="825"/>
      <c r="AU783" s="825"/>
      <c r="AW783" s="825"/>
      <c r="AX783" s="825"/>
      <c r="AY783" s="825"/>
      <c r="AZ783" s="825"/>
    </row>
    <row r="784" spans="26:52">
      <c r="Z784" s="1039"/>
      <c r="AC784" s="1045"/>
      <c r="AD784" s="825"/>
      <c r="AF784" s="825"/>
      <c r="AH784" s="825"/>
      <c r="AJ784" s="825"/>
      <c r="AK784" s="825"/>
      <c r="AM784" s="825"/>
      <c r="AO784" s="825"/>
      <c r="AP784" s="825"/>
      <c r="AU784" s="825"/>
      <c r="AW784" s="825"/>
      <c r="AX784" s="825"/>
      <c r="AY784" s="825"/>
      <c r="AZ784" s="825"/>
    </row>
    <row r="785" spans="26:52">
      <c r="Z785" s="1039"/>
      <c r="AC785" s="1045"/>
      <c r="AD785" s="825"/>
      <c r="AF785" s="825"/>
      <c r="AH785" s="825"/>
      <c r="AJ785" s="825"/>
      <c r="AK785" s="825"/>
      <c r="AM785" s="825"/>
      <c r="AO785" s="825"/>
      <c r="AP785" s="825"/>
      <c r="AU785" s="825"/>
      <c r="AW785" s="825"/>
      <c r="AX785" s="825"/>
      <c r="AY785" s="825"/>
      <c r="AZ785" s="825"/>
    </row>
    <row r="786" spans="26:52">
      <c r="Z786" s="1039"/>
      <c r="AC786" s="1045"/>
      <c r="AD786" s="825"/>
      <c r="AF786" s="825"/>
      <c r="AH786" s="825"/>
      <c r="AJ786" s="825"/>
      <c r="AK786" s="825"/>
      <c r="AM786" s="825"/>
      <c r="AO786" s="825"/>
      <c r="AP786" s="825"/>
      <c r="AU786" s="825"/>
      <c r="AW786" s="825"/>
      <c r="AX786" s="825"/>
      <c r="AY786" s="825"/>
      <c r="AZ786" s="825"/>
    </row>
    <row r="787" spans="26:52">
      <c r="Z787" s="1039"/>
      <c r="AC787" s="1045"/>
      <c r="AD787" s="825"/>
      <c r="AF787" s="825"/>
      <c r="AH787" s="825"/>
      <c r="AJ787" s="825"/>
      <c r="AK787" s="825"/>
      <c r="AM787" s="825"/>
      <c r="AO787" s="825"/>
      <c r="AP787" s="825"/>
      <c r="AU787" s="825"/>
      <c r="AW787" s="825"/>
      <c r="AX787" s="825"/>
      <c r="AY787" s="825"/>
      <c r="AZ787" s="825"/>
    </row>
    <row r="788" spans="26:52">
      <c r="Z788" s="1039"/>
      <c r="AC788" s="1045"/>
      <c r="AD788" s="825"/>
      <c r="AF788" s="825"/>
      <c r="AH788" s="825"/>
      <c r="AJ788" s="825"/>
      <c r="AK788" s="825"/>
      <c r="AM788" s="825"/>
      <c r="AO788" s="825"/>
      <c r="AP788" s="825"/>
      <c r="AU788" s="825"/>
      <c r="AW788" s="825"/>
      <c r="AX788" s="825"/>
      <c r="AY788" s="825"/>
      <c r="AZ788" s="825"/>
    </row>
    <row r="789" spans="26:52">
      <c r="Z789" s="1039"/>
      <c r="AC789" s="1045"/>
      <c r="AD789" s="825"/>
      <c r="AF789" s="825"/>
      <c r="AH789" s="825"/>
      <c r="AJ789" s="825"/>
      <c r="AK789" s="825"/>
      <c r="AM789" s="825"/>
      <c r="AO789" s="825"/>
      <c r="AP789" s="825"/>
      <c r="AU789" s="825"/>
      <c r="AW789" s="825"/>
      <c r="AX789" s="825"/>
      <c r="AY789" s="825"/>
      <c r="AZ789" s="825"/>
    </row>
    <row r="790" spans="26:52">
      <c r="Z790" s="1039"/>
      <c r="AC790" s="1045"/>
      <c r="AD790" s="825"/>
      <c r="AF790" s="825"/>
      <c r="AH790" s="825"/>
      <c r="AJ790" s="825"/>
      <c r="AK790" s="825"/>
      <c r="AM790" s="825"/>
      <c r="AO790" s="825"/>
      <c r="AP790" s="825"/>
      <c r="AU790" s="825"/>
      <c r="AW790" s="825"/>
      <c r="AX790" s="825"/>
      <c r="AY790" s="825"/>
      <c r="AZ790" s="825"/>
    </row>
    <row r="791" spans="26:52">
      <c r="Z791" s="1039"/>
      <c r="AC791" s="1045"/>
      <c r="AD791" s="825"/>
      <c r="AF791" s="825"/>
      <c r="AH791" s="825"/>
      <c r="AJ791" s="825"/>
      <c r="AK791" s="825"/>
      <c r="AM791" s="825"/>
      <c r="AO791" s="825"/>
      <c r="AP791" s="825"/>
      <c r="AU791" s="825"/>
      <c r="AW791" s="825"/>
      <c r="AX791" s="825"/>
      <c r="AY791" s="825"/>
      <c r="AZ791" s="825"/>
    </row>
    <row r="792" spans="26:52">
      <c r="Z792" s="1039"/>
      <c r="AC792" s="1045"/>
      <c r="AD792" s="825"/>
      <c r="AF792" s="825"/>
      <c r="AH792" s="825"/>
      <c r="AJ792" s="825"/>
      <c r="AK792" s="825"/>
      <c r="AM792" s="825"/>
      <c r="AO792" s="825"/>
      <c r="AP792" s="825"/>
      <c r="AU792" s="825"/>
      <c r="AW792" s="825"/>
      <c r="AX792" s="825"/>
      <c r="AY792" s="825"/>
      <c r="AZ792" s="825"/>
    </row>
    <row r="793" spans="26:52">
      <c r="Z793" s="1039"/>
      <c r="AC793" s="1045"/>
      <c r="AD793" s="825"/>
      <c r="AF793" s="825"/>
      <c r="AH793" s="825"/>
      <c r="AJ793" s="825"/>
      <c r="AK793" s="825"/>
      <c r="AM793" s="825"/>
      <c r="AO793" s="825"/>
      <c r="AP793" s="825"/>
      <c r="AU793" s="825"/>
      <c r="AW793" s="825"/>
      <c r="AX793" s="825"/>
      <c r="AY793" s="825"/>
      <c r="AZ793" s="825"/>
    </row>
    <row r="794" spans="26:52">
      <c r="Z794" s="1039"/>
      <c r="AC794" s="1045"/>
      <c r="AD794" s="825"/>
      <c r="AF794" s="825"/>
      <c r="AH794" s="825"/>
      <c r="AJ794" s="825"/>
      <c r="AK794" s="825"/>
      <c r="AM794" s="825"/>
      <c r="AO794" s="825"/>
      <c r="AP794" s="825"/>
      <c r="AU794" s="825"/>
      <c r="AW794" s="825"/>
      <c r="AX794" s="825"/>
      <c r="AY794" s="825"/>
      <c r="AZ794" s="825"/>
    </row>
    <row r="795" spans="26:52">
      <c r="Z795" s="1039"/>
      <c r="AC795" s="1045"/>
      <c r="AD795" s="825"/>
      <c r="AF795" s="825"/>
      <c r="AH795" s="825"/>
      <c r="AJ795" s="825"/>
      <c r="AK795" s="825"/>
      <c r="AM795" s="825"/>
      <c r="AO795" s="825"/>
      <c r="AP795" s="825"/>
      <c r="AU795" s="825"/>
      <c r="AW795" s="825"/>
      <c r="AX795" s="825"/>
      <c r="AY795" s="825"/>
      <c r="AZ795" s="825"/>
    </row>
    <row r="796" spans="26:52">
      <c r="Z796" s="1039"/>
      <c r="AC796" s="1045"/>
      <c r="AD796" s="825"/>
      <c r="AF796" s="825"/>
      <c r="AH796" s="825"/>
      <c r="AJ796" s="825"/>
      <c r="AK796" s="825"/>
      <c r="AM796" s="825"/>
      <c r="AO796" s="825"/>
      <c r="AP796" s="825"/>
      <c r="AU796" s="825"/>
      <c r="AW796" s="825"/>
      <c r="AX796" s="825"/>
      <c r="AY796" s="825"/>
      <c r="AZ796" s="825"/>
    </row>
    <row r="797" spans="26:52">
      <c r="Z797" s="1039"/>
      <c r="AC797" s="1045"/>
      <c r="AD797" s="825"/>
      <c r="AF797" s="825"/>
      <c r="AH797" s="825"/>
      <c r="AJ797" s="825"/>
      <c r="AK797" s="825"/>
      <c r="AM797" s="825"/>
      <c r="AO797" s="825"/>
      <c r="AP797" s="825"/>
      <c r="AU797" s="825"/>
      <c r="AW797" s="825"/>
      <c r="AX797" s="825"/>
      <c r="AY797" s="825"/>
      <c r="AZ797" s="825"/>
    </row>
    <row r="798" spans="26:52">
      <c r="Z798" s="1039"/>
      <c r="AC798" s="1045"/>
      <c r="AD798" s="825"/>
      <c r="AF798" s="825"/>
      <c r="AH798" s="825"/>
      <c r="AJ798" s="825"/>
      <c r="AK798" s="825"/>
      <c r="AM798" s="825"/>
      <c r="AO798" s="825"/>
      <c r="AP798" s="825"/>
      <c r="AU798" s="825"/>
      <c r="AW798" s="825"/>
      <c r="AX798" s="825"/>
      <c r="AY798" s="825"/>
      <c r="AZ798" s="825"/>
    </row>
    <row r="799" spans="26:52">
      <c r="Z799" s="1039"/>
      <c r="AC799" s="1045"/>
      <c r="AD799" s="825"/>
      <c r="AF799" s="825"/>
      <c r="AH799" s="825"/>
      <c r="AJ799" s="825"/>
      <c r="AK799" s="825"/>
      <c r="AM799" s="825"/>
      <c r="AO799" s="825"/>
      <c r="AP799" s="825"/>
      <c r="AU799" s="825"/>
      <c r="AW799" s="825"/>
      <c r="AX799" s="825"/>
      <c r="AY799" s="825"/>
      <c r="AZ799" s="825"/>
    </row>
    <row r="800" spans="26:52">
      <c r="Z800" s="1039"/>
      <c r="AC800" s="1045"/>
      <c r="AD800" s="825"/>
      <c r="AF800" s="825"/>
      <c r="AH800" s="825"/>
      <c r="AJ800" s="825"/>
      <c r="AK800" s="825"/>
      <c r="AM800" s="825"/>
      <c r="AO800" s="825"/>
      <c r="AP800" s="825"/>
      <c r="AU800" s="825"/>
      <c r="AW800" s="825"/>
      <c r="AX800" s="825"/>
      <c r="AY800" s="825"/>
      <c r="AZ800" s="825"/>
    </row>
    <row r="801" spans="26:52">
      <c r="Z801" s="1039"/>
      <c r="AC801" s="1045"/>
      <c r="AD801" s="825"/>
      <c r="AF801" s="825"/>
      <c r="AH801" s="825"/>
      <c r="AJ801" s="825"/>
      <c r="AK801" s="825"/>
      <c r="AM801" s="825"/>
      <c r="AO801" s="825"/>
      <c r="AP801" s="825"/>
      <c r="AU801" s="825"/>
      <c r="AW801" s="825"/>
      <c r="AX801" s="825"/>
      <c r="AY801" s="825"/>
      <c r="AZ801" s="825"/>
    </row>
    <row r="802" spans="26:52">
      <c r="Z802" s="1039"/>
      <c r="AC802" s="1045"/>
      <c r="AD802" s="825"/>
      <c r="AF802" s="825"/>
      <c r="AH802" s="825"/>
      <c r="AJ802" s="825"/>
      <c r="AK802" s="825"/>
      <c r="AM802" s="825"/>
      <c r="AO802" s="825"/>
      <c r="AP802" s="825"/>
      <c r="AU802" s="825"/>
      <c r="AW802" s="825"/>
      <c r="AX802" s="825"/>
      <c r="AY802" s="825"/>
      <c r="AZ802" s="825"/>
    </row>
    <row r="803" spans="26:52">
      <c r="Z803" s="1039"/>
      <c r="AC803" s="1045"/>
      <c r="AD803" s="825"/>
      <c r="AF803" s="825"/>
      <c r="AH803" s="825"/>
      <c r="AJ803" s="825"/>
      <c r="AK803" s="825"/>
      <c r="AM803" s="825"/>
      <c r="AO803" s="825"/>
      <c r="AP803" s="825"/>
      <c r="AU803" s="825"/>
      <c r="AW803" s="825"/>
      <c r="AX803" s="825"/>
      <c r="AY803" s="825"/>
      <c r="AZ803" s="825"/>
    </row>
    <row r="804" spans="26:52">
      <c r="Z804" s="1039"/>
      <c r="AC804" s="1045"/>
      <c r="AD804" s="825"/>
      <c r="AF804" s="825"/>
      <c r="AH804" s="825"/>
      <c r="AJ804" s="825"/>
      <c r="AK804" s="825"/>
      <c r="AM804" s="825"/>
      <c r="AO804" s="825"/>
      <c r="AP804" s="825"/>
      <c r="AU804" s="825"/>
      <c r="AW804" s="825"/>
      <c r="AX804" s="825"/>
      <c r="AY804" s="825"/>
      <c r="AZ804" s="825"/>
    </row>
    <row r="805" spans="26:52">
      <c r="Z805" s="1039"/>
      <c r="AC805" s="1045"/>
      <c r="AD805" s="825"/>
      <c r="AF805" s="825"/>
      <c r="AH805" s="825"/>
      <c r="AJ805" s="825"/>
      <c r="AK805" s="825"/>
      <c r="AM805" s="825"/>
      <c r="AO805" s="825"/>
      <c r="AP805" s="825"/>
      <c r="AU805" s="825"/>
      <c r="AW805" s="825"/>
      <c r="AX805" s="825"/>
      <c r="AY805" s="825"/>
      <c r="AZ805" s="825"/>
    </row>
    <row r="806" spans="26:52">
      <c r="Z806" s="1039"/>
      <c r="AC806" s="1045"/>
      <c r="AD806" s="825"/>
      <c r="AF806" s="825"/>
      <c r="AH806" s="825"/>
      <c r="AJ806" s="825"/>
      <c r="AK806" s="825"/>
      <c r="AM806" s="825"/>
      <c r="AO806" s="825"/>
      <c r="AP806" s="825"/>
      <c r="AU806" s="825"/>
      <c r="AW806" s="825"/>
      <c r="AX806" s="825"/>
      <c r="AY806" s="825"/>
      <c r="AZ806" s="825"/>
    </row>
    <row r="807" spans="26:52">
      <c r="Z807" s="1039"/>
      <c r="AC807" s="1045"/>
      <c r="AD807" s="825"/>
      <c r="AF807" s="825"/>
      <c r="AH807" s="825"/>
      <c r="AJ807" s="825"/>
      <c r="AK807" s="825"/>
      <c r="AM807" s="825"/>
      <c r="AO807" s="825"/>
      <c r="AP807" s="825"/>
      <c r="AU807" s="825"/>
      <c r="AW807" s="825"/>
      <c r="AX807" s="825"/>
      <c r="AY807" s="825"/>
      <c r="AZ807" s="825"/>
    </row>
    <row r="808" spans="26:52">
      <c r="Z808" s="1039"/>
      <c r="AC808" s="1045"/>
      <c r="AD808" s="825"/>
      <c r="AF808" s="825"/>
      <c r="AH808" s="825"/>
      <c r="AJ808" s="825"/>
      <c r="AK808" s="825"/>
      <c r="AM808" s="825"/>
      <c r="AO808" s="825"/>
      <c r="AP808" s="825"/>
      <c r="AU808" s="825"/>
      <c r="AW808" s="825"/>
      <c r="AX808" s="825"/>
      <c r="AY808" s="825"/>
      <c r="AZ808" s="825"/>
    </row>
    <row r="809" spans="26:52">
      <c r="Z809" s="1039"/>
      <c r="AC809" s="1045"/>
      <c r="AD809" s="825"/>
      <c r="AF809" s="825"/>
      <c r="AH809" s="825"/>
      <c r="AJ809" s="825"/>
      <c r="AK809" s="825"/>
      <c r="AM809" s="825"/>
      <c r="AO809" s="825"/>
      <c r="AP809" s="825"/>
      <c r="AU809" s="825"/>
      <c r="AW809" s="825"/>
      <c r="AX809" s="825"/>
      <c r="AY809" s="825"/>
      <c r="AZ809" s="825"/>
    </row>
    <row r="810" spans="26:52">
      <c r="Z810" s="1039"/>
      <c r="AC810" s="1045"/>
      <c r="AD810" s="825"/>
      <c r="AF810" s="825"/>
      <c r="AH810" s="825"/>
      <c r="AJ810" s="825"/>
      <c r="AK810" s="825"/>
      <c r="AM810" s="825"/>
      <c r="AO810" s="825"/>
      <c r="AP810" s="825"/>
      <c r="AU810" s="825"/>
      <c r="AW810" s="825"/>
      <c r="AX810" s="825"/>
      <c r="AY810" s="825"/>
      <c r="AZ810" s="825"/>
    </row>
    <row r="811" spans="26:52">
      <c r="Z811" s="1039"/>
      <c r="AC811" s="1045"/>
      <c r="AD811" s="825"/>
      <c r="AF811" s="825"/>
      <c r="AH811" s="825"/>
      <c r="AJ811" s="825"/>
      <c r="AK811" s="825"/>
      <c r="AM811" s="825"/>
      <c r="AO811" s="825"/>
      <c r="AP811" s="825"/>
      <c r="AU811" s="825"/>
      <c r="AW811" s="825"/>
      <c r="AX811" s="825"/>
      <c r="AY811" s="825"/>
      <c r="AZ811" s="825"/>
    </row>
    <row r="812" spans="26:52">
      <c r="Z812" s="1039"/>
      <c r="AC812" s="1045"/>
      <c r="AD812" s="825"/>
      <c r="AF812" s="825"/>
      <c r="AH812" s="825"/>
      <c r="AJ812" s="825"/>
      <c r="AK812" s="825"/>
      <c r="AM812" s="825"/>
      <c r="AO812" s="825"/>
      <c r="AP812" s="825"/>
      <c r="AU812" s="825"/>
      <c r="AW812" s="825"/>
      <c r="AX812" s="825"/>
      <c r="AY812" s="825"/>
      <c r="AZ812" s="825"/>
    </row>
    <row r="813" spans="26:52">
      <c r="Z813" s="1039"/>
      <c r="AC813" s="1045"/>
      <c r="AD813" s="825"/>
      <c r="AF813" s="825"/>
      <c r="AH813" s="825"/>
      <c r="AJ813" s="825"/>
      <c r="AK813" s="825"/>
      <c r="AM813" s="825"/>
      <c r="AO813" s="825"/>
      <c r="AP813" s="825"/>
      <c r="AU813" s="825"/>
      <c r="AW813" s="825"/>
      <c r="AX813" s="825"/>
      <c r="AY813" s="825"/>
      <c r="AZ813" s="825"/>
    </row>
    <row r="814" spans="26:52">
      <c r="Z814" s="1039"/>
      <c r="AC814" s="1045"/>
      <c r="AD814" s="825"/>
      <c r="AF814" s="825"/>
      <c r="AH814" s="825"/>
      <c r="AJ814" s="825"/>
      <c r="AK814" s="825"/>
      <c r="AM814" s="825"/>
      <c r="AO814" s="825"/>
      <c r="AP814" s="825"/>
      <c r="AU814" s="825"/>
      <c r="AW814" s="825"/>
      <c r="AX814" s="825"/>
      <c r="AY814" s="825"/>
      <c r="AZ814" s="825"/>
    </row>
    <row r="815" spans="26:52">
      <c r="Z815" s="1039"/>
      <c r="AC815" s="1045"/>
      <c r="AD815" s="825"/>
      <c r="AF815" s="825"/>
      <c r="AH815" s="825"/>
      <c r="AJ815" s="825"/>
      <c r="AK815" s="825"/>
      <c r="AM815" s="825"/>
      <c r="AO815" s="825"/>
      <c r="AP815" s="825"/>
      <c r="AU815" s="825"/>
      <c r="AW815" s="825"/>
      <c r="AX815" s="825"/>
      <c r="AY815" s="825"/>
      <c r="AZ815" s="825"/>
    </row>
    <row r="816" spans="26:52">
      <c r="Z816" s="1039"/>
      <c r="AC816" s="1045"/>
      <c r="AD816" s="825"/>
      <c r="AF816" s="825"/>
      <c r="AH816" s="825"/>
      <c r="AJ816" s="825"/>
      <c r="AK816" s="825"/>
      <c r="AM816" s="825"/>
      <c r="AO816" s="825"/>
      <c r="AP816" s="825"/>
      <c r="AU816" s="825"/>
      <c r="AW816" s="825"/>
      <c r="AX816" s="825"/>
      <c r="AY816" s="825"/>
      <c r="AZ816" s="825"/>
    </row>
    <row r="817" spans="26:52">
      <c r="Z817" s="1039"/>
      <c r="AC817" s="1045"/>
      <c r="AD817" s="825"/>
      <c r="AF817" s="825"/>
      <c r="AH817" s="825"/>
      <c r="AJ817" s="825"/>
      <c r="AK817" s="825"/>
      <c r="AM817" s="825"/>
      <c r="AO817" s="825"/>
      <c r="AP817" s="825"/>
      <c r="AU817" s="825"/>
      <c r="AW817" s="825"/>
      <c r="AX817" s="825"/>
      <c r="AY817" s="825"/>
      <c r="AZ817" s="825"/>
    </row>
    <row r="818" spans="26:52">
      <c r="Z818" s="1039"/>
      <c r="AC818" s="1045"/>
      <c r="AD818" s="825"/>
      <c r="AF818" s="825"/>
      <c r="AH818" s="825"/>
      <c r="AJ818" s="825"/>
      <c r="AK818" s="825"/>
      <c r="AM818" s="825"/>
      <c r="AO818" s="825"/>
      <c r="AP818" s="825"/>
      <c r="AU818" s="825"/>
      <c r="AW818" s="825"/>
      <c r="AX818" s="825"/>
      <c r="AY818" s="825"/>
      <c r="AZ818" s="825"/>
    </row>
    <row r="819" spans="26:52">
      <c r="Z819" s="1039"/>
      <c r="AC819" s="1045"/>
      <c r="AD819" s="825"/>
      <c r="AF819" s="825"/>
      <c r="AH819" s="825"/>
      <c r="AJ819" s="825"/>
      <c r="AK819" s="825"/>
      <c r="AM819" s="825"/>
      <c r="AO819" s="825"/>
      <c r="AP819" s="825"/>
      <c r="AU819" s="825"/>
      <c r="AW819" s="825"/>
      <c r="AX819" s="825"/>
      <c r="AY819" s="825"/>
      <c r="AZ819" s="825"/>
    </row>
    <row r="820" spans="26:52">
      <c r="Z820" s="1039"/>
      <c r="AC820" s="1045"/>
      <c r="AD820" s="825"/>
      <c r="AF820" s="825"/>
      <c r="AH820" s="825"/>
      <c r="AJ820" s="825"/>
      <c r="AK820" s="825"/>
      <c r="AM820" s="825"/>
      <c r="AO820" s="825"/>
      <c r="AP820" s="825"/>
      <c r="AU820" s="825"/>
      <c r="AW820" s="825"/>
      <c r="AX820" s="825"/>
      <c r="AY820" s="825"/>
      <c r="AZ820" s="825"/>
    </row>
    <row r="821" spans="26:52">
      <c r="Z821" s="1039"/>
      <c r="AC821" s="1045"/>
      <c r="AD821" s="825"/>
      <c r="AF821" s="825"/>
      <c r="AH821" s="825"/>
      <c r="AJ821" s="825"/>
      <c r="AK821" s="825"/>
      <c r="AM821" s="825"/>
      <c r="AO821" s="825"/>
      <c r="AP821" s="825"/>
      <c r="AU821" s="825"/>
      <c r="AW821" s="825"/>
      <c r="AX821" s="825"/>
      <c r="AY821" s="825"/>
      <c r="AZ821" s="825"/>
    </row>
    <row r="822" spans="26:52">
      <c r="Z822" s="1039"/>
      <c r="AC822" s="1045"/>
      <c r="AD822" s="825"/>
      <c r="AF822" s="825"/>
      <c r="AH822" s="825"/>
      <c r="AJ822" s="825"/>
      <c r="AK822" s="825"/>
      <c r="AM822" s="825"/>
      <c r="AO822" s="825"/>
      <c r="AP822" s="825"/>
      <c r="AU822" s="825"/>
      <c r="AW822" s="825"/>
      <c r="AX822" s="825"/>
      <c r="AY822" s="825"/>
      <c r="AZ822" s="825"/>
    </row>
    <row r="823" spans="26:52">
      <c r="Z823" s="1039"/>
      <c r="AC823" s="1045"/>
      <c r="AD823" s="825"/>
      <c r="AF823" s="825"/>
      <c r="AH823" s="825"/>
      <c r="AJ823" s="825"/>
      <c r="AK823" s="825"/>
      <c r="AM823" s="825"/>
      <c r="AO823" s="825"/>
      <c r="AP823" s="825"/>
      <c r="AU823" s="825"/>
      <c r="AW823" s="825"/>
      <c r="AX823" s="825"/>
      <c r="AY823" s="825"/>
      <c r="AZ823" s="825"/>
    </row>
    <row r="824" spans="26:52">
      <c r="Z824" s="1039"/>
      <c r="AC824" s="1045"/>
      <c r="AD824" s="825"/>
      <c r="AF824" s="825"/>
      <c r="AH824" s="825"/>
      <c r="AJ824" s="825"/>
      <c r="AK824" s="825"/>
      <c r="AM824" s="825"/>
      <c r="AO824" s="825"/>
      <c r="AP824" s="825"/>
      <c r="AU824" s="825"/>
      <c r="AW824" s="825"/>
      <c r="AX824" s="825"/>
      <c r="AY824" s="825"/>
      <c r="AZ824" s="825"/>
    </row>
    <row r="825" spans="26:52">
      <c r="Z825" s="1039"/>
      <c r="AC825" s="1045"/>
      <c r="AD825" s="825"/>
      <c r="AF825" s="825"/>
      <c r="AH825" s="825"/>
      <c r="AJ825" s="825"/>
      <c r="AK825" s="825"/>
      <c r="AM825" s="825"/>
      <c r="AO825" s="825"/>
      <c r="AP825" s="825"/>
      <c r="AU825" s="825"/>
      <c r="AW825" s="825"/>
      <c r="AX825" s="825"/>
      <c r="AY825" s="825"/>
      <c r="AZ825" s="825"/>
    </row>
    <row r="826" spans="26:52">
      <c r="Z826" s="1039"/>
      <c r="AC826" s="1045"/>
      <c r="AD826" s="825"/>
      <c r="AF826" s="825"/>
      <c r="AH826" s="825"/>
      <c r="AJ826" s="825"/>
      <c r="AK826" s="825"/>
      <c r="AM826" s="825"/>
      <c r="AO826" s="825"/>
      <c r="AP826" s="825"/>
      <c r="AU826" s="825"/>
      <c r="AW826" s="825"/>
      <c r="AX826" s="825"/>
      <c r="AY826" s="825"/>
      <c r="AZ826" s="825"/>
    </row>
    <row r="827" spans="26:52">
      <c r="Z827" s="1039"/>
      <c r="AC827" s="1045"/>
      <c r="AD827" s="825"/>
      <c r="AF827" s="825"/>
      <c r="AH827" s="825"/>
      <c r="AJ827" s="825"/>
      <c r="AK827" s="825"/>
      <c r="AM827" s="825"/>
      <c r="AO827" s="825"/>
      <c r="AP827" s="825"/>
      <c r="AU827" s="825"/>
      <c r="AW827" s="825"/>
      <c r="AX827" s="825"/>
      <c r="AY827" s="825"/>
      <c r="AZ827" s="825"/>
    </row>
    <row r="828" spans="26:52">
      <c r="Z828" s="1039"/>
      <c r="AC828" s="1045"/>
      <c r="AD828" s="825"/>
      <c r="AF828" s="825"/>
      <c r="AH828" s="825"/>
      <c r="AJ828" s="825"/>
      <c r="AK828" s="825"/>
      <c r="AM828" s="825"/>
      <c r="AO828" s="825"/>
      <c r="AP828" s="825"/>
      <c r="AU828" s="825"/>
      <c r="AW828" s="825"/>
      <c r="AX828" s="825"/>
      <c r="AY828" s="825"/>
      <c r="AZ828" s="825"/>
    </row>
    <row r="829" spans="26:52">
      <c r="Z829" s="1039"/>
      <c r="AC829" s="1045"/>
      <c r="AD829" s="825"/>
      <c r="AF829" s="825"/>
      <c r="AH829" s="825"/>
      <c r="AJ829" s="825"/>
      <c r="AK829" s="825"/>
      <c r="AM829" s="825"/>
      <c r="AO829" s="825"/>
      <c r="AP829" s="825"/>
      <c r="AU829" s="825"/>
      <c r="AW829" s="825"/>
      <c r="AX829" s="825"/>
      <c r="AY829" s="825"/>
      <c r="AZ829" s="825"/>
    </row>
    <row r="830" spans="26:52">
      <c r="Z830" s="1039"/>
      <c r="AC830" s="1045"/>
      <c r="AD830" s="825"/>
      <c r="AF830" s="825"/>
      <c r="AH830" s="825"/>
      <c r="AJ830" s="825"/>
      <c r="AK830" s="825"/>
      <c r="AM830" s="825"/>
      <c r="AO830" s="825"/>
      <c r="AP830" s="825"/>
      <c r="AU830" s="825"/>
      <c r="AW830" s="825"/>
      <c r="AX830" s="825"/>
      <c r="AY830" s="825"/>
      <c r="AZ830" s="825"/>
    </row>
    <row r="831" spans="26:52">
      <c r="Z831" s="1039"/>
      <c r="AC831" s="1045"/>
      <c r="AD831" s="825"/>
      <c r="AF831" s="825"/>
      <c r="AH831" s="825"/>
      <c r="AJ831" s="825"/>
      <c r="AK831" s="825"/>
      <c r="AM831" s="825"/>
      <c r="AO831" s="825"/>
      <c r="AP831" s="825"/>
      <c r="AU831" s="825"/>
      <c r="AW831" s="825"/>
      <c r="AX831" s="825"/>
      <c r="AY831" s="825"/>
      <c r="AZ831" s="825"/>
    </row>
    <row r="832" spans="26:52">
      <c r="Z832" s="1039"/>
      <c r="AC832" s="1045"/>
      <c r="AD832" s="825"/>
      <c r="AF832" s="825"/>
      <c r="AH832" s="825"/>
      <c r="AJ832" s="825"/>
      <c r="AK832" s="825"/>
      <c r="AM832" s="825"/>
      <c r="AO832" s="825"/>
      <c r="AP832" s="825"/>
      <c r="AU832" s="825"/>
      <c r="AW832" s="825"/>
      <c r="AX832" s="825"/>
      <c r="AY832" s="825"/>
      <c r="AZ832" s="825"/>
    </row>
    <row r="833" spans="26:52">
      <c r="Z833" s="1039"/>
      <c r="AC833" s="1045"/>
      <c r="AD833" s="825"/>
      <c r="AF833" s="825"/>
      <c r="AH833" s="825"/>
      <c r="AJ833" s="825"/>
      <c r="AK833" s="825"/>
      <c r="AM833" s="825"/>
      <c r="AO833" s="825"/>
      <c r="AP833" s="825"/>
      <c r="AU833" s="825"/>
      <c r="AW833" s="825"/>
      <c r="AX833" s="825"/>
      <c r="AY833" s="825"/>
      <c r="AZ833" s="825"/>
    </row>
    <row r="834" spans="26:52">
      <c r="Z834" s="1039"/>
      <c r="AC834" s="1045"/>
      <c r="AD834" s="825"/>
      <c r="AF834" s="825"/>
      <c r="AH834" s="825"/>
      <c r="AJ834" s="825"/>
      <c r="AK834" s="825"/>
      <c r="AM834" s="825"/>
      <c r="AO834" s="825"/>
      <c r="AP834" s="825"/>
      <c r="AU834" s="825"/>
      <c r="AW834" s="825"/>
      <c r="AX834" s="825"/>
      <c r="AY834" s="825"/>
      <c r="AZ834" s="825"/>
    </row>
    <row r="835" spans="26:52">
      <c r="Z835" s="1039"/>
      <c r="AC835" s="1045"/>
      <c r="AD835" s="825"/>
      <c r="AF835" s="825"/>
      <c r="AH835" s="825"/>
      <c r="AJ835" s="825"/>
      <c r="AK835" s="825"/>
      <c r="AM835" s="825"/>
      <c r="AO835" s="825"/>
      <c r="AP835" s="825"/>
      <c r="AU835" s="825"/>
      <c r="AW835" s="825"/>
      <c r="AX835" s="825"/>
      <c r="AY835" s="825"/>
      <c r="AZ835" s="825"/>
    </row>
    <row r="836" spans="26:52">
      <c r="Z836" s="1039"/>
      <c r="AC836" s="1045"/>
      <c r="AD836" s="825"/>
      <c r="AF836" s="825"/>
      <c r="AH836" s="825"/>
      <c r="AJ836" s="825"/>
      <c r="AK836" s="825"/>
      <c r="AM836" s="825"/>
      <c r="AO836" s="825"/>
      <c r="AP836" s="825"/>
      <c r="AU836" s="825"/>
      <c r="AW836" s="825"/>
      <c r="AX836" s="825"/>
      <c r="AY836" s="825"/>
      <c r="AZ836" s="825"/>
    </row>
    <row r="837" spans="26:52">
      <c r="Z837" s="1039"/>
      <c r="AC837" s="1045"/>
      <c r="AD837" s="825"/>
      <c r="AF837" s="825"/>
      <c r="AH837" s="825"/>
      <c r="AJ837" s="825"/>
      <c r="AK837" s="825"/>
      <c r="AM837" s="825"/>
      <c r="AO837" s="825"/>
      <c r="AP837" s="825"/>
      <c r="AU837" s="825"/>
      <c r="AW837" s="825"/>
      <c r="AX837" s="825"/>
      <c r="AY837" s="825"/>
      <c r="AZ837" s="825"/>
    </row>
    <row r="838" spans="26:52">
      <c r="Z838" s="1039"/>
      <c r="AC838" s="1045"/>
      <c r="AD838" s="825"/>
      <c r="AF838" s="825"/>
      <c r="AH838" s="825"/>
      <c r="AJ838" s="825"/>
      <c r="AK838" s="825"/>
      <c r="AM838" s="825"/>
      <c r="AO838" s="825"/>
      <c r="AP838" s="825"/>
      <c r="AU838" s="825"/>
      <c r="AW838" s="825"/>
      <c r="AX838" s="825"/>
      <c r="AY838" s="825"/>
      <c r="AZ838" s="825"/>
    </row>
    <row r="839" spans="26:52">
      <c r="Z839" s="1039"/>
      <c r="AC839" s="1045"/>
      <c r="AD839" s="825"/>
      <c r="AF839" s="825"/>
      <c r="AH839" s="825"/>
      <c r="AJ839" s="825"/>
      <c r="AK839" s="825"/>
      <c r="AM839" s="825"/>
      <c r="AO839" s="825"/>
      <c r="AP839" s="825"/>
      <c r="AU839" s="825"/>
      <c r="AW839" s="825"/>
      <c r="AX839" s="825"/>
      <c r="AY839" s="825"/>
      <c r="AZ839" s="825"/>
    </row>
    <row r="840" spans="26:52">
      <c r="Z840" s="1039"/>
      <c r="AC840" s="1045"/>
      <c r="AD840" s="825"/>
      <c r="AF840" s="825"/>
      <c r="AH840" s="825"/>
      <c r="AJ840" s="825"/>
      <c r="AK840" s="825"/>
      <c r="AM840" s="825"/>
      <c r="AO840" s="825"/>
      <c r="AP840" s="825"/>
      <c r="AU840" s="825"/>
      <c r="AW840" s="825"/>
      <c r="AX840" s="825"/>
      <c r="AY840" s="825"/>
      <c r="AZ840" s="825"/>
    </row>
    <row r="841" spans="26:52">
      <c r="Z841" s="1039"/>
      <c r="AC841" s="1045"/>
      <c r="AD841" s="825"/>
      <c r="AF841" s="825"/>
      <c r="AH841" s="825"/>
      <c r="AJ841" s="825"/>
      <c r="AK841" s="825"/>
      <c r="AM841" s="825"/>
      <c r="AO841" s="825"/>
      <c r="AP841" s="825"/>
      <c r="AU841" s="825"/>
      <c r="AW841" s="825"/>
      <c r="AX841" s="825"/>
      <c r="AY841" s="825"/>
      <c r="AZ841" s="825"/>
    </row>
    <row r="842" spans="26:52">
      <c r="Z842" s="1039"/>
      <c r="AC842" s="1045"/>
      <c r="AD842" s="825"/>
      <c r="AF842" s="825"/>
      <c r="AH842" s="825"/>
      <c r="AJ842" s="825"/>
      <c r="AK842" s="825"/>
      <c r="AM842" s="825"/>
      <c r="AO842" s="825"/>
      <c r="AP842" s="825"/>
      <c r="AU842" s="825"/>
      <c r="AW842" s="825"/>
      <c r="AX842" s="825"/>
      <c r="AY842" s="825"/>
      <c r="AZ842" s="825"/>
    </row>
    <row r="843" spans="26:52">
      <c r="Z843" s="1039"/>
      <c r="AC843" s="1045"/>
      <c r="AD843" s="825"/>
      <c r="AF843" s="825"/>
      <c r="AH843" s="825"/>
      <c r="AJ843" s="825"/>
      <c r="AK843" s="825"/>
      <c r="AM843" s="825"/>
      <c r="AO843" s="825"/>
      <c r="AP843" s="825"/>
      <c r="AU843" s="825"/>
      <c r="AW843" s="825"/>
      <c r="AX843" s="825"/>
      <c r="AY843" s="825"/>
      <c r="AZ843" s="825"/>
    </row>
    <row r="844" spans="26:52">
      <c r="Z844" s="1039"/>
      <c r="AC844" s="1045"/>
      <c r="AD844" s="825"/>
      <c r="AF844" s="825"/>
      <c r="AH844" s="825"/>
      <c r="AJ844" s="825"/>
      <c r="AK844" s="825"/>
      <c r="AM844" s="825"/>
      <c r="AO844" s="825"/>
      <c r="AP844" s="825"/>
      <c r="AU844" s="825"/>
      <c r="AW844" s="825"/>
      <c r="AX844" s="825"/>
      <c r="AY844" s="825"/>
      <c r="AZ844" s="825"/>
    </row>
    <row r="845" spans="26:52">
      <c r="Z845" s="1039"/>
      <c r="AC845" s="1045"/>
      <c r="AD845" s="825"/>
      <c r="AF845" s="825"/>
      <c r="AH845" s="825"/>
      <c r="AJ845" s="825"/>
      <c r="AK845" s="825"/>
      <c r="AM845" s="825"/>
      <c r="AO845" s="825"/>
      <c r="AP845" s="825"/>
      <c r="AU845" s="825"/>
      <c r="AW845" s="825"/>
      <c r="AX845" s="825"/>
      <c r="AY845" s="825"/>
      <c r="AZ845" s="825"/>
    </row>
    <row r="846" spans="26:52">
      <c r="Z846" s="1039"/>
      <c r="AC846" s="1045"/>
      <c r="AD846" s="825"/>
      <c r="AF846" s="825"/>
      <c r="AH846" s="825"/>
      <c r="AJ846" s="825"/>
      <c r="AK846" s="825"/>
      <c r="AM846" s="825"/>
      <c r="AO846" s="825"/>
      <c r="AP846" s="825"/>
      <c r="AU846" s="825"/>
      <c r="AW846" s="825"/>
      <c r="AX846" s="825"/>
      <c r="AY846" s="825"/>
      <c r="AZ846" s="825"/>
    </row>
    <row r="847" spans="26:52">
      <c r="Z847" s="1039"/>
      <c r="AC847" s="1045"/>
      <c r="AD847" s="825"/>
      <c r="AF847" s="825"/>
      <c r="AH847" s="825"/>
      <c r="AJ847" s="825"/>
      <c r="AK847" s="825"/>
      <c r="AM847" s="825"/>
      <c r="AO847" s="825"/>
      <c r="AP847" s="825"/>
      <c r="AU847" s="825"/>
      <c r="AW847" s="825"/>
      <c r="AX847" s="825"/>
      <c r="AY847" s="825"/>
      <c r="AZ847" s="825"/>
    </row>
    <row r="848" spans="26:52">
      <c r="Z848" s="1039"/>
      <c r="AC848" s="1045"/>
      <c r="AD848" s="825"/>
      <c r="AF848" s="825"/>
      <c r="AH848" s="825"/>
      <c r="AJ848" s="825"/>
      <c r="AK848" s="825"/>
      <c r="AM848" s="825"/>
      <c r="AO848" s="825"/>
      <c r="AP848" s="825"/>
      <c r="AU848" s="825"/>
      <c r="AW848" s="825"/>
      <c r="AX848" s="825"/>
      <c r="AY848" s="825"/>
      <c r="AZ848" s="825"/>
    </row>
    <row r="849" spans="26:52">
      <c r="Z849" s="1039"/>
      <c r="AC849" s="1045"/>
      <c r="AD849" s="825"/>
      <c r="AF849" s="825"/>
      <c r="AH849" s="825"/>
      <c r="AJ849" s="825"/>
      <c r="AK849" s="825"/>
      <c r="AM849" s="825"/>
      <c r="AO849" s="825"/>
      <c r="AP849" s="825"/>
      <c r="AU849" s="825"/>
      <c r="AW849" s="825"/>
      <c r="AX849" s="825"/>
      <c r="AY849" s="825"/>
      <c r="AZ849" s="825"/>
    </row>
    <row r="850" spans="26:52">
      <c r="Z850" s="1039"/>
      <c r="AC850" s="1045"/>
      <c r="AD850" s="825"/>
      <c r="AF850" s="825"/>
      <c r="AH850" s="825"/>
      <c r="AJ850" s="825"/>
      <c r="AK850" s="825"/>
      <c r="AM850" s="825"/>
      <c r="AO850" s="825"/>
      <c r="AP850" s="825"/>
      <c r="AU850" s="825"/>
      <c r="AW850" s="825"/>
      <c r="AX850" s="825"/>
      <c r="AY850" s="825"/>
      <c r="AZ850" s="825"/>
    </row>
    <row r="851" spans="26:52">
      <c r="Z851" s="1039"/>
      <c r="AC851" s="1045"/>
      <c r="AD851" s="825"/>
      <c r="AF851" s="825"/>
      <c r="AH851" s="825"/>
      <c r="AJ851" s="825"/>
      <c r="AK851" s="825"/>
      <c r="AM851" s="825"/>
      <c r="AO851" s="825"/>
      <c r="AP851" s="825"/>
      <c r="AU851" s="825"/>
      <c r="AW851" s="825"/>
      <c r="AX851" s="825"/>
      <c r="AY851" s="825"/>
      <c r="AZ851" s="825"/>
    </row>
    <row r="852" spans="26:52">
      <c r="Z852" s="1039"/>
      <c r="AC852" s="1045"/>
      <c r="AD852" s="825"/>
      <c r="AF852" s="825"/>
      <c r="AH852" s="825"/>
      <c r="AJ852" s="825"/>
      <c r="AK852" s="825"/>
      <c r="AM852" s="825"/>
      <c r="AO852" s="825"/>
      <c r="AP852" s="825"/>
      <c r="AU852" s="825"/>
      <c r="AW852" s="825"/>
      <c r="AX852" s="825"/>
      <c r="AY852" s="825"/>
      <c r="AZ852" s="825"/>
    </row>
    <row r="853" spans="26:52">
      <c r="Z853" s="1039"/>
      <c r="AC853" s="1045"/>
      <c r="AD853" s="825"/>
      <c r="AF853" s="825"/>
      <c r="AH853" s="825"/>
      <c r="AJ853" s="825"/>
      <c r="AK853" s="825"/>
      <c r="AM853" s="825"/>
      <c r="AO853" s="825"/>
      <c r="AP853" s="825"/>
      <c r="AU853" s="825"/>
      <c r="AW853" s="825"/>
      <c r="AX853" s="825"/>
      <c r="AY853" s="825"/>
      <c r="AZ853" s="825"/>
    </row>
    <row r="854" spans="26:52">
      <c r="Z854" s="1039"/>
      <c r="AC854" s="1045"/>
      <c r="AD854" s="825"/>
      <c r="AF854" s="825"/>
      <c r="AH854" s="825"/>
      <c r="AJ854" s="825"/>
      <c r="AK854" s="825"/>
      <c r="AM854" s="825"/>
      <c r="AO854" s="825"/>
      <c r="AP854" s="825"/>
      <c r="AU854" s="825"/>
      <c r="AW854" s="825"/>
      <c r="AX854" s="825"/>
      <c r="AY854" s="825"/>
      <c r="AZ854" s="825"/>
    </row>
    <row r="855" spans="26:52">
      <c r="Z855" s="1039"/>
      <c r="AC855" s="1045"/>
      <c r="AD855" s="825"/>
      <c r="AF855" s="825"/>
      <c r="AH855" s="825"/>
      <c r="AJ855" s="825"/>
      <c r="AK855" s="825"/>
      <c r="AM855" s="825"/>
      <c r="AO855" s="825"/>
      <c r="AP855" s="825"/>
      <c r="AU855" s="825"/>
      <c r="AW855" s="825"/>
      <c r="AX855" s="825"/>
      <c r="AY855" s="825"/>
      <c r="AZ855" s="825"/>
    </row>
    <row r="856" spans="26:52">
      <c r="Z856" s="1039"/>
      <c r="AC856" s="1045"/>
      <c r="AD856" s="825"/>
      <c r="AF856" s="825"/>
      <c r="AH856" s="825"/>
      <c r="AJ856" s="825"/>
      <c r="AK856" s="825"/>
      <c r="AM856" s="825"/>
      <c r="AO856" s="825"/>
      <c r="AP856" s="825"/>
      <c r="AU856" s="825"/>
      <c r="AW856" s="825"/>
      <c r="AX856" s="825"/>
      <c r="AY856" s="825"/>
      <c r="AZ856" s="825"/>
    </row>
    <row r="857" spans="26:52">
      <c r="Z857" s="1039"/>
      <c r="AC857" s="1045"/>
      <c r="AD857" s="825"/>
      <c r="AF857" s="825"/>
      <c r="AH857" s="825"/>
      <c r="AJ857" s="825"/>
      <c r="AK857" s="825"/>
      <c r="AM857" s="825"/>
      <c r="AO857" s="825"/>
      <c r="AP857" s="825"/>
      <c r="AU857" s="825"/>
      <c r="AW857" s="825"/>
      <c r="AX857" s="825"/>
      <c r="AY857" s="825"/>
      <c r="AZ857" s="825"/>
    </row>
    <row r="858" spans="26:52">
      <c r="Z858" s="1039"/>
      <c r="AC858" s="1045"/>
      <c r="AD858" s="825"/>
      <c r="AF858" s="825"/>
      <c r="AH858" s="825"/>
      <c r="AJ858" s="825"/>
      <c r="AK858" s="825"/>
      <c r="AM858" s="825"/>
      <c r="AO858" s="825"/>
      <c r="AP858" s="825"/>
      <c r="AU858" s="825"/>
      <c r="AW858" s="825"/>
      <c r="AX858" s="825"/>
      <c r="AY858" s="825"/>
      <c r="AZ858" s="825"/>
    </row>
    <row r="859" spans="26:52">
      <c r="Z859" s="1039"/>
      <c r="AC859" s="1045"/>
      <c r="AD859" s="825"/>
      <c r="AF859" s="825"/>
      <c r="AH859" s="825"/>
      <c r="AJ859" s="825"/>
      <c r="AK859" s="825"/>
      <c r="AM859" s="825"/>
      <c r="AO859" s="825"/>
      <c r="AP859" s="825"/>
      <c r="AU859" s="825"/>
      <c r="AW859" s="825"/>
      <c r="AX859" s="825"/>
      <c r="AY859" s="825"/>
      <c r="AZ859" s="825"/>
    </row>
    <row r="860" spans="26:52">
      <c r="Z860" s="1039"/>
      <c r="AC860" s="1045"/>
      <c r="AD860" s="825"/>
      <c r="AF860" s="825"/>
      <c r="AH860" s="825"/>
      <c r="AJ860" s="825"/>
      <c r="AK860" s="825"/>
      <c r="AM860" s="825"/>
      <c r="AO860" s="825"/>
      <c r="AP860" s="825"/>
      <c r="AU860" s="825"/>
      <c r="AW860" s="825"/>
      <c r="AX860" s="825"/>
      <c r="AY860" s="825"/>
      <c r="AZ860" s="825"/>
    </row>
    <row r="861" spans="26:52">
      <c r="Z861" s="1039"/>
      <c r="AC861" s="1045"/>
      <c r="AD861" s="825"/>
      <c r="AF861" s="825"/>
      <c r="AH861" s="825"/>
      <c r="AJ861" s="825"/>
      <c r="AK861" s="825"/>
      <c r="AM861" s="825"/>
      <c r="AO861" s="825"/>
      <c r="AP861" s="825"/>
      <c r="AU861" s="825"/>
      <c r="AW861" s="825"/>
      <c r="AX861" s="825"/>
      <c r="AY861" s="825"/>
      <c r="AZ861" s="825"/>
    </row>
    <row r="862" spans="26:52">
      <c r="Z862" s="1039"/>
      <c r="AC862" s="1045"/>
      <c r="AD862" s="825"/>
      <c r="AF862" s="825"/>
      <c r="AH862" s="825"/>
      <c r="AJ862" s="825"/>
      <c r="AK862" s="825"/>
      <c r="AM862" s="825"/>
      <c r="AO862" s="825"/>
      <c r="AP862" s="825"/>
      <c r="AU862" s="825"/>
      <c r="AW862" s="825"/>
      <c r="AX862" s="825"/>
      <c r="AY862" s="825"/>
      <c r="AZ862" s="825"/>
    </row>
    <row r="863" spans="26:52">
      <c r="Z863" s="1039"/>
      <c r="AC863" s="1045"/>
      <c r="AD863" s="825"/>
      <c r="AF863" s="825"/>
      <c r="AH863" s="825"/>
      <c r="AJ863" s="825"/>
      <c r="AK863" s="825"/>
      <c r="AM863" s="825"/>
      <c r="AO863" s="825"/>
      <c r="AP863" s="825"/>
      <c r="AU863" s="825"/>
      <c r="AW863" s="825"/>
      <c r="AX863" s="825"/>
      <c r="AY863" s="825"/>
      <c r="AZ863" s="825"/>
    </row>
    <row r="864" spans="26:52">
      <c r="Z864" s="1039"/>
      <c r="AC864" s="1045"/>
      <c r="AD864" s="825"/>
      <c r="AF864" s="825"/>
      <c r="AH864" s="825"/>
      <c r="AJ864" s="825"/>
      <c r="AK864" s="825"/>
      <c r="AM864" s="825"/>
      <c r="AO864" s="825"/>
      <c r="AP864" s="825"/>
      <c r="AU864" s="825"/>
      <c r="AW864" s="825"/>
      <c r="AX864" s="825"/>
      <c r="AY864" s="825"/>
      <c r="AZ864" s="825"/>
    </row>
    <row r="865" spans="26:52">
      <c r="Z865" s="1039"/>
      <c r="AC865" s="1045"/>
      <c r="AD865" s="825"/>
      <c r="AF865" s="825"/>
      <c r="AH865" s="825"/>
      <c r="AJ865" s="825"/>
      <c r="AK865" s="825"/>
      <c r="AM865" s="825"/>
      <c r="AO865" s="825"/>
      <c r="AP865" s="825"/>
      <c r="AU865" s="825"/>
      <c r="AW865" s="825"/>
      <c r="AX865" s="825"/>
      <c r="AY865" s="825"/>
      <c r="AZ865" s="825"/>
    </row>
    <row r="866" spans="26:52">
      <c r="Z866" s="1039"/>
      <c r="AC866" s="1045"/>
      <c r="AD866" s="825"/>
      <c r="AF866" s="825"/>
      <c r="AH866" s="825"/>
      <c r="AJ866" s="825"/>
      <c r="AK866" s="825"/>
      <c r="AM866" s="825"/>
      <c r="AO866" s="825"/>
      <c r="AP866" s="825"/>
      <c r="AU866" s="825"/>
      <c r="AW866" s="825"/>
      <c r="AX866" s="825"/>
      <c r="AY866" s="825"/>
      <c r="AZ866" s="825"/>
    </row>
    <row r="867" spans="26:52">
      <c r="Z867" s="1039"/>
      <c r="AC867" s="1045"/>
      <c r="AD867" s="825"/>
      <c r="AF867" s="825"/>
      <c r="AH867" s="825"/>
      <c r="AJ867" s="825"/>
      <c r="AK867" s="825"/>
      <c r="AM867" s="825"/>
      <c r="AO867" s="825"/>
      <c r="AP867" s="825"/>
      <c r="AU867" s="825"/>
      <c r="AW867" s="825"/>
      <c r="AX867" s="825"/>
      <c r="AY867" s="825"/>
      <c r="AZ867" s="825"/>
    </row>
    <row r="868" spans="26:52">
      <c r="Z868" s="1039"/>
      <c r="AC868" s="1045"/>
      <c r="AD868" s="825"/>
      <c r="AF868" s="825"/>
      <c r="AH868" s="825"/>
      <c r="AJ868" s="825"/>
      <c r="AK868" s="825"/>
      <c r="AM868" s="825"/>
      <c r="AO868" s="825"/>
      <c r="AP868" s="825"/>
      <c r="AU868" s="825"/>
      <c r="AW868" s="825"/>
      <c r="AX868" s="825"/>
      <c r="AY868" s="825"/>
      <c r="AZ868" s="825"/>
    </row>
    <row r="869" spans="26:52">
      <c r="Z869" s="1039"/>
      <c r="AC869" s="1045"/>
      <c r="AD869" s="825"/>
      <c r="AF869" s="825"/>
      <c r="AH869" s="825"/>
      <c r="AJ869" s="825"/>
      <c r="AK869" s="825"/>
      <c r="AM869" s="825"/>
      <c r="AO869" s="825"/>
      <c r="AP869" s="825"/>
      <c r="AU869" s="825"/>
      <c r="AW869" s="825"/>
      <c r="AX869" s="825"/>
      <c r="AY869" s="825"/>
      <c r="AZ869" s="825"/>
    </row>
    <row r="870" spans="26:52">
      <c r="Z870" s="1039"/>
      <c r="AC870" s="1045"/>
      <c r="AD870" s="825"/>
      <c r="AF870" s="825"/>
      <c r="AH870" s="825"/>
      <c r="AJ870" s="825"/>
      <c r="AK870" s="825"/>
      <c r="AM870" s="825"/>
      <c r="AO870" s="825"/>
      <c r="AP870" s="825"/>
      <c r="AU870" s="825"/>
      <c r="AW870" s="825"/>
      <c r="AX870" s="825"/>
      <c r="AY870" s="825"/>
      <c r="AZ870" s="825"/>
    </row>
    <row r="871" spans="26:52">
      <c r="Z871" s="1039"/>
      <c r="AC871" s="1045"/>
      <c r="AD871" s="825"/>
      <c r="AF871" s="825"/>
      <c r="AH871" s="825"/>
      <c r="AJ871" s="825"/>
      <c r="AK871" s="825"/>
      <c r="AM871" s="825"/>
      <c r="AO871" s="825"/>
      <c r="AP871" s="825"/>
      <c r="AU871" s="825"/>
      <c r="AW871" s="825"/>
      <c r="AX871" s="825"/>
      <c r="AY871" s="825"/>
      <c r="AZ871" s="825"/>
    </row>
    <row r="872" spans="26:52">
      <c r="Z872" s="1039"/>
      <c r="AC872" s="1045"/>
      <c r="AD872" s="825"/>
      <c r="AF872" s="825"/>
      <c r="AH872" s="825"/>
      <c r="AJ872" s="825"/>
      <c r="AK872" s="825"/>
      <c r="AM872" s="825"/>
      <c r="AO872" s="825"/>
      <c r="AP872" s="825"/>
      <c r="AU872" s="825"/>
      <c r="AW872" s="825"/>
      <c r="AX872" s="825"/>
      <c r="AY872" s="825"/>
      <c r="AZ872" s="825"/>
    </row>
    <row r="873" spans="26:52">
      <c r="Z873" s="1039"/>
      <c r="AC873" s="1045"/>
      <c r="AD873" s="825"/>
      <c r="AF873" s="825"/>
      <c r="AH873" s="825"/>
      <c r="AJ873" s="825"/>
      <c r="AK873" s="825"/>
      <c r="AM873" s="825"/>
      <c r="AO873" s="825"/>
      <c r="AP873" s="825"/>
      <c r="AU873" s="825"/>
      <c r="AW873" s="825"/>
      <c r="AX873" s="825"/>
      <c r="AY873" s="825"/>
      <c r="AZ873" s="825"/>
    </row>
    <row r="874" spans="26:52">
      <c r="Z874" s="1039"/>
      <c r="AC874" s="1045"/>
      <c r="AD874" s="825"/>
      <c r="AF874" s="825"/>
      <c r="AH874" s="825"/>
      <c r="AJ874" s="825"/>
      <c r="AK874" s="825"/>
      <c r="AM874" s="825"/>
      <c r="AO874" s="825"/>
      <c r="AP874" s="825"/>
      <c r="AU874" s="825"/>
      <c r="AW874" s="825"/>
      <c r="AX874" s="825"/>
      <c r="AY874" s="825"/>
      <c r="AZ874" s="825"/>
    </row>
    <row r="875" spans="26:52">
      <c r="Z875" s="1039"/>
      <c r="AC875" s="1045"/>
      <c r="AD875" s="825"/>
      <c r="AF875" s="825"/>
      <c r="AH875" s="825"/>
      <c r="AJ875" s="825"/>
      <c r="AK875" s="825"/>
      <c r="AM875" s="825"/>
      <c r="AO875" s="825"/>
      <c r="AP875" s="825"/>
      <c r="AU875" s="825"/>
      <c r="AW875" s="825"/>
      <c r="AX875" s="825"/>
      <c r="AY875" s="825"/>
      <c r="AZ875" s="825"/>
    </row>
    <row r="876" spans="26:52">
      <c r="Z876" s="1039"/>
      <c r="AC876" s="1045"/>
      <c r="AD876" s="825"/>
      <c r="AF876" s="825"/>
      <c r="AH876" s="825"/>
      <c r="AJ876" s="825"/>
      <c r="AK876" s="825"/>
      <c r="AM876" s="825"/>
      <c r="AO876" s="825"/>
      <c r="AP876" s="825"/>
      <c r="AU876" s="825"/>
      <c r="AW876" s="825"/>
      <c r="AX876" s="825"/>
      <c r="AY876" s="825"/>
      <c r="AZ876" s="825"/>
    </row>
    <row r="877" spans="26:52">
      <c r="Z877" s="1039"/>
      <c r="AC877" s="1045"/>
      <c r="AD877" s="825"/>
      <c r="AF877" s="825"/>
      <c r="AH877" s="825"/>
      <c r="AJ877" s="825"/>
      <c r="AK877" s="825"/>
      <c r="AM877" s="825"/>
      <c r="AO877" s="825"/>
      <c r="AP877" s="825"/>
      <c r="AU877" s="825"/>
      <c r="AW877" s="825"/>
      <c r="AX877" s="825"/>
      <c r="AY877" s="825"/>
      <c r="AZ877" s="825"/>
    </row>
    <row r="878" spans="26:52">
      <c r="Z878" s="1039"/>
      <c r="AC878" s="1045"/>
      <c r="AD878" s="825"/>
      <c r="AF878" s="825"/>
      <c r="AH878" s="825"/>
      <c r="AJ878" s="825"/>
      <c r="AK878" s="825"/>
      <c r="AM878" s="825"/>
      <c r="AO878" s="825"/>
      <c r="AP878" s="825"/>
      <c r="AU878" s="825"/>
      <c r="AW878" s="825"/>
      <c r="AX878" s="825"/>
      <c r="AY878" s="825"/>
      <c r="AZ878" s="825"/>
    </row>
    <row r="879" spans="26:52">
      <c r="Z879" s="1039"/>
      <c r="AC879" s="1045"/>
      <c r="AD879" s="825"/>
      <c r="AF879" s="825"/>
      <c r="AH879" s="825"/>
      <c r="AJ879" s="825"/>
      <c r="AK879" s="825"/>
      <c r="AM879" s="825"/>
      <c r="AO879" s="825"/>
      <c r="AP879" s="825"/>
      <c r="AU879" s="825"/>
      <c r="AW879" s="825"/>
      <c r="AX879" s="825"/>
      <c r="AY879" s="825"/>
      <c r="AZ879" s="825"/>
    </row>
    <row r="880" spans="26:52">
      <c r="Z880" s="1039"/>
      <c r="AC880" s="1045"/>
      <c r="AD880" s="825"/>
      <c r="AF880" s="825"/>
      <c r="AH880" s="825"/>
      <c r="AJ880" s="825"/>
      <c r="AK880" s="825"/>
      <c r="AM880" s="825"/>
      <c r="AO880" s="825"/>
      <c r="AP880" s="825"/>
      <c r="AU880" s="825"/>
      <c r="AW880" s="825"/>
      <c r="AX880" s="825"/>
      <c r="AY880" s="825"/>
      <c r="AZ880" s="825"/>
    </row>
    <row r="881" spans="26:52">
      <c r="Z881" s="1039"/>
      <c r="AC881" s="1045"/>
      <c r="AD881" s="825"/>
      <c r="AF881" s="825"/>
      <c r="AH881" s="825"/>
      <c r="AJ881" s="825"/>
      <c r="AK881" s="825"/>
      <c r="AM881" s="825"/>
      <c r="AO881" s="825"/>
      <c r="AP881" s="825"/>
      <c r="AU881" s="825"/>
      <c r="AW881" s="825"/>
      <c r="AX881" s="825"/>
      <c r="AY881" s="825"/>
      <c r="AZ881" s="825"/>
    </row>
    <row r="882" spans="26:52">
      <c r="Z882" s="1039"/>
      <c r="AC882" s="1045"/>
      <c r="AD882" s="825"/>
      <c r="AF882" s="825"/>
      <c r="AH882" s="825"/>
      <c r="AJ882" s="825"/>
      <c r="AK882" s="825"/>
      <c r="AM882" s="825"/>
      <c r="AO882" s="825"/>
      <c r="AP882" s="825"/>
      <c r="AU882" s="825"/>
      <c r="AW882" s="825"/>
      <c r="AX882" s="825"/>
      <c r="AY882" s="825"/>
      <c r="AZ882" s="825"/>
    </row>
    <row r="883" spans="26:52">
      <c r="Z883" s="1039"/>
      <c r="AC883" s="1045"/>
      <c r="AD883" s="825"/>
      <c r="AF883" s="825"/>
      <c r="AH883" s="825"/>
      <c r="AJ883" s="825"/>
      <c r="AK883" s="825"/>
      <c r="AM883" s="825"/>
      <c r="AO883" s="825"/>
      <c r="AP883" s="825"/>
      <c r="AU883" s="825"/>
      <c r="AW883" s="825"/>
      <c r="AX883" s="825"/>
      <c r="AY883" s="825"/>
      <c r="AZ883" s="825"/>
    </row>
    <row r="884" spans="26:52">
      <c r="Z884" s="1039"/>
      <c r="AC884" s="1045"/>
      <c r="AD884" s="825"/>
      <c r="AF884" s="825"/>
      <c r="AH884" s="825"/>
      <c r="AJ884" s="825"/>
      <c r="AK884" s="825"/>
      <c r="AM884" s="825"/>
      <c r="AO884" s="825"/>
      <c r="AP884" s="825"/>
      <c r="AU884" s="825"/>
      <c r="AW884" s="825"/>
      <c r="AX884" s="825"/>
      <c r="AY884" s="825"/>
      <c r="AZ884" s="825"/>
    </row>
    <row r="885" spans="26:52">
      <c r="Z885" s="1039"/>
      <c r="AC885" s="1045"/>
      <c r="AD885" s="825"/>
      <c r="AF885" s="825"/>
      <c r="AH885" s="825"/>
      <c r="AJ885" s="825"/>
      <c r="AK885" s="825"/>
      <c r="AM885" s="825"/>
      <c r="AO885" s="825"/>
      <c r="AP885" s="825"/>
      <c r="AU885" s="825"/>
      <c r="AW885" s="825"/>
      <c r="AX885" s="825"/>
      <c r="AY885" s="825"/>
      <c r="AZ885" s="825"/>
    </row>
    <row r="886" spans="26:52">
      <c r="Z886" s="1039"/>
      <c r="AC886" s="1045"/>
      <c r="AD886" s="825"/>
      <c r="AF886" s="825"/>
      <c r="AH886" s="825"/>
      <c r="AJ886" s="825"/>
      <c r="AK886" s="825"/>
      <c r="AM886" s="825"/>
      <c r="AO886" s="825"/>
      <c r="AP886" s="825"/>
      <c r="AU886" s="825"/>
      <c r="AW886" s="825"/>
      <c r="AX886" s="825"/>
      <c r="AY886" s="825"/>
      <c r="AZ886" s="825"/>
    </row>
    <row r="887" spans="26:52">
      <c r="Z887" s="1039"/>
      <c r="AC887" s="1045"/>
      <c r="AD887" s="825"/>
      <c r="AF887" s="825"/>
      <c r="AH887" s="825"/>
      <c r="AJ887" s="825"/>
      <c r="AK887" s="825"/>
      <c r="AM887" s="825"/>
      <c r="AO887" s="825"/>
      <c r="AP887" s="825"/>
      <c r="AU887" s="825"/>
      <c r="AW887" s="825"/>
      <c r="AX887" s="825"/>
      <c r="AY887" s="825"/>
      <c r="AZ887" s="825"/>
    </row>
    <row r="888" spans="26:52">
      <c r="Z888" s="1039"/>
      <c r="AC888" s="1045"/>
      <c r="AD888" s="825"/>
      <c r="AF888" s="825"/>
      <c r="AH888" s="825"/>
      <c r="AJ888" s="825"/>
      <c r="AK888" s="825"/>
      <c r="AM888" s="825"/>
      <c r="AO888" s="825"/>
      <c r="AP888" s="825"/>
      <c r="AU888" s="825"/>
      <c r="AW888" s="825"/>
      <c r="AX888" s="825"/>
      <c r="AY888" s="825"/>
      <c r="AZ888" s="825"/>
    </row>
    <row r="889" spans="26:52">
      <c r="Z889" s="1039"/>
      <c r="AC889" s="1045"/>
      <c r="AD889" s="825"/>
      <c r="AF889" s="825"/>
      <c r="AH889" s="825"/>
      <c r="AJ889" s="825"/>
      <c r="AK889" s="825"/>
      <c r="AM889" s="825"/>
      <c r="AO889" s="825"/>
      <c r="AP889" s="825"/>
      <c r="AU889" s="825"/>
      <c r="AW889" s="825"/>
      <c r="AX889" s="825"/>
      <c r="AY889" s="825"/>
      <c r="AZ889" s="825"/>
    </row>
    <row r="890" spans="26:52">
      <c r="Z890" s="1039"/>
      <c r="AC890" s="1045"/>
      <c r="AD890" s="825"/>
      <c r="AF890" s="825"/>
      <c r="AH890" s="825"/>
      <c r="AJ890" s="825"/>
      <c r="AK890" s="825"/>
      <c r="AM890" s="825"/>
      <c r="AO890" s="825"/>
      <c r="AP890" s="825"/>
      <c r="AU890" s="825"/>
      <c r="AW890" s="825"/>
      <c r="AX890" s="825"/>
      <c r="AY890" s="825"/>
      <c r="AZ890" s="825"/>
    </row>
    <row r="891" spans="26:52">
      <c r="Z891" s="1039"/>
      <c r="AC891" s="1045"/>
      <c r="AD891" s="825"/>
      <c r="AF891" s="825"/>
      <c r="AH891" s="825"/>
      <c r="AJ891" s="825"/>
      <c r="AK891" s="825"/>
      <c r="AM891" s="825"/>
      <c r="AO891" s="825"/>
      <c r="AP891" s="825"/>
      <c r="AU891" s="825"/>
      <c r="AW891" s="825"/>
      <c r="AX891" s="825"/>
      <c r="AY891" s="825"/>
      <c r="AZ891" s="825"/>
    </row>
    <row r="892" spans="26:52">
      <c r="Z892" s="1039"/>
      <c r="AC892" s="1045"/>
      <c r="AD892" s="825"/>
      <c r="AF892" s="825"/>
      <c r="AH892" s="825"/>
      <c r="AJ892" s="825"/>
      <c r="AK892" s="825"/>
      <c r="AM892" s="825"/>
      <c r="AO892" s="825"/>
      <c r="AP892" s="825"/>
      <c r="AU892" s="825"/>
      <c r="AW892" s="825"/>
      <c r="AX892" s="825"/>
      <c r="AY892" s="825"/>
      <c r="AZ892" s="825"/>
    </row>
    <row r="893" spans="26:52">
      <c r="Z893" s="1039"/>
      <c r="AC893" s="1045"/>
      <c r="AD893" s="825"/>
      <c r="AF893" s="825"/>
      <c r="AH893" s="825"/>
      <c r="AJ893" s="825"/>
      <c r="AK893" s="825"/>
      <c r="AM893" s="825"/>
      <c r="AO893" s="825"/>
      <c r="AP893" s="825"/>
      <c r="AU893" s="825"/>
      <c r="AW893" s="825"/>
      <c r="AX893" s="825"/>
      <c r="AY893" s="825"/>
      <c r="AZ893" s="825"/>
    </row>
    <row r="894" spans="26:52">
      <c r="Z894" s="1039"/>
      <c r="AC894" s="1045"/>
      <c r="AD894" s="825"/>
      <c r="AF894" s="825"/>
      <c r="AH894" s="825"/>
      <c r="AJ894" s="825"/>
      <c r="AK894" s="825"/>
      <c r="AM894" s="825"/>
      <c r="AO894" s="825"/>
      <c r="AP894" s="825"/>
      <c r="AU894" s="825"/>
      <c r="AW894" s="825"/>
      <c r="AX894" s="825"/>
      <c r="AY894" s="825"/>
      <c r="AZ894" s="825"/>
    </row>
    <row r="895" spans="26:52">
      <c r="Z895" s="1039"/>
      <c r="AC895" s="1045"/>
      <c r="AD895" s="825"/>
      <c r="AF895" s="825"/>
      <c r="AH895" s="825"/>
      <c r="AJ895" s="825"/>
      <c r="AK895" s="825"/>
      <c r="AM895" s="825"/>
      <c r="AO895" s="825"/>
      <c r="AP895" s="825"/>
      <c r="AU895" s="825"/>
      <c r="AW895" s="825"/>
      <c r="AX895" s="825"/>
      <c r="AY895" s="825"/>
      <c r="AZ895" s="825"/>
    </row>
    <row r="896" spans="26:52">
      <c r="Z896" s="1039"/>
      <c r="AC896" s="1045"/>
      <c r="AD896" s="825"/>
      <c r="AF896" s="825"/>
      <c r="AH896" s="825"/>
      <c r="AJ896" s="825"/>
      <c r="AK896" s="825"/>
      <c r="AM896" s="825"/>
      <c r="AO896" s="825"/>
      <c r="AP896" s="825"/>
      <c r="AU896" s="825"/>
      <c r="AW896" s="825"/>
      <c r="AX896" s="825"/>
      <c r="AY896" s="825"/>
      <c r="AZ896" s="825"/>
    </row>
    <row r="897" spans="26:52">
      <c r="Z897" s="1039"/>
      <c r="AC897" s="1045"/>
      <c r="AD897" s="825"/>
      <c r="AF897" s="825"/>
      <c r="AH897" s="825"/>
      <c r="AJ897" s="825"/>
      <c r="AK897" s="825"/>
      <c r="AM897" s="825"/>
      <c r="AO897" s="825"/>
      <c r="AP897" s="825"/>
      <c r="AU897" s="825"/>
      <c r="AW897" s="825"/>
      <c r="AX897" s="825"/>
      <c r="AY897" s="825"/>
      <c r="AZ897" s="825"/>
    </row>
    <row r="898" spans="26:52">
      <c r="Z898" s="1039"/>
      <c r="AC898" s="1045"/>
      <c r="AD898" s="825"/>
      <c r="AF898" s="825"/>
      <c r="AH898" s="825"/>
      <c r="AJ898" s="825"/>
      <c r="AK898" s="825"/>
      <c r="AM898" s="825"/>
      <c r="AO898" s="825"/>
      <c r="AP898" s="825"/>
      <c r="AU898" s="825"/>
      <c r="AW898" s="825"/>
      <c r="AX898" s="825"/>
      <c r="AY898" s="825"/>
      <c r="AZ898" s="825"/>
    </row>
    <row r="899" spans="26:52">
      <c r="Z899" s="1039"/>
      <c r="AC899" s="1045"/>
      <c r="AD899" s="825"/>
      <c r="AF899" s="825"/>
      <c r="AH899" s="825"/>
      <c r="AJ899" s="825"/>
      <c r="AK899" s="825"/>
      <c r="AM899" s="825"/>
      <c r="AO899" s="825"/>
      <c r="AP899" s="825"/>
      <c r="AU899" s="825"/>
      <c r="AW899" s="825"/>
      <c r="AX899" s="825"/>
      <c r="AY899" s="825"/>
      <c r="AZ899" s="825"/>
    </row>
    <row r="900" spans="26:52">
      <c r="Z900" s="1039"/>
      <c r="AC900" s="1045"/>
      <c r="AD900" s="825"/>
      <c r="AF900" s="825"/>
      <c r="AH900" s="825"/>
      <c r="AJ900" s="825"/>
      <c r="AK900" s="825"/>
      <c r="AM900" s="825"/>
      <c r="AO900" s="825"/>
      <c r="AP900" s="825"/>
      <c r="AU900" s="825"/>
      <c r="AW900" s="825"/>
      <c r="AX900" s="825"/>
      <c r="AY900" s="825"/>
      <c r="AZ900" s="825"/>
    </row>
    <row r="901" spans="26:52">
      <c r="Z901" s="1039"/>
      <c r="AC901" s="1045"/>
      <c r="AD901" s="825"/>
      <c r="AF901" s="825"/>
      <c r="AH901" s="825"/>
      <c r="AJ901" s="825"/>
      <c r="AK901" s="825"/>
      <c r="AM901" s="825"/>
      <c r="AO901" s="825"/>
      <c r="AP901" s="825"/>
      <c r="AU901" s="825"/>
      <c r="AW901" s="825"/>
      <c r="AX901" s="825"/>
      <c r="AY901" s="825"/>
      <c r="AZ901" s="825"/>
    </row>
    <row r="902" spans="26:52">
      <c r="Z902" s="1039"/>
      <c r="AC902" s="1045"/>
      <c r="AD902" s="825"/>
      <c r="AF902" s="825"/>
      <c r="AH902" s="825"/>
      <c r="AJ902" s="825"/>
      <c r="AK902" s="825"/>
      <c r="AM902" s="825"/>
      <c r="AO902" s="825"/>
      <c r="AP902" s="825"/>
      <c r="AU902" s="825"/>
      <c r="AW902" s="825"/>
      <c r="AX902" s="825"/>
      <c r="AY902" s="825"/>
      <c r="AZ902" s="825"/>
    </row>
    <row r="903" spans="26:52">
      <c r="Z903" s="1039"/>
      <c r="AC903" s="1045"/>
      <c r="AD903" s="825"/>
      <c r="AF903" s="825"/>
      <c r="AH903" s="825"/>
      <c r="AJ903" s="825"/>
      <c r="AK903" s="825"/>
      <c r="AM903" s="825"/>
      <c r="AO903" s="825"/>
      <c r="AP903" s="825"/>
      <c r="AU903" s="825"/>
      <c r="AW903" s="825"/>
      <c r="AX903" s="825"/>
      <c r="AY903" s="825"/>
      <c r="AZ903" s="825"/>
    </row>
    <row r="904" spans="26:52">
      <c r="Z904" s="1039"/>
      <c r="AC904" s="1045"/>
      <c r="AD904" s="825"/>
      <c r="AF904" s="825"/>
      <c r="AH904" s="825"/>
      <c r="AJ904" s="825"/>
      <c r="AK904" s="825"/>
      <c r="AM904" s="825"/>
      <c r="AO904" s="825"/>
      <c r="AP904" s="825"/>
      <c r="AU904" s="825"/>
      <c r="AW904" s="825"/>
      <c r="AX904" s="825"/>
      <c r="AY904" s="825"/>
      <c r="AZ904" s="825"/>
    </row>
    <row r="905" spans="26:52">
      <c r="Z905" s="1039"/>
      <c r="AC905" s="1045"/>
      <c r="AD905" s="825"/>
      <c r="AF905" s="825"/>
      <c r="AH905" s="825"/>
      <c r="AJ905" s="825"/>
      <c r="AK905" s="825"/>
      <c r="AM905" s="825"/>
      <c r="AO905" s="825"/>
      <c r="AP905" s="825"/>
      <c r="AU905" s="825"/>
      <c r="AW905" s="825"/>
      <c r="AX905" s="825"/>
      <c r="AY905" s="825"/>
      <c r="AZ905" s="825"/>
    </row>
    <row r="906" spans="26:52">
      <c r="Z906" s="1039"/>
      <c r="AC906" s="1045"/>
      <c r="AD906" s="825"/>
      <c r="AF906" s="825"/>
      <c r="AH906" s="825"/>
      <c r="AJ906" s="825"/>
      <c r="AK906" s="825"/>
      <c r="AM906" s="825"/>
      <c r="AO906" s="825"/>
      <c r="AP906" s="825"/>
      <c r="AU906" s="825"/>
      <c r="AW906" s="825"/>
      <c r="AX906" s="825"/>
      <c r="AY906" s="825"/>
      <c r="AZ906" s="825"/>
    </row>
    <row r="907" spans="26:52">
      <c r="Z907" s="1039"/>
      <c r="AC907" s="1045"/>
      <c r="AD907" s="825"/>
      <c r="AF907" s="825"/>
      <c r="AH907" s="825"/>
      <c r="AJ907" s="825"/>
      <c r="AK907" s="825"/>
      <c r="AM907" s="825"/>
      <c r="AO907" s="825"/>
      <c r="AP907" s="825"/>
      <c r="AU907" s="825"/>
      <c r="AW907" s="825"/>
      <c r="AX907" s="825"/>
      <c r="AY907" s="825"/>
      <c r="AZ907" s="825"/>
    </row>
    <row r="908" spans="26:52">
      <c r="Z908" s="1039"/>
      <c r="AC908" s="1045"/>
      <c r="AD908" s="825"/>
      <c r="AF908" s="825"/>
      <c r="AH908" s="825"/>
      <c r="AJ908" s="825"/>
      <c r="AK908" s="825"/>
      <c r="AM908" s="825"/>
      <c r="AO908" s="825"/>
      <c r="AP908" s="825"/>
      <c r="AU908" s="825"/>
      <c r="AW908" s="825"/>
      <c r="AX908" s="825"/>
      <c r="AY908" s="825"/>
      <c r="AZ908" s="825"/>
    </row>
    <row r="909" spans="26:52">
      <c r="Z909" s="1039"/>
      <c r="AC909" s="1045"/>
      <c r="AD909" s="825"/>
      <c r="AF909" s="825"/>
      <c r="AH909" s="825"/>
      <c r="AJ909" s="825"/>
      <c r="AK909" s="825"/>
      <c r="AM909" s="825"/>
      <c r="AO909" s="825"/>
      <c r="AP909" s="825"/>
      <c r="AU909" s="825"/>
      <c r="AW909" s="825"/>
      <c r="AX909" s="825"/>
      <c r="AY909" s="825"/>
      <c r="AZ909" s="825"/>
    </row>
    <row r="910" spans="26:52">
      <c r="Z910" s="1039"/>
      <c r="AC910" s="1045"/>
      <c r="AD910" s="825"/>
      <c r="AF910" s="825"/>
      <c r="AH910" s="825"/>
      <c r="AJ910" s="825"/>
      <c r="AK910" s="825"/>
      <c r="AM910" s="825"/>
      <c r="AO910" s="825"/>
      <c r="AP910" s="825"/>
      <c r="AU910" s="825"/>
      <c r="AW910" s="825"/>
      <c r="AX910" s="825"/>
      <c r="AY910" s="825"/>
      <c r="AZ910" s="825"/>
    </row>
    <row r="911" spans="26:52">
      <c r="Z911" s="1039"/>
      <c r="AC911" s="1045"/>
      <c r="AD911" s="825"/>
      <c r="AF911" s="825"/>
      <c r="AH911" s="825"/>
      <c r="AJ911" s="825"/>
      <c r="AK911" s="825"/>
      <c r="AM911" s="825"/>
      <c r="AO911" s="825"/>
      <c r="AP911" s="825"/>
      <c r="AU911" s="825"/>
      <c r="AW911" s="825"/>
      <c r="AX911" s="825"/>
      <c r="AY911" s="825"/>
      <c r="AZ911" s="825"/>
    </row>
    <row r="912" spans="26:52">
      <c r="Z912" s="1039"/>
      <c r="AC912" s="1045"/>
      <c r="AD912" s="825"/>
      <c r="AF912" s="825"/>
      <c r="AH912" s="825"/>
      <c r="AJ912" s="825"/>
      <c r="AK912" s="825"/>
      <c r="AM912" s="825"/>
      <c r="AO912" s="825"/>
      <c r="AP912" s="825"/>
      <c r="AU912" s="825"/>
      <c r="AW912" s="825"/>
      <c r="AX912" s="825"/>
      <c r="AY912" s="825"/>
      <c r="AZ912" s="825"/>
    </row>
    <row r="913" spans="26:52">
      <c r="Z913" s="1039"/>
      <c r="AC913" s="1045"/>
      <c r="AD913" s="825"/>
      <c r="AF913" s="825"/>
      <c r="AH913" s="825"/>
      <c r="AJ913" s="825"/>
      <c r="AK913" s="825"/>
      <c r="AM913" s="825"/>
      <c r="AO913" s="825"/>
      <c r="AP913" s="825"/>
      <c r="AU913" s="825"/>
      <c r="AW913" s="825"/>
      <c r="AX913" s="825"/>
      <c r="AY913" s="825"/>
      <c r="AZ913" s="825"/>
    </row>
    <row r="914" spans="26:52">
      <c r="Z914" s="1039"/>
      <c r="AC914" s="1045"/>
      <c r="AD914" s="825"/>
      <c r="AF914" s="825"/>
      <c r="AH914" s="825"/>
      <c r="AJ914" s="825"/>
      <c r="AK914" s="825"/>
      <c r="AM914" s="825"/>
      <c r="AO914" s="825"/>
      <c r="AP914" s="825"/>
      <c r="AU914" s="825"/>
      <c r="AW914" s="825"/>
      <c r="AX914" s="825"/>
      <c r="AY914" s="825"/>
      <c r="AZ914" s="825"/>
    </row>
    <row r="915" spans="26:52">
      <c r="Z915" s="1039"/>
      <c r="AC915" s="1045"/>
      <c r="AD915" s="825"/>
      <c r="AF915" s="825"/>
      <c r="AH915" s="825"/>
      <c r="AJ915" s="825"/>
      <c r="AK915" s="825"/>
      <c r="AM915" s="825"/>
      <c r="AO915" s="825"/>
      <c r="AP915" s="825"/>
      <c r="AU915" s="825"/>
      <c r="AW915" s="825"/>
      <c r="AX915" s="825"/>
      <c r="AY915" s="825"/>
      <c r="AZ915" s="825"/>
    </row>
    <row r="916" spans="26:52">
      <c r="Z916" s="1039"/>
      <c r="AC916" s="1045"/>
      <c r="AD916" s="825"/>
      <c r="AF916" s="825"/>
      <c r="AH916" s="825"/>
      <c r="AJ916" s="825"/>
      <c r="AK916" s="825"/>
      <c r="AM916" s="825"/>
      <c r="AO916" s="825"/>
      <c r="AP916" s="825"/>
      <c r="AU916" s="825"/>
      <c r="AW916" s="825"/>
      <c r="AX916" s="825"/>
      <c r="AY916" s="825"/>
      <c r="AZ916" s="825"/>
    </row>
    <row r="917" spans="26:52">
      <c r="Z917" s="1039"/>
      <c r="AC917" s="1045"/>
      <c r="AD917" s="825"/>
      <c r="AF917" s="825"/>
      <c r="AH917" s="825"/>
      <c r="AJ917" s="825"/>
      <c r="AK917" s="825"/>
      <c r="AM917" s="825"/>
      <c r="AO917" s="825"/>
      <c r="AP917" s="825"/>
      <c r="AU917" s="825"/>
      <c r="AW917" s="825"/>
      <c r="AX917" s="825"/>
      <c r="AY917" s="825"/>
      <c r="AZ917" s="825"/>
    </row>
    <row r="918" spans="26:52">
      <c r="Z918" s="1039"/>
      <c r="AC918" s="1045"/>
      <c r="AD918" s="825"/>
      <c r="AF918" s="825"/>
      <c r="AH918" s="825"/>
      <c r="AJ918" s="825"/>
      <c r="AK918" s="825"/>
      <c r="AM918" s="825"/>
      <c r="AO918" s="825"/>
      <c r="AP918" s="825"/>
      <c r="AU918" s="825"/>
      <c r="AW918" s="825"/>
      <c r="AX918" s="825"/>
      <c r="AY918" s="825"/>
      <c r="AZ918" s="825"/>
    </row>
    <row r="919" spans="26:52">
      <c r="Z919" s="1039"/>
      <c r="AC919" s="1045"/>
      <c r="AD919" s="825"/>
      <c r="AF919" s="825"/>
      <c r="AH919" s="825"/>
      <c r="AJ919" s="825"/>
      <c r="AK919" s="825"/>
      <c r="AM919" s="825"/>
      <c r="AO919" s="825"/>
      <c r="AP919" s="825"/>
      <c r="AU919" s="825"/>
      <c r="AW919" s="825"/>
      <c r="AX919" s="825"/>
      <c r="AY919" s="825"/>
      <c r="AZ919" s="825"/>
    </row>
    <row r="920" spans="26:52">
      <c r="Z920" s="1039"/>
      <c r="AC920" s="1045"/>
      <c r="AD920" s="825"/>
      <c r="AF920" s="825"/>
      <c r="AH920" s="825"/>
      <c r="AJ920" s="825"/>
      <c r="AK920" s="825"/>
      <c r="AM920" s="825"/>
      <c r="AO920" s="825"/>
      <c r="AP920" s="825"/>
      <c r="AU920" s="825"/>
      <c r="AW920" s="825"/>
      <c r="AX920" s="825"/>
      <c r="AY920" s="825"/>
      <c r="AZ920" s="825"/>
    </row>
    <row r="921" spans="26:52">
      <c r="Z921" s="1039"/>
      <c r="AC921" s="1045"/>
      <c r="AD921" s="825"/>
      <c r="AF921" s="825"/>
      <c r="AH921" s="825"/>
      <c r="AJ921" s="825"/>
      <c r="AK921" s="825"/>
      <c r="AM921" s="825"/>
      <c r="AO921" s="825"/>
      <c r="AP921" s="825"/>
      <c r="AU921" s="825"/>
      <c r="AW921" s="825"/>
      <c r="AX921" s="825"/>
      <c r="AY921" s="825"/>
      <c r="AZ921" s="825"/>
    </row>
    <row r="922" spans="26:52">
      <c r="Z922" s="1039"/>
      <c r="AC922" s="1045"/>
      <c r="AD922" s="825"/>
      <c r="AF922" s="825"/>
      <c r="AH922" s="825"/>
      <c r="AJ922" s="825"/>
      <c r="AK922" s="825"/>
      <c r="AM922" s="825"/>
      <c r="AO922" s="825"/>
      <c r="AP922" s="825"/>
      <c r="AU922" s="825"/>
      <c r="AW922" s="825"/>
      <c r="AX922" s="825"/>
      <c r="AY922" s="825"/>
      <c r="AZ922" s="825"/>
    </row>
    <row r="923" spans="26:52">
      <c r="Z923" s="1039"/>
      <c r="AC923" s="1045"/>
      <c r="AD923" s="825"/>
      <c r="AF923" s="825"/>
      <c r="AH923" s="825"/>
      <c r="AJ923" s="825"/>
      <c r="AK923" s="825"/>
      <c r="AM923" s="825"/>
      <c r="AO923" s="825"/>
      <c r="AP923" s="825"/>
      <c r="AU923" s="825"/>
      <c r="AW923" s="825"/>
      <c r="AX923" s="825"/>
      <c r="AY923" s="825"/>
      <c r="AZ923" s="825"/>
    </row>
    <row r="924" spans="26:52">
      <c r="Z924" s="1039"/>
      <c r="AC924" s="1045"/>
      <c r="AD924" s="825"/>
      <c r="AF924" s="825"/>
      <c r="AH924" s="825"/>
      <c r="AJ924" s="825"/>
      <c r="AK924" s="825"/>
      <c r="AM924" s="825"/>
      <c r="AO924" s="825"/>
      <c r="AP924" s="825"/>
      <c r="AU924" s="825"/>
      <c r="AW924" s="825"/>
      <c r="AX924" s="825"/>
      <c r="AY924" s="825"/>
      <c r="AZ924" s="825"/>
    </row>
    <row r="925" spans="26:52">
      <c r="Z925" s="1039"/>
      <c r="AC925" s="1045"/>
      <c r="AD925" s="825"/>
      <c r="AF925" s="825"/>
      <c r="AH925" s="825"/>
      <c r="AJ925" s="825"/>
      <c r="AK925" s="825"/>
      <c r="AM925" s="825"/>
      <c r="AO925" s="825"/>
      <c r="AP925" s="825"/>
      <c r="AU925" s="825"/>
      <c r="AW925" s="825"/>
      <c r="AX925" s="825"/>
      <c r="AY925" s="825"/>
      <c r="AZ925" s="825"/>
    </row>
    <row r="926" spans="26:52">
      <c r="Z926" s="1039"/>
      <c r="AC926" s="1045"/>
      <c r="AD926" s="825"/>
      <c r="AF926" s="825"/>
      <c r="AH926" s="825"/>
      <c r="AJ926" s="825"/>
      <c r="AK926" s="825"/>
      <c r="AM926" s="825"/>
      <c r="AO926" s="825"/>
      <c r="AP926" s="825"/>
      <c r="AU926" s="825"/>
      <c r="AW926" s="825"/>
      <c r="AX926" s="825"/>
      <c r="AY926" s="825"/>
      <c r="AZ926" s="825"/>
    </row>
    <row r="927" spans="26:52">
      <c r="Z927" s="1039"/>
      <c r="AC927" s="1045"/>
      <c r="AD927" s="825"/>
      <c r="AF927" s="825"/>
      <c r="AH927" s="825"/>
      <c r="AJ927" s="825"/>
      <c r="AK927" s="825"/>
      <c r="AM927" s="825"/>
      <c r="AO927" s="825"/>
      <c r="AP927" s="825"/>
      <c r="AU927" s="825"/>
      <c r="AW927" s="825"/>
      <c r="AX927" s="825"/>
      <c r="AY927" s="825"/>
      <c r="AZ927" s="825"/>
    </row>
    <row r="928" spans="26:52">
      <c r="Z928" s="1039"/>
      <c r="AC928" s="1045"/>
      <c r="AD928" s="825"/>
      <c r="AF928" s="825"/>
      <c r="AH928" s="825"/>
      <c r="AJ928" s="825"/>
      <c r="AK928" s="825"/>
      <c r="AM928" s="825"/>
      <c r="AO928" s="825"/>
      <c r="AP928" s="825"/>
      <c r="AU928" s="825"/>
      <c r="AW928" s="825"/>
      <c r="AX928" s="825"/>
      <c r="AY928" s="825"/>
      <c r="AZ928" s="825"/>
    </row>
    <row r="929" spans="26:52">
      <c r="Z929" s="1039"/>
      <c r="AC929" s="1045"/>
      <c r="AD929" s="825"/>
      <c r="AF929" s="825"/>
      <c r="AH929" s="825"/>
      <c r="AJ929" s="825"/>
      <c r="AK929" s="825"/>
      <c r="AM929" s="825"/>
      <c r="AO929" s="825"/>
      <c r="AP929" s="825"/>
      <c r="AU929" s="825"/>
      <c r="AW929" s="825"/>
      <c r="AX929" s="825"/>
      <c r="AY929" s="825"/>
      <c r="AZ929" s="825"/>
    </row>
    <row r="930" spans="26:52">
      <c r="Z930" s="1039"/>
      <c r="AC930" s="1045"/>
      <c r="AD930" s="825"/>
      <c r="AF930" s="825"/>
      <c r="AH930" s="825"/>
      <c r="AJ930" s="825"/>
      <c r="AK930" s="825"/>
      <c r="AM930" s="825"/>
      <c r="AO930" s="825"/>
      <c r="AP930" s="825"/>
      <c r="AU930" s="825"/>
      <c r="AW930" s="825"/>
      <c r="AX930" s="825"/>
      <c r="AY930" s="825"/>
      <c r="AZ930" s="825"/>
    </row>
    <row r="931" spans="26:52">
      <c r="Z931" s="1039"/>
      <c r="AC931" s="1045"/>
      <c r="AD931" s="825"/>
      <c r="AF931" s="825"/>
      <c r="AH931" s="825"/>
      <c r="AJ931" s="825"/>
      <c r="AK931" s="825"/>
      <c r="AM931" s="825"/>
      <c r="AO931" s="825"/>
      <c r="AP931" s="825"/>
      <c r="AU931" s="825"/>
      <c r="AW931" s="825"/>
      <c r="AX931" s="825"/>
      <c r="AY931" s="825"/>
      <c r="AZ931" s="825"/>
    </row>
    <row r="932" spans="26:52">
      <c r="Z932" s="1039"/>
      <c r="AC932" s="1045"/>
      <c r="AD932" s="825"/>
      <c r="AF932" s="825"/>
      <c r="AH932" s="825"/>
      <c r="AJ932" s="825"/>
      <c r="AK932" s="825"/>
      <c r="AM932" s="825"/>
      <c r="AO932" s="825"/>
      <c r="AP932" s="825"/>
      <c r="AU932" s="825"/>
      <c r="AW932" s="825"/>
      <c r="AX932" s="825"/>
      <c r="AY932" s="825"/>
      <c r="AZ932" s="825"/>
    </row>
    <row r="933" spans="26:52">
      <c r="Z933" s="1039"/>
      <c r="AC933" s="1045"/>
      <c r="AD933" s="825"/>
      <c r="AF933" s="825"/>
      <c r="AH933" s="825"/>
      <c r="AJ933" s="825"/>
      <c r="AK933" s="825"/>
      <c r="AM933" s="825"/>
      <c r="AO933" s="825"/>
      <c r="AP933" s="825"/>
      <c r="AU933" s="825"/>
      <c r="AW933" s="825"/>
      <c r="AX933" s="825"/>
      <c r="AY933" s="825"/>
      <c r="AZ933" s="825"/>
    </row>
    <row r="934" spans="26:52">
      <c r="Z934" s="1039"/>
      <c r="AC934" s="1045"/>
      <c r="AD934" s="825"/>
      <c r="AF934" s="825"/>
      <c r="AH934" s="825"/>
      <c r="AJ934" s="825"/>
      <c r="AK934" s="825"/>
      <c r="AM934" s="825"/>
      <c r="AO934" s="825"/>
      <c r="AP934" s="825"/>
      <c r="AU934" s="825"/>
      <c r="AW934" s="825"/>
      <c r="AX934" s="825"/>
      <c r="AY934" s="825"/>
      <c r="AZ934" s="825"/>
    </row>
    <row r="935" spans="26:52">
      <c r="Z935" s="1039"/>
      <c r="AC935" s="1045"/>
      <c r="AD935" s="825"/>
      <c r="AF935" s="825"/>
      <c r="AH935" s="825"/>
      <c r="AJ935" s="825"/>
      <c r="AK935" s="825"/>
      <c r="AM935" s="825"/>
      <c r="AO935" s="825"/>
      <c r="AP935" s="825"/>
      <c r="AU935" s="825"/>
      <c r="AW935" s="825"/>
      <c r="AX935" s="825"/>
      <c r="AY935" s="825"/>
      <c r="AZ935" s="825"/>
    </row>
    <row r="936" spans="26:52">
      <c r="Z936" s="1039"/>
      <c r="AC936" s="1045"/>
      <c r="AD936" s="825"/>
      <c r="AF936" s="825"/>
      <c r="AH936" s="825"/>
      <c r="AJ936" s="825"/>
      <c r="AK936" s="825"/>
      <c r="AM936" s="825"/>
      <c r="AO936" s="825"/>
      <c r="AP936" s="825"/>
      <c r="AU936" s="825"/>
      <c r="AW936" s="825"/>
      <c r="AX936" s="825"/>
      <c r="AY936" s="825"/>
      <c r="AZ936" s="825"/>
    </row>
    <row r="937" spans="26:52">
      <c r="Z937" s="1039"/>
      <c r="AC937" s="1045"/>
      <c r="AD937" s="825"/>
      <c r="AF937" s="825"/>
      <c r="AH937" s="825"/>
      <c r="AJ937" s="825"/>
      <c r="AK937" s="825"/>
      <c r="AM937" s="825"/>
      <c r="AO937" s="825"/>
      <c r="AP937" s="825"/>
      <c r="AU937" s="825"/>
      <c r="AW937" s="825"/>
      <c r="AX937" s="825"/>
      <c r="AY937" s="825"/>
      <c r="AZ937" s="825"/>
    </row>
    <row r="938" spans="26:52">
      <c r="Z938" s="1039"/>
      <c r="AC938" s="1045"/>
      <c r="AD938" s="825"/>
      <c r="AF938" s="825"/>
      <c r="AH938" s="825"/>
      <c r="AJ938" s="825"/>
      <c r="AK938" s="825"/>
      <c r="AM938" s="825"/>
      <c r="AO938" s="825"/>
      <c r="AP938" s="825"/>
      <c r="AU938" s="825"/>
      <c r="AW938" s="825"/>
      <c r="AX938" s="825"/>
      <c r="AY938" s="825"/>
      <c r="AZ938" s="825"/>
    </row>
    <row r="939" spans="26:52">
      <c r="Z939" s="1039"/>
      <c r="AC939" s="1045"/>
      <c r="AD939" s="825"/>
      <c r="AF939" s="825"/>
      <c r="AH939" s="825"/>
      <c r="AJ939" s="825"/>
      <c r="AK939" s="825"/>
      <c r="AM939" s="825"/>
      <c r="AO939" s="825"/>
      <c r="AP939" s="825"/>
      <c r="AU939" s="825"/>
      <c r="AW939" s="825"/>
      <c r="AX939" s="825"/>
      <c r="AY939" s="825"/>
      <c r="AZ939" s="825"/>
    </row>
    <row r="940" spans="26:52">
      <c r="Z940" s="1039"/>
      <c r="AC940" s="1045"/>
      <c r="AD940" s="825"/>
      <c r="AF940" s="825"/>
      <c r="AH940" s="825"/>
      <c r="AJ940" s="825"/>
      <c r="AK940" s="825"/>
      <c r="AM940" s="825"/>
      <c r="AO940" s="825"/>
      <c r="AP940" s="825"/>
      <c r="AU940" s="825"/>
      <c r="AW940" s="825"/>
      <c r="AX940" s="825"/>
      <c r="AY940" s="825"/>
      <c r="AZ940" s="825"/>
    </row>
    <row r="941" spans="26:52">
      <c r="Z941" s="1039"/>
      <c r="AC941" s="1045"/>
      <c r="AD941" s="825"/>
      <c r="AF941" s="825"/>
      <c r="AH941" s="825"/>
      <c r="AJ941" s="825"/>
      <c r="AK941" s="825"/>
      <c r="AM941" s="825"/>
      <c r="AO941" s="825"/>
      <c r="AP941" s="825"/>
      <c r="AU941" s="825"/>
      <c r="AW941" s="825"/>
      <c r="AX941" s="825"/>
      <c r="AY941" s="825"/>
      <c r="AZ941" s="825"/>
    </row>
    <row r="942" spans="26:52">
      <c r="Z942" s="1039"/>
      <c r="AC942" s="1045"/>
      <c r="AD942" s="825"/>
      <c r="AF942" s="825"/>
      <c r="AH942" s="825"/>
      <c r="AJ942" s="825"/>
      <c r="AK942" s="825"/>
      <c r="AM942" s="825"/>
      <c r="AO942" s="825"/>
      <c r="AP942" s="825"/>
      <c r="AU942" s="825"/>
      <c r="AW942" s="825"/>
      <c r="AX942" s="825"/>
      <c r="AY942" s="825"/>
      <c r="AZ942" s="825"/>
    </row>
    <row r="943" spans="26:52">
      <c r="Z943" s="1039"/>
      <c r="AC943" s="1045"/>
      <c r="AD943" s="825"/>
      <c r="AF943" s="825"/>
      <c r="AH943" s="825"/>
      <c r="AJ943" s="825"/>
      <c r="AK943" s="825"/>
      <c r="AM943" s="825"/>
      <c r="AO943" s="825"/>
      <c r="AP943" s="825"/>
      <c r="AU943" s="825"/>
      <c r="AW943" s="825"/>
      <c r="AX943" s="825"/>
      <c r="AY943" s="825"/>
      <c r="AZ943" s="825"/>
    </row>
    <row r="944" spans="26:52">
      <c r="Z944" s="1039"/>
      <c r="AC944" s="1045"/>
      <c r="AD944" s="825"/>
      <c r="AF944" s="825"/>
      <c r="AH944" s="825"/>
      <c r="AJ944" s="825"/>
      <c r="AK944" s="825"/>
      <c r="AM944" s="825"/>
      <c r="AO944" s="825"/>
      <c r="AP944" s="825"/>
      <c r="AU944" s="825"/>
      <c r="AW944" s="825"/>
      <c r="AX944" s="825"/>
      <c r="AY944" s="825"/>
      <c r="AZ944" s="825"/>
    </row>
    <row r="945" spans="26:52">
      <c r="Z945" s="1039"/>
      <c r="AC945" s="1045"/>
      <c r="AD945" s="825"/>
      <c r="AF945" s="825"/>
      <c r="AH945" s="825"/>
      <c r="AJ945" s="825"/>
      <c r="AK945" s="825"/>
      <c r="AM945" s="825"/>
      <c r="AO945" s="825"/>
      <c r="AP945" s="825"/>
      <c r="AU945" s="825"/>
      <c r="AW945" s="825"/>
      <c r="AX945" s="825"/>
      <c r="AY945" s="825"/>
      <c r="AZ945" s="825"/>
    </row>
    <row r="946" spans="26:52">
      <c r="Z946" s="1039"/>
      <c r="AC946" s="1045"/>
      <c r="AD946" s="825"/>
      <c r="AF946" s="825"/>
      <c r="AH946" s="825"/>
      <c r="AJ946" s="825"/>
      <c r="AK946" s="825"/>
      <c r="AM946" s="825"/>
      <c r="AO946" s="825"/>
      <c r="AP946" s="825"/>
      <c r="AU946" s="825"/>
      <c r="AW946" s="825"/>
      <c r="AX946" s="825"/>
      <c r="AY946" s="825"/>
      <c r="AZ946" s="825"/>
    </row>
    <row r="947" spans="26:52">
      <c r="Z947" s="1039"/>
      <c r="AC947" s="1045"/>
      <c r="AD947" s="825"/>
      <c r="AF947" s="825"/>
      <c r="AH947" s="825"/>
      <c r="AJ947" s="825"/>
      <c r="AK947" s="825"/>
      <c r="AM947" s="825"/>
      <c r="AO947" s="825"/>
      <c r="AP947" s="825"/>
      <c r="AU947" s="825"/>
      <c r="AW947" s="825"/>
      <c r="AX947" s="825"/>
      <c r="AY947" s="825"/>
      <c r="AZ947" s="825"/>
    </row>
    <row r="948" spans="26:52">
      <c r="Z948" s="1039"/>
      <c r="AC948" s="1045"/>
      <c r="AD948" s="825"/>
      <c r="AF948" s="825"/>
      <c r="AH948" s="825"/>
      <c r="AJ948" s="825"/>
      <c r="AK948" s="825"/>
      <c r="AM948" s="825"/>
      <c r="AO948" s="825"/>
      <c r="AP948" s="825"/>
      <c r="AU948" s="825"/>
      <c r="AW948" s="825"/>
      <c r="AX948" s="825"/>
      <c r="AY948" s="825"/>
      <c r="AZ948" s="825"/>
    </row>
    <row r="949" spans="26:52">
      <c r="Z949" s="1039"/>
      <c r="AC949" s="1045"/>
      <c r="AD949" s="825"/>
      <c r="AF949" s="825"/>
      <c r="AH949" s="825"/>
      <c r="AJ949" s="825"/>
      <c r="AK949" s="825"/>
      <c r="AM949" s="825"/>
      <c r="AO949" s="825"/>
      <c r="AP949" s="825"/>
      <c r="AU949" s="825"/>
      <c r="AW949" s="825"/>
      <c r="AX949" s="825"/>
      <c r="AY949" s="825"/>
      <c r="AZ949" s="825"/>
    </row>
    <row r="950" spans="26:52">
      <c r="Z950" s="1039"/>
      <c r="AC950" s="1045"/>
      <c r="AD950" s="825"/>
      <c r="AF950" s="825"/>
      <c r="AH950" s="825"/>
      <c r="AJ950" s="825"/>
      <c r="AK950" s="825"/>
      <c r="AM950" s="825"/>
      <c r="AO950" s="825"/>
      <c r="AP950" s="825"/>
      <c r="AU950" s="825"/>
      <c r="AW950" s="825"/>
      <c r="AX950" s="825"/>
      <c r="AY950" s="825"/>
      <c r="AZ950" s="825"/>
    </row>
    <row r="951" spans="26:52">
      <c r="Z951" s="1039"/>
      <c r="AC951" s="1045"/>
      <c r="AD951" s="825"/>
      <c r="AF951" s="825"/>
      <c r="AH951" s="825"/>
      <c r="AJ951" s="825"/>
      <c r="AK951" s="825"/>
      <c r="AM951" s="825"/>
      <c r="AO951" s="825"/>
      <c r="AP951" s="825"/>
      <c r="AU951" s="825"/>
      <c r="AW951" s="825"/>
      <c r="AX951" s="825"/>
      <c r="AY951" s="825"/>
      <c r="AZ951" s="825"/>
    </row>
    <row r="952" spans="26:52">
      <c r="Z952" s="1039"/>
      <c r="AC952" s="1045"/>
      <c r="AD952" s="825"/>
      <c r="AF952" s="825"/>
      <c r="AH952" s="825"/>
      <c r="AJ952" s="825"/>
      <c r="AK952" s="825"/>
      <c r="AM952" s="825"/>
      <c r="AO952" s="825"/>
      <c r="AP952" s="825"/>
      <c r="AU952" s="825"/>
      <c r="AW952" s="825"/>
      <c r="AX952" s="825"/>
      <c r="AY952" s="825"/>
      <c r="AZ952" s="825"/>
    </row>
    <row r="953" spans="26:52">
      <c r="Z953" s="1039"/>
      <c r="AC953" s="1045"/>
      <c r="AD953" s="825"/>
      <c r="AF953" s="825"/>
      <c r="AH953" s="825"/>
      <c r="AJ953" s="825"/>
      <c r="AK953" s="825"/>
      <c r="AM953" s="825"/>
      <c r="AO953" s="825"/>
      <c r="AP953" s="825"/>
      <c r="AU953" s="825"/>
      <c r="AW953" s="825"/>
      <c r="AX953" s="825"/>
      <c r="AY953" s="825"/>
      <c r="AZ953" s="825"/>
    </row>
    <row r="954" spans="26:52">
      <c r="Z954" s="1039"/>
      <c r="AC954" s="1045"/>
      <c r="AD954" s="825"/>
      <c r="AF954" s="825"/>
      <c r="AH954" s="825"/>
      <c r="AJ954" s="825"/>
      <c r="AK954" s="825"/>
      <c r="AM954" s="825"/>
      <c r="AO954" s="825"/>
      <c r="AP954" s="825"/>
      <c r="AU954" s="825"/>
      <c r="AW954" s="825"/>
      <c r="AX954" s="825"/>
      <c r="AY954" s="825"/>
      <c r="AZ954" s="825"/>
    </row>
    <row r="955" spans="26:52">
      <c r="Z955" s="1039"/>
      <c r="AC955" s="1045"/>
      <c r="AD955" s="825"/>
      <c r="AF955" s="825"/>
      <c r="AH955" s="825"/>
      <c r="AJ955" s="825"/>
      <c r="AK955" s="825"/>
      <c r="AM955" s="825"/>
      <c r="AO955" s="825"/>
      <c r="AP955" s="825"/>
      <c r="AU955" s="825"/>
      <c r="AW955" s="825"/>
      <c r="AX955" s="825"/>
      <c r="AY955" s="825"/>
      <c r="AZ955" s="825"/>
    </row>
    <row r="956" spans="26:52">
      <c r="Z956" s="1039"/>
      <c r="AC956" s="1045"/>
      <c r="AD956" s="825"/>
      <c r="AF956" s="825"/>
      <c r="AH956" s="825"/>
      <c r="AJ956" s="825"/>
      <c r="AK956" s="825"/>
      <c r="AM956" s="825"/>
      <c r="AO956" s="825"/>
      <c r="AP956" s="825"/>
      <c r="AU956" s="825"/>
      <c r="AW956" s="825"/>
      <c r="AX956" s="825"/>
      <c r="AY956" s="825"/>
      <c r="AZ956" s="825"/>
    </row>
    <row r="957" spans="26:52">
      <c r="Z957" s="1039"/>
      <c r="AC957" s="1045"/>
      <c r="AD957" s="825"/>
      <c r="AF957" s="825"/>
      <c r="AH957" s="825"/>
      <c r="AJ957" s="825"/>
      <c r="AK957" s="825"/>
      <c r="AM957" s="825"/>
      <c r="AO957" s="825"/>
      <c r="AP957" s="825"/>
      <c r="AU957" s="825"/>
      <c r="AW957" s="825"/>
      <c r="AX957" s="825"/>
      <c r="AY957" s="825"/>
      <c r="AZ957" s="825"/>
    </row>
    <row r="958" spans="26:52">
      <c r="Z958" s="1039"/>
      <c r="AC958" s="1045"/>
      <c r="AD958" s="825"/>
      <c r="AF958" s="825"/>
      <c r="AH958" s="825"/>
      <c r="AJ958" s="825"/>
      <c r="AK958" s="825"/>
      <c r="AM958" s="825"/>
      <c r="AO958" s="825"/>
      <c r="AP958" s="825"/>
      <c r="AU958" s="825"/>
      <c r="AW958" s="825"/>
      <c r="AX958" s="825"/>
      <c r="AY958" s="825"/>
      <c r="AZ958" s="825"/>
    </row>
    <row r="959" spans="26:52">
      <c r="Z959" s="1039"/>
      <c r="AC959" s="1045"/>
      <c r="AD959" s="825"/>
      <c r="AF959" s="825"/>
      <c r="AH959" s="825"/>
      <c r="AJ959" s="825"/>
      <c r="AK959" s="825"/>
      <c r="AM959" s="825"/>
      <c r="AO959" s="825"/>
      <c r="AP959" s="825"/>
      <c r="AU959" s="825"/>
      <c r="AW959" s="825"/>
      <c r="AX959" s="825"/>
      <c r="AY959" s="825"/>
      <c r="AZ959" s="825"/>
    </row>
    <row r="960" spans="26:52">
      <c r="Z960" s="1039"/>
      <c r="AC960" s="1045"/>
      <c r="AD960" s="825"/>
      <c r="AF960" s="825"/>
      <c r="AH960" s="825"/>
      <c r="AJ960" s="825"/>
      <c r="AK960" s="825"/>
      <c r="AM960" s="825"/>
      <c r="AO960" s="825"/>
      <c r="AP960" s="825"/>
      <c r="AU960" s="825"/>
      <c r="AW960" s="825"/>
      <c r="AX960" s="825"/>
      <c r="AY960" s="825"/>
      <c r="AZ960" s="825"/>
    </row>
    <row r="961" spans="26:52">
      <c r="Z961" s="1039"/>
      <c r="AC961" s="1045"/>
      <c r="AD961" s="825"/>
      <c r="AF961" s="825"/>
      <c r="AH961" s="825"/>
      <c r="AJ961" s="825"/>
      <c r="AK961" s="825"/>
      <c r="AM961" s="825"/>
      <c r="AO961" s="825"/>
      <c r="AP961" s="825"/>
      <c r="AU961" s="825"/>
      <c r="AW961" s="825"/>
      <c r="AX961" s="825"/>
      <c r="AY961" s="825"/>
      <c r="AZ961" s="825"/>
    </row>
    <row r="962" spans="26:52">
      <c r="Z962" s="1039"/>
      <c r="AC962" s="1045"/>
      <c r="AD962" s="825"/>
      <c r="AF962" s="825"/>
      <c r="AH962" s="825"/>
      <c r="AJ962" s="825"/>
      <c r="AK962" s="825"/>
      <c r="AM962" s="825"/>
      <c r="AO962" s="825"/>
      <c r="AP962" s="825"/>
      <c r="AU962" s="825"/>
      <c r="AW962" s="825"/>
      <c r="AX962" s="825"/>
      <c r="AY962" s="825"/>
      <c r="AZ962" s="825"/>
    </row>
    <row r="963" spans="26:52">
      <c r="Z963" s="1039"/>
      <c r="AC963" s="1045"/>
      <c r="AD963" s="825"/>
      <c r="AF963" s="825"/>
      <c r="AH963" s="825"/>
      <c r="AJ963" s="825"/>
      <c r="AK963" s="825"/>
      <c r="AM963" s="825"/>
      <c r="AO963" s="825"/>
      <c r="AP963" s="825"/>
      <c r="AU963" s="825"/>
      <c r="AW963" s="825"/>
      <c r="AX963" s="825"/>
      <c r="AY963" s="825"/>
      <c r="AZ963" s="825"/>
    </row>
    <row r="964" spans="26:52">
      <c r="Z964" s="1039"/>
      <c r="AC964" s="1045"/>
      <c r="AD964" s="825"/>
      <c r="AF964" s="825"/>
      <c r="AH964" s="825"/>
      <c r="AJ964" s="825"/>
      <c r="AK964" s="825"/>
      <c r="AM964" s="825"/>
      <c r="AO964" s="825"/>
      <c r="AP964" s="825"/>
      <c r="AU964" s="825"/>
      <c r="AW964" s="825"/>
      <c r="AX964" s="825"/>
      <c r="AY964" s="825"/>
      <c r="AZ964" s="825"/>
    </row>
    <row r="965" spans="26:52">
      <c r="Z965" s="1039"/>
      <c r="AC965" s="1045"/>
      <c r="AD965" s="825"/>
      <c r="AF965" s="825"/>
      <c r="AH965" s="825"/>
      <c r="AJ965" s="825"/>
      <c r="AK965" s="825"/>
      <c r="AM965" s="825"/>
      <c r="AO965" s="825"/>
      <c r="AP965" s="825"/>
      <c r="AU965" s="825"/>
      <c r="AW965" s="825"/>
      <c r="AX965" s="825"/>
      <c r="AY965" s="825"/>
      <c r="AZ965" s="825"/>
    </row>
    <row r="966" spans="26:52">
      <c r="Z966" s="1039"/>
      <c r="AC966" s="1045"/>
      <c r="AD966" s="825"/>
      <c r="AF966" s="825"/>
      <c r="AH966" s="825"/>
      <c r="AJ966" s="825"/>
      <c r="AK966" s="825"/>
      <c r="AM966" s="825"/>
      <c r="AO966" s="825"/>
      <c r="AP966" s="825"/>
      <c r="AU966" s="825"/>
      <c r="AW966" s="825"/>
      <c r="AX966" s="825"/>
      <c r="AY966" s="825"/>
      <c r="AZ966" s="825"/>
    </row>
    <row r="967" spans="26:52">
      <c r="Z967" s="1039"/>
      <c r="AC967" s="1045"/>
      <c r="AD967" s="825"/>
      <c r="AF967" s="825"/>
      <c r="AH967" s="825"/>
      <c r="AJ967" s="825"/>
      <c r="AK967" s="825"/>
      <c r="AM967" s="825"/>
      <c r="AO967" s="825"/>
      <c r="AP967" s="825"/>
      <c r="AU967" s="825"/>
      <c r="AW967" s="825"/>
      <c r="AX967" s="825"/>
      <c r="AY967" s="825"/>
      <c r="AZ967" s="825"/>
    </row>
    <row r="968" spans="26:52">
      <c r="Z968" s="1039"/>
      <c r="AC968" s="1045"/>
      <c r="AD968" s="825"/>
      <c r="AF968" s="825"/>
      <c r="AH968" s="825"/>
      <c r="AJ968" s="825"/>
      <c r="AK968" s="825"/>
      <c r="AM968" s="825"/>
      <c r="AO968" s="825"/>
      <c r="AP968" s="825"/>
      <c r="AU968" s="825"/>
      <c r="AW968" s="825"/>
      <c r="AX968" s="825"/>
      <c r="AY968" s="825"/>
      <c r="AZ968" s="825"/>
    </row>
    <row r="969" spans="26:52">
      <c r="Z969" s="1039"/>
      <c r="AC969" s="1045"/>
      <c r="AD969" s="825"/>
      <c r="AF969" s="825"/>
      <c r="AH969" s="825"/>
      <c r="AJ969" s="825"/>
      <c r="AK969" s="825"/>
      <c r="AM969" s="825"/>
      <c r="AO969" s="825"/>
      <c r="AP969" s="825"/>
      <c r="AU969" s="825"/>
      <c r="AW969" s="825"/>
      <c r="AX969" s="825"/>
      <c r="AY969" s="825"/>
      <c r="AZ969" s="825"/>
    </row>
    <row r="970" spans="26:52">
      <c r="Z970" s="1039"/>
      <c r="AC970" s="1045"/>
      <c r="AD970" s="825"/>
      <c r="AF970" s="825"/>
      <c r="AH970" s="825"/>
      <c r="AJ970" s="825"/>
      <c r="AK970" s="825"/>
      <c r="AM970" s="825"/>
      <c r="AO970" s="825"/>
      <c r="AP970" s="825"/>
      <c r="AU970" s="825"/>
      <c r="AW970" s="825"/>
      <c r="AX970" s="825"/>
      <c r="AY970" s="825"/>
      <c r="AZ970" s="825"/>
    </row>
    <row r="971" spans="26:52">
      <c r="Z971" s="1039"/>
      <c r="AC971" s="1045"/>
      <c r="AD971" s="825"/>
      <c r="AF971" s="825"/>
      <c r="AH971" s="825"/>
      <c r="AJ971" s="825"/>
      <c r="AK971" s="825"/>
      <c r="AM971" s="825"/>
      <c r="AO971" s="825"/>
      <c r="AP971" s="825"/>
      <c r="AU971" s="825"/>
      <c r="AW971" s="825"/>
      <c r="AX971" s="825"/>
      <c r="AY971" s="825"/>
      <c r="AZ971" s="825"/>
    </row>
    <row r="972" spans="26:52">
      <c r="Z972" s="1039"/>
      <c r="AC972" s="1045"/>
      <c r="AD972" s="825"/>
      <c r="AF972" s="825"/>
      <c r="AH972" s="825"/>
      <c r="AJ972" s="825"/>
      <c r="AK972" s="825"/>
      <c r="AM972" s="825"/>
      <c r="AO972" s="825"/>
      <c r="AP972" s="825"/>
      <c r="AU972" s="825"/>
      <c r="AW972" s="825"/>
      <c r="AX972" s="825"/>
      <c r="AY972" s="825"/>
      <c r="AZ972" s="825"/>
    </row>
    <row r="973" spans="26:52">
      <c r="Z973" s="1039"/>
      <c r="AC973" s="1045"/>
      <c r="AD973" s="825"/>
      <c r="AF973" s="825"/>
      <c r="AH973" s="825"/>
      <c r="AJ973" s="825"/>
      <c r="AK973" s="825"/>
      <c r="AM973" s="825"/>
      <c r="AO973" s="825"/>
      <c r="AP973" s="825"/>
      <c r="AU973" s="825"/>
      <c r="AW973" s="825"/>
      <c r="AX973" s="825"/>
      <c r="AY973" s="825"/>
      <c r="AZ973" s="825"/>
    </row>
    <row r="974" spans="26:52">
      <c r="Z974" s="1039"/>
      <c r="AC974" s="1045"/>
      <c r="AD974" s="825"/>
      <c r="AF974" s="825"/>
      <c r="AH974" s="825"/>
      <c r="AJ974" s="825"/>
      <c r="AK974" s="825"/>
      <c r="AM974" s="825"/>
      <c r="AO974" s="825"/>
      <c r="AP974" s="825"/>
      <c r="AU974" s="825"/>
      <c r="AW974" s="825"/>
      <c r="AX974" s="825"/>
      <c r="AY974" s="825"/>
      <c r="AZ974" s="825"/>
    </row>
    <row r="975" spans="26:52">
      <c r="Z975" s="1039"/>
      <c r="AC975" s="1045"/>
      <c r="AD975" s="825"/>
      <c r="AF975" s="825"/>
      <c r="AH975" s="825"/>
      <c r="AJ975" s="825"/>
      <c r="AK975" s="825"/>
      <c r="AM975" s="825"/>
      <c r="AO975" s="825"/>
      <c r="AP975" s="825"/>
      <c r="AU975" s="825"/>
      <c r="AW975" s="825"/>
      <c r="AX975" s="825"/>
      <c r="AY975" s="825"/>
      <c r="AZ975" s="825"/>
    </row>
    <row r="976" spans="26:52">
      <c r="Z976" s="1039"/>
      <c r="AC976" s="1045"/>
      <c r="AD976" s="825"/>
      <c r="AF976" s="825"/>
      <c r="AH976" s="825"/>
      <c r="AJ976" s="825"/>
      <c r="AK976" s="825"/>
      <c r="AM976" s="825"/>
      <c r="AO976" s="825"/>
      <c r="AP976" s="825"/>
      <c r="AU976" s="825"/>
      <c r="AW976" s="825"/>
      <c r="AX976" s="825"/>
      <c r="AY976" s="825"/>
      <c r="AZ976" s="825"/>
    </row>
    <row r="977" spans="26:52">
      <c r="Z977" s="1039"/>
      <c r="AC977" s="1045"/>
      <c r="AD977" s="825"/>
      <c r="AF977" s="825"/>
      <c r="AH977" s="825"/>
      <c r="AJ977" s="825"/>
      <c r="AK977" s="825"/>
      <c r="AM977" s="825"/>
      <c r="AO977" s="825"/>
      <c r="AP977" s="825"/>
      <c r="AU977" s="825"/>
      <c r="AW977" s="825"/>
      <c r="AX977" s="825"/>
      <c r="AY977" s="825"/>
      <c r="AZ977" s="825"/>
    </row>
    <row r="978" spans="26:52">
      <c r="Z978" s="1039"/>
      <c r="AC978" s="1045"/>
      <c r="AD978" s="825"/>
      <c r="AF978" s="825"/>
      <c r="AH978" s="825"/>
      <c r="AJ978" s="825"/>
      <c r="AK978" s="825"/>
      <c r="AM978" s="825"/>
      <c r="AO978" s="825"/>
      <c r="AP978" s="825"/>
      <c r="AU978" s="825"/>
      <c r="AW978" s="825"/>
      <c r="AX978" s="825"/>
      <c r="AY978" s="825"/>
      <c r="AZ978" s="825"/>
    </row>
    <row r="979" spans="26:52">
      <c r="Z979" s="1039"/>
      <c r="AC979" s="1045"/>
      <c r="AD979" s="825"/>
      <c r="AF979" s="825"/>
      <c r="AH979" s="825"/>
      <c r="AJ979" s="825"/>
      <c r="AK979" s="825"/>
      <c r="AM979" s="825"/>
      <c r="AO979" s="825"/>
      <c r="AP979" s="825"/>
      <c r="AU979" s="825"/>
      <c r="AW979" s="825"/>
      <c r="AX979" s="825"/>
      <c r="AY979" s="825"/>
      <c r="AZ979" s="825"/>
    </row>
    <row r="980" spans="26:52">
      <c r="Z980" s="1039"/>
      <c r="AC980" s="1045"/>
      <c r="AD980" s="825"/>
      <c r="AF980" s="825"/>
      <c r="AH980" s="825"/>
      <c r="AJ980" s="825"/>
      <c r="AK980" s="825"/>
      <c r="AM980" s="825"/>
      <c r="AO980" s="825"/>
      <c r="AP980" s="825"/>
      <c r="AU980" s="825"/>
      <c r="AW980" s="825"/>
      <c r="AX980" s="825"/>
      <c r="AY980" s="825"/>
      <c r="AZ980" s="825"/>
    </row>
    <row r="981" spans="26:52">
      <c r="Z981" s="1039"/>
      <c r="AC981" s="1045"/>
      <c r="AD981" s="825"/>
      <c r="AF981" s="825"/>
      <c r="AH981" s="825"/>
      <c r="AJ981" s="825"/>
      <c r="AK981" s="825"/>
      <c r="AM981" s="825"/>
      <c r="AO981" s="825"/>
      <c r="AP981" s="825"/>
      <c r="AU981" s="825"/>
      <c r="AW981" s="825"/>
      <c r="AX981" s="825"/>
      <c r="AY981" s="825"/>
      <c r="AZ981" s="825"/>
    </row>
    <row r="982" spans="26:52">
      <c r="Z982" s="1039"/>
      <c r="AC982" s="1045"/>
      <c r="AD982" s="825"/>
      <c r="AF982" s="825"/>
      <c r="AH982" s="825"/>
      <c r="AJ982" s="825"/>
      <c r="AK982" s="825"/>
      <c r="AM982" s="825"/>
      <c r="AO982" s="825"/>
      <c r="AP982" s="825"/>
      <c r="AU982" s="825"/>
      <c r="AW982" s="825"/>
      <c r="AX982" s="825"/>
      <c r="AY982" s="825"/>
      <c r="AZ982" s="825"/>
    </row>
    <row r="983" spans="26:52">
      <c r="Z983" s="1039"/>
      <c r="AC983" s="1045"/>
      <c r="AD983" s="825"/>
      <c r="AF983" s="825"/>
      <c r="AH983" s="825"/>
      <c r="AJ983" s="825"/>
      <c r="AK983" s="825"/>
      <c r="AM983" s="825"/>
      <c r="AO983" s="825"/>
      <c r="AP983" s="825"/>
      <c r="AU983" s="825"/>
      <c r="AW983" s="825"/>
      <c r="AX983" s="825"/>
      <c r="AY983" s="825"/>
      <c r="AZ983" s="825"/>
    </row>
    <row r="984" spans="26:52">
      <c r="Z984" s="1039"/>
      <c r="AC984" s="1045"/>
      <c r="AD984" s="825"/>
      <c r="AF984" s="825"/>
      <c r="AH984" s="825"/>
      <c r="AJ984" s="825"/>
      <c r="AK984" s="825"/>
      <c r="AM984" s="825"/>
      <c r="AO984" s="825"/>
      <c r="AP984" s="825"/>
      <c r="AU984" s="825"/>
      <c r="AW984" s="825"/>
      <c r="AX984" s="825"/>
      <c r="AY984" s="825"/>
      <c r="AZ984" s="825"/>
    </row>
    <row r="985" spans="26:52">
      <c r="Z985" s="1039"/>
      <c r="AC985" s="1045"/>
      <c r="AD985" s="825"/>
      <c r="AF985" s="825"/>
      <c r="AH985" s="825"/>
      <c r="AJ985" s="825"/>
      <c r="AK985" s="825"/>
      <c r="AM985" s="825"/>
      <c r="AO985" s="825"/>
      <c r="AP985" s="825"/>
      <c r="AU985" s="825"/>
      <c r="AW985" s="825"/>
      <c r="AX985" s="825"/>
      <c r="AY985" s="825"/>
      <c r="AZ985" s="825"/>
    </row>
    <row r="986" spans="26:52">
      <c r="Z986" s="1039"/>
      <c r="AC986" s="1045"/>
      <c r="AD986" s="825"/>
      <c r="AF986" s="825"/>
      <c r="AH986" s="825"/>
      <c r="AJ986" s="825"/>
      <c r="AK986" s="825"/>
      <c r="AM986" s="825"/>
      <c r="AO986" s="825"/>
      <c r="AP986" s="825"/>
      <c r="AU986" s="825"/>
      <c r="AW986" s="825"/>
      <c r="AX986" s="825"/>
      <c r="AY986" s="825"/>
      <c r="AZ986" s="825"/>
    </row>
    <row r="987" spans="26:52">
      <c r="Z987" s="1039"/>
      <c r="AC987" s="1045"/>
      <c r="AD987" s="825"/>
      <c r="AF987" s="825"/>
      <c r="AH987" s="825"/>
      <c r="AJ987" s="825"/>
      <c r="AK987" s="825"/>
      <c r="AM987" s="825"/>
      <c r="AO987" s="825"/>
      <c r="AP987" s="825"/>
      <c r="AU987" s="825"/>
      <c r="AW987" s="825"/>
      <c r="AX987" s="825"/>
      <c r="AY987" s="825"/>
      <c r="AZ987" s="825"/>
    </row>
    <row r="988" spans="26:52">
      <c r="Z988" s="1039"/>
      <c r="AC988" s="1045"/>
      <c r="AD988" s="825"/>
      <c r="AF988" s="825"/>
      <c r="AH988" s="825"/>
      <c r="AJ988" s="825"/>
      <c r="AK988" s="825"/>
      <c r="AM988" s="825"/>
      <c r="AO988" s="825"/>
      <c r="AP988" s="825"/>
      <c r="AU988" s="825"/>
      <c r="AW988" s="825"/>
      <c r="AX988" s="825"/>
      <c r="AY988" s="825"/>
      <c r="AZ988" s="825"/>
    </row>
    <row r="989" spans="26:52">
      <c r="Z989" s="1039"/>
      <c r="AC989" s="1045"/>
      <c r="AD989" s="825"/>
      <c r="AF989" s="825"/>
      <c r="AH989" s="825"/>
      <c r="AJ989" s="825"/>
      <c r="AK989" s="825"/>
      <c r="AM989" s="825"/>
      <c r="AO989" s="825"/>
      <c r="AP989" s="825"/>
      <c r="AU989" s="825"/>
      <c r="AW989" s="825"/>
      <c r="AX989" s="825"/>
      <c r="AY989" s="825"/>
      <c r="AZ989" s="825"/>
    </row>
    <row r="990" spans="26:52">
      <c r="Z990" s="1039"/>
      <c r="AC990" s="1045"/>
      <c r="AD990" s="825"/>
      <c r="AF990" s="825"/>
      <c r="AH990" s="825"/>
      <c r="AJ990" s="825"/>
      <c r="AK990" s="825"/>
      <c r="AM990" s="825"/>
      <c r="AO990" s="825"/>
      <c r="AP990" s="825"/>
      <c r="AU990" s="825"/>
      <c r="AW990" s="825"/>
      <c r="AX990" s="825"/>
      <c r="AY990" s="825"/>
      <c r="AZ990" s="825"/>
    </row>
    <row r="991" spans="26:52">
      <c r="Z991" s="1039"/>
      <c r="AC991" s="1045"/>
      <c r="AD991" s="825"/>
      <c r="AF991" s="825"/>
      <c r="AH991" s="825"/>
      <c r="AJ991" s="825"/>
      <c r="AK991" s="825"/>
      <c r="AM991" s="825"/>
      <c r="AO991" s="825"/>
      <c r="AP991" s="825"/>
      <c r="AU991" s="825"/>
      <c r="AW991" s="825"/>
      <c r="AX991" s="825"/>
      <c r="AY991" s="825"/>
      <c r="AZ991" s="825"/>
    </row>
    <row r="992" spans="26:52">
      <c r="Z992" s="1039"/>
      <c r="AC992" s="1045"/>
      <c r="AD992" s="825"/>
      <c r="AF992" s="825"/>
      <c r="AH992" s="825"/>
      <c r="AJ992" s="825"/>
      <c r="AK992" s="825"/>
      <c r="AM992" s="825"/>
      <c r="AO992" s="825"/>
      <c r="AP992" s="825"/>
      <c r="AU992" s="825"/>
      <c r="AW992" s="825"/>
      <c r="AX992" s="825"/>
      <c r="AY992" s="825"/>
      <c r="AZ992" s="825"/>
    </row>
    <row r="993" spans="26:52">
      <c r="Z993" s="1039"/>
      <c r="AC993" s="1045"/>
      <c r="AD993" s="825"/>
      <c r="AF993" s="825"/>
      <c r="AH993" s="825"/>
      <c r="AJ993" s="825"/>
      <c r="AK993" s="825"/>
      <c r="AM993" s="825"/>
      <c r="AO993" s="825"/>
      <c r="AP993" s="825"/>
      <c r="AU993" s="825"/>
      <c r="AW993" s="825"/>
      <c r="AX993" s="825"/>
      <c r="AY993" s="825"/>
      <c r="AZ993" s="825"/>
    </row>
    <row r="994" spans="26:52">
      <c r="Z994" s="1039"/>
      <c r="AC994" s="1045"/>
      <c r="AD994" s="825"/>
      <c r="AF994" s="825"/>
      <c r="AH994" s="825"/>
      <c r="AJ994" s="825"/>
      <c r="AK994" s="825"/>
      <c r="AM994" s="825"/>
      <c r="AO994" s="825"/>
      <c r="AP994" s="825"/>
      <c r="AU994" s="825"/>
      <c r="AW994" s="825"/>
      <c r="AX994" s="825"/>
      <c r="AY994" s="825"/>
      <c r="AZ994" s="825"/>
    </row>
    <row r="995" spans="26:52">
      <c r="Z995" s="1039"/>
      <c r="AC995" s="1045"/>
      <c r="AD995" s="825"/>
      <c r="AF995" s="825"/>
      <c r="AH995" s="825"/>
      <c r="AJ995" s="825"/>
      <c r="AK995" s="825"/>
      <c r="AM995" s="825"/>
      <c r="AO995" s="825"/>
      <c r="AP995" s="825"/>
      <c r="AU995" s="825"/>
      <c r="AW995" s="825"/>
      <c r="AX995" s="825"/>
      <c r="AY995" s="825"/>
      <c r="AZ995" s="825"/>
    </row>
    <row r="996" spans="26:52">
      <c r="Z996" s="1039"/>
      <c r="AC996" s="1045"/>
      <c r="AD996" s="825"/>
      <c r="AF996" s="825"/>
      <c r="AH996" s="825"/>
      <c r="AJ996" s="825"/>
      <c r="AK996" s="825"/>
      <c r="AM996" s="825"/>
      <c r="AO996" s="825"/>
      <c r="AP996" s="825"/>
      <c r="AU996" s="825"/>
      <c r="AW996" s="825"/>
      <c r="AX996" s="825"/>
      <c r="AY996" s="825"/>
      <c r="AZ996" s="825"/>
    </row>
    <row r="997" spans="26:52">
      <c r="Z997" s="1039"/>
      <c r="AC997" s="1045"/>
      <c r="AD997" s="825"/>
      <c r="AF997" s="825"/>
      <c r="AH997" s="825"/>
      <c r="AJ997" s="825"/>
      <c r="AK997" s="825"/>
      <c r="AM997" s="825"/>
      <c r="AO997" s="825"/>
      <c r="AP997" s="825"/>
      <c r="AU997" s="825"/>
      <c r="AW997" s="825"/>
      <c r="AX997" s="825"/>
      <c r="AY997" s="825"/>
      <c r="AZ997" s="825"/>
    </row>
    <row r="998" spans="26:52">
      <c r="Z998" s="1039"/>
      <c r="AC998" s="1045"/>
      <c r="AD998" s="825"/>
      <c r="AF998" s="825"/>
      <c r="AH998" s="825"/>
      <c r="AJ998" s="825"/>
      <c r="AK998" s="825"/>
      <c r="AM998" s="825"/>
      <c r="AO998" s="825"/>
      <c r="AP998" s="825"/>
      <c r="AU998" s="825"/>
      <c r="AW998" s="825"/>
      <c r="AX998" s="825"/>
      <c r="AY998" s="825"/>
      <c r="AZ998" s="825"/>
    </row>
    <row r="999" spans="26:52">
      <c r="Z999" s="1039"/>
      <c r="AC999" s="1045"/>
      <c r="AD999" s="825"/>
      <c r="AF999" s="825"/>
      <c r="AH999" s="825"/>
      <c r="AJ999" s="825"/>
      <c r="AK999" s="825"/>
      <c r="AM999" s="825"/>
      <c r="AO999" s="825"/>
      <c r="AP999" s="825"/>
      <c r="AU999" s="825"/>
      <c r="AW999" s="825"/>
      <c r="AX999" s="825"/>
      <c r="AY999" s="825"/>
      <c r="AZ999" s="825"/>
    </row>
    <row r="1000" spans="26:52">
      <c r="Z1000" s="1039"/>
      <c r="AC1000" s="1045"/>
      <c r="AD1000" s="825"/>
      <c r="AF1000" s="825"/>
      <c r="AH1000" s="825"/>
      <c r="AJ1000" s="825"/>
      <c r="AK1000" s="825"/>
      <c r="AM1000" s="825"/>
      <c r="AO1000" s="825"/>
      <c r="AP1000" s="825"/>
      <c r="AU1000" s="825"/>
      <c r="AW1000" s="825"/>
      <c r="AX1000" s="825"/>
      <c r="AY1000" s="825"/>
      <c r="AZ1000" s="825"/>
    </row>
    <row r="1001" spans="26:52">
      <c r="Z1001" s="1039"/>
      <c r="AC1001" s="1045"/>
      <c r="AD1001" s="825"/>
      <c r="AF1001" s="825"/>
      <c r="AH1001" s="825"/>
      <c r="AJ1001" s="825"/>
      <c r="AK1001" s="825"/>
      <c r="AM1001" s="825"/>
      <c r="AO1001" s="825"/>
      <c r="AP1001" s="825"/>
      <c r="AU1001" s="825"/>
      <c r="AW1001" s="825"/>
      <c r="AX1001" s="825"/>
      <c r="AY1001" s="825"/>
      <c r="AZ1001" s="825"/>
    </row>
    <row r="1002" spans="26:52">
      <c r="Z1002" s="1039"/>
      <c r="AC1002" s="1045"/>
      <c r="AD1002" s="825"/>
      <c r="AF1002" s="825"/>
      <c r="AH1002" s="825"/>
      <c r="AJ1002" s="825"/>
      <c r="AK1002" s="825"/>
      <c r="AM1002" s="825"/>
      <c r="AO1002" s="825"/>
      <c r="AP1002" s="825"/>
      <c r="AU1002" s="825"/>
      <c r="AW1002" s="825"/>
      <c r="AX1002" s="825"/>
      <c r="AY1002" s="825"/>
      <c r="AZ1002" s="825"/>
    </row>
    <row r="1003" spans="26:52">
      <c r="Z1003" s="1039"/>
      <c r="AC1003" s="1045"/>
      <c r="AD1003" s="825"/>
      <c r="AF1003" s="825"/>
      <c r="AH1003" s="825"/>
      <c r="AJ1003" s="825"/>
      <c r="AK1003" s="825"/>
      <c r="AM1003" s="825"/>
      <c r="AO1003" s="825"/>
      <c r="AP1003" s="825"/>
      <c r="AU1003" s="825"/>
      <c r="AW1003" s="825"/>
      <c r="AX1003" s="825"/>
      <c r="AY1003" s="825"/>
      <c r="AZ1003" s="825"/>
    </row>
    <row r="1004" spans="26:52">
      <c r="Z1004" s="1039"/>
      <c r="AC1004" s="1045"/>
      <c r="AD1004" s="825"/>
      <c r="AF1004" s="825"/>
      <c r="AH1004" s="825"/>
      <c r="AJ1004" s="825"/>
      <c r="AK1004" s="825"/>
      <c r="AM1004" s="825"/>
      <c r="AO1004" s="825"/>
      <c r="AP1004" s="825"/>
      <c r="AU1004" s="825"/>
      <c r="AW1004" s="825"/>
      <c r="AX1004" s="825"/>
      <c r="AY1004" s="825"/>
      <c r="AZ1004" s="825"/>
    </row>
    <row r="1005" spans="26:52">
      <c r="Z1005" s="1039"/>
      <c r="AC1005" s="1045"/>
      <c r="AD1005" s="825"/>
      <c r="AF1005" s="825"/>
      <c r="AH1005" s="825"/>
      <c r="AJ1005" s="825"/>
      <c r="AK1005" s="825"/>
      <c r="AM1005" s="825"/>
      <c r="AO1005" s="825"/>
      <c r="AP1005" s="825"/>
      <c r="AU1005" s="825"/>
      <c r="AW1005" s="825"/>
      <c r="AX1005" s="825"/>
      <c r="AY1005" s="825"/>
      <c r="AZ1005" s="825"/>
    </row>
    <row r="1006" spans="26:52">
      <c r="Z1006" s="1039"/>
      <c r="AC1006" s="1045"/>
      <c r="AD1006" s="825"/>
      <c r="AF1006" s="825"/>
      <c r="AH1006" s="825"/>
      <c r="AJ1006" s="825"/>
      <c r="AK1006" s="825"/>
      <c r="AM1006" s="825"/>
      <c r="AO1006" s="825"/>
      <c r="AP1006" s="825"/>
      <c r="AU1006" s="825"/>
      <c r="AW1006" s="825"/>
      <c r="AX1006" s="825"/>
      <c r="AY1006" s="825"/>
      <c r="AZ1006" s="825"/>
    </row>
    <row r="1007" spans="26:52">
      <c r="Z1007" s="1039"/>
      <c r="AC1007" s="1045"/>
      <c r="AD1007" s="825"/>
      <c r="AF1007" s="825"/>
      <c r="AH1007" s="825"/>
      <c r="AJ1007" s="825"/>
      <c r="AK1007" s="825"/>
      <c r="AM1007" s="825"/>
      <c r="AO1007" s="825"/>
      <c r="AP1007" s="825"/>
      <c r="AU1007" s="825"/>
      <c r="AW1007" s="825"/>
      <c r="AX1007" s="825"/>
      <c r="AY1007" s="825"/>
      <c r="AZ1007" s="825"/>
    </row>
    <row r="1008" spans="26:52">
      <c r="Z1008" s="1039"/>
      <c r="AC1008" s="1045"/>
      <c r="AD1008" s="825"/>
      <c r="AF1008" s="825"/>
      <c r="AH1008" s="825"/>
      <c r="AJ1008" s="825"/>
      <c r="AK1008" s="825"/>
      <c r="AM1008" s="825"/>
      <c r="AO1008" s="825"/>
      <c r="AP1008" s="825"/>
      <c r="AU1008" s="825"/>
      <c r="AW1008" s="825"/>
      <c r="AX1008" s="825"/>
      <c r="AY1008" s="825"/>
      <c r="AZ1008" s="825"/>
    </row>
    <row r="1009" spans="26:52">
      <c r="Z1009" s="1039"/>
      <c r="AC1009" s="1045"/>
      <c r="AD1009" s="825"/>
      <c r="AF1009" s="825"/>
      <c r="AH1009" s="825"/>
      <c r="AJ1009" s="825"/>
      <c r="AK1009" s="825"/>
      <c r="AM1009" s="825"/>
      <c r="AO1009" s="825"/>
      <c r="AP1009" s="825"/>
      <c r="AU1009" s="825"/>
      <c r="AW1009" s="825"/>
      <c r="AX1009" s="825"/>
      <c r="AY1009" s="825"/>
      <c r="AZ1009" s="825"/>
    </row>
    <row r="1010" spans="26:52">
      <c r="Z1010" s="1039"/>
      <c r="AC1010" s="1045"/>
      <c r="AD1010" s="825"/>
      <c r="AF1010" s="825"/>
      <c r="AH1010" s="825"/>
      <c r="AJ1010" s="825"/>
      <c r="AK1010" s="825"/>
      <c r="AM1010" s="825"/>
      <c r="AO1010" s="825"/>
      <c r="AP1010" s="825"/>
      <c r="AU1010" s="825"/>
      <c r="AW1010" s="825"/>
      <c r="AX1010" s="825"/>
      <c r="AY1010" s="825"/>
      <c r="AZ1010" s="825"/>
    </row>
    <row r="1011" spans="26:52">
      <c r="Z1011" s="1039"/>
      <c r="AC1011" s="1045"/>
      <c r="AD1011" s="825"/>
      <c r="AF1011" s="825"/>
      <c r="AH1011" s="825"/>
      <c r="AJ1011" s="825"/>
      <c r="AK1011" s="825"/>
      <c r="AM1011" s="825"/>
      <c r="AO1011" s="825"/>
      <c r="AP1011" s="825"/>
      <c r="AU1011" s="825"/>
      <c r="AW1011" s="825"/>
      <c r="AX1011" s="825"/>
      <c r="AY1011" s="825"/>
      <c r="AZ1011" s="825"/>
    </row>
    <row r="1012" spans="26:52">
      <c r="Z1012" s="1039"/>
      <c r="AC1012" s="1045"/>
      <c r="AD1012" s="825"/>
      <c r="AF1012" s="825"/>
      <c r="AH1012" s="825"/>
      <c r="AJ1012" s="825"/>
      <c r="AK1012" s="825"/>
      <c r="AM1012" s="825"/>
      <c r="AO1012" s="825"/>
      <c r="AP1012" s="825"/>
      <c r="AU1012" s="825"/>
      <c r="AW1012" s="825"/>
      <c r="AX1012" s="825"/>
      <c r="AY1012" s="825"/>
      <c r="AZ1012" s="825"/>
    </row>
    <row r="1013" spans="26:52">
      <c r="Z1013" s="1039"/>
      <c r="AC1013" s="1045"/>
      <c r="AD1013" s="825"/>
      <c r="AF1013" s="825"/>
      <c r="AH1013" s="825"/>
      <c r="AJ1013" s="825"/>
      <c r="AK1013" s="825"/>
      <c r="AM1013" s="825"/>
      <c r="AO1013" s="825"/>
      <c r="AP1013" s="825"/>
      <c r="AU1013" s="825"/>
      <c r="AW1013" s="825"/>
      <c r="AX1013" s="825"/>
      <c r="AY1013" s="825"/>
      <c r="AZ1013" s="825"/>
    </row>
    <row r="1014" spans="26:52">
      <c r="Z1014" s="1039"/>
      <c r="AC1014" s="1045"/>
      <c r="AD1014" s="825"/>
      <c r="AF1014" s="825"/>
      <c r="AH1014" s="825"/>
      <c r="AJ1014" s="825"/>
      <c r="AK1014" s="825"/>
      <c r="AM1014" s="825"/>
      <c r="AO1014" s="825"/>
      <c r="AP1014" s="825"/>
      <c r="AU1014" s="825"/>
      <c r="AW1014" s="825"/>
      <c r="AX1014" s="825"/>
      <c r="AY1014" s="825"/>
      <c r="AZ1014" s="825"/>
    </row>
    <row r="1015" spans="26:52">
      <c r="Z1015" s="1039"/>
      <c r="AC1015" s="1045"/>
      <c r="AD1015" s="825"/>
      <c r="AF1015" s="825"/>
      <c r="AH1015" s="825"/>
      <c r="AJ1015" s="825"/>
      <c r="AK1015" s="825"/>
      <c r="AM1015" s="825"/>
      <c r="AO1015" s="825"/>
      <c r="AP1015" s="825"/>
      <c r="AU1015" s="825"/>
      <c r="AW1015" s="825"/>
      <c r="AX1015" s="825"/>
      <c r="AY1015" s="825"/>
      <c r="AZ1015" s="825"/>
    </row>
    <row r="1016" spans="26:52">
      <c r="Z1016" s="1039"/>
      <c r="AC1016" s="1045"/>
      <c r="AD1016" s="825"/>
      <c r="AF1016" s="825"/>
      <c r="AH1016" s="825"/>
      <c r="AJ1016" s="825"/>
      <c r="AK1016" s="825"/>
      <c r="AM1016" s="825"/>
      <c r="AO1016" s="825"/>
      <c r="AP1016" s="825"/>
      <c r="AU1016" s="825"/>
      <c r="AW1016" s="825"/>
      <c r="AX1016" s="825"/>
      <c r="AY1016" s="825"/>
      <c r="AZ1016" s="825"/>
    </row>
    <row r="1017" spans="26:52">
      <c r="Z1017" s="1039"/>
      <c r="AC1017" s="1045"/>
      <c r="AD1017" s="825"/>
      <c r="AF1017" s="825"/>
      <c r="AH1017" s="825"/>
      <c r="AJ1017" s="825"/>
      <c r="AK1017" s="825"/>
      <c r="AM1017" s="825"/>
      <c r="AO1017" s="825"/>
      <c r="AP1017" s="825"/>
      <c r="AU1017" s="825"/>
      <c r="AW1017" s="825"/>
      <c r="AX1017" s="825"/>
      <c r="AY1017" s="825"/>
      <c r="AZ1017" s="825"/>
    </row>
    <row r="1018" spans="26:52">
      <c r="Z1018" s="1039"/>
      <c r="AC1018" s="1045"/>
      <c r="AD1018" s="825"/>
      <c r="AF1018" s="825"/>
      <c r="AH1018" s="825"/>
      <c r="AJ1018" s="825"/>
      <c r="AK1018" s="825"/>
      <c r="AM1018" s="825"/>
      <c r="AO1018" s="825"/>
      <c r="AP1018" s="825"/>
      <c r="AU1018" s="825"/>
      <c r="AW1018" s="825"/>
      <c r="AX1018" s="825"/>
      <c r="AY1018" s="825"/>
      <c r="AZ1018" s="825"/>
    </row>
    <row r="1019" spans="26:52">
      <c r="Z1019" s="1039"/>
      <c r="AC1019" s="1045"/>
      <c r="AD1019" s="825"/>
      <c r="AF1019" s="825"/>
      <c r="AH1019" s="825"/>
      <c r="AJ1019" s="825"/>
      <c r="AK1019" s="825"/>
      <c r="AM1019" s="825"/>
      <c r="AO1019" s="825"/>
      <c r="AP1019" s="825"/>
      <c r="AU1019" s="825"/>
      <c r="AW1019" s="825"/>
      <c r="AX1019" s="825"/>
      <c r="AY1019" s="825"/>
      <c r="AZ1019" s="825"/>
    </row>
    <row r="1020" spans="26:52">
      <c r="Z1020" s="1039"/>
      <c r="AC1020" s="1045"/>
      <c r="AD1020" s="825"/>
      <c r="AF1020" s="825"/>
      <c r="AH1020" s="825"/>
      <c r="AJ1020" s="825"/>
      <c r="AK1020" s="825"/>
      <c r="AM1020" s="825"/>
      <c r="AO1020" s="825"/>
      <c r="AP1020" s="825"/>
      <c r="AU1020" s="825"/>
      <c r="AW1020" s="825"/>
      <c r="AX1020" s="825"/>
      <c r="AY1020" s="825"/>
      <c r="AZ1020" s="825"/>
    </row>
    <row r="1021" spans="26:52">
      <c r="Z1021" s="1039"/>
      <c r="AC1021" s="1045"/>
      <c r="AD1021" s="825"/>
      <c r="AF1021" s="825"/>
      <c r="AH1021" s="825"/>
      <c r="AJ1021" s="825"/>
      <c r="AK1021" s="825"/>
      <c r="AM1021" s="825"/>
      <c r="AO1021" s="825"/>
      <c r="AP1021" s="825"/>
      <c r="AU1021" s="825"/>
      <c r="AW1021" s="825"/>
      <c r="AX1021" s="825"/>
      <c r="AY1021" s="825"/>
      <c r="AZ1021" s="825"/>
    </row>
    <row r="1022" spans="26:52">
      <c r="Z1022" s="1039"/>
      <c r="AC1022" s="1045"/>
      <c r="AD1022" s="825"/>
      <c r="AF1022" s="825"/>
      <c r="AH1022" s="825"/>
      <c r="AJ1022" s="825"/>
      <c r="AK1022" s="825"/>
      <c r="AM1022" s="825"/>
      <c r="AO1022" s="825"/>
      <c r="AP1022" s="825"/>
      <c r="AU1022" s="825"/>
      <c r="AW1022" s="825"/>
      <c r="AX1022" s="825"/>
      <c r="AY1022" s="825"/>
      <c r="AZ1022" s="825"/>
    </row>
    <row r="1023" spans="26:52">
      <c r="Z1023" s="1039"/>
      <c r="AC1023" s="1045"/>
      <c r="AD1023" s="825"/>
      <c r="AF1023" s="825"/>
      <c r="AH1023" s="825"/>
      <c r="AJ1023" s="825"/>
      <c r="AK1023" s="825"/>
      <c r="AM1023" s="825"/>
      <c r="AO1023" s="825"/>
      <c r="AP1023" s="825"/>
      <c r="AU1023" s="825"/>
      <c r="AW1023" s="825"/>
      <c r="AX1023" s="825"/>
      <c r="AY1023" s="825"/>
      <c r="AZ1023" s="825"/>
    </row>
    <row r="1024" spans="26:52">
      <c r="Z1024" s="1039"/>
      <c r="AC1024" s="1045"/>
      <c r="AD1024" s="825"/>
      <c r="AF1024" s="825"/>
      <c r="AH1024" s="825"/>
      <c r="AJ1024" s="825"/>
      <c r="AK1024" s="825"/>
      <c r="AM1024" s="825"/>
      <c r="AO1024" s="825"/>
      <c r="AP1024" s="825"/>
      <c r="AU1024" s="825"/>
      <c r="AW1024" s="825"/>
      <c r="AX1024" s="825"/>
      <c r="AY1024" s="825"/>
      <c r="AZ1024" s="825"/>
    </row>
    <row r="1025" spans="26:52">
      <c r="Z1025" s="1039"/>
      <c r="AC1025" s="1045"/>
      <c r="AD1025" s="825"/>
      <c r="AF1025" s="825"/>
      <c r="AH1025" s="825"/>
      <c r="AJ1025" s="825"/>
      <c r="AK1025" s="825"/>
      <c r="AM1025" s="825"/>
      <c r="AO1025" s="825"/>
      <c r="AP1025" s="825"/>
      <c r="AU1025" s="825"/>
      <c r="AW1025" s="825"/>
      <c r="AX1025" s="825"/>
      <c r="AY1025" s="825"/>
      <c r="AZ1025" s="825"/>
    </row>
    <row r="1026" spans="26:52">
      <c r="Z1026" s="1039"/>
      <c r="AC1026" s="1045"/>
      <c r="AD1026" s="825"/>
      <c r="AF1026" s="825"/>
      <c r="AH1026" s="825"/>
      <c r="AJ1026" s="825"/>
      <c r="AK1026" s="825"/>
      <c r="AM1026" s="825"/>
      <c r="AO1026" s="825"/>
      <c r="AP1026" s="825"/>
      <c r="AU1026" s="825"/>
      <c r="AW1026" s="825"/>
      <c r="AX1026" s="825"/>
      <c r="AY1026" s="825"/>
      <c r="AZ1026" s="825"/>
    </row>
    <row r="1027" spans="26:52">
      <c r="Z1027" s="1039"/>
      <c r="AC1027" s="1045"/>
      <c r="AD1027" s="825"/>
      <c r="AF1027" s="825"/>
      <c r="AH1027" s="825"/>
      <c r="AJ1027" s="825"/>
      <c r="AK1027" s="825"/>
      <c r="AM1027" s="825"/>
      <c r="AO1027" s="825"/>
      <c r="AP1027" s="825"/>
      <c r="AU1027" s="825"/>
      <c r="AW1027" s="825"/>
      <c r="AX1027" s="825"/>
      <c r="AY1027" s="825"/>
      <c r="AZ1027" s="825"/>
    </row>
    <row r="1028" spans="26:52">
      <c r="Z1028" s="1039"/>
      <c r="AC1028" s="1045"/>
      <c r="AD1028" s="825"/>
      <c r="AF1028" s="825"/>
      <c r="AH1028" s="825"/>
      <c r="AJ1028" s="825"/>
      <c r="AK1028" s="825"/>
      <c r="AM1028" s="825"/>
      <c r="AO1028" s="825"/>
      <c r="AP1028" s="825"/>
      <c r="AU1028" s="825"/>
      <c r="AW1028" s="825"/>
      <c r="AX1028" s="825"/>
      <c r="AY1028" s="825"/>
      <c r="AZ1028" s="825"/>
    </row>
    <row r="1029" spans="26:52">
      <c r="Z1029" s="1039"/>
      <c r="AC1029" s="1045"/>
      <c r="AD1029" s="825"/>
      <c r="AF1029" s="825"/>
      <c r="AH1029" s="825"/>
      <c r="AJ1029" s="825"/>
      <c r="AK1029" s="825"/>
      <c r="AM1029" s="825"/>
      <c r="AO1029" s="825"/>
      <c r="AP1029" s="825"/>
      <c r="AU1029" s="825"/>
      <c r="AW1029" s="825"/>
      <c r="AX1029" s="825"/>
      <c r="AY1029" s="825"/>
      <c r="AZ1029" s="825"/>
    </row>
    <row r="1030" spans="26:52">
      <c r="Z1030" s="1039"/>
      <c r="AC1030" s="1045"/>
      <c r="AD1030" s="825"/>
      <c r="AF1030" s="825"/>
      <c r="AH1030" s="825"/>
      <c r="AJ1030" s="825"/>
      <c r="AK1030" s="825"/>
      <c r="AM1030" s="825"/>
      <c r="AO1030" s="825"/>
      <c r="AP1030" s="825"/>
      <c r="AU1030" s="825"/>
      <c r="AW1030" s="825"/>
      <c r="AX1030" s="825"/>
      <c r="AY1030" s="825"/>
      <c r="AZ1030" s="825"/>
    </row>
    <row r="1031" spans="26:52">
      <c r="Z1031" s="1039"/>
      <c r="AC1031" s="1045"/>
      <c r="AD1031" s="825"/>
      <c r="AF1031" s="825"/>
      <c r="AH1031" s="825"/>
      <c r="AJ1031" s="825"/>
      <c r="AK1031" s="825"/>
      <c r="AM1031" s="825"/>
      <c r="AO1031" s="825"/>
      <c r="AP1031" s="825"/>
      <c r="AU1031" s="825"/>
      <c r="AW1031" s="825"/>
      <c r="AX1031" s="825"/>
      <c r="AY1031" s="825"/>
      <c r="AZ1031" s="825"/>
    </row>
    <row r="1032" spans="26:52">
      <c r="Z1032" s="1039"/>
      <c r="AC1032" s="1045"/>
      <c r="AD1032" s="825"/>
      <c r="AF1032" s="825"/>
      <c r="AH1032" s="825"/>
      <c r="AJ1032" s="825"/>
      <c r="AK1032" s="825"/>
      <c r="AM1032" s="825"/>
      <c r="AO1032" s="825"/>
      <c r="AP1032" s="825"/>
      <c r="AU1032" s="825"/>
      <c r="AW1032" s="825"/>
      <c r="AX1032" s="825"/>
      <c r="AY1032" s="825"/>
      <c r="AZ1032" s="825"/>
    </row>
    <row r="1033" spans="26:52">
      <c r="Z1033" s="1039"/>
      <c r="AC1033" s="1045"/>
      <c r="AD1033" s="825"/>
      <c r="AF1033" s="825"/>
      <c r="AH1033" s="825"/>
      <c r="AJ1033" s="825"/>
      <c r="AK1033" s="825"/>
      <c r="AM1033" s="825"/>
      <c r="AO1033" s="825"/>
      <c r="AP1033" s="825"/>
      <c r="AU1033" s="825"/>
      <c r="AW1033" s="825"/>
      <c r="AX1033" s="825"/>
      <c r="AY1033" s="825"/>
      <c r="AZ1033" s="825"/>
    </row>
    <row r="1034" spans="26:52">
      <c r="Z1034" s="1039"/>
      <c r="AC1034" s="1045"/>
      <c r="AD1034" s="825"/>
      <c r="AF1034" s="825"/>
      <c r="AH1034" s="825"/>
      <c r="AJ1034" s="825"/>
      <c r="AK1034" s="825"/>
      <c r="AM1034" s="825"/>
      <c r="AO1034" s="825"/>
      <c r="AP1034" s="825"/>
      <c r="AU1034" s="825"/>
      <c r="AW1034" s="825"/>
      <c r="AX1034" s="825"/>
      <c r="AY1034" s="825"/>
      <c r="AZ1034" s="825"/>
    </row>
    <row r="1035" spans="26:52">
      <c r="Z1035" s="1039"/>
      <c r="AC1035" s="1045"/>
      <c r="AD1035" s="825"/>
      <c r="AF1035" s="825"/>
      <c r="AH1035" s="825"/>
      <c r="AJ1035" s="825"/>
      <c r="AK1035" s="825"/>
      <c r="AM1035" s="825"/>
      <c r="AO1035" s="825"/>
      <c r="AP1035" s="825"/>
      <c r="AU1035" s="825"/>
      <c r="AW1035" s="825"/>
      <c r="AX1035" s="825"/>
      <c r="AY1035" s="825"/>
      <c r="AZ1035" s="825"/>
    </row>
    <row r="1036" spans="26:52">
      <c r="Z1036" s="1039"/>
      <c r="AC1036" s="1045"/>
      <c r="AD1036" s="825"/>
      <c r="AF1036" s="825"/>
      <c r="AH1036" s="825"/>
      <c r="AJ1036" s="825"/>
      <c r="AK1036" s="825"/>
      <c r="AM1036" s="825"/>
      <c r="AO1036" s="825"/>
      <c r="AP1036" s="825"/>
      <c r="AU1036" s="825"/>
      <c r="AW1036" s="825"/>
      <c r="AX1036" s="825"/>
      <c r="AY1036" s="825"/>
      <c r="AZ1036" s="825"/>
    </row>
    <row r="1037" spans="26:52">
      <c r="Z1037" s="1039"/>
      <c r="AC1037" s="1045"/>
      <c r="AD1037" s="825"/>
      <c r="AF1037" s="825"/>
      <c r="AH1037" s="825"/>
      <c r="AJ1037" s="825"/>
      <c r="AK1037" s="825"/>
      <c r="AM1037" s="825"/>
      <c r="AO1037" s="825"/>
      <c r="AP1037" s="825"/>
      <c r="AU1037" s="825"/>
      <c r="AW1037" s="825"/>
      <c r="AX1037" s="825"/>
      <c r="AY1037" s="825"/>
      <c r="AZ1037" s="825"/>
    </row>
    <row r="1038" spans="26:52">
      <c r="Z1038" s="1039"/>
      <c r="AC1038" s="1045"/>
      <c r="AD1038" s="825"/>
      <c r="AF1038" s="825"/>
      <c r="AH1038" s="825"/>
      <c r="AJ1038" s="825"/>
      <c r="AK1038" s="825"/>
      <c r="AM1038" s="825"/>
      <c r="AO1038" s="825"/>
      <c r="AP1038" s="825"/>
      <c r="AU1038" s="825"/>
      <c r="AW1038" s="825"/>
      <c r="AX1038" s="825"/>
      <c r="AY1038" s="825"/>
      <c r="AZ1038" s="825"/>
    </row>
    <row r="1039" spans="26:52">
      <c r="Z1039" s="1039"/>
      <c r="AC1039" s="1045"/>
      <c r="AD1039" s="825"/>
      <c r="AF1039" s="825"/>
      <c r="AH1039" s="825"/>
      <c r="AJ1039" s="825"/>
      <c r="AK1039" s="825"/>
      <c r="AM1039" s="825"/>
      <c r="AO1039" s="825"/>
      <c r="AP1039" s="825"/>
      <c r="AU1039" s="825"/>
      <c r="AW1039" s="825"/>
      <c r="AX1039" s="825"/>
      <c r="AY1039" s="825"/>
      <c r="AZ1039" s="825"/>
    </row>
    <row r="1040" spans="26:52">
      <c r="Z1040" s="1039"/>
      <c r="AC1040" s="1045"/>
      <c r="AD1040" s="825"/>
      <c r="AF1040" s="825"/>
      <c r="AH1040" s="825"/>
      <c r="AJ1040" s="825"/>
      <c r="AK1040" s="825"/>
      <c r="AM1040" s="825"/>
      <c r="AO1040" s="825"/>
      <c r="AP1040" s="825"/>
      <c r="AU1040" s="825"/>
      <c r="AW1040" s="825"/>
      <c r="AX1040" s="825"/>
      <c r="AY1040" s="825"/>
      <c r="AZ1040" s="825"/>
    </row>
    <row r="1041" spans="26:52">
      <c r="Z1041" s="1039"/>
      <c r="AC1041" s="1045"/>
      <c r="AD1041" s="825"/>
      <c r="AF1041" s="825"/>
      <c r="AH1041" s="825"/>
      <c r="AJ1041" s="825"/>
      <c r="AK1041" s="825"/>
      <c r="AM1041" s="825"/>
      <c r="AO1041" s="825"/>
      <c r="AP1041" s="825"/>
      <c r="AU1041" s="825"/>
      <c r="AW1041" s="825"/>
      <c r="AX1041" s="825"/>
      <c r="AY1041" s="825"/>
      <c r="AZ1041" s="825"/>
    </row>
    <row r="1042" spans="26:52">
      <c r="Z1042" s="1039"/>
      <c r="AC1042" s="1045"/>
      <c r="AD1042" s="825"/>
      <c r="AF1042" s="825"/>
      <c r="AH1042" s="825"/>
      <c r="AJ1042" s="825"/>
      <c r="AK1042" s="825"/>
      <c r="AM1042" s="825"/>
      <c r="AO1042" s="825"/>
      <c r="AP1042" s="825"/>
      <c r="AU1042" s="825"/>
      <c r="AW1042" s="825"/>
      <c r="AX1042" s="825"/>
      <c r="AY1042" s="825"/>
      <c r="AZ1042" s="825"/>
    </row>
    <row r="1043" spans="26:52">
      <c r="Z1043" s="1039"/>
      <c r="AC1043" s="1045"/>
      <c r="AD1043" s="825"/>
      <c r="AF1043" s="825"/>
      <c r="AH1043" s="825"/>
      <c r="AJ1043" s="825"/>
      <c r="AK1043" s="825"/>
      <c r="AM1043" s="825"/>
      <c r="AO1043" s="825"/>
      <c r="AP1043" s="825"/>
      <c r="AU1043" s="825"/>
      <c r="AW1043" s="825"/>
      <c r="AX1043" s="825"/>
      <c r="AY1043" s="825"/>
      <c r="AZ1043" s="825"/>
    </row>
    <row r="1044" spans="26:52">
      <c r="Z1044" s="1039"/>
      <c r="AC1044" s="1045"/>
      <c r="AD1044" s="825"/>
      <c r="AF1044" s="825"/>
      <c r="AH1044" s="825"/>
      <c r="AJ1044" s="825"/>
      <c r="AK1044" s="825"/>
      <c r="AM1044" s="825"/>
      <c r="AO1044" s="825"/>
      <c r="AP1044" s="825"/>
      <c r="AU1044" s="825"/>
      <c r="AW1044" s="825"/>
      <c r="AX1044" s="825"/>
      <c r="AY1044" s="825"/>
      <c r="AZ1044" s="825"/>
    </row>
    <row r="1045" spans="26:52">
      <c r="Z1045" s="1039"/>
      <c r="AC1045" s="1045"/>
      <c r="AD1045" s="825"/>
      <c r="AF1045" s="825"/>
      <c r="AH1045" s="825"/>
      <c r="AJ1045" s="825"/>
      <c r="AK1045" s="825"/>
      <c r="AM1045" s="825"/>
      <c r="AO1045" s="825"/>
      <c r="AP1045" s="825"/>
      <c r="AU1045" s="825"/>
      <c r="AW1045" s="825"/>
      <c r="AX1045" s="825"/>
      <c r="AY1045" s="825"/>
      <c r="AZ1045" s="825"/>
    </row>
    <row r="1046" spans="26:52">
      <c r="Z1046" s="1039"/>
      <c r="AC1046" s="1045"/>
      <c r="AD1046" s="825"/>
      <c r="AF1046" s="825"/>
      <c r="AH1046" s="825"/>
      <c r="AJ1046" s="825"/>
      <c r="AK1046" s="825"/>
      <c r="AM1046" s="825"/>
      <c r="AO1046" s="825"/>
      <c r="AP1046" s="825"/>
      <c r="AU1046" s="825"/>
      <c r="AW1046" s="825"/>
      <c r="AX1046" s="825"/>
      <c r="AY1046" s="825"/>
      <c r="AZ1046" s="825"/>
    </row>
    <row r="1047" spans="26:52">
      <c r="Z1047" s="1039"/>
      <c r="AC1047" s="1045"/>
      <c r="AD1047" s="825"/>
      <c r="AF1047" s="825"/>
      <c r="AH1047" s="825"/>
      <c r="AJ1047" s="825"/>
      <c r="AK1047" s="825"/>
      <c r="AM1047" s="825"/>
      <c r="AO1047" s="825"/>
      <c r="AP1047" s="825"/>
      <c r="AU1047" s="825"/>
      <c r="AW1047" s="825"/>
      <c r="AX1047" s="825"/>
      <c r="AY1047" s="825"/>
      <c r="AZ1047" s="825"/>
    </row>
    <row r="1048" spans="26:52">
      <c r="Z1048" s="1039"/>
      <c r="AC1048" s="1045"/>
      <c r="AD1048" s="825"/>
      <c r="AF1048" s="825"/>
      <c r="AH1048" s="825"/>
      <c r="AJ1048" s="825"/>
      <c r="AK1048" s="825"/>
      <c r="AM1048" s="825"/>
      <c r="AO1048" s="825"/>
      <c r="AP1048" s="825"/>
      <c r="AU1048" s="825"/>
      <c r="AW1048" s="825"/>
      <c r="AX1048" s="825"/>
      <c r="AY1048" s="825"/>
      <c r="AZ1048" s="825"/>
    </row>
    <row r="1049" spans="26:52">
      <c r="Z1049" s="1039"/>
      <c r="AC1049" s="1045"/>
      <c r="AD1049" s="825"/>
      <c r="AF1049" s="825"/>
      <c r="AH1049" s="825"/>
      <c r="AJ1049" s="825"/>
      <c r="AK1049" s="825"/>
      <c r="AM1049" s="825"/>
      <c r="AO1049" s="825"/>
      <c r="AP1049" s="825"/>
      <c r="AU1049" s="825"/>
      <c r="AW1049" s="825"/>
      <c r="AX1049" s="825"/>
      <c r="AY1049" s="825"/>
      <c r="AZ1049" s="825"/>
    </row>
    <row r="1050" spans="26:52">
      <c r="Z1050" s="1039"/>
      <c r="AC1050" s="1045"/>
      <c r="AD1050" s="825"/>
      <c r="AF1050" s="825"/>
      <c r="AH1050" s="825"/>
      <c r="AJ1050" s="825"/>
      <c r="AK1050" s="825"/>
      <c r="AM1050" s="825"/>
      <c r="AO1050" s="825"/>
      <c r="AP1050" s="825"/>
      <c r="AU1050" s="825"/>
      <c r="AW1050" s="825"/>
      <c r="AX1050" s="825"/>
      <c r="AY1050" s="825"/>
      <c r="AZ1050" s="825"/>
    </row>
    <row r="1051" spans="26:52">
      <c r="Z1051" s="1039"/>
      <c r="AC1051" s="1045"/>
      <c r="AD1051" s="825"/>
      <c r="AF1051" s="825"/>
      <c r="AH1051" s="825"/>
      <c r="AJ1051" s="825"/>
      <c r="AK1051" s="825"/>
      <c r="AM1051" s="825"/>
      <c r="AO1051" s="825"/>
      <c r="AP1051" s="825"/>
      <c r="AU1051" s="825"/>
      <c r="AW1051" s="825"/>
      <c r="AX1051" s="825"/>
      <c r="AY1051" s="825"/>
      <c r="AZ1051" s="825"/>
    </row>
    <row r="1052" spans="26:52">
      <c r="Z1052" s="1039"/>
      <c r="AC1052" s="1045"/>
      <c r="AD1052" s="825"/>
      <c r="AF1052" s="825"/>
      <c r="AH1052" s="825"/>
      <c r="AJ1052" s="825"/>
      <c r="AK1052" s="825"/>
      <c r="AM1052" s="825"/>
      <c r="AO1052" s="825"/>
      <c r="AP1052" s="825"/>
      <c r="AU1052" s="825"/>
      <c r="AW1052" s="825"/>
      <c r="AX1052" s="825"/>
      <c r="AY1052" s="825"/>
      <c r="AZ1052" s="825"/>
    </row>
    <row r="1053" spans="26:52">
      <c r="Z1053" s="1039"/>
      <c r="AC1053" s="1045"/>
      <c r="AD1053" s="825"/>
      <c r="AF1053" s="825"/>
      <c r="AH1053" s="825"/>
      <c r="AJ1053" s="825"/>
      <c r="AK1053" s="825"/>
      <c r="AM1053" s="825"/>
      <c r="AO1053" s="825"/>
      <c r="AP1053" s="825"/>
      <c r="AU1053" s="825"/>
      <c r="AW1053" s="825"/>
      <c r="AX1053" s="825"/>
      <c r="AY1053" s="825"/>
      <c r="AZ1053" s="825"/>
    </row>
    <row r="1054" spans="26:52">
      <c r="Z1054" s="1039"/>
      <c r="AC1054" s="1045"/>
      <c r="AD1054" s="825"/>
      <c r="AF1054" s="825"/>
      <c r="AH1054" s="825"/>
      <c r="AJ1054" s="825"/>
      <c r="AK1054" s="825"/>
      <c r="AM1054" s="825"/>
      <c r="AO1054" s="825"/>
      <c r="AP1054" s="825"/>
      <c r="AU1054" s="825"/>
      <c r="AW1054" s="825"/>
      <c r="AX1054" s="825"/>
      <c r="AY1054" s="825"/>
      <c r="AZ1054" s="825"/>
    </row>
    <row r="1055" spans="26:52">
      <c r="Z1055" s="1039"/>
      <c r="AC1055" s="1045"/>
      <c r="AD1055" s="825"/>
      <c r="AF1055" s="825"/>
      <c r="AH1055" s="825"/>
      <c r="AJ1055" s="825"/>
      <c r="AK1055" s="825"/>
      <c r="AM1055" s="825"/>
      <c r="AO1055" s="825"/>
      <c r="AP1055" s="825"/>
      <c r="AU1055" s="825"/>
      <c r="AW1055" s="825"/>
      <c r="AX1055" s="825"/>
      <c r="AY1055" s="825"/>
      <c r="AZ1055" s="825"/>
    </row>
    <row r="1056" spans="26:52">
      <c r="Z1056" s="1039"/>
      <c r="AC1056" s="1045"/>
      <c r="AD1056" s="825"/>
      <c r="AF1056" s="825"/>
      <c r="AH1056" s="825"/>
      <c r="AJ1056" s="825"/>
      <c r="AK1056" s="825"/>
      <c r="AM1056" s="825"/>
      <c r="AO1056" s="825"/>
      <c r="AP1056" s="825"/>
      <c r="AU1056" s="825"/>
      <c r="AW1056" s="825"/>
      <c r="AX1056" s="825"/>
      <c r="AY1056" s="825"/>
      <c r="AZ1056" s="825"/>
    </row>
    <row r="1057" spans="26:52">
      <c r="Z1057" s="1039"/>
      <c r="AC1057" s="1045"/>
      <c r="AD1057" s="825"/>
      <c r="AF1057" s="825"/>
      <c r="AH1057" s="825"/>
      <c r="AJ1057" s="825"/>
      <c r="AK1057" s="825"/>
      <c r="AM1057" s="825"/>
      <c r="AO1057" s="825"/>
      <c r="AP1057" s="825"/>
      <c r="AU1057" s="825"/>
      <c r="AW1057" s="825"/>
      <c r="AX1057" s="825"/>
      <c r="AY1057" s="825"/>
      <c r="AZ1057" s="825"/>
    </row>
    <row r="1058" spans="26:52">
      <c r="Z1058" s="1039"/>
      <c r="AC1058" s="1045"/>
      <c r="AD1058" s="825"/>
      <c r="AF1058" s="825"/>
      <c r="AH1058" s="825"/>
      <c r="AJ1058" s="825"/>
      <c r="AK1058" s="825"/>
      <c r="AM1058" s="825"/>
      <c r="AO1058" s="825"/>
      <c r="AP1058" s="825"/>
      <c r="AU1058" s="825"/>
      <c r="AW1058" s="825"/>
      <c r="AX1058" s="825"/>
      <c r="AY1058" s="825"/>
      <c r="AZ1058" s="825"/>
    </row>
    <row r="1059" spans="26:52">
      <c r="Z1059" s="1039"/>
      <c r="AC1059" s="1045"/>
      <c r="AD1059" s="825"/>
      <c r="AF1059" s="825"/>
      <c r="AH1059" s="825"/>
      <c r="AJ1059" s="825"/>
      <c r="AK1059" s="825"/>
      <c r="AM1059" s="825"/>
      <c r="AO1059" s="825"/>
      <c r="AP1059" s="825"/>
      <c r="AU1059" s="825"/>
      <c r="AW1059" s="825"/>
      <c r="AX1059" s="825"/>
      <c r="AY1059" s="825"/>
      <c r="AZ1059" s="825"/>
    </row>
    <row r="1060" spans="26:52">
      <c r="Z1060" s="1039"/>
      <c r="AC1060" s="1045"/>
      <c r="AD1060" s="825"/>
      <c r="AF1060" s="825"/>
      <c r="AH1060" s="825"/>
      <c r="AJ1060" s="825"/>
      <c r="AK1060" s="825"/>
      <c r="AM1060" s="825"/>
      <c r="AO1060" s="825"/>
      <c r="AP1060" s="825"/>
      <c r="AU1060" s="825"/>
      <c r="AW1060" s="825"/>
      <c r="AX1060" s="825"/>
      <c r="AY1060" s="825"/>
      <c r="AZ1060" s="825"/>
    </row>
    <row r="1061" spans="26:52">
      <c r="Z1061" s="1039"/>
      <c r="AC1061" s="1045"/>
      <c r="AD1061" s="825"/>
      <c r="AF1061" s="825"/>
      <c r="AH1061" s="825"/>
      <c r="AJ1061" s="825"/>
      <c r="AK1061" s="825"/>
      <c r="AM1061" s="825"/>
      <c r="AO1061" s="825"/>
      <c r="AP1061" s="825"/>
      <c r="AU1061" s="825"/>
      <c r="AW1061" s="825"/>
      <c r="AX1061" s="825"/>
      <c r="AY1061" s="825"/>
      <c r="AZ1061" s="825"/>
    </row>
    <row r="1062" spans="26:52">
      <c r="Z1062" s="1039"/>
      <c r="AC1062" s="1045"/>
      <c r="AD1062" s="825"/>
      <c r="AF1062" s="825"/>
      <c r="AH1062" s="825"/>
      <c r="AJ1062" s="825"/>
      <c r="AK1062" s="825"/>
      <c r="AM1062" s="825"/>
      <c r="AO1062" s="825"/>
      <c r="AP1062" s="825"/>
      <c r="AU1062" s="825"/>
      <c r="AW1062" s="825"/>
      <c r="AX1062" s="825"/>
      <c r="AY1062" s="825"/>
      <c r="AZ1062" s="825"/>
    </row>
    <row r="1063" spans="26:52">
      <c r="Z1063" s="1039"/>
      <c r="AC1063" s="1045"/>
      <c r="AD1063" s="825"/>
      <c r="AF1063" s="825"/>
      <c r="AH1063" s="825"/>
      <c r="AJ1063" s="825"/>
      <c r="AK1063" s="825"/>
      <c r="AM1063" s="825"/>
      <c r="AO1063" s="825"/>
      <c r="AP1063" s="825"/>
      <c r="AU1063" s="825"/>
      <c r="AW1063" s="825"/>
      <c r="AX1063" s="825"/>
      <c r="AY1063" s="825"/>
      <c r="AZ1063" s="825"/>
    </row>
    <row r="1064" spans="26:52">
      <c r="Z1064" s="1039"/>
      <c r="AC1064" s="1045"/>
      <c r="AD1064" s="825"/>
      <c r="AF1064" s="825"/>
      <c r="AH1064" s="825"/>
      <c r="AJ1064" s="825"/>
      <c r="AK1064" s="825"/>
      <c r="AM1064" s="825"/>
      <c r="AO1064" s="825"/>
      <c r="AP1064" s="825"/>
      <c r="AU1064" s="825"/>
      <c r="AW1064" s="825"/>
      <c r="AX1064" s="825"/>
      <c r="AY1064" s="825"/>
      <c r="AZ1064" s="825"/>
    </row>
    <row r="1065" spans="26:52">
      <c r="Z1065" s="1039"/>
      <c r="AC1065" s="1045"/>
      <c r="AD1065" s="825"/>
      <c r="AF1065" s="825"/>
      <c r="AH1065" s="825"/>
      <c r="AJ1065" s="825"/>
      <c r="AK1065" s="825"/>
      <c r="AM1065" s="825"/>
      <c r="AO1065" s="825"/>
      <c r="AP1065" s="825"/>
      <c r="AU1065" s="825"/>
      <c r="AW1065" s="825"/>
      <c r="AX1065" s="825"/>
      <c r="AY1065" s="825"/>
      <c r="AZ1065" s="825"/>
    </row>
    <row r="1066" spans="26:52">
      <c r="Z1066" s="1039"/>
      <c r="AC1066" s="1045"/>
      <c r="AD1066" s="825"/>
      <c r="AF1066" s="825"/>
      <c r="AH1066" s="825"/>
      <c r="AJ1066" s="825"/>
      <c r="AK1066" s="825"/>
      <c r="AM1066" s="825"/>
      <c r="AO1066" s="825"/>
      <c r="AP1066" s="825"/>
      <c r="AU1066" s="825"/>
      <c r="AW1066" s="825"/>
      <c r="AX1066" s="825"/>
      <c r="AY1066" s="825"/>
      <c r="AZ1066" s="825"/>
    </row>
    <row r="1067" spans="26:52">
      <c r="Z1067" s="1039"/>
      <c r="AC1067" s="1045"/>
      <c r="AD1067" s="825"/>
      <c r="AF1067" s="825"/>
      <c r="AH1067" s="825"/>
      <c r="AJ1067" s="825"/>
      <c r="AK1067" s="825"/>
      <c r="AM1067" s="825"/>
      <c r="AO1067" s="825"/>
      <c r="AP1067" s="825"/>
      <c r="AU1067" s="825"/>
      <c r="AW1067" s="825"/>
      <c r="AX1067" s="825"/>
      <c r="AY1067" s="825"/>
      <c r="AZ1067" s="825"/>
    </row>
    <row r="1068" spans="26:52">
      <c r="Z1068" s="1039"/>
      <c r="AC1068" s="1045"/>
      <c r="AD1068" s="825"/>
      <c r="AF1068" s="825"/>
      <c r="AH1068" s="825"/>
      <c r="AJ1068" s="825"/>
      <c r="AK1068" s="825"/>
      <c r="AM1068" s="825"/>
      <c r="AO1068" s="825"/>
      <c r="AP1068" s="825"/>
      <c r="AU1068" s="825"/>
      <c r="AW1068" s="825"/>
      <c r="AX1068" s="825"/>
      <c r="AY1068" s="825"/>
      <c r="AZ1068" s="825"/>
    </row>
    <row r="1069" spans="26:52">
      <c r="Z1069" s="1039"/>
      <c r="AC1069" s="1045"/>
      <c r="AD1069" s="825"/>
      <c r="AF1069" s="825"/>
      <c r="AH1069" s="825"/>
      <c r="AJ1069" s="825"/>
      <c r="AK1069" s="825"/>
      <c r="AM1069" s="825"/>
      <c r="AO1069" s="825"/>
      <c r="AP1069" s="825"/>
      <c r="AU1069" s="825"/>
      <c r="AW1069" s="825"/>
      <c r="AX1069" s="825"/>
      <c r="AY1069" s="825"/>
      <c r="AZ1069" s="825"/>
    </row>
    <row r="1070" spans="26:52">
      <c r="Z1070" s="1039"/>
      <c r="AC1070" s="1045"/>
      <c r="AD1070" s="825"/>
      <c r="AF1070" s="825"/>
      <c r="AH1070" s="825"/>
      <c r="AJ1070" s="825"/>
      <c r="AK1070" s="825"/>
      <c r="AM1070" s="825"/>
      <c r="AO1070" s="825"/>
      <c r="AP1070" s="825"/>
      <c r="AU1070" s="825"/>
      <c r="AW1070" s="825"/>
      <c r="AX1070" s="825"/>
      <c r="AY1070" s="825"/>
      <c r="AZ1070" s="825"/>
    </row>
    <row r="1071" spans="26:52">
      <c r="Z1071" s="1039"/>
      <c r="AC1071" s="1045"/>
      <c r="AD1071" s="825"/>
      <c r="AF1071" s="825"/>
      <c r="AH1071" s="825"/>
      <c r="AJ1071" s="825"/>
      <c r="AK1071" s="825"/>
      <c r="AM1071" s="825"/>
      <c r="AO1071" s="825"/>
      <c r="AP1071" s="825"/>
      <c r="AU1071" s="825"/>
      <c r="AW1071" s="825"/>
      <c r="AX1071" s="825"/>
      <c r="AY1071" s="825"/>
      <c r="AZ1071" s="825"/>
    </row>
    <row r="1072" spans="26:52">
      <c r="Z1072" s="1039"/>
      <c r="AC1072" s="1045"/>
      <c r="AD1072" s="825"/>
      <c r="AF1072" s="825"/>
      <c r="AH1072" s="825"/>
      <c r="AJ1072" s="825"/>
      <c r="AK1072" s="825"/>
      <c r="AM1072" s="825"/>
      <c r="AO1072" s="825"/>
      <c r="AP1072" s="825"/>
      <c r="AU1072" s="825"/>
      <c r="AW1072" s="825"/>
      <c r="AX1072" s="825"/>
      <c r="AY1072" s="825"/>
      <c r="AZ1072" s="825"/>
    </row>
    <row r="1073" spans="26:52">
      <c r="Z1073" s="1039"/>
      <c r="AC1073" s="1045"/>
      <c r="AD1073" s="825"/>
      <c r="AF1073" s="825"/>
      <c r="AH1073" s="825"/>
      <c r="AJ1073" s="825"/>
      <c r="AK1073" s="825"/>
      <c r="AM1073" s="825"/>
      <c r="AO1073" s="825"/>
      <c r="AP1073" s="825"/>
      <c r="AU1073" s="825"/>
      <c r="AW1073" s="825"/>
      <c r="AX1073" s="825"/>
      <c r="AY1073" s="825"/>
      <c r="AZ1073" s="825"/>
    </row>
    <row r="1074" spans="26:52">
      <c r="Z1074" s="1039"/>
      <c r="AC1074" s="1045"/>
      <c r="AD1074" s="825"/>
      <c r="AF1074" s="825"/>
      <c r="AH1074" s="825"/>
      <c r="AJ1074" s="825"/>
      <c r="AK1074" s="825"/>
      <c r="AM1074" s="825"/>
      <c r="AO1074" s="825"/>
      <c r="AP1074" s="825"/>
      <c r="AU1074" s="825"/>
      <c r="AW1074" s="825"/>
      <c r="AX1074" s="825"/>
      <c r="AY1074" s="825"/>
      <c r="AZ1074" s="825"/>
    </row>
    <row r="1075" spans="26:52">
      <c r="Z1075" s="1039"/>
      <c r="AC1075" s="1045"/>
      <c r="AD1075" s="825"/>
      <c r="AF1075" s="825"/>
      <c r="AH1075" s="825"/>
      <c r="AJ1075" s="825"/>
      <c r="AK1075" s="825"/>
      <c r="AM1075" s="825"/>
      <c r="AO1075" s="825"/>
      <c r="AP1075" s="825"/>
      <c r="AU1075" s="825"/>
      <c r="AW1075" s="825"/>
      <c r="AX1075" s="825"/>
      <c r="AY1075" s="825"/>
      <c r="AZ1075" s="825"/>
    </row>
    <row r="1076" spans="26:52">
      <c r="Z1076" s="1039"/>
      <c r="AC1076" s="1045"/>
      <c r="AD1076" s="825"/>
      <c r="AF1076" s="825"/>
      <c r="AH1076" s="825"/>
      <c r="AJ1076" s="825"/>
      <c r="AK1076" s="825"/>
      <c r="AM1076" s="825"/>
      <c r="AO1076" s="825"/>
      <c r="AP1076" s="825"/>
      <c r="AU1076" s="825"/>
      <c r="AW1076" s="825"/>
      <c r="AX1076" s="825"/>
      <c r="AY1076" s="825"/>
      <c r="AZ1076" s="825"/>
    </row>
    <row r="1077" spans="26:52">
      <c r="Z1077" s="1039"/>
      <c r="AC1077" s="1045"/>
      <c r="AD1077" s="825"/>
      <c r="AF1077" s="825"/>
      <c r="AH1077" s="825"/>
      <c r="AJ1077" s="825"/>
      <c r="AK1077" s="825"/>
      <c r="AM1077" s="825"/>
      <c r="AO1077" s="825"/>
      <c r="AP1077" s="825"/>
      <c r="AU1077" s="825"/>
      <c r="AW1077" s="825"/>
      <c r="AX1077" s="825"/>
      <c r="AY1077" s="825"/>
      <c r="AZ1077" s="825"/>
    </row>
    <row r="1078" spans="26:52">
      <c r="Z1078" s="1039"/>
      <c r="AC1078" s="1045"/>
      <c r="AD1078" s="825"/>
      <c r="AF1078" s="825"/>
      <c r="AH1078" s="825"/>
      <c r="AJ1078" s="825"/>
      <c r="AK1078" s="825"/>
      <c r="AM1078" s="825"/>
      <c r="AO1078" s="825"/>
      <c r="AP1078" s="825"/>
      <c r="AU1078" s="825"/>
      <c r="AW1078" s="825"/>
      <c r="AX1078" s="825"/>
      <c r="AY1078" s="825"/>
      <c r="AZ1078" s="825"/>
    </row>
    <row r="1079" spans="26:52">
      <c r="Z1079" s="1039"/>
      <c r="AC1079" s="1045"/>
      <c r="AD1079" s="825"/>
      <c r="AF1079" s="825"/>
      <c r="AH1079" s="825"/>
      <c r="AJ1079" s="825"/>
      <c r="AK1079" s="825"/>
      <c r="AM1079" s="825"/>
      <c r="AO1079" s="825"/>
      <c r="AP1079" s="825"/>
      <c r="AU1079" s="825"/>
      <c r="AW1079" s="825"/>
      <c r="AX1079" s="825"/>
      <c r="AY1079" s="825"/>
      <c r="AZ1079" s="825"/>
    </row>
    <row r="1080" spans="26:52">
      <c r="Z1080" s="1039"/>
      <c r="AC1080" s="1045"/>
      <c r="AD1080" s="825"/>
      <c r="AF1080" s="825"/>
      <c r="AH1080" s="825"/>
      <c r="AJ1080" s="825"/>
      <c r="AK1080" s="825"/>
      <c r="AM1080" s="825"/>
      <c r="AO1080" s="825"/>
      <c r="AP1080" s="825"/>
      <c r="AU1080" s="825"/>
      <c r="AW1080" s="825"/>
      <c r="AX1080" s="825"/>
      <c r="AY1080" s="825"/>
      <c r="AZ1080" s="825"/>
    </row>
    <row r="1081" spans="26:52">
      <c r="Z1081" s="1039"/>
      <c r="AC1081" s="1045"/>
      <c r="AD1081" s="825"/>
      <c r="AF1081" s="825"/>
      <c r="AH1081" s="825"/>
      <c r="AJ1081" s="825"/>
      <c r="AK1081" s="825"/>
      <c r="AM1081" s="825"/>
      <c r="AO1081" s="825"/>
      <c r="AP1081" s="825"/>
      <c r="AU1081" s="825"/>
      <c r="AW1081" s="825"/>
      <c r="AX1081" s="825"/>
      <c r="AY1081" s="825"/>
      <c r="AZ1081" s="825"/>
    </row>
    <row r="1082" spans="26:52">
      <c r="Z1082" s="1039"/>
      <c r="AC1082" s="1045"/>
      <c r="AD1082" s="825"/>
      <c r="AF1082" s="825"/>
      <c r="AH1082" s="825"/>
      <c r="AJ1082" s="825"/>
      <c r="AK1082" s="825"/>
      <c r="AM1082" s="825"/>
      <c r="AO1082" s="825"/>
      <c r="AP1082" s="825"/>
      <c r="AU1082" s="825"/>
      <c r="AW1082" s="825"/>
      <c r="AX1082" s="825"/>
      <c r="AY1082" s="825"/>
      <c r="AZ1082" s="825"/>
    </row>
    <row r="1083" spans="26:52">
      <c r="Z1083" s="1039"/>
      <c r="AC1083" s="1045"/>
      <c r="AD1083" s="825"/>
      <c r="AF1083" s="825"/>
      <c r="AH1083" s="825"/>
      <c r="AJ1083" s="825"/>
      <c r="AK1083" s="825"/>
      <c r="AM1083" s="825"/>
      <c r="AO1083" s="825"/>
      <c r="AP1083" s="825"/>
      <c r="AU1083" s="825"/>
      <c r="AW1083" s="825"/>
      <c r="AX1083" s="825"/>
      <c r="AY1083" s="825"/>
      <c r="AZ1083" s="825"/>
    </row>
    <row r="1084" spans="26:52">
      <c r="Z1084" s="1039"/>
      <c r="AC1084" s="1045"/>
      <c r="AD1084" s="825"/>
      <c r="AF1084" s="825"/>
      <c r="AH1084" s="825"/>
      <c r="AJ1084" s="825"/>
      <c r="AK1084" s="825"/>
      <c r="AM1084" s="825"/>
      <c r="AO1084" s="825"/>
      <c r="AP1084" s="825"/>
      <c r="AU1084" s="825"/>
      <c r="AW1084" s="825"/>
      <c r="AX1084" s="825"/>
      <c r="AY1084" s="825"/>
      <c r="AZ1084" s="825"/>
    </row>
    <row r="1085" spans="26:52">
      <c r="Z1085" s="1039"/>
      <c r="AC1085" s="1045"/>
      <c r="AD1085" s="825"/>
      <c r="AF1085" s="825"/>
      <c r="AH1085" s="825"/>
      <c r="AJ1085" s="825"/>
      <c r="AK1085" s="825"/>
      <c r="AM1085" s="825"/>
      <c r="AO1085" s="825"/>
      <c r="AP1085" s="825"/>
      <c r="AU1085" s="825"/>
      <c r="AW1085" s="825"/>
      <c r="AX1085" s="825"/>
      <c r="AY1085" s="825"/>
      <c r="AZ1085" s="825"/>
    </row>
    <row r="1086" spans="26:52">
      <c r="Z1086" s="1039"/>
      <c r="AC1086" s="1045"/>
      <c r="AD1086" s="825"/>
      <c r="AF1086" s="825"/>
      <c r="AH1086" s="825"/>
      <c r="AJ1086" s="825"/>
      <c r="AK1086" s="825"/>
      <c r="AM1086" s="825"/>
      <c r="AO1086" s="825"/>
      <c r="AP1086" s="825"/>
      <c r="AU1086" s="825"/>
      <c r="AW1086" s="825"/>
      <c r="AX1086" s="825"/>
      <c r="AY1086" s="825"/>
      <c r="AZ1086" s="825"/>
    </row>
    <row r="1087" spans="26:52">
      <c r="Z1087" s="1039"/>
      <c r="AC1087" s="1045"/>
      <c r="AD1087" s="825"/>
      <c r="AF1087" s="825"/>
      <c r="AH1087" s="825"/>
      <c r="AJ1087" s="825"/>
      <c r="AK1087" s="825"/>
      <c r="AM1087" s="825"/>
      <c r="AO1087" s="825"/>
      <c r="AP1087" s="825"/>
      <c r="AU1087" s="825"/>
      <c r="AW1087" s="825"/>
      <c r="AX1087" s="825"/>
      <c r="AY1087" s="825"/>
      <c r="AZ1087" s="825"/>
    </row>
    <row r="1088" spans="26:52">
      <c r="Z1088" s="1039"/>
      <c r="AC1088" s="1045"/>
      <c r="AD1088" s="825"/>
      <c r="AF1088" s="825"/>
      <c r="AH1088" s="825"/>
      <c r="AJ1088" s="825"/>
      <c r="AK1088" s="825"/>
      <c r="AM1088" s="825"/>
      <c r="AO1088" s="825"/>
      <c r="AP1088" s="825"/>
      <c r="AU1088" s="825"/>
      <c r="AW1088" s="825"/>
      <c r="AX1088" s="825"/>
      <c r="AY1088" s="825"/>
      <c r="AZ1088" s="825"/>
    </row>
    <row r="1089" spans="26:52">
      <c r="Z1089" s="1039"/>
      <c r="AC1089" s="1045"/>
      <c r="AD1089" s="825"/>
      <c r="AF1089" s="825"/>
      <c r="AH1089" s="825"/>
      <c r="AJ1089" s="825"/>
      <c r="AK1089" s="825"/>
      <c r="AM1089" s="825"/>
      <c r="AO1089" s="825"/>
      <c r="AP1089" s="825"/>
      <c r="AU1089" s="825"/>
      <c r="AW1089" s="825"/>
      <c r="AX1089" s="825"/>
      <c r="AY1089" s="825"/>
      <c r="AZ1089" s="825"/>
    </row>
    <row r="1090" spans="26:52">
      <c r="Z1090" s="1039"/>
      <c r="AC1090" s="1045"/>
      <c r="AD1090" s="825"/>
      <c r="AF1090" s="825"/>
      <c r="AH1090" s="825"/>
      <c r="AJ1090" s="825"/>
      <c r="AK1090" s="825"/>
      <c r="AM1090" s="825"/>
      <c r="AO1090" s="825"/>
      <c r="AP1090" s="825"/>
      <c r="AU1090" s="825"/>
      <c r="AW1090" s="825"/>
      <c r="AX1090" s="825"/>
      <c r="AY1090" s="825"/>
      <c r="AZ1090" s="825"/>
    </row>
    <row r="1091" spans="26:52">
      <c r="Z1091" s="1039"/>
      <c r="AC1091" s="1045"/>
      <c r="AD1091" s="825"/>
      <c r="AF1091" s="825"/>
      <c r="AH1091" s="825"/>
      <c r="AJ1091" s="825"/>
      <c r="AK1091" s="825"/>
      <c r="AM1091" s="825"/>
      <c r="AO1091" s="825"/>
      <c r="AP1091" s="825"/>
      <c r="AU1091" s="825"/>
      <c r="AW1091" s="825"/>
      <c r="AX1091" s="825"/>
      <c r="AY1091" s="825"/>
      <c r="AZ1091" s="825"/>
    </row>
    <row r="1092" spans="26:52">
      <c r="Z1092" s="1039"/>
      <c r="AC1092" s="1045"/>
      <c r="AD1092" s="825"/>
      <c r="AF1092" s="825"/>
      <c r="AH1092" s="825"/>
      <c r="AJ1092" s="825"/>
      <c r="AK1092" s="825"/>
      <c r="AM1092" s="825"/>
      <c r="AO1092" s="825"/>
      <c r="AP1092" s="825"/>
      <c r="AU1092" s="825"/>
      <c r="AW1092" s="825"/>
      <c r="AX1092" s="825"/>
      <c r="AY1092" s="825"/>
      <c r="AZ1092" s="825"/>
    </row>
    <row r="1093" spans="26:52">
      <c r="Z1093" s="1039"/>
      <c r="AC1093" s="1045"/>
      <c r="AD1093" s="825"/>
      <c r="AF1093" s="825"/>
      <c r="AH1093" s="825"/>
      <c r="AJ1093" s="825"/>
      <c r="AK1093" s="825"/>
      <c r="AM1093" s="825"/>
      <c r="AO1093" s="825"/>
      <c r="AP1093" s="825"/>
      <c r="AU1093" s="825"/>
      <c r="AW1093" s="825"/>
      <c r="AX1093" s="825"/>
      <c r="AY1093" s="825"/>
      <c r="AZ1093" s="825"/>
    </row>
    <row r="1094" spans="26:52">
      <c r="Z1094" s="1039"/>
      <c r="AC1094" s="1045"/>
      <c r="AD1094" s="825"/>
      <c r="AF1094" s="825"/>
      <c r="AH1094" s="825"/>
      <c r="AJ1094" s="825"/>
      <c r="AK1094" s="825"/>
      <c r="AM1094" s="825"/>
      <c r="AO1094" s="825"/>
      <c r="AP1094" s="825"/>
      <c r="AU1094" s="825"/>
      <c r="AW1094" s="825"/>
      <c r="AX1094" s="825"/>
      <c r="AY1094" s="825"/>
      <c r="AZ1094" s="825"/>
    </row>
    <row r="1095" spans="26:52">
      <c r="Z1095" s="1039"/>
      <c r="AC1095" s="1045"/>
      <c r="AD1095" s="825"/>
      <c r="AF1095" s="825"/>
      <c r="AH1095" s="825"/>
      <c r="AJ1095" s="825"/>
      <c r="AK1095" s="825"/>
      <c r="AM1095" s="825"/>
      <c r="AO1095" s="825"/>
      <c r="AP1095" s="825"/>
      <c r="AU1095" s="825"/>
      <c r="AW1095" s="825"/>
      <c r="AX1095" s="825"/>
      <c r="AY1095" s="825"/>
      <c r="AZ1095" s="825"/>
    </row>
    <row r="1096" spans="26:52">
      <c r="Z1096" s="1039"/>
      <c r="AC1096" s="1045"/>
      <c r="AD1096" s="825"/>
      <c r="AF1096" s="825"/>
      <c r="AH1096" s="825"/>
      <c r="AJ1096" s="825"/>
      <c r="AK1096" s="825"/>
      <c r="AM1096" s="825"/>
      <c r="AO1096" s="825"/>
      <c r="AP1096" s="825"/>
      <c r="AU1096" s="825"/>
      <c r="AW1096" s="825"/>
      <c r="AX1096" s="825"/>
      <c r="AY1096" s="825"/>
      <c r="AZ1096" s="825"/>
    </row>
    <row r="1097" spans="26:52">
      <c r="Z1097" s="1039"/>
      <c r="AC1097" s="1045"/>
      <c r="AD1097" s="825"/>
      <c r="AF1097" s="825"/>
      <c r="AH1097" s="825"/>
      <c r="AJ1097" s="825"/>
      <c r="AK1097" s="825"/>
      <c r="AM1097" s="825"/>
      <c r="AO1097" s="825"/>
      <c r="AP1097" s="825"/>
      <c r="AU1097" s="825"/>
      <c r="AW1097" s="825"/>
      <c r="AX1097" s="825"/>
      <c r="AY1097" s="825"/>
      <c r="AZ1097" s="825"/>
    </row>
    <row r="1098" spans="26:52">
      <c r="Z1098" s="1039"/>
      <c r="AC1098" s="1045"/>
      <c r="AD1098" s="825"/>
      <c r="AF1098" s="825"/>
      <c r="AH1098" s="825"/>
      <c r="AJ1098" s="825"/>
      <c r="AK1098" s="825"/>
      <c r="AM1098" s="825"/>
      <c r="AO1098" s="825"/>
      <c r="AP1098" s="825"/>
      <c r="AU1098" s="825"/>
      <c r="AW1098" s="825"/>
      <c r="AX1098" s="825"/>
      <c r="AY1098" s="825"/>
      <c r="AZ1098" s="825"/>
    </row>
    <row r="1099" spans="26:52">
      <c r="Z1099" s="1039"/>
      <c r="AC1099" s="1045"/>
      <c r="AD1099" s="825"/>
      <c r="AF1099" s="825"/>
      <c r="AH1099" s="825"/>
      <c r="AJ1099" s="825"/>
      <c r="AK1099" s="825"/>
      <c r="AM1099" s="825"/>
      <c r="AO1099" s="825"/>
      <c r="AP1099" s="825"/>
      <c r="AU1099" s="825"/>
      <c r="AW1099" s="825"/>
      <c r="AX1099" s="825"/>
      <c r="AY1099" s="825"/>
      <c r="AZ1099" s="825"/>
    </row>
    <row r="1100" spans="26:52">
      <c r="Z1100" s="1039"/>
      <c r="AC1100" s="1045"/>
      <c r="AD1100" s="825"/>
      <c r="AF1100" s="825"/>
      <c r="AH1100" s="825"/>
      <c r="AJ1100" s="825"/>
      <c r="AK1100" s="825"/>
      <c r="AM1100" s="825"/>
      <c r="AO1100" s="825"/>
      <c r="AP1100" s="825"/>
      <c r="AU1100" s="825"/>
      <c r="AW1100" s="825"/>
      <c r="AX1100" s="825"/>
      <c r="AY1100" s="825"/>
      <c r="AZ1100" s="825"/>
    </row>
    <row r="1101" spans="26:52">
      <c r="Z1101" s="1039"/>
      <c r="AC1101" s="1045"/>
      <c r="AD1101" s="825"/>
      <c r="AF1101" s="825"/>
      <c r="AH1101" s="825"/>
      <c r="AJ1101" s="825"/>
      <c r="AK1101" s="825"/>
      <c r="AM1101" s="825"/>
      <c r="AO1101" s="825"/>
      <c r="AP1101" s="825"/>
      <c r="AU1101" s="825"/>
      <c r="AW1101" s="825"/>
      <c r="AX1101" s="825"/>
      <c r="AY1101" s="825"/>
      <c r="AZ1101" s="825"/>
    </row>
    <row r="1102" spans="26:52">
      <c r="Z1102" s="1039"/>
      <c r="AC1102" s="1045"/>
      <c r="AD1102" s="825"/>
      <c r="AF1102" s="825"/>
      <c r="AH1102" s="825"/>
      <c r="AJ1102" s="825"/>
      <c r="AK1102" s="825"/>
      <c r="AM1102" s="825"/>
      <c r="AO1102" s="825"/>
      <c r="AP1102" s="825"/>
      <c r="AU1102" s="825"/>
      <c r="AW1102" s="825"/>
      <c r="AX1102" s="825"/>
      <c r="AY1102" s="825"/>
      <c r="AZ1102" s="825"/>
    </row>
    <row r="1103" spans="26:52">
      <c r="Z1103" s="1039"/>
      <c r="AC1103" s="1045"/>
      <c r="AD1103" s="825"/>
      <c r="AF1103" s="825"/>
      <c r="AH1103" s="825"/>
      <c r="AJ1103" s="825"/>
      <c r="AK1103" s="825"/>
      <c r="AM1103" s="825"/>
      <c r="AO1103" s="825"/>
      <c r="AP1103" s="825"/>
      <c r="AU1103" s="825"/>
      <c r="AW1103" s="825"/>
      <c r="AX1103" s="825"/>
      <c r="AY1103" s="825"/>
      <c r="AZ1103" s="825"/>
    </row>
    <row r="1104" spans="26:52">
      <c r="Z1104" s="1039"/>
      <c r="AC1104" s="1045"/>
      <c r="AD1104" s="825"/>
      <c r="AF1104" s="825"/>
      <c r="AH1104" s="825"/>
      <c r="AJ1104" s="825"/>
      <c r="AK1104" s="825"/>
      <c r="AM1104" s="825"/>
      <c r="AO1104" s="825"/>
      <c r="AP1104" s="825"/>
      <c r="AU1104" s="825"/>
      <c r="AW1104" s="825"/>
      <c r="AX1104" s="825"/>
      <c r="AY1104" s="825"/>
      <c r="AZ1104" s="825"/>
    </row>
    <row r="1105" spans="26:52">
      <c r="Z1105" s="1039"/>
      <c r="AC1105" s="1045"/>
      <c r="AD1105" s="825"/>
      <c r="AF1105" s="825"/>
      <c r="AH1105" s="825"/>
      <c r="AJ1105" s="825"/>
      <c r="AK1105" s="825"/>
      <c r="AM1105" s="825"/>
      <c r="AO1105" s="825"/>
      <c r="AP1105" s="825"/>
      <c r="AU1105" s="825"/>
      <c r="AW1105" s="825"/>
      <c r="AX1105" s="825"/>
      <c r="AY1105" s="825"/>
      <c r="AZ1105" s="825"/>
    </row>
    <row r="1106" spans="26:52">
      <c r="Z1106" s="1039"/>
      <c r="AC1106" s="1045"/>
      <c r="AD1106" s="825"/>
      <c r="AF1106" s="825"/>
      <c r="AH1106" s="825"/>
      <c r="AJ1106" s="825"/>
      <c r="AK1106" s="825"/>
      <c r="AM1106" s="825"/>
      <c r="AO1106" s="825"/>
      <c r="AP1106" s="825"/>
      <c r="AU1106" s="825"/>
      <c r="AW1106" s="825"/>
      <c r="AX1106" s="825"/>
      <c r="AY1106" s="825"/>
      <c r="AZ1106" s="825"/>
    </row>
    <row r="1107" spans="26:52">
      <c r="Z1107" s="1039"/>
      <c r="AC1107" s="1045"/>
      <c r="AD1107" s="825"/>
      <c r="AF1107" s="825"/>
      <c r="AH1107" s="825"/>
      <c r="AJ1107" s="825"/>
      <c r="AK1107" s="825"/>
      <c r="AM1107" s="825"/>
      <c r="AO1107" s="825"/>
      <c r="AP1107" s="825"/>
      <c r="AU1107" s="825"/>
      <c r="AW1107" s="825"/>
      <c r="AX1107" s="825"/>
      <c r="AY1107" s="825"/>
      <c r="AZ1107" s="825"/>
    </row>
    <row r="1108" spans="26:52">
      <c r="Z1108" s="1039"/>
      <c r="AC1108" s="1045"/>
      <c r="AD1108" s="825"/>
      <c r="AF1108" s="825"/>
      <c r="AH1108" s="825"/>
      <c r="AJ1108" s="825"/>
      <c r="AK1108" s="825"/>
      <c r="AM1108" s="825"/>
      <c r="AO1108" s="825"/>
      <c r="AP1108" s="825"/>
      <c r="AU1108" s="825"/>
      <c r="AW1108" s="825"/>
      <c r="AX1108" s="825"/>
      <c r="AY1108" s="825"/>
      <c r="AZ1108" s="825"/>
    </row>
    <row r="1109" spans="26:52">
      <c r="Z1109" s="1039"/>
      <c r="AC1109" s="1045"/>
      <c r="AD1109" s="825"/>
      <c r="AF1109" s="825"/>
      <c r="AH1109" s="825"/>
      <c r="AJ1109" s="825"/>
      <c r="AK1109" s="825"/>
      <c r="AM1109" s="825"/>
      <c r="AO1109" s="825"/>
      <c r="AP1109" s="825"/>
      <c r="AU1109" s="825"/>
      <c r="AW1109" s="825"/>
      <c r="AX1109" s="825"/>
      <c r="AY1109" s="825"/>
      <c r="AZ1109" s="825"/>
    </row>
    <row r="1110" spans="26:52">
      <c r="Z1110" s="1039"/>
      <c r="AC1110" s="1045"/>
      <c r="AD1110" s="825"/>
      <c r="AF1110" s="825"/>
      <c r="AH1110" s="825"/>
      <c r="AJ1110" s="825"/>
      <c r="AK1110" s="825"/>
      <c r="AM1110" s="825"/>
      <c r="AO1110" s="825"/>
      <c r="AP1110" s="825"/>
      <c r="AU1110" s="825"/>
      <c r="AW1110" s="825"/>
      <c r="AX1110" s="825"/>
      <c r="AY1110" s="825"/>
      <c r="AZ1110" s="825"/>
    </row>
    <row r="1111" spans="26:52">
      <c r="Z1111" s="1039"/>
      <c r="AC1111" s="1045"/>
      <c r="AD1111" s="825"/>
      <c r="AF1111" s="825"/>
      <c r="AH1111" s="825"/>
      <c r="AJ1111" s="825"/>
      <c r="AK1111" s="825"/>
      <c r="AM1111" s="825"/>
      <c r="AO1111" s="825"/>
      <c r="AP1111" s="825"/>
      <c r="AU1111" s="825"/>
      <c r="AW1111" s="825"/>
      <c r="AX1111" s="825"/>
      <c r="AY1111" s="825"/>
      <c r="AZ1111" s="825"/>
    </row>
    <row r="1112" spans="26:52">
      <c r="Z1112" s="1039"/>
      <c r="AC1112" s="1045"/>
      <c r="AD1112" s="825"/>
      <c r="AF1112" s="825"/>
      <c r="AH1112" s="825"/>
      <c r="AJ1112" s="825"/>
      <c r="AK1112" s="825"/>
      <c r="AM1112" s="825"/>
      <c r="AO1112" s="825"/>
      <c r="AP1112" s="825"/>
      <c r="AU1112" s="825"/>
      <c r="AW1112" s="825"/>
      <c r="AX1112" s="825"/>
      <c r="AY1112" s="825"/>
      <c r="AZ1112" s="825"/>
    </row>
    <row r="1113" spans="26:52">
      <c r="Z1113" s="1039"/>
      <c r="AC1113" s="1045"/>
      <c r="AD1113" s="825"/>
      <c r="AF1113" s="825"/>
      <c r="AH1113" s="825"/>
      <c r="AJ1113" s="825"/>
      <c r="AK1113" s="825"/>
      <c r="AM1113" s="825"/>
      <c r="AO1113" s="825"/>
      <c r="AP1113" s="825"/>
      <c r="AU1113" s="825"/>
      <c r="AW1113" s="825"/>
      <c r="AX1113" s="825"/>
      <c r="AY1113" s="825"/>
      <c r="AZ1113" s="825"/>
    </row>
    <row r="1114" spans="26:52">
      <c r="Z1114" s="1039"/>
      <c r="AC1114" s="1045"/>
      <c r="AD1114" s="825"/>
      <c r="AF1114" s="825"/>
      <c r="AH1114" s="825"/>
      <c r="AJ1114" s="825"/>
      <c r="AK1114" s="825"/>
      <c r="AM1114" s="825"/>
      <c r="AO1114" s="825"/>
      <c r="AP1114" s="825"/>
      <c r="AU1114" s="825"/>
      <c r="AW1114" s="825"/>
      <c r="AX1114" s="825"/>
      <c r="AY1114" s="825"/>
      <c r="AZ1114" s="825"/>
    </row>
    <row r="1115" spans="26:52">
      <c r="Z1115" s="1039"/>
      <c r="AC1115" s="1045"/>
      <c r="AD1115" s="825"/>
      <c r="AF1115" s="825"/>
      <c r="AH1115" s="825"/>
      <c r="AJ1115" s="825"/>
      <c r="AK1115" s="825"/>
      <c r="AM1115" s="825"/>
      <c r="AO1115" s="825"/>
      <c r="AP1115" s="825"/>
      <c r="AU1115" s="825"/>
      <c r="AW1115" s="825"/>
      <c r="AX1115" s="825"/>
      <c r="AY1115" s="825"/>
      <c r="AZ1115" s="825"/>
    </row>
    <row r="1116" spans="26:52">
      <c r="Z1116" s="1039"/>
      <c r="AC1116" s="1045"/>
      <c r="AD1116" s="825"/>
      <c r="AF1116" s="825"/>
      <c r="AH1116" s="825"/>
      <c r="AJ1116" s="825"/>
      <c r="AK1116" s="825"/>
      <c r="AM1116" s="825"/>
      <c r="AO1116" s="825"/>
      <c r="AP1116" s="825"/>
      <c r="AU1116" s="825"/>
      <c r="AW1116" s="825"/>
      <c r="AX1116" s="825"/>
      <c r="AY1116" s="825"/>
      <c r="AZ1116" s="825"/>
    </row>
    <row r="1117" spans="26:52">
      <c r="Z1117" s="1039"/>
      <c r="AC1117" s="1045"/>
      <c r="AD1117" s="825"/>
      <c r="AF1117" s="825"/>
      <c r="AH1117" s="825"/>
      <c r="AJ1117" s="825"/>
      <c r="AK1117" s="825"/>
      <c r="AM1117" s="825"/>
      <c r="AO1117" s="825"/>
      <c r="AP1117" s="825"/>
      <c r="AU1117" s="825"/>
      <c r="AW1117" s="825"/>
      <c r="AX1117" s="825"/>
      <c r="AY1117" s="825"/>
      <c r="AZ1117" s="825"/>
    </row>
    <row r="1118" spans="26:52">
      <c r="Z1118" s="1039"/>
      <c r="AC1118" s="1045"/>
      <c r="AD1118" s="825"/>
      <c r="AF1118" s="825"/>
      <c r="AH1118" s="825"/>
      <c r="AJ1118" s="825"/>
      <c r="AK1118" s="825"/>
      <c r="AM1118" s="825"/>
      <c r="AO1118" s="825"/>
      <c r="AP1118" s="825"/>
      <c r="AU1118" s="825"/>
      <c r="AW1118" s="825"/>
      <c r="AX1118" s="825"/>
      <c r="AY1118" s="825"/>
      <c r="AZ1118" s="825"/>
    </row>
    <row r="1119" spans="26:52">
      <c r="Z1119" s="1039"/>
      <c r="AC1119" s="1045"/>
      <c r="AD1119" s="825"/>
      <c r="AF1119" s="825"/>
      <c r="AH1119" s="825"/>
      <c r="AJ1119" s="825"/>
      <c r="AK1119" s="825"/>
      <c r="AM1119" s="825"/>
      <c r="AO1119" s="825"/>
      <c r="AP1119" s="825"/>
      <c r="AU1119" s="825"/>
      <c r="AW1119" s="825"/>
      <c r="AX1119" s="825"/>
      <c r="AY1119" s="825"/>
      <c r="AZ1119" s="825"/>
    </row>
    <row r="1120" spans="26:52">
      <c r="Z1120" s="1039"/>
      <c r="AC1120" s="1045"/>
      <c r="AD1120" s="825"/>
      <c r="AF1120" s="825"/>
      <c r="AH1120" s="825"/>
      <c r="AJ1120" s="825"/>
      <c r="AK1120" s="825"/>
      <c r="AM1120" s="825"/>
      <c r="AO1120" s="825"/>
      <c r="AP1120" s="825"/>
      <c r="AU1120" s="825"/>
      <c r="AW1120" s="825"/>
      <c r="AX1120" s="825"/>
      <c r="AY1120" s="825"/>
      <c r="AZ1120" s="825"/>
    </row>
    <row r="1121" spans="26:52">
      <c r="Z1121" s="1039"/>
      <c r="AC1121" s="1045"/>
      <c r="AD1121" s="825"/>
      <c r="AF1121" s="825"/>
      <c r="AH1121" s="825"/>
      <c r="AJ1121" s="825"/>
      <c r="AK1121" s="825"/>
      <c r="AM1121" s="825"/>
      <c r="AO1121" s="825"/>
      <c r="AP1121" s="825"/>
      <c r="AU1121" s="825"/>
      <c r="AW1121" s="825"/>
      <c r="AX1121" s="825"/>
      <c r="AY1121" s="825"/>
      <c r="AZ1121" s="825"/>
    </row>
    <row r="1122" spans="26:52">
      <c r="Z1122" s="1039"/>
      <c r="AC1122" s="1045"/>
      <c r="AD1122" s="825"/>
      <c r="AF1122" s="825"/>
      <c r="AH1122" s="825"/>
      <c r="AJ1122" s="825"/>
      <c r="AK1122" s="825"/>
      <c r="AM1122" s="825"/>
      <c r="AO1122" s="825"/>
      <c r="AP1122" s="825"/>
      <c r="AU1122" s="825"/>
      <c r="AW1122" s="825"/>
      <c r="AX1122" s="825"/>
      <c r="AY1122" s="825"/>
      <c r="AZ1122" s="825"/>
    </row>
    <row r="1123" spans="26:52">
      <c r="Z1123" s="1039"/>
      <c r="AC1123" s="1045"/>
      <c r="AD1123" s="825"/>
      <c r="AF1123" s="825"/>
      <c r="AH1123" s="825"/>
      <c r="AJ1123" s="825"/>
      <c r="AK1123" s="825"/>
      <c r="AM1123" s="825"/>
      <c r="AO1123" s="825"/>
      <c r="AP1123" s="825"/>
      <c r="AU1123" s="825"/>
      <c r="AW1123" s="825"/>
      <c r="AX1123" s="825"/>
      <c r="AY1123" s="825"/>
      <c r="AZ1123" s="825"/>
    </row>
    <row r="1124" spans="26:52">
      <c r="Z1124" s="1039"/>
      <c r="AC1124" s="1045"/>
      <c r="AD1124" s="825"/>
      <c r="AF1124" s="825"/>
      <c r="AH1124" s="825"/>
      <c r="AJ1124" s="825"/>
      <c r="AK1124" s="825"/>
      <c r="AM1124" s="825"/>
      <c r="AO1124" s="825"/>
      <c r="AP1124" s="825"/>
      <c r="AU1124" s="825"/>
      <c r="AW1124" s="825"/>
      <c r="AX1124" s="825"/>
      <c r="AY1124" s="825"/>
      <c r="AZ1124" s="825"/>
    </row>
    <row r="1125" spans="26:52">
      <c r="Z1125" s="1039"/>
      <c r="AC1125" s="1045"/>
      <c r="AD1125" s="825"/>
      <c r="AF1125" s="825"/>
      <c r="AH1125" s="825"/>
      <c r="AJ1125" s="825"/>
      <c r="AK1125" s="825"/>
      <c r="AM1125" s="825"/>
      <c r="AO1125" s="825"/>
      <c r="AP1125" s="825"/>
      <c r="AU1125" s="825"/>
      <c r="AW1125" s="825"/>
      <c r="AX1125" s="825"/>
      <c r="AY1125" s="825"/>
      <c r="AZ1125" s="825"/>
    </row>
    <row r="1126" spans="26:52">
      <c r="Z1126" s="1039"/>
      <c r="AC1126" s="1045"/>
      <c r="AD1126" s="825"/>
      <c r="AF1126" s="825"/>
      <c r="AH1126" s="825"/>
      <c r="AJ1126" s="825"/>
      <c r="AK1126" s="825"/>
      <c r="AM1126" s="825"/>
      <c r="AO1126" s="825"/>
      <c r="AP1126" s="825"/>
      <c r="AU1126" s="825"/>
      <c r="AW1126" s="825"/>
      <c r="AX1126" s="825"/>
      <c r="AY1126" s="825"/>
      <c r="AZ1126" s="825"/>
    </row>
    <row r="1127" spans="26:52">
      <c r="Z1127" s="1039"/>
      <c r="AC1127" s="1045"/>
      <c r="AD1127" s="825"/>
      <c r="AF1127" s="825"/>
      <c r="AH1127" s="825"/>
      <c r="AJ1127" s="825"/>
      <c r="AK1127" s="825"/>
      <c r="AM1127" s="825"/>
      <c r="AO1127" s="825"/>
      <c r="AP1127" s="825"/>
      <c r="AU1127" s="825"/>
      <c r="AW1127" s="825"/>
      <c r="AX1127" s="825"/>
      <c r="AY1127" s="825"/>
      <c r="AZ1127" s="825"/>
    </row>
    <row r="1128" spans="26:52">
      <c r="Z1128" s="1039"/>
      <c r="AC1128" s="1045"/>
      <c r="AD1128" s="825"/>
      <c r="AF1128" s="825"/>
      <c r="AH1128" s="825"/>
      <c r="AJ1128" s="825"/>
      <c r="AK1128" s="825"/>
      <c r="AM1128" s="825"/>
      <c r="AO1128" s="825"/>
      <c r="AP1128" s="825"/>
      <c r="AU1128" s="825"/>
      <c r="AW1128" s="825"/>
      <c r="AX1128" s="825"/>
      <c r="AY1128" s="825"/>
      <c r="AZ1128" s="825"/>
    </row>
    <row r="1129" spans="26:52">
      <c r="Z1129" s="1039"/>
      <c r="AC1129" s="1045"/>
      <c r="AD1129" s="825"/>
      <c r="AF1129" s="825"/>
      <c r="AH1129" s="825"/>
      <c r="AJ1129" s="825"/>
      <c r="AK1129" s="825"/>
      <c r="AM1129" s="825"/>
      <c r="AO1129" s="825"/>
      <c r="AP1129" s="825"/>
      <c r="AU1129" s="825"/>
      <c r="AW1129" s="825"/>
      <c r="AX1129" s="825"/>
      <c r="AY1129" s="825"/>
      <c r="AZ1129" s="825"/>
    </row>
    <row r="1130" spans="26:52">
      <c r="Z1130" s="1039"/>
      <c r="AC1130" s="1045"/>
      <c r="AD1130" s="825"/>
      <c r="AF1130" s="825"/>
      <c r="AH1130" s="825"/>
      <c r="AJ1130" s="825"/>
      <c r="AK1130" s="825"/>
      <c r="AM1130" s="825"/>
      <c r="AO1130" s="825"/>
      <c r="AP1130" s="825"/>
      <c r="AU1130" s="825"/>
      <c r="AW1130" s="825"/>
      <c r="AX1130" s="825"/>
      <c r="AY1130" s="825"/>
      <c r="AZ1130" s="825"/>
    </row>
    <row r="1131" spans="26:52">
      <c r="Z1131" s="1039"/>
      <c r="AC1131" s="1045"/>
      <c r="AD1131" s="825"/>
      <c r="AF1131" s="825"/>
      <c r="AH1131" s="825"/>
      <c r="AJ1131" s="825"/>
      <c r="AK1131" s="825"/>
      <c r="AM1131" s="825"/>
      <c r="AO1131" s="825"/>
      <c r="AP1131" s="825"/>
      <c r="AU1131" s="825"/>
      <c r="AW1131" s="825"/>
      <c r="AX1131" s="825"/>
      <c r="AY1131" s="825"/>
      <c r="AZ1131" s="825"/>
    </row>
    <row r="1132" spans="26:52">
      <c r="Z1132" s="1039"/>
      <c r="AC1132" s="1045"/>
      <c r="AD1132" s="825"/>
      <c r="AF1132" s="825"/>
      <c r="AH1132" s="825"/>
      <c r="AJ1132" s="825"/>
      <c r="AK1132" s="825"/>
      <c r="AM1132" s="825"/>
      <c r="AO1132" s="825"/>
      <c r="AP1132" s="825"/>
      <c r="AU1132" s="825"/>
      <c r="AW1132" s="825"/>
      <c r="AX1132" s="825"/>
      <c r="AY1132" s="825"/>
      <c r="AZ1132" s="825"/>
    </row>
    <row r="1133" spans="26:52">
      <c r="Z1133" s="1039"/>
      <c r="AC1133" s="1045"/>
      <c r="AD1133" s="825"/>
      <c r="AF1133" s="825"/>
      <c r="AH1133" s="825"/>
      <c r="AJ1133" s="825"/>
      <c r="AK1133" s="825"/>
      <c r="AM1133" s="825"/>
      <c r="AO1133" s="825"/>
      <c r="AP1133" s="825"/>
      <c r="AU1133" s="825"/>
      <c r="AW1133" s="825"/>
      <c r="AX1133" s="825"/>
      <c r="AY1133" s="825"/>
      <c r="AZ1133" s="825"/>
    </row>
    <row r="1134" spans="26:52">
      <c r="Z1134" s="1039"/>
      <c r="AC1134" s="1045"/>
      <c r="AD1134" s="825"/>
      <c r="AF1134" s="825"/>
      <c r="AH1134" s="825"/>
      <c r="AJ1134" s="825"/>
      <c r="AK1134" s="825"/>
      <c r="AM1134" s="825"/>
      <c r="AO1134" s="825"/>
      <c r="AP1134" s="825"/>
      <c r="AU1134" s="825"/>
      <c r="AW1134" s="825"/>
      <c r="AX1134" s="825"/>
      <c r="AY1134" s="825"/>
      <c r="AZ1134" s="825"/>
    </row>
    <row r="1135" spans="26:52">
      <c r="Z1135" s="1039"/>
      <c r="AC1135" s="1045"/>
      <c r="AD1135" s="825"/>
      <c r="AF1135" s="825"/>
      <c r="AH1135" s="825"/>
      <c r="AJ1135" s="825"/>
      <c r="AK1135" s="825"/>
      <c r="AM1135" s="825"/>
      <c r="AO1135" s="825"/>
      <c r="AP1135" s="825"/>
      <c r="AU1135" s="825"/>
      <c r="AW1135" s="825"/>
      <c r="AX1135" s="825"/>
      <c r="AY1135" s="825"/>
      <c r="AZ1135" s="825"/>
    </row>
    <row r="1136" spans="26:52">
      <c r="Z1136" s="1039"/>
      <c r="AC1136" s="1045"/>
      <c r="AD1136" s="825"/>
      <c r="AF1136" s="825"/>
      <c r="AH1136" s="825"/>
      <c r="AJ1136" s="825"/>
      <c r="AK1136" s="825"/>
      <c r="AM1136" s="825"/>
      <c r="AO1136" s="825"/>
      <c r="AP1136" s="825"/>
      <c r="AU1136" s="825"/>
      <c r="AW1136" s="825"/>
      <c r="AX1136" s="825"/>
      <c r="AY1136" s="825"/>
      <c r="AZ1136" s="825"/>
    </row>
    <row r="1137" spans="26:52">
      <c r="Z1137" s="1039"/>
      <c r="AC1137" s="1045"/>
      <c r="AD1137" s="825"/>
      <c r="AF1137" s="825"/>
      <c r="AH1137" s="825"/>
      <c r="AJ1137" s="825"/>
      <c r="AK1137" s="825"/>
      <c r="AM1137" s="825"/>
      <c r="AO1137" s="825"/>
      <c r="AP1137" s="825"/>
      <c r="AU1137" s="825"/>
      <c r="AW1137" s="825"/>
      <c r="AX1137" s="825"/>
      <c r="AY1137" s="825"/>
      <c r="AZ1137" s="825"/>
    </row>
    <row r="1138" spans="26:52">
      <c r="Z1138" s="1039"/>
      <c r="AC1138" s="1045"/>
      <c r="AD1138" s="825"/>
      <c r="AF1138" s="825"/>
      <c r="AH1138" s="825"/>
      <c r="AJ1138" s="825"/>
      <c r="AK1138" s="825"/>
      <c r="AM1138" s="825"/>
      <c r="AO1138" s="825"/>
      <c r="AP1138" s="825"/>
      <c r="AU1138" s="825"/>
      <c r="AW1138" s="825"/>
      <c r="AX1138" s="825"/>
      <c r="AY1138" s="825"/>
      <c r="AZ1138" s="825"/>
    </row>
    <row r="1139" spans="26:52">
      <c r="Z1139" s="1039"/>
      <c r="AC1139" s="1045"/>
      <c r="AD1139" s="825"/>
      <c r="AF1139" s="825"/>
      <c r="AH1139" s="825"/>
      <c r="AJ1139" s="825"/>
      <c r="AK1139" s="825"/>
      <c r="AM1139" s="825"/>
      <c r="AO1139" s="825"/>
      <c r="AP1139" s="825"/>
      <c r="AU1139" s="825"/>
      <c r="AW1139" s="825"/>
      <c r="AX1139" s="825"/>
      <c r="AY1139" s="825"/>
      <c r="AZ1139" s="825"/>
    </row>
    <row r="1140" spans="26:52">
      <c r="Z1140" s="1039"/>
      <c r="AC1140" s="1045"/>
      <c r="AD1140" s="825"/>
      <c r="AF1140" s="825"/>
      <c r="AH1140" s="825"/>
      <c r="AJ1140" s="825"/>
      <c r="AK1140" s="825"/>
      <c r="AM1140" s="825"/>
      <c r="AO1140" s="825"/>
      <c r="AP1140" s="825"/>
      <c r="AU1140" s="825"/>
      <c r="AW1140" s="825"/>
      <c r="AX1140" s="825"/>
      <c r="AY1140" s="825"/>
      <c r="AZ1140" s="825"/>
    </row>
    <row r="1141" spans="26:52">
      <c r="Z1141" s="1039"/>
      <c r="AC1141" s="1045"/>
      <c r="AD1141" s="825"/>
      <c r="AF1141" s="825"/>
      <c r="AH1141" s="825"/>
      <c r="AJ1141" s="825"/>
      <c r="AK1141" s="825"/>
      <c r="AM1141" s="825"/>
      <c r="AO1141" s="825"/>
      <c r="AP1141" s="825"/>
      <c r="AU1141" s="825"/>
      <c r="AW1141" s="825"/>
      <c r="AX1141" s="825"/>
      <c r="AY1141" s="825"/>
      <c r="AZ1141" s="825"/>
    </row>
    <row r="1142" spans="26:52">
      <c r="Z1142" s="1039"/>
      <c r="AC1142" s="1045"/>
      <c r="AD1142" s="825"/>
      <c r="AF1142" s="825"/>
      <c r="AH1142" s="825"/>
      <c r="AJ1142" s="825"/>
      <c r="AK1142" s="825"/>
      <c r="AM1142" s="825"/>
      <c r="AO1142" s="825"/>
      <c r="AP1142" s="825"/>
      <c r="AU1142" s="825"/>
      <c r="AW1142" s="825"/>
      <c r="AX1142" s="825"/>
      <c r="AY1142" s="825"/>
      <c r="AZ1142" s="825"/>
    </row>
    <row r="1143" spans="26:52">
      <c r="Z1143" s="1039"/>
      <c r="AC1143" s="1045"/>
      <c r="AD1143" s="825"/>
      <c r="AF1143" s="825"/>
      <c r="AH1143" s="825"/>
      <c r="AJ1143" s="825"/>
      <c r="AK1143" s="825"/>
      <c r="AM1143" s="825"/>
      <c r="AO1143" s="825"/>
      <c r="AP1143" s="825"/>
      <c r="AU1143" s="825"/>
      <c r="AW1143" s="825"/>
      <c r="AX1143" s="825"/>
      <c r="AY1143" s="825"/>
      <c r="AZ1143" s="825"/>
    </row>
    <row r="1144" spans="26:52">
      <c r="Z1144" s="1039"/>
      <c r="AC1144" s="1045"/>
      <c r="AD1144" s="825"/>
      <c r="AF1144" s="825"/>
      <c r="AH1144" s="825"/>
      <c r="AJ1144" s="825"/>
      <c r="AK1144" s="825"/>
      <c r="AM1144" s="825"/>
      <c r="AO1144" s="825"/>
      <c r="AP1144" s="825"/>
      <c r="AU1144" s="825"/>
      <c r="AW1144" s="825"/>
      <c r="AX1144" s="825"/>
      <c r="AY1144" s="825"/>
      <c r="AZ1144" s="825"/>
    </row>
    <row r="1145" spans="26:52">
      <c r="Z1145" s="1039"/>
      <c r="AC1145" s="1045"/>
      <c r="AD1145" s="825"/>
      <c r="AF1145" s="825"/>
      <c r="AH1145" s="825"/>
      <c r="AJ1145" s="825"/>
      <c r="AK1145" s="825"/>
      <c r="AM1145" s="825"/>
      <c r="AO1145" s="825"/>
      <c r="AP1145" s="825"/>
      <c r="AU1145" s="825"/>
      <c r="AW1145" s="825"/>
      <c r="AX1145" s="825"/>
      <c r="AY1145" s="825"/>
      <c r="AZ1145" s="825"/>
    </row>
    <row r="1146" spans="26:52">
      <c r="Z1146" s="1039"/>
      <c r="AC1146" s="1045"/>
      <c r="AD1146" s="825"/>
      <c r="AF1146" s="825"/>
      <c r="AH1146" s="825"/>
      <c r="AJ1146" s="825"/>
      <c r="AK1146" s="825"/>
      <c r="AM1146" s="825"/>
      <c r="AO1146" s="825"/>
      <c r="AP1146" s="825"/>
      <c r="AU1146" s="825"/>
      <c r="AW1146" s="825"/>
      <c r="AX1146" s="825"/>
      <c r="AY1146" s="825"/>
      <c r="AZ1146" s="825"/>
    </row>
    <row r="1147" spans="26:52">
      <c r="Z1147" s="1039"/>
      <c r="AC1147" s="1045"/>
      <c r="AD1147" s="825"/>
      <c r="AF1147" s="825"/>
      <c r="AH1147" s="825"/>
      <c r="AJ1147" s="825"/>
      <c r="AK1147" s="825"/>
      <c r="AM1147" s="825"/>
      <c r="AO1147" s="825"/>
      <c r="AP1147" s="825"/>
      <c r="AU1147" s="825"/>
      <c r="AW1147" s="825"/>
      <c r="AX1147" s="825"/>
      <c r="AY1147" s="825"/>
      <c r="AZ1147" s="825"/>
    </row>
    <row r="1148" spans="26:52">
      <c r="Z1148" s="1039"/>
      <c r="AC1148" s="1045"/>
      <c r="AD1148" s="825"/>
      <c r="AF1148" s="825"/>
      <c r="AH1148" s="825"/>
      <c r="AJ1148" s="825"/>
      <c r="AK1148" s="825"/>
      <c r="AM1148" s="825"/>
      <c r="AO1148" s="825"/>
      <c r="AP1148" s="825"/>
      <c r="AU1148" s="825"/>
      <c r="AW1148" s="825"/>
      <c r="AX1148" s="825"/>
      <c r="AY1148" s="825"/>
      <c r="AZ1148" s="825"/>
    </row>
    <row r="1149" spans="26:52">
      <c r="Z1149" s="1039"/>
      <c r="AC1149" s="1045"/>
      <c r="AD1149" s="825"/>
      <c r="AF1149" s="825"/>
      <c r="AH1149" s="825"/>
      <c r="AJ1149" s="825"/>
      <c r="AK1149" s="825"/>
      <c r="AM1149" s="825"/>
      <c r="AO1149" s="825"/>
      <c r="AP1149" s="825"/>
      <c r="AU1149" s="825"/>
      <c r="AW1149" s="825"/>
      <c r="AX1149" s="825"/>
      <c r="AY1149" s="825"/>
      <c r="AZ1149" s="825"/>
    </row>
    <row r="1150" spans="26:52">
      <c r="Z1150" s="1039"/>
      <c r="AC1150" s="1045"/>
      <c r="AD1150" s="825"/>
      <c r="AF1150" s="825"/>
      <c r="AH1150" s="825"/>
      <c r="AJ1150" s="825"/>
      <c r="AK1150" s="825"/>
      <c r="AM1150" s="825"/>
      <c r="AO1150" s="825"/>
      <c r="AP1150" s="825"/>
      <c r="AU1150" s="825"/>
      <c r="AW1150" s="825"/>
      <c r="AX1150" s="825"/>
      <c r="AY1150" s="825"/>
      <c r="AZ1150" s="825"/>
    </row>
    <row r="1151" spans="26:52">
      <c r="Z1151" s="1039"/>
      <c r="AC1151" s="1045"/>
      <c r="AD1151" s="825"/>
      <c r="AF1151" s="825"/>
      <c r="AH1151" s="825"/>
      <c r="AJ1151" s="825"/>
      <c r="AK1151" s="825"/>
      <c r="AM1151" s="825"/>
      <c r="AO1151" s="825"/>
      <c r="AP1151" s="825"/>
      <c r="AU1151" s="825"/>
      <c r="AW1151" s="825"/>
      <c r="AX1151" s="825"/>
      <c r="AY1151" s="825"/>
      <c r="AZ1151" s="825"/>
    </row>
    <row r="1152" spans="26:52">
      <c r="Z1152" s="1039"/>
      <c r="AC1152" s="1045"/>
      <c r="AD1152" s="825"/>
      <c r="AF1152" s="825"/>
      <c r="AH1152" s="825"/>
      <c r="AJ1152" s="825"/>
      <c r="AK1152" s="825"/>
      <c r="AM1152" s="825"/>
      <c r="AO1152" s="825"/>
      <c r="AP1152" s="825"/>
      <c r="AU1152" s="825"/>
      <c r="AW1152" s="825"/>
      <c r="AX1152" s="825"/>
      <c r="AY1152" s="825"/>
      <c r="AZ1152" s="825"/>
    </row>
    <row r="1153" spans="26:52">
      <c r="Z1153" s="1039"/>
      <c r="AC1153" s="1045"/>
      <c r="AD1153" s="825"/>
      <c r="AF1153" s="825"/>
      <c r="AH1153" s="825"/>
      <c r="AJ1153" s="825"/>
      <c r="AK1153" s="825"/>
      <c r="AM1153" s="825"/>
      <c r="AO1153" s="825"/>
      <c r="AP1153" s="825"/>
      <c r="AU1153" s="825"/>
      <c r="AW1153" s="825"/>
      <c r="AX1153" s="825"/>
      <c r="AY1153" s="825"/>
      <c r="AZ1153" s="825"/>
    </row>
    <row r="1154" spans="26:52">
      <c r="Z1154" s="1039"/>
      <c r="AC1154" s="1045"/>
      <c r="AD1154" s="825"/>
      <c r="AF1154" s="825"/>
      <c r="AH1154" s="825"/>
      <c r="AJ1154" s="825"/>
      <c r="AK1154" s="825"/>
      <c r="AM1154" s="825"/>
      <c r="AO1154" s="825"/>
      <c r="AP1154" s="825"/>
      <c r="AU1154" s="825"/>
      <c r="AW1154" s="825"/>
      <c r="AX1154" s="825"/>
      <c r="AY1154" s="825"/>
      <c r="AZ1154" s="825"/>
    </row>
    <row r="1155" spans="26:52">
      <c r="Z1155" s="1039"/>
      <c r="AC1155" s="1045"/>
      <c r="AD1155" s="825"/>
      <c r="AF1155" s="825"/>
      <c r="AH1155" s="825"/>
      <c r="AJ1155" s="825"/>
      <c r="AK1155" s="825"/>
      <c r="AM1155" s="825"/>
      <c r="AO1155" s="825"/>
      <c r="AP1155" s="825"/>
      <c r="AU1155" s="825"/>
      <c r="AW1155" s="825"/>
      <c r="AX1155" s="825"/>
      <c r="AY1155" s="825"/>
      <c r="AZ1155" s="825"/>
    </row>
    <row r="1156" spans="26:52">
      <c r="Z1156" s="1039"/>
      <c r="AC1156" s="1045"/>
      <c r="AD1156" s="825"/>
      <c r="AF1156" s="825"/>
      <c r="AH1156" s="825"/>
      <c r="AJ1156" s="825"/>
      <c r="AK1156" s="825"/>
      <c r="AM1156" s="825"/>
      <c r="AO1156" s="825"/>
      <c r="AP1156" s="825"/>
      <c r="AU1156" s="825"/>
      <c r="AW1156" s="825"/>
      <c r="AX1156" s="825"/>
      <c r="AY1156" s="825"/>
      <c r="AZ1156" s="825"/>
    </row>
    <row r="1157" spans="26:52">
      <c r="Z1157" s="1039"/>
      <c r="AC1157" s="1045"/>
      <c r="AD1157" s="825"/>
      <c r="AF1157" s="825"/>
      <c r="AH1157" s="825"/>
      <c r="AJ1157" s="825"/>
      <c r="AK1157" s="825"/>
      <c r="AM1157" s="825"/>
      <c r="AO1157" s="825"/>
      <c r="AP1157" s="825"/>
      <c r="AU1157" s="825"/>
      <c r="AW1157" s="825"/>
      <c r="AX1157" s="825"/>
      <c r="AY1157" s="825"/>
      <c r="AZ1157" s="825"/>
    </row>
    <row r="1158" spans="26:52">
      <c r="Z1158" s="1039"/>
      <c r="AC1158" s="1045"/>
      <c r="AD1158" s="825"/>
      <c r="AF1158" s="825"/>
      <c r="AH1158" s="825"/>
      <c r="AJ1158" s="825"/>
      <c r="AK1158" s="825"/>
      <c r="AM1158" s="825"/>
      <c r="AO1158" s="825"/>
      <c r="AP1158" s="825"/>
      <c r="AU1158" s="825"/>
      <c r="AW1158" s="825"/>
      <c r="AX1158" s="825"/>
      <c r="AY1158" s="825"/>
      <c r="AZ1158" s="825"/>
    </row>
    <row r="1159" spans="26:52">
      <c r="Z1159" s="1039"/>
      <c r="AC1159" s="1045"/>
      <c r="AD1159" s="825"/>
      <c r="AF1159" s="825"/>
      <c r="AH1159" s="825"/>
      <c r="AJ1159" s="825"/>
      <c r="AK1159" s="825"/>
      <c r="AM1159" s="825"/>
      <c r="AO1159" s="825"/>
      <c r="AP1159" s="825"/>
      <c r="AU1159" s="825"/>
      <c r="AW1159" s="825"/>
      <c r="AX1159" s="825"/>
      <c r="AY1159" s="825"/>
      <c r="AZ1159" s="825"/>
    </row>
    <row r="1160" spans="26:52">
      <c r="Z1160" s="1039"/>
      <c r="AC1160" s="1045"/>
      <c r="AD1160" s="825"/>
      <c r="AF1160" s="825"/>
      <c r="AH1160" s="825"/>
      <c r="AJ1160" s="825"/>
      <c r="AK1160" s="825"/>
      <c r="AM1160" s="825"/>
      <c r="AO1160" s="825"/>
      <c r="AP1160" s="825"/>
      <c r="AU1160" s="825"/>
      <c r="AW1160" s="825"/>
      <c r="AX1160" s="825"/>
      <c r="AY1160" s="825"/>
      <c r="AZ1160" s="825"/>
    </row>
    <row r="1161" spans="26:52">
      <c r="Z1161" s="1039"/>
      <c r="AC1161" s="1045"/>
      <c r="AD1161" s="825"/>
      <c r="AF1161" s="825"/>
      <c r="AH1161" s="825"/>
      <c r="AJ1161" s="825"/>
      <c r="AK1161" s="825"/>
      <c r="AM1161" s="825"/>
      <c r="AO1161" s="825"/>
      <c r="AP1161" s="825"/>
      <c r="AU1161" s="825"/>
      <c r="AW1161" s="825"/>
      <c r="AX1161" s="825"/>
      <c r="AY1161" s="825"/>
      <c r="AZ1161" s="825"/>
    </row>
    <row r="1162" spans="26:52">
      <c r="Z1162" s="1039"/>
      <c r="AC1162" s="1045"/>
      <c r="AD1162" s="825"/>
      <c r="AF1162" s="825"/>
      <c r="AH1162" s="825"/>
      <c r="AJ1162" s="825"/>
      <c r="AK1162" s="825"/>
      <c r="AM1162" s="825"/>
      <c r="AO1162" s="825"/>
      <c r="AP1162" s="825"/>
      <c r="AU1162" s="825"/>
      <c r="AW1162" s="825"/>
      <c r="AX1162" s="825"/>
      <c r="AY1162" s="825"/>
      <c r="AZ1162" s="825"/>
    </row>
    <row r="1163" spans="26:52">
      <c r="Z1163" s="1039"/>
      <c r="AC1163" s="1045"/>
      <c r="AD1163" s="825"/>
      <c r="AF1163" s="825"/>
      <c r="AH1163" s="825"/>
      <c r="AJ1163" s="825"/>
      <c r="AK1163" s="825"/>
      <c r="AM1163" s="825"/>
      <c r="AO1163" s="825"/>
      <c r="AP1163" s="825"/>
      <c r="AU1163" s="825"/>
      <c r="AW1163" s="825"/>
      <c r="AX1163" s="825"/>
      <c r="AY1163" s="825"/>
      <c r="AZ1163" s="825"/>
    </row>
    <row r="1164" spans="26:52">
      <c r="Z1164" s="1039"/>
      <c r="AC1164" s="1045"/>
      <c r="AD1164" s="825"/>
      <c r="AF1164" s="825"/>
      <c r="AH1164" s="825"/>
      <c r="AJ1164" s="825"/>
      <c r="AK1164" s="825"/>
      <c r="AM1164" s="825"/>
      <c r="AO1164" s="825"/>
      <c r="AP1164" s="825"/>
      <c r="AU1164" s="825"/>
      <c r="AW1164" s="825"/>
      <c r="AX1164" s="825"/>
      <c r="AY1164" s="825"/>
      <c r="AZ1164" s="825"/>
    </row>
    <row r="1165" spans="26:52">
      <c r="Z1165" s="1039"/>
      <c r="AC1165" s="1045"/>
      <c r="AD1165" s="825"/>
      <c r="AF1165" s="825"/>
      <c r="AH1165" s="825"/>
      <c r="AJ1165" s="825"/>
      <c r="AK1165" s="825"/>
      <c r="AM1165" s="825"/>
      <c r="AO1165" s="825"/>
      <c r="AP1165" s="825"/>
      <c r="AU1165" s="825"/>
      <c r="AW1165" s="825"/>
      <c r="AX1165" s="825"/>
      <c r="AY1165" s="825"/>
      <c r="AZ1165" s="825"/>
    </row>
    <row r="1166" spans="26:52">
      <c r="Z1166" s="1039"/>
      <c r="AC1166" s="1045"/>
      <c r="AD1166" s="825"/>
      <c r="AF1166" s="825"/>
      <c r="AH1166" s="825"/>
      <c r="AJ1166" s="825"/>
      <c r="AK1166" s="825"/>
      <c r="AM1166" s="825"/>
      <c r="AO1166" s="825"/>
      <c r="AP1166" s="825"/>
      <c r="AU1166" s="825"/>
      <c r="AW1166" s="825"/>
      <c r="AX1166" s="825"/>
      <c r="AY1166" s="825"/>
      <c r="AZ1166" s="825"/>
    </row>
    <row r="1167" spans="26:52">
      <c r="Z1167" s="1039"/>
      <c r="AC1167" s="1045"/>
      <c r="AD1167" s="825"/>
      <c r="AF1167" s="825"/>
      <c r="AH1167" s="825"/>
      <c r="AJ1167" s="825"/>
      <c r="AK1167" s="825"/>
      <c r="AM1167" s="825"/>
      <c r="AO1167" s="825"/>
      <c r="AP1167" s="825"/>
      <c r="AU1167" s="825"/>
      <c r="AW1167" s="825"/>
      <c r="AX1167" s="825"/>
      <c r="AY1167" s="825"/>
      <c r="AZ1167" s="825"/>
    </row>
    <row r="1168" spans="26:52">
      <c r="Z1168" s="1039"/>
      <c r="AC1168" s="1045"/>
      <c r="AD1168" s="825"/>
      <c r="AF1168" s="825"/>
      <c r="AH1168" s="825"/>
      <c r="AJ1168" s="825"/>
      <c r="AK1168" s="825"/>
      <c r="AM1168" s="825"/>
      <c r="AO1168" s="825"/>
      <c r="AP1168" s="825"/>
      <c r="AU1168" s="825"/>
      <c r="AW1168" s="825"/>
      <c r="AX1168" s="825"/>
      <c r="AY1168" s="825"/>
      <c r="AZ1168" s="825"/>
    </row>
    <row r="1169" spans="26:52">
      <c r="Z1169" s="1039"/>
      <c r="AC1169" s="1045"/>
      <c r="AD1169" s="825"/>
      <c r="AF1169" s="825"/>
      <c r="AH1169" s="825"/>
      <c r="AJ1169" s="825"/>
      <c r="AK1169" s="825"/>
      <c r="AM1169" s="825"/>
      <c r="AO1169" s="825"/>
      <c r="AP1169" s="825"/>
      <c r="AU1169" s="825"/>
      <c r="AW1169" s="825"/>
      <c r="AX1169" s="825"/>
      <c r="AY1169" s="825"/>
      <c r="AZ1169" s="825"/>
    </row>
    <row r="1170" spans="26:52">
      <c r="Z1170" s="1039"/>
      <c r="AC1170" s="1045"/>
      <c r="AD1170" s="825"/>
      <c r="AF1170" s="825"/>
      <c r="AH1170" s="825"/>
      <c r="AJ1170" s="825"/>
      <c r="AK1170" s="825"/>
      <c r="AM1170" s="825"/>
      <c r="AO1170" s="825"/>
      <c r="AP1170" s="825"/>
      <c r="AU1170" s="825"/>
      <c r="AW1170" s="825"/>
      <c r="AX1170" s="825"/>
      <c r="AY1170" s="825"/>
      <c r="AZ1170" s="825"/>
    </row>
    <row r="1171" spans="26:52">
      <c r="Z1171" s="1039"/>
      <c r="AC1171" s="1045"/>
      <c r="AD1171" s="825"/>
      <c r="AF1171" s="825"/>
      <c r="AH1171" s="825"/>
      <c r="AJ1171" s="825"/>
      <c r="AK1171" s="825"/>
      <c r="AM1171" s="825"/>
      <c r="AO1171" s="825"/>
      <c r="AP1171" s="825"/>
      <c r="AU1171" s="825"/>
      <c r="AW1171" s="825"/>
      <c r="AX1171" s="825"/>
      <c r="AY1171" s="825"/>
      <c r="AZ1171" s="825"/>
    </row>
    <row r="1172" spans="26:52">
      <c r="Z1172" s="1039"/>
      <c r="AC1172" s="1045"/>
      <c r="AD1172" s="825"/>
      <c r="AF1172" s="825"/>
      <c r="AH1172" s="825"/>
      <c r="AJ1172" s="825"/>
      <c r="AK1172" s="825"/>
      <c r="AM1172" s="825"/>
      <c r="AO1172" s="825"/>
      <c r="AP1172" s="825"/>
      <c r="AU1172" s="825"/>
      <c r="AW1172" s="825"/>
      <c r="AX1172" s="825"/>
      <c r="AY1172" s="825"/>
      <c r="AZ1172" s="825"/>
    </row>
    <row r="1173" spans="26:52">
      <c r="Z1173" s="1039"/>
      <c r="AC1173" s="1045"/>
      <c r="AD1173" s="825"/>
      <c r="AF1173" s="825"/>
      <c r="AH1173" s="825"/>
      <c r="AJ1173" s="825"/>
      <c r="AK1173" s="825"/>
      <c r="AM1173" s="825"/>
      <c r="AO1173" s="825"/>
      <c r="AP1173" s="825"/>
      <c r="AU1173" s="825"/>
      <c r="AW1173" s="825"/>
      <c r="AX1173" s="825"/>
      <c r="AY1173" s="825"/>
      <c r="AZ1173" s="825"/>
    </row>
    <row r="1174" spans="26:52">
      <c r="Z1174" s="1039"/>
      <c r="AC1174" s="1045"/>
      <c r="AD1174" s="825"/>
      <c r="AF1174" s="825"/>
      <c r="AH1174" s="825"/>
      <c r="AJ1174" s="825"/>
      <c r="AK1174" s="825"/>
      <c r="AM1174" s="825"/>
      <c r="AO1174" s="825"/>
      <c r="AP1174" s="825"/>
      <c r="AU1174" s="825"/>
      <c r="AW1174" s="825"/>
      <c r="AX1174" s="825"/>
      <c r="AY1174" s="825"/>
      <c r="AZ1174" s="825"/>
    </row>
    <row r="1175" spans="26:52">
      <c r="Z1175" s="1039"/>
      <c r="AC1175" s="1045"/>
      <c r="AD1175" s="825"/>
      <c r="AF1175" s="825"/>
      <c r="AH1175" s="825"/>
      <c r="AJ1175" s="825"/>
      <c r="AK1175" s="825"/>
      <c r="AM1175" s="825"/>
      <c r="AO1175" s="825"/>
      <c r="AP1175" s="825"/>
      <c r="AU1175" s="825"/>
      <c r="AW1175" s="825"/>
      <c r="AX1175" s="825"/>
      <c r="AY1175" s="825"/>
      <c r="AZ1175" s="825"/>
    </row>
    <row r="1176" spans="26:52">
      <c r="Z1176" s="1039"/>
      <c r="AC1176" s="1045"/>
      <c r="AD1176" s="825"/>
      <c r="AF1176" s="825"/>
      <c r="AH1176" s="825"/>
      <c r="AJ1176" s="825"/>
      <c r="AK1176" s="825"/>
      <c r="AM1176" s="825"/>
      <c r="AO1176" s="825"/>
      <c r="AP1176" s="825"/>
      <c r="AU1176" s="825"/>
      <c r="AW1176" s="825"/>
      <c r="AX1176" s="825"/>
      <c r="AY1176" s="825"/>
      <c r="AZ1176" s="825"/>
    </row>
    <row r="1177" spans="26:52">
      <c r="Z1177" s="1039"/>
      <c r="AC1177" s="1045"/>
      <c r="AD1177" s="825"/>
      <c r="AF1177" s="825"/>
      <c r="AH1177" s="825"/>
      <c r="AJ1177" s="825"/>
      <c r="AK1177" s="825"/>
      <c r="AM1177" s="825"/>
      <c r="AO1177" s="825"/>
      <c r="AP1177" s="825"/>
      <c r="AU1177" s="825"/>
      <c r="AW1177" s="825"/>
      <c r="AX1177" s="825"/>
      <c r="AY1177" s="825"/>
      <c r="AZ1177" s="825"/>
    </row>
    <row r="1178" spans="26:52">
      <c r="Z1178" s="1039"/>
      <c r="AC1178" s="1045"/>
      <c r="AD1178" s="825"/>
      <c r="AF1178" s="825"/>
      <c r="AH1178" s="825"/>
      <c r="AJ1178" s="825"/>
      <c r="AK1178" s="825"/>
      <c r="AM1178" s="825"/>
      <c r="AO1178" s="825"/>
      <c r="AP1178" s="825"/>
      <c r="AU1178" s="825"/>
      <c r="AW1178" s="825"/>
      <c r="AX1178" s="825"/>
      <c r="AY1178" s="825"/>
      <c r="AZ1178" s="825"/>
    </row>
    <row r="1179" spans="26:52">
      <c r="Z1179" s="1039"/>
      <c r="AC1179" s="1045"/>
      <c r="AD1179" s="825"/>
      <c r="AF1179" s="825"/>
      <c r="AH1179" s="825"/>
      <c r="AJ1179" s="825"/>
      <c r="AK1179" s="825"/>
      <c r="AM1179" s="825"/>
      <c r="AO1179" s="825"/>
      <c r="AP1179" s="825"/>
      <c r="AU1179" s="825"/>
      <c r="AW1179" s="825"/>
      <c r="AX1179" s="825"/>
      <c r="AY1179" s="825"/>
      <c r="AZ1179" s="825"/>
    </row>
    <row r="1180" spans="26:52">
      <c r="Z1180" s="1039"/>
      <c r="AC1180" s="1045"/>
      <c r="AD1180" s="825"/>
      <c r="AF1180" s="825"/>
      <c r="AH1180" s="825"/>
      <c r="AJ1180" s="825"/>
      <c r="AK1180" s="825"/>
      <c r="AM1180" s="825"/>
      <c r="AO1180" s="825"/>
      <c r="AP1180" s="825"/>
      <c r="AU1180" s="825"/>
      <c r="AW1180" s="825"/>
      <c r="AX1180" s="825"/>
      <c r="AY1180" s="825"/>
      <c r="AZ1180" s="825"/>
    </row>
    <row r="1181" spans="26:52">
      <c r="Z1181" s="1039"/>
      <c r="AC1181" s="1045"/>
      <c r="AD1181" s="825"/>
      <c r="AF1181" s="825"/>
      <c r="AH1181" s="825"/>
      <c r="AJ1181" s="825"/>
      <c r="AK1181" s="825"/>
      <c r="AM1181" s="825"/>
      <c r="AO1181" s="825"/>
      <c r="AP1181" s="825"/>
      <c r="AU1181" s="825"/>
      <c r="AW1181" s="825"/>
      <c r="AX1181" s="825"/>
      <c r="AY1181" s="825"/>
      <c r="AZ1181" s="825"/>
    </row>
    <row r="1182" spans="26:52">
      <c r="Z1182" s="1039"/>
      <c r="AC1182" s="1045"/>
      <c r="AD1182" s="825"/>
      <c r="AF1182" s="825"/>
      <c r="AH1182" s="825"/>
      <c r="AJ1182" s="825"/>
      <c r="AK1182" s="825"/>
      <c r="AM1182" s="825"/>
      <c r="AO1182" s="825"/>
      <c r="AP1182" s="825"/>
      <c r="AU1182" s="825"/>
      <c r="AW1182" s="825"/>
      <c r="AX1182" s="825"/>
      <c r="AY1182" s="825"/>
      <c r="AZ1182" s="825"/>
    </row>
    <row r="1183" spans="26:52">
      <c r="Z1183" s="1039"/>
      <c r="AC1183" s="1045"/>
      <c r="AD1183" s="825"/>
      <c r="AF1183" s="825"/>
      <c r="AH1183" s="825"/>
      <c r="AJ1183" s="825"/>
      <c r="AK1183" s="825"/>
      <c r="AM1183" s="825"/>
      <c r="AO1183" s="825"/>
      <c r="AP1183" s="825"/>
      <c r="AU1183" s="825"/>
      <c r="AW1183" s="825"/>
      <c r="AX1183" s="825"/>
      <c r="AY1183" s="825"/>
      <c r="AZ1183" s="825"/>
    </row>
    <row r="1184" spans="26:52">
      <c r="Z1184" s="1039"/>
      <c r="AC1184" s="1045"/>
      <c r="AD1184" s="825"/>
      <c r="AF1184" s="825"/>
      <c r="AH1184" s="825"/>
      <c r="AJ1184" s="825"/>
      <c r="AK1184" s="825"/>
      <c r="AM1184" s="825"/>
      <c r="AO1184" s="825"/>
      <c r="AP1184" s="825"/>
      <c r="AU1184" s="825"/>
      <c r="AW1184" s="825"/>
      <c r="AX1184" s="825"/>
      <c r="AY1184" s="825"/>
      <c r="AZ1184" s="825"/>
    </row>
    <row r="1185" spans="26:52">
      <c r="Z1185" s="1039"/>
      <c r="AC1185" s="1045"/>
      <c r="AD1185" s="825"/>
      <c r="AF1185" s="825"/>
      <c r="AH1185" s="825"/>
      <c r="AJ1185" s="825"/>
      <c r="AK1185" s="825"/>
      <c r="AM1185" s="825"/>
      <c r="AO1185" s="825"/>
      <c r="AP1185" s="825"/>
      <c r="AU1185" s="825"/>
      <c r="AW1185" s="825"/>
      <c r="AX1185" s="825"/>
      <c r="AY1185" s="825"/>
      <c r="AZ1185" s="825"/>
    </row>
    <row r="1186" spans="26:52">
      <c r="Z1186" s="1039"/>
      <c r="AC1186" s="1045"/>
      <c r="AD1186" s="825"/>
      <c r="AF1186" s="825"/>
      <c r="AH1186" s="825"/>
      <c r="AJ1186" s="825"/>
      <c r="AK1186" s="825"/>
      <c r="AM1186" s="825"/>
      <c r="AO1186" s="825"/>
      <c r="AP1186" s="825"/>
      <c r="AU1186" s="825"/>
      <c r="AW1186" s="825"/>
      <c r="AX1186" s="825"/>
      <c r="AY1186" s="825"/>
      <c r="AZ1186" s="825"/>
    </row>
    <row r="1187" spans="26:52">
      <c r="Z1187" s="1039"/>
      <c r="AC1187" s="1045"/>
      <c r="AD1187" s="825"/>
      <c r="AF1187" s="825"/>
      <c r="AH1187" s="825"/>
      <c r="AJ1187" s="825"/>
      <c r="AK1187" s="825"/>
      <c r="AM1187" s="825"/>
      <c r="AO1187" s="825"/>
      <c r="AP1187" s="825"/>
      <c r="AU1187" s="825"/>
      <c r="AW1187" s="825"/>
      <c r="AX1187" s="825"/>
      <c r="AY1187" s="825"/>
      <c r="AZ1187" s="825"/>
    </row>
    <row r="1188" spans="26:52">
      <c r="Z1188" s="1039"/>
      <c r="AC1188" s="1045"/>
      <c r="AD1188" s="825"/>
      <c r="AF1188" s="825"/>
      <c r="AH1188" s="825"/>
      <c r="AJ1188" s="825"/>
      <c r="AK1188" s="825"/>
      <c r="AM1188" s="825"/>
      <c r="AO1188" s="825"/>
      <c r="AP1188" s="825"/>
      <c r="AU1188" s="825"/>
      <c r="AW1188" s="825"/>
      <c r="AX1188" s="825"/>
      <c r="AY1188" s="825"/>
      <c r="AZ1188" s="825"/>
    </row>
    <row r="1189" spans="26:52">
      <c r="Z1189" s="1039"/>
      <c r="AC1189" s="1045"/>
      <c r="AD1189" s="825"/>
      <c r="AF1189" s="825"/>
      <c r="AH1189" s="825"/>
      <c r="AJ1189" s="825"/>
      <c r="AK1189" s="825"/>
      <c r="AM1189" s="825"/>
      <c r="AO1189" s="825"/>
      <c r="AP1189" s="825"/>
      <c r="AU1189" s="825"/>
      <c r="AW1189" s="825"/>
      <c r="AX1189" s="825"/>
      <c r="AY1189" s="825"/>
      <c r="AZ1189" s="825"/>
    </row>
    <row r="1190" spans="26:52">
      <c r="Z1190" s="1039"/>
      <c r="AC1190" s="1045"/>
      <c r="AD1190" s="825"/>
      <c r="AF1190" s="825"/>
      <c r="AH1190" s="825"/>
      <c r="AJ1190" s="825"/>
      <c r="AK1190" s="825"/>
      <c r="AM1190" s="825"/>
      <c r="AO1190" s="825"/>
      <c r="AP1190" s="825"/>
      <c r="AU1190" s="825"/>
      <c r="AW1190" s="825"/>
      <c r="AX1190" s="825"/>
      <c r="AY1190" s="825"/>
      <c r="AZ1190" s="825"/>
    </row>
    <row r="1191" spans="26:52">
      <c r="Z1191" s="1039"/>
      <c r="AC1191" s="1045"/>
      <c r="AD1191" s="825"/>
      <c r="AF1191" s="825"/>
      <c r="AH1191" s="825"/>
      <c r="AJ1191" s="825"/>
      <c r="AK1191" s="825"/>
      <c r="AM1191" s="825"/>
      <c r="AO1191" s="825"/>
      <c r="AP1191" s="825"/>
      <c r="AU1191" s="825"/>
      <c r="AW1191" s="825"/>
      <c r="AX1191" s="825"/>
      <c r="AY1191" s="825"/>
      <c r="AZ1191" s="825"/>
    </row>
    <row r="1192" spans="26:52">
      <c r="Z1192" s="1039"/>
      <c r="AC1192" s="1045"/>
      <c r="AD1192" s="825"/>
      <c r="AF1192" s="825"/>
      <c r="AH1192" s="825"/>
      <c r="AJ1192" s="825"/>
      <c r="AK1192" s="825"/>
      <c r="AM1192" s="825"/>
      <c r="AO1192" s="825"/>
      <c r="AP1192" s="825"/>
      <c r="AU1192" s="825"/>
      <c r="AW1192" s="825"/>
      <c r="AX1192" s="825"/>
      <c r="AY1192" s="825"/>
      <c r="AZ1192" s="825"/>
    </row>
    <row r="1193" spans="26:52">
      <c r="Z1193" s="1039"/>
      <c r="AC1193" s="1045"/>
      <c r="AD1193" s="825"/>
      <c r="AF1193" s="825"/>
      <c r="AH1193" s="825"/>
      <c r="AJ1193" s="825"/>
      <c r="AK1193" s="825"/>
      <c r="AM1193" s="825"/>
      <c r="AO1193" s="825"/>
      <c r="AP1193" s="825"/>
      <c r="AU1193" s="825"/>
      <c r="AW1193" s="825"/>
      <c r="AX1193" s="825"/>
      <c r="AY1193" s="825"/>
      <c r="AZ1193" s="825"/>
    </row>
    <row r="1194" spans="26:52">
      <c r="Z1194" s="1039"/>
      <c r="AC1194" s="1045"/>
      <c r="AD1194" s="825"/>
      <c r="AF1194" s="825"/>
      <c r="AH1194" s="825"/>
      <c r="AJ1194" s="825"/>
      <c r="AK1194" s="825"/>
      <c r="AM1194" s="825"/>
      <c r="AO1194" s="825"/>
      <c r="AP1194" s="825"/>
      <c r="AU1194" s="825"/>
      <c r="AW1194" s="825"/>
      <c r="AX1194" s="825"/>
      <c r="AY1194" s="825"/>
      <c r="AZ1194" s="825"/>
    </row>
    <row r="1195" spans="26:52">
      <c r="Z1195" s="1039"/>
      <c r="AC1195" s="1045"/>
      <c r="AD1195" s="825"/>
      <c r="AF1195" s="825"/>
      <c r="AH1195" s="825"/>
      <c r="AJ1195" s="825"/>
      <c r="AK1195" s="825"/>
      <c r="AM1195" s="825"/>
      <c r="AO1195" s="825"/>
      <c r="AP1195" s="825"/>
      <c r="AU1195" s="825"/>
      <c r="AW1195" s="825"/>
      <c r="AX1195" s="825"/>
      <c r="AY1195" s="825"/>
      <c r="AZ1195" s="825"/>
    </row>
    <row r="1196" spans="26:52">
      <c r="Z1196" s="1039"/>
      <c r="AC1196" s="1045"/>
      <c r="AD1196" s="825"/>
      <c r="AF1196" s="825"/>
      <c r="AH1196" s="825"/>
      <c r="AJ1196" s="825"/>
      <c r="AK1196" s="825"/>
      <c r="AM1196" s="825"/>
      <c r="AO1196" s="825"/>
      <c r="AP1196" s="825"/>
      <c r="AU1196" s="825"/>
      <c r="AW1196" s="825"/>
      <c r="AX1196" s="825"/>
      <c r="AY1196" s="825"/>
      <c r="AZ1196" s="825"/>
    </row>
    <row r="1197" spans="26:52">
      <c r="Z1197" s="1039"/>
      <c r="AC1197" s="1045"/>
      <c r="AD1197" s="825"/>
      <c r="AF1197" s="825"/>
      <c r="AH1197" s="825"/>
      <c r="AJ1197" s="825"/>
      <c r="AK1197" s="825"/>
      <c r="AM1197" s="825"/>
      <c r="AO1197" s="825"/>
      <c r="AP1197" s="825"/>
      <c r="AU1197" s="825"/>
      <c r="AW1197" s="825"/>
      <c r="AX1197" s="825"/>
      <c r="AY1197" s="825"/>
      <c r="AZ1197" s="825"/>
    </row>
    <row r="1198" spans="26:52">
      <c r="Z1198" s="1039"/>
      <c r="AC1198" s="1045"/>
      <c r="AD1198" s="825"/>
      <c r="AF1198" s="825"/>
      <c r="AH1198" s="825"/>
      <c r="AJ1198" s="825"/>
      <c r="AK1198" s="825"/>
      <c r="AM1198" s="825"/>
      <c r="AO1198" s="825"/>
      <c r="AP1198" s="825"/>
      <c r="AU1198" s="825"/>
      <c r="AW1198" s="825"/>
      <c r="AX1198" s="825"/>
      <c r="AY1198" s="825"/>
      <c r="AZ1198" s="825"/>
    </row>
    <row r="1199" spans="26:52">
      <c r="Z1199" s="1039"/>
      <c r="AC1199" s="1045"/>
      <c r="AD1199" s="825"/>
      <c r="AF1199" s="825"/>
      <c r="AH1199" s="825"/>
      <c r="AJ1199" s="825"/>
      <c r="AK1199" s="825"/>
      <c r="AM1199" s="825"/>
      <c r="AO1199" s="825"/>
      <c r="AP1199" s="825"/>
      <c r="AU1199" s="825"/>
      <c r="AW1199" s="825"/>
      <c r="AX1199" s="825"/>
      <c r="AY1199" s="825"/>
      <c r="AZ1199" s="825"/>
    </row>
    <row r="1200" spans="26:52">
      <c r="Z1200" s="1039"/>
      <c r="AC1200" s="1045"/>
      <c r="AD1200" s="825"/>
      <c r="AF1200" s="825"/>
      <c r="AH1200" s="825"/>
      <c r="AJ1200" s="825"/>
      <c r="AK1200" s="825"/>
      <c r="AM1200" s="825"/>
      <c r="AO1200" s="825"/>
      <c r="AP1200" s="825"/>
      <c r="AU1200" s="825"/>
      <c r="AW1200" s="825"/>
      <c r="AX1200" s="825"/>
      <c r="AY1200" s="825"/>
      <c r="AZ1200" s="825"/>
    </row>
    <row r="1201" spans="26:52">
      <c r="Z1201" s="1039"/>
      <c r="AC1201" s="1045"/>
      <c r="AD1201" s="825"/>
      <c r="AF1201" s="825"/>
      <c r="AH1201" s="825"/>
      <c r="AJ1201" s="825"/>
      <c r="AK1201" s="825"/>
      <c r="AM1201" s="825"/>
      <c r="AO1201" s="825"/>
      <c r="AP1201" s="825"/>
      <c r="AU1201" s="825"/>
      <c r="AW1201" s="825"/>
      <c r="AX1201" s="825"/>
      <c r="AY1201" s="825"/>
      <c r="AZ1201" s="825"/>
    </row>
    <row r="1202" spans="26:52">
      <c r="Z1202" s="1039"/>
      <c r="AC1202" s="1045"/>
      <c r="AD1202" s="825"/>
      <c r="AF1202" s="825"/>
      <c r="AH1202" s="825"/>
      <c r="AJ1202" s="825"/>
      <c r="AK1202" s="825"/>
      <c r="AM1202" s="825"/>
      <c r="AO1202" s="825"/>
      <c r="AP1202" s="825"/>
      <c r="AU1202" s="825"/>
      <c r="AW1202" s="825"/>
      <c r="AX1202" s="825"/>
      <c r="AY1202" s="825"/>
      <c r="AZ1202" s="825"/>
    </row>
    <row r="1203" spans="26:52">
      <c r="Z1203" s="1039"/>
      <c r="AC1203" s="1045"/>
      <c r="AD1203" s="825"/>
      <c r="AF1203" s="825"/>
      <c r="AH1203" s="825"/>
      <c r="AJ1203" s="825"/>
      <c r="AK1203" s="825"/>
      <c r="AM1203" s="825"/>
      <c r="AO1203" s="825"/>
      <c r="AP1203" s="825"/>
      <c r="AU1203" s="825"/>
      <c r="AW1203" s="825"/>
      <c r="AX1203" s="825"/>
      <c r="AY1203" s="825"/>
      <c r="AZ1203" s="825"/>
    </row>
    <row r="1204" spans="26:52">
      <c r="Z1204" s="1039"/>
      <c r="AC1204" s="1045"/>
      <c r="AD1204" s="825"/>
      <c r="AF1204" s="825"/>
      <c r="AH1204" s="825"/>
      <c r="AJ1204" s="825"/>
      <c r="AK1204" s="825"/>
      <c r="AM1204" s="825"/>
      <c r="AO1204" s="825"/>
      <c r="AP1204" s="825"/>
      <c r="AU1204" s="825"/>
      <c r="AW1204" s="825"/>
      <c r="AX1204" s="825"/>
      <c r="AY1204" s="825"/>
      <c r="AZ1204" s="825"/>
    </row>
    <row r="1205" spans="26:52">
      <c r="Z1205" s="1039"/>
      <c r="AC1205" s="1045"/>
      <c r="AD1205" s="825"/>
      <c r="AF1205" s="825"/>
      <c r="AH1205" s="825"/>
      <c r="AJ1205" s="825"/>
      <c r="AK1205" s="825"/>
      <c r="AM1205" s="825"/>
      <c r="AO1205" s="825"/>
      <c r="AP1205" s="825"/>
      <c r="AU1205" s="825"/>
      <c r="AW1205" s="825"/>
      <c r="AX1205" s="825"/>
      <c r="AY1205" s="825"/>
      <c r="AZ1205" s="825"/>
    </row>
    <row r="1206" spans="26:52">
      <c r="Z1206" s="1039"/>
      <c r="AC1206" s="1045"/>
      <c r="AD1206" s="825"/>
      <c r="AF1206" s="825"/>
      <c r="AH1206" s="825"/>
      <c r="AJ1206" s="825"/>
      <c r="AK1206" s="825"/>
      <c r="AM1206" s="825"/>
      <c r="AO1206" s="825"/>
      <c r="AP1206" s="825"/>
      <c r="AU1206" s="825"/>
      <c r="AW1206" s="825"/>
      <c r="AX1206" s="825"/>
      <c r="AY1206" s="825"/>
      <c r="AZ1206" s="825"/>
    </row>
    <row r="1207" spans="26:52">
      <c r="Z1207" s="1039"/>
      <c r="AC1207" s="1045"/>
      <c r="AD1207" s="825"/>
      <c r="AF1207" s="825"/>
      <c r="AH1207" s="825"/>
      <c r="AJ1207" s="825"/>
      <c r="AK1207" s="825"/>
      <c r="AM1207" s="825"/>
      <c r="AO1207" s="825"/>
      <c r="AP1207" s="825"/>
      <c r="AU1207" s="825"/>
      <c r="AW1207" s="825"/>
      <c r="AX1207" s="825"/>
      <c r="AY1207" s="825"/>
      <c r="AZ1207" s="825"/>
    </row>
    <row r="1208" spans="26:52">
      <c r="Z1208" s="1039"/>
      <c r="AC1208" s="1045"/>
      <c r="AD1208" s="825"/>
      <c r="AF1208" s="825"/>
      <c r="AH1208" s="825"/>
      <c r="AJ1208" s="825"/>
      <c r="AK1208" s="825"/>
      <c r="AM1208" s="825"/>
      <c r="AO1208" s="825"/>
      <c r="AP1208" s="825"/>
      <c r="AU1208" s="825"/>
      <c r="AW1208" s="825"/>
      <c r="AX1208" s="825"/>
      <c r="AY1208" s="825"/>
      <c r="AZ1208" s="825"/>
    </row>
    <row r="1209" spans="26:52">
      <c r="Z1209" s="1039"/>
      <c r="AC1209" s="1045"/>
      <c r="AD1209" s="825"/>
      <c r="AF1209" s="825"/>
      <c r="AH1209" s="825"/>
      <c r="AJ1209" s="825"/>
      <c r="AK1209" s="825"/>
      <c r="AM1209" s="825"/>
      <c r="AO1209" s="825"/>
      <c r="AP1209" s="825"/>
      <c r="AU1209" s="825"/>
      <c r="AW1209" s="825"/>
      <c r="AX1209" s="825"/>
      <c r="AY1209" s="825"/>
      <c r="AZ1209" s="825"/>
    </row>
    <row r="1210" spans="26:52">
      <c r="Z1210" s="1039"/>
      <c r="AC1210" s="1045"/>
      <c r="AD1210" s="825"/>
      <c r="AF1210" s="825"/>
      <c r="AH1210" s="825"/>
      <c r="AJ1210" s="825"/>
      <c r="AK1210" s="825"/>
      <c r="AM1210" s="825"/>
      <c r="AO1210" s="825"/>
      <c r="AP1210" s="825"/>
      <c r="AU1210" s="825"/>
      <c r="AW1210" s="825"/>
      <c r="AX1210" s="825"/>
      <c r="AY1210" s="825"/>
      <c r="AZ1210" s="825"/>
    </row>
    <row r="1211" spans="26:52">
      <c r="Z1211" s="1039"/>
      <c r="AC1211" s="1045"/>
      <c r="AD1211" s="825"/>
      <c r="AF1211" s="825"/>
      <c r="AH1211" s="825"/>
      <c r="AJ1211" s="825"/>
      <c r="AK1211" s="825"/>
      <c r="AM1211" s="825"/>
      <c r="AO1211" s="825"/>
      <c r="AP1211" s="825"/>
      <c r="AU1211" s="825"/>
      <c r="AW1211" s="825"/>
      <c r="AX1211" s="825"/>
      <c r="AY1211" s="825"/>
      <c r="AZ1211" s="825"/>
    </row>
    <row r="1212" spans="26:52">
      <c r="Z1212" s="1039"/>
      <c r="AC1212" s="1045"/>
      <c r="AD1212" s="825"/>
      <c r="AF1212" s="825"/>
      <c r="AH1212" s="825"/>
      <c r="AJ1212" s="825"/>
      <c r="AK1212" s="825"/>
      <c r="AM1212" s="825"/>
      <c r="AO1212" s="825"/>
      <c r="AP1212" s="825"/>
      <c r="AU1212" s="825"/>
      <c r="AW1212" s="825"/>
      <c r="AX1212" s="825"/>
      <c r="AY1212" s="825"/>
      <c r="AZ1212" s="825"/>
    </row>
    <row r="1213" spans="26:52">
      <c r="Z1213" s="1039"/>
      <c r="AC1213" s="1045"/>
      <c r="AD1213" s="825"/>
      <c r="AF1213" s="825"/>
      <c r="AH1213" s="825"/>
      <c r="AJ1213" s="825"/>
      <c r="AK1213" s="825"/>
      <c r="AM1213" s="825"/>
      <c r="AO1213" s="825"/>
      <c r="AP1213" s="825"/>
      <c r="AU1213" s="825"/>
      <c r="AW1213" s="825"/>
      <c r="AX1213" s="825"/>
      <c r="AY1213" s="825"/>
      <c r="AZ1213" s="825"/>
    </row>
    <row r="1214" spans="26:52">
      <c r="Z1214" s="1039"/>
      <c r="AC1214" s="1045"/>
      <c r="AD1214" s="825"/>
      <c r="AF1214" s="825"/>
      <c r="AH1214" s="825"/>
      <c r="AJ1214" s="825"/>
      <c r="AK1214" s="825"/>
      <c r="AM1214" s="825"/>
      <c r="AO1214" s="825"/>
      <c r="AP1214" s="825"/>
      <c r="AU1214" s="825"/>
      <c r="AW1214" s="825"/>
      <c r="AX1214" s="825"/>
      <c r="AY1214" s="825"/>
      <c r="AZ1214" s="825"/>
    </row>
    <row r="1215" spans="26:52">
      <c r="Z1215" s="1039"/>
      <c r="AC1215" s="1045"/>
      <c r="AD1215" s="825"/>
      <c r="AF1215" s="825"/>
      <c r="AH1215" s="825"/>
      <c r="AJ1215" s="825"/>
      <c r="AK1215" s="825"/>
      <c r="AM1215" s="825"/>
      <c r="AO1215" s="825"/>
      <c r="AP1215" s="825"/>
      <c r="AU1215" s="825"/>
      <c r="AW1215" s="825"/>
      <c r="AX1215" s="825"/>
      <c r="AY1215" s="825"/>
      <c r="AZ1215" s="825"/>
    </row>
    <row r="1216" spans="26:52">
      <c r="Z1216" s="1039"/>
      <c r="AC1216" s="1045"/>
      <c r="AD1216" s="825"/>
      <c r="AF1216" s="825"/>
      <c r="AH1216" s="825"/>
      <c r="AJ1216" s="825"/>
      <c r="AK1216" s="825"/>
      <c r="AM1216" s="825"/>
      <c r="AO1216" s="825"/>
      <c r="AP1216" s="825"/>
      <c r="AU1216" s="825"/>
      <c r="AW1216" s="825"/>
      <c r="AX1216" s="825"/>
      <c r="AY1216" s="825"/>
      <c r="AZ1216" s="825"/>
    </row>
    <row r="1217" spans="26:52">
      <c r="Z1217" s="1039"/>
      <c r="AC1217" s="1045"/>
      <c r="AD1217" s="825"/>
      <c r="AF1217" s="825"/>
      <c r="AH1217" s="825"/>
      <c r="AJ1217" s="825"/>
      <c r="AK1217" s="825"/>
      <c r="AM1217" s="825"/>
      <c r="AO1217" s="825"/>
      <c r="AP1217" s="825"/>
      <c r="AU1217" s="825"/>
      <c r="AW1217" s="825"/>
      <c r="AX1217" s="825"/>
      <c r="AY1217" s="825"/>
      <c r="AZ1217" s="825"/>
    </row>
    <row r="1218" spans="26:52">
      <c r="Z1218" s="1039"/>
      <c r="AC1218" s="1045"/>
      <c r="AD1218" s="825"/>
      <c r="AF1218" s="825"/>
      <c r="AH1218" s="825"/>
      <c r="AJ1218" s="825"/>
      <c r="AK1218" s="825"/>
      <c r="AM1218" s="825"/>
      <c r="AO1218" s="825"/>
      <c r="AP1218" s="825"/>
      <c r="AU1218" s="825"/>
      <c r="AW1218" s="825"/>
      <c r="AX1218" s="825"/>
      <c r="AY1218" s="825"/>
      <c r="AZ1218" s="825"/>
    </row>
    <row r="1219" spans="26:52">
      <c r="Z1219" s="1039"/>
      <c r="AC1219" s="1045"/>
      <c r="AD1219" s="825"/>
      <c r="AF1219" s="825"/>
      <c r="AH1219" s="825"/>
      <c r="AJ1219" s="825"/>
      <c r="AK1219" s="825"/>
      <c r="AM1219" s="825"/>
      <c r="AO1219" s="825"/>
      <c r="AP1219" s="825"/>
      <c r="AU1219" s="825"/>
      <c r="AW1219" s="825"/>
      <c r="AX1219" s="825"/>
      <c r="AY1219" s="825"/>
      <c r="AZ1219" s="825"/>
    </row>
    <row r="1220" spans="26:52">
      <c r="Z1220" s="1039"/>
      <c r="AC1220" s="1045"/>
      <c r="AD1220" s="825"/>
      <c r="AF1220" s="825"/>
      <c r="AH1220" s="825"/>
      <c r="AJ1220" s="825"/>
      <c r="AK1220" s="825"/>
      <c r="AM1220" s="825"/>
      <c r="AO1220" s="825"/>
      <c r="AP1220" s="825"/>
      <c r="AU1220" s="825"/>
      <c r="AW1220" s="825"/>
      <c r="AX1220" s="825"/>
      <c r="AY1220" s="825"/>
      <c r="AZ1220" s="825"/>
    </row>
    <row r="1221" spans="26:52">
      <c r="Z1221" s="1039"/>
      <c r="AC1221" s="1045"/>
      <c r="AD1221" s="825"/>
      <c r="AF1221" s="825"/>
      <c r="AH1221" s="825"/>
      <c r="AJ1221" s="825"/>
      <c r="AK1221" s="825"/>
      <c r="AM1221" s="825"/>
      <c r="AO1221" s="825"/>
      <c r="AP1221" s="825"/>
      <c r="AU1221" s="825"/>
      <c r="AW1221" s="825"/>
      <c r="AX1221" s="825"/>
      <c r="AY1221" s="825"/>
      <c r="AZ1221" s="825"/>
    </row>
    <row r="1222" spans="26:52">
      <c r="Z1222" s="1039"/>
      <c r="AC1222" s="1045"/>
      <c r="AD1222" s="825"/>
      <c r="AF1222" s="825"/>
      <c r="AH1222" s="825"/>
      <c r="AJ1222" s="825"/>
      <c r="AK1222" s="825"/>
      <c r="AM1222" s="825"/>
      <c r="AO1222" s="825"/>
      <c r="AP1222" s="825"/>
      <c r="AU1222" s="825"/>
      <c r="AW1222" s="825"/>
      <c r="AX1222" s="825"/>
      <c r="AY1222" s="825"/>
      <c r="AZ1222" s="825"/>
    </row>
    <row r="1223" spans="26:52">
      <c r="Z1223" s="1039"/>
      <c r="AC1223" s="1045"/>
      <c r="AD1223" s="825"/>
      <c r="AF1223" s="825"/>
      <c r="AH1223" s="825"/>
      <c r="AJ1223" s="825"/>
      <c r="AK1223" s="825"/>
      <c r="AM1223" s="825"/>
      <c r="AO1223" s="825"/>
      <c r="AP1223" s="825"/>
      <c r="AU1223" s="825"/>
      <c r="AW1223" s="825"/>
      <c r="AX1223" s="825"/>
      <c r="AY1223" s="825"/>
      <c r="AZ1223" s="825"/>
    </row>
    <row r="1224" spans="26:52">
      <c r="Z1224" s="1039"/>
      <c r="AC1224" s="1045"/>
      <c r="AD1224" s="825"/>
      <c r="AF1224" s="825"/>
      <c r="AH1224" s="825"/>
      <c r="AJ1224" s="825"/>
      <c r="AK1224" s="825"/>
      <c r="AM1224" s="825"/>
      <c r="AO1224" s="825"/>
      <c r="AP1224" s="825"/>
      <c r="AU1224" s="825"/>
      <c r="AW1224" s="825"/>
      <c r="AX1224" s="825"/>
      <c r="AY1224" s="825"/>
      <c r="AZ1224" s="825"/>
    </row>
    <row r="1225" spans="26:52">
      <c r="Z1225" s="1039"/>
      <c r="AC1225" s="1045"/>
      <c r="AD1225" s="825"/>
      <c r="AF1225" s="825"/>
      <c r="AH1225" s="825"/>
      <c r="AJ1225" s="825"/>
      <c r="AK1225" s="825"/>
      <c r="AM1225" s="825"/>
      <c r="AO1225" s="825"/>
      <c r="AP1225" s="825"/>
      <c r="AU1225" s="825"/>
      <c r="AW1225" s="825"/>
      <c r="AX1225" s="825"/>
      <c r="AY1225" s="825"/>
      <c r="AZ1225" s="825"/>
    </row>
    <row r="1226" spans="26:52">
      <c r="Z1226" s="1039"/>
      <c r="AC1226" s="1045"/>
      <c r="AD1226" s="825"/>
      <c r="AF1226" s="825"/>
      <c r="AH1226" s="825"/>
      <c r="AJ1226" s="825"/>
      <c r="AK1226" s="825"/>
      <c r="AM1226" s="825"/>
      <c r="AO1226" s="825"/>
      <c r="AP1226" s="825"/>
      <c r="AU1226" s="825"/>
      <c r="AW1226" s="825"/>
      <c r="AX1226" s="825"/>
      <c r="AY1226" s="825"/>
      <c r="AZ1226" s="825"/>
    </row>
    <row r="1227" spans="26:52">
      <c r="Z1227" s="1039"/>
      <c r="AC1227" s="1045"/>
      <c r="AD1227" s="825"/>
      <c r="AF1227" s="825"/>
      <c r="AH1227" s="825"/>
      <c r="AJ1227" s="825"/>
      <c r="AK1227" s="825"/>
      <c r="AM1227" s="825"/>
      <c r="AO1227" s="825"/>
      <c r="AP1227" s="825"/>
      <c r="AU1227" s="825"/>
      <c r="AW1227" s="825"/>
      <c r="AX1227" s="825"/>
      <c r="AY1227" s="825"/>
      <c r="AZ1227" s="825"/>
    </row>
    <row r="1228" spans="26:52">
      <c r="Z1228" s="1039"/>
      <c r="AC1228" s="1045"/>
      <c r="AD1228" s="825"/>
      <c r="AF1228" s="825"/>
      <c r="AH1228" s="825"/>
      <c r="AJ1228" s="825"/>
      <c r="AK1228" s="825"/>
      <c r="AM1228" s="825"/>
      <c r="AO1228" s="825"/>
      <c r="AP1228" s="825"/>
      <c r="AU1228" s="825"/>
      <c r="AW1228" s="825"/>
      <c r="AX1228" s="825"/>
      <c r="AY1228" s="825"/>
      <c r="AZ1228" s="825"/>
    </row>
    <row r="1229" spans="26:52">
      <c r="Z1229" s="1039"/>
      <c r="AC1229" s="1045"/>
      <c r="AD1229" s="825"/>
      <c r="AF1229" s="825"/>
      <c r="AH1229" s="825"/>
      <c r="AJ1229" s="825"/>
      <c r="AK1229" s="825"/>
      <c r="AM1229" s="825"/>
      <c r="AO1229" s="825"/>
      <c r="AP1229" s="825"/>
      <c r="AU1229" s="825"/>
      <c r="AW1229" s="825"/>
      <c r="AX1229" s="825"/>
      <c r="AY1229" s="825"/>
      <c r="AZ1229" s="825"/>
    </row>
    <row r="1230" spans="26:52">
      <c r="Z1230" s="1039"/>
      <c r="AC1230" s="1045"/>
      <c r="AD1230" s="825"/>
      <c r="AF1230" s="825"/>
      <c r="AH1230" s="825"/>
      <c r="AJ1230" s="825"/>
      <c r="AK1230" s="825"/>
      <c r="AM1230" s="825"/>
      <c r="AO1230" s="825"/>
      <c r="AP1230" s="825"/>
      <c r="AU1230" s="825"/>
      <c r="AW1230" s="825"/>
      <c r="AX1230" s="825"/>
      <c r="AY1230" s="825"/>
      <c r="AZ1230" s="825"/>
    </row>
    <row r="1231" spans="26:52">
      <c r="Z1231" s="1039"/>
      <c r="AC1231" s="1045"/>
      <c r="AD1231" s="825"/>
      <c r="AF1231" s="825"/>
      <c r="AH1231" s="825"/>
      <c r="AJ1231" s="825"/>
      <c r="AK1231" s="825"/>
      <c r="AM1231" s="825"/>
      <c r="AO1231" s="825"/>
      <c r="AP1231" s="825"/>
      <c r="AU1231" s="825"/>
      <c r="AW1231" s="825"/>
      <c r="AX1231" s="825"/>
      <c r="AY1231" s="825"/>
      <c r="AZ1231" s="825"/>
    </row>
    <row r="1232" spans="26:52">
      <c r="Z1232" s="1039"/>
      <c r="AC1232" s="1045"/>
      <c r="AD1232" s="825"/>
      <c r="AF1232" s="825"/>
      <c r="AH1232" s="825"/>
      <c r="AJ1232" s="825"/>
      <c r="AK1232" s="825"/>
      <c r="AM1232" s="825"/>
      <c r="AO1232" s="825"/>
      <c r="AP1232" s="825"/>
      <c r="AU1232" s="825"/>
      <c r="AW1232" s="825"/>
      <c r="AX1232" s="825"/>
      <c r="AY1232" s="825"/>
      <c r="AZ1232" s="825"/>
    </row>
    <row r="1233" spans="26:52">
      <c r="Z1233" s="1039"/>
      <c r="AC1233" s="1045"/>
      <c r="AD1233" s="825"/>
      <c r="AF1233" s="825"/>
      <c r="AH1233" s="825"/>
      <c r="AJ1233" s="825"/>
      <c r="AK1233" s="825"/>
      <c r="AM1233" s="825"/>
      <c r="AO1233" s="825"/>
      <c r="AP1233" s="825"/>
      <c r="AU1233" s="825"/>
      <c r="AW1233" s="825"/>
      <c r="AX1233" s="825"/>
      <c r="AY1233" s="825"/>
      <c r="AZ1233" s="825"/>
    </row>
    <row r="1234" spans="26:52">
      <c r="Z1234" s="1039"/>
      <c r="AC1234" s="1045"/>
      <c r="AD1234" s="825"/>
      <c r="AF1234" s="825"/>
      <c r="AH1234" s="825"/>
      <c r="AJ1234" s="825"/>
      <c r="AK1234" s="825"/>
      <c r="AM1234" s="825"/>
      <c r="AO1234" s="825"/>
      <c r="AP1234" s="825"/>
      <c r="AU1234" s="825"/>
      <c r="AW1234" s="825"/>
      <c r="AX1234" s="825"/>
      <c r="AY1234" s="825"/>
      <c r="AZ1234" s="825"/>
    </row>
    <row r="1235" spans="26:52">
      <c r="Z1235" s="1039"/>
      <c r="AC1235" s="1045"/>
      <c r="AD1235" s="825"/>
      <c r="AF1235" s="825"/>
      <c r="AH1235" s="825"/>
      <c r="AJ1235" s="825"/>
      <c r="AK1235" s="825"/>
      <c r="AM1235" s="825"/>
      <c r="AO1235" s="825"/>
      <c r="AP1235" s="825"/>
      <c r="AU1235" s="825"/>
      <c r="AW1235" s="825"/>
      <c r="AX1235" s="825"/>
      <c r="AY1235" s="825"/>
      <c r="AZ1235" s="825"/>
    </row>
    <row r="1236" spans="26:52">
      <c r="Z1236" s="1039"/>
      <c r="AC1236" s="1045"/>
      <c r="AD1236" s="825"/>
      <c r="AF1236" s="825"/>
      <c r="AH1236" s="825"/>
      <c r="AJ1236" s="825"/>
      <c r="AK1236" s="825"/>
      <c r="AM1236" s="825"/>
      <c r="AO1236" s="825"/>
      <c r="AP1236" s="825"/>
      <c r="AU1236" s="825"/>
      <c r="AW1236" s="825"/>
      <c r="AX1236" s="825"/>
      <c r="AY1236" s="825"/>
      <c r="AZ1236" s="825"/>
    </row>
    <row r="1237" spans="26:52">
      <c r="Z1237" s="1039"/>
      <c r="AC1237" s="1045"/>
      <c r="AD1237" s="825"/>
      <c r="AF1237" s="825"/>
      <c r="AH1237" s="825"/>
      <c r="AJ1237" s="825"/>
      <c r="AK1237" s="825"/>
      <c r="AM1237" s="825"/>
      <c r="AO1237" s="825"/>
      <c r="AP1237" s="825"/>
      <c r="AU1237" s="825"/>
      <c r="AW1237" s="825"/>
      <c r="AX1237" s="825"/>
      <c r="AY1237" s="825"/>
      <c r="AZ1237" s="825"/>
    </row>
    <row r="1238" spans="26:52">
      <c r="Z1238" s="1039"/>
      <c r="AC1238" s="1045"/>
      <c r="AD1238" s="825"/>
      <c r="AF1238" s="825"/>
      <c r="AH1238" s="825"/>
      <c r="AJ1238" s="825"/>
      <c r="AK1238" s="825"/>
      <c r="AM1238" s="825"/>
      <c r="AO1238" s="825"/>
      <c r="AP1238" s="825"/>
      <c r="AU1238" s="825"/>
      <c r="AW1238" s="825"/>
      <c r="AX1238" s="825"/>
      <c r="AY1238" s="825"/>
      <c r="AZ1238" s="825"/>
    </row>
    <row r="1239" spans="26:52">
      <c r="Z1239" s="1039"/>
      <c r="AC1239" s="1045"/>
      <c r="AD1239" s="825"/>
      <c r="AF1239" s="825"/>
      <c r="AH1239" s="825"/>
      <c r="AJ1239" s="825"/>
      <c r="AK1239" s="825"/>
      <c r="AM1239" s="825"/>
      <c r="AO1239" s="825"/>
      <c r="AP1239" s="825"/>
      <c r="AU1239" s="825"/>
      <c r="AW1239" s="825"/>
      <c r="AX1239" s="825"/>
      <c r="AY1239" s="825"/>
      <c r="AZ1239" s="825"/>
    </row>
    <row r="1240" spans="26:52">
      <c r="Z1240" s="1039"/>
      <c r="AC1240" s="1045"/>
      <c r="AD1240" s="825"/>
      <c r="AF1240" s="825"/>
      <c r="AH1240" s="825"/>
      <c r="AJ1240" s="825"/>
      <c r="AK1240" s="825"/>
      <c r="AM1240" s="825"/>
      <c r="AO1240" s="825"/>
      <c r="AP1240" s="825"/>
      <c r="AU1240" s="825"/>
      <c r="AW1240" s="825"/>
      <c r="AX1240" s="825"/>
      <c r="AY1240" s="825"/>
      <c r="AZ1240" s="825"/>
    </row>
    <row r="1241" spans="26:52">
      <c r="Z1241" s="1039"/>
      <c r="AC1241" s="1045"/>
      <c r="AD1241" s="825"/>
      <c r="AF1241" s="825"/>
      <c r="AH1241" s="825"/>
      <c r="AJ1241" s="825"/>
      <c r="AK1241" s="825"/>
      <c r="AM1241" s="825"/>
      <c r="AO1241" s="825"/>
      <c r="AP1241" s="825"/>
      <c r="AU1241" s="825"/>
      <c r="AW1241" s="825"/>
      <c r="AX1241" s="825"/>
      <c r="AY1241" s="825"/>
      <c r="AZ1241" s="825"/>
    </row>
    <row r="1242" spans="26:52">
      <c r="Z1242" s="1039"/>
      <c r="AC1242" s="1045"/>
      <c r="AD1242" s="825"/>
      <c r="AF1242" s="825"/>
      <c r="AH1242" s="825"/>
      <c r="AJ1242" s="825"/>
      <c r="AK1242" s="825"/>
      <c r="AM1242" s="825"/>
      <c r="AO1242" s="825"/>
      <c r="AP1242" s="825"/>
      <c r="AU1242" s="825"/>
      <c r="AW1242" s="825"/>
      <c r="AX1242" s="825"/>
      <c r="AY1242" s="825"/>
      <c r="AZ1242" s="825"/>
    </row>
    <row r="1243" spans="26:52">
      <c r="Z1243" s="1039"/>
      <c r="AC1243" s="1045"/>
      <c r="AD1243" s="825"/>
      <c r="AF1243" s="825"/>
      <c r="AH1243" s="825"/>
      <c r="AJ1243" s="825"/>
      <c r="AK1243" s="825"/>
      <c r="AM1243" s="825"/>
      <c r="AO1243" s="825"/>
      <c r="AP1243" s="825"/>
      <c r="AU1243" s="825"/>
      <c r="AW1243" s="825"/>
      <c r="AX1243" s="825"/>
      <c r="AY1243" s="825"/>
      <c r="AZ1243" s="825"/>
    </row>
    <row r="1244" spans="26:52">
      <c r="Z1244" s="1039"/>
      <c r="AC1244" s="1045"/>
      <c r="AD1244" s="825"/>
      <c r="AF1244" s="825"/>
      <c r="AH1244" s="825"/>
      <c r="AJ1244" s="825"/>
      <c r="AK1244" s="825"/>
      <c r="AM1244" s="825"/>
      <c r="AO1244" s="825"/>
      <c r="AP1244" s="825"/>
      <c r="AU1244" s="825"/>
      <c r="AW1244" s="825"/>
      <c r="AX1244" s="825"/>
      <c r="AY1244" s="825"/>
      <c r="AZ1244" s="825"/>
    </row>
    <row r="1245" spans="26:52">
      <c r="Z1245" s="1039"/>
      <c r="AC1245" s="1045"/>
      <c r="AD1245" s="825"/>
      <c r="AF1245" s="825"/>
      <c r="AH1245" s="825"/>
      <c r="AJ1245" s="825"/>
      <c r="AK1245" s="825"/>
      <c r="AM1245" s="825"/>
      <c r="AO1245" s="825"/>
      <c r="AP1245" s="825"/>
      <c r="AU1245" s="825"/>
      <c r="AW1245" s="825"/>
      <c r="AX1245" s="825"/>
      <c r="AY1245" s="825"/>
      <c r="AZ1245" s="825"/>
    </row>
    <row r="1246" spans="26:52">
      <c r="Z1246" s="1039"/>
      <c r="AC1246" s="1045"/>
      <c r="AD1246" s="825"/>
      <c r="AF1246" s="825"/>
      <c r="AH1246" s="825"/>
      <c r="AJ1246" s="825"/>
      <c r="AK1246" s="825"/>
      <c r="AM1246" s="825"/>
      <c r="AO1246" s="825"/>
      <c r="AP1246" s="825"/>
      <c r="AU1246" s="825"/>
      <c r="AW1246" s="825"/>
      <c r="AX1246" s="825"/>
      <c r="AY1246" s="825"/>
      <c r="AZ1246" s="825"/>
    </row>
    <row r="1247" spans="26:52">
      <c r="Z1247" s="1039"/>
      <c r="AC1247" s="1045"/>
      <c r="AD1247" s="825"/>
      <c r="AF1247" s="825"/>
      <c r="AH1247" s="825"/>
      <c r="AJ1247" s="825"/>
      <c r="AK1247" s="825"/>
      <c r="AM1247" s="825"/>
      <c r="AO1247" s="825"/>
      <c r="AP1247" s="825"/>
      <c r="AU1247" s="825"/>
      <c r="AW1247" s="825"/>
      <c r="AX1247" s="825"/>
      <c r="AY1247" s="825"/>
      <c r="AZ1247" s="825"/>
    </row>
    <row r="1248" spans="26:52">
      <c r="Z1248" s="1039"/>
      <c r="AC1248" s="1045"/>
      <c r="AD1248" s="825"/>
      <c r="AF1248" s="825"/>
      <c r="AH1248" s="825"/>
      <c r="AJ1248" s="825"/>
      <c r="AK1248" s="825"/>
      <c r="AM1248" s="825"/>
      <c r="AO1248" s="825"/>
      <c r="AP1248" s="825"/>
      <c r="AU1248" s="825"/>
      <c r="AW1248" s="825"/>
      <c r="AX1248" s="825"/>
      <c r="AY1248" s="825"/>
      <c r="AZ1248" s="825"/>
    </row>
    <row r="1249" spans="26:52">
      <c r="Z1249" s="1039"/>
      <c r="AC1249" s="1045"/>
      <c r="AD1249" s="825"/>
      <c r="AF1249" s="825"/>
      <c r="AH1249" s="825"/>
      <c r="AJ1249" s="825"/>
      <c r="AK1249" s="825"/>
      <c r="AM1249" s="825"/>
      <c r="AO1249" s="825"/>
      <c r="AP1249" s="825"/>
      <c r="AU1249" s="825"/>
      <c r="AW1249" s="825"/>
      <c r="AX1249" s="825"/>
      <c r="AY1249" s="825"/>
      <c r="AZ1249" s="825"/>
    </row>
    <row r="1250" spans="26:52">
      <c r="Z1250" s="1039"/>
      <c r="AC1250" s="1045"/>
      <c r="AD1250" s="825"/>
      <c r="AF1250" s="825"/>
      <c r="AH1250" s="825"/>
      <c r="AJ1250" s="825"/>
      <c r="AK1250" s="825"/>
      <c r="AM1250" s="825"/>
      <c r="AO1250" s="825"/>
      <c r="AP1250" s="825"/>
      <c r="AU1250" s="825"/>
      <c r="AW1250" s="825"/>
      <c r="AX1250" s="825"/>
      <c r="AY1250" s="825"/>
      <c r="AZ1250" s="825"/>
    </row>
    <row r="1251" spans="26:52">
      <c r="Z1251" s="1039"/>
      <c r="AC1251" s="1045"/>
      <c r="AD1251" s="825"/>
      <c r="AF1251" s="825"/>
      <c r="AH1251" s="825"/>
      <c r="AJ1251" s="825"/>
      <c r="AK1251" s="825"/>
      <c r="AM1251" s="825"/>
      <c r="AO1251" s="825"/>
      <c r="AP1251" s="825"/>
      <c r="AU1251" s="825"/>
      <c r="AW1251" s="825"/>
      <c r="AX1251" s="825"/>
      <c r="AY1251" s="825"/>
      <c r="AZ1251" s="825"/>
    </row>
    <row r="1252" spans="26:52">
      <c r="Z1252" s="1039"/>
      <c r="AC1252" s="1045"/>
      <c r="AD1252" s="825"/>
      <c r="AF1252" s="825"/>
      <c r="AH1252" s="825"/>
      <c r="AJ1252" s="825"/>
      <c r="AK1252" s="825"/>
      <c r="AM1252" s="825"/>
      <c r="AO1252" s="825"/>
      <c r="AP1252" s="825"/>
      <c r="AU1252" s="825"/>
      <c r="AW1252" s="825"/>
      <c r="AX1252" s="825"/>
      <c r="AY1252" s="825"/>
      <c r="AZ1252" s="825"/>
    </row>
    <row r="1253" spans="26:52">
      <c r="Z1253" s="1039"/>
      <c r="AC1253" s="1045"/>
      <c r="AD1253" s="825"/>
      <c r="AF1253" s="825"/>
      <c r="AH1253" s="825"/>
      <c r="AJ1253" s="825"/>
      <c r="AK1253" s="825"/>
      <c r="AM1253" s="825"/>
      <c r="AO1253" s="825"/>
      <c r="AP1253" s="825"/>
      <c r="AU1253" s="825"/>
      <c r="AW1253" s="825"/>
      <c r="AX1253" s="825"/>
      <c r="AY1253" s="825"/>
      <c r="AZ1253" s="825"/>
    </row>
    <row r="1254" spans="26:52">
      <c r="Z1254" s="1039"/>
      <c r="AC1254" s="1045"/>
      <c r="AD1254" s="825"/>
      <c r="AF1254" s="825"/>
      <c r="AH1254" s="825"/>
      <c r="AJ1254" s="825"/>
      <c r="AK1254" s="825"/>
      <c r="AM1254" s="825"/>
      <c r="AO1254" s="825"/>
      <c r="AP1254" s="825"/>
      <c r="AU1254" s="825"/>
      <c r="AW1254" s="825"/>
      <c r="AX1254" s="825"/>
      <c r="AY1254" s="825"/>
      <c r="AZ1254" s="825"/>
    </row>
    <row r="1255" spans="26:52">
      <c r="Z1255" s="1039"/>
      <c r="AC1255" s="1045"/>
      <c r="AD1255" s="825"/>
      <c r="AF1255" s="825"/>
      <c r="AH1255" s="825"/>
      <c r="AJ1255" s="825"/>
      <c r="AK1255" s="825"/>
      <c r="AM1255" s="825"/>
      <c r="AO1255" s="825"/>
      <c r="AP1255" s="825"/>
      <c r="AU1255" s="825"/>
      <c r="AW1255" s="825"/>
      <c r="AX1255" s="825"/>
      <c r="AY1255" s="825"/>
      <c r="AZ1255" s="825"/>
    </row>
    <row r="1256" spans="26:52">
      <c r="Z1256" s="1039"/>
      <c r="AC1256" s="1045"/>
      <c r="AD1256" s="825"/>
      <c r="AF1256" s="825"/>
      <c r="AH1256" s="825"/>
      <c r="AJ1256" s="825"/>
      <c r="AK1256" s="825"/>
      <c r="AM1256" s="825"/>
      <c r="AO1256" s="825"/>
      <c r="AP1256" s="825"/>
      <c r="AU1256" s="825"/>
      <c r="AW1256" s="825"/>
      <c r="AX1256" s="825"/>
      <c r="AY1256" s="825"/>
      <c r="AZ1256" s="825"/>
    </row>
    <row r="1257" spans="26:52">
      <c r="Z1257" s="1039"/>
      <c r="AC1257" s="1045"/>
      <c r="AD1257" s="825"/>
      <c r="AF1257" s="825"/>
      <c r="AH1257" s="825"/>
      <c r="AJ1257" s="825"/>
      <c r="AK1257" s="825"/>
      <c r="AM1257" s="825"/>
      <c r="AO1257" s="825"/>
      <c r="AP1257" s="825"/>
      <c r="AU1257" s="825"/>
      <c r="AW1257" s="825"/>
      <c r="AX1257" s="825"/>
      <c r="AY1257" s="825"/>
      <c r="AZ1257" s="825"/>
    </row>
    <row r="1258" spans="26:52">
      <c r="Z1258" s="1039"/>
      <c r="AC1258" s="1045"/>
      <c r="AD1258" s="825"/>
      <c r="AF1258" s="825"/>
      <c r="AH1258" s="825"/>
      <c r="AJ1258" s="825"/>
      <c r="AK1258" s="825"/>
      <c r="AM1258" s="825"/>
      <c r="AO1258" s="825"/>
      <c r="AP1258" s="825"/>
      <c r="AU1258" s="825"/>
      <c r="AW1258" s="825"/>
      <c r="AX1258" s="825"/>
      <c r="AY1258" s="825"/>
      <c r="AZ1258" s="825"/>
    </row>
    <row r="1259" spans="26:52">
      <c r="Z1259" s="1039"/>
      <c r="AC1259" s="1045"/>
      <c r="AD1259" s="825"/>
      <c r="AF1259" s="825"/>
      <c r="AH1259" s="825"/>
      <c r="AJ1259" s="825"/>
      <c r="AK1259" s="825"/>
      <c r="AM1259" s="825"/>
      <c r="AO1259" s="825"/>
      <c r="AP1259" s="825"/>
      <c r="AU1259" s="825"/>
      <c r="AW1259" s="825"/>
      <c r="AX1259" s="825"/>
      <c r="AY1259" s="825"/>
      <c r="AZ1259" s="825"/>
    </row>
    <row r="1260" spans="26:52">
      <c r="Z1260" s="1039"/>
      <c r="AC1260" s="1045"/>
      <c r="AD1260" s="825"/>
      <c r="AF1260" s="825"/>
      <c r="AH1260" s="825"/>
      <c r="AJ1260" s="825"/>
      <c r="AK1260" s="825"/>
      <c r="AM1260" s="825"/>
      <c r="AO1260" s="825"/>
      <c r="AP1260" s="825"/>
      <c r="AU1260" s="825"/>
      <c r="AW1260" s="825"/>
      <c r="AX1260" s="825"/>
      <c r="AY1260" s="825"/>
      <c r="AZ1260" s="825"/>
    </row>
    <row r="1261" spans="26:52">
      <c r="Z1261" s="1039"/>
      <c r="AC1261" s="1045"/>
      <c r="AD1261" s="825"/>
      <c r="AF1261" s="825"/>
      <c r="AH1261" s="825"/>
      <c r="AJ1261" s="825"/>
      <c r="AK1261" s="825"/>
      <c r="AM1261" s="825"/>
      <c r="AO1261" s="825"/>
      <c r="AP1261" s="825"/>
      <c r="AU1261" s="825"/>
      <c r="AW1261" s="825"/>
      <c r="AX1261" s="825"/>
      <c r="AY1261" s="825"/>
      <c r="AZ1261" s="825"/>
    </row>
    <row r="1262" spans="26:52">
      <c r="Z1262" s="1039"/>
      <c r="AC1262" s="1045"/>
      <c r="AD1262" s="825"/>
      <c r="AF1262" s="825"/>
      <c r="AH1262" s="825"/>
      <c r="AJ1262" s="825"/>
      <c r="AK1262" s="825"/>
      <c r="AM1262" s="825"/>
      <c r="AO1262" s="825"/>
      <c r="AP1262" s="825"/>
      <c r="AU1262" s="825"/>
      <c r="AW1262" s="825"/>
      <c r="AX1262" s="825"/>
      <c r="AY1262" s="825"/>
      <c r="AZ1262" s="825"/>
    </row>
    <row r="1263" spans="26:52">
      <c r="Z1263" s="1039"/>
      <c r="AC1263" s="1045"/>
      <c r="AD1263" s="825"/>
      <c r="AF1263" s="825"/>
      <c r="AH1263" s="825"/>
      <c r="AJ1263" s="825"/>
      <c r="AK1263" s="825"/>
      <c r="AM1263" s="825"/>
      <c r="AO1263" s="825"/>
      <c r="AP1263" s="825"/>
      <c r="AU1263" s="825"/>
      <c r="AW1263" s="825"/>
      <c r="AX1263" s="825"/>
      <c r="AY1263" s="825"/>
      <c r="AZ1263" s="825"/>
    </row>
    <row r="1264" spans="26:52">
      <c r="Z1264" s="1039"/>
      <c r="AC1264" s="1045"/>
      <c r="AD1264" s="825"/>
      <c r="AF1264" s="825"/>
      <c r="AH1264" s="825"/>
      <c r="AJ1264" s="825"/>
      <c r="AK1264" s="825"/>
      <c r="AM1264" s="825"/>
      <c r="AO1264" s="825"/>
      <c r="AP1264" s="825"/>
      <c r="AU1264" s="825"/>
      <c r="AW1264" s="825"/>
      <c r="AX1264" s="825"/>
      <c r="AY1264" s="825"/>
      <c r="AZ1264" s="825"/>
    </row>
    <row r="1265" spans="26:52">
      <c r="Z1265" s="1039"/>
      <c r="AC1265" s="1045"/>
      <c r="AD1265" s="825"/>
      <c r="AF1265" s="825"/>
      <c r="AH1265" s="825"/>
      <c r="AJ1265" s="825"/>
      <c r="AK1265" s="825"/>
      <c r="AM1265" s="825"/>
      <c r="AO1265" s="825"/>
      <c r="AP1265" s="825"/>
      <c r="AU1265" s="825"/>
      <c r="AW1265" s="825"/>
      <c r="AX1265" s="825"/>
      <c r="AY1265" s="825"/>
      <c r="AZ1265" s="825"/>
    </row>
    <row r="1266" spans="26:52">
      <c r="Z1266" s="1039"/>
      <c r="AC1266" s="1045"/>
      <c r="AD1266" s="825"/>
      <c r="AF1266" s="825"/>
      <c r="AH1266" s="825"/>
      <c r="AJ1266" s="825"/>
      <c r="AK1266" s="825"/>
      <c r="AM1266" s="825"/>
      <c r="AO1266" s="825"/>
      <c r="AP1266" s="825"/>
      <c r="AU1266" s="825"/>
      <c r="AW1266" s="825"/>
      <c r="AX1266" s="825"/>
      <c r="AY1266" s="825"/>
      <c r="AZ1266" s="825"/>
    </row>
    <row r="1267" spans="26:52">
      <c r="Z1267" s="1039"/>
      <c r="AC1267" s="1045"/>
      <c r="AD1267" s="825"/>
      <c r="AF1267" s="825"/>
      <c r="AH1267" s="825"/>
      <c r="AJ1267" s="825"/>
      <c r="AK1267" s="825"/>
      <c r="AM1267" s="825"/>
      <c r="AO1267" s="825"/>
      <c r="AP1267" s="825"/>
      <c r="AU1267" s="825"/>
      <c r="AW1267" s="825"/>
      <c r="AX1267" s="825"/>
      <c r="AY1267" s="825"/>
      <c r="AZ1267" s="825"/>
    </row>
    <row r="1268" spans="26:52">
      <c r="Z1268" s="1039"/>
      <c r="AC1268" s="1045"/>
      <c r="AD1268" s="825"/>
      <c r="AF1268" s="825"/>
      <c r="AH1268" s="825"/>
      <c r="AJ1268" s="825"/>
      <c r="AK1268" s="825"/>
      <c r="AM1268" s="825"/>
      <c r="AO1268" s="825"/>
      <c r="AP1268" s="825"/>
      <c r="AU1268" s="825"/>
      <c r="AW1268" s="825"/>
      <c r="AX1268" s="825"/>
      <c r="AY1268" s="825"/>
      <c r="AZ1268" s="825"/>
    </row>
    <row r="1269" spans="26:52">
      <c r="Z1269" s="1039"/>
      <c r="AC1269" s="1045"/>
      <c r="AD1269" s="825"/>
      <c r="AF1269" s="825"/>
      <c r="AH1269" s="825"/>
      <c r="AJ1269" s="825"/>
      <c r="AK1269" s="825"/>
      <c r="AM1269" s="825"/>
      <c r="AO1269" s="825"/>
      <c r="AP1269" s="825"/>
      <c r="AU1269" s="825"/>
      <c r="AW1269" s="825"/>
      <c r="AX1269" s="825"/>
      <c r="AY1269" s="825"/>
      <c r="AZ1269" s="825"/>
    </row>
    <row r="1270" spans="26:52">
      <c r="Z1270" s="1039"/>
      <c r="AC1270" s="1045"/>
      <c r="AD1270" s="825"/>
      <c r="AF1270" s="825"/>
      <c r="AH1270" s="825"/>
      <c r="AJ1270" s="825"/>
      <c r="AK1270" s="825"/>
      <c r="AM1270" s="825"/>
      <c r="AO1270" s="825"/>
      <c r="AP1270" s="825"/>
      <c r="AU1270" s="825"/>
      <c r="AW1270" s="825"/>
      <c r="AX1270" s="825"/>
      <c r="AY1270" s="825"/>
      <c r="AZ1270" s="825"/>
    </row>
    <row r="1271" spans="26:52">
      <c r="Z1271" s="1039"/>
      <c r="AC1271" s="1045"/>
      <c r="AD1271" s="825"/>
      <c r="AF1271" s="825"/>
      <c r="AH1271" s="825"/>
      <c r="AJ1271" s="825"/>
      <c r="AK1271" s="825"/>
      <c r="AM1271" s="825"/>
      <c r="AO1271" s="825"/>
      <c r="AP1271" s="825"/>
      <c r="AU1271" s="825"/>
      <c r="AW1271" s="825"/>
      <c r="AX1271" s="825"/>
      <c r="AY1271" s="825"/>
      <c r="AZ1271" s="825"/>
    </row>
    <row r="1272" spans="26:52">
      <c r="Z1272" s="1039"/>
      <c r="AC1272" s="1045"/>
      <c r="AD1272" s="825"/>
      <c r="AF1272" s="825"/>
      <c r="AH1272" s="825"/>
      <c r="AJ1272" s="825"/>
      <c r="AK1272" s="825"/>
      <c r="AM1272" s="825"/>
      <c r="AO1272" s="825"/>
      <c r="AP1272" s="825"/>
      <c r="AU1272" s="825"/>
      <c r="AW1272" s="825"/>
      <c r="AX1272" s="825"/>
      <c r="AY1272" s="825"/>
      <c r="AZ1272" s="825"/>
    </row>
    <row r="1273" spans="26:52">
      <c r="Z1273" s="1039"/>
      <c r="AC1273" s="1045"/>
      <c r="AD1273" s="825"/>
      <c r="AF1273" s="825"/>
      <c r="AH1273" s="825"/>
      <c r="AJ1273" s="825"/>
      <c r="AK1273" s="825"/>
      <c r="AM1273" s="825"/>
      <c r="AO1273" s="825"/>
      <c r="AP1273" s="825"/>
      <c r="AU1273" s="825"/>
      <c r="AW1273" s="825"/>
      <c r="AX1273" s="825"/>
      <c r="AY1273" s="825"/>
      <c r="AZ1273" s="825"/>
    </row>
    <row r="1274" spans="26:52">
      <c r="Z1274" s="1039"/>
      <c r="AC1274" s="1045"/>
      <c r="AD1274" s="825"/>
      <c r="AF1274" s="825"/>
      <c r="AH1274" s="825"/>
      <c r="AJ1274" s="825"/>
      <c r="AK1274" s="825"/>
      <c r="AM1274" s="825"/>
      <c r="AO1274" s="825"/>
      <c r="AP1274" s="825"/>
      <c r="AU1274" s="825"/>
      <c r="AW1274" s="825"/>
      <c r="AX1274" s="825"/>
      <c r="AY1274" s="825"/>
      <c r="AZ1274" s="825"/>
    </row>
    <row r="1275" spans="26:52">
      <c r="Z1275" s="1039"/>
      <c r="AC1275" s="1045"/>
      <c r="AD1275" s="825"/>
      <c r="AF1275" s="825"/>
      <c r="AH1275" s="825"/>
      <c r="AJ1275" s="825"/>
      <c r="AK1275" s="825"/>
      <c r="AM1275" s="825"/>
      <c r="AO1275" s="825"/>
      <c r="AP1275" s="825"/>
      <c r="AU1275" s="825"/>
      <c r="AW1275" s="825"/>
      <c r="AX1275" s="825"/>
      <c r="AY1275" s="825"/>
      <c r="AZ1275" s="825"/>
    </row>
    <row r="1276" spans="26:52">
      <c r="Z1276" s="1039"/>
      <c r="AC1276" s="1045"/>
      <c r="AD1276" s="825"/>
      <c r="AF1276" s="825"/>
      <c r="AH1276" s="825"/>
      <c r="AJ1276" s="825"/>
      <c r="AK1276" s="825"/>
      <c r="AM1276" s="825"/>
      <c r="AO1276" s="825"/>
      <c r="AP1276" s="825"/>
      <c r="AU1276" s="825"/>
      <c r="AW1276" s="825"/>
      <c r="AX1276" s="825"/>
      <c r="AY1276" s="825"/>
      <c r="AZ1276" s="825"/>
    </row>
    <row r="1277" spans="26:52">
      <c r="Z1277" s="1039"/>
      <c r="AC1277" s="1045"/>
      <c r="AD1277" s="825"/>
      <c r="AF1277" s="825"/>
      <c r="AH1277" s="825"/>
      <c r="AJ1277" s="825"/>
      <c r="AK1277" s="825"/>
      <c r="AM1277" s="825"/>
      <c r="AO1277" s="825"/>
      <c r="AP1277" s="825"/>
      <c r="AU1277" s="825"/>
      <c r="AW1277" s="825"/>
      <c r="AX1277" s="825"/>
      <c r="AY1277" s="825"/>
      <c r="AZ1277" s="825"/>
    </row>
    <row r="1278" spans="26:52">
      <c r="Z1278" s="1039"/>
      <c r="AC1278" s="1045"/>
      <c r="AD1278" s="825"/>
      <c r="AF1278" s="825"/>
      <c r="AH1278" s="825"/>
      <c r="AJ1278" s="825"/>
      <c r="AK1278" s="825"/>
      <c r="AM1278" s="825"/>
      <c r="AO1278" s="825"/>
      <c r="AP1278" s="825"/>
      <c r="AU1278" s="825"/>
      <c r="AW1278" s="825"/>
      <c r="AX1278" s="825"/>
      <c r="AY1278" s="825"/>
      <c r="AZ1278" s="825"/>
    </row>
    <row r="1279" spans="26:52">
      <c r="Z1279" s="1039"/>
      <c r="AC1279" s="1045"/>
      <c r="AD1279" s="825"/>
      <c r="AF1279" s="825"/>
      <c r="AH1279" s="825"/>
      <c r="AJ1279" s="825"/>
      <c r="AK1279" s="825"/>
      <c r="AM1279" s="825"/>
      <c r="AO1279" s="825"/>
      <c r="AP1279" s="825"/>
      <c r="AU1279" s="825"/>
      <c r="AW1279" s="825"/>
      <c r="AX1279" s="825"/>
      <c r="AY1279" s="825"/>
      <c r="AZ1279" s="825"/>
    </row>
    <row r="1280" spans="26:52">
      <c r="Z1280" s="1039"/>
      <c r="AC1280" s="1045"/>
      <c r="AD1280" s="825"/>
      <c r="AF1280" s="825"/>
      <c r="AH1280" s="825"/>
      <c r="AJ1280" s="825"/>
      <c r="AK1280" s="825"/>
      <c r="AM1280" s="825"/>
      <c r="AO1280" s="825"/>
      <c r="AP1280" s="825"/>
      <c r="AU1280" s="825"/>
      <c r="AW1280" s="825"/>
      <c r="AX1280" s="825"/>
      <c r="AY1280" s="825"/>
      <c r="AZ1280" s="825"/>
    </row>
    <row r="1281" spans="26:52">
      <c r="Z1281" s="1039"/>
      <c r="AC1281" s="1045"/>
      <c r="AD1281" s="825"/>
      <c r="AF1281" s="825"/>
      <c r="AH1281" s="825"/>
      <c r="AJ1281" s="825"/>
      <c r="AK1281" s="825"/>
      <c r="AM1281" s="825"/>
      <c r="AO1281" s="825"/>
      <c r="AP1281" s="825"/>
      <c r="AU1281" s="825"/>
      <c r="AW1281" s="825"/>
      <c r="AX1281" s="825"/>
      <c r="AY1281" s="825"/>
      <c r="AZ1281" s="825"/>
    </row>
    <row r="1282" spans="26:52">
      <c r="Z1282" s="1039"/>
      <c r="AC1282" s="1045"/>
      <c r="AD1282" s="825"/>
      <c r="AF1282" s="825"/>
      <c r="AH1282" s="825"/>
      <c r="AJ1282" s="825"/>
      <c r="AK1282" s="825"/>
      <c r="AM1282" s="825"/>
      <c r="AO1282" s="825"/>
      <c r="AP1282" s="825"/>
      <c r="AU1282" s="825"/>
      <c r="AW1282" s="825"/>
      <c r="AX1282" s="825"/>
      <c r="AY1282" s="825"/>
      <c r="AZ1282" s="825"/>
    </row>
    <row r="1283" spans="26:52">
      <c r="Z1283" s="1039"/>
      <c r="AC1283" s="1045"/>
      <c r="AD1283" s="825"/>
      <c r="AF1283" s="825"/>
      <c r="AH1283" s="825"/>
      <c r="AJ1283" s="825"/>
      <c r="AK1283" s="825"/>
      <c r="AM1283" s="825"/>
      <c r="AO1283" s="825"/>
      <c r="AP1283" s="825"/>
      <c r="AU1283" s="825"/>
      <c r="AW1283" s="825"/>
      <c r="AX1283" s="825"/>
      <c r="AY1283" s="825"/>
      <c r="AZ1283" s="825"/>
    </row>
    <row r="1284" spans="26:52">
      <c r="Z1284" s="1039"/>
      <c r="AC1284" s="1045"/>
      <c r="AD1284" s="825"/>
      <c r="AF1284" s="825"/>
      <c r="AH1284" s="825"/>
      <c r="AJ1284" s="825"/>
      <c r="AK1284" s="825"/>
      <c r="AM1284" s="825"/>
      <c r="AO1284" s="825"/>
      <c r="AP1284" s="825"/>
      <c r="AU1284" s="825"/>
      <c r="AW1284" s="825"/>
      <c r="AX1284" s="825"/>
      <c r="AY1284" s="825"/>
      <c r="AZ1284" s="825"/>
    </row>
    <row r="1285" spans="26:52">
      <c r="Z1285" s="1039"/>
      <c r="AC1285" s="1045"/>
      <c r="AD1285" s="825"/>
      <c r="AF1285" s="825"/>
      <c r="AH1285" s="825"/>
      <c r="AJ1285" s="825"/>
      <c r="AK1285" s="825"/>
      <c r="AM1285" s="825"/>
      <c r="AO1285" s="825"/>
      <c r="AP1285" s="825"/>
      <c r="AU1285" s="825"/>
      <c r="AW1285" s="825"/>
      <c r="AX1285" s="825"/>
      <c r="AY1285" s="825"/>
      <c r="AZ1285" s="825"/>
    </row>
    <row r="1286" spans="26:52">
      <c r="Z1286" s="1039"/>
      <c r="AC1286" s="1045"/>
      <c r="AD1286" s="825"/>
      <c r="AF1286" s="825"/>
      <c r="AH1286" s="825"/>
      <c r="AJ1286" s="825"/>
      <c r="AK1286" s="825"/>
      <c r="AM1286" s="825"/>
      <c r="AO1286" s="825"/>
      <c r="AP1286" s="825"/>
      <c r="AU1286" s="825"/>
      <c r="AW1286" s="825"/>
      <c r="AX1286" s="825"/>
      <c r="AY1286" s="825"/>
      <c r="AZ1286" s="825"/>
    </row>
    <row r="1287" spans="26:52">
      <c r="Z1287" s="1039"/>
      <c r="AC1287" s="1045"/>
      <c r="AD1287" s="825"/>
      <c r="AF1287" s="825"/>
      <c r="AH1287" s="825"/>
      <c r="AJ1287" s="825"/>
      <c r="AK1287" s="825"/>
      <c r="AM1287" s="825"/>
      <c r="AO1287" s="825"/>
      <c r="AP1287" s="825"/>
      <c r="AU1287" s="825"/>
      <c r="AW1287" s="825"/>
      <c r="AX1287" s="825"/>
      <c r="AY1287" s="825"/>
      <c r="AZ1287" s="825"/>
    </row>
    <row r="1288" spans="26:52">
      <c r="Z1288" s="1039"/>
      <c r="AC1288" s="1045"/>
      <c r="AD1288" s="825"/>
      <c r="AF1288" s="825"/>
      <c r="AH1288" s="825"/>
      <c r="AJ1288" s="825"/>
      <c r="AK1288" s="825"/>
      <c r="AM1288" s="825"/>
      <c r="AO1288" s="825"/>
      <c r="AP1288" s="825"/>
      <c r="AU1288" s="825"/>
      <c r="AW1288" s="825"/>
      <c r="AX1288" s="825"/>
      <c r="AY1288" s="825"/>
      <c r="AZ1288" s="825"/>
    </row>
    <row r="1289" spans="26:52">
      <c r="Z1289" s="1039"/>
      <c r="AC1289" s="1045"/>
      <c r="AD1289" s="825"/>
      <c r="AF1289" s="825"/>
      <c r="AH1289" s="825"/>
      <c r="AJ1289" s="825"/>
      <c r="AK1289" s="825"/>
      <c r="AM1289" s="825"/>
      <c r="AO1289" s="825"/>
      <c r="AP1289" s="825"/>
      <c r="AU1289" s="825"/>
      <c r="AW1289" s="825"/>
      <c r="AX1289" s="825"/>
      <c r="AY1289" s="825"/>
      <c r="AZ1289" s="825"/>
    </row>
    <row r="1290" spans="26:52">
      <c r="Z1290" s="1039"/>
      <c r="AC1290" s="1045"/>
      <c r="AD1290" s="825"/>
      <c r="AF1290" s="825"/>
      <c r="AH1290" s="825"/>
      <c r="AJ1290" s="825"/>
      <c r="AK1290" s="825"/>
      <c r="AM1290" s="825"/>
      <c r="AO1290" s="825"/>
      <c r="AP1290" s="825"/>
      <c r="AU1290" s="825"/>
      <c r="AW1290" s="825"/>
      <c r="AX1290" s="825"/>
      <c r="AY1290" s="825"/>
      <c r="AZ1290" s="825"/>
    </row>
    <row r="1291" spans="26:52">
      <c r="Z1291" s="1039"/>
      <c r="AC1291" s="1045"/>
      <c r="AD1291" s="825"/>
      <c r="AF1291" s="825"/>
      <c r="AH1291" s="825"/>
      <c r="AJ1291" s="825"/>
      <c r="AK1291" s="825"/>
      <c r="AM1291" s="825"/>
      <c r="AO1291" s="825"/>
      <c r="AP1291" s="825"/>
      <c r="AU1291" s="825"/>
      <c r="AW1291" s="825"/>
      <c r="AX1291" s="825"/>
      <c r="AY1291" s="825"/>
      <c r="AZ1291" s="825"/>
    </row>
    <row r="1292" spans="26:52">
      <c r="Z1292" s="1039"/>
      <c r="AC1292" s="1045"/>
      <c r="AD1292" s="825"/>
      <c r="AF1292" s="825"/>
      <c r="AH1292" s="825"/>
      <c r="AJ1292" s="825"/>
      <c r="AK1292" s="825"/>
      <c r="AM1292" s="825"/>
      <c r="AO1292" s="825"/>
      <c r="AP1292" s="825"/>
      <c r="AU1292" s="825"/>
      <c r="AW1292" s="825"/>
      <c r="AX1292" s="825"/>
      <c r="AY1292" s="825"/>
      <c r="AZ1292" s="825"/>
    </row>
    <row r="1293" spans="26:52">
      <c r="Z1293" s="1039"/>
      <c r="AC1293" s="1045"/>
      <c r="AD1293" s="825"/>
      <c r="AF1293" s="825"/>
      <c r="AH1293" s="825"/>
      <c r="AJ1293" s="825"/>
      <c r="AK1293" s="825"/>
      <c r="AM1293" s="825"/>
      <c r="AO1293" s="825"/>
      <c r="AP1293" s="825"/>
      <c r="AU1293" s="825"/>
      <c r="AW1293" s="825"/>
      <c r="AX1293" s="825"/>
      <c r="AY1293" s="825"/>
      <c r="AZ1293" s="825"/>
    </row>
    <row r="1294" spans="26:52">
      <c r="Z1294" s="1039"/>
      <c r="AC1294" s="1045"/>
      <c r="AD1294" s="825"/>
      <c r="AF1294" s="825"/>
      <c r="AH1294" s="825"/>
      <c r="AJ1294" s="825"/>
      <c r="AK1294" s="825"/>
      <c r="AM1294" s="825"/>
      <c r="AO1294" s="825"/>
      <c r="AP1294" s="825"/>
      <c r="AU1294" s="825"/>
      <c r="AW1294" s="825"/>
      <c r="AX1294" s="825"/>
      <c r="AY1294" s="825"/>
      <c r="AZ1294" s="825"/>
    </row>
    <row r="1295" spans="26:52">
      <c r="Z1295" s="1039"/>
      <c r="AC1295" s="1045"/>
      <c r="AD1295" s="825"/>
      <c r="AF1295" s="825"/>
      <c r="AH1295" s="825"/>
      <c r="AJ1295" s="825"/>
      <c r="AK1295" s="825"/>
      <c r="AM1295" s="825"/>
      <c r="AO1295" s="825"/>
      <c r="AP1295" s="825"/>
      <c r="AU1295" s="825"/>
      <c r="AW1295" s="825"/>
      <c r="AX1295" s="825"/>
      <c r="AY1295" s="825"/>
      <c r="AZ1295" s="825"/>
    </row>
    <row r="1296" spans="26:52">
      <c r="Z1296" s="1039"/>
      <c r="AC1296" s="1045"/>
      <c r="AD1296" s="825"/>
      <c r="AF1296" s="825"/>
      <c r="AH1296" s="825"/>
      <c r="AJ1296" s="825"/>
      <c r="AK1296" s="825"/>
      <c r="AM1296" s="825"/>
      <c r="AO1296" s="825"/>
      <c r="AP1296" s="825"/>
      <c r="AU1296" s="825"/>
      <c r="AW1296" s="825"/>
      <c r="AX1296" s="825"/>
      <c r="AY1296" s="825"/>
      <c r="AZ1296" s="825"/>
    </row>
    <row r="1297" spans="26:52">
      <c r="Z1297" s="1039"/>
      <c r="AC1297" s="1045"/>
      <c r="AD1297" s="825"/>
      <c r="AF1297" s="825"/>
      <c r="AH1297" s="825"/>
      <c r="AJ1297" s="825"/>
      <c r="AK1297" s="825"/>
      <c r="AM1297" s="825"/>
      <c r="AO1297" s="825"/>
      <c r="AP1297" s="825"/>
      <c r="AU1297" s="825"/>
      <c r="AW1297" s="825"/>
      <c r="AX1297" s="825"/>
      <c r="AY1297" s="825"/>
      <c r="AZ1297" s="825"/>
    </row>
    <row r="1298" spans="26:52">
      <c r="Z1298" s="1039"/>
      <c r="AC1298" s="1045"/>
      <c r="AD1298" s="825"/>
      <c r="AF1298" s="825"/>
      <c r="AH1298" s="825"/>
      <c r="AJ1298" s="825"/>
      <c r="AK1298" s="825"/>
      <c r="AM1298" s="825"/>
      <c r="AO1298" s="825"/>
      <c r="AP1298" s="825"/>
      <c r="AU1298" s="825"/>
      <c r="AW1298" s="825"/>
      <c r="AX1298" s="825"/>
      <c r="AY1298" s="825"/>
      <c r="AZ1298" s="825"/>
    </row>
    <row r="1299" spans="26:52">
      <c r="Z1299" s="1039"/>
      <c r="AC1299" s="1045"/>
      <c r="AD1299" s="825"/>
      <c r="AF1299" s="825"/>
      <c r="AH1299" s="825"/>
      <c r="AJ1299" s="825"/>
      <c r="AK1299" s="825"/>
      <c r="AM1299" s="825"/>
      <c r="AO1299" s="825"/>
      <c r="AP1299" s="825"/>
      <c r="AU1299" s="825"/>
      <c r="AW1299" s="825"/>
      <c r="AX1299" s="825"/>
      <c r="AY1299" s="825"/>
      <c r="AZ1299" s="825"/>
    </row>
    <row r="1300" spans="26:52">
      <c r="Z1300" s="1039"/>
      <c r="AC1300" s="1045"/>
      <c r="AD1300" s="825"/>
      <c r="AF1300" s="825"/>
      <c r="AH1300" s="825"/>
      <c r="AJ1300" s="825"/>
      <c r="AK1300" s="825"/>
      <c r="AM1300" s="825"/>
      <c r="AO1300" s="825"/>
      <c r="AP1300" s="825"/>
      <c r="AU1300" s="825"/>
      <c r="AW1300" s="825"/>
      <c r="AX1300" s="825"/>
      <c r="AY1300" s="825"/>
      <c r="AZ1300" s="825"/>
    </row>
    <row r="1301" spans="26:52">
      <c r="Z1301" s="1039"/>
      <c r="AD1301" s="825"/>
      <c r="AF1301" s="825"/>
      <c r="AH1301" s="825"/>
      <c r="AJ1301" s="825"/>
      <c r="AK1301" s="825"/>
      <c r="AM1301" s="825"/>
      <c r="AO1301" s="825"/>
      <c r="AP1301" s="825"/>
      <c r="AU1301" s="825"/>
      <c r="AW1301" s="825"/>
      <c r="AX1301" s="825"/>
      <c r="AY1301" s="825"/>
      <c r="AZ1301" s="825"/>
    </row>
    <row r="1302" spans="26:52">
      <c r="Z1302" s="1039"/>
      <c r="AD1302" s="825"/>
      <c r="AF1302" s="825"/>
      <c r="AH1302" s="825"/>
      <c r="AJ1302" s="825"/>
      <c r="AK1302" s="825"/>
      <c r="AM1302" s="825"/>
      <c r="AO1302" s="825"/>
      <c r="AP1302" s="825"/>
      <c r="AU1302" s="825"/>
      <c r="AW1302" s="825"/>
      <c r="AX1302" s="825"/>
      <c r="AY1302" s="825"/>
      <c r="AZ1302" s="825"/>
    </row>
    <row r="1303" spans="26:52">
      <c r="Z1303" s="1039"/>
      <c r="AD1303" s="825"/>
      <c r="AF1303" s="825"/>
      <c r="AH1303" s="825"/>
      <c r="AJ1303" s="825"/>
      <c r="AK1303" s="825"/>
      <c r="AM1303" s="825"/>
      <c r="AO1303" s="825"/>
      <c r="AP1303" s="825"/>
      <c r="AU1303" s="825"/>
      <c r="AW1303" s="825"/>
      <c r="AX1303" s="825"/>
      <c r="AY1303" s="825"/>
      <c r="AZ1303" s="825"/>
    </row>
    <row r="1304" spans="26:52">
      <c r="Z1304" s="1039"/>
      <c r="AD1304" s="825"/>
      <c r="AF1304" s="825"/>
      <c r="AH1304" s="825"/>
      <c r="AJ1304" s="825"/>
      <c r="AK1304" s="825"/>
      <c r="AM1304" s="825"/>
      <c r="AO1304" s="825"/>
      <c r="AP1304" s="825"/>
      <c r="AU1304" s="825"/>
      <c r="AW1304" s="825"/>
      <c r="AX1304" s="825"/>
      <c r="AY1304" s="825"/>
      <c r="AZ1304" s="825"/>
    </row>
    <row r="1305" spans="26:52">
      <c r="Z1305" s="1039"/>
      <c r="AD1305" s="825"/>
      <c r="AF1305" s="825"/>
      <c r="AH1305" s="825"/>
      <c r="AJ1305" s="825"/>
      <c r="AK1305" s="825"/>
      <c r="AM1305" s="825"/>
      <c r="AO1305" s="825"/>
      <c r="AP1305" s="825"/>
      <c r="AU1305" s="825"/>
      <c r="AW1305" s="825"/>
      <c r="AX1305" s="825"/>
      <c r="AY1305" s="825"/>
      <c r="AZ1305" s="825"/>
    </row>
    <row r="1306" spans="26:52">
      <c r="Z1306" s="1039"/>
      <c r="AD1306" s="825"/>
      <c r="AF1306" s="825"/>
      <c r="AH1306" s="825"/>
      <c r="AJ1306" s="825"/>
      <c r="AK1306" s="825"/>
      <c r="AM1306" s="825"/>
      <c r="AO1306" s="825"/>
      <c r="AP1306" s="825"/>
      <c r="AU1306" s="825"/>
      <c r="AW1306" s="825"/>
      <c r="AX1306" s="825"/>
      <c r="AY1306" s="825"/>
      <c r="AZ1306" s="825"/>
    </row>
    <row r="1307" spans="26:52">
      <c r="Z1307" s="1039"/>
      <c r="AD1307" s="825"/>
      <c r="AF1307" s="825"/>
      <c r="AH1307" s="825"/>
      <c r="AJ1307" s="825"/>
      <c r="AK1307" s="825"/>
      <c r="AM1307" s="825"/>
      <c r="AO1307" s="825"/>
      <c r="AP1307" s="825"/>
      <c r="AU1307" s="825"/>
      <c r="AW1307" s="825"/>
      <c r="AX1307" s="825"/>
      <c r="AY1307" s="825"/>
      <c r="AZ1307" s="825"/>
    </row>
    <row r="1308" spans="26:52">
      <c r="Z1308" s="1039"/>
      <c r="AD1308" s="825"/>
      <c r="AF1308" s="825"/>
      <c r="AH1308" s="825"/>
      <c r="AJ1308" s="825"/>
      <c r="AK1308" s="825"/>
      <c r="AM1308" s="825"/>
      <c r="AO1308" s="825"/>
      <c r="AP1308" s="825"/>
      <c r="AU1308" s="825"/>
      <c r="AW1308" s="825"/>
      <c r="AX1308" s="825"/>
      <c r="AY1308" s="825"/>
      <c r="AZ1308" s="825"/>
    </row>
    <row r="1309" spans="26:52">
      <c r="Z1309" s="1039"/>
    </row>
    <row r="1310" spans="26:52">
      <c r="Z1310" s="1039"/>
    </row>
    <row r="1311" spans="26:52">
      <c r="Z1311" s="1039"/>
    </row>
    <row r="1312" spans="26:52">
      <c r="Z1312" s="1039"/>
    </row>
    <row r="1313" spans="26:28">
      <c r="Z1313" s="1039"/>
    </row>
    <row r="1314" spans="26:28">
      <c r="Z1314" s="1039"/>
      <c r="AB1314" s="825"/>
    </row>
    <row r="1315" spans="26:28">
      <c r="Z1315" s="1039"/>
      <c r="AB1315" s="825"/>
    </row>
    <row r="1316" spans="26:28">
      <c r="Z1316" s="1039"/>
      <c r="AB1316" s="825"/>
    </row>
    <row r="1317" spans="26:28">
      <c r="Z1317" s="1039"/>
      <c r="AB1317" s="825"/>
    </row>
    <row r="1318" spans="26:28">
      <c r="Z1318" s="1039"/>
      <c r="AB1318" s="825"/>
    </row>
    <row r="1319" spans="26:28">
      <c r="Z1319" s="1039"/>
      <c r="AB1319" s="825"/>
    </row>
    <row r="1320" spans="26:28">
      <c r="Z1320" s="1039"/>
      <c r="AB1320" s="825"/>
    </row>
    <row r="1321" spans="26:28">
      <c r="Z1321" s="1039"/>
      <c r="AB1321" s="825"/>
    </row>
    <row r="1322" spans="26:28">
      <c r="Z1322" s="1039"/>
      <c r="AB1322" s="825"/>
    </row>
    <row r="1323" spans="26:28">
      <c r="Z1323" s="1039"/>
      <c r="AB1323" s="825"/>
    </row>
    <row r="1324" spans="26:28">
      <c r="Z1324" s="1039"/>
      <c r="AB1324" s="825"/>
    </row>
    <row r="1325" spans="26:28">
      <c r="Z1325" s="1039"/>
    </row>
    <row r="1326" spans="26:28">
      <c r="Z1326" s="1039"/>
    </row>
    <row r="1327" spans="26:28">
      <c r="Z1327" s="1039"/>
    </row>
    <row r="1328" spans="26:28">
      <c r="Z1328" s="1039"/>
    </row>
    <row r="1329" spans="26:26">
      <c r="Z1329" s="1039"/>
    </row>
    <row r="1330" spans="26:26">
      <c r="Z1330" s="1039"/>
    </row>
    <row r="1331" spans="26:26">
      <c r="Z1331" s="1039"/>
    </row>
    <row r="1332" spans="26:26">
      <c r="Z1332" s="1039"/>
    </row>
    <row r="1333" spans="26:26">
      <c r="Z1333" s="1039"/>
    </row>
    <row r="1334" spans="26:26">
      <c r="Z1334" s="1039"/>
    </row>
    <row r="1335" spans="26:26">
      <c r="Z1335" s="1039"/>
    </row>
    <row r="1336" spans="26:26">
      <c r="Z1336" s="1039"/>
    </row>
    <row r="1337" spans="26:26">
      <c r="Z1337" s="1039"/>
    </row>
    <row r="1338" spans="26:26">
      <c r="Z1338" s="1039"/>
    </row>
    <row r="1339" spans="26:26">
      <c r="Z1339" s="1039"/>
    </row>
    <row r="1340" spans="26:26">
      <c r="Z1340" s="1039"/>
    </row>
    <row r="1341" spans="26:26">
      <c r="Z1341" s="1039"/>
    </row>
    <row r="1342" spans="26:26">
      <c r="Z1342" s="1039"/>
    </row>
    <row r="1343" spans="26:26">
      <c r="Z1343" s="1039"/>
    </row>
    <row r="1344" spans="26:26">
      <c r="Z1344" s="1039"/>
    </row>
    <row r="1345" spans="26:26">
      <c r="Z1345" s="1039"/>
    </row>
    <row r="1346" spans="26:26">
      <c r="Z1346" s="1039"/>
    </row>
    <row r="1347" spans="26:26">
      <c r="Z1347" s="1039"/>
    </row>
    <row r="1348" spans="26:26">
      <c r="Z1348" s="1039"/>
    </row>
    <row r="1349" spans="26:26">
      <c r="Z1349" s="1039"/>
    </row>
    <row r="1350" spans="26:26">
      <c r="Z1350" s="1039"/>
    </row>
    <row r="1351" spans="26:26">
      <c r="Z1351" s="1039"/>
    </row>
    <row r="1352" spans="26:26">
      <c r="Z1352" s="1039"/>
    </row>
    <row r="1353" spans="26:26">
      <c r="Z1353" s="1039"/>
    </row>
    <row r="1354" spans="26:26">
      <c r="Z1354" s="1039"/>
    </row>
    <row r="1355" spans="26:26">
      <c r="Z1355" s="1039"/>
    </row>
    <row r="1356" spans="26:26">
      <c r="Z1356" s="1039"/>
    </row>
    <row r="1357" spans="26:26">
      <c r="Z1357" s="1039"/>
    </row>
    <row r="1358" spans="26:26">
      <c r="Z1358" s="1039"/>
    </row>
    <row r="1359" spans="26:26">
      <c r="Z1359" s="1039"/>
    </row>
    <row r="1360" spans="26:26">
      <c r="Z1360" s="1039"/>
    </row>
    <row r="1361" spans="26:26">
      <c r="Z1361" s="1039"/>
    </row>
    <row r="1362" spans="26:26">
      <c r="Z1362" s="1039"/>
    </row>
    <row r="1363" spans="26:26">
      <c r="Z1363" s="1039"/>
    </row>
    <row r="1364" spans="26:26">
      <c r="Z1364" s="1039"/>
    </row>
    <row r="1365" spans="26:26">
      <c r="Z1365" s="1039"/>
    </row>
    <row r="1366" spans="26:26">
      <c r="Z1366" s="1039"/>
    </row>
    <row r="1367" spans="26:26">
      <c r="Z1367" s="1039"/>
    </row>
    <row r="1368" spans="26:26">
      <c r="Z1368" s="1039"/>
    </row>
    <row r="1369" spans="26:26">
      <c r="Z1369" s="1039"/>
    </row>
    <row r="1370" spans="26:26">
      <c r="Z1370" s="1039"/>
    </row>
    <row r="1371" spans="26:26">
      <c r="Z1371" s="1039"/>
    </row>
    <row r="1372" spans="26:26">
      <c r="Z1372" s="1039"/>
    </row>
    <row r="1373" spans="26:26">
      <c r="Z1373" s="1039"/>
    </row>
    <row r="1374" spans="26:26">
      <c r="Z1374" s="1039"/>
    </row>
    <row r="1375" spans="26:26">
      <c r="Z1375" s="1039"/>
    </row>
    <row r="1376" spans="26:26">
      <c r="Z1376" s="1039"/>
    </row>
    <row r="1377" spans="26:26">
      <c r="Z1377" s="1039"/>
    </row>
    <row r="1378" spans="26:26">
      <c r="Z1378" s="1039"/>
    </row>
    <row r="1379" spans="26:26">
      <c r="Z1379" s="1039"/>
    </row>
    <row r="1380" spans="26:26">
      <c r="Z1380" s="1039"/>
    </row>
    <row r="1381" spans="26:26">
      <c r="Z1381" s="1039"/>
    </row>
    <row r="1382" spans="26:26">
      <c r="Z1382" s="1039"/>
    </row>
    <row r="1383" spans="26:26">
      <c r="Z1383" s="1039"/>
    </row>
    <row r="1384" spans="26:26">
      <c r="Z1384" s="1039"/>
    </row>
    <row r="1385" spans="26:26">
      <c r="Z1385" s="1039"/>
    </row>
    <row r="1386" spans="26:26">
      <c r="Z1386" s="1039"/>
    </row>
    <row r="1387" spans="26:26">
      <c r="Z1387" s="1039"/>
    </row>
    <row r="1388" spans="26:26">
      <c r="Z1388" s="1039"/>
    </row>
    <row r="1389" spans="26:26">
      <c r="Z1389" s="1039"/>
    </row>
    <row r="1390" spans="26:26">
      <c r="Z1390" s="1039"/>
    </row>
    <row r="1391" spans="26:26">
      <c r="Z1391" s="1039"/>
    </row>
    <row r="1392" spans="26:26">
      <c r="Z1392" s="1039"/>
    </row>
    <row r="1393" spans="26:26">
      <c r="Z1393" s="1039"/>
    </row>
    <row r="1394" spans="26:26">
      <c r="Z1394" s="1039"/>
    </row>
    <row r="1395" spans="26:26">
      <c r="Z1395" s="1039"/>
    </row>
    <row r="1396" spans="26:26">
      <c r="Z1396" s="1039"/>
    </row>
    <row r="1397" spans="26:26">
      <c r="Z1397" s="1039"/>
    </row>
    <row r="1398" spans="26:26">
      <c r="Z1398" s="1039"/>
    </row>
    <row r="1399" spans="26:26">
      <c r="Z1399" s="1039"/>
    </row>
    <row r="1400" spans="26:26">
      <c r="Z1400" s="1039"/>
    </row>
    <row r="1401" spans="26:26">
      <c r="Z1401" s="1039"/>
    </row>
    <row r="1402" spans="26:26">
      <c r="Z1402" s="1039"/>
    </row>
    <row r="1403" spans="26:26">
      <c r="Z1403" s="1039"/>
    </row>
    <row r="1404" spans="26:26">
      <c r="Z1404" s="1039"/>
    </row>
    <row r="1405" spans="26:26">
      <c r="Z1405" s="1039"/>
    </row>
    <row r="1406" spans="26:26">
      <c r="Z1406" s="1039"/>
    </row>
    <row r="1407" spans="26:26">
      <c r="Z1407" s="1039"/>
    </row>
    <row r="1408" spans="26:26">
      <c r="Z1408" s="1039"/>
    </row>
    <row r="1409" spans="26:26">
      <c r="Z1409" s="1039"/>
    </row>
    <row r="1410" spans="26:26">
      <c r="Z1410" s="1039"/>
    </row>
    <row r="1411" spans="26:26">
      <c r="Z1411" s="1039"/>
    </row>
    <row r="1412" spans="26:26">
      <c r="Z1412" s="1039"/>
    </row>
    <row r="1413" spans="26:26">
      <c r="Z1413" s="1039"/>
    </row>
    <row r="1414" spans="26:26">
      <c r="Z1414" s="1039"/>
    </row>
    <row r="1415" spans="26:26">
      <c r="Z1415" s="1039"/>
    </row>
    <row r="1416" spans="26:26">
      <c r="Z1416" s="1039"/>
    </row>
    <row r="1417" spans="26:26">
      <c r="Z1417" s="1039"/>
    </row>
    <row r="1418" spans="26:26">
      <c r="Z1418" s="1039"/>
    </row>
    <row r="1419" spans="26:26">
      <c r="Z1419" s="1039"/>
    </row>
    <row r="1420" spans="26:26">
      <c r="Z1420" s="1039"/>
    </row>
    <row r="1421" spans="26:26">
      <c r="Z1421" s="1039"/>
    </row>
    <row r="1422" spans="26:26">
      <c r="Z1422" s="1039"/>
    </row>
    <row r="1423" spans="26:26">
      <c r="Z1423" s="1039"/>
    </row>
    <row r="1424" spans="26:26">
      <c r="Z1424" s="1039"/>
    </row>
    <row r="1425" spans="26:26">
      <c r="Z1425" s="1039"/>
    </row>
    <row r="1426" spans="26:26">
      <c r="Z1426" s="1039"/>
    </row>
    <row r="1427" spans="26:26">
      <c r="Z1427" s="1039"/>
    </row>
    <row r="1428" spans="26:26">
      <c r="Z1428" s="1039"/>
    </row>
    <row r="1429" spans="26:26">
      <c r="Z1429" s="1039"/>
    </row>
    <row r="1430" spans="26:26">
      <c r="Z1430" s="1039"/>
    </row>
    <row r="1431" spans="26:26">
      <c r="Z1431" s="1039"/>
    </row>
    <row r="1432" spans="26:26">
      <c r="Z1432" s="1039"/>
    </row>
    <row r="1433" spans="26:26">
      <c r="Z1433" s="1039"/>
    </row>
    <row r="1434" spans="26:26">
      <c r="Z1434" s="1039"/>
    </row>
    <row r="1435" spans="26:26">
      <c r="Z1435" s="1039"/>
    </row>
    <row r="1436" spans="26:26">
      <c r="Z1436" s="1039"/>
    </row>
    <row r="1437" spans="26:26">
      <c r="Z1437" s="1039"/>
    </row>
    <row r="1438" spans="26:26">
      <c r="Z1438" s="1039"/>
    </row>
    <row r="1439" spans="26:26">
      <c r="Z1439" s="1039"/>
    </row>
    <row r="1440" spans="26:26">
      <c r="Z1440" s="1039"/>
    </row>
    <row r="1441" spans="26:26">
      <c r="Z1441" s="1039"/>
    </row>
    <row r="1442" spans="26:26">
      <c r="Z1442" s="1039"/>
    </row>
    <row r="1443" spans="26:26">
      <c r="Z1443" s="1039"/>
    </row>
    <row r="1444" spans="26:26">
      <c r="Z1444" s="1039"/>
    </row>
    <row r="1445" spans="26:26">
      <c r="Z1445" s="1039"/>
    </row>
    <row r="1446" spans="26:26">
      <c r="Z1446" s="1039"/>
    </row>
    <row r="1447" spans="26:26">
      <c r="Z1447" s="1039"/>
    </row>
    <row r="1448" spans="26:26">
      <c r="Z1448" s="1039"/>
    </row>
    <row r="1449" spans="26:26">
      <c r="Z1449" s="1039"/>
    </row>
    <row r="1450" spans="26:26">
      <c r="Z1450" s="1039"/>
    </row>
    <row r="1451" spans="26:26">
      <c r="Z1451" s="1039"/>
    </row>
    <row r="1452" spans="26:26">
      <c r="Z1452" s="1039"/>
    </row>
    <row r="1453" spans="26:26">
      <c r="Z1453" s="1039"/>
    </row>
    <row r="1454" spans="26:26">
      <c r="Z1454" s="1039"/>
    </row>
    <row r="1455" spans="26:26">
      <c r="Z1455" s="1039"/>
    </row>
    <row r="1456" spans="26:26">
      <c r="Z1456" s="1039"/>
    </row>
    <row r="1457" spans="26:26">
      <c r="Z1457" s="1039"/>
    </row>
    <row r="1458" spans="26:26">
      <c r="Z1458" s="1039"/>
    </row>
    <row r="1459" spans="26:26">
      <c r="Z1459" s="1039"/>
    </row>
    <row r="1460" spans="26:26">
      <c r="Z1460" s="1039"/>
    </row>
    <row r="1461" spans="26:26">
      <c r="Z1461" s="1039"/>
    </row>
    <row r="1462" spans="26:26">
      <c r="Z1462" s="1039"/>
    </row>
    <row r="1463" spans="26:26">
      <c r="Z1463" s="1039"/>
    </row>
    <row r="1464" spans="26:26">
      <c r="Z1464" s="1039"/>
    </row>
    <row r="1465" spans="26:26">
      <c r="Z1465" s="1039"/>
    </row>
    <row r="1466" spans="26:26">
      <c r="Z1466" s="1039"/>
    </row>
    <row r="1467" spans="26:26">
      <c r="Z1467" s="1039"/>
    </row>
    <row r="1468" spans="26:26">
      <c r="Z1468" s="1039"/>
    </row>
    <row r="1469" spans="26:26">
      <c r="Z1469" s="1039"/>
    </row>
    <row r="1470" spans="26:26">
      <c r="Z1470" s="1039"/>
    </row>
    <row r="1471" spans="26:26">
      <c r="Z1471" s="1039"/>
    </row>
    <row r="1472" spans="26:26">
      <c r="Z1472" s="1039"/>
    </row>
    <row r="1473" spans="26:26">
      <c r="Z1473" s="1039"/>
    </row>
    <row r="1474" spans="26:26">
      <c r="Z1474" s="1039"/>
    </row>
    <row r="1475" spans="26:26">
      <c r="Z1475" s="1039"/>
    </row>
    <row r="1476" spans="26:26">
      <c r="Z1476" s="1039"/>
    </row>
    <row r="1477" spans="26:26">
      <c r="Z1477" s="1039"/>
    </row>
    <row r="1478" spans="26:26">
      <c r="Z1478" s="1039"/>
    </row>
    <row r="1479" spans="26:26">
      <c r="Z1479" s="1039"/>
    </row>
    <row r="1480" spans="26:26">
      <c r="Z1480" s="1039"/>
    </row>
    <row r="1481" spans="26:26">
      <c r="Z1481" s="1039"/>
    </row>
    <row r="1482" spans="26:26">
      <c r="Z1482" s="1039"/>
    </row>
    <row r="1483" spans="26:26">
      <c r="Z1483" s="1039"/>
    </row>
    <row r="1484" spans="26:26">
      <c r="Z1484" s="1039"/>
    </row>
    <row r="1485" spans="26:26">
      <c r="Z1485" s="1039"/>
    </row>
    <row r="1486" spans="26:26">
      <c r="Z1486" s="1039"/>
    </row>
    <row r="1487" spans="26:26">
      <c r="Z1487" s="1039"/>
    </row>
    <row r="1488" spans="26:26">
      <c r="Z1488" s="1039"/>
    </row>
    <row r="1489" spans="26:26">
      <c r="Z1489" s="1039"/>
    </row>
    <row r="1490" spans="26:26">
      <c r="Z1490" s="1039"/>
    </row>
    <row r="1491" spans="26:26">
      <c r="Z1491" s="1039"/>
    </row>
    <row r="1492" spans="26:26">
      <c r="Z1492" s="1039"/>
    </row>
    <row r="1493" spans="26:26">
      <c r="Z1493" s="1039"/>
    </row>
    <row r="1494" spans="26:26">
      <c r="Z1494" s="1039"/>
    </row>
    <row r="1495" spans="26:26">
      <c r="Z1495" s="1039"/>
    </row>
    <row r="1496" spans="26:26">
      <c r="Z1496" s="1039"/>
    </row>
    <row r="1497" spans="26:26">
      <c r="Z1497" s="1039"/>
    </row>
    <row r="1498" spans="26:26">
      <c r="Z1498" s="1039"/>
    </row>
    <row r="1499" spans="26:26">
      <c r="Z1499" s="1039"/>
    </row>
    <row r="1500" spans="26:26">
      <c r="Z1500" s="1039"/>
    </row>
    <row r="1501" spans="26:26">
      <c r="Z1501" s="1039"/>
    </row>
    <row r="1502" spans="26:26">
      <c r="Z1502" s="1039"/>
    </row>
    <row r="1503" spans="26:26">
      <c r="Z1503" s="1039"/>
    </row>
    <row r="1504" spans="26:26">
      <c r="Z1504" s="1039"/>
    </row>
    <row r="1505" spans="26:26">
      <c r="Z1505" s="1039"/>
    </row>
    <row r="1506" spans="26:26">
      <c r="Z1506" s="1039"/>
    </row>
    <row r="1507" spans="26:26">
      <c r="Z1507" s="1039"/>
    </row>
    <row r="1508" spans="26:26">
      <c r="Z1508" s="1039"/>
    </row>
    <row r="1509" spans="26:26">
      <c r="Z1509" s="1039"/>
    </row>
    <row r="1510" spans="26:26">
      <c r="Z1510" s="1039"/>
    </row>
    <row r="1511" spans="26:26">
      <c r="Z1511" s="1039"/>
    </row>
    <row r="1512" spans="26:26">
      <c r="Z1512" s="1039"/>
    </row>
    <row r="1513" spans="26:26">
      <c r="Z1513" s="1039"/>
    </row>
    <row r="1514" spans="26:26">
      <c r="Z1514" s="1039"/>
    </row>
    <row r="1515" spans="26:26">
      <c r="Z1515" s="1039"/>
    </row>
    <row r="1516" spans="26:26">
      <c r="Z1516" s="1039"/>
    </row>
    <row r="1517" spans="26:26">
      <c r="Z1517" s="1039"/>
    </row>
    <row r="1518" spans="26:26">
      <c r="Z1518" s="1039"/>
    </row>
    <row r="1519" spans="26:26">
      <c r="Z1519" s="1039"/>
    </row>
    <row r="1520" spans="26:26">
      <c r="Z1520" s="1039"/>
    </row>
    <row r="1521" spans="26:26">
      <c r="Z1521" s="1039"/>
    </row>
    <row r="1522" spans="26:26">
      <c r="Z1522" s="1039"/>
    </row>
    <row r="1523" spans="26:26">
      <c r="Z1523" s="1039"/>
    </row>
    <row r="1524" spans="26:26">
      <c r="Z1524" s="1039"/>
    </row>
    <row r="1525" spans="26:26">
      <c r="Z1525" s="1039"/>
    </row>
    <row r="1526" spans="26:26">
      <c r="Z1526" s="1039"/>
    </row>
    <row r="1527" spans="26:26">
      <c r="Z1527" s="1039"/>
    </row>
    <row r="1528" spans="26:26">
      <c r="Z1528" s="1039"/>
    </row>
    <row r="1529" spans="26:26">
      <c r="Z1529" s="1039"/>
    </row>
    <row r="1530" spans="26:26">
      <c r="Z1530" s="1039"/>
    </row>
    <row r="1531" spans="26:26">
      <c r="Z1531" s="1039"/>
    </row>
    <row r="1532" spans="26:26">
      <c r="Z1532" s="1039"/>
    </row>
    <row r="1533" spans="26:26">
      <c r="Z1533" s="1039"/>
    </row>
    <row r="1534" spans="26:26">
      <c r="Z1534" s="1039"/>
    </row>
    <row r="1535" spans="26:26">
      <c r="Z1535" s="1039"/>
    </row>
    <row r="1536" spans="26:26">
      <c r="Z1536" s="1039"/>
    </row>
    <row r="1537" spans="26:26">
      <c r="Z1537" s="1039"/>
    </row>
    <row r="1538" spans="26:26">
      <c r="Z1538" s="1039"/>
    </row>
    <row r="1539" spans="26:26">
      <c r="Z1539" s="1039"/>
    </row>
    <row r="1540" spans="26:26">
      <c r="Z1540" s="1039"/>
    </row>
    <row r="1541" spans="26:26">
      <c r="Z1541" s="1039"/>
    </row>
    <row r="1542" spans="26:26">
      <c r="Z1542" s="1039"/>
    </row>
    <row r="1543" spans="26:26">
      <c r="Z1543" s="1039"/>
    </row>
    <row r="1544" spans="26:26">
      <c r="Z1544" s="1039"/>
    </row>
    <row r="1545" spans="26:26">
      <c r="Z1545" s="1039"/>
    </row>
    <row r="1546" spans="26:26">
      <c r="Z1546" s="1039"/>
    </row>
    <row r="1547" spans="26:26">
      <c r="Z1547" s="1039"/>
    </row>
    <row r="1548" spans="26:26">
      <c r="Z1548" s="1039"/>
    </row>
    <row r="1549" spans="26:26">
      <c r="Z1549" s="1039"/>
    </row>
    <row r="1550" spans="26:26">
      <c r="Z1550" s="1039"/>
    </row>
    <row r="1551" spans="26:26">
      <c r="Z1551" s="1039"/>
    </row>
    <row r="1552" spans="26:26">
      <c r="Z1552" s="1039"/>
    </row>
    <row r="1553" spans="26:26">
      <c r="Z1553" s="1039"/>
    </row>
    <row r="1554" spans="26:26">
      <c r="Z1554" s="1039"/>
    </row>
    <row r="1555" spans="26:26">
      <c r="Z1555" s="1039"/>
    </row>
    <row r="1556" spans="26:26">
      <c r="Z1556" s="1039"/>
    </row>
    <row r="1557" spans="26:26">
      <c r="Z1557" s="1039"/>
    </row>
    <row r="1558" spans="26:26">
      <c r="Z1558" s="1039"/>
    </row>
    <row r="1559" spans="26:26">
      <c r="Z1559" s="1039"/>
    </row>
    <row r="1560" spans="26:26">
      <c r="Z1560" s="1039"/>
    </row>
    <row r="1561" spans="26:26">
      <c r="Z1561" s="1039"/>
    </row>
    <row r="1562" spans="26:26">
      <c r="Z1562" s="1039"/>
    </row>
    <row r="1563" spans="26:26">
      <c r="Z1563" s="1039"/>
    </row>
    <row r="1564" spans="26:26">
      <c r="Z1564" s="1039"/>
    </row>
    <row r="1565" spans="26:26">
      <c r="Z1565" s="1039"/>
    </row>
    <row r="1566" spans="26:26">
      <c r="Z1566" s="1039"/>
    </row>
    <row r="1567" spans="26:26">
      <c r="Z1567" s="1039"/>
    </row>
    <row r="1568" spans="26:26">
      <c r="Z1568" s="1039"/>
    </row>
    <row r="1569" spans="26:26">
      <c r="Z1569" s="1039"/>
    </row>
    <row r="1570" spans="26:26">
      <c r="Z1570" s="1039"/>
    </row>
    <row r="1571" spans="26:26">
      <c r="Z1571" s="1039"/>
    </row>
    <row r="1572" spans="26:26">
      <c r="Z1572" s="1039"/>
    </row>
    <row r="1573" spans="26:26">
      <c r="Z1573" s="1039"/>
    </row>
    <row r="1574" spans="26:26">
      <c r="Z1574" s="1039"/>
    </row>
    <row r="1575" spans="26:26">
      <c r="Z1575" s="1039"/>
    </row>
    <row r="1576" spans="26:26">
      <c r="Z1576" s="1039"/>
    </row>
    <row r="1577" spans="26:26">
      <c r="Z1577" s="1039"/>
    </row>
    <row r="1578" spans="26:26">
      <c r="Z1578" s="1039"/>
    </row>
    <row r="1579" spans="26:26">
      <c r="Z1579" s="1039"/>
    </row>
    <row r="1580" spans="26:26">
      <c r="Z1580" s="1039"/>
    </row>
    <row r="1581" spans="26:26">
      <c r="Z1581" s="1039"/>
    </row>
    <row r="1582" spans="26:26">
      <c r="Z1582" s="1039"/>
    </row>
    <row r="1583" spans="26:26">
      <c r="Z1583" s="1039"/>
    </row>
    <row r="1584" spans="26:26">
      <c r="Z1584" s="1039"/>
    </row>
    <row r="1585" spans="26:26">
      <c r="Z1585" s="1039"/>
    </row>
    <row r="1586" spans="26:26">
      <c r="Z1586" s="1039"/>
    </row>
    <row r="1587" spans="26:26">
      <c r="Z1587" s="1039"/>
    </row>
    <row r="1588" spans="26:26">
      <c r="Z1588" s="1039"/>
    </row>
    <row r="1589" spans="26:26">
      <c r="Z1589" s="1039"/>
    </row>
    <row r="1590" spans="26:26">
      <c r="Z1590" s="1039"/>
    </row>
    <row r="1591" spans="26:26">
      <c r="Z1591" s="1039"/>
    </row>
    <row r="1592" spans="26:26">
      <c r="Z1592" s="1039"/>
    </row>
    <row r="1593" spans="26:26">
      <c r="Z1593" s="1039"/>
    </row>
    <row r="1594" spans="26:26">
      <c r="Z1594" s="1039"/>
    </row>
    <row r="1595" spans="26:26">
      <c r="Z1595" s="1039"/>
    </row>
    <row r="1596" spans="26:26">
      <c r="Z1596" s="1039"/>
    </row>
    <row r="1597" spans="26:26">
      <c r="Z1597" s="1039"/>
    </row>
    <row r="1598" spans="26:26">
      <c r="Z1598" s="1039"/>
    </row>
    <row r="1599" spans="26:26">
      <c r="Z1599" s="1039"/>
    </row>
    <row r="1600" spans="26:26">
      <c r="Z1600" s="1039"/>
    </row>
    <row r="1601" spans="26:26">
      <c r="Z1601" s="1039"/>
    </row>
    <row r="1602" spans="26:26">
      <c r="Z1602" s="1039"/>
    </row>
    <row r="1603" spans="26:26">
      <c r="Z1603" s="1039"/>
    </row>
    <row r="1604" spans="26:26">
      <c r="Z1604" s="1039"/>
    </row>
    <row r="1605" spans="26:26">
      <c r="Z1605" s="1039"/>
    </row>
    <row r="1606" spans="26:26">
      <c r="Z1606" s="1039"/>
    </row>
    <row r="1607" spans="26:26">
      <c r="Z1607" s="1039"/>
    </row>
    <row r="1608" spans="26:26">
      <c r="Z1608" s="1039"/>
    </row>
    <row r="1609" spans="26:26">
      <c r="Z1609" s="1039"/>
    </row>
    <row r="1610" spans="26:26">
      <c r="Z1610" s="1039"/>
    </row>
    <row r="1611" spans="26:26">
      <c r="Z1611" s="1039"/>
    </row>
    <row r="1612" spans="26:26">
      <c r="Z1612" s="1039"/>
    </row>
    <row r="1613" spans="26:26">
      <c r="Z1613" s="1039"/>
    </row>
    <row r="1614" spans="26:26">
      <c r="Z1614" s="1039"/>
    </row>
    <row r="1615" spans="26:26">
      <c r="Z1615" s="1039"/>
    </row>
    <row r="1616" spans="26:26">
      <c r="Z1616" s="1039"/>
    </row>
    <row r="1617" spans="26:26">
      <c r="Z1617" s="1039"/>
    </row>
    <row r="1618" spans="26:26">
      <c r="Z1618" s="1039"/>
    </row>
    <row r="1619" spans="26:26">
      <c r="Z1619" s="1039"/>
    </row>
    <row r="1620" spans="26:26">
      <c r="Z1620" s="1039"/>
    </row>
    <row r="1621" spans="26:26">
      <c r="Z1621" s="1039"/>
    </row>
    <row r="1622" spans="26:26">
      <c r="Z1622" s="1039"/>
    </row>
    <row r="1623" spans="26:26">
      <c r="Z1623" s="1039"/>
    </row>
    <row r="1624" spans="26:26">
      <c r="Z1624" s="1039"/>
    </row>
    <row r="1625" spans="26:26">
      <c r="Z1625" s="1039"/>
    </row>
    <row r="1626" spans="26:26">
      <c r="Z1626" s="1039"/>
    </row>
    <row r="1627" spans="26:26">
      <c r="Z1627" s="1039"/>
    </row>
    <row r="1628" spans="26:26">
      <c r="Z1628" s="1039"/>
    </row>
    <row r="1629" spans="26:26">
      <c r="Z1629" s="1039"/>
    </row>
    <row r="1630" spans="26:26">
      <c r="Z1630" s="1039"/>
    </row>
    <row r="1631" spans="26:26">
      <c r="Z1631" s="1039"/>
    </row>
    <row r="1632" spans="26:26">
      <c r="Z1632" s="1039"/>
    </row>
    <row r="1633" spans="26:26">
      <c r="Z1633" s="1039"/>
    </row>
    <row r="1634" spans="26:26">
      <c r="Z1634" s="1039"/>
    </row>
    <row r="1635" spans="26:26">
      <c r="Z1635" s="1039"/>
    </row>
    <row r="1636" spans="26:26">
      <c r="Z1636" s="1039"/>
    </row>
    <row r="1637" spans="26:26">
      <c r="Z1637" s="1039"/>
    </row>
    <row r="1638" spans="26:26">
      <c r="Z1638" s="1039"/>
    </row>
    <row r="1639" spans="26:26">
      <c r="Z1639" s="1039"/>
    </row>
    <row r="1640" spans="26:26">
      <c r="Z1640" s="1039"/>
    </row>
    <row r="1641" spans="26:26">
      <c r="Z1641" s="1039"/>
    </row>
    <row r="1642" spans="26:26">
      <c r="Z1642" s="1039"/>
    </row>
    <row r="1643" spans="26:26">
      <c r="Z1643" s="1039"/>
    </row>
    <row r="1644" spans="26:26">
      <c r="Z1644" s="1039"/>
    </row>
    <row r="1645" spans="26:26">
      <c r="Z1645" s="1039"/>
    </row>
    <row r="1646" spans="26:26">
      <c r="Z1646" s="1039"/>
    </row>
    <row r="1647" spans="26:26">
      <c r="Z1647" s="1039"/>
    </row>
    <row r="1648" spans="26:26">
      <c r="Z1648" s="1039"/>
    </row>
    <row r="1649" spans="26:26">
      <c r="Z1649" s="1039"/>
    </row>
    <row r="1650" spans="26:26">
      <c r="Z1650" s="1039"/>
    </row>
    <row r="1651" spans="26:26">
      <c r="Z1651" s="1039"/>
    </row>
    <row r="1652" spans="26:26">
      <c r="Z1652" s="1039"/>
    </row>
    <row r="1653" spans="26:26">
      <c r="Z1653" s="1039"/>
    </row>
    <row r="1654" spans="26:26">
      <c r="Z1654" s="1039"/>
    </row>
    <row r="1655" spans="26:26">
      <c r="Z1655" s="1039"/>
    </row>
    <row r="1656" spans="26:26">
      <c r="Z1656" s="1039"/>
    </row>
    <row r="1657" spans="26:26">
      <c r="Z1657" s="1039"/>
    </row>
    <row r="1658" spans="26:26">
      <c r="Z1658" s="1039"/>
    </row>
    <row r="1659" spans="26:26">
      <c r="Z1659" s="1039"/>
    </row>
    <row r="1660" spans="26:26">
      <c r="Z1660" s="1039"/>
    </row>
    <row r="1661" spans="26:26">
      <c r="Z1661" s="1039"/>
    </row>
    <row r="1662" spans="26:26">
      <c r="Z1662" s="1039"/>
    </row>
    <row r="1663" spans="26:26">
      <c r="Z1663" s="1039"/>
    </row>
    <row r="1664" spans="26:26">
      <c r="Z1664" s="1039"/>
    </row>
    <row r="1665" spans="26:26">
      <c r="Z1665" s="1039"/>
    </row>
    <row r="1666" spans="26:26">
      <c r="Z1666" s="1039"/>
    </row>
    <row r="1667" spans="26:26">
      <c r="Z1667" s="1039"/>
    </row>
    <row r="1668" spans="26:26">
      <c r="Z1668" s="1039"/>
    </row>
    <row r="1669" spans="26:26">
      <c r="Z1669" s="1039"/>
    </row>
    <row r="1670" spans="26:26">
      <c r="Z1670" s="1039"/>
    </row>
    <row r="1671" spans="26:26">
      <c r="Z1671" s="1039"/>
    </row>
    <row r="1672" spans="26:26">
      <c r="Z1672" s="1039"/>
    </row>
    <row r="1673" spans="26:26">
      <c r="Z1673" s="1039"/>
    </row>
    <row r="1674" spans="26:26">
      <c r="Z1674" s="1039"/>
    </row>
    <row r="1675" spans="26:26">
      <c r="Z1675" s="1039"/>
    </row>
    <row r="1676" spans="26:26">
      <c r="Z1676" s="1039"/>
    </row>
    <row r="1677" spans="26:26">
      <c r="Z1677" s="1039"/>
    </row>
    <row r="1678" spans="26:26">
      <c r="Z1678" s="1039"/>
    </row>
    <row r="1679" spans="26:26">
      <c r="Z1679" s="1039"/>
    </row>
    <row r="1680" spans="26:26">
      <c r="Z1680" s="1039"/>
    </row>
    <row r="1681" spans="26:26">
      <c r="Z1681" s="1039"/>
    </row>
    <row r="1682" spans="26:26">
      <c r="Z1682" s="1039"/>
    </row>
    <row r="1683" spans="26:26">
      <c r="Z1683" s="1039"/>
    </row>
    <row r="1684" spans="26:26">
      <c r="Z1684" s="1039"/>
    </row>
    <row r="1685" spans="26:26">
      <c r="Z1685" s="1039"/>
    </row>
    <row r="1686" spans="26:26">
      <c r="Z1686" s="1039"/>
    </row>
    <row r="1687" spans="26:26">
      <c r="Z1687" s="1039"/>
    </row>
    <row r="1688" spans="26:26">
      <c r="Z1688" s="1039"/>
    </row>
    <row r="1689" spans="26:26">
      <c r="Z1689" s="1039"/>
    </row>
    <row r="1690" spans="26:26">
      <c r="Z1690" s="1039"/>
    </row>
    <row r="1691" spans="26:26">
      <c r="Z1691" s="1039"/>
    </row>
    <row r="1692" spans="26:26">
      <c r="Z1692" s="1039"/>
    </row>
    <row r="1693" spans="26:26">
      <c r="Z1693" s="1039"/>
    </row>
    <row r="1694" spans="26:26">
      <c r="Z1694" s="1039"/>
    </row>
    <row r="1695" spans="26:26">
      <c r="Z1695" s="1039"/>
    </row>
    <row r="1696" spans="26:26">
      <c r="Z1696" s="1039"/>
    </row>
    <row r="1697" spans="26:26">
      <c r="Z1697" s="1039"/>
    </row>
    <row r="1698" spans="26:26">
      <c r="Z1698" s="1039"/>
    </row>
    <row r="1699" spans="26:26">
      <c r="Z1699" s="1039"/>
    </row>
    <row r="1700" spans="26:26">
      <c r="Z1700" s="1039"/>
    </row>
    <row r="1701" spans="26:26">
      <c r="Z1701" s="1039"/>
    </row>
    <row r="1702" spans="26:26">
      <c r="Z1702" s="1039"/>
    </row>
    <row r="1703" spans="26:26">
      <c r="Z1703" s="1039"/>
    </row>
    <row r="1704" spans="26:26">
      <c r="Z1704" s="1039"/>
    </row>
    <row r="1705" spans="26:26">
      <c r="Z1705" s="1039"/>
    </row>
    <row r="1706" spans="26:26">
      <c r="Z1706" s="1039"/>
    </row>
    <row r="1707" spans="26:26">
      <c r="Z1707" s="1039"/>
    </row>
    <row r="1708" spans="26:26">
      <c r="Z1708" s="1039"/>
    </row>
    <row r="1709" spans="26:26">
      <c r="Z1709" s="1039"/>
    </row>
    <row r="1710" spans="26:26">
      <c r="Z1710" s="1039"/>
    </row>
    <row r="1711" spans="26:26">
      <c r="Z1711" s="1039"/>
    </row>
    <row r="1712" spans="26:26">
      <c r="Z1712" s="1039"/>
    </row>
    <row r="1713" spans="26:26">
      <c r="Z1713" s="1039"/>
    </row>
    <row r="1714" spans="26:26">
      <c r="Z1714" s="1039"/>
    </row>
    <row r="1715" spans="26:26">
      <c r="Z1715" s="1039"/>
    </row>
    <row r="1716" spans="26:26">
      <c r="Z1716" s="1039"/>
    </row>
    <row r="1717" spans="26:26">
      <c r="Z1717" s="1039"/>
    </row>
    <row r="1718" spans="26:26">
      <c r="Z1718" s="1039"/>
    </row>
    <row r="1719" spans="26:26">
      <c r="Z1719" s="1039"/>
    </row>
    <row r="1720" spans="26:26">
      <c r="Z1720" s="1039"/>
    </row>
    <row r="1721" spans="26:26">
      <c r="Z1721" s="1039"/>
    </row>
    <row r="1722" spans="26:26">
      <c r="Z1722" s="1039"/>
    </row>
    <row r="1723" spans="26:26">
      <c r="Z1723" s="1039"/>
    </row>
    <row r="1724" spans="26:26">
      <c r="Z1724" s="1039"/>
    </row>
    <row r="1725" spans="26:26">
      <c r="Z1725" s="1039"/>
    </row>
    <row r="1726" spans="26:26">
      <c r="Z1726" s="1039"/>
    </row>
    <row r="1727" spans="26:26">
      <c r="Z1727" s="1039"/>
    </row>
    <row r="1728" spans="26:26">
      <c r="Z1728" s="1039"/>
    </row>
    <row r="1729" spans="26:26">
      <c r="Z1729" s="1039"/>
    </row>
    <row r="1730" spans="26:26">
      <c r="Z1730" s="1039"/>
    </row>
    <row r="1731" spans="26:26">
      <c r="Z1731" s="1039"/>
    </row>
    <row r="1732" spans="26:26">
      <c r="Z1732" s="1039"/>
    </row>
    <row r="1733" spans="26:26">
      <c r="Z1733" s="1039"/>
    </row>
    <row r="1734" spans="26:26">
      <c r="Z1734" s="1039"/>
    </row>
    <row r="1735" spans="26:26">
      <c r="Z1735" s="1039"/>
    </row>
    <row r="1736" spans="26:26">
      <c r="Z1736" s="1039"/>
    </row>
    <row r="1737" spans="26:26">
      <c r="Z1737" s="1039"/>
    </row>
    <row r="1738" spans="26:26">
      <c r="Z1738" s="1039"/>
    </row>
    <row r="1739" spans="26:26">
      <c r="Z1739" s="1039"/>
    </row>
    <row r="1740" spans="26:26">
      <c r="Z1740" s="1039"/>
    </row>
    <row r="1741" spans="26:26">
      <c r="Z1741" s="1039"/>
    </row>
    <row r="1742" spans="26:26">
      <c r="Z1742" s="1039"/>
    </row>
    <row r="1743" spans="26:26">
      <c r="Z1743" s="1039"/>
    </row>
    <row r="1744" spans="26:26">
      <c r="Z1744" s="1039"/>
    </row>
    <row r="1745" spans="26:26">
      <c r="Z1745" s="1039"/>
    </row>
    <row r="1746" spans="26:26">
      <c r="Z1746" s="1039"/>
    </row>
    <row r="1747" spans="26:26">
      <c r="Z1747" s="1039"/>
    </row>
    <row r="1748" spans="26:26">
      <c r="Z1748" s="1039"/>
    </row>
    <row r="1749" spans="26:26">
      <c r="Z1749" s="1039"/>
    </row>
    <row r="1750" spans="26:26">
      <c r="Z1750" s="1039"/>
    </row>
    <row r="1751" spans="26:26">
      <c r="Z1751" s="1039"/>
    </row>
    <row r="1752" spans="26:26">
      <c r="Z1752" s="1039"/>
    </row>
    <row r="1753" spans="26:26">
      <c r="Z1753" s="1039"/>
    </row>
    <row r="1754" spans="26:26">
      <c r="Z1754" s="1039"/>
    </row>
    <row r="1755" spans="26:26">
      <c r="Z1755" s="1039"/>
    </row>
    <row r="1756" spans="26:26">
      <c r="Z1756" s="1039"/>
    </row>
    <row r="1757" spans="26:26">
      <c r="Z1757" s="1039"/>
    </row>
    <row r="1758" spans="26:26">
      <c r="Z1758" s="1039"/>
    </row>
    <row r="1759" spans="26:26">
      <c r="Z1759" s="1039"/>
    </row>
    <row r="1760" spans="26:26">
      <c r="Z1760" s="1039"/>
    </row>
    <row r="1761" spans="26:26">
      <c r="Z1761" s="1039"/>
    </row>
    <row r="1762" spans="26:26">
      <c r="Z1762" s="1039"/>
    </row>
    <row r="1763" spans="26:26">
      <c r="Z1763" s="1039"/>
    </row>
    <row r="1764" spans="26:26">
      <c r="Z1764" s="1039"/>
    </row>
    <row r="1765" spans="26:26">
      <c r="Z1765" s="1039"/>
    </row>
    <row r="1766" spans="26:26">
      <c r="Z1766" s="1039"/>
    </row>
    <row r="1767" spans="26:26">
      <c r="Z1767" s="1039"/>
    </row>
    <row r="1768" spans="26:26">
      <c r="Z1768" s="1039"/>
    </row>
    <row r="1769" spans="26:26">
      <c r="Z1769" s="1039"/>
    </row>
    <row r="1770" spans="26:26">
      <c r="Z1770" s="1039"/>
    </row>
    <row r="1771" spans="26:26">
      <c r="Z1771" s="1039"/>
    </row>
    <row r="1772" spans="26:26">
      <c r="Z1772" s="1039"/>
    </row>
    <row r="1773" spans="26:26">
      <c r="Z1773" s="1039"/>
    </row>
    <row r="1774" spans="26:26">
      <c r="Z1774" s="1039"/>
    </row>
    <row r="1775" spans="26:26">
      <c r="Z1775" s="1039"/>
    </row>
    <row r="1776" spans="26:26">
      <c r="Z1776" s="1039"/>
    </row>
    <row r="1777" spans="26:26">
      <c r="Z1777" s="1039"/>
    </row>
    <row r="1778" spans="26:26">
      <c r="Z1778" s="1039"/>
    </row>
    <row r="1779" spans="26:26">
      <c r="Z1779" s="1039"/>
    </row>
    <row r="1780" spans="26:26">
      <c r="Z1780" s="1039"/>
    </row>
    <row r="1781" spans="26:26">
      <c r="Z1781" s="1039"/>
    </row>
    <row r="1782" spans="26:26">
      <c r="Z1782" s="1039"/>
    </row>
    <row r="1783" spans="26:26">
      <c r="Z1783" s="1039"/>
    </row>
    <row r="1784" spans="26:26">
      <c r="Z1784" s="1039"/>
    </row>
    <row r="1785" spans="26:26">
      <c r="Z1785" s="1039"/>
    </row>
    <row r="1786" spans="26:26">
      <c r="Z1786" s="1039"/>
    </row>
    <row r="1787" spans="26:26">
      <c r="Z1787" s="1039"/>
    </row>
    <row r="1788" spans="26:26">
      <c r="Z1788" s="1039"/>
    </row>
    <row r="1789" spans="26:26">
      <c r="Z1789" s="1039"/>
    </row>
    <row r="1790" spans="26:26">
      <c r="Z1790" s="1039"/>
    </row>
    <row r="1791" spans="26:26">
      <c r="Z1791" s="1039"/>
    </row>
    <row r="1792" spans="26:26">
      <c r="Z1792" s="1039"/>
    </row>
    <row r="1793" spans="26:26">
      <c r="Z1793" s="1039"/>
    </row>
    <row r="1794" spans="26:26">
      <c r="Z1794" s="1039"/>
    </row>
    <row r="1795" spans="26:26">
      <c r="Z1795" s="1039"/>
    </row>
    <row r="1796" spans="26:26">
      <c r="Z1796" s="1039"/>
    </row>
    <row r="1797" spans="26:26">
      <c r="Z1797" s="1039"/>
    </row>
    <row r="1798" spans="26:26">
      <c r="Z1798" s="1039"/>
    </row>
    <row r="1799" spans="26:26">
      <c r="Z1799" s="1039"/>
    </row>
    <row r="1800" spans="26:26">
      <c r="Z1800" s="1039"/>
    </row>
    <row r="1801" spans="26:26">
      <c r="Z1801" s="1039"/>
    </row>
    <row r="1802" spans="26:26">
      <c r="Z1802" s="1039"/>
    </row>
    <row r="1803" spans="26:26">
      <c r="Z1803" s="1039"/>
    </row>
    <row r="1804" spans="26:26">
      <c r="Z1804" s="1039"/>
    </row>
    <row r="1805" spans="26:26">
      <c r="Z1805" s="1039"/>
    </row>
    <row r="1806" spans="26:26">
      <c r="Z1806" s="1039"/>
    </row>
    <row r="1807" spans="26:26">
      <c r="Z1807" s="1039"/>
    </row>
    <row r="1808" spans="26:26">
      <c r="Z1808" s="1039"/>
    </row>
    <row r="1809" spans="26:26">
      <c r="Z1809" s="1039"/>
    </row>
    <row r="1810" spans="26:26">
      <c r="Z1810" s="1039"/>
    </row>
    <row r="1811" spans="26:26">
      <c r="Z1811" s="1039"/>
    </row>
    <row r="1812" spans="26:26">
      <c r="Z1812" s="1039"/>
    </row>
    <row r="1813" spans="26:26">
      <c r="Z1813" s="1039"/>
    </row>
    <row r="1814" spans="26:26">
      <c r="Z1814" s="1039"/>
    </row>
    <row r="1815" spans="26:26">
      <c r="Z1815" s="1039"/>
    </row>
    <row r="1816" spans="26:26">
      <c r="Z1816" s="1039"/>
    </row>
    <row r="1817" spans="26:26">
      <c r="Z1817" s="1039"/>
    </row>
    <row r="1818" spans="26:26">
      <c r="Z1818" s="1039"/>
    </row>
    <row r="1819" spans="26:26">
      <c r="Z1819" s="1039"/>
    </row>
    <row r="1820" spans="26:26">
      <c r="Z1820" s="1039"/>
    </row>
    <row r="1821" spans="26:26">
      <c r="Z1821" s="1039"/>
    </row>
    <row r="1822" spans="26:26">
      <c r="Z1822" s="1039"/>
    </row>
    <row r="1823" spans="26:26">
      <c r="Z1823" s="1039"/>
    </row>
    <row r="1824" spans="26:26">
      <c r="Z1824" s="1039"/>
    </row>
    <row r="1825" spans="26:26">
      <c r="Z1825" s="1039"/>
    </row>
    <row r="1826" spans="26:26">
      <c r="Z1826" s="1039"/>
    </row>
    <row r="1827" spans="26:26">
      <c r="Z1827" s="1039"/>
    </row>
    <row r="1828" spans="26:26">
      <c r="Z1828" s="1039"/>
    </row>
    <row r="1829" spans="26:26">
      <c r="Z1829" s="1039"/>
    </row>
    <row r="1830" spans="26:26">
      <c r="Z1830" s="1039"/>
    </row>
    <row r="1831" spans="26:26">
      <c r="Z1831" s="1039"/>
    </row>
    <row r="1832" spans="26:26">
      <c r="Z1832" s="1039"/>
    </row>
    <row r="1833" spans="26:26">
      <c r="Z1833" s="1039"/>
    </row>
    <row r="1834" spans="26:26">
      <c r="Z1834" s="1039"/>
    </row>
    <row r="1835" spans="26:26">
      <c r="Z1835" s="1039"/>
    </row>
    <row r="1836" spans="26:26">
      <c r="Z1836" s="1039"/>
    </row>
    <row r="1837" spans="26:26">
      <c r="Z1837" s="1039"/>
    </row>
    <row r="1838" spans="26:26">
      <c r="Z1838" s="1039"/>
    </row>
    <row r="1839" spans="26:26">
      <c r="Z1839" s="1039"/>
    </row>
    <row r="1840" spans="26:26">
      <c r="Z1840" s="1039"/>
    </row>
    <row r="1841" spans="26:26">
      <c r="Z1841" s="1039"/>
    </row>
    <row r="1842" spans="26:26">
      <c r="Z1842" s="1039"/>
    </row>
    <row r="1843" spans="26:26">
      <c r="Z1843" s="1039"/>
    </row>
    <row r="1844" spans="26:26">
      <c r="Z1844" s="1039"/>
    </row>
    <row r="1845" spans="26:26">
      <c r="Z1845" s="1039"/>
    </row>
    <row r="1846" spans="26:26">
      <c r="Z1846" s="1039"/>
    </row>
    <row r="1847" spans="26:26">
      <c r="Z1847" s="1039"/>
    </row>
    <row r="1848" spans="26:26">
      <c r="Z1848" s="1039"/>
    </row>
    <row r="1849" spans="26:26">
      <c r="Z1849" s="1039"/>
    </row>
    <row r="1850" spans="26:26">
      <c r="Z1850" s="1039"/>
    </row>
    <row r="1851" spans="26:26">
      <c r="Z1851" s="1039"/>
    </row>
    <row r="1852" spans="26:26">
      <c r="Z1852" s="1039"/>
    </row>
    <row r="1853" spans="26:26">
      <c r="Z1853" s="1039"/>
    </row>
    <row r="1854" spans="26:26">
      <c r="Z1854" s="1039"/>
    </row>
    <row r="1855" spans="26:26">
      <c r="Z1855" s="1039"/>
    </row>
    <row r="1856" spans="26:26">
      <c r="Z1856" s="1039"/>
    </row>
    <row r="1857" spans="26:26">
      <c r="Z1857" s="1039"/>
    </row>
    <row r="1858" spans="26:26">
      <c r="Z1858" s="1039"/>
    </row>
    <row r="1859" spans="26:26">
      <c r="Z1859" s="1039"/>
    </row>
    <row r="1860" spans="26:26">
      <c r="Z1860" s="1039"/>
    </row>
    <row r="1861" spans="26:26">
      <c r="Z1861" s="1039"/>
    </row>
    <row r="1862" spans="26:26">
      <c r="Z1862" s="1039"/>
    </row>
    <row r="1863" spans="26:26">
      <c r="Z1863" s="1039"/>
    </row>
    <row r="1864" spans="26:26">
      <c r="Z1864" s="1039"/>
    </row>
    <row r="1865" spans="26:26">
      <c r="Z1865" s="1039"/>
    </row>
    <row r="1866" spans="26:26">
      <c r="Z1866" s="1039"/>
    </row>
    <row r="1867" spans="26:26">
      <c r="Z1867" s="1039"/>
    </row>
    <row r="1868" spans="26:26">
      <c r="Z1868" s="1039"/>
    </row>
    <row r="1869" spans="26:26">
      <c r="Z1869" s="1039"/>
    </row>
    <row r="1870" spans="26:26">
      <c r="Z1870" s="1039"/>
    </row>
    <row r="1871" spans="26:26">
      <c r="Z1871" s="1039"/>
    </row>
    <row r="1872" spans="26:26">
      <c r="Z1872" s="1039"/>
    </row>
    <row r="1873" spans="26:26">
      <c r="Z1873" s="1039"/>
    </row>
    <row r="1874" spans="26:26">
      <c r="Z1874" s="1039"/>
    </row>
    <row r="1875" spans="26:26">
      <c r="Z1875" s="1039"/>
    </row>
    <row r="1876" spans="26:26">
      <c r="Z1876" s="1039"/>
    </row>
    <row r="1877" spans="26:26">
      <c r="Z1877" s="1039"/>
    </row>
    <row r="1878" spans="26:26">
      <c r="Z1878" s="1039"/>
    </row>
    <row r="1879" spans="26:26">
      <c r="Z1879" s="1039"/>
    </row>
    <row r="1880" spans="26:26">
      <c r="Z1880" s="1039"/>
    </row>
    <row r="1881" spans="26:26">
      <c r="Z1881" s="1039"/>
    </row>
    <row r="1882" spans="26:26">
      <c r="Z1882" s="1039"/>
    </row>
    <row r="1883" spans="26:26">
      <c r="Z1883" s="1039"/>
    </row>
    <row r="1884" spans="26:26">
      <c r="Z1884" s="1039"/>
    </row>
    <row r="1885" spans="26:26">
      <c r="Z1885" s="1039"/>
    </row>
    <row r="1886" spans="26:26">
      <c r="Z1886" s="1039"/>
    </row>
    <row r="1887" spans="26:26">
      <c r="Z1887" s="1039"/>
    </row>
    <row r="1888" spans="26:26">
      <c r="Z1888" s="1039"/>
    </row>
    <row r="1889" spans="26:26">
      <c r="Z1889" s="1039"/>
    </row>
    <row r="1890" spans="26:26">
      <c r="Z1890" s="1039"/>
    </row>
    <row r="1891" spans="26:26">
      <c r="Z1891" s="1039"/>
    </row>
    <row r="1892" spans="26:26">
      <c r="Z1892" s="1039"/>
    </row>
    <row r="1893" spans="26:26">
      <c r="Z1893" s="1039"/>
    </row>
    <row r="1894" spans="26:26">
      <c r="Z1894" s="1039"/>
    </row>
    <row r="1895" spans="26:26">
      <c r="Z1895" s="1039"/>
    </row>
    <row r="1896" spans="26:26">
      <c r="Z1896" s="1039"/>
    </row>
    <row r="1897" spans="26:26">
      <c r="Z1897" s="1039"/>
    </row>
    <row r="1898" spans="26:26">
      <c r="Z1898" s="1039"/>
    </row>
    <row r="1899" spans="26:26">
      <c r="Z1899" s="1039"/>
    </row>
    <row r="1900" spans="26:26">
      <c r="Z1900" s="1039"/>
    </row>
    <row r="1901" spans="26:26">
      <c r="Z1901" s="1039"/>
    </row>
    <row r="1902" spans="26:26">
      <c r="Z1902" s="1039"/>
    </row>
    <row r="1903" spans="26:26">
      <c r="Z1903" s="1039"/>
    </row>
    <row r="1904" spans="26:26">
      <c r="Z1904" s="1039"/>
    </row>
    <row r="1905" spans="26:26">
      <c r="Z1905" s="1039"/>
    </row>
    <row r="1906" spans="26:26">
      <c r="Z1906" s="1039"/>
    </row>
    <row r="1907" spans="26:26">
      <c r="Z1907" s="1039"/>
    </row>
    <row r="1908" spans="26:26">
      <c r="Z1908" s="1039"/>
    </row>
    <row r="1909" spans="26:26">
      <c r="Z1909" s="1039"/>
    </row>
    <row r="1910" spans="26:26">
      <c r="Z1910" s="1039"/>
    </row>
    <row r="1911" spans="26:26">
      <c r="Z1911" s="1039"/>
    </row>
    <row r="1912" spans="26:26">
      <c r="Z1912" s="1039"/>
    </row>
    <row r="1913" spans="26:26">
      <c r="Z1913" s="1039"/>
    </row>
    <row r="1914" spans="26:26">
      <c r="Z1914" s="1039"/>
    </row>
    <row r="1915" spans="26:26">
      <c r="Z1915" s="1039"/>
    </row>
    <row r="1916" spans="26:26">
      <c r="Z1916" s="1039"/>
    </row>
    <row r="1917" spans="26:26">
      <c r="Z1917" s="1039"/>
    </row>
    <row r="1918" spans="26:26">
      <c r="Z1918" s="1039"/>
    </row>
    <row r="1919" spans="26:26">
      <c r="Z1919" s="1039"/>
    </row>
    <row r="1920" spans="26:26">
      <c r="Z1920" s="1039"/>
    </row>
    <row r="1921" spans="26:26">
      <c r="Z1921" s="1039"/>
    </row>
    <row r="1922" spans="26:26">
      <c r="Z1922" s="1039"/>
    </row>
    <row r="1923" spans="26:26">
      <c r="Z1923" s="1039"/>
    </row>
    <row r="1924" spans="26:26">
      <c r="Z1924" s="1039"/>
    </row>
    <row r="1925" spans="26:26">
      <c r="Z1925" s="1039"/>
    </row>
    <row r="1926" spans="26:26">
      <c r="Z1926" s="1039"/>
    </row>
    <row r="1927" spans="26:26">
      <c r="Z1927" s="1039"/>
    </row>
    <row r="1928" spans="26:26">
      <c r="Z1928" s="1039"/>
    </row>
    <row r="1929" spans="26:26">
      <c r="Z1929" s="1039"/>
    </row>
    <row r="1930" spans="26:26">
      <c r="Z1930" s="1039"/>
    </row>
    <row r="1931" spans="26:26">
      <c r="Z1931" s="1039"/>
    </row>
    <row r="1932" spans="26:26">
      <c r="Z1932" s="1039"/>
    </row>
    <row r="1933" spans="26:26">
      <c r="Z1933" s="1039"/>
    </row>
    <row r="1934" spans="26:26">
      <c r="Z1934" s="1039"/>
    </row>
    <row r="1935" spans="26:26">
      <c r="Z1935" s="1039"/>
    </row>
    <row r="1936" spans="26:26">
      <c r="Z1936" s="1039"/>
    </row>
    <row r="1937" spans="26:26">
      <c r="Z1937" s="1039"/>
    </row>
    <row r="1938" spans="26:26">
      <c r="Z1938" s="1039"/>
    </row>
    <row r="1939" spans="26:26">
      <c r="Z1939" s="1039"/>
    </row>
    <row r="1940" spans="26:26">
      <c r="Z1940" s="1039"/>
    </row>
    <row r="1941" spans="26:26">
      <c r="Z1941" s="1039"/>
    </row>
    <row r="1942" spans="26:26">
      <c r="Z1942" s="1039"/>
    </row>
    <row r="1943" spans="26:26">
      <c r="Z1943" s="1039"/>
    </row>
    <row r="1944" spans="26:26">
      <c r="Z1944" s="1039"/>
    </row>
    <row r="1945" spans="26:26">
      <c r="Z1945" s="1039"/>
    </row>
    <row r="1946" spans="26:26">
      <c r="Z1946" s="1039"/>
    </row>
    <row r="1947" spans="26:26">
      <c r="Z1947" s="1039"/>
    </row>
    <row r="1948" spans="26:26">
      <c r="Z1948" s="1039"/>
    </row>
    <row r="1949" spans="26:26">
      <c r="Z1949" s="1039"/>
    </row>
    <row r="1950" spans="26:26">
      <c r="Z1950" s="1039"/>
    </row>
    <row r="1951" spans="26:26">
      <c r="Z1951" s="1039"/>
    </row>
    <row r="1952" spans="26:26">
      <c r="Z1952" s="1039"/>
    </row>
    <row r="1953" spans="26:26">
      <c r="Z1953" s="1039"/>
    </row>
    <row r="1954" spans="26:26">
      <c r="Z1954" s="1039"/>
    </row>
    <row r="1955" spans="26:26">
      <c r="Z1955" s="1039"/>
    </row>
    <row r="1956" spans="26:26">
      <c r="Z1956" s="1039"/>
    </row>
    <row r="1957" spans="26:26">
      <c r="Z1957" s="1039"/>
    </row>
    <row r="1958" spans="26:26">
      <c r="Z1958" s="1039"/>
    </row>
    <row r="1959" spans="26:26">
      <c r="Z1959" s="1039"/>
    </row>
    <row r="1960" spans="26:26">
      <c r="Z1960" s="1039"/>
    </row>
    <row r="1961" spans="26:26">
      <c r="Z1961" s="1039"/>
    </row>
    <row r="1962" spans="26:26">
      <c r="Z1962" s="1039"/>
    </row>
    <row r="1963" spans="26:26">
      <c r="Z1963" s="1039"/>
    </row>
    <row r="1964" spans="26:26">
      <c r="Z1964" s="1039"/>
    </row>
    <row r="1965" spans="26:26">
      <c r="Z1965" s="1039"/>
    </row>
    <row r="1966" spans="26:26">
      <c r="Z1966" s="1039"/>
    </row>
    <row r="1967" spans="26:26">
      <c r="Z1967" s="1039"/>
    </row>
    <row r="1968" spans="26:26">
      <c r="Z1968" s="1039"/>
    </row>
    <row r="1969" spans="26:26">
      <c r="Z1969" s="1039"/>
    </row>
    <row r="1970" spans="26:26">
      <c r="Z1970" s="1039"/>
    </row>
    <row r="1971" spans="26:26">
      <c r="Z1971" s="1039"/>
    </row>
    <row r="1972" spans="26:26">
      <c r="Z1972" s="1039"/>
    </row>
    <row r="1973" spans="26:26">
      <c r="Z1973" s="1039"/>
    </row>
    <row r="1974" spans="26:26">
      <c r="Z1974" s="1039"/>
    </row>
    <row r="1975" spans="26:26">
      <c r="Z1975" s="1039"/>
    </row>
    <row r="1976" spans="26:26">
      <c r="Z1976" s="1039"/>
    </row>
    <row r="1977" spans="26:26">
      <c r="Z1977" s="1039"/>
    </row>
    <row r="1978" spans="26:26">
      <c r="Z1978" s="1039"/>
    </row>
    <row r="1979" spans="26:26">
      <c r="Z1979" s="1039"/>
    </row>
    <row r="1980" spans="26:26">
      <c r="Z1980" s="1039"/>
    </row>
    <row r="1981" spans="26:26">
      <c r="Z1981" s="1039"/>
    </row>
    <row r="1982" spans="26:26">
      <c r="Z1982" s="1039"/>
    </row>
    <row r="1983" spans="26:26">
      <c r="Z1983" s="1039"/>
    </row>
    <row r="1984" spans="26:26">
      <c r="Z1984" s="1039"/>
    </row>
    <row r="1985" spans="26:26">
      <c r="Z1985" s="1039"/>
    </row>
    <row r="1986" spans="26:26">
      <c r="Z1986" s="1039"/>
    </row>
    <row r="1987" spans="26:26">
      <c r="Z1987" s="1039"/>
    </row>
    <row r="1988" spans="26:26">
      <c r="Z1988" s="1039"/>
    </row>
    <row r="1989" spans="26:26">
      <c r="Z1989" s="1039"/>
    </row>
    <row r="1990" spans="26:26">
      <c r="Z1990" s="1039"/>
    </row>
    <row r="1991" spans="26:26">
      <c r="Z1991" s="1039"/>
    </row>
    <row r="1992" spans="26:26">
      <c r="Z1992" s="1039"/>
    </row>
    <row r="1993" spans="26:26">
      <c r="Z1993" s="1039"/>
    </row>
    <row r="1994" spans="26:26">
      <c r="Z1994" s="1039"/>
    </row>
    <row r="1995" spans="26:26">
      <c r="Z1995" s="1039"/>
    </row>
    <row r="1996" spans="26:26">
      <c r="Z1996" s="1039"/>
    </row>
    <row r="1997" spans="26:26">
      <c r="Z1997" s="1039"/>
    </row>
    <row r="1998" spans="26:26">
      <c r="Z1998" s="1039"/>
    </row>
    <row r="1999" spans="26:26">
      <c r="Z1999" s="1039"/>
    </row>
    <row r="2000" spans="26:26">
      <c r="Z2000" s="1039"/>
    </row>
    <row r="2001" spans="26:26">
      <c r="Z2001" s="1039"/>
    </row>
    <row r="2002" spans="26:26">
      <c r="Z2002" s="1039"/>
    </row>
    <row r="2003" spans="26:26">
      <c r="Z2003" s="1039"/>
    </row>
    <row r="2004" spans="26:26">
      <c r="Z2004" s="1039"/>
    </row>
    <row r="2005" spans="26:26">
      <c r="Z2005" s="1039"/>
    </row>
    <row r="2006" spans="26:26">
      <c r="Z2006" s="1039"/>
    </row>
    <row r="2007" spans="26:26">
      <c r="Z2007" s="1039"/>
    </row>
    <row r="2008" spans="26:26">
      <c r="Z2008" s="1039"/>
    </row>
    <row r="2009" spans="26:26">
      <c r="Z2009" s="1039"/>
    </row>
    <row r="2010" spans="26:26">
      <c r="Z2010" s="1039"/>
    </row>
    <row r="2011" spans="26:26">
      <c r="Z2011" s="1039"/>
    </row>
    <row r="2012" spans="26:26">
      <c r="Z2012" s="1039"/>
    </row>
    <row r="2013" spans="26:26">
      <c r="Z2013" s="1039"/>
    </row>
    <row r="2014" spans="26:26">
      <c r="Z2014" s="1039"/>
    </row>
    <row r="2015" spans="26:26">
      <c r="Z2015" s="1039"/>
    </row>
    <row r="2016" spans="26:26">
      <c r="Z2016" s="1039"/>
    </row>
    <row r="2017" spans="26:26">
      <c r="Z2017" s="1039"/>
    </row>
    <row r="2018" spans="26:26">
      <c r="Z2018" s="1039"/>
    </row>
    <row r="2019" spans="26:26">
      <c r="Z2019" s="1039"/>
    </row>
    <row r="2020" spans="26:26">
      <c r="Z2020" s="1039"/>
    </row>
    <row r="2021" spans="26:26">
      <c r="Z2021" s="1039"/>
    </row>
    <row r="2022" spans="26:26">
      <c r="Z2022" s="1039"/>
    </row>
    <row r="2023" spans="26:26">
      <c r="Z2023" s="1039"/>
    </row>
    <row r="2024" spans="26:26">
      <c r="Z2024" s="1039"/>
    </row>
    <row r="2025" spans="26:26">
      <c r="Z2025" s="1039"/>
    </row>
    <row r="2026" spans="26:26">
      <c r="Z2026" s="1039"/>
    </row>
    <row r="2027" spans="26:26">
      <c r="Z2027" s="1039"/>
    </row>
    <row r="2028" spans="26:26">
      <c r="Z2028" s="1039"/>
    </row>
    <row r="2029" spans="26:26">
      <c r="Z2029" s="1039"/>
    </row>
    <row r="2030" spans="26:26">
      <c r="Z2030" s="1039"/>
    </row>
    <row r="2031" spans="26:26">
      <c r="Z2031" s="1039"/>
    </row>
    <row r="2032" spans="26:26">
      <c r="Z2032" s="1039"/>
    </row>
    <row r="2033" spans="26:26">
      <c r="Z2033" s="1039"/>
    </row>
    <row r="2034" spans="26:26">
      <c r="Z2034" s="1039"/>
    </row>
    <row r="2035" spans="26:26">
      <c r="Z2035" s="1039"/>
    </row>
    <row r="2036" spans="26:26">
      <c r="Z2036" s="1039"/>
    </row>
    <row r="2037" spans="26:26">
      <c r="Z2037" s="1039"/>
    </row>
    <row r="2038" spans="26:26">
      <c r="Z2038" s="1039"/>
    </row>
    <row r="2039" spans="26:26">
      <c r="Z2039" s="1039"/>
    </row>
    <row r="2040" spans="26:26">
      <c r="Z2040" s="1039"/>
    </row>
    <row r="2041" spans="26:26">
      <c r="Z2041" s="1039"/>
    </row>
    <row r="2042" spans="26:26">
      <c r="Z2042" s="1039"/>
    </row>
    <row r="2043" spans="26:26">
      <c r="Z2043" s="1039"/>
    </row>
    <row r="2044" spans="26:26">
      <c r="Z2044" s="1039"/>
    </row>
    <row r="2045" spans="26:26">
      <c r="Z2045" s="1039"/>
    </row>
    <row r="2046" spans="26:26">
      <c r="Z2046" s="1039"/>
    </row>
    <row r="2047" spans="26:26">
      <c r="Z2047" s="1039"/>
    </row>
    <row r="2048" spans="26:26">
      <c r="Z2048" s="1039"/>
    </row>
    <row r="2049" spans="26:26">
      <c r="Z2049" s="1039"/>
    </row>
    <row r="2050" spans="26:26">
      <c r="Z2050" s="1039"/>
    </row>
    <row r="2051" spans="26:26">
      <c r="Z2051" s="1039"/>
    </row>
    <row r="2052" spans="26:26">
      <c r="Z2052" s="1039"/>
    </row>
    <row r="2053" spans="26:26">
      <c r="Z2053" s="1039"/>
    </row>
    <row r="2054" spans="26:26">
      <c r="Z2054" s="1039"/>
    </row>
    <row r="2055" spans="26:26">
      <c r="Z2055" s="1039"/>
    </row>
    <row r="2056" spans="26:26">
      <c r="Z2056" s="1039"/>
    </row>
    <row r="2057" spans="26:26">
      <c r="Z2057" s="1039"/>
    </row>
    <row r="2058" spans="26:26">
      <c r="Z2058" s="1039"/>
    </row>
    <row r="2059" spans="26:26">
      <c r="Z2059" s="1039"/>
    </row>
    <row r="2060" spans="26:26">
      <c r="Z2060" s="1039"/>
    </row>
    <row r="2061" spans="26:26">
      <c r="Z2061" s="1039"/>
    </row>
    <row r="2062" spans="26:26">
      <c r="Z2062" s="1039"/>
    </row>
    <row r="2063" spans="26:26">
      <c r="Z2063" s="1039"/>
    </row>
    <row r="2064" spans="26:26">
      <c r="Z2064" s="1039"/>
    </row>
    <row r="2065" spans="26:26">
      <c r="Z2065" s="1039"/>
    </row>
    <row r="2066" spans="26:26">
      <c r="Z2066" s="1039"/>
    </row>
    <row r="2067" spans="26:26">
      <c r="Z2067" s="1039"/>
    </row>
    <row r="2068" spans="26:26">
      <c r="Z2068" s="1039"/>
    </row>
    <row r="2069" spans="26:26">
      <c r="Z2069" s="1039"/>
    </row>
    <row r="2070" spans="26:26">
      <c r="Z2070" s="1039"/>
    </row>
    <row r="2071" spans="26:26">
      <c r="Z2071" s="1039"/>
    </row>
    <row r="2072" spans="26:26">
      <c r="Z2072" s="1039"/>
    </row>
    <row r="2073" spans="26:26">
      <c r="Z2073" s="1039"/>
    </row>
    <row r="2074" spans="26:26">
      <c r="Z2074" s="1039"/>
    </row>
    <row r="2075" spans="26:26">
      <c r="Z2075" s="1039"/>
    </row>
    <row r="2076" spans="26:26">
      <c r="Z2076" s="1039"/>
    </row>
    <row r="2077" spans="26:26">
      <c r="Z2077" s="1039"/>
    </row>
    <row r="2078" spans="26:26">
      <c r="Z2078" s="1039"/>
    </row>
    <row r="2079" spans="26:26">
      <c r="Z2079" s="1039"/>
    </row>
    <row r="2080" spans="26:26">
      <c r="Z2080" s="1039"/>
    </row>
    <row r="2081" spans="26:26">
      <c r="Z2081" s="1039"/>
    </row>
    <row r="2082" spans="26:26">
      <c r="Z2082" s="1039"/>
    </row>
    <row r="2083" spans="26:26">
      <c r="Z2083" s="1039"/>
    </row>
    <row r="2084" spans="26:26">
      <c r="Z2084" s="1039"/>
    </row>
    <row r="2085" spans="26:26">
      <c r="Z2085" s="1039"/>
    </row>
    <row r="2086" spans="26:26">
      <c r="Z2086" s="1039"/>
    </row>
    <row r="2087" spans="26:26">
      <c r="Z2087" s="1039"/>
    </row>
    <row r="2088" spans="26:26">
      <c r="Z2088" s="1039"/>
    </row>
    <row r="2089" spans="26:26">
      <c r="Z2089" s="1039"/>
    </row>
    <row r="2090" spans="26:26">
      <c r="Z2090" s="1039"/>
    </row>
    <row r="2091" spans="26:26">
      <c r="Z2091" s="1039"/>
    </row>
    <row r="2092" spans="26:26">
      <c r="Z2092" s="1039"/>
    </row>
    <row r="2093" spans="26:26">
      <c r="Z2093" s="1039"/>
    </row>
    <row r="2094" spans="26:26">
      <c r="Z2094" s="1039"/>
    </row>
    <row r="2095" spans="26:26">
      <c r="Z2095" s="1039"/>
    </row>
    <row r="2096" spans="26:26">
      <c r="Z2096" s="1039"/>
    </row>
    <row r="2097" spans="26:26">
      <c r="Z2097" s="1039"/>
    </row>
    <row r="2098" spans="26:26">
      <c r="Z2098" s="1039"/>
    </row>
    <row r="2099" spans="26:26">
      <c r="Z2099" s="1039"/>
    </row>
    <row r="2100" spans="26:26">
      <c r="Z2100" s="1039"/>
    </row>
    <row r="2101" spans="26:26">
      <c r="Z2101" s="1039"/>
    </row>
    <row r="2102" spans="26:26">
      <c r="Z2102" s="1039"/>
    </row>
    <row r="2103" spans="26:26">
      <c r="Z2103" s="1039"/>
    </row>
    <row r="2104" spans="26:26">
      <c r="Z2104" s="1039"/>
    </row>
    <row r="2105" spans="26:26">
      <c r="Z2105" s="1039"/>
    </row>
    <row r="2106" spans="26:26">
      <c r="Z2106" s="1039"/>
    </row>
    <row r="2107" spans="26:26">
      <c r="Z2107" s="1039"/>
    </row>
    <row r="2108" spans="26:26">
      <c r="Z2108" s="1039"/>
    </row>
    <row r="2109" spans="26:26">
      <c r="Z2109" s="1039"/>
    </row>
    <row r="2110" spans="26:26">
      <c r="Z2110" s="1039"/>
    </row>
    <row r="2111" spans="26:26">
      <c r="Z2111" s="1039"/>
    </row>
    <row r="2112" spans="26:26">
      <c r="Z2112" s="1039"/>
    </row>
    <row r="2113" spans="26:26">
      <c r="Z2113" s="1039"/>
    </row>
    <row r="2114" spans="26:26">
      <c r="Z2114" s="1039"/>
    </row>
    <row r="2115" spans="26:26">
      <c r="Z2115" s="1039"/>
    </row>
    <row r="2116" spans="26:26">
      <c r="Z2116" s="1039"/>
    </row>
    <row r="2117" spans="26:26">
      <c r="Z2117" s="1039"/>
    </row>
    <row r="2118" spans="26:26">
      <c r="Z2118" s="1039"/>
    </row>
    <row r="2119" spans="26:26">
      <c r="Z2119" s="1039"/>
    </row>
    <row r="2120" spans="26:26">
      <c r="Z2120" s="1039"/>
    </row>
    <row r="2121" spans="26:26">
      <c r="Z2121" s="1039"/>
    </row>
    <row r="2122" spans="26:26">
      <c r="Z2122" s="1039"/>
    </row>
    <row r="2123" spans="26:26">
      <c r="Z2123" s="1039"/>
    </row>
    <row r="2124" spans="26:26">
      <c r="Z2124" s="1039"/>
    </row>
    <row r="2125" spans="26:26">
      <c r="Z2125" s="1039"/>
    </row>
    <row r="2126" spans="26:26">
      <c r="Z2126" s="1039"/>
    </row>
    <row r="2127" spans="26:26">
      <c r="Z2127" s="1039"/>
    </row>
    <row r="2128" spans="26:26">
      <c r="Z2128" s="1039"/>
    </row>
    <row r="2129" spans="26:26">
      <c r="Z2129" s="1039"/>
    </row>
    <row r="2130" spans="26:26">
      <c r="Z2130" s="1039"/>
    </row>
    <row r="2131" spans="26:26">
      <c r="Z2131" s="1039"/>
    </row>
    <row r="2132" spans="26:26">
      <c r="Z2132" s="1039"/>
    </row>
    <row r="2133" spans="26:26">
      <c r="Z2133" s="1039"/>
    </row>
    <row r="2134" spans="26:26">
      <c r="Z2134" s="1039"/>
    </row>
    <row r="2135" spans="26:26">
      <c r="Z2135" s="1039"/>
    </row>
    <row r="2136" spans="26:26">
      <c r="Z2136" s="1039"/>
    </row>
    <row r="2137" spans="26:26">
      <c r="Z2137" s="1039"/>
    </row>
    <row r="2138" spans="26:26">
      <c r="Z2138" s="1039"/>
    </row>
    <row r="2139" spans="26:26">
      <c r="Z2139" s="1039"/>
    </row>
    <row r="2140" spans="26:26">
      <c r="Z2140" s="1039"/>
    </row>
    <row r="2141" spans="26:26">
      <c r="Z2141" s="1039"/>
    </row>
    <row r="2142" spans="26:26">
      <c r="Z2142" s="1039"/>
    </row>
    <row r="2143" spans="26:26">
      <c r="Z2143" s="1039"/>
    </row>
    <row r="2144" spans="26:26">
      <c r="Z2144" s="1039"/>
    </row>
    <row r="2145" spans="26:26">
      <c r="Z2145" s="1039"/>
    </row>
    <row r="2146" spans="26:26">
      <c r="Z2146" s="1039"/>
    </row>
    <row r="2147" spans="26:26">
      <c r="Z2147" s="1039"/>
    </row>
    <row r="2148" spans="26:26">
      <c r="Z2148" s="1039"/>
    </row>
    <row r="2149" spans="26:26">
      <c r="Z2149" s="1039"/>
    </row>
    <row r="2150" spans="26:26">
      <c r="Z2150" s="1039"/>
    </row>
    <row r="2151" spans="26:26">
      <c r="Z2151" s="1039"/>
    </row>
    <row r="2152" spans="26:26">
      <c r="Z2152" s="1039"/>
    </row>
    <row r="2153" spans="26:26">
      <c r="Z2153" s="1039"/>
    </row>
    <row r="2154" spans="26:26">
      <c r="Z2154" s="1039"/>
    </row>
    <row r="2155" spans="26:26">
      <c r="Z2155" s="1039"/>
    </row>
    <row r="2156" spans="26:26">
      <c r="Z2156" s="1039"/>
    </row>
    <row r="2157" spans="26:26">
      <c r="Z2157" s="1039"/>
    </row>
    <row r="2158" spans="26:26">
      <c r="Z2158" s="1039"/>
    </row>
    <row r="2159" spans="26:26">
      <c r="Z2159" s="1039"/>
    </row>
    <row r="2160" spans="26:26">
      <c r="Z2160" s="1039"/>
    </row>
    <row r="2161" spans="26:26">
      <c r="Z2161" s="1039"/>
    </row>
    <row r="2162" spans="26:26">
      <c r="Z2162" s="1039"/>
    </row>
    <row r="2163" spans="26:26">
      <c r="Z2163" s="1039"/>
    </row>
    <row r="2164" spans="26:26">
      <c r="Z2164" s="1039"/>
    </row>
    <row r="2165" spans="26:26">
      <c r="Z2165" s="1039"/>
    </row>
    <row r="2166" spans="26:26">
      <c r="Z2166" s="1039"/>
    </row>
    <row r="2167" spans="26:26">
      <c r="Z2167" s="1039"/>
    </row>
    <row r="2168" spans="26:26">
      <c r="Z2168" s="1039"/>
    </row>
    <row r="2169" spans="26:26">
      <c r="Z2169" s="1039"/>
    </row>
    <row r="2170" spans="26:26">
      <c r="Z2170" s="1039"/>
    </row>
    <row r="2171" spans="26:26">
      <c r="Z2171" s="1039"/>
    </row>
    <row r="2172" spans="26:26">
      <c r="Z2172" s="1039"/>
    </row>
    <row r="2173" spans="26:26">
      <c r="Z2173" s="1039"/>
    </row>
    <row r="2174" spans="26:26">
      <c r="Z2174" s="1039"/>
    </row>
    <row r="2175" spans="26:26">
      <c r="Z2175" s="1039"/>
    </row>
    <row r="2176" spans="26:26">
      <c r="Z2176" s="1039"/>
    </row>
    <row r="2177" spans="26:26">
      <c r="Z2177" s="1039"/>
    </row>
    <row r="2178" spans="26:26">
      <c r="Z2178" s="1039"/>
    </row>
    <row r="2179" spans="26:26">
      <c r="Z2179" s="1039"/>
    </row>
    <row r="2180" spans="26:26">
      <c r="Z2180" s="1039"/>
    </row>
    <row r="2181" spans="26:26">
      <c r="Z2181" s="1039"/>
    </row>
    <row r="2182" spans="26:26">
      <c r="Z2182" s="1039"/>
    </row>
    <row r="2183" spans="26:26">
      <c r="Z2183" s="1039"/>
    </row>
    <row r="2184" spans="26:26">
      <c r="Z2184" s="1039"/>
    </row>
    <row r="2185" spans="26:26">
      <c r="Z2185" s="1039"/>
    </row>
    <row r="2186" spans="26:26">
      <c r="Z2186" s="1039"/>
    </row>
    <row r="2187" spans="26:26">
      <c r="Z2187" s="1039"/>
    </row>
    <row r="2188" spans="26:26">
      <c r="Z2188" s="1039"/>
    </row>
    <row r="2189" spans="26:26">
      <c r="Z2189" s="1039"/>
    </row>
    <row r="2190" spans="26:26">
      <c r="Z2190" s="1039"/>
    </row>
    <row r="2191" spans="26:26">
      <c r="Z2191" s="1039"/>
    </row>
    <row r="2192" spans="26:26">
      <c r="Z2192" s="1039"/>
    </row>
    <row r="2193" spans="26:26">
      <c r="Z2193" s="1039"/>
    </row>
    <row r="2194" spans="26:26">
      <c r="Z2194" s="1039"/>
    </row>
    <row r="2195" spans="26:26">
      <c r="Z2195" s="1039"/>
    </row>
    <row r="2196" spans="26:26">
      <c r="Z2196" s="1039"/>
    </row>
    <row r="2197" spans="26:26">
      <c r="Z2197" s="1039"/>
    </row>
    <row r="2198" spans="26:26">
      <c r="Z2198" s="1039"/>
    </row>
    <row r="2199" spans="26:26">
      <c r="Z2199" s="1039"/>
    </row>
    <row r="2200" spans="26:26">
      <c r="Z2200" s="1039"/>
    </row>
    <row r="2201" spans="26:26">
      <c r="Z2201" s="1039"/>
    </row>
    <row r="2202" spans="26:26">
      <c r="Z2202" s="1039"/>
    </row>
    <row r="2203" spans="26:26">
      <c r="Z2203" s="1039"/>
    </row>
    <row r="2204" spans="26:26">
      <c r="Z2204" s="1039"/>
    </row>
    <row r="2205" spans="26:26">
      <c r="Z2205" s="1039"/>
    </row>
    <row r="2206" spans="26:26">
      <c r="Z2206" s="1039"/>
    </row>
    <row r="2207" spans="26:26">
      <c r="Z2207" s="1039"/>
    </row>
    <row r="2208" spans="26:26">
      <c r="Z2208" s="1039"/>
    </row>
    <row r="2209" spans="26:26">
      <c r="Z2209" s="1039"/>
    </row>
    <row r="2210" spans="26:26">
      <c r="Z2210" s="1039"/>
    </row>
    <row r="2211" spans="26:26">
      <c r="Z2211" s="1039"/>
    </row>
    <row r="2212" spans="26:26">
      <c r="Z2212" s="1039"/>
    </row>
    <row r="2213" spans="26:26">
      <c r="Z2213" s="1039"/>
    </row>
    <row r="2214" spans="26:26">
      <c r="Z2214" s="1039"/>
    </row>
    <row r="2215" spans="26:26">
      <c r="Z2215" s="1039"/>
    </row>
    <row r="2216" spans="26:26">
      <c r="Z2216" s="1039"/>
    </row>
    <row r="2217" spans="26:26">
      <c r="Z2217" s="1039"/>
    </row>
    <row r="2218" spans="26:26">
      <c r="Z2218" s="1039"/>
    </row>
    <row r="2219" spans="26:26">
      <c r="Z2219" s="1039"/>
    </row>
    <row r="2220" spans="26:26">
      <c r="Z2220" s="1039"/>
    </row>
    <row r="2221" spans="26:26">
      <c r="Z2221" s="1039"/>
    </row>
    <row r="2222" spans="26:26">
      <c r="Z2222" s="1039"/>
    </row>
    <row r="2223" spans="26:26">
      <c r="Z2223" s="1039"/>
    </row>
    <row r="2224" spans="26:26">
      <c r="Z2224" s="1039"/>
    </row>
    <row r="2225" spans="26:26">
      <c r="Z2225" s="1039"/>
    </row>
    <row r="2226" spans="26:26">
      <c r="Z2226" s="1039"/>
    </row>
    <row r="2227" spans="26:26">
      <c r="Z2227" s="1039"/>
    </row>
    <row r="2228" spans="26:26">
      <c r="Z2228" s="1039"/>
    </row>
    <row r="2229" spans="26:26">
      <c r="Z2229" s="1039"/>
    </row>
    <row r="2230" spans="26:26">
      <c r="Z2230" s="1039"/>
    </row>
    <row r="2231" spans="26:26">
      <c r="Z2231" s="1039"/>
    </row>
    <row r="2232" spans="26:26">
      <c r="Z2232" s="1039"/>
    </row>
    <row r="2233" spans="26:26">
      <c r="Z2233" s="1039"/>
    </row>
    <row r="2234" spans="26:26">
      <c r="Z2234" s="1039"/>
    </row>
    <row r="2235" spans="26:26">
      <c r="Z2235" s="1039"/>
    </row>
    <row r="2236" spans="26:26">
      <c r="Z2236" s="1039"/>
    </row>
    <row r="2237" spans="26:26">
      <c r="Z2237" s="1039"/>
    </row>
    <row r="2238" spans="26:26">
      <c r="Z2238" s="1039"/>
    </row>
    <row r="2239" spans="26:26">
      <c r="Z2239" s="1039"/>
    </row>
    <row r="2240" spans="26:26">
      <c r="Z2240" s="1039"/>
    </row>
    <row r="2241" spans="26:26">
      <c r="Z2241" s="1039"/>
    </row>
    <row r="2242" spans="26:26">
      <c r="Z2242" s="1039"/>
    </row>
    <row r="2243" spans="26:26">
      <c r="Z2243" s="1039"/>
    </row>
    <row r="2244" spans="26:26">
      <c r="Z2244" s="1039"/>
    </row>
    <row r="2245" spans="26:26">
      <c r="Z2245" s="1039"/>
    </row>
    <row r="2246" spans="26:26">
      <c r="Z2246" s="1039"/>
    </row>
    <row r="2247" spans="26:26">
      <c r="Z2247" s="1039"/>
    </row>
    <row r="2248" spans="26:26">
      <c r="Z2248" s="1039"/>
    </row>
    <row r="2249" spans="26:26">
      <c r="Z2249" s="1039"/>
    </row>
    <row r="2250" spans="26:26">
      <c r="Z2250" s="1039"/>
    </row>
    <row r="2251" spans="26:26">
      <c r="Z2251" s="1039"/>
    </row>
    <row r="2252" spans="26:26">
      <c r="Z2252" s="1039"/>
    </row>
    <row r="2253" spans="26:26">
      <c r="Z2253" s="1039"/>
    </row>
    <row r="2254" spans="26:26">
      <c r="Z2254" s="1039"/>
    </row>
    <row r="2255" spans="26:26">
      <c r="Z2255" s="1039"/>
    </row>
    <row r="2256" spans="26:26">
      <c r="Z2256" s="1039"/>
    </row>
    <row r="2257" spans="26:26">
      <c r="Z2257" s="1039"/>
    </row>
    <row r="2258" spans="26:26">
      <c r="Z2258" s="1039"/>
    </row>
    <row r="2259" spans="26:26">
      <c r="Z2259" s="1039"/>
    </row>
    <row r="2260" spans="26:26">
      <c r="Z2260" s="1039"/>
    </row>
    <row r="2261" spans="26:26">
      <c r="Z2261" s="1039"/>
    </row>
    <row r="2262" spans="26:26">
      <c r="Z2262" s="1039"/>
    </row>
    <row r="2263" spans="26:26">
      <c r="Z2263" s="1039"/>
    </row>
    <row r="2264" spans="26:26">
      <c r="Z2264" s="1039"/>
    </row>
    <row r="2265" spans="26:26">
      <c r="Z2265" s="1039"/>
    </row>
    <row r="2266" spans="26:26">
      <c r="Z2266" s="1039"/>
    </row>
    <row r="2267" spans="26:26">
      <c r="Z2267" s="1039"/>
    </row>
    <row r="2268" spans="26:26">
      <c r="Z2268" s="1039"/>
    </row>
    <row r="2269" spans="26:26">
      <c r="Z2269" s="1039"/>
    </row>
    <row r="2270" spans="26:26">
      <c r="Z2270" s="1039"/>
    </row>
    <row r="2271" spans="26:26">
      <c r="Z2271" s="1039"/>
    </row>
    <row r="2272" spans="26:26">
      <c r="Z2272" s="1039"/>
    </row>
    <row r="2273" spans="26:26">
      <c r="Z2273" s="1039"/>
    </row>
    <row r="2274" spans="26:26">
      <c r="Z2274" s="1039"/>
    </row>
    <row r="2275" spans="26:26">
      <c r="Z2275" s="1039"/>
    </row>
    <row r="2276" spans="26:26">
      <c r="Z2276" s="1039"/>
    </row>
    <row r="2277" spans="26:26">
      <c r="Z2277" s="1039"/>
    </row>
    <row r="2278" spans="26:26">
      <c r="Z2278" s="1039"/>
    </row>
    <row r="2279" spans="26:26">
      <c r="Z2279" s="1039"/>
    </row>
    <row r="2280" spans="26:26">
      <c r="Z2280" s="1039"/>
    </row>
    <row r="2281" spans="26:26">
      <c r="Z2281" s="1039"/>
    </row>
    <row r="2282" spans="26:26">
      <c r="Z2282" s="1039"/>
    </row>
    <row r="2283" spans="26:26">
      <c r="Z2283" s="1039"/>
    </row>
    <row r="2284" spans="26:26">
      <c r="Z2284" s="1039"/>
    </row>
    <row r="2285" spans="26:26">
      <c r="Z2285" s="1039"/>
    </row>
    <row r="2286" spans="26:26">
      <c r="Z2286" s="1039"/>
    </row>
    <row r="2287" spans="26:26">
      <c r="Z2287" s="1039"/>
    </row>
    <row r="2288" spans="26:26">
      <c r="Z2288" s="1039"/>
    </row>
    <row r="2289" spans="26:26">
      <c r="Z2289" s="1039"/>
    </row>
    <row r="2290" spans="26:26">
      <c r="Z2290" s="1039"/>
    </row>
    <row r="2291" spans="26:26">
      <c r="Z2291" s="1039"/>
    </row>
    <row r="2292" spans="26:26">
      <c r="Z2292" s="1039"/>
    </row>
    <row r="2293" spans="26:26">
      <c r="Z2293" s="1039"/>
    </row>
    <row r="2294" spans="26:26">
      <c r="Z2294" s="1039"/>
    </row>
    <row r="2295" spans="26:26">
      <c r="Z2295" s="1039"/>
    </row>
    <row r="2296" spans="26:26">
      <c r="Z2296" s="1039"/>
    </row>
    <row r="2297" spans="26:26">
      <c r="Z2297" s="1039"/>
    </row>
    <row r="2298" spans="26:26">
      <c r="Z2298" s="1039"/>
    </row>
    <row r="2299" spans="26:26">
      <c r="Z2299" s="1039"/>
    </row>
    <row r="2300" spans="26:26">
      <c r="Z2300" s="1039"/>
    </row>
    <row r="2301" spans="26:26">
      <c r="Z2301" s="1039"/>
    </row>
    <row r="2302" spans="26:26">
      <c r="Z2302" s="1039"/>
    </row>
    <row r="2303" spans="26:26">
      <c r="Z2303" s="1039"/>
    </row>
    <row r="2304" spans="26:26">
      <c r="Z2304" s="1039"/>
    </row>
    <row r="2305" spans="26:26">
      <c r="Z2305" s="1039"/>
    </row>
    <row r="2306" spans="26:26">
      <c r="Z2306" s="1039"/>
    </row>
    <row r="2307" spans="26:26">
      <c r="Z2307" s="1039"/>
    </row>
    <row r="2308" spans="26:26">
      <c r="Z2308" s="1039"/>
    </row>
    <row r="2309" spans="26:26">
      <c r="Z2309" s="1039"/>
    </row>
    <row r="2310" spans="26:26">
      <c r="Z2310" s="1039"/>
    </row>
    <row r="2311" spans="26:26">
      <c r="Z2311" s="1039"/>
    </row>
    <row r="2312" spans="26:26">
      <c r="Z2312" s="1039"/>
    </row>
    <row r="2313" spans="26:26">
      <c r="Z2313" s="1039"/>
    </row>
    <row r="2314" spans="26:26">
      <c r="Z2314" s="1039"/>
    </row>
    <row r="2315" spans="26:26">
      <c r="Z2315" s="1039"/>
    </row>
    <row r="2316" spans="26:26">
      <c r="Z2316" s="1039"/>
    </row>
    <row r="2317" spans="26:26">
      <c r="Z2317" s="1039"/>
    </row>
    <row r="2318" spans="26:26">
      <c r="Z2318" s="1039"/>
    </row>
    <row r="2319" spans="26:26">
      <c r="Z2319" s="1039"/>
    </row>
    <row r="2320" spans="26:26">
      <c r="Z2320" s="1039"/>
    </row>
    <row r="2321" spans="26:26">
      <c r="Z2321" s="1039"/>
    </row>
    <row r="2322" spans="26:26">
      <c r="Z2322" s="1039"/>
    </row>
    <row r="2323" spans="26:26">
      <c r="Z2323" s="1039"/>
    </row>
    <row r="2324" spans="26:26">
      <c r="Z2324" s="1039"/>
    </row>
    <row r="2325" spans="26:26">
      <c r="Z2325" s="1039"/>
    </row>
    <row r="2326" spans="26:26">
      <c r="Z2326" s="1039"/>
    </row>
    <row r="2327" spans="26:26">
      <c r="Z2327" s="1039"/>
    </row>
    <row r="2328" spans="26:26">
      <c r="Z2328" s="1039"/>
    </row>
    <row r="2329" spans="26:26">
      <c r="Z2329" s="1039"/>
    </row>
    <row r="2330" spans="26:26">
      <c r="Z2330" s="1039"/>
    </row>
    <row r="2331" spans="26:26">
      <c r="Z2331" s="1039"/>
    </row>
    <row r="2332" spans="26:26">
      <c r="Z2332" s="1039"/>
    </row>
    <row r="2333" spans="26:26">
      <c r="Z2333" s="1039"/>
    </row>
    <row r="2334" spans="26:26">
      <c r="Z2334" s="1039"/>
    </row>
    <row r="2335" spans="26:26">
      <c r="Z2335" s="1039"/>
    </row>
    <row r="2336" spans="26:26">
      <c r="Z2336" s="1039"/>
    </row>
    <row r="2337" spans="26:26">
      <c r="Z2337" s="1039"/>
    </row>
    <row r="2338" spans="26:26">
      <c r="Z2338" s="1039"/>
    </row>
    <row r="2339" spans="26:26">
      <c r="Z2339" s="1039"/>
    </row>
    <row r="2340" spans="26:26">
      <c r="Z2340" s="1039"/>
    </row>
    <row r="2341" spans="26:26">
      <c r="Z2341" s="1039"/>
    </row>
    <row r="2342" spans="26:26">
      <c r="Z2342" s="1039"/>
    </row>
    <row r="2343" spans="26:26">
      <c r="Z2343" s="1039"/>
    </row>
    <row r="2344" spans="26:26">
      <c r="Z2344" s="1039"/>
    </row>
    <row r="2345" spans="26:26">
      <c r="Z2345" s="1039"/>
    </row>
    <row r="2346" spans="26:26">
      <c r="Z2346" s="1039"/>
    </row>
    <row r="2347" spans="26:26">
      <c r="Z2347" s="1039"/>
    </row>
    <row r="2348" spans="26:26">
      <c r="Z2348" s="1039"/>
    </row>
    <row r="2349" spans="26:26">
      <c r="Z2349" s="1039"/>
    </row>
    <row r="2350" spans="26:26">
      <c r="Z2350" s="1039"/>
    </row>
    <row r="2351" spans="26:26">
      <c r="Z2351" s="1039"/>
    </row>
    <row r="2352" spans="26:26">
      <c r="Z2352" s="1039"/>
    </row>
    <row r="2353" spans="26:26">
      <c r="Z2353" s="1039"/>
    </row>
    <row r="2354" spans="26:26">
      <c r="Z2354" s="1039"/>
    </row>
    <row r="2355" spans="26:26">
      <c r="Z2355" s="1039"/>
    </row>
    <row r="2356" spans="26:26">
      <c r="Z2356" s="1039"/>
    </row>
    <row r="2357" spans="26:26">
      <c r="Z2357" s="1039"/>
    </row>
    <row r="2358" spans="26:26">
      <c r="Z2358" s="1039"/>
    </row>
    <row r="2359" spans="26:26">
      <c r="Z2359" s="1039"/>
    </row>
    <row r="2360" spans="26:26">
      <c r="Z2360" s="1039"/>
    </row>
    <row r="2361" spans="26:26">
      <c r="Z2361" s="1039"/>
    </row>
    <row r="2362" spans="26:26">
      <c r="Z2362" s="1039"/>
    </row>
    <row r="2363" spans="26:26">
      <c r="Z2363" s="1039"/>
    </row>
    <row r="2364" spans="26:26">
      <c r="Z2364" s="1039"/>
    </row>
    <row r="2365" spans="26:26">
      <c r="Z2365" s="1039"/>
    </row>
    <row r="2366" spans="26:26">
      <c r="Z2366" s="1039"/>
    </row>
    <row r="2367" spans="26:26">
      <c r="Z2367" s="1039"/>
    </row>
    <row r="2368" spans="26:26">
      <c r="Z2368" s="1039"/>
    </row>
    <row r="2369" spans="26:26">
      <c r="Z2369" s="1039"/>
    </row>
    <row r="2370" spans="26:26">
      <c r="Z2370" s="1039"/>
    </row>
    <row r="2371" spans="26:26">
      <c r="Z2371" s="1039"/>
    </row>
    <row r="2372" spans="26:26">
      <c r="Z2372" s="1039"/>
    </row>
    <row r="2373" spans="26:26">
      <c r="Z2373" s="1039"/>
    </row>
    <row r="2374" spans="26:26">
      <c r="Z2374" s="1039"/>
    </row>
    <row r="2375" spans="26:26">
      <c r="Z2375" s="1039"/>
    </row>
    <row r="2376" spans="26:26">
      <c r="Z2376" s="1039"/>
    </row>
    <row r="2377" spans="26:26">
      <c r="Z2377" s="1039"/>
    </row>
    <row r="2378" spans="26:26">
      <c r="Z2378" s="1039"/>
    </row>
    <row r="2379" spans="26:26">
      <c r="Z2379" s="1039"/>
    </row>
    <row r="2380" spans="26:26">
      <c r="Z2380" s="1039"/>
    </row>
    <row r="2381" spans="26:26">
      <c r="Z2381" s="1039"/>
    </row>
    <row r="2382" spans="26:26">
      <c r="Z2382" s="1039"/>
    </row>
    <row r="2383" spans="26:26">
      <c r="Z2383" s="1039"/>
    </row>
    <row r="2384" spans="26:26">
      <c r="Z2384" s="1039"/>
    </row>
    <row r="2385" spans="26:26">
      <c r="Z2385" s="1039"/>
    </row>
    <row r="2386" spans="26:26">
      <c r="Z2386" s="1039"/>
    </row>
    <row r="2387" spans="26:26">
      <c r="Z2387" s="1039"/>
    </row>
    <row r="2388" spans="26:26">
      <c r="Z2388" s="1039"/>
    </row>
    <row r="2389" spans="26:26">
      <c r="Z2389" s="1039"/>
    </row>
    <row r="2390" spans="26:26">
      <c r="Z2390" s="1039"/>
    </row>
    <row r="2391" spans="26:26">
      <c r="Z2391" s="1039"/>
    </row>
    <row r="2392" spans="26:26">
      <c r="Z2392" s="1039"/>
    </row>
    <row r="2393" spans="26:26">
      <c r="Z2393" s="1039"/>
    </row>
    <row r="2394" spans="26:26">
      <c r="Z2394" s="1039"/>
    </row>
    <row r="2395" spans="26:26">
      <c r="Z2395" s="1039"/>
    </row>
    <row r="2396" spans="26:26">
      <c r="Z2396" s="1039"/>
    </row>
    <row r="2397" spans="26:26">
      <c r="Z2397" s="1039"/>
    </row>
    <row r="2398" spans="26:26">
      <c r="Z2398" s="1039"/>
    </row>
    <row r="2399" spans="26:26">
      <c r="Z2399" s="1039"/>
    </row>
    <row r="2400" spans="26:26">
      <c r="Z2400" s="1039"/>
    </row>
    <row r="2401" spans="26:26">
      <c r="Z2401" s="1039"/>
    </row>
    <row r="2402" spans="26:26">
      <c r="Z2402" s="1039"/>
    </row>
    <row r="2403" spans="26:26">
      <c r="Z2403" s="1039"/>
    </row>
    <row r="2404" spans="26:26">
      <c r="Z2404" s="1039"/>
    </row>
    <row r="2405" spans="26:26">
      <c r="Z2405" s="1039"/>
    </row>
    <row r="2406" spans="26:26">
      <c r="Z2406" s="1039"/>
    </row>
    <row r="2407" spans="26:26">
      <c r="Z2407" s="1039"/>
    </row>
    <row r="2408" spans="26:26">
      <c r="Z2408" s="1039"/>
    </row>
    <row r="2409" spans="26:26">
      <c r="Z2409" s="1039"/>
    </row>
    <row r="2410" spans="26:26">
      <c r="Z2410" s="1039"/>
    </row>
    <row r="2411" spans="26:26">
      <c r="Z2411" s="1039"/>
    </row>
    <row r="2412" spans="26:26">
      <c r="Z2412" s="1039"/>
    </row>
    <row r="2413" spans="26:26">
      <c r="Z2413" s="1039"/>
    </row>
    <row r="2414" spans="26:26">
      <c r="Z2414" s="1039"/>
    </row>
    <row r="2415" spans="26:26">
      <c r="Z2415" s="1039"/>
    </row>
    <row r="2416" spans="26:26">
      <c r="Z2416" s="1039"/>
    </row>
    <row r="2417" spans="26:26">
      <c r="Z2417" s="1039"/>
    </row>
    <row r="2418" spans="26:26">
      <c r="Z2418" s="1039"/>
    </row>
    <row r="2419" spans="26:26">
      <c r="Z2419" s="1039"/>
    </row>
    <row r="2420" spans="26:26">
      <c r="Z2420" s="1039"/>
    </row>
    <row r="2421" spans="26:26">
      <c r="Z2421" s="1039"/>
    </row>
    <row r="2422" spans="26:26">
      <c r="Z2422" s="1039"/>
    </row>
    <row r="2423" spans="26:26">
      <c r="Z2423" s="1039"/>
    </row>
    <row r="2424" spans="26:26">
      <c r="Z2424" s="1039"/>
    </row>
    <row r="2425" spans="26:26">
      <c r="Z2425" s="1039"/>
    </row>
    <row r="2426" spans="26:26">
      <c r="Z2426" s="1039"/>
    </row>
    <row r="2427" spans="26:26">
      <c r="Z2427" s="1039"/>
    </row>
    <row r="2428" spans="26:26">
      <c r="Z2428" s="1039"/>
    </row>
    <row r="2429" spans="26:26">
      <c r="Z2429" s="1039"/>
    </row>
    <row r="2430" spans="26:26">
      <c r="Z2430" s="1039"/>
    </row>
    <row r="2431" spans="26:26">
      <c r="Z2431" s="1039"/>
    </row>
    <row r="2432" spans="26:26">
      <c r="Z2432" s="1039"/>
    </row>
    <row r="2433" spans="26:26">
      <c r="Z2433" s="1039"/>
    </row>
    <row r="2434" spans="26:26">
      <c r="Z2434" s="1039"/>
    </row>
    <row r="2435" spans="26:26">
      <c r="Z2435" s="1039"/>
    </row>
    <row r="2436" spans="26:26">
      <c r="Z2436" s="1039"/>
    </row>
    <row r="2437" spans="26:26">
      <c r="Z2437" s="1039"/>
    </row>
    <row r="2438" spans="26:26">
      <c r="Z2438" s="1039"/>
    </row>
    <row r="2439" spans="26:26">
      <c r="Z2439" s="1039"/>
    </row>
    <row r="2440" spans="26:26">
      <c r="Z2440" s="1039"/>
    </row>
    <row r="2441" spans="26:26">
      <c r="Z2441" s="1039"/>
    </row>
    <row r="2442" spans="26:26">
      <c r="Z2442" s="1039"/>
    </row>
    <row r="2443" spans="26:26">
      <c r="Z2443" s="1039"/>
    </row>
    <row r="2444" spans="26:26">
      <c r="Z2444" s="1039"/>
    </row>
    <row r="2445" spans="26:26">
      <c r="Z2445" s="1039"/>
    </row>
    <row r="2446" spans="26:26">
      <c r="Z2446" s="1039"/>
    </row>
    <row r="2447" spans="26:26">
      <c r="Z2447" s="1039"/>
    </row>
    <row r="2448" spans="26:26">
      <c r="Z2448" s="1039"/>
    </row>
    <row r="2449" spans="26:26">
      <c r="Z2449" s="1039"/>
    </row>
    <row r="2450" spans="26:26">
      <c r="Z2450" s="1039"/>
    </row>
    <row r="2451" spans="26:26">
      <c r="Z2451" s="1039"/>
    </row>
    <row r="2452" spans="26:26">
      <c r="Z2452" s="1039"/>
    </row>
    <row r="2453" spans="26:26">
      <c r="Z2453" s="1039"/>
    </row>
    <row r="2454" spans="26:26">
      <c r="Z2454" s="1039"/>
    </row>
    <row r="2455" spans="26:26">
      <c r="Z2455" s="1039"/>
    </row>
    <row r="2456" spans="26:26">
      <c r="Z2456" s="1039"/>
    </row>
    <row r="2457" spans="26:26">
      <c r="Z2457" s="1039"/>
    </row>
    <row r="2458" spans="26:26">
      <c r="Z2458" s="1039"/>
    </row>
    <row r="2459" spans="26:26">
      <c r="Z2459" s="1039"/>
    </row>
    <row r="2460" spans="26:26">
      <c r="Z2460" s="1039"/>
    </row>
    <row r="2461" spans="26:26">
      <c r="Z2461" s="1039"/>
    </row>
    <row r="2462" spans="26:26">
      <c r="Z2462" s="1039"/>
    </row>
    <row r="2463" spans="26:26">
      <c r="Z2463" s="1039"/>
    </row>
    <row r="2464" spans="26:26">
      <c r="Z2464" s="1039"/>
    </row>
    <row r="2465" spans="26:26">
      <c r="Z2465" s="1039"/>
    </row>
    <row r="2466" spans="26:26">
      <c r="Z2466" s="1039"/>
    </row>
    <row r="2467" spans="26:26">
      <c r="Z2467" s="1039"/>
    </row>
    <row r="2468" spans="26:26">
      <c r="Z2468" s="1039"/>
    </row>
    <row r="2469" spans="26:26">
      <c r="Z2469" s="1039"/>
    </row>
    <row r="2470" spans="26:26">
      <c r="Z2470" s="1039"/>
    </row>
    <row r="2471" spans="26:26">
      <c r="Z2471" s="1039"/>
    </row>
    <row r="2472" spans="26:26">
      <c r="Z2472" s="1039"/>
    </row>
    <row r="2473" spans="26:26">
      <c r="Z2473" s="1039"/>
    </row>
    <row r="2474" spans="26:26">
      <c r="Z2474" s="1039"/>
    </row>
    <row r="2475" spans="26:26">
      <c r="Z2475" s="1039"/>
    </row>
    <row r="2476" spans="26:26">
      <c r="Z2476" s="1039"/>
    </row>
    <row r="2477" spans="26:26">
      <c r="Z2477" s="1039"/>
    </row>
    <row r="2478" spans="26:26">
      <c r="Z2478" s="1039"/>
    </row>
    <row r="2479" spans="26:26">
      <c r="Z2479" s="1039"/>
    </row>
    <row r="2480" spans="26:26">
      <c r="Z2480" s="1039"/>
    </row>
    <row r="2481" spans="26:26">
      <c r="Z2481" s="1039"/>
    </row>
    <row r="2482" spans="26:26">
      <c r="Z2482" s="1039"/>
    </row>
    <row r="2483" spans="26:26">
      <c r="Z2483" s="1039"/>
    </row>
    <row r="2484" spans="26:26">
      <c r="Z2484" s="1039"/>
    </row>
    <row r="2485" spans="26:26">
      <c r="Z2485" s="1039"/>
    </row>
    <row r="2486" spans="26:26">
      <c r="Z2486" s="1039"/>
    </row>
    <row r="2487" spans="26:26">
      <c r="Z2487" s="1039"/>
    </row>
    <row r="2488" spans="26:26">
      <c r="Z2488" s="1039"/>
    </row>
    <row r="2489" spans="26:26">
      <c r="Z2489" s="1039"/>
    </row>
    <row r="2490" spans="26:26">
      <c r="Z2490" s="1039"/>
    </row>
    <row r="2491" spans="26:26">
      <c r="Z2491" s="1039"/>
    </row>
    <row r="2492" spans="26:26">
      <c r="Z2492" s="1039"/>
    </row>
    <row r="2493" spans="26:26">
      <c r="Z2493" s="1039"/>
    </row>
    <row r="2494" spans="26:26">
      <c r="Z2494" s="1039"/>
    </row>
    <row r="2495" spans="26:26">
      <c r="Z2495" s="1039"/>
    </row>
    <row r="2496" spans="26:26">
      <c r="Z2496" s="1039"/>
    </row>
    <row r="2497" spans="26:26">
      <c r="Z2497" s="1039"/>
    </row>
    <row r="2498" spans="26:26">
      <c r="Z2498" s="1039"/>
    </row>
    <row r="2499" spans="26:26">
      <c r="Z2499" s="1039"/>
    </row>
    <row r="2500" spans="26:26">
      <c r="Z2500" s="1039"/>
    </row>
    <row r="2501" spans="26:26">
      <c r="Z2501" s="1039"/>
    </row>
    <row r="2502" spans="26:26">
      <c r="Z2502" s="1039"/>
    </row>
    <row r="2503" spans="26:26">
      <c r="Z2503" s="1039"/>
    </row>
    <row r="2504" spans="26:26">
      <c r="Z2504" s="1039"/>
    </row>
    <row r="2505" spans="26:26">
      <c r="Z2505" s="1039"/>
    </row>
    <row r="2506" spans="26:26">
      <c r="Z2506" s="1039"/>
    </row>
    <row r="2507" spans="26:26">
      <c r="Z2507" s="1039"/>
    </row>
    <row r="2508" spans="26:26">
      <c r="Z2508" s="1039"/>
    </row>
    <row r="2509" spans="26:26">
      <c r="Z2509" s="1039"/>
    </row>
    <row r="2510" spans="26:26">
      <c r="Z2510" s="1039"/>
    </row>
    <row r="2511" spans="26:26">
      <c r="Z2511" s="1039"/>
    </row>
    <row r="2512" spans="26:26">
      <c r="Z2512" s="1039"/>
    </row>
    <row r="2513" spans="26:26">
      <c r="Z2513" s="1039"/>
    </row>
    <row r="2514" spans="26:26">
      <c r="Z2514" s="1039"/>
    </row>
    <row r="2515" spans="26:26">
      <c r="Z2515" s="1039"/>
    </row>
    <row r="2516" spans="26:26">
      <c r="Z2516" s="1039"/>
    </row>
    <row r="2517" spans="26:26">
      <c r="Z2517" s="1039"/>
    </row>
    <row r="2518" spans="26:26">
      <c r="Z2518" s="1039"/>
    </row>
    <row r="2519" spans="26:26">
      <c r="Z2519" s="1039"/>
    </row>
    <row r="2520" spans="26:26">
      <c r="Z2520" s="1039"/>
    </row>
    <row r="2521" spans="26:26">
      <c r="Z2521" s="1039"/>
    </row>
    <row r="2522" spans="26:26">
      <c r="Z2522" s="1039"/>
    </row>
    <row r="2523" spans="26:26">
      <c r="Z2523" s="1039"/>
    </row>
    <row r="2524" spans="26:26">
      <c r="Z2524" s="1039"/>
    </row>
    <row r="2525" spans="26:26">
      <c r="Z2525" s="1039"/>
    </row>
    <row r="2526" spans="26:26">
      <c r="Z2526" s="1039"/>
    </row>
    <row r="2527" spans="26:26">
      <c r="Z2527" s="1039"/>
    </row>
    <row r="2528" spans="26:26">
      <c r="Z2528" s="1039"/>
    </row>
    <row r="2529" spans="26:26">
      <c r="Z2529" s="1039"/>
    </row>
    <row r="2530" spans="26:26">
      <c r="Z2530" s="1039"/>
    </row>
    <row r="2531" spans="26:26">
      <c r="Z2531" s="1039"/>
    </row>
    <row r="2532" spans="26:26">
      <c r="Z2532" s="1039"/>
    </row>
    <row r="2533" spans="26:26">
      <c r="Z2533" s="1039"/>
    </row>
    <row r="2534" spans="26:26">
      <c r="Z2534" s="1039"/>
    </row>
    <row r="2535" spans="26:26">
      <c r="Z2535" s="1039"/>
    </row>
    <row r="2536" spans="26:26">
      <c r="Z2536" s="1039"/>
    </row>
    <row r="2537" spans="26:26">
      <c r="Z2537" s="1039"/>
    </row>
    <row r="2538" spans="26:26">
      <c r="Z2538" s="1039"/>
    </row>
    <row r="2539" spans="26:26">
      <c r="Z2539" s="1039"/>
    </row>
    <row r="2540" spans="26:26">
      <c r="Z2540" s="1039"/>
    </row>
    <row r="2541" spans="26:26">
      <c r="Z2541" s="1039"/>
    </row>
    <row r="2542" spans="26:26">
      <c r="Z2542" s="1039"/>
    </row>
    <row r="2543" spans="26:26">
      <c r="Z2543" s="1039"/>
    </row>
    <row r="2544" spans="26:26">
      <c r="Z2544" s="1039"/>
    </row>
    <row r="2545" spans="26:26">
      <c r="Z2545" s="1039"/>
    </row>
    <row r="2546" spans="26:26">
      <c r="Z2546" s="1039"/>
    </row>
    <row r="2547" spans="26:26">
      <c r="Z2547" s="1039"/>
    </row>
    <row r="2548" spans="26:26">
      <c r="Z2548" s="1039"/>
    </row>
    <row r="2549" spans="26:26">
      <c r="Z2549" s="1039"/>
    </row>
    <row r="2550" spans="26:26">
      <c r="Z2550" s="1039"/>
    </row>
    <row r="2551" spans="26:26">
      <c r="Z2551" s="1039"/>
    </row>
    <row r="2552" spans="26:26">
      <c r="Z2552" s="1039"/>
    </row>
    <row r="2553" spans="26:26">
      <c r="Z2553" s="1039"/>
    </row>
    <row r="2554" spans="26:26">
      <c r="Z2554" s="1039"/>
    </row>
    <row r="2555" spans="26:26">
      <c r="Z2555" s="1039"/>
    </row>
    <row r="2556" spans="26:26">
      <c r="Z2556" s="1039"/>
    </row>
    <row r="2557" spans="26:26">
      <c r="Z2557" s="1039"/>
    </row>
    <row r="2558" spans="26:26">
      <c r="Z2558" s="1039"/>
    </row>
    <row r="2559" spans="26:26">
      <c r="Z2559" s="1039"/>
    </row>
    <row r="2560" spans="26:26">
      <c r="Z2560" s="1039"/>
    </row>
    <row r="2561" spans="26:26">
      <c r="Z2561" s="1039"/>
    </row>
    <row r="2562" spans="26:26">
      <c r="Z2562" s="1039"/>
    </row>
    <row r="2563" spans="26:26">
      <c r="Z2563" s="1039"/>
    </row>
    <row r="2564" spans="26:26">
      <c r="Z2564" s="1039"/>
    </row>
    <row r="2565" spans="26:26">
      <c r="Z2565" s="1039"/>
    </row>
    <row r="2566" spans="26:26">
      <c r="Z2566" s="1039"/>
    </row>
    <row r="2567" spans="26:26">
      <c r="Z2567" s="1039"/>
    </row>
    <row r="2568" spans="26:26">
      <c r="Z2568" s="1039"/>
    </row>
    <row r="2569" spans="26:26">
      <c r="Z2569" s="1039"/>
    </row>
    <row r="2570" spans="26:26">
      <c r="Z2570" s="1039"/>
    </row>
    <row r="2571" spans="26:26">
      <c r="Z2571" s="1039"/>
    </row>
    <row r="2572" spans="26:26">
      <c r="Z2572" s="1039"/>
    </row>
    <row r="2573" spans="26:26">
      <c r="Z2573" s="1039"/>
    </row>
    <row r="2574" spans="26:26">
      <c r="Z2574" s="1039"/>
    </row>
    <row r="2575" spans="26:26">
      <c r="Z2575" s="1039"/>
    </row>
    <row r="2576" spans="26:26">
      <c r="Z2576" s="1039"/>
    </row>
    <row r="2577" spans="26:26">
      <c r="Z2577" s="1039"/>
    </row>
    <row r="2578" spans="26:26">
      <c r="Z2578" s="1039"/>
    </row>
    <row r="2579" spans="26:26">
      <c r="Z2579" s="1039"/>
    </row>
    <row r="2580" spans="26:26">
      <c r="Z2580" s="1039"/>
    </row>
    <row r="2581" spans="26:26">
      <c r="Z2581" s="1039"/>
    </row>
    <row r="2582" spans="26:26">
      <c r="Z2582" s="1039"/>
    </row>
    <row r="2583" spans="26:26">
      <c r="Z2583" s="1039"/>
    </row>
    <row r="2584" spans="26:26">
      <c r="Z2584" s="1039"/>
    </row>
    <row r="2585" spans="26:26">
      <c r="Z2585" s="1039"/>
    </row>
    <row r="2586" spans="26:26">
      <c r="Z2586" s="1039"/>
    </row>
    <row r="2587" spans="26:26">
      <c r="Z2587" s="1039"/>
    </row>
    <row r="2588" spans="26:26">
      <c r="Z2588" s="1039"/>
    </row>
    <row r="2589" spans="26:26">
      <c r="Z2589" s="1039"/>
    </row>
    <row r="2590" spans="26:26">
      <c r="Z2590" s="1039"/>
    </row>
    <row r="2591" spans="26:26">
      <c r="Z2591" s="1039"/>
    </row>
    <row r="2592" spans="26:26">
      <c r="Z2592" s="1039"/>
    </row>
    <row r="2593" spans="26:26">
      <c r="Z2593" s="1039"/>
    </row>
    <row r="2594" spans="26:26">
      <c r="Z2594" s="1039"/>
    </row>
    <row r="2595" spans="26:26">
      <c r="Z2595" s="1039"/>
    </row>
    <row r="2596" spans="26:26">
      <c r="Z2596" s="1039"/>
    </row>
    <row r="2597" spans="26:26">
      <c r="Z2597" s="1039"/>
    </row>
    <row r="2598" spans="26:26">
      <c r="Z2598" s="1039"/>
    </row>
    <row r="2599" spans="26:26">
      <c r="Z2599" s="1039"/>
    </row>
    <row r="2600" spans="26:26">
      <c r="Z2600" s="1039"/>
    </row>
    <row r="2601" spans="26:26">
      <c r="Z2601" s="1039"/>
    </row>
    <row r="2602" spans="26:26">
      <c r="Z2602" s="1039"/>
    </row>
    <row r="2603" spans="26:26">
      <c r="Z2603" s="1039"/>
    </row>
    <row r="2604" spans="26:26">
      <c r="Z2604" s="1039"/>
    </row>
    <row r="2605" spans="26:26">
      <c r="Z2605" s="1039"/>
    </row>
    <row r="2606" spans="26:26">
      <c r="Z2606" s="1039"/>
    </row>
    <row r="2607" spans="26:26">
      <c r="Z2607" s="1039"/>
    </row>
    <row r="2608" spans="26:26">
      <c r="Z2608" s="1039"/>
    </row>
    <row r="2609" spans="26:26">
      <c r="Z2609" s="1039"/>
    </row>
    <row r="2610" spans="26:26">
      <c r="Z2610" s="1039"/>
    </row>
    <row r="2611" spans="26:26">
      <c r="Z2611" s="1039"/>
    </row>
    <row r="2612" spans="26:26">
      <c r="Z2612" s="1039"/>
    </row>
    <row r="2613" spans="26:26">
      <c r="Z2613" s="1039"/>
    </row>
    <row r="2614" spans="26:26">
      <c r="Z2614" s="1039"/>
    </row>
    <row r="2615" spans="26:26">
      <c r="Z2615" s="1039"/>
    </row>
    <row r="2616" spans="26:26">
      <c r="Z2616" s="1039"/>
    </row>
    <row r="2617" spans="26:26">
      <c r="Z2617" s="1039"/>
    </row>
    <row r="2618" spans="26:26">
      <c r="Z2618" s="1039"/>
    </row>
    <row r="2619" spans="26:26">
      <c r="Z2619" s="1039"/>
    </row>
    <row r="2620" spans="26:26">
      <c r="Z2620" s="1039"/>
    </row>
    <row r="2621" spans="26:26">
      <c r="Z2621" s="1039"/>
    </row>
    <row r="2622" spans="26:26">
      <c r="Z2622" s="1039"/>
    </row>
    <row r="2623" spans="26:26">
      <c r="Z2623" s="1039"/>
    </row>
    <row r="2624" spans="26:26">
      <c r="Z2624" s="1039"/>
    </row>
    <row r="2625" spans="26:26">
      <c r="Z2625" s="1039"/>
    </row>
    <row r="2626" spans="26:26">
      <c r="Z2626" s="1039"/>
    </row>
    <row r="2627" spans="26:26">
      <c r="Z2627" s="1039"/>
    </row>
    <row r="2628" spans="26:26">
      <c r="Z2628" s="1039"/>
    </row>
    <row r="2629" spans="26:26">
      <c r="Z2629" s="1039"/>
    </row>
    <row r="2630" spans="26:26">
      <c r="Z2630" s="1039"/>
    </row>
    <row r="2631" spans="26:26">
      <c r="Z2631" s="1039"/>
    </row>
    <row r="2632" spans="26:26">
      <c r="Z2632" s="1039"/>
    </row>
    <row r="2633" spans="26:26">
      <c r="Z2633" s="1039"/>
    </row>
    <row r="2634" spans="26:26">
      <c r="Z2634" s="1039"/>
    </row>
    <row r="2635" spans="26:26">
      <c r="Z2635" s="1039"/>
    </row>
    <row r="2636" spans="26:26">
      <c r="Z2636" s="1039"/>
    </row>
    <row r="2637" spans="26:26">
      <c r="Z2637" s="1039"/>
    </row>
    <row r="2638" spans="26:26">
      <c r="Z2638" s="1039"/>
    </row>
    <row r="2639" spans="26:26">
      <c r="Z2639" s="1039"/>
    </row>
    <row r="2640" spans="26:26">
      <c r="Z2640" s="1039"/>
    </row>
    <row r="2641" spans="26:26">
      <c r="Z2641" s="1039"/>
    </row>
    <row r="2642" spans="26:26">
      <c r="Z2642" s="1039"/>
    </row>
    <row r="2643" spans="26:26">
      <c r="Z2643" s="1039"/>
    </row>
    <row r="2644" spans="26:26">
      <c r="Z2644" s="1039"/>
    </row>
    <row r="2645" spans="26:26">
      <c r="Z2645" s="1039"/>
    </row>
    <row r="2646" spans="26:26">
      <c r="Z2646" s="1039"/>
    </row>
    <row r="2647" spans="26:26">
      <c r="Z2647" s="1039"/>
    </row>
    <row r="2648" spans="26:26">
      <c r="Z2648" s="1039"/>
    </row>
    <row r="2649" spans="26:26">
      <c r="Z2649" s="1039"/>
    </row>
    <row r="2650" spans="26:26">
      <c r="Z2650" s="1039"/>
    </row>
    <row r="2651" spans="26:26">
      <c r="Z2651" s="1039"/>
    </row>
    <row r="2652" spans="26:26">
      <c r="Z2652" s="1039"/>
    </row>
    <row r="2653" spans="26:26">
      <c r="Z2653" s="1039"/>
    </row>
    <row r="2654" spans="26:26">
      <c r="Z2654" s="1039"/>
    </row>
    <row r="2655" spans="26:26">
      <c r="Z2655" s="1039"/>
    </row>
    <row r="2656" spans="26:26">
      <c r="Z2656" s="1039"/>
    </row>
    <row r="2657" spans="26:26">
      <c r="Z2657" s="1039"/>
    </row>
    <row r="2658" spans="26:26">
      <c r="Z2658" s="1039"/>
    </row>
    <row r="2659" spans="26:26">
      <c r="Z2659" s="1039"/>
    </row>
    <row r="2660" spans="26:26">
      <c r="Z2660" s="1039"/>
    </row>
    <row r="2661" spans="26:26">
      <c r="Z2661" s="1039"/>
    </row>
    <row r="2662" spans="26:26">
      <c r="Z2662" s="1039"/>
    </row>
    <row r="2663" spans="26:26">
      <c r="Z2663" s="1039"/>
    </row>
    <row r="2664" spans="26:26">
      <c r="Z2664" s="1039"/>
    </row>
    <row r="2665" spans="26:26">
      <c r="Z2665" s="1039"/>
    </row>
    <row r="2666" spans="26:26">
      <c r="Z2666" s="1039"/>
    </row>
    <row r="2667" spans="26:26">
      <c r="Z2667" s="1039"/>
    </row>
    <row r="2668" spans="26:26">
      <c r="Z2668" s="1039"/>
    </row>
    <row r="2669" spans="26:26">
      <c r="Z2669" s="1039"/>
    </row>
    <row r="2670" spans="26:26">
      <c r="Z2670" s="1039"/>
    </row>
    <row r="2671" spans="26:26">
      <c r="Z2671" s="1039"/>
    </row>
    <row r="2672" spans="26:26">
      <c r="Z2672" s="1039"/>
    </row>
    <row r="2673" spans="26:26">
      <c r="Z2673" s="1039"/>
    </row>
    <row r="2674" spans="26:26">
      <c r="Z2674" s="1039"/>
    </row>
    <row r="2675" spans="26:26">
      <c r="Z2675" s="1039"/>
    </row>
    <row r="2676" spans="26:26">
      <c r="Z2676" s="1039"/>
    </row>
    <row r="2677" spans="26:26">
      <c r="Z2677" s="1039"/>
    </row>
    <row r="2678" spans="26:26">
      <c r="Z2678" s="1039"/>
    </row>
    <row r="2679" spans="26:26">
      <c r="Z2679" s="1039"/>
    </row>
    <row r="2680" spans="26:26">
      <c r="Z2680" s="1039"/>
    </row>
    <row r="2681" spans="26:26">
      <c r="Z2681" s="1039"/>
    </row>
    <row r="2682" spans="26:26">
      <c r="Z2682" s="1039"/>
    </row>
    <row r="2683" spans="26:26">
      <c r="Z2683" s="1039"/>
    </row>
    <row r="2684" spans="26:26">
      <c r="Z2684" s="1039"/>
    </row>
    <row r="2685" spans="26:26">
      <c r="Z2685" s="1039"/>
    </row>
    <row r="2686" spans="26:26">
      <c r="Z2686" s="1039"/>
    </row>
    <row r="2687" spans="26:26">
      <c r="Z2687" s="1039"/>
    </row>
    <row r="2688" spans="26:26">
      <c r="Z2688" s="1039"/>
    </row>
    <row r="2689" spans="26:26">
      <c r="Z2689" s="1039"/>
    </row>
    <row r="2690" spans="26:26">
      <c r="Z2690" s="1039"/>
    </row>
    <row r="2691" spans="26:26">
      <c r="Z2691" s="1039"/>
    </row>
    <row r="2692" spans="26:26">
      <c r="Z2692" s="1039"/>
    </row>
    <row r="2693" spans="26:26">
      <c r="Z2693" s="1039"/>
    </row>
    <row r="2694" spans="26:26">
      <c r="Z2694" s="1039"/>
    </row>
    <row r="2695" spans="26:26">
      <c r="Z2695" s="1039"/>
    </row>
    <row r="2696" spans="26:26">
      <c r="Z2696" s="1039"/>
    </row>
    <row r="2697" spans="26:26">
      <c r="Z2697" s="1039"/>
    </row>
    <row r="2698" spans="26:26">
      <c r="Z2698" s="1039"/>
    </row>
    <row r="2699" spans="26:26">
      <c r="Z2699" s="1039"/>
    </row>
    <row r="2700" spans="26:26">
      <c r="Z2700" s="1039"/>
    </row>
    <row r="2701" spans="26:26">
      <c r="Z2701" s="1039"/>
    </row>
    <row r="2702" spans="26:26">
      <c r="Z2702" s="1039"/>
    </row>
    <row r="2703" spans="26:26">
      <c r="Z2703" s="1039"/>
    </row>
    <row r="2704" spans="26:26">
      <c r="Z2704" s="1039"/>
    </row>
    <row r="2705" spans="26:26">
      <c r="Z2705" s="1039"/>
    </row>
    <row r="2706" spans="26:26">
      <c r="Z2706" s="1039"/>
    </row>
    <row r="2707" spans="26:26">
      <c r="Z2707" s="1039"/>
    </row>
    <row r="2708" spans="26:26">
      <c r="Z2708" s="1039"/>
    </row>
    <row r="2709" spans="26:26">
      <c r="Z2709" s="1039"/>
    </row>
    <row r="2710" spans="26:26">
      <c r="Z2710" s="1039"/>
    </row>
    <row r="2711" spans="26:26">
      <c r="Z2711" s="1039"/>
    </row>
    <row r="2712" spans="26:26">
      <c r="Z2712" s="1039"/>
    </row>
    <row r="2713" spans="26:26">
      <c r="Z2713" s="1039"/>
    </row>
    <row r="2714" spans="26:26">
      <c r="Z2714" s="1039"/>
    </row>
    <row r="2715" spans="26:26">
      <c r="Z2715" s="1039"/>
    </row>
    <row r="2716" spans="26:26">
      <c r="Z2716" s="1039"/>
    </row>
    <row r="2717" spans="26:26">
      <c r="Z2717" s="1039"/>
    </row>
    <row r="2718" spans="26:26">
      <c r="Z2718" s="1039"/>
    </row>
    <row r="2719" spans="26:26">
      <c r="Z2719" s="1039"/>
    </row>
    <row r="2720" spans="26:26">
      <c r="Z2720" s="1039"/>
    </row>
    <row r="2721" spans="26:26">
      <c r="Z2721" s="1039"/>
    </row>
    <row r="2722" spans="26:26">
      <c r="Z2722" s="1039"/>
    </row>
    <row r="2723" spans="26:26">
      <c r="Z2723" s="1039"/>
    </row>
    <row r="2724" spans="26:26">
      <c r="Z2724" s="1039"/>
    </row>
    <row r="2725" spans="26:26">
      <c r="Z2725" s="1039"/>
    </row>
    <row r="2726" spans="26:26">
      <c r="Z2726" s="1039"/>
    </row>
    <row r="2727" spans="26:26">
      <c r="Z2727" s="1039"/>
    </row>
    <row r="2728" spans="26:26">
      <c r="Z2728" s="1039"/>
    </row>
    <row r="2729" spans="26:26">
      <c r="Z2729" s="1039"/>
    </row>
    <row r="2730" spans="26:26">
      <c r="Z2730" s="1039"/>
    </row>
    <row r="2731" spans="26:26">
      <c r="Z2731" s="1039"/>
    </row>
    <row r="2732" spans="26:26">
      <c r="Z2732" s="1039"/>
    </row>
    <row r="2733" spans="26:26">
      <c r="Z2733" s="1039"/>
    </row>
    <row r="2734" spans="26:26">
      <c r="Z2734" s="1039"/>
    </row>
    <row r="2735" spans="26:26">
      <c r="Z2735" s="1039"/>
    </row>
    <row r="2736" spans="26:26">
      <c r="Z2736" s="1039"/>
    </row>
    <row r="2737" spans="26:26">
      <c r="Z2737" s="1039"/>
    </row>
    <row r="2738" spans="26:26">
      <c r="Z2738" s="1039"/>
    </row>
    <row r="2739" spans="26:26">
      <c r="Z2739" s="1039"/>
    </row>
    <row r="2740" spans="26:26">
      <c r="Z2740" s="1039"/>
    </row>
    <row r="2741" spans="26:26">
      <c r="Z2741" s="1039"/>
    </row>
    <row r="2742" spans="26:26">
      <c r="Z2742" s="1039"/>
    </row>
    <row r="2743" spans="26:26">
      <c r="Z2743" s="1039"/>
    </row>
    <row r="2744" spans="26:26">
      <c r="Z2744" s="1039"/>
    </row>
    <row r="2745" spans="26:26">
      <c r="Z2745" s="1039"/>
    </row>
    <row r="2746" spans="26:26">
      <c r="Z2746" s="1039"/>
    </row>
    <row r="2747" spans="26:26">
      <c r="Z2747" s="1039"/>
    </row>
    <row r="2748" spans="26:26">
      <c r="Z2748" s="1039"/>
    </row>
    <row r="2749" spans="26:26">
      <c r="Z2749" s="1039"/>
    </row>
    <row r="2750" spans="26:26">
      <c r="Z2750" s="1039"/>
    </row>
    <row r="2751" spans="26:26">
      <c r="Z2751" s="1039"/>
    </row>
    <row r="2752" spans="26:26">
      <c r="Z2752" s="1039"/>
    </row>
    <row r="2753" spans="26:26">
      <c r="Z2753" s="1039"/>
    </row>
    <row r="2754" spans="26:26">
      <c r="Z2754" s="1039"/>
    </row>
    <row r="2755" spans="26:26">
      <c r="Z2755" s="1039"/>
    </row>
    <row r="2756" spans="26:26">
      <c r="Z2756" s="1039"/>
    </row>
    <row r="2757" spans="26:26">
      <c r="Z2757" s="1039"/>
    </row>
    <row r="2758" spans="26:26">
      <c r="Z2758" s="1039"/>
    </row>
    <row r="2759" spans="26:26">
      <c r="Z2759" s="1039"/>
    </row>
    <row r="2760" spans="26:26">
      <c r="Z2760" s="1039"/>
    </row>
    <row r="2761" spans="26:26">
      <c r="Z2761" s="1039"/>
    </row>
    <row r="2762" spans="26:26">
      <c r="Z2762" s="1039"/>
    </row>
    <row r="2763" spans="26:26">
      <c r="Z2763" s="1039"/>
    </row>
    <row r="2764" spans="26:26">
      <c r="Z2764" s="1039"/>
    </row>
    <row r="2765" spans="26:26">
      <c r="Z2765" s="1039"/>
    </row>
    <row r="2766" spans="26:26">
      <c r="Z2766" s="1039"/>
    </row>
    <row r="2767" spans="26:26">
      <c r="Z2767" s="1039"/>
    </row>
    <row r="2768" spans="26:26">
      <c r="Z2768" s="1039"/>
    </row>
    <row r="2769" spans="26:26">
      <c r="Z2769" s="1039"/>
    </row>
    <row r="2770" spans="26:26">
      <c r="Z2770" s="1039"/>
    </row>
    <row r="2771" spans="26:26">
      <c r="Z2771" s="1039"/>
    </row>
    <row r="2772" spans="26:26">
      <c r="Z2772" s="1039"/>
    </row>
    <row r="2773" spans="26:26">
      <c r="Z2773" s="1039"/>
    </row>
    <row r="2774" spans="26:26">
      <c r="Z2774" s="1039"/>
    </row>
    <row r="2775" spans="26:26">
      <c r="Z2775" s="1039"/>
    </row>
    <row r="2776" spans="26:26">
      <c r="Z2776" s="1039"/>
    </row>
    <row r="2777" spans="26:26">
      <c r="Z2777" s="1039"/>
    </row>
    <row r="2778" spans="26:26">
      <c r="Z2778" s="1039"/>
    </row>
    <row r="2779" spans="26:26">
      <c r="Z2779" s="1039"/>
    </row>
    <row r="2780" spans="26:26">
      <c r="Z2780" s="1039"/>
    </row>
    <row r="2781" spans="26:26">
      <c r="Z2781" s="1039"/>
    </row>
    <row r="2782" spans="26:26">
      <c r="Z2782" s="1039"/>
    </row>
    <row r="2783" spans="26:26">
      <c r="Z2783" s="1039"/>
    </row>
    <row r="2784" spans="26:26">
      <c r="Z2784" s="1039"/>
    </row>
    <row r="2785" spans="26:26">
      <c r="Z2785" s="1039"/>
    </row>
    <row r="2786" spans="26:26">
      <c r="Z2786" s="1039"/>
    </row>
    <row r="2787" spans="26:26">
      <c r="Z2787" s="1039"/>
    </row>
    <row r="2788" spans="26:26">
      <c r="Z2788" s="1039"/>
    </row>
    <row r="2789" spans="26:26">
      <c r="Z2789" s="1039"/>
    </row>
    <row r="2790" spans="26:26">
      <c r="Z2790" s="1039"/>
    </row>
    <row r="2791" spans="26:26">
      <c r="Z2791" s="1039"/>
    </row>
    <row r="2792" spans="26:26">
      <c r="Z2792" s="1039"/>
    </row>
    <row r="2793" spans="26:26">
      <c r="Z2793" s="1039"/>
    </row>
    <row r="2794" spans="26:26">
      <c r="Z2794" s="1039"/>
    </row>
    <row r="2795" spans="26:26">
      <c r="Z2795" s="1039"/>
    </row>
    <row r="2796" spans="26:26">
      <c r="Z2796" s="1039"/>
    </row>
    <row r="2797" spans="26:26">
      <c r="Z2797" s="1039"/>
    </row>
    <row r="2798" spans="26:26">
      <c r="Z2798" s="1039"/>
    </row>
    <row r="2799" spans="26:26">
      <c r="Z2799" s="1039"/>
    </row>
    <row r="2800" spans="26:26">
      <c r="Z2800" s="1039"/>
    </row>
    <row r="2801" spans="26:26">
      <c r="Z2801" s="1039"/>
    </row>
    <row r="2802" spans="26:26">
      <c r="Z2802" s="1039"/>
    </row>
    <row r="2803" spans="26:26">
      <c r="Z2803" s="1039"/>
    </row>
    <row r="2804" spans="26:26">
      <c r="Z2804" s="1039"/>
    </row>
    <row r="2805" spans="26:26">
      <c r="Z2805" s="1039"/>
    </row>
    <row r="2806" spans="26:26">
      <c r="Z2806" s="1039"/>
    </row>
    <row r="2807" spans="26:26">
      <c r="Z2807" s="1039"/>
    </row>
    <row r="2808" spans="26:26">
      <c r="Z2808" s="1039"/>
    </row>
    <row r="2809" spans="26:26">
      <c r="Z2809" s="1039"/>
    </row>
    <row r="2810" spans="26:26">
      <c r="Z2810" s="1039"/>
    </row>
    <row r="2811" spans="26:26">
      <c r="Z2811" s="1039"/>
    </row>
    <row r="2812" spans="26:26">
      <c r="Z2812" s="1039"/>
    </row>
    <row r="2813" spans="26:26">
      <c r="Z2813" s="1039"/>
    </row>
    <row r="2814" spans="26:26">
      <c r="Z2814" s="1039"/>
    </row>
    <row r="2815" spans="26:26">
      <c r="Z2815" s="1039"/>
    </row>
    <row r="2816" spans="26:26">
      <c r="Z2816" s="1039"/>
    </row>
    <row r="2817" spans="26:26">
      <c r="Z2817" s="1039"/>
    </row>
    <row r="2818" spans="26:26">
      <c r="Z2818" s="1039"/>
    </row>
    <row r="2819" spans="26:26">
      <c r="Z2819" s="1039"/>
    </row>
    <row r="2820" spans="26:26">
      <c r="Z2820" s="1039"/>
    </row>
    <row r="2821" spans="26:26">
      <c r="Z2821" s="1039"/>
    </row>
    <row r="2822" spans="26:26">
      <c r="Z2822" s="1039"/>
    </row>
    <row r="2823" spans="26:26">
      <c r="Z2823" s="1039"/>
    </row>
    <row r="2824" spans="26:26">
      <c r="Z2824" s="1039"/>
    </row>
    <row r="2825" spans="26:26">
      <c r="Z2825" s="1039"/>
    </row>
    <row r="2826" spans="26:26">
      <c r="Z2826" s="1039"/>
    </row>
    <row r="2827" spans="26:26">
      <c r="Z2827" s="1039"/>
    </row>
    <row r="2828" spans="26:26">
      <c r="Z2828" s="1039"/>
    </row>
    <row r="2829" spans="26:26">
      <c r="Z2829" s="1039"/>
    </row>
    <row r="2830" spans="26:26">
      <c r="Z2830" s="1039"/>
    </row>
    <row r="2831" spans="26:26">
      <c r="Z2831" s="1039"/>
    </row>
    <row r="2832" spans="26:26">
      <c r="Z2832" s="1039"/>
    </row>
    <row r="2833" spans="26:26">
      <c r="Z2833" s="1039"/>
    </row>
    <row r="2834" spans="26:26">
      <c r="Z2834" s="1039"/>
    </row>
    <row r="2835" spans="26:26">
      <c r="Z2835" s="1039"/>
    </row>
    <row r="2836" spans="26:26">
      <c r="Z2836" s="1039"/>
    </row>
    <row r="2837" spans="26:26">
      <c r="Z2837" s="1039"/>
    </row>
    <row r="2838" spans="26:26">
      <c r="Z2838" s="1039"/>
    </row>
    <row r="2839" spans="26:26">
      <c r="Z2839" s="1039"/>
    </row>
    <row r="2840" spans="26:26">
      <c r="Z2840" s="1039"/>
    </row>
    <row r="2841" spans="26:26">
      <c r="Z2841" s="1039"/>
    </row>
    <row r="2842" spans="26:26">
      <c r="Z2842" s="1039"/>
    </row>
    <row r="2843" spans="26:26">
      <c r="Z2843" s="1039"/>
    </row>
    <row r="2844" spans="26:26">
      <c r="Z2844" s="1039"/>
    </row>
    <row r="2845" spans="26:26">
      <c r="Z2845" s="1039"/>
    </row>
    <row r="2846" spans="26:26">
      <c r="Z2846" s="1039"/>
    </row>
    <row r="2847" spans="26:26">
      <c r="Z2847" s="1039"/>
    </row>
    <row r="2848" spans="26:26">
      <c r="Z2848" s="1039"/>
    </row>
    <row r="2849" spans="26:26">
      <c r="Z2849" s="1039"/>
    </row>
    <row r="2850" spans="26:26">
      <c r="Z2850" s="1039"/>
    </row>
    <row r="2851" spans="26:26">
      <c r="Z2851" s="1039"/>
    </row>
    <row r="2852" spans="26:26">
      <c r="Z2852" s="1039"/>
    </row>
    <row r="2853" spans="26:26">
      <c r="Z2853" s="1039"/>
    </row>
    <row r="2854" spans="26:26">
      <c r="Z2854" s="1039"/>
    </row>
    <row r="2855" spans="26:26">
      <c r="Z2855" s="1039"/>
    </row>
    <row r="2856" spans="26:26">
      <c r="Z2856" s="1039"/>
    </row>
    <row r="2857" spans="26:26">
      <c r="Z2857" s="1039"/>
    </row>
    <row r="2858" spans="26:26">
      <c r="Z2858" s="1039"/>
    </row>
    <row r="2859" spans="26:26">
      <c r="Z2859" s="1039"/>
    </row>
    <row r="2860" spans="26:26">
      <c r="Z2860" s="1039"/>
    </row>
    <row r="2861" spans="26:26">
      <c r="Z2861" s="1039"/>
    </row>
    <row r="2862" spans="26:26">
      <c r="Z2862" s="1039"/>
    </row>
    <row r="2863" spans="26:26">
      <c r="Z2863" s="1039"/>
    </row>
    <row r="2864" spans="26:26">
      <c r="Z2864" s="1039"/>
    </row>
    <row r="2865" spans="26:26">
      <c r="Z2865" s="1039"/>
    </row>
    <row r="2866" spans="26:26">
      <c r="Z2866" s="1039"/>
    </row>
    <row r="2867" spans="26:26">
      <c r="Z2867" s="1039"/>
    </row>
    <row r="2868" spans="26:26">
      <c r="Z2868" s="1039"/>
    </row>
    <row r="2869" spans="26:26">
      <c r="Z2869" s="1039"/>
    </row>
    <row r="2870" spans="26:26">
      <c r="Z2870" s="1039"/>
    </row>
    <row r="2871" spans="26:26">
      <c r="Z2871" s="1039"/>
    </row>
    <row r="2872" spans="26:26">
      <c r="Z2872" s="1039"/>
    </row>
    <row r="2873" spans="26:26">
      <c r="Z2873" s="1039"/>
    </row>
    <row r="2874" spans="26:26">
      <c r="Z2874" s="1039"/>
    </row>
    <row r="2875" spans="26:26">
      <c r="Z2875" s="1039"/>
    </row>
    <row r="2876" spans="26:26">
      <c r="Z2876" s="1039"/>
    </row>
    <row r="2877" spans="26:26">
      <c r="Z2877" s="1039"/>
    </row>
    <row r="2878" spans="26:26">
      <c r="Z2878" s="1039"/>
    </row>
    <row r="2879" spans="26:26">
      <c r="Z2879" s="1039"/>
    </row>
    <row r="2880" spans="26:26">
      <c r="Z2880" s="1039"/>
    </row>
    <row r="2881" spans="26:26">
      <c r="Z2881" s="1039"/>
    </row>
    <row r="2882" spans="26:26">
      <c r="Z2882" s="1039"/>
    </row>
    <row r="2883" spans="26:26">
      <c r="Z2883" s="1039"/>
    </row>
    <row r="2884" spans="26:26">
      <c r="Z2884" s="1039"/>
    </row>
    <row r="2885" spans="26:26">
      <c r="Z2885" s="1039"/>
    </row>
    <row r="2886" spans="26:26">
      <c r="Z2886" s="1039"/>
    </row>
    <row r="2887" spans="26:26">
      <c r="Z2887" s="1039"/>
    </row>
    <row r="2888" spans="26:26">
      <c r="Z2888" s="1039"/>
    </row>
    <row r="2889" spans="26:26">
      <c r="Z2889" s="1039"/>
    </row>
    <row r="2890" spans="26:26">
      <c r="Z2890" s="1039"/>
    </row>
    <row r="2891" spans="26:26">
      <c r="Z2891" s="1039"/>
    </row>
    <row r="2892" spans="26:26">
      <c r="Z2892" s="1039"/>
    </row>
    <row r="2893" spans="26:26">
      <c r="Z2893" s="1039"/>
    </row>
    <row r="2894" spans="26:26">
      <c r="Z2894" s="1039"/>
    </row>
    <row r="2895" spans="26:26">
      <c r="Z2895" s="1039"/>
    </row>
    <row r="2896" spans="26:26">
      <c r="Z2896" s="1039"/>
    </row>
    <row r="2897" spans="26:26">
      <c r="Z2897" s="1039"/>
    </row>
    <row r="2898" spans="26:26">
      <c r="Z2898" s="1039"/>
    </row>
    <row r="2899" spans="26:26">
      <c r="Z2899" s="1039"/>
    </row>
    <row r="2900" spans="26:26">
      <c r="Z2900" s="1039"/>
    </row>
    <row r="2901" spans="26:26">
      <c r="Z2901" s="1039"/>
    </row>
    <row r="2902" spans="26:26">
      <c r="Z2902" s="1039"/>
    </row>
    <row r="2903" spans="26:26">
      <c r="Z2903" s="1039"/>
    </row>
    <row r="2904" spans="26:26">
      <c r="Z2904" s="1039"/>
    </row>
    <row r="2905" spans="26:26">
      <c r="Z2905" s="1039"/>
    </row>
    <row r="2906" spans="26:26">
      <c r="Z2906" s="1039"/>
    </row>
    <row r="2907" spans="26:26">
      <c r="Z2907" s="1039"/>
    </row>
    <row r="2908" spans="26:26">
      <c r="Z2908" s="1039"/>
    </row>
    <row r="2909" spans="26:26">
      <c r="Z2909" s="1039"/>
    </row>
    <row r="2910" spans="26:26">
      <c r="Z2910" s="1039"/>
    </row>
    <row r="2911" spans="26:26">
      <c r="Z2911" s="1039"/>
    </row>
    <row r="2912" spans="26:26">
      <c r="Z2912" s="1039"/>
    </row>
    <row r="2913" spans="26:26">
      <c r="Z2913" s="1039"/>
    </row>
    <row r="2914" spans="26:26">
      <c r="Z2914" s="1039"/>
    </row>
    <row r="2915" spans="26:26">
      <c r="Z2915" s="1039"/>
    </row>
    <row r="2916" spans="26:26">
      <c r="Z2916" s="1039"/>
    </row>
    <row r="2917" spans="26:26">
      <c r="Z2917" s="1039"/>
    </row>
    <row r="2918" spans="26:26">
      <c r="Z2918" s="1039"/>
    </row>
    <row r="2919" spans="26:26">
      <c r="Z2919" s="1039"/>
    </row>
    <row r="2920" spans="26:26">
      <c r="Z2920" s="1039"/>
    </row>
    <row r="2921" spans="26:26">
      <c r="Z2921" s="1039"/>
    </row>
    <row r="2922" spans="26:26">
      <c r="Z2922" s="1039"/>
    </row>
    <row r="2923" spans="26:26">
      <c r="Z2923" s="1039"/>
    </row>
    <row r="2924" spans="26:26">
      <c r="Z2924" s="1039"/>
    </row>
    <row r="2925" spans="26:26">
      <c r="Z2925" s="1039"/>
    </row>
    <row r="2926" spans="26:26">
      <c r="Z2926" s="1039"/>
    </row>
    <row r="2927" spans="26:26">
      <c r="Z2927" s="1039"/>
    </row>
    <row r="2928" spans="26:26">
      <c r="Z2928" s="1039"/>
    </row>
    <row r="2929" spans="26:26">
      <c r="Z2929" s="1039"/>
    </row>
    <row r="2930" spans="26:26">
      <c r="Z2930" s="1039"/>
    </row>
    <row r="2931" spans="26:26">
      <c r="Z2931" s="1039"/>
    </row>
    <row r="2932" spans="26:26">
      <c r="Z2932" s="1039"/>
    </row>
    <row r="2933" spans="26:26">
      <c r="Z2933" s="1039"/>
    </row>
    <row r="2934" spans="26:26">
      <c r="Z2934" s="1039"/>
    </row>
    <row r="2935" spans="26:26">
      <c r="Z2935" s="1039"/>
    </row>
    <row r="2936" spans="26:26">
      <c r="Z2936" s="1039"/>
    </row>
    <row r="2937" spans="26:26">
      <c r="Z2937" s="1039"/>
    </row>
    <row r="2938" spans="26:26">
      <c r="Z2938" s="1039"/>
    </row>
    <row r="2939" spans="26:26">
      <c r="Z2939" s="1039"/>
    </row>
    <row r="2940" spans="26:26">
      <c r="Z2940" s="1039"/>
    </row>
    <row r="2941" spans="26:26">
      <c r="Z2941" s="1039"/>
    </row>
    <row r="2942" spans="26:26">
      <c r="Z2942" s="1039"/>
    </row>
    <row r="2943" spans="26:26">
      <c r="Z2943" s="1039"/>
    </row>
    <row r="2944" spans="26:26">
      <c r="Z2944" s="1039"/>
    </row>
    <row r="2945" spans="26:26">
      <c r="Z2945" s="1039"/>
    </row>
    <row r="2946" spans="26:26">
      <c r="Z2946" s="1039"/>
    </row>
    <row r="2947" spans="26:26">
      <c r="Z2947" s="1039"/>
    </row>
    <row r="2948" spans="26:26">
      <c r="Z2948" s="1039"/>
    </row>
    <row r="2949" spans="26:26">
      <c r="Z2949" s="1039"/>
    </row>
    <row r="2950" spans="26:26">
      <c r="Z2950" s="1039"/>
    </row>
    <row r="2951" spans="26:26">
      <c r="Z2951" s="1039"/>
    </row>
    <row r="2952" spans="26:26">
      <c r="Z2952" s="1039"/>
    </row>
    <row r="2953" spans="26:26">
      <c r="Z2953" s="1039"/>
    </row>
    <row r="2954" spans="26:26">
      <c r="Z2954" s="1039"/>
    </row>
    <row r="2955" spans="26:26">
      <c r="Z2955" s="1039"/>
    </row>
    <row r="2956" spans="26:26">
      <c r="Z2956" s="1039"/>
    </row>
    <row r="2957" spans="26:26">
      <c r="Z2957" s="1039"/>
    </row>
    <row r="2958" spans="26:26">
      <c r="Z2958" s="1039"/>
    </row>
    <row r="2959" spans="26:26">
      <c r="Z2959" s="1039"/>
    </row>
    <row r="2960" spans="26:26">
      <c r="Z2960" s="1039"/>
    </row>
    <row r="2961" spans="26:26">
      <c r="Z2961" s="1039"/>
    </row>
    <row r="2962" spans="26:26">
      <c r="Z2962" s="1039"/>
    </row>
    <row r="2963" spans="26:26">
      <c r="Z2963" s="1039"/>
    </row>
    <row r="2964" spans="26:26">
      <c r="Z2964" s="1039"/>
    </row>
    <row r="2965" spans="26:26">
      <c r="Z2965" s="1039"/>
    </row>
    <row r="2966" spans="26:26">
      <c r="Z2966" s="1039"/>
    </row>
    <row r="2967" spans="26:26">
      <c r="Z2967" s="1039"/>
    </row>
    <row r="2968" spans="26:26">
      <c r="Z2968" s="1039"/>
    </row>
    <row r="2969" spans="26:26">
      <c r="Z2969" s="1039"/>
    </row>
    <row r="2970" spans="26:26">
      <c r="Z2970" s="1039"/>
    </row>
    <row r="2971" spans="26:26">
      <c r="Z2971" s="1039"/>
    </row>
    <row r="2972" spans="26:26">
      <c r="Z2972" s="1039"/>
    </row>
    <row r="2973" spans="26:26">
      <c r="Z2973" s="1039"/>
    </row>
    <row r="2974" spans="26:26">
      <c r="Z2974" s="1039"/>
    </row>
    <row r="2975" spans="26:26">
      <c r="Z2975" s="1039"/>
    </row>
    <row r="2976" spans="26:26">
      <c r="Z2976" s="1039"/>
    </row>
    <row r="2977" spans="26:26">
      <c r="Z2977" s="1039"/>
    </row>
    <row r="2978" spans="26:26">
      <c r="Z2978" s="1039"/>
    </row>
    <row r="2979" spans="26:26">
      <c r="Z2979" s="1039"/>
    </row>
    <row r="2980" spans="26:26">
      <c r="Z2980" s="1039"/>
    </row>
    <row r="2981" spans="26:26">
      <c r="Z2981" s="1039"/>
    </row>
    <row r="2982" spans="26:26">
      <c r="Z2982" s="1039"/>
    </row>
    <row r="2983" spans="26:26">
      <c r="Z2983" s="1039"/>
    </row>
    <row r="2984" spans="26:26">
      <c r="Z2984" s="1039"/>
    </row>
    <row r="2985" spans="26:26">
      <c r="Z2985" s="1039"/>
    </row>
    <row r="2986" spans="26:26">
      <c r="Z2986" s="1039"/>
    </row>
    <row r="2987" spans="26:26">
      <c r="Z2987" s="1039"/>
    </row>
    <row r="2988" spans="26:26">
      <c r="Z2988" s="1039"/>
    </row>
    <row r="2989" spans="26:26">
      <c r="Z2989" s="1039"/>
    </row>
    <row r="2990" spans="26:26">
      <c r="Z2990" s="1039"/>
    </row>
    <row r="2991" spans="26:26">
      <c r="Z2991" s="1039"/>
    </row>
    <row r="2992" spans="26:26">
      <c r="Z2992" s="1039"/>
    </row>
    <row r="2993" spans="26:26">
      <c r="Z2993" s="1039"/>
    </row>
    <row r="2994" spans="26:26">
      <c r="Z2994" s="1039"/>
    </row>
    <row r="2995" spans="26:26">
      <c r="Z2995" s="1039"/>
    </row>
    <row r="2996" spans="26:26">
      <c r="Z2996" s="1039"/>
    </row>
    <row r="2997" spans="26:26">
      <c r="Z2997" s="1039"/>
    </row>
    <row r="2998" spans="26:26">
      <c r="Z2998" s="1039"/>
    </row>
    <row r="2999" spans="26:26">
      <c r="Z2999" s="1039"/>
    </row>
    <row r="3000" spans="26:26">
      <c r="Z3000" s="1039"/>
    </row>
    <row r="3001" spans="26:26">
      <c r="Z3001" s="1039"/>
    </row>
    <row r="3002" spans="26:26">
      <c r="Z3002" s="1039"/>
    </row>
    <row r="3003" spans="26:26">
      <c r="Z3003" s="1039"/>
    </row>
    <row r="3004" spans="26:26">
      <c r="Z3004" s="1039"/>
    </row>
    <row r="3005" spans="26:26">
      <c r="Z3005" s="1039"/>
    </row>
    <row r="3006" spans="26:26">
      <c r="Z3006" s="1039"/>
    </row>
    <row r="3007" spans="26:26">
      <c r="Z3007" s="1039"/>
    </row>
    <row r="3008" spans="26:26">
      <c r="Z3008" s="1039"/>
    </row>
    <row r="3009" spans="26:26">
      <c r="Z3009" s="1039"/>
    </row>
    <row r="3010" spans="26:26">
      <c r="Z3010" s="1039"/>
    </row>
    <row r="3011" spans="26:26">
      <c r="Z3011" s="1039"/>
    </row>
    <row r="3012" spans="26:26">
      <c r="Z3012" s="1039"/>
    </row>
    <row r="3013" spans="26:26">
      <c r="Z3013" s="1039"/>
    </row>
    <row r="3014" spans="26:26">
      <c r="Z3014" s="1039"/>
    </row>
    <row r="3015" spans="26:26">
      <c r="Z3015" s="1039"/>
    </row>
    <row r="3016" spans="26:26">
      <c r="Z3016" s="1039"/>
    </row>
    <row r="3017" spans="26:26">
      <c r="Z3017" s="1039"/>
    </row>
    <row r="3018" spans="26:26">
      <c r="Z3018" s="1039"/>
    </row>
    <row r="3019" spans="26:26">
      <c r="Z3019" s="1039"/>
    </row>
    <row r="3020" spans="26:26">
      <c r="Z3020" s="1039"/>
    </row>
    <row r="3021" spans="26:26">
      <c r="Z3021" s="1039"/>
    </row>
    <row r="3022" spans="26:26">
      <c r="Z3022" s="1039"/>
    </row>
    <row r="3023" spans="26:26">
      <c r="Z3023" s="1039"/>
    </row>
    <row r="3024" spans="26:26">
      <c r="Z3024" s="1039"/>
    </row>
    <row r="3025" spans="26:26">
      <c r="Z3025" s="1039"/>
    </row>
    <row r="3026" spans="26:26">
      <c r="Z3026" s="1039"/>
    </row>
    <row r="3027" spans="26:26">
      <c r="Z3027" s="1039"/>
    </row>
    <row r="3028" spans="26:26">
      <c r="Z3028" s="1039"/>
    </row>
    <row r="3029" spans="26:26">
      <c r="Z3029" s="1039"/>
    </row>
    <row r="3030" spans="26:26">
      <c r="Z3030" s="1039"/>
    </row>
    <row r="3031" spans="26:26">
      <c r="Z3031" s="1039"/>
    </row>
    <row r="3032" spans="26:26">
      <c r="Z3032" s="1039"/>
    </row>
    <row r="3033" spans="26:26">
      <c r="Z3033" s="1039"/>
    </row>
    <row r="3034" spans="26:26">
      <c r="Z3034" s="1039"/>
    </row>
    <row r="3035" spans="26:26">
      <c r="Z3035" s="1039"/>
    </row>
    <row r="3036" spans="26:26">
      <c r="Z3036" s="1039"/>
    </row>
    <row r="3037" spans="26:26">
      <c r="Z3037" s="1039"/>
    </row>
    <row r="3038" spans="26:26">
      <c r="Z3038" s="1039"/>
    </row>
    <row r="3039" spans="26:26">
      <c r="Z3039" s="1039"/>
    </row>
    <row r="3040" spans="26:26">
      <c r="Z3040" s="1039"/>
    </row>
    <row r="3041" spans="26:26">
      <c r="Z3041" s="1039"/>
    </row>
    <row r="3042" spans="26:26">
      <c r="Z3042" s="1039"/>
    </row>
    <row r="3043" spans="26:26">
      <c r="Z3043" s="1039"/>
    </row>
    <row r="3044" spans="26:26">
      <c r="Z3044" s="1039"/>
    </row>
    <row r="3045" spans="26:26">
      <c r="Z3045" s="1039"/>
    </row>
    <row r="3046" spans="26:26">
      <c r="Z3046" s="1039"/>
    </row>
  </sheetData>
  <mergeCells count="15">
    <mergeCell ref="K33:K34"/>
    <mergeCell ref="D33:D34"/>
    <mergeCell ref="E33:G33"/>
    <mergeCell ref="H33:H34"/>
    <mergeCell ref="I33:I34"/>
    <mergeCell ref="R33:R34"/>
    <mergeCell ref="S33:S34"/>
    <mergeCell ref="T33:T34"/>
    <mergeCell ref="U33:U34"/>
    <mergeCell ref="L33:L34"/>
    <mergeCell ref="M33:M34"/>
    <mergeCell ref="N33:N34"/>
    <mergeCell ref="O33:O34"/>
    <mergeCell ref="P33:P34"/>
    <mergeCell ref="Q33:Q34"/>
  </mergeCells>
  <pageMargins left="0.75" right="0.75" top="1" bottom="1" header="0.5" footer="0.5"/>
  <pageSetup paperSize="17" scale="40"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tabColor theme="0" tint="-0.34998626667073579"/>
  </sheetPr>
  <dimension ref="A1:BF46"/>
  <sheetViews>
    <sheetView workbookViewId="0">
      <selection activeCell="BC29" sqref="BC29:BF38"/>
    </sheetView>
  </sheetViews>
  <sheetFormatPr defaultRowHeight="12.75"/>
  <cols>
    <col min="1" max="1" width="9.140625" style="1070"/>
    <col min="2" max="2" width="34.42578125" style="1070" bestFit="1" customWidth="1"/>
    <col min="3" max="3" width="8.85546875" style="1070" bestFit="1" customWidth="1"/>
    <col min="4" max="4" width="45.42578125" style="1070" customWidth="1"/>
    <col min="5" max="5" width="11.42578125" style="1070" customWidth="1"/>
    <col min="6" max="6" width="17" style="1071" customWidth="1"/>
    <col min="7" max="7" width="9.140625" style="1070"/>
    <col min="8" max="8" width="12.28515625" style="1070" customWidth="1"/>
    <col min="9" max="9" width="9.140625" style="1070"/>
    <col min="10" max="10" width="10.85546875" style="1070" customWidth="1"/>
    <col min="11" max="11" width="11.140625" style="1070" customWidth="1"/>
    <col min="12" max="12" width="10.42578125" style="1070" customWidth="1"/>
    <col min="13" max="17" width="9.140625" style="1070"/>
    <col min="18" max="18" width="5.42578125" style="1070" customWidth="1"/>
    <col min="19" max="21" width="9.140625" style="1070"/>
    <col min="22" max="22" width="49.85546875" style="1070" customWidth="1"/>
    <col min="23" max="23" width="28" style="1070" customWidth="1"/>
    <col min="24" max="24" width="28.7109375" style="1070" customWidth="1"/>
    <col min="25" max="25" width="5.42578125" style="1070" customWidth="1"/>
    <col min="26" max="26" width="33.85546875" style="1070" customWidth="1"/>
    <col min="27" max="27" width="4.140625" style="1070" customWidth="1"/>
    <col min="28" max="28" width="19.42578125" style="1070" customWidth="1"/>
    <col min="29" max="29" width="26.28515625" style="1070" customWidth="1"/>
    <col min="30" max="30" width="3.85546875" style="1070" customWidth="1"/>
    <col min="31" max="31" width="49.85546875" style="1070" customWidth="1"/>
    <col min="32" max="32" width="49" style="1071" customWidth="1"/>
    <col min="33" max="34" width="9.140625" style="1070"/>
    <col min="35" max="35" width="19.85546875" style="1070" customWidth="1"/>
    <col min="36" max="49" width="9.140625" style="1070"/>
    <col min="50" max="50" width="20.28515625" style="1070" customWidth="1"/>
    <col min="51" max="51" width="10.140625" style="1070" customWidth="1"/>
    <col min="52" max="55" width="9.140625" style="1070"/>
    <col min="56" max="56" width="6.140625" style="1070" customWidth="1"/>
    <col min="57" max="57" width="35.85546875" style="1070" bestFit="1" customWidth="1"/>
    <col min="58" max="16384" width="9.140625" style="1070"/>
  </cols>
  <sheetData>
    <row r="1" spans="1:55" ht="24" thickBot="1">
      <c r="A1" s="1072" t="s">
        <v>4742</v>
      </c>
    </row>
    <row r="2" spans="1:55" ht="26.25" customHeight="1" thickBot="1">
      <c r="A2" s="633"/>
      <c r="B2" s="1073" t="s">
        <v>4743</v>
      </c>
      <c r="H2" s="1073" t="s">
        <v>6066</v>
      </c>
      <c r="M2" s="1071"/>
      <c r="V2" s="1187" t="s">
        <v>6156</v>
      </c>
      <c r="W2" s="1186"/>
      <c r="X2" s="1186"/>
      <c r="Y2" s="1186"/>
      <c r="Z2" s="1186"/>
      <c r="AA2" s="1186"/>
      <c r="AB2" s="1186"/>
      <c r="AC2" s="1186"/>
      <c r="AD2" s="1186"/>
      <c r="AE2" s="1186"/>
      <c r="AF2" s="1188"/>
      <c r="AI2" s="1184" t="s">
        <v>6172</v>
      </c>
      <c r="AX2" s="1523" t="s">
        <v>6416</v>
      </c>
    </row>
    <row r="3" spans="1:55" ht="40.5" customHeight="1" thickBot="1">
      <c r="B3" s="1163" t="s">
        <v>4773</v>
      </c>
      <c r="C3" s="1164" t="s">
        <v>923</v>
      </c>
      <c r="D3" s="1164" t="s">
        <v>924</v>
      </c>
      <c r="E3" s="1164" t="s">
        <v>1038</v>
      </c>
      <c r="F3" s="1164" t="s">
        <v>6110</v>
      </c>
      <c r="H3" s="2263" t="s">
        <v>4878</v>
      </c>
      <c r="I3" s="2263" t="s">
        <v>6060</v>
      </c>
      <c r="J3" s="2263" t="s">
        <v>6068</v>
      </c>
      <c r="K3" s="1139" t="s">
        <v>688</v>
      </c>
      <c r="L3" s="2263" t="s">
        <v>6061</v>
      </c>
      <c r="M3" s="1140" t="s">
        <v>6062</v>
      </c>
      <c r="N3" s="1140" t="s">
        <v>6064</v>
      </c>
      <c r="O3" s="1140" t="s">
        <v>6065</v>
      </c>
      <c r="P3" s="2263" t="s">
        <v>6074</v>
      </c>
      <c r="Q3" s="2263" t="s">
        <v>6075</v>
      </c>
      <c r="S3" s="2271" t="s">
        <v>6481</v>
      </c>
      <c r="T3" s="2273" t="s">
        <v>6076</v>
      </c>
      <c r="V3" s="2282"/>
      <c r="W3" s="2284" t="s">
        <v>6113</v>
      </c>
      <c r="X3" s="2285" t="s">
        <v>6114</v>
      </c>
      <c r="Y3" s="2286"/>
      <c r="Z3" s="2287"/>
      <c r="AB3" s="2285" t="s">
        <v>6114</v>
      </c>
      <c r="AC3" s="2287"/>
      <c r="AE3" s="2282"/>
      <c r="AF3" s="2264" t="s">
        <v>6114</v>
      </c>
      <c r="AI3" s="1189" t="s">
        <v>6162</v>
      </c>
      <c r="AJ3" s="1190">
        <v>1</v>
      </c>
      <c r="AK3" s="2259"/>
      <c r="AL3" s="2299"/>
      <c r="AM3" s="1191">
        <v>2</v>
      </c>
      <c r="AN3" s="2259"/>
      <c r="AO3" s="2299"/>
      <c r="AP3" s="2299"/>
      <c r="AQ3" s="1191">
        <v>3</v>
      </c>
      <c r="AR3" s="2259"/>
      <c r="AS3" s="2299"/>
      <c r="AT3" s="1190">
        <v>4</v>
      </c>
      <c r="AU3" s="1190">
        <v>5</v>
      </c>
      <c r="AV3" s="1190">
        <v>6</v>
      </c>
      <c r="AX3" s="1189" t="s">
        <v>6407</v>
      </c>
      <c r="AY3" s="2259" t="s">
        <v>6408</v>
      </c>
      <c r="AZ3" s="2260"/>
    </row>
    <row r="4" spans="1:55" ht="15.75" customHeight="1" thickBot="1">
      <c r="B4" s="1165" t="s">
        <v>6082</v>
      </c>
      <c r="C4" s="1166" t="s">
        <v>742</v>
      </c>
      <c r="D4" s="1167" t="s">
        <v>6092</v>
      </c>
      <c r="E4" s="1167" t="s">
        <v>464</v>
      </c>
      <c r="F4" s="1167">
        <v>0.78</v>
      </c>
      <c r="H4" s="2264"/>
      <c r="I4" s="2264"/>
      <c r="J4" s="2264"/>
      <c r="K4" s="1142" t="s">
        <v>6067</v>
      </c>
      <c r="L4" s="2264"/>
      <c r="M4" s="1141" t="s">
        <v>6063</v>
      </c>
      <c r="N4" s="1141" t="s">
        <v>6063</v>
      </c>
      <c r="O4" s="1141" t="s">
        <v>6063</v>
      </c>
      <c r="P4" s="2264"/>
      <c r="Q4" s="2264"/>
      <c r="S4" s="2272"/>
      <c r="T4" s="2274"/>
      <c r="V4" s="2283"/>
      <c r="W4" s="2264"/>
      <c r="X4" s="2269" t="s">
        <v>6115</v>
      </c>
      <c r="Y4" s="2270"/>
      <c r="Z4" s="1169" t="s">
        <v>6116</v>
      </c>
      <c r="AB4" s="1177" t="s">
        <v>6115</v>
      </c>
      <c r="AC4" s="1140" t="s">
        <v>6116</v>
      </c>
      <c r="AE4" s="2283"/>
      <c r="AF4" s="2294"/>
      <c r="AI4" s="1192" t="s">
        <v>6163</v>
      </c>
      <c r="AJ4" s="1193" t="s">
        <v>6117</v>
      </c>
      <c r="AK4" s="1193" t="s">
        <v>6164</v>
      </c>
      <c r="AL4" s="1193" t="s">
        <v>6165</v>
      </c>
      <c r="AM4" s="1193"/>
      <c r="AN4" s="1193" t="s">
        <v>6164</v>
      </c>
      <c r="AO4" s="1193" t="s">
        <v>6166</v>
      </c>
      <c r="AP4" s="1193" t="s">
        <v>6167</v>
      </c>
      <c r="AQ4" s="1193"/>
      <c r="AR4" s="1193" t="s">
        <v>6168</v>
      </c>
      <c r="AS4" s="1193" t="s">
        <v>6167</v>
      </c>
      <c r="AT4" s="1193"/>
      <c r="AU4" s="1193" t="s">
        <v>6117</v>
      </c>
      <c r="AV4" s="1193" t="s">
        <v>6117</v>
      </c>
      <c r="AX4" s="1517"/>
      <c r="AY4" s="1518" t="s">
        <v>1273</v>
      </c>
      <c r="AZ4" s="1519" t="s">
        <v>1276</v>
      </c>
      <c r="BC4" s="1327"/>
    </row>
    <row r="5" spans="1:55" ht="17.25" customHeight="1" thickBot="1">
      <c r="B5" s="1165" t="s">
        <v>6083</v>
      </c>
      <c r="C5" s="1166" t="s">
        <v>742</v>
      </c>
      <c r="D5" s="1167" t="s">
        <v>6084</v>
      </c>
      <c r="E5" s="1167" t="s">
        <v>464</v>
      </c>
      <c r="F5" s="1167">
        <v>0.75</v>
      </c>
      <c r="H5" s="1145" t="s">
        <v>4898</v>
      </c>
      <c r="I5" s="1146">
        <v>30</v>
      </c>
      <c r="J5" s="1146">
        <v>13</v>
      </c>
      <c r="K5" s="1146">
        <v>0</v>
      </c>
      <c r="L5" s="1146">
        <v>13</v>
      </c>
      <c r="M5" s="1146">
        <v>13</v>
      </c>
      <c r="N5" s="1146">
        <v>0</v>
      </c>
      <c r="O5" s="1146">
        <v>0</v>
      </c>
      <c r="P5" s="1146">
        <v>0</v>
      </c>
      <c r="Q5" s="1146">
        <v>0</v>
      </c>
      <c r="S5" s="1161">
        <v>0.4</v>
      </c>
      <c r="T5" s="1162">
        <v>0.3</v>
      </c>
      <c r="V5" s="1731" t="s">
        <v>6482</v>
      </c>
      <c r="W5" s="1170" t="s">
        <v>6117</v>
      </c>
      <c r="X5" s="2265" t="s">
        <v>6147</v>
      </c>
      <c r="Y5" s="2266"/>
      <c r="Z5" s="1170" t="s">
        <v>6118</v>
      </c>
      <c r="AA5" s="1184" t="s">
        <v>4842</v>
      </c>
      <c r="AB5" s="1174">
        <f>0.27*FFA</f>
        <v>619.92000000000007</v>
      </c>
      <c r="AC5" s="1181">
        <f>0.2*FFA</f>
        <v>459.20000000000005</v>
      </c>
      <c r="AE5" s="1731" t="s">
        <v>6482</v>
      </c>
      <c r="AF5" s="1185">
        <f>IF(Nstories=1,AB5,AC5)</f>
        <v>459.20000000000005</v>
      </c>
      <c r="AI5" s="1192" t="s">
        <v>464</v>
      </c>
      <c r="AJ5" s="1194"/>
      <c r="AK5" s="1193"/>
      <c r="AL5" s="1193"/>
      <c r="AM5" s="1194"/>
      <c r="AN5" s="1193"/>
      <c r="AO5" s="1193"/>
      <c r="AP5" s="1193"/>
      <c r="AQ5" s="1194"/>
      <c r="AR5" s="1193"/>
      <c r="AS5" s="1193"/>
      <c r="AT5" s="1193"/>
      <c r="AU5" s="1193"/>
      <c r="AV5" s="1193"/>
      <c r="AX5" s="1520" t="s">
        <v>6409</v>
      </c>
      <c r="AY5" s="1160">
        <v>230</v>
      </c>
      <c r="AZ5" s="1521">
        <v>190</v>
      </c>
    </row>
    <row r="6" spans="1:55" ht="17.25" customHeight="1" thickBot="1">
      <c r="B6" s="1165" t="s">
        <v>6105</v>
      </c>
      <c r="C6" s="1166" t="s">
        <v>742</v>
      </c>
      <c r="D6" s="1167" t="s">
        <v>6085</v>
      </c>
      <c r="E6" s="1167" t="s">
        <v>464</v>
      </c>
      <c r="F6" s="1167">
        <v>0.8</v>
      </c>
      <c r="H6" s="1145" t="s">
        <v>6069</v>
      </c>
      <c r="I6" s="1146">
        <v>30</v>
      </c>
      <c r="J6" s="1146">
        <v>13</v>
      </c>
      <c r="K6" s="1146">
        <v>0</v>
      </c>
      <c r="L6" s="1146">
        <v>13</v>
      </c>
      <c r="M6" s="1146">
        <v>13</v>
      </c>
      <c r="N6" s="1146">
        <v>0</v>
      </c>
      <c r="O6" s="1146">
        <v>0</v>
      </c>
      <c r="P6" s="1146">
        <v>0</v>
      </c>
      <c r="Q6" s="1146">
        <v>0</v>
      </c>
      <c r="S6" s="1161">
        <v>0.4</v>
      </c>
      <c r="T6" s="1162">
        <v>0.3</v>
      </c>
      <c r="V6" s="2276" t="s">
        <v>6483</v>
      </c>
      <c r="W6" s="2280" t="s">
        <v>6117</v>
      </c>
      <c r="X6" s="2267" t="s">
        <v>6119</v>
      </c>
      <c r="Y6" s="2268"/>
      <c r="Z6" s="1171" t="s">
        <v>6121</v>
      </c>
      <c r="AA6" s="1184" t="s">
        <v>4842</v>
      </c>
      <c r="AB6" s="1176">
        <f>0.05*Nreturns*FFA</f>
        <v>459.20000000000005</v>
      </c>
      <c r="AC6" s="1182">
        <f>0.04*Nreturns*FFA</f>
        <v>367.36</v>
      </c>
      <c r="AE6" s="2276" t="s">
        <v>6483</v>
      </c>
      <c r="AF6" s="2295">
        <f>IF(Nstories=1,AB7,AC7)</f>
        <v>367.36</v>
      </c>
      <c r="AI6" s="1192" t="s">
        <v>6169</v>
      </c>
      <c r="AJ6" s="1194">
        <v>20</v>
      </c>
      <c r="AK6" s="1193">
        <v>30</v>
      </c>
      <c r="AL6" s="1193">
        <v>30</v>
      </c>
      <c r="AM6" s="1193">
        <f>IF(Nbath&lt;=1.5,AK6,IF(Nbath&gt;=2,AL6,"Error"))</f>
        <v>30</v>
      </c>
      <c r="AN6" s="1193">
        <v>30</v>
      </c>
      <c r="AO6" s="1193">
        <v>40</v>
      </c>
      <c r="AP6" s="1193">
        <v>40</v>
      </c>
      <c r="AQ6" s="1194">
        <f>IF(Nbath&lt;=1.5,AN6,IF(Nbath&gt;=3,AP6,AO6))</f>
        <v>40</v>
      </c>
      <c r="AR6" s="1193">
        <v>40</v>
      </c>
      <c r="AS6" s="1193">
        <v>50</v>
      </c>
      <c r="AT6" s="1194">
        <f>IF(Nbath&lt;=2.5,AR6,IF(Nbath&gt;=3,AS6,"Error"))</f>
        <v>40</v>
      </c>
      <c r="AU6" s="1194">
        <v>50</v>
      </c>
      <c r="AV6" s="1194">
        <v>50</v>
      </c>
      <c r="AX6" s="1520" t="s">
        <v>6410</v>
      </c>
      <c r="AY6" s="1160">
        <v>210</v>
      </c>
      <c r="AZ6" s="1521">
        <v>140</v>
      </c>
    </row>
    <row r="7" spans="1:55" ht="17.25" customHeight="1" thickBot="1">
      <c r="B7" s="1165" t="s">
        <v>6086</v>
      </c>
      <c r="C7" s="1166" t="s">
        <v>742</v>
      </c>
      <c r="D7" s="1167" t="s">
        <v>6087</v>
      </c>
      <c r="E7" s="1167" t="s">
        <v>464</v>
      </c>
      <c r="F7" s="1167">
        <v>0.75</v>
      </c>
      <c r="H7" s="1145" t="s">
        <v>6070</v>
      </c>
      <c r="I7" s="1146">
        <v>30</v>
      </c>
      <c r="J7" s="1146">
        <v>13</v>
      </c>
      <c r="K7" s="1146">
        <v>0</v>
      </c>
      <c r="L7" s="1146">
        <v>13</v>
      </c>
      <c r="M7" s="1146">
        <v>13</v>
      </c>
      <c r="N7" s="1146">
        <v>0</v>
      </c>
      <c r="O7" s="1146">
        <v>0</v>
      </c>
      <c r="P7" s="1146">
        <v>0</v>
      </c>
      <c r="Q7" s="1146">
        <v>0</v>
      </c>
      <c r="S7" s="1161">
        <v>0.4</v>
      </c>
      <c r="T7" s="1162">
        <v>0.3</v>
      </c>
      <c r="V7" s="2288"/>
      <c r="W7" s="2281"/>
      <c r="X7" s="2278" t="s">
        <v>6120</v>
      </c>
      <c r="Y7" s="2279"/>
      <c r="Z7" s="1170" t="s">
        <v>6122</v>
      </c>
      <c r="AA7" s="1184" t="s">
        <v>4842</v>
      </c>
      <c r="AB7" s="1175">
        <f>MIN(AB6,0.25*FFA)</f>
        <v>459.20000000000005</v>
      </c>
      <c r="AC7" s="1183">
        <f>MIN(AC6,0.19*FFA)</f>
        <v>367.36</v>
      </c>
      <c r="AE7" s="2288"/>
      <c r="AF7" s="2295"/>
      <c r="AI7" s="1192" t="s">
        <v>6170</v>
      </c>
      <c r="AJ7" s="1194">
        <v>27</v>
      </c>
      <c r="AK7" s="1193">
        <v>36</v>
      </c>
      <c r="AL7" s="1193">
        <v>36</v>
      </c>
      <c r="AM7" s="1194">
        <f>IF(Nbath&lt;=1.5,AK7,IF(Nbath&gt;=2,AL7,"Error"))</f>
        <v>36</v>
      </c>
      <c r="AN7" s="1193">
        <v>36</v>
      </c>
      <c r="AO7" s="1193">
        <v>36</v>
      </c>
      <c r="AP7" s="1193">
        <v>38</v>
      </c>
      <c r="AQ7" s="1194">
        <f>IF(Nbath&lt;=1.5,AN7,IF(Nbath&gt;=3,AP7,AO7))</f>
        <v>36</v>
      </c>
      <c r="AR7" s="1193">
        <v>38</v>
      </c>
      <c r="AS7" s="1193">
        <v>38</v>
      </c>
      <c r="AT7" s="1194">
        <f>IF(Nbath&lt;=2.5,AR7,IF(Nbath&gt;=3,AS7,"Error"))</f>
        <v>38</v>
      </c>
      <c r="AU7" s="1194">
        <v>47</v>
      </c>
      <c r="AV7" s="1194">
        <v>50</v>
      </c>
      <c r="AX7" s="1520" t="s">
        <v>6417</v>
      </c>
      <c r="AY7" s="1160">
        <v>250</v>
      </c>
      <c r="AZ7" s="1521">
        <v>200</v>
      </c>
    </row>
    <row r="8" spans="1:55" ht="17.25" customHeight="1" thickBot="1">
      <c r="B8" s="1165" t="s">
        <v>6088</v>
      </c>
      <c r="C8" s="1166" t="s">
        <v>742</v>
      </c>
      <c r="D8" s="1167" t="s">
        <v>6089</v>
      </c>
      <c r="E8" s="1167" t="s">
        <v>464</v>
      </c>
      <c r="F8" s="1167">
        <v>0.74</v>
      </c>
      <c r="H8" s="1151" t="s">
        <v>4884</v>
      </c>
      <c r="I8" s="1152">
        <v>30</v>
      </c>
      <c r="J8" s="1152">
        <v>13</v>
      </c>
      <c r="K8" s="1152">
        <v>0</v>
      </c>
      <c r="L8" s="1152">
        <v>13</v>
      </c>
      <c r="M8" s="1152">
        <v>13</v>
      </c>
      <c r="N8" s="1152">
        <v>0</v>
      </c>
      <c r="O8" s="1152">
        <v>0</v>
      </c>
      <c r="P8" s="1152">
        <v>0</v>
      </c>
      <c r="Q8" s="1152">
        <v>0</v>
      </c>
      <c r="S8" s="1161">
        <v>0.4</v>
      </c>
      <c r="T8" s="1162">
        <v>0.3</v>
      </c>
      <c r="V8" s="1179" t="s">
        <v>6148</v>
      </c>
      <c r="W8" s="1170" t="s">
        <v>6117</v>
      </c>
      <c r="X8" s="2265" t="s">
        <v>562</v>
      </c>
      <c r="Y8" s="2275"/>
      <c r="Z8" s="2266"/>
      <c r="AE8" s="1179" t="s">
        <v>6123</v>
      </c>
      <c r="AF8" s="1185" t="str">
        <f>X8</f>
        <v>None</v>
      </c>
      <c r="AI8" s="1192" t="s">
        <v>1151</v>
      </c>
      <c r="AJ8" s="1194"/>
      <c r="AK8" s="1193"/>
      <c r="AL8" s="1193"/>
      <c r="AM8" s="1194"/>
      <c r="AN8" s="1193"/>
      <c r="AO8" s="1193"/>
      <c r="AP8" s="1193"/>
      <c r="AQ8" s="1194"/>
      <c r="AR8" s="1193"/>
      <c r="AS8" s="1193"/>
      <c r="AT8" s="1194"/>
      <c r="AU8" s="1194"/>
      <c r="AV8" s="1194"/>
      <c r="AX8" s="1520" t="s">
        <v>6411</v>
      </c>
      <c r="AY8" s="1160">
        <v>250</v>
      </c>
      <c r="AZ8" s="1521">
        <v>200</v>
      </c>
    </row>
    <row r="9" spans="1:55" ht="17.25" customHeight="1" thickBot="1">
      <c r="B9" s="1165" t="s">
        <v>6090</v>
      </c>
      <c r="C9" s="1166" t="s">
        <v>742</v>
      </c>
      <c r="D9" s="1167" t="s">
        <v>6085</v>
      </c>
      <c r="E9" s="1167" t="s">
        <v>464</v>
      </c>
      <c r="F9" s="1167">
        <v>0.8</v>
      </c>
      <c r="H9" s="1151" t="s">
        <v>4887</v>
      </c>
      <c r="I9" s="1152">
        <v>30</v>
      </c>
      <c r="J9" s="1152">
        <v>13</v>
      </c>
      <c r="K9" s="1152">
        <v>0</v>
      </c>
      <c r="L9" s="1152">
        <v>13</v>
      </c>
      <c r="M9" s="1152">
        <v>13</v>
      </c>
      <c r="N9" s="1152">
        <v>0</v>
      </c>
      <c r="O9" s="1152">
        <v>0</v>
      </c>
      <c r="P9" s="1152">
        <v>0</v>
      </c>
      <c r="Q9" s="1152">
        <v>0</v>
      </c>
      <c r="S9" s="1161">
        <v>0.4</v>
      </c>
      <c r="T9" s="1162">
        <v>0.3</v>
      </c>
      <c r="V9" s="1179" t="s">
        <v>6124</v>
      </c>
      <c r="W9" s="1170" t="s">
        <v>6117</v>
      </c>
      <c r="X9" s="2265" t="s">
        <v>6125</v>
      </c>
      <c r="Y9" s="2275"/>
      <c r="Z9" s="2266"/>
      <c r="AE9" s="1179" t="s">
        <v>6124</v>
      </c>
      <c r="AF9" s="1185" t="str">
        <f>X9</f>
        <v>R-8</v>
      </c>
      <c r="AI9" s="1192" t="s">
        <v>6169</v>
      </c>
      <c r="AJ9" s="1194">
        <v>20</v>
      </c>
      <c r="AK9" s="1193">
        <v>30</v>
      </c>
      <c r="AL9" s="1193">
        <v>40</v>
      </c>
      <c r="AM9" s="1194">
        <f>IF(Nbath&lt;=1.5,AK9,IF(Nbath&gt;=2,AL9,"Error"))</f>
        <v>40</v>
      </c>
      <c r="AN9" s="1193">
        <v>40</v>
      </c>
      <c r="AO9" s="1193">
        <v>50</v>
      </c>
      <c r="AP9" s="1193">
        <v>50</v>
      </c>
      <c r="AQ9" s="1194">
        <f>IF(Nbath&lt;=1.5,AN9,IF(Nbath&gt;=3,AP9,AO9))</f>
        <v>50</v>
      </c>
      <c r="AR9" s="1193">
        <v>50</v>
      </c>
      <c r="AS9" s="1193">
        <v>66</v>
      </c>
      <c r="AT9" s="1194">
        <f>IF(Nbath&lt;=2.5,AR9,IF(Nbath&gt;=3,AS9,"Error"))</f>
        <v>50</v>
      </c>
      <c r="AU9" s="1194">
        <v>66</v>
      </c>
      <c r="AV9" s="1194">
        <v>80</v>
      </c>
      <c r="AX9" s="1520" t="s">
        <v>4830</v>
      </c>
      <c r="AY9" s="1160">
        <v>710</v>
      </c>
      <c r="AZ9" s="1521">
        <v>1090</v>
      </c>
    </row>
    <row r="10" spans="1:55" ht="17.25" customHeight="1" thickBot="1">
      <c r="B10" s="1165" t="s">
        <v>6091</v>
      </c>
      <c r="C10" s="1166" t="s">
        <v>742</v>
      </c>
      <c r="D10" s="1167" t="s">
        <v>6092</v>
      </c>
      <c r="E10" s="1167" t="s">
        <v>464</v>
      </c>
      <c r="F10" s="1167">
        <v>0.78</v>
      </c>
      <c r="H10" s="1151" t="s">
        <v>6071</v>
      </c>
      <c r="I10" s="1152">
        <v>30</v>
      </c>
      <c r="J10" s="1152">
        <v>13</v>
      </c>
      <c r="K10" s="1152">
        <v>0</v>
      </c>
      <c r="L10" s="1152">
        <v>13</v>
      </c>
      <c r="M10" s="1152">
        <v>13</v>
      </c>
      <c r="N10" s="1152">
        <v>0</v>
      </c>
      <c r="O10" s="1152">
        <v>0</v>
      </c>
      <c r="P10" s="1152">
        <v>0</v>
      </c>
      <c r="Q10" s="1152">
        <v>0</v>
      </c>
      <c r="S10" s="1161">
        <v>0.4</v>
      </c>
      <c r="T10" s="1162">
        <v>0.3</v>
      </c>
      <c r="V10" s="1179" t="s">
        <v>6126</v>
      </c>
      <c r="W10" s="2280" t="s">
        <v>6117</v>
      </c>
      <c r="X10" s="2267" t="s">
        <v>6128</v>
      </c>
      <c r="Y10" s="2289"/>
      <c r="Z10" s="2268"/>
      <c r="AE10" s="1179" t="s">
        <v>6126</v>
      </c>
      <c r="AF10" s="2295" t="str">
        <f>X10</f>
        <v>R-6</v>
      </c>
      <c r="AI10" s="1192" t="s">
        <v>6171</v>
      </c>
      <c r="AJ10" s="1194">
        <v>2.5</v>
      </c>
      <c r="AK10" s="1193">
        <v>3.5</v>
      </c>
      <c r="AL10" s="1193">
        <v>4.5</v>
      </c>
      <c r="AM10" s="1194">
        <f>IF(Nbath&lt;=1.5,AK10,IF(Nbath&gt;=2,AL10,"Error"))</f>
        <v>4.5</v>
      </c>
      <c r="AN10" s="1193">
        <v>4.5</v>
      </c>
      <c r="AO10" s="1193">
        <v>5.5</v>
      </c>
      <c r="AP10" s="1193">
        <v>5.5</v>
      </c>
      <c r="AQ10" s="1194">
        <f>IF(Nbath&lt;=1.5,AN10,IF(Nbath&gt;=3,AP10,AO10))</f>
        <v>5.5</v>
      </c>
      <c r="AR10" s="1193">
        <v>5.5</v>
      </c>
      <c r="AS10" s="1193">
        <v>5.5</v>
      </c>
      <c r="AT10" s="1194">
        <f>IF(Nbath&lt;=2.5,AR10,IF(Nbath&gt;=3,AS10,"Error"))</f>
        <v>5.5</v>
      </c>
      <c r="AU10" s="1194">
        <v>5.5</v>
      </c>
      <c r="AV10" s="1194">
        <v>5.5</v>
      </c>
      <c r="AX10" s="1520" t="s">
        <v>6412</v>
      </c>
      <c r="AY10" s="1160">
        <v>245</v>
      </c>
      <c r="AZ10" s="1521">
        <v>155</v>
      </c>
    </row>
    <row r="11" spans="1:55" ht="25.5" customHeight="1" thickBot="1">
      <c r="B11" s="1165" t="s">
        <v>6093</v>
      </c>
      <c r="C11" s="1166" t="s">
        <v>742</v>
      </c>
      <c r="D11" s="1167" t="s">
        <v>6092</v>
      </c>
      <c r="E11" s="1167" t="s">
        <v>464</v>
      </c>
      <c r="F11" s="1167">
        <v>0.78</v>
      </c>
      <c r="H11" s="1147" t="s">
        <v>4882</v>
      </c>
      <c r="I11" s="1148">
        <v>30</v>
      </c>
      <c r="J11" s="1148">
        <v>13</v>
      </c>
      <c r="K11" s="1148">
        <v>0</v>
      </c>
      <c r="L11" s="1148">
        <v>13</v>
      </c>
      <c r="M11" s="1148">
        <v>19</v>
      </c>
      <c r="N11" s="1148">
        <v>0</v>
      </c>
      <c r="O11" s="1148">
        <v>5</v>
      </c>
      <c r="P11" s="1148">
        <v>0</v>
      </c>
      <c r="Q11" s="1148">
        <v>0</v>
      </c>
      <c r="S11" s="1161">
        <v>0.4</v>
      </c>
      <c r="T11" s="1162">
        <v>0.3</v>
      </c>
      <c r="V11" s="1178" t="s">
        <v>6127</v>
      </c>
      <c r="W11" s="2281"/>
      <c r="X11" s="2278"/>
      <c r="Y11" s="2290"/>
      <c r="Z11" s="2279"/>
      <c r="AE11" s="1178" t="s">
        <v>6127</v>
      </c>
      <c r="AF11" s="2295"/>
      <c r="AX11" s="1522" t="s">
        <v>6413</v>
      </c>
      <c r="AY11" s="2259" t="s">
        <v>6408</v>
      </c>
      <c r="AZ11" s="2260"/>
    </row>
    <row r="12" spans="1:55" ht="17.25" customHeight="1" thickBot="1">
      <c r="B12" s="1165" t="s">
        <v>6094</v>
      </c>
      <c r="C12" s="1166" t="s">
        <v>742</v>
      </c>
      <c r="D12" s="1167" t="s">
        <v>6104</v>
      </c>
      <c r="E12" s="1167" t="s">
        <v>1151</v>
      </c>
      <c r="F12" s="1167">
        <v>7.7</v>
      </c>
      <c r="H12" s="1147" t="s">
        <v>4882</v>
      </c>
      <c r="I12" s="1148">
        <v>30</v>
      </c>
      <c r="J12" s="1148">
        <v>13</v>
      </c>
      <c r="K12" s="1148">
        <v>0</v>
      </c>
      <c r="L12" s="1148">
        <v>13</v>
      </c>
      <c r="M12" s="1148">
        <v>19</v>
      </c>
      <c r="N12" s="1148">
        <v>0</v>
      </c>
      <c r="O12" s="1148">
        <v>5</v>
      </c>
      <c r="P12" s="1148">
        <v>0</v>
      </c>
      <c r="Q12" s="1148">
        <v>0</v>
      </c>
      <c r="S12" s="1161">
        <v>0.4</v>
      </c>
      <c r="T12" s="1162">
        <v>0.3</v>
      </c>
      <c r="V12" s="1179" t="s">
        <v>6129</v>
      </c>
      <c r="W12" s="1170" t="s">
        <v>6117</v>
      </c>
      <c r="X12" s="2265" t="s">
        <v>6130</v>
      </c>
      <c r="Y12" s="2275"/>
      <c r="Z12" s="2266"/>
      <c r="AE12" s="1179" t="s">
        <v>6129</v>
      </c>
      <c r="AF12" s="1185" t="str">
        <f>X12</f>
        <v>Sheet metal</v>
      </c>
      <c r="AI12" s="1195" t="str">
        <f>IF(NewConst!$E$111="Gas",AI5,AI8)</f>
        <v>Gas</v>
      </c>
      <c r="AJ12" s="1190">
        <v>1</v>
      </c>
      <c r="AM12" s="1190">
        <v>2</v>
      </c>
      <c r="AQ12" s="1190">
        <v>3</v>
      </c>
      <c r="AT12" s="1190">
        <v>4</v>
      </c>
      <c r="AU12" s="1190">
        <v>5</v>
      </c>
      <c r="AV12" s="1190">
        <v>6</v>
      </c>
      <c r="AX12" s="1520" t="s">
        <v>6414</v>
      </c>
      <c r="AY12" s="2261">
        <v>220</v>
      </c>
      <c r="AZ12" s="2262"/>
    </row>
    <row r="13" spans="1:55" ht="17.25" customHeight="1" thickBot="1">
      <c r="B13" s="1165" t="s">
        <v>6095</v>
      </c>
      <c r="C13" s="1166" t="s">
        <v>742</v>
      </c>
      <c r="D13" s="1167" t="s">
        <v>6104</v>
      </c>
      <c r="E13" s="1167" t="s">
        <v>1151</v>
      </c>
      <c r="F13" s="1167">
        <v>7.7</v>
      </c>
      <c r="H13" s="1147" t="s">
        <v>4882</v>
      </c>
      <c r="I13" s="1148">
        <v>30</v>
      </c>
      <c r="J13" s="1148">
        <v>13</v>
      </c>
      <c r="K13" s="1148">
        <v>0</v>
      </c>
      <c r="L13" s="1148">
        <v>13</v>
      </c>
      <c r="M13" s="1148">
        <v>19</v>
      </c>
      <c r="N13" s="1148">
        <v>0</v>
      </c>
      <c r="O13" s="1148">
        <v>5</v>
      </c>
      <c r="P13" s="1148">
        <v>0</v>
      </c>
      <c r="Q13" s="1148">
        <v>0</v>
      </c>
      <c r="S13" s="1161">
        <v>0.4</v>
      </c>
      <c r="T13" s="1162">
        <v>0.3</v>
      </c>
      <c r="V13" s="1179" t="s">
        <v>6131</v>
      </c>
      <c r="W13" s="1170" t="s">
        <v>6117</v>
      </c>
      <c r="X13" s="2265" t="s">
        <v>6132</v>
      </c>
      <c r="Y13" s="2275"/>
      <c r="Z13" s="2266"/>
      <c r="AE13" s="1179" t="s">
        <v>6131</v>
      </c>
      <c r="AF13" s="1185" t="str">
        <f>X13</f>
        <v>10% of air handler flow (9% supply, 1% return)</v>
      </c>
      <c r="AI13" s="1195" t="str">
        <f>IF(NewConst!$E$111="Gas",AI6,AI9)</f>
        <v xml:space="preserve"> Storage (gal)</v>
      </c>
      <c r="AJ13" s="1195">
        <f>IF(NewConst!$E$111="Gas",AJ6,AJ9)</f>
        <v>20</v>
      </c>
      <c r="AM13" s="1195">
        <f>IF(NewConst!$E$111="Gas",AM6,AM9)</f>
        <v>30</v>
      </c>
      <c r="AQ13" s="1195">
        <f>IF(NewConst!$E$111="Gas",AQ6,AQ9)</f>
        <v>40</v>
      </c>
      <c r="AT13" s="1195">
        <f>IF(NewConst!$E$111="Gas",AT6,AT9)</f>
        <v>40</v>
      </c>
      <c r="AU13" s="1195">
        <f>IF(NewConst!$E$111="Gas",AU6,AU9)</f>
        <v>50</v>
      </c>
      <c r="AV13" s="1195">
        <f>IF(NewConst!$E$111="Gas",AV6,AV9)</f>
        <v>50</v>
      </c>
      <c r="AX13" s="1520" t="s">
        <v>6415</v>
      </c>
      <c r="AY13" s="2261">
        <v>164</v>
      </c>
      <c r="AZ13" s="2262"/>
    </row>
    <row r="14" spans="1:55" ht="17.25" customHeight="1" thickBot="1">
      <c r="B14" s="1165" t="s">
        <v>6096</v>
      </c>
      <c r="C14" s="1166" t="s">
        <v>742</v>
      </c>
      <c r="D14" s="1167" t="s">
        <v>6104</v>
      </c>
      <c r="E14" s="1167" t="s">
        <v>1151</v>
      </c>
      <c r="F14" s="1167">
        <v>7.7</v>
      </c>
      <c r="H14" s="1143" t="s">
        <v>4885</v>
      </c>
      <c r="I14" s="1144">
        <v>38</v>
      </c>
      <c r="J14" s="1144">
        <v>13</v>
      </c>
      <c r="K14" s="1144">
        <v>0</v>
      </c>
      <c r="L14" s="1144">
        <v>13</v>
      </c>
      <c r="M14" s="1144">
        <v>19</v>
      </c>
      <c r="N14" s="1144">
        <v>10</v>
      </c>
      <c r="O14" s="1144">
        <v>10</v>
      </c>
      <c r="P14" s="1144">
        <v>10</v>
      </c>
      <c r="Q14" s="1144">
        <v>2</v>
      </c>
      <c r="S14" s="1157">
        <v>0.35</v>
      </c>
      <c r="T14" s="1158">
        <v>0.35</v>
      </c>
      <c r="V14" s="1179" t="s">
        <v>6133</v>
      </c>
      <c r="W14" s="1170" t="s">
        <v>6117</v>
      </c>
      <c r="X14" s="2265" t="s">
        <v>6134</v>
      </c>
      <c r="Y14" s="2275"/>
      <c r="Z14" s="2266"/>
      <c r="AE14" s="1179" t="s">
        <v>6133</v>
      </c>
      <c r="AF14" s="1185" t="str">
        <f>X14</f>
        <v>5% of air handler flow (1% supply, 4% return)</v>
      </c>
      <c r="AI14" s="1195" t="str">
        <f>IF(NewConst!$E$111="Gas",AI7,AI10)</f>
        <v xml:space="preserve"> Burner (kBtu/h)</v>
      </c>
      <c r="AJ14" s="1195">
        <f>IF(NewConst!$E$111="Gas",AJ7,AJ10)</f>
        <v>27</v>
      </c>
      <c r="AK14" s="1195" t="str">
        <f>IF(NewConst!$E$111="Gas","kBtu/h","kW")</f>
        <v>kBtu/h</v>
      </c>
      <c r="AM14" s="1195">
        <f>IF(NewConst!$E$111="Gas",AM7,AM10)</f>
        <v>36</v>
      </c>
      <c r="AQ14" s="1195">
        <f>IF(NewConst!$E$111="Gas",AQ7,AQ10)</f>
        <v>36</v>
      </c>
      <c r="AT14" s="1195">
        <f>IF(NewConst!$E$111="Gas",AT7,AT10)</f>
        <v>38</v>
      </c>
      <c r="AU14" s="1195">
        <f>IF(NewConst!$E$111="Gas",AU7,AU10)</f>
        <v>47</v>
      </c>
      <c r="AV14" s="1195">
        <f>IF(NewConst!$E$111="Gas",AV7,AV10)</f>
        <v>50</v>
      </c>
    </row>
    <row r="15" spans="1:55" ht="17.25" customHeight="1" thickBot="1">
      <c r="B15" s="1165" t="s">
        <v>6102</v>
      </c>
      <c r="C15" s="1166" t="s">
        <v>742</v>
      </c>
      <c r="D15" s="1167" t="s">
        <v>6104</v>
      </c>
      <c r="E15" s="1167" t="s">
        <v>1151</v>
      </c>
      <c r="F15" s="1167">
        <v>7.7</v>
      </c>
      <c r="H15" s="1143" t="s">
        <v>4892</v>
      </c>
      <c r="I15" s="1144">
        <v>38</v>
      </c>
      <c r="J15" s="1144">
        <v>13</v>
      </c>
      <c r="K15" s="1144">
        <v>0</v>
      </c>
      <c r="L15" s="1144">
        <v>13</v>
      </c>
      <c r="M15" s="1144">
        <v>19</v>
      </c>
      <c r="N15" s="1144">
        <v>10</v>
      </c>
      <c r="O15" s="1144">
        <v>10</v>
      </c>
      <c r="P15" s="1144">
        <v>10</v>
      </c>
      <c r="Q15" s="1144">
        <v>2</v>
      </c>
      <c r="S15" s="1157">
        <v>0.35</v>
      </c>
      <c r="T15" s="1158">
        <v>0.35</v>
      </c>
      <c r="V15" s="2276" t="s">
        <v>6135</v>
      </c>
      <c r="W15" s="1171" t="s">
        <v>6136</v>
      </c>
      <c r="X15" s="1171" t="s">
        <v>6152</v>
      </c>
      <c r="Y15" s="2265" t="s">
        <v>6153</v>
      </c>
      <c r="Z15" s="2266"/>
      <c r="AB15" s="2296" t="str">
        <f>IF(HomeType=2,X17,IF(OR(FndType=0,FndType=3),X15,X16))</f>
        <v>0% OA</v>
      </c>
      <c r="AC15" s="2296" t="str">
        <f>IF(HomeType=2,Y17,IF(OR(FndType=0,FndType=3),Y15,Y16))</f>
        <v>0% OA</v>
      </c>
      <c r="AE15" s="2276" t="s">
        <v>6135</v>
      </c>
      <c r="AF15" s="2295" t="str">
        <f>IF(Nstories=1,AB15,AC15)</f>
        <v>0% OA</v>
      </c>
    </row>
    <row r="16" spans="1:55" ht="17.25" customHeight="1" thickBot="1">
      <c r="B16" s="1165" t="s">
        <v>6108</v>
      </c>
      <c r="C16" s="1166" t="s">
        <v>741</v>
      </c>
      <c r="D16" s="1167" t="s">
        <v>6097</v>
      </c>
      <c r="E16" s="1167" t="s">
        <v>1151</v>
      </c>
      <c r="F16" s="1167">
        <v>13</v>
      </c>
      <c r="H16" s="1155" t="s">
        <v>4894</v>
      </c>
      <c r="I16" s="1156">
        <v>38</v>
      </c>
      <c r="J16" s="1156">
        <v>13</v>
      </c>
      <c r="K16" s="1156">
        <v>5</v>
      </c>
      <c r="L16" s="1156">
        <v>19</v>
      </c>
      <c r="M16" s="1156">
        <v>30</v>
      </c>
      <c r="N16" s="1156">
        <v>10</v>
      </c>
      <c r="O16" s="1156">
        <v>10</v>
      </c>
      <c r="P16" s="1156">
        <v>10</v>
      </c>
      <c r="Q16" s="1156">
        <v>2</v>
      </c>
      <c r="S16" s="1157">
        <v>0.35</v>
      </c>
      <c r="T16" s="1158">
        <v>0.35</v>
      </c>
      <c r="V16" s="2277"/>
      <c r="W16" s="1172" t="s">
        <v>6137</v>
      </c>
      <c r="X16" s="1172" t="s">
        <v>6151</v>
      </c>
      <c r="Y16" s="2265" t="s">
        <v>6151</v>
      </c>
      <c r="Z16" s="2266"/>
      <c r="AB16" s="2297"/>
      <c r="AC16" s="2297"/>
      <c r="AE16" s="2277"/>
      <c r="AF16" s="2295">
        <f>IF(Nstories=1,AB16,AC16)</f>
        <v>0</v>
      </c>
    </row>
    <row r="17" spans="2:58" ht="17.25" customHeight="1" thickBot="1">
      <c r="B17" s="1165" t="s">
        <v>6098</v>
      </c>
      <c r="C17" s="1166" t="s">
        <v>741</v>
      </c>
      <c r="D17" s="1167" t="s">
        <v>6097</v>
      </c>
      <c r="E17" s="1167" t="s">
        <v>1151</v>
      </c>
      <c r="F17" s="1167">
        <v>13</v>
      </c>
      <c r="H17" s="1155" t="s">
        <v>4897</v>
      </c>
      <c r="I17" s="1156">
        <v>38</v>
      </c>
      <c r="J17" s="1156">
        <v>13</v>
      </c>
      <c r="K17" s="1156">
        <v>5</v>
      </c>
      <c r="L17" s="1156">
        <v>19</v>
      </c>
      <c r="M17" s="1156">
        <v>30</v>
      </c>
      <c r="N17" s="1156">
        <v>10</v>
      </c>
      <c r="O17" s="1156">
        <v>10</v>
      </c>
      <c r="P17" s="1156">
        <v>10</v>
      </c>
      <c r="Q17" s="1156">
        <v>2</v>
      </c>
      <c r="S17" s="1157">
        <v>0.35</v>
      </c>
      <c r="T17" s="1158">
        <v>0.35</v>
      </c>
      <c r="V17" s="2288"/>
      <c r="W17" s="1173" t="s">
        <v>6138</v>
      </c>
      <c r="X17" s="1173" t="s">
        <v>6152</v>
      </c>
      <c r="Y17" s="2265" t="s">
        <v>6152</v>
      </c>
      <c r="Z17" s="2266"/>
      <c r="AB17" s="2298"/>
      <c r="AC17" s="2298"/>
      <c r="AE17" s="2288"/>
      <c r="AF17" s="2295">
        <f>IF(Nstories=1,AB17,AC17)</f>
        <v>0</v>
      </c>
    </row>
    <row r="18" spans="2:58" ht="17.25" customHeight="1" thickBot="1">
      <c r="B18" s="1165" t="s">
        <v>6099</v>
      </c>
      <c r="C18" s="1166" t="s">
        <v>741</v>
      </c>
      <c r="D18" s="1167" t="s">
        <v>6100</v>
      </c>
      <c r="E18" s="1167" t="s">
        <v>1151</v>
      </c>
      <c r="F18" s="1167">
        <v>9.7228999999999992</v>
      </c>
      <c r="H18" s="1155" t="s">
        <v>4890</v>
      </c>
      <c r="I18" s="1156">
        <v>38</v>
      </c>
      <c r="J18" s="1156">
        <v>13</v>
      </c>
      <c r="K18" s="1156">
        <v>5</v>
      </c>
      <c r="L18" s="1156">
        <v>19</v>
      </c>
      <c r="M18" s="1156">
        <v>30</v>
      </c>
      <c r="N18" s="1156">
        <v>10</v>
      </c>
      <c r="O18" s="1156">
        <v>10</v>
      </c>
      <c r="P18" s="1156">
        <v>10</v>
      </c>
      <c r="Q18" s="1156">
        <v>2</v>
      </c>
      <c r="S18" s="1157">
        <v>0.35</v>
      </c>
      <c r="T18" s="1158">
        <v>0.35</v>
      </c>
      <c r="V18" s="2276" t="s">
        <v>6139</v>
      </c>
      <c r="W18" s="2280" t="s">
        <v>6136</v>
      </c>
      <c r="X18" s="2280" t="s">
        <v>6155</v>
      </c>
      <c r="Y18" s="2267" t="s">
        <v>6154</v>
      </c>
      <c r="Z18" s="2268"/>
      <c r="AB18" s="2291" t="str">
        <f>IF(HomeType=2,X24,IF(OR(FndType=0,FndType=3),X18,IF(FndType=1,X20,IF(FndType=2,X22,"Foundation Type Error"))))</f>
        <v xml:space="preserve">100% crawlspace </v>
      </c>
      <c r="AC18" s="2291" t="str">
        <f>IF(HomeType=2,Y24,IF(OR(FndType=0,FndType=3),Y18,IF(FndType=1,Y20,IF(FndType=2,Y22,"Foundation Type Error"))))</f>
        <v>65% crawlspace, 35% above-grade conditioned space</v>
      </c>
      <c r="AE18" s="2276" t="s">
        <v>6139</v>
      </c>
      <c r="AF18" s="2295" t="str">
        <f>IF(Nstories=1,AB18,AC18)</f>
        <v>65% crawlspace, 35% above-grade conditioned space</v>
      </c>
    </row>
    <row r="19" spans="2:58" ht="17.25" customHeight="1" thickBot="1">
      <c r="B19" s="1165" t="s">
        <v>6094</v>
      </c>
      <c r="C19" s="1166" t="s">
        <v>741</v>
      </c>
      <c r="D19" s="1167" t="s">
        <v>6103</v>
      </c>
      <c r="E19" s="1167" t="s">
        <v>1151</v>
      </c>
      <c r="F19" s="1167">
        <v>13</v>
      </c>
      <c r="H19" s="1155" t="s">
        <v>6072</v>
      </c>
      <c r="I19" s="1156">
        <v>38</v>
      </c>
      <c r="J19" s="1156">
        <v>13</v>
      </c>
      <c r="K19" s="1156">
        <v>5</v>
      </c>
      <c r="L19" s="1156">
        <v>19</v>
      </c>
      <c r="M19" s="1156">
        <v>30</v>
      </c>
      <c r="N19" s="1156">
        <v>10</v>
      </c>
      <c r="O19" s="1156">
        <v>10</v>
      </c>
      <c r="P19" s="1156">
        <v>10</v>
      </c>
      <c r="Q19" s="1156">
        <v>2</v>
      </c>
      <c r="S19" s="1157">
        <v>0.35</v>
      </c>
      <c r="T19" s="1158">
        <v>0.35</v>
      </c>
      <c r="V19" s="2277"/>
      <c r="W19" s="2281"/>
      <c r="X19" s="2281"/>
      <c r="Y19" s="2278"/>
      <c r="Z19" s="2279"/>
      <c r="AB19" s="2292"/>
      <c r="AC19" s="2292"/>
      <c r="AE19" s="2277"/>
      <c r="AF19" s="2295"/>
    </row>
    <row r="20" spans="2:58" ht="17.25" customHeight="1" thickBot="1">
      <c r="B20" s="1165" t="s">
        <v>6095</v>
      </c>
      <c r="C20" s="1166" t="s">
        <v>741</v>
      </c>
      <c r="D20" s="1167" t="s">
        <v>6103</v>
      </c>
      <c r="E20" s="1167" t="s">
        <v>1151</v>
      </c>
      <c r="F20" s="1167">
        <v>13</v>
      </c>
      <c r="H20" s="1149" t="s">
        <v>4899</v>
      </c>
      <c r="I20" s="1150">
        <v>49</v>
      </c>
      <c r="J20" s="1150">
        <v>13</v>
      </c>
      <c r="K20" s="1150">
        <v>5</v>
      </c>
      <c r="L20" s="1150">
        <v>19</v>
      </c>
      <c r="M20" s="1150">
        <v>30</v>
      </c>
      <c r="N20" s="1150">
        <v>15</v>
      </c>
      <c r="O20" s="1150">
        <v>10</v>
      </c>
      <c r="P20" s="1150">
        <v>10</v>
      </c>
      <c r="Q20" s="1150">
        <v>4</v>
      </c>
      <c r="S20" s="1157">
        <v>0.35</v>
      </c>
      <c r="T20" s="1158">
        <v>0.35</v>
      </c>
      <c r="V20" s="2277"/>
      <c r="W20" s="2280" t="s">
        <v>239</v>
      </c>
      <c r="X20" s="2280" t="s">
        <v>6140</v>
      </c>
      <c r="Y20" s="2267" t="s">
        <v>6149</v>
      </c>
      <c r="Z20" s="2268"/>
      <c r="AB20" s="2292"/>
      <c r="AC20" s="2292"/>
      <c r="AE20" s="2277"/>
      <c r="AF20" s="2295"/>
    </row>
    <row r="21" spans="2:58" ht="17.25" customHeight="1" thickBot="1">
      <c r="B21" s="1165" t="s">
        <v>6096</v>
      </c>
      <c r="C21" s="1166" t="s">
        <v>741</v>
      </c>
      <c r="D21" s="1167" t="s">
        <v>6103</v>
      </c>
      <c r="E21" s="1167" t="s">
        <v>1151</v>
      </c>
      <c r="F21" s="1167">
        <v>13</v>
      </c>
      <c r="H21" s="1149" t="s">
        <v>4896</v>
      </c>
      <c r="I21" s="1150">
        <v>49</v>
      </c>
      <c r="J21" s="1150">
        <v>13</v>
      </c>
      <c r="K21" s="1150">
        <v>5</v>
      </c>
      <c r="L21" s="1150">
        <v>19</v>
      </c>
      <c r="M21" s="1150">
        <v>30</v>
      </c>
      <c r="N21" s="1150">
        <v>15</v>
      </c>
      <c r="O21" s="1150">
        <v>10</v>
      </c>
      <c r="P21" s="1150">
        <v>10</v>
      </c>
      <c r="Q21" s="1150">
        <v>4</v>
      </c>
      <c r="S21" s="1157">
        <v>0.35</v>
      </c>
      <c r="T21" s="1158">
        <v>0.35</v>
      </c>
      <c r="V21" s="2277"/>
      <c r="W21" s="2281"/>
      <c r="X21" s="2281"/>
      <c r="Y21" s="2278"/>
      <c r="Z21" s="2279"/>
      <c r="AB21" s="2292"/>
      <c r="AC21" s="2292"/>
      <c r="AE21" s="2277"/>
      <c r="AF21" s="2295"/>
    </row>
    <row r="22" spans="2:58" ht="17.25" customHeight="1" thickBot="1">
      <c r="B22" s="1165" t="s">
        <v>6107</v>
      </c>
      <c r="C22" s="1166" t="s">
        <v>741</v>
      </c>
      <c r="D22" s="1167" t="s">
        <v>6101</v>
      </c>
      <c r="E22" s="1167" t="s">
        <v>1151</v>
      </c>
      <c r="F22" s="1167">
        <v>13</v>
      </c>
      <c r="H22" s="1149" t="s">
        <v>6073</v>
      </c>
      <c r="I22" s="1150">
        <v>49</v>
      </c>
      <c r="J22" s="1150">
        <v>13</v>
      </c>
      <c r="K22" s="1150">
        <v>5</v>
      </c>
      <c r="L22" s="1150">
        <v>19</v>
      </c>
      <c r="M22" s="1150">
        <v>30</v>
      </c>
      <c r="N22" s="1150">
        <v>15</v>
      </c>
      <c r="O22" s="1150">
        <v>10</v>
      </c>
      <c r="P22" s="1150">
        <v>10</v>
      </c>
      <c r="Q22" s="1150">
        <v>4</v>
      </c>
      <c r="S22" s="1157">
        <v>0.35</v>
      </c>
      <c r="T22" s="1158">
        <v>0.35</v>
      </c>
      <c r="V22" s="2277"/>
      <c r="W22" s="2280" t="s">
        <v>1140</v>
      </c>
      <c r="X22" s="2280" t="s">
        <v>6141</v>
      </c>
      <c r="Y22" s="2267" t="s">
        <v>6150</v>
      </c>
      <c r="Z22" s="2268"/>
      <c r="AB22" s="2292"/>
      <c r="AC22" s="2292"/>
      <c r="AE22" s="2277"/>
      <c r="AF22" s="2295"/>
    </row>
    <row r="23" spans="2:58" ht="17.25" customHeight="1" thickBot="1">
      <c r="B23" s="1165" t="s">
        <v>6106</v>
      </c>
      <c r="C23" s="1166" t="s">
        <v>741</v>
      </c>
      <c r="D23" s="1167" t="s">
        <v>6101</v>
      </c>
      <c r="E23" s="1167" t="s">
        <v>1151</v>
      </c>
      <c r="F23" s="1167">
        <v>13</v>
      </c>
      <c r="H23" s="1153">
        <v>7</v>
      </c>
      <c r="I23" s="1154">
        <v>49</v>
      </c>
      <c r="J23" s="1154">
        <v>21</v>
      </c>
      <c r="K23" s="1154">
        <v>0</v>
      </c>
      <c r="L23" s="1154">
        <v>19</v>
      </c>
      <c r="M23" s="1154">
        <v>38</v>
      </c>
      <c r="N23" s="1154">
        <v>15</v>
      </c>
      <c r="O23" s="1154">
        <v>10</v>
      </c>
      <c r="P23" s="1154">
        <v>10</v>
      </c>
      <c r="Q23" s="1154">
        <v>4</v>
      </c>
      <c r="S23" s="1157">
        <v>0.35</v>
      </c>
      <c r="T23" s="1158">
        <v>0.35</v>
      </c>
      <c r="V23" s="2277"/>
      <c r="W23" s="2281"/>
      <c r="X23" s="2281"/>
      <c r="Y23" s="2278"/>
      <c r="Z23" s="2279"/>
      <c r="AB23" s="2292"/>
      <c r="AC23" s="2292"/>
      <c r="AE23" s="2277"/>
      <c r="AF23" s="2295"/>
    </row>
    <row r="24" spans="2:58" ht="17.25" customHeight="1" thickBot="1">
      <c r="F24" s="1070"/>
      <c r="H24" s="1153">
        <v>8</v>
      </c>
      <c r="I24" s="1154">
        <v>49</v>
      </c>
      <c r="J24" s="1154">
        <v>21</v>
      </c>
      <c r="K24" s="1154">
        <v>0</v>
      </c>
      <c r="L24" s="1154">
        <v>19</v>
      </c>
      <c r="M24" s="1154">
        <v>38</v>
      </c>
      <c r="N24" s="1154">
        <v>15</v>
      </c>
      <c r="O24" s="1154">
        <v>10</v>
      </c>
      <c r="P24" s="1154">
        <v>10</v>
      </c>
      <c r="Q24" s="1154">
        <v>4</v>
      </c>
      <c r="S24" s="1159">
        <v>0.35</v>
      </c>
      <c r="T24" s="1160">
        <v>0.35</v>
      </c>
      <c r="V24" s="1178"/>
      <c r="W24" s="1170" t="s">
        <v>6138</v>
      </c>
      <c r="X24" s="1170" t="s">
        <v>6142</v>
      </c>
      <c r="Y24" s="2265" t="s">
        <v>6142</v>
      </c>
      <c r="Z24" s="2266"/>
      <c r="AB24" s="2293"/>
      <c r="AC24" s="2293"/>
      <c r="AE24" s="1178"/>
      <c r="AF24" s="2295"/>
    </row>
    <row r="25" spans="2:58" ht="17.25" customHeight="1" thickBot="1">
      <c r="F25" s="1070"/>
      <c r="V25" s="2276" t="s">
        <v>6143</v>
      </c>
      <c r="W25" s="1170" t="s">
        <v>6136</v>
      </c>
      <c r="X25" s="1170" t="s">
        <v>6155</v>
      </c>
      <c r="Y25" s="2265" t="s">
        <v>6155</v>
      </c>
      <c r="Z25" s="2266"/>
      <c r="AB25" s="2291" t="str">
        <f>IF(HomeType=2,X28,IF(OR(FndType=0,FndType=3),X25,IF(FndType=1,X26,IF(FndType=2,X27,"Foundation Type Error"))))</f>
        <v>100% crawlspace</v>
      </c>
      <c r="AC25" s="2291" t="str">
        <f>IF(HomeType=2,Y28,IF(OR(FndType=0,FndType=3),Y25,IF(FndType=1,Y26,IF(FndType=2,Y27,"Foundation Type Error"))))</f>
        <v>100% crawlspace</v>
      </c>
      <c r="AE25" s="2276" t="s">
        <v>6143</v>
      </c>
      <c r="AF25" s="2295" t="str">
        <f>IF(Nstories=1,AB25,AC25)</f>
        <v>100% crawlspace</v>
      </c>
    </row>
    <row r="26" spans="2:58" ht="17.25" customHeight="1" thickBot="1">
      <c r="F26" s="1070"/>
      <c r="V26" s="2277"/>
      <c r="W26" s="1170" t="s">
        <v>239</v>
      </c>
      <c r="X26" s="1170" t="s">
        <v>6144</v>
      </c>
      <c r="Y26" s="2265" t="s">
        <v>6144</v>
      </c>
      <c r="Z26" s="2266"/>
      <c r="AB26" s="2292"/>
      <c r="AC26" s="2292"/>
      <c r="AE26" s="2277"/>
      <c r="AF26" s="2295"/>
    </row>
    <row r="27" spans="2:58" ht="17.25" customHeight="1" thickBot="1">
      <c r="F27" s="1070"/>
      <c r="V27" s="2277"/>
      <c r="W27" s="1170" t="s">
        <v>1140</v>
      </c>
      <c r="X27" s="1170" t="s">
        <v>6145</v>
      </c>
      <c r="Y27" s="2265" t="s">
        <v>6145</v>
      </c>
      <c r="Z27" s="2266"/>
      <c r="AB27" s="2292"/>
      <c r="AC27" s="2292"/>
      <c r="AE27" s="2277"/>
      <c r="AF27" s="2295"/>
    </row>
    <row r="28" spans="2:58" ht="17.25" customHeight="1" thickBot="1">
      <c r="F28" s="1070"/>
      <c r="V28" s="1180"/>
      <c r="W28" s="1170" t="s">
        <v>6138</v>
      </c>
      <c r="X28" s="1170" t="s">
        <v>6146</v>
      </c>
      <c r="Y28" s="2265" t="s">
        <v>6146</v>
      </c>
      <c r="Z28" s="2266"/>
      <c r="AB28" s="2293"/>
      <c r="AC28" s="2293"/>
      <c r="AE28" s="1180"/>
      <c r="AF28" s="2295"/>
    </row>
    <row r="29" spans="2:58">
      <c r="F29" s="1070"/>
      <c r="BC29" s="2111"/>
      <c r="BD29" s="2111"/>
      <c r="BE29" s="2120"/>
      <c r="BF29" s="2111"/>
    </row>
    <row r="30" spans="2:58" ht="13.5" customHeight="1">
      <c r="F30" s="1070"/>
      <c r="BC30" s="2111"/>
      <c r="BD30" s="2112"/>
      <c r="BE30" s="2121" t="s">
        <v>4702</v>
      </c>
      <c r="BF30" s="2111"/>
    </row>
    <row r="31" spans="2:58" ht="13.5" customHeight="1">
      <c r="F31" s="1070"/>
      <c r="BC31" s="2111"/>
      <c r="BD31" s="2113"/>
      <c r="BE31" s="2122" t="s">
        <v>4703</v>
      </c>
      <c r="BF31" s="2111"/>
    </row>
    <row r="32" spans="2:58" ht="13.5" customHeight="1">
      <c r="F32" s="1070"/>
      <c r="BC32" s="2111"/>
      <c r="BD32" s="2114"/>
      <c r="BE32" s="2121" t="s">
        <v>4704</v>
      </c>
      <c r="BF32" s="2111"/>
    </row>
    <row r="33" spans="6:58" ht="13.5" customHeight="1">
      <c r="F33" s="1070"/>
      <c r="BC33" s="2111"/>
      <c r="BD33" s="2115" t="s">
        <v>4866</v>
      </c>
      <c r="BE33" s="2121" t="s">
        <v>4864</v>
      </c>
      <c r="BF33" s="2111"/>
    </row>
    <row r="34" spans="6:58" ht="13.5" customHeight="1">
      <c r="F34" s="1070"/>
      <c r="BC34" s="2111"/>
      <c r="BD34" s="2116" t="s">
        <v>4866</v>
      </c>
      <c r="BE34" s="2121" t="s">
        <v>4865</v>
      </c>
      <c r="BF34" s="2111"/>
    </row>
    <row r="35" spans="6:58" ht="13.5" customHeight="1">
      <c r="F35" s="1070"/>
      <c r="BC35" s="2111"/>
      <c r="BD35" s="2117" t="s">
        <v>4866</v>
      </c>
      <c r="BE35" s="2121" t="s">
        <v>6080</v>
      </c>
      <c r="BF35" s="2111"/>
    </row>
    <row r="36" spans="6:58" ht="13.5" customHeight="1">
      <c r="F36" s="1070"/>
      <c r="BC36" s="2111"/>
      <c r="BD36" s="2118" t="s">
        <v>4866</v>
      </c>
      <c r="BE36" s="2121" t="s">
        <v>6081</v>
      </c>
      <c r="BF36" s="2111"/>
    </row>
    <row r="37" spans="6:58" ht="13.5" customHeight="1">
      <c r="F37" s="1070"/>
      <c r="BC37" s="2111"/>
      <c r="BD37" s="2119" t="s">
        <v>4866</v>
      </c>
      <c r="BE37" s="2121" t="s">
        <v>6512</v>
      </c>
      <c r="BF37" s="2111"/>
    </row>
    <row r="38" spans="6:58" ht="12" customHeight="1">
      <c r="F38" s="1070"/>
      <c r="BC38" s="2111"/>
      <c r="BD38" s="2111"/>
      <c r="BE38" s="2111"/>
      <c r="BF38" s="2111"/>
    </row>
    <row r="39" spans="6:58" ht="13.5" customHeight="1">
      <c r="F39" s="1070"/>
      <c r="BC39" s="2057"/>
      <c r="BF39" s="2057"/>
    </row>
    <row r="40" spans="6:58">
      <c r="F40" s="1070"/>
    </row>
    <row r="41" spans="6:58">
      <c r="F41" s="1070"/>
    </row>
    <row r="42" spans="6:58">
      <c r="F42" s="1070"/>
    </row>
    <row r="43" spans="6:58">
      <c r="F43" s="1070"/>
    </row>
    <row r="44" spans="6:58">
      <c r="F44" s="1070"/>
    </row>
    <row r="45" spans="6:58">
      <c r="F45" s="1070"/>
    </row>
    <row r="46" spans="6:58">
      <c r="F46" s="1070"/>
    </row>
  </sheetData>
  <mergeCells count="69">
    <mergeCell ref="AF18:AF24"/>
    <mergeCell ref="AF25:AF28"/>
    <mergeCell ref="AK3:AL3"/>
    <mergeCell ref="AN3:AP3"/>
    <mergeCell ref="AR3:AS3"/>
    <mergeCell ref="AB25:AB28"/>
    <mergeCell ref="AC25:AC28"/>
    <mergeCell ref="AB18:AB24"/>
    <mergeCell ref="AC18:AC24"/>
    <mergeCell ref="AF3:AF4"/>
    <mergeCell ref="AF6:AF7"/>
    <mergeCell ref="AF10:AF11"/>
    <mergeCell ref="AF15:AF17"/>
    <mergeCell ref="AE3:AE4"/>
    <mergeCell ref="AE6:AE7"/>
    <mergeCell ref="AE15:AE17"/>
    <mergeCell ref="AE18:AE23"/>
    <mergeCell ref="AE25:AE27"/>
    <mergeCell ref="AB15:AB17"/>
    <mergeCell ref="AC15:AC17"/>
    <mergeCell ref="AB3:AC3"/>
    <mergeCell ref="Y28:Z28"/>
    <mergeCell ref="Y27:Z27"/>
    <mergeCell ref="V3:V4"/>
    <mergeCell ref="W3:W4"/>
    <mergeCell ref="X3:Z3"/>
    <mergeCell ref="V6:V7"/>
    <mergeCell ref="W6:W7"/>
    <mergeCell ref="X7:Y7"/>
    <mergeCell ref="X9:Z9"/>
    <mergeCell ref="W10:W11"/>
    <mergeCell ref="X10:Z11"/>
    <mergeCell ref="X14:Z14"/>
    <mergeCell ref="V15:V17"/>
    <mergeCell ref="V18:V23"/>
    <mergeCell ref="W18:W19"/>
    <mergeCell ref="X18:X19"/>
    <mergeCell ref="Y15:Z15"/>
    <mergeCell ref="Y16:Z16"/>
    <mergeCell ref="X8:Z8"/>
    <mergeCell ref="X12:Z12"/>
    <mergeCell ref="V25:V27"/>
    <mergeCell ref="Y22:Z23"/>
    <mergeCell ref="Y17:Z17"/>
    <mergeCell ref="X20:X21"/>
    <mergeCell ref="Y20:Z21"/>
    <mergeCell ref="Y18:Z19"/>
    <mergeCell ref="W20:W21"/>
    <mergeCell ref="Y24:Z24"/>
    <mergeCell ref="Y25:Z25"/>
    <mergeCell ref="Y26:Z26"/>
    <mergeCell ref="W22:W23"/>
    <mergeCell ref="X22:X23"/>
    <mergeCell ref="H3:H4"/>
    <mergeCell ref="I3:I4"/>
    <mergeCell ref="J3:J4"/>
    <mergeCell ref="L3:L4"/>
    <mergeCell ref="P3:P4"/>
    <mergeCell ref="AY3:AZ3"/>
    <mergeCell ref="AY11:AZ11"/>
    <mergeCell ref="AY12:AZ12"/>
    <mergeCell ref="AY13:AZ13"/>
    <mergeCell ref="Q3:Q4"/>
    <mergeCell ref="X5:Y5"/>
    <mergeCell ref="X6:Y6"/>
    <mergeCell ref="X4:Y4"/>
    <mergeCell ref="S3:S4"/>
    <mergeCell ref="T3:T4"/>
    <mergeCell ref="X13:Z13"/>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4">
    <tabColor theme="0" tint="-0.34998626667073579"/>
  </sheetPr>
  <dimension ref="A1:AD438"/>
  <sheetViews>
    <sheetView topLeftCell="A25" workbookViewId="0">
      <selection activeCell="C53" sqref="C53"/>
    </sheetView>
  </sheetViews>
  <sheetFormatPr defaultRowHeight="12.75"/>
  <cols>
    <col min="1" max="1" width="9.140625" style="1070"/>
    <col min="3" max="3" width="60" bestFit="1" customWidth="1"/>
    <col min="4" max="4" width="10.5703125" customWidth="1"/>
    <col min="5" max="5" width="10.85546875" bestFit="1" customWidth="1"/>
    <col min="6" max="6" width="9.140625" style="1070"/>
    <col min="7" max="7" width="13.7109375" style="1070" bestFit="1" customWidth="1"/>
    <col min="8" max="30" width="9.140625" style="1070"/>
  </cols>
  <sheetData>
    <row r="1" spans="1:6" s="1070" customFormat="1" ht="23.25">
      <c r="A1" s="1072" t="s">
        <v>4741</v>
      </c>
    </row>
    <row r="2" spans="1:6" s="1070" customFormat="1"/>
    <row r="3" spans="1:6">
      <c r="B3" s="631" t="s">
        <v>1362</v>
      </c>
      <c r="C3" s="55"/>
      <c r="D3" s="56"/>
      <c r="E3" s="2135" t="s">
        <v>517</v>
      </c>
      <c r="F3" s="1184" t="s">
        <v>4745</v>
      </c>
    </row>
    <row r="4" spans="1:6">
      <c r="B4" s="15"/>
      <c r="C4" s="25" t="s">
        <v>4857</v>
      </c>
      <c r="D4" s="7" t="s">
        <v>999</v>
      </c>
      <c r="E4" s="45" t="str">
        <f>IF(AND(NewConst!F111="Electric",NewConst!F271="Electric",NewConst!F325="Electric"),"YES","NO")</f>
        <v>NO</v>
      </c>
    </row>
    <row r="5" spans="1:6">
      <c r="B5" s="15"/>
      <c r="C5" s="52" t="s">
        <v>264</v>
      </c>
      <c r="D5" s="53"/>
      <c r="E5" s="57"/>
    </row>
    <row r="6" spans="1:6">
      <c r="B6" s="15"/>
      <c r="C6" s="26" t="s">
        <v>1062</v>
      </c>
      <c r="D6" s="10" t="s">
        <v>298</v>
      </c>
      <c r="E6" s="45">
        <f>(FFA*NewConst!F14/NewConst!F13)^0.5</f>
        <v>33.882148692194832</v>
      </c>
    </row>
    <row r="7" spans="1:6">
      <c r="B7" s="15"/>
      <c r="C7" s="25" t="s">
        <v>1063</v>
      </c>
      <c r="D7" s="7" t="s">
        <v>298</v>
      </c>
      <c r="E7" s="45">
        <f>(FFA/(NewConst!F14*NewConst!F13))^0.5</f>
        <v>33.882148692194832</v>
      </c>
    </row>
    <row r="8" spans="1:6">
      <c r="B8" s="15"/>
      <c r="C8" s="25" t="s">
        <v>157</v>
      </c>
      <c r="D8" s="7" t="s">
        <v>299</v>
      </c>
      <c r="E8" s="40">
        <f>FFA+IF(NewConst!F15=1, NewConst!F16, 0)</f>
        <v>3196</v>
      </c>
    </row>
    <row r="9" spans="1:6">
      <c r="B9" s="15"/>
      <c r="C9" s="25" t="s">
        <v>145</v>
      </c>
      <c r="D9" s="7" t="s">
        <v>299</v>
      </c>
      <c r="E9" s="40">
        <f>FFA+IF(NewConst!F15=1, IF(NewConst!F17="yes", NewConst!F16, 0),0)</f>
        <v>2296</v>
      </c>
    </row>
    <row r="10" spans="1:6">
      <c r="B10" s="15"/>
      <c r="C10" s="19" t="s">
        <v>768</v>
      </c>
      <c r="D10" s="7" t="s">
        <v>299</v>
      </c>
      <c r="E10" s="44">
        <f>FFA+IF(NewConst!F15=1,IF(OR(NewConst!F21="yes", NewConst!F22="yes",NewConst!F23="yes"),NewConst!F16,0),0)</f>
        <v>2296</v>
      </c>
    </row>
    <row r="11" spans="1:6">
      <c r="B11" s="15"/>
      <c r="C11" s="19" t="s">
        <v>4806</v>
      </c>
      <c r="D11" s="7" t="s">
        <v>299</v>
      </c>
      <c r="E11" s="44">
        <f>CFA_total-CFA_bsmt</f>
        <v>2296</v>
      </c>
    </row>
    <row r="12" spans="1:6">
      <c r="B12" s="15"/>
      <c r="C12" s="19" t="s">
        <v>876</v>
      </c>
      <c r="D12" s="7" t="s">
        <v>298</v>
      </c>
      <c r="E12" s="91">
        <f>2*(E6+E7)</f>
        <v>135.52859476877933</v>
      </c>
    </row>
    <row r="13" spans="1:6">
      <c r="B13" s="15"/>
      <c r="C13" s="19" t="s">
        <v>4871</v>
      </c>
      <c r="D13" s="7" t="s">
        <v>298</v>
      </c>
      <c r="E13" s="91">
        <f>E12-(NewConst!F35+NewConst!F36)</f>
        <v>135.52859476877933</v>
      </c>
    </row>
    <row r="14" spans="1:6">
      <c r="B14" s="15"/>
      <c r="C14" s="19" t="s">
        <v>4868</v>
      </c>
      <c r="D14" s="7" t="s">
        <v>299</v>
      </c>
      <c r="E14" s="91">
        <f>$E$12*NewConst!$F$34</f>
        <v>1084.2287581502346</v>
      </c>
    </row>
    <row r="15" spans="1:6">
      <c r="B15" s="15"/>
      <c r="C15" s="19" t="s">
        <v>4869</v>
      </c>
      <c r="D15" s="7" t="s">
        <v>299</v>
      </c>
      <c r="E15" s="91">
        <f>IF(NewConst!$F$15=1, NewConst!$F$20*$E$32,0)</f>
        <v>240</v>
      </c>
    </row>
    <row r="16" spans="1:6">
      <c r="B16" s="15"/>
      <c r="C16" s="19" t="s">
        <v>556</v>
      </c>
      <c r="D16" s="7" t="s">
        <v>299</v>
      </c>
      <c r="E16" s="91">
        <f>$E$12*H_FlrToFlr*Nstories+IF(NewConst!$F$15=1, NewConst!$F$32*$E$32, IF(NewConst!$F$15=2, NewConst!$F$33*$E$12, 0))</f>
        <v>3128.4575163004693</v>
      </c>
    </row>
    <row r="17" spans="2:7">
      <c r="B17" s="15"/>
      <c r="C17" s="19" t="s">
        <v>557</v>
      </c>
      <c r="D17" s="7" t="s">
        <v>299</v>
      </c>
      <c r="E17" s="44">
        <v>0</v>
      </c>
    </row>
    <row r="18" spans="2:7">
      <c r="B18" s="15"/>
      <c r="C18" s="19" t="s">
        <v>6209</v>
      </c>
      <c r="D18" s="7"/>
      <c r="E18" s="44" t="b">
        <f>OR(NewConst!F21="yes", NewConst!F22="yes",NewConst!F23="yes")</f>
        <v>0</v>
      </c>
    </row>
    <row r="19" spans="2:7">
      <c r="B19" s="15"/>
      <c r="C19" s="19" t="s">
        <v>6199</v>
      </c>
      <c r="D19" s="7" t="s">
        <v>299</v>
      </c>
      <c r="E19" s="44">
        <f>($E$12)*(H_FlrToFlr*Nstories+IF(E18,NewConst!$F$20,0))</f>
        <v>2168.4575163004693</v>
      </c>
      <c r="G19" s="1623"/>
    </row>
    <row r="20" spans="2:7">
      <c r="B20" s="15"/>
      <c r="C20" s="19" t="s">
        <v>6200</v>
      </c>
      <c r="D20" s="7" t="s">
        <v>299</v>
      </c>
      <c r="E20" s="44">
        <f>($E$12-NewConst!$F$35)*(H_FlrToFlr*Nstories+IF(E18,NewConst!$F$20,0))</f>
        <v>2168.4575163004693</v>
      </c>
    </row>
    <row r="21" spans="2:7">
      <c r="B21" s="15"/>
      <c r="C21" s="19" t="s">
        <v>952</v>
      </c>
      <c r="D21" s="7" t="s">
        <v>299</v>
      </c>
      <c r="E21" s="44">
        <f>FFA/NewConst!F13</f>
        <v>1148</v>
      </c>
    </row>
    <row r="22" spans="2:7">
      <c r="B22" s="15"/>
      <c r="C22" s="19" t="s">
        <v>6202</v>
      </c>
      <c r="D22" s="7" t="s">
        <v>299</v>
      </c>
      <c r="E22" s="44">
        <f>IF(UnitLoc&gt;=2,E21,0)</f>
        <v>0</v>
      </c>
    </row>
    <row r="23" spans="2:7">
      <c r="B23" s="15"/>
      <c r="C23" s="19" t="s">
        <v>6210</v>
      </c>
      <c r="D23" s="7" t="s">
        <v>299</v>
      </c>
      <c r="E23" s="44">
        <f>E21</f>
        <v>1148</v>
      </c>
    </row>
    <row r="24" spans="2:7">
      <c r="B24" s="15"/>
      <c r="C24" s="19" t="s">
        <v>6211</v>
      </c>
      <c r="D24" s="7" t="s">
        <v>299</v>
      </c>
      <c r="E24" s="44">
        <f>IF(OR(UnitLoc=1,UnitLoc=2),0,IF(FndType=0,0,IF(FndType=3,$E$21,IF($E$18,0,$E$21))))</f>
        <v>0</v>
      </c>
    </row>
    <row r="25" spans="2:7">
      <c r="B25" s="15"/>
      <c r="C25" s="19" t="s">
        <v>6198</v>
      </c>
      <c r="D25" s="7" t="s">
        <v>299</v>
      </c>
      <c r="E25" s="44">
        <f>E22+E20+E24</f>
        <v>2168.4575163004693</v>
      </c>
    </row>
    <row r="26" spans="2:7">
      <c r="B26" s="15"/>
      <c r="C26" s="19" t="s">
        <v>6197</v>
      </c>
      <c r="D26" s="7" t="s">
        <v>299</v>
      </c>
      <c r="E26" s="44">
        <f>E23+E19+E21</f>
        <v>4464.4575163004693</v>
      </c>
    </row>
    <row r="27" spans="2:7" ht="48" customHeight="1">
      <c r="B27" s="15"/>
      <c r="C27" s="1198" t="s">
        <v>6196</v>
      </c>
      <c r="D27" s="7"/>
      <c r="E27" s="1197">
        <f>E25/E26</f>
        <v>0.48571579153415034</v>
      </c>
    </row>
    <row r="28" spans="2:7" ht="18" customHeight="1">
      <c r="B28" s="15"/>
      <c r="C28" s="1198" t="s">
        <v>6226</v>
      </c>
      <c r="D28" s="7" t="s">
        <v>558</v>
      </c>
      <c r="E28" s="1078">
        <f>(IntCalc!$E$6*IntCalc!$E$7*NewConst!$F$34*NewConst!$F$13+IntCalc!$E$36*NewConst!$F$32+IF(NewConst!$F$24="Unvented",NewConst!$F$33*IntCalc!#REF!,0))</f>
        <v>18368</v>
      </c>
    </row>
    <row r="29" spans="2:7">
      <c r="B29" s="15"/>
      <c r="C29" s="49" t="s">
        <v>1140</v>
      </c>
      <c r="D29" s="50"/>
      <c r="E29" s="51"/>
    </row>
    <row r="30" spans="2:7">
      <c r="B30" s="15"/>
      <c r="C30" s="19" t="s">
        <v>114</v>
      </c>
      <c r="D30" s="7" t="s">
        <v>298</v>
      </c>
      <c r="E30" s="45">
        <f>IF(NewConst!F15=1, (NewConst!F16*NewConst!F14)^0.5, 0)</f>
        <v>30</v>
      </c>
    </row>
    <row r="31" spans="2:7">
      <c r="B31" s="15"/>
      <c r="C31" s="19" t="s">
        <v>113</v>
      </c>
      <c r="D31" s="7" t="s">
        <v>298</v>
      </c>
      <c r="E31" s="45">
        <f>IF(NewConst!F15=1, (NewConst!F16/NewConst!F14)^0.5, 0)</f>
        <v>30</v>
      </c>
    </row>
    <row r="32" spans="2:7">
      <c r="B32" s="15"/>
      <c r="C32" s="19" t="s">
        <v>241</v>
      </c>
      <c r="D32" s="7" t="s">
        <v>298</v>
      </c>
      <c r="E32" s="44">
        <f>IF(NewConst!F15=1, 2*(E30+E31), 0)</f>
        <v>120</v>
      </c>
    </row>
    <row r="33" spans="2:16">
      <c r="B33" s="15"/>
      <c r="C33" s="19" t="s">
        <v>143</v>
      </c>
      <c r="D33" s="7" t="s">
        <v>299</v>
      </c>
      <c r="E33" s="44">
        <f>IF(NewConst!F15=1, E32*NewConst!F32, 0)</f>
        <v>960</v>
      </c>
    </row>
    <row r="34" spans="2:16">
      <c r="B34" s="15"/>
      <c r="C34" s="19" t="s">
        <v>647</v>
      </c>
      <c r="D34" s="7" t="s">
        <v>299</v>
      </c>
      <c r="E34" s="44">
        <f>IF(NewConst!F15=1, E32*NewConst!F20, 0)</f>
        <v>240</v>
      </c>
    </row>
    <row r="35" spans="2:16">
      <c r="B35" s="15"/>
      <c r="C35" s="19" t="s">
        <v>669</v>
      </c>
      <c r="D35" s="7" t="s">
        <v>299</v>
      </c>
      <c r="E35" s="44">
        <f>IF(NewConst!F15=1, E33-E34, 0)</f>
        <v>720</v>
      </c>
    </row>
    <row r="36" spans="2:16">
      <c r="B36" s="15"/>
      <c r="C36" s="19" t="s">
        <v>974</v>
      </c>
      <c r="D36" s="7" t="s">
        <v>299</v>
      </c>
      <c r="E36" s="40">
        <f>IF(AND(OR(NewConst!F21="yes",NewConst!F22="yes", NewConst!F23="yes"), NewConst!F15=1), NewConst!F16, 0)</f>
        <v>0</v>
      </c>
    </row>
    <row r="37" spans="2:16">
      <c r="B37" s="48"/>
      <c r="C37" s="19" t="s">
        <v>1019</v>
      </c>
      <c r="D37" s="7" t="s">
        <v>299</v>
      </c>
      <c r="E37" s="44">
        <f>IF(NewConst!F15=1, NewConst!F16*NewConst!F81/100, 0)</f>
        <v>0</v>
      </c>
    </row>
    <row r="38" spans="2:16">
      <c r="B38" s="15"/>
      <c r="C38" s="19" t="s">
        <v>886</v>
      </c>
      <c r="D38" s="7" t="s">
        <v>299</v>
      </c>
      <c r="E38" s="44">
        <f>IF(NewConst!F15=1, NewConst!F16*(1-NewConst!F81/100), 0)</f>
        <v>900</v>
      </c>
      <c r="G38" s="1184"/>
    </row>
    <row r="39" spans="2:16">
      <c r="B39" s="15"/>
      <c r="C39" s="49" t="s">
        <v>1046</v>
      </c>
      <c r="D39" s="50"/>
      <c r="E39" s="51"/>
      <c r="G39" s="2141"/>
    </row>
    <row r="40" spans="2:16">
      <c r="B40" s="15"/>
      <c r="C40" s="19" t="s">
        <v>6516</v>
      </c>
      <c r="D40" s="7" t="s">
        <v>298</v>
      </c>
      <c r="E40" s="2137">
        <f>(1.29*NewConst!E$205^4-2.23*NewConst!E$205^3+1.76*NewConst!E$205^2-0.82*NewConst!E$205+1.170886)</f>
        <v>1.0000000144000003</v>
      </c>
      <c r="F40" s="2137">
        <f>(1.29*NewConst!F$205^4-2.23*NewConst!F$205^3+1.76*NewConst!F$205^2-0.82*NewConst!F$205+1.170886)</f>
        <v>1.0546176464000001</v>
      </c>
      <c r="J40" s="1219"/>
      <c r="K40" s="1219"/>
      <c r="L40" s="1219"/>
      <c r="M40" s="1219"/>
      <c r="N40" s="1219"/>
      <c r="O40" s="1219"/>
      <c r="P40" s="1219"/>
    </row>
    <row r="41" spans="2:16">
      <c r="B41" s="15"/>
      <c r="C41" s="19" t="s">
        <v>6518</v>
      </c>
      <c r="D41" s="7" t="s">
        <v>298</v>
      </c>
      <c r="E41" s="2137">
        <f>(1.29*NewConst!E$209^4-2.23*NewConst!E$209^3+1.76*NewConst!E$209^2-0.82*NewConst!E$209+1.170886)</f>
        <v>1.0000000144000003</v>
      </c>
      <c r="F41" s="2137">
        <f>(1.29*NewConst!F$209^4-2.23*NewConst!F$209^3+1.76*NewConst!F$209^2-0.82*NewConst!F$209+1.170886)</f>
        <v>1.0000000144000003</v>
      </c>
      <c r="G41" s="2138"/>
      <c r="H41" s="2138"/>
      <c r="I41" s="2138"/>
      <c r="J41" s="2139"/>
      <c r="K41" s="2139"/>
      <c r="L41" s="1219"/>
      <c r="M41" s="1219"/>
      <c r="N41" s="1219"/>
      <c r="O41" s="1219"/>
      <c r="P41" s="1219"/>
    </row>
    <row r="42" spans="2:16">
      <c r="B42" s="15"/>
      <c r="C42" s="19" t="s">
        <v>6517</v>
      </c>
      <c r="D42" s="7" t="s">
        <v>298</v>
      </c>
      <c r="E42" s="2137">
        <f>(1.29*NewConst!E$213^4-2.23*NewConst!E$213^3+1.76*NewConst!E$213^2-0.82*NewConst!E$213+1.170886)</f>
        <v>1.0000000144000003</v>
      </c>
      <c r="F42" s="2137">
        <f>(1.29*NewConst!F$213^4-2.23*NewConst!F$213^3+1.76*NewConst!F$213^2-0.82*NewConst!F$213+1.170886)</f>
        <v>1.0000000144000003</v>
      </c>
      <c r="J42" s="1219"/>
      <c r="K42" s="1219"/>
      <c r="L42" s="1219"/>
      <c r="M42" s="1219"/>
      <c r="N42" s="1219"/>
      <c r="O42" s="1219"/>
      <c r="P42" s="1219"/>
    </row>
    <row r="43" spans="2:16" s="1070" customFormat="1">
      <c r="J43" s="1219"/>
      <c r="K43" s="1219"/>
      <c r="L43" s="1219"/>
      <c r="M43" s="1219"/>
      <c r="N43" s="1219"/>
      <c r="O43" s="1219"/>
      <c r="P43" s="1219"/>
    </row>
    <row r="44" spans="2:16" s="1070" customFormat="1">
      <c r="C44" s="335" t="s">
        <v>6357</v>
      </c>
      <c r="D44" s="336"/>
      <c r="E44" s="337"/>
      <c r="J44" s="1219"/>
      <c r="K44" s="2140"/>
      <c r="L44" s="2140"/>
      <c r="M44" s="1219"/>
      <c r="N44" s="2140"/>
      <c r="O44" s="1219"/>
      <c r="P44" s="1219"/>
    </row>
    <row r="45" spans="2:16" s="1070" customFormat="1" ht="22.5">
      <c r="C45" s="1274" t="s">
        <v>6358</v>
      </c>
      <c r="D45" s="1274" t="s">
        <v>6358</v>
      </c>
      <c r="E45" s="1273">
        <f>1/0.03412</f>
        <v>29.308323563892149</v>
      </c>
      <c r="J45" s="1219"/>
      <c r="K45" s="2140"/>
      <c r="L45" s="2140"/>
      <c r="M45" s="1219"/>
      <c r="N45" s="2140"/>
      <c r="O45" s="1219"/>
      <c r="P45" s="1219"/>
    </row>
    <row r="46" spans="2:16" s="1070" customFormat="1" ht="22.5">
      <c r="C46" s="1274" t="s">
        <v>6359</v>
      </c>
      <c r="D46" s="1274" t="s">
        <v>6359</v>
      </c>
      <c r="E46" s="1273">
        <f>0.03412</f>
        <v>3.4119999999999998E-2</v>
      </c>
      <c r="J46" s="1219"/>
      <c r="K46" s="2140"/>
      <c r="L46" s="2140"/>
      <c r="M46" s="1219"/>
      <c r="N46" s="2140"/>
      <c r="O46" s="1219"/>
      <c r="P46" s="1219"/>
    </row>
    <row r="47" spans="2:16" s="1070" customFormat="1" ht="22.5">
      <c r="C47" s="1274" t="s">
        <v>6365</v>
      </c>
      <c r="D47" s="1274" t="s">
        <v>6365</v>
      </c>
      <c r="E47" s="1284">
        <f>100000</f>
        <v>100000</v>
      </c>
      <c r="J47" s="1219"/>
      <c r="K47" s="2140"/>
      <c r="L47" s="2140"/>
      <c r="M47" s="1219"/>
      <c r="N47" s="2140"/>
      <c r="O47" s="1219"/>
      <c r="P47" s="1219"/>
    </row>
    <row r="48" spans="2:16" s="1070" customFormat="1">
      <c r="C48" s="1274" t="s">
        <v>6366</v>
      </c>
      <c r="D48" s="1274" t="s">
        <v>6366</v>
      </c>
      <c r="E48" s="1283">
        <f>3412</f>
        <v>3412</v>
      </c>
      <c r="G48" s="1184"/>
      <c r="J48" s="1219"/>
      <c r="K48" s="2140"/>
      <c r="L48" s="2140"/>
      <c r="M48" s="1219"/>
      <c r="N48" s="2140"/>
      <c r="O48" s="1219"/>
      <c r="P48" s="1219"/>
    </row>
    <row r="49" spans="2:16" s="1070" customFormat="1">
      <c r="J49" s="1219"/>
      <c r="K49" s="2140"/>
      <c r="L49" s="2140"/>
      <c r="M49" s="1219"/>
      <c r="N49" s="2140"/>
      <c r="O49" s="1219"/>
      <c r="P49" s="1219"/>
    </row>
    <row r="50" spans="2:16" s="1070" customFormat="1">
      <c r="J50" s="1219"/>
      <c r="K50" s="2140"/>
      <c r="L50" s="2140"/>
      <c r="M50" s="1219"/>
      <c r="N50" s="2140"/>
      <c r="O50" s="1219"/>
      <c r="P50" s="1219"/>
    </row>
    <row r="51" spans="2:16" s="1070" customFormat="1">
      <c r="J51" s="1219"/>
      <c r="K51" s="2140"/>
      <c r="L51" s="2140"/>
      <c r="M51" s="1219"/>
      <c r="N51" s="2140"/>
      <c r="O51" s="1219"/>
      <c r="P51" s="1219"/>
    </row>
    <row r="52" spans="2:16" s="1070" customFormat="1">
      <c r="J52" s="1219"/>
      <c r="K52" s="2140"/>
      <c r="L52" s="2140"/>
      <c r="M52" s="1219"/>
      <c r="N52" s="2140"/>
      <c r="O52" s="1219"/>
      <c r="P52" s="1219"/>
    </row>
    <row r="53" spans="2:16" s="1070" customFormat="1">
      <c r="J53" s="1219"/>
      <c r="K53" s="2140"/>
      <c r="L53" s="2140"/>
      <c r="M53" s="1219"/>
      <c r="N53" s="2140"/>
      <c r="O53" s="1219"/>
      <c r="P53" s="1219"/>
    </row>
    <row r="54" spans="2:16" s="1070" customFormat="1">
      <c r="J54" s="1219"/>
      <c r="K54" s="2140"/>
      <c r="L54" s="2140"/>
      <c r="M54" s="1219"/>
      <c r="N54" s="2140"/>
      <c r="O54" s="1219"/>
      <c r="P54" s="1219"/>
    </row>
    <row r="55" spans="2:16" s="1070" customFormat="1">
      <c r="J55" s="1219"/>
      <c r="K55" s="2140"/>
      <c r="L55" s="2140"/>
      <c r="M55" s="1219"/>
      <c r="N55" s="2140"/>
      <c r="O55" s="1219"/>
      <c r="P55" s="1219"/>
    </row>
    <row r="56" spans="2:16" s="1070" customFormat="1">
      <c r="J56" s="1219"/>
      <c r="K56" s="2140"/>
      <c r="L56" s="2140"/>
      <c r="M56" s="1219"/>
      <c r="N56" s="2140"/>
      <c r="O56" s="1219"/>
      <c r="P56" s="1219"/>
    </row>
    <row r="57" spans="2:16" s="1070" customFormat="1">
      <c r="J57" s="1219"/>
      <c r="K57" s="2140"/>
      <c r="L57" s="2140"/>
      <c r="M57" s="1219"/>
      <c r="N57" s="2140"/>
      <c r="O57" s="1219"/>
      <c r="P57" s="1219"/>
    </row>
    <row r="58" spans="2:16">
      <c r="B58" s="1070"/>
      <c r="C58" s="1070"/>
      <c r="D58" s="1070"/>
      <c r="E58" s="1070"/>
      <c r="J58" s="1219"/>
      <c r="K58" s="2140"/>
      <c r="L58" s="2140"/>
      <c r="M58" s="1219"/>
      <c r="N58" s="2140"/>
      <c r="O58" s="1219"/>
      <c r="P58" s="1219"/>
    </row>
    <row r="59" spans="2:16">
      <c r="B59" s="1070"/>
      <c r="C59" s="1070"/>
      <c r="D59" s="1070"/>
      <c r="E59" s="1070"/>
      <c r="J59" s="1219"/>
      <c r="K59" s="2140"/>
      <c r="L59" s="2140"/>
      <c r="M59" s="1219"/>
      <c r="N59" s="2140"/>
      <c r="O59" s="1219"/>
      <c r="P59" s="1219"/>
    </row>
    <row r="60" spans="2:16">
      <c r="B60" s="1070"/>
      <c r="C60" s="1070"/>
      <c r="D60" s="1070"/>
      <c r="E60" s="1070"/>
      <c r="J60" s="1219"/>
      <c r="K60" s="2140"/>
      <c r="L60" s="2140"/>
      <c r="M60" s="1219"/>
      <c r="N60" s="2140"/>
      <c r="O60" s="1219"/>
      <c r="P60" s="1219"/>
    </row>
    <row r="61" spans="2:16">
      <c r="B61" s="1070"/>
      <c r="C61" s="1070"/>
      <c r="D61" s="1070"/>
      <c r="E61" s="1070"/>
      <c r="J61" s="1219"/>
      <c r="K61" s="2140"/>
      <c r="L61" s="2140"/>
      <c r="M61" s="1219"/>
      <c r="N61" s="2140"/>
      <c r="O61" s="1219"/>
      <c r="P61" s="1219"/>
    </row>
    <row r="62" spans="2:16">
      <c r="B62" s="1070"/>
      <c r="C62" s="1070"/>
      <c r="D62" s="1070"/>
      <c r="E62" s="1070"/>
      <c r="J62" s="1219"/>
      <c r="K62" s="2140"/>
      <c r="L62" s="2140"/>
      <c r="M62" s="1219"/>
      <c r="N62" s="2140"/>
      <c r="O62" s="1219"/>
      <c r="P62" s="1219"/>
    </row>
    <row r="63" spans="2:16">
      <c r="B63" s="1070"/>
      <c r="C63" s="1070"/>
      <c r="D63" s="1070"/>
      <c r="E63" s="1070"/>
      <c r="J63" s="1219"/>
      <c r="K63" s="2140"/>
      <c r="L63" s="2140"/>
      <c r="M63" s="1219"/>
      <c r="N63" s="2140"/>
      <c r="O63" s="1219"/>
      <c r="P63" s="1219"/>
    </row>
    <row r="64" spans="2:16">
      <c r="B64" s="1070"/>
      <c r="C64" s="1070"/>
      <c r="D64" s="1070"/>
      <c r="E64" s="1070"/>
      <c r="J64" s="1219"/>
      <c r="K64" s="2140"/>
      <c r="L64" s="2140"/>
      <c r="M64" s="1219"/>
      <c r="N64" s="2140"/>
      <c r="O64" s="1219"/>
      <c r="P64" s="1219"/>
    </row>
    <row r="65" spans="2:16">
      <c r="B65" s="1070"/>
      <c r="C65" s="1070"/>
      <c r="D65" s="1070"/>
      <c r="E65" s="1070"/>
      <c r="J65" s="1219"/>
      <c r="K65" s="1219"/>
      <c r="L65" s="1219"/>
      <c r="M65" s="1219"/>
      <c r="N65" s="1219"/>
      <c r="O65" s="1219"/>
      <c r="P65" s="1219"/>
    </row>
    <row r="66" spans="2:16">
      <c r="B66" s="1070"/>
      <c r="C66" s="1070"/>
      <c r="D66" s="1070"/>
      <c r="E66" s="1070"/>
      <c r="J66" s="1219"/>
      <c r="K66" s="1219"/>
      <c r="L66" s="1219"/>
      <c r="M66" s="1219"/>
      <c r="N66" s="1219"/>
      <c r="O66" s="1219"/>
      <c r="P66" s="1219"/>
    </row>
    <row r="67" spans="2:16">
      <c r="B67" s="1070"/>
      <c r="C67" s="1070"/>
      <c r="D67" s="1070"/>
      <c r="E67" s="1070"/>
      <c r="J67" s="1219"/>
      <c r="K67" s="1219"/>
      <c r="L67" s="1219"/>
      <c r="M67" s="1219"/>
      <c r="N67" s="1219"/>
      <c r="O67" s="1219"/>
      <c r="P67" s="1219"/>
    </row>
    <row r="68" spans="2:16">
      <c r="B68" s="1070"/>
      <c r="C68" s="1070"/>
      <c r="D68" s="1070"/>
      <c r="E68" s="1070"/>
      <c r="J68" s="1219"/>
      <c r="K68" s="1219"/>
      <c r="L68" s="1219"/>
      <c r="M68" s="1219"/>
      <c r="N68" s="1219"/>
      <c r="O68" s="1219"/>
      <c r="P68" s="1219"/>
    </row>
    <row r="69" spans="2:16">
      <c r="B69" s="1070"/>
      <c r="C69" s="1070"/>
      <c r="D69" s="1070"/>
      <c r="E69" s="1070"/>
      <c r="J69" s="1219"/>
      <c r="K69" s="1219"/>
      <c r="L69" s="1219"/>
      <c r="M69" s="1219"/>
      <c r="N69" s="1219"/>
      <c r="O69" s="1219"/>
      <c r="P69" s="1219"/>
    </row>
    <row r="70" spans="2:16">
      <c r="B70" s="1070"/>
      <c r="C70" s="1070"/>
      <c r="D70" s="1070"/>
      <c r="E70" s="1070"/>
      <c r="J70" s="1219"/>
      <c r="K70" s="1219"/>
      <c r="L70" s="1219"/>
      <c r="M70" s="1219"/>
      <c r="N70" s="1219"/>
      <c r="O70" s="1219"/>
      <c r="P70" s="1219"/>
    </row>
    <row r="71" spans="2:16">
      <c r="B71" s="1070"/>
      <c r="C71" s="1070"/>
      <c r="D71" s="1070"/>
      <c r="E71" s="1070"/>
      <c r="J71" s="1219"/>
      <c r="K71" s="1219"/>
      <c r="L71" s="1219"/>
      <c r="M71" s="1219"/>
      <c r="N71" s="1219"/>
      <c r="O71" s="1219"/>
      <c r="P71" s="1219"/>
    </row>
    <row r="72" spans="2:16">
      <c r="B72" s="1070"/>
      <c r="C72" s="1070"/>
      <c r="D72" s="1070"/>
      <c r="E72" s="1070"/>
      <c r="J72" s="1219"/>
      <c r="K72" s="1219"/>
      <c r="L72" s="1219"/>
      <c r="M72" s="1219"/>
      <c r="N72" s="1219"/>
      <c r="O72" s="1219"/>
      <c r="P72" s="1219"/>
    </row>
    <row r="73" spans="2:16">
      <c r="B73" s="1070"/>
      <c r="C73" s="1070"/>
      <c r="D73" s="1070"/>
      <c r="E73" s="1070"/>
      <c r="J73" s="1219"/>
      <c r="K73" s="1219"/>
      <c r="L73" s="1219"/>
      <c r="M73" s="1219"/>
      <c r="N73" s="1219"/>
      <c r="O73" s="1219"/>
      <c r="P73" s="1219"/>
    </row>
    <row r="74" spans="2:16">
      <c r="B74" s="1070"/>
      <c r="C74" s="1070"/>
      <c r="D74" s="1070"/>
      <c r="E74" s="1070"/>
      <c r="J74" s="1219"/>
      <c r="K74" s="1219"/>
      <c r="L74" s="1219"/>
      <c r="M74" s="1219"/>
      <c r="N74" s="1219"/>
      <c r="O74" s="1219"/>
      <c r="P74" s="1219"/>
    </row>
    <row r="75" spans="2:16">
      <c r="B75" s="1070"/>
      <c r="C75" s="1070"/>
      <c r="D75" s="1070"/>
      <c r="E75" s="1070"/>
      <c r="J75" s="1219"/>
      <c r="K75" s="1219"/>
      <c r="L75" s="1219"/>
      <c r="M75" s="1219"/>
      <c r="N75" s="1219"/>
      <c r="O75" s="1219"/>
      <c r="P75" s="1219"/>
    </row>
    <row r="76" spans="2:16">
      <c r="B76" s="1070"/>
      <c r="C76" s="1070"/>
      <c r="D76" s="1070"/>
      <c r="E76" s="1070"/>
      <c r="J76" s="1219"/>
      <c r="K76" s="1219"/>
      <c r="L76" s="1219"/>
      <c r="M76" s="1219"/>
      <c r="N76" s="1219"/>
      <c r="O76" s="1219"/>
      <c r="P76" s="1219"/>
    </row>
    <row r="77" spans="2:16">
      <c r="B77" s="1070"/>
      <c r="C77" s="1070"/>
      <c r="D77" s="1070"/>
      <c r="E77" s="1070"/>
    </row>
    <row r="78" spans="2:16">
      <c r="B78" s="1070"/>
      <c r="C78" s="1070"/>
      <c r="D78" s="1070"/>
      <c r="E78" s="1070"/>
    </row>
    <row r="79" spans="2:16">
      <c r="B79" s="1070"/>
      <c r="C79" s="1070"/>
      <c r="D79" s="1070"/>
      <c r="E79" s="1070"/>
    </row>
    <row r="80" spans="2:16">
      <c r="B80" s="1070"/>
      <c r="C80" s="1070"/>
      <c r="D80" s="1070"/>
      <c r="E80" s="1070"/>
    </row>
    <row r="81" spans="2:5">
      <c r="B81" s="1070"/>
      <c r="C81" s="1070"/>
      <c r="D81" s="1070"/>
      <c r="E81" s="1070"/>
    </row>
    <row r="82" spans="2:5">
      <c r="B82" s="1070"/>
      <c r="C82" s="1070"/>
      <c r="D82" s="1070"/>
      <c r="E82" s="1070"/>
    </row>
    <row r="83" spans="2:5">
      <c r="B83" s="1070"/>
      <c r="C83" s="1070"/>
      <c r="D83" s="1070"/>
      <c r="E83" s="1070"/>
    </row>
    <row r="84" spans="2:5">
      <c r="B84" s="1070"/>
      <c r="C84" s="1070"/>
      <c r="D84" s="1070"/>
      <c r="E84" s="1070"/>
    </row>
    <row r="85" spans="2:5">
      <c r="B85" s="1070"/>
      <c r="C85" s="1070"/>
      <c r="D85" s="1070"/>
      <c r="E85" s="1070"/>
    </row>
    <row r="86" spans="2:5">
      <c r="B86" s="1070"/>
      <c r="C86" s="1070"/>
      <c r="D86" s="1070"/>
      <c r="E86" s="1070"/>
    </row>
    <row r="87" spans="2:5">
      <c r="B87" s="1070"/>
      <c r="C87" s="1070"/>
      <c r="D87" s="1070"/>
      <c r="E87" s="1070"/>
    </row>
    <row r="88" spans="2:5">
      <c r="B88" s="1070"/>
      <c r="C88" s="1070"/>
      <c r="D88" s="1070"/>
      <c r="E88" s="1070"/>
    </row>
    <row r="89" spans="2:5">
      <c r="B89" s="1070"/>
      <c r="C89" s="1070"/>
      <c r="D89" s="1070"/>
      <c r="E89" s="1070"/>
    </row>
    <row r="90" spans="2:5">
      <c r="B90" s="1070"/>
      <c r="C90" s="1070"/>
      <c r="D90" s="1070"/>
      <c r="E90" s="1070"/>
    </row>
    <row r="91" spans="2:5">
      <c r="B91" s="1070"/>
      <c r="C91" s="1070"/>
      <c r="D91" s="1070"/>
      <c r="E91" s="1070"/>
    </row>
    <row r="92" spans="2:5">
      <c r="B92" s="1070"/>
      <c r="C92" s="1070"/>
      <c r="D92" s="1070"/>
      <c r="E92" s="1070"/>
    </row>
    <row r="93" spans="2:5">
      <c r="B93" s="1070"/>
      <c r="C93" s="1070"/>
      <c r="D93" s="1070"/>
      <c r="E93" s="1070"/>
    </row>
    <row r="94" spans="2:5">
      <c r="B94" s="1070"/>
      <c r="C94" s="1070"/>
      <c r="D94" s="1070"/>
      <c r="E94" s="1070"/>
    </row>
    <row r="95" spans="2:5">
      <c r="B95" s="1070"/>
      <c r="C95" s="1070"/>
      <c r="D95" s="1070"/>
      <c r="E95" s="1070"/>
    </row>
    <row r="96" spans="2:5">
      <c r="B96" s="1070"/>
      <c r="C96" s="1070"/>
      <c r="D96" s="1070"/>
      <c r="E96" s="1070"/>
    </row>
    <row r="97" spans="2:5">
      <c r="B97" s="1070"/>
      <c r="C97" s="1070"/>
      <c r="D97" s="1070"/>
      <c r="E97" s="1070"/>
    </row>
    <row r="98" spans="2:5">
      <c r="B98" s="1070"/>
      <c r="C98" s="1070"/>
      <c r="D98" s="1070"/>
      <c r="E98" s="1070"/>
    </row>
    <row r="99" spans="2:5">
      <c r="B99" s="1070"/>
      <c r="C99" s="1070"/>
      <c r="D99" s="1070"/>
      <c r="E99" s="1070"/>
    </row>
    <row r="100" spans="2:5">
      <c r="B100" s="1070"/>
      <c r="C100" s="1070"/>
      <c r="D100" s="1070"/>
      <c r="E100" s="1070"/>
    </row>
    <row r="101" spans="2:5">
      <c r="B101" s="1070"/>
      <c r="C101" s="1070"/>
      <c r="D101" s="1070"/>
      <c r="E101" s="1070"/>
    </row>
    <row r="102" spans="2:5">
      <c r="B102" s="1070"/>
      <c r="C102" s="1070"/>
      <c r="D102" s="1070"/>
      <c r="E102" s="1070"/>
    </row>
    <row r="103" spans="2:5">
      <c r="B103" s="1070"/>
      <c r="C103" s="1070"/>
      <c r="D103" s="1070"/>
      <c r="E103" s="1070"/>
    </row>
    <row r="104" spans="2:5">
      <c r="B104" s="1070"/>
      <c r="C104" s="1070"/>
      <c r="D104" s="1070"/>
      <c r="E104" s="1070"/>
    </row>
    <row r="105" spans="2:5">
      <c r="B105" s="1070"/>
      <c r="C105" s="1070"/>
      <c r="D105" s="1070"/>
      <c r="E105" s="1070"/>
    </row>
    <row r="106" spans="2:5">
      <c r="B106" s="1070"/>
      <c r="C106" s="1070"/>
      <c r="D106" s="1070"/>
      <c r="E106" s="1070"/>
    </row>
    <row r="107" spans="2:5">
      <c r="B107" s="1070"/>
      <c r="C107" s="1070"/>
      <c r="D107" s="1070"/>
      <c r="E107" s="1070"/>
    </row>
    <row r="108" spans="2:5">
      <c r="B108" s="1070"/>
      <c r="C108" s="1070"/>
      <c r="D108" s="1070"/>
      <c r="E108" s="1070"/>
    </row>
    <row r="109" spans="2:5">
      <c r="B109" s="1070"/>
      <c r="C109" s="1070"/>
      <c r="D109" s="1070"/>
      <c r="E109" s="1070"/>
    </row>
    <row r="110" spans="2:5">
      <c r="B110" s="1070"/>
      <c r="C110" s="1070"/>
      <c r="D110" s="1070"/>
      <c r="E110" s="1070"/>
    </row>
    <row r="111" spans="2:5">
      <c r="B111" s="1070"/>
      <c r="C111" s="1070"/>
      <c r="D111" s="1070"/>
      <c r="E111" s="1070"/>
    </row>
    <row r="112" spans="2:5">
      <c r="B112" s="1070"/>
      <c r="C112" s="1070"/>
      <c r="D112" s="1070"/>
      <c r="E112" s="1070"/>
    </row>
    <row r="113" spans="2:5">
      <c r="B113" s="1070"/>
      <c r="C113" s="1070"/>
      <c r="D113" s="1070"/>
      <c r="E113" s="1070"/>
    </row>
    <row r="114" spans="2:5">
      <c r="B114" s="1070"/>
      <c r="C114" s="1070"/>
      <c r="D114" s="1070"/>
      <c r="E114" s="1070"/>
    </row>
    <row r="115" spans="2:5">
      <c r="B115" s="1070"/>
      <c r="C115" s="1070"/>
      <c r="D115" s="1070"/>
      <c r="E115" s="1070"/>
    </row>
    <row r="116" spans="2:5">
      <c r="B116" s="1070"/>
      <c r="C116" s="1070"/>
      <c r="D116" s="1070"/>
      <c r="E116" s="1070"/>
    </row>
    <row r="117" spans="2:5">
      <c r="B117" s="1070"/>
      <c r="C117" s="1070"/>
      <c r="D117" s="1070"/>
      <c r="E117" s="1070"/>
    </row>
    <row r="118" spans="2:5">
      <c r="B118" s="1070"/>
      <c r="C118" s="1070"/>
      <c r="D118" s="1070"/>
      <c r="E118" s="1070"/>
    </row>
    <row r="119" spans="2:5">
      <c r="B119" s="1070"/>
      <c r="C119" s="1070"/>
      <c r="D119" s="1070"/>
      <c r="E119" s="1070"/>
    </row>
    <row r="120" spans="2:5">
      <c r="B120" s="1070"/>
      <c r="C120" s="1070"/>
      <c r="D120" s="1070"/>
      <c r="E120" s="1070"/>
    </row>
    <row r="121" spans="2:5">
      <c r="B121" s="1070"/>
      <c r="C121" s="1070"/>
      <c r="D121" s="1070"/>
      <c r="E121" s="1070"/>
    </row>
    <row r="122" spans="2:5">
      <c r="B122" s="1070"/>
      <c r="C122" s="1070"/>
      <c r="D122" s="1070"/>
      <c r="E122" s="1070"/>
    </row>
    <row r="123" spans="2:5">
      <c r="B123" s="1070"/>
      <c r="C123" s="1070"/>
      <c r="D123" s="1070"/>
      <c r="E123" s="1070"/>
    </row>
    <row r="124" spans="2:5">
      <c r="B124" s="1070"/>
      <c r="C124" s="1070"/>
      <c r="D124" s="1070"/>
      <c r="E124" s="1070"/>
    </row>
    <row r="125" spans="2:5">
      <c r="B125" s="1070"/>
      <c r="C125" s="1070"/>
      <c r="D125" s="1070"/>
      <c r="E125" s="1070"/>
    </row>
    <row r="126" spans="2:5">
      <c r="B126" s="1070"/>
      <c r="C126" s="1070"/>
      <c r="D126" s="1070"/>
      <c r="E126" s="1070"/>
    </row>
    <row r="127" spans="2:5">
      <c r="B127" s="1070"/>
      <c r="C127" s="1070"/>
      <c r="D127" s="1070"/>
      <c r="E127" s="1070"/>
    </row>
    <row r="128" spans="2:5">
      <c r="B128" s="1070"/>
      <c r="C128" s="1070"/>
      <c r="D128" s="1070"/>
      <c r="E128" s="1070"/>
    </row>
    <row r="129" spans="2:5">
      <c r="B129" s="1070"/>
      <c r="C129" s="1070"/>
      <c r="D129" s="1070"/>
      <c r="E129" s="1070"/>
    </row>
    <row r="130" spans="2:5">
      <c r="B130" s="1070"/>
      <c r="C130" s="1070"/>
      <c r="D130" s="1070"/>
      <c r="E130" s="1070"/>
    </row>
    <row r="131" spans="2:5">
      <c r="B131" s="1070"/>
      <c r="C131" s="1070"/>
      <c r="D131" s="1070"/>
      <c r="E131" s="1070"/>
    </row>
    <row r="132" spans="2:5">
      <c r="B132" s="1070"/>
      <c r="C132" s="1070"/>
      <c r="D132" s="1070"/>
      <c r="E132" s="1070"/>
    </row>
    <row r="133" spans="2:5">
      <c r="B133" s="1070"/>
      <c r="C133" s="1070"/>
      <c r="D133" s="1070"/>
      <c r="E133" s="1070"/>
    </row>
    <row r="134" spans="2:5">
      <c r="B134" s="1070"/>
      <c r="C134" s="1070"/>
      <c r="D134" s="1070"/>
      <c r="E134" s="1070"/>
    </row>
    <row r="135" spans="2:5">
      <c r="B135" s="1070"/>
      <c r="C135" s="1070"/>
      <c r="D135" s="1070"/>
      <c r="E135" s="1070"/>
    </row>
    <row r="136" spans="2:5">
      <c r="B136" s="1070"/>
      <c r="C136" s="1070"/>
      <c r="D136" s="1070"/>
      <c r="E136" s="1070"/>
    </row>
    <row r="137" spans="2:5">
      <c r="B137" s="1070"/>
      <c r="C137" s="1070"/>
      <c r="D137" s="1070"/>
      <c r="E137" s="1070"/>
    </row>
    <row r="138" spans="2:5">
      <c r="B138" s="1070"/>
      <c r="C138" s="1070"/>
      <c r="D138" s="1070"/>
      <c r="E138" s="1070"/>
    </row>
    <row r="139" spans="2:5">
      <c r="B139" s="1070"/>
      <c r="C139" s="1070"/>
      <c r="D139" s="1070"/>
      <c r="E139" s="1070"/>
    </row>
    <row r="140" spans="2:5">
      <c r="B140" s="1070"/>
      <c r="C140" s="1070"/>
      <c r="D140" s="1070"/>
      <c r="E140" s="1070"/>
    </row>
    <row r="141" spans="2:5">
      <c r="B141" s="1070"/>
      <c r="C141" s="1070"/>
      <c r="D141" s="1070"/>
      <c r="E141" s="1070"/>
    </row>
    <row r="142" spans="2:5">
      <c r="B142" s="1070"/>
      <c r="C142" s="1070"/>
      <c r="D142" s="1070"/>
      <c r="E142" s="1070"/>
    </row>
    <row r="143" spans="2:5">
      <c r="B143" s="1070"/>
      <c r="C143" s="1070"/>
      <c r="D143" s="1070"/>
      <c r="E143" s="1070"/>
    </row>
    <row r="144" spans="2:5">
      <c r="B144" s="1070"/>
      <c r="C144" s="1070"/>
      <c r="D144" s="1070"/>
      <c r="E144" s="1070"/>
    </row>
    <row r="145" spans="2:5">
      <c r="B145" s="1070"/>
      <c r="C145" s="1070"/>
      <c r="D145" s="1070"/>
      <c r="E145" s="1070"/>
    </row>
    <row r="146" spans="2:5">
      <c r="B146" s="1070"/>
      <c r="C146" s="1070"/>
      <c r="D146" s="1070"/>
      <c r="E146" s="1070"/>
    </row>
    <row r="147" spans="2:5">
      <c r="B147" s="1070"/>
      <c r="C147" s="1070"/>
      <c r="D147" s="1070"/>
      <c r="E147" s="1070"/>
    </row>
    <row r="148" spans="2:5">
      <c r="B148" s="1070"/>
      <c r="C148" s="1070"/>
      <c r="D148" s="1070"/>
      <c r="E148" s="1070"/>
    </row>
    <row r="149" spans="2:5">
      <c r="B149" s="1070"/>
      <c r="C149" s="1070"/>
      <c r="D149" s="1070"/>
      <c r="E149" s="1070"/>
    </row>
    <row r="150" spans="2:5">
      <c r="B150" s="1070"/>
      <c r="C150" s="1070"/>
      <c r="D150" s="1070"/>
      <c r="E150" s="1070"/>
    </row>
    <row r="151" spans="2:5">
      <c r="B151" s="1070"/>
      <c r="C151" s="1070"/>
      <c r="D151" s="1070"/>
      <c r="E151" s="1070"/>
    </row>
    <row r="152" spans="2:5">
      <c r="B152" s="1070"/>
      <c r="C152" s="1070"/>
      <c r="D152" s="1070"/>
      <c r="E152" s="1070"/>
    </row>
    <row r="153" spans="2:5">
      <c r="B153" s="1070"/>
      <c r="C153" s="1070"/>
      <c r="D153" s="1070"/>
      <c r="E153" s="1070"/>
    </row>
    <row r="154" spans="2:5">
      <c r="B154" s="1070"/>
      <c r="C154" s="1070"/>
      <c r="D154" s="1070"/>
      <c r="E154" s="1070"/>
    </row>
    <row r="155" spans="2:5">
      <c r="B155" s="1070"/>
      <c r="C155" s="1070"/>
      <c r="D155" s="1070"/>
      <c r="E155" s="1070"/>
    </row>
    <row r="156" spans="2:5">
      <c r="B156" s="1070"/>
      <c r="C156" s="1070"/>
      <c r="D156" s="1070"/>
      <c r="E156" s="1070"/>
    </row>
    <row r="157" spans="2:5">
      <c r="B157" s="1070"/>
      <c r="C157" s="1070"/>
      <c r="D157" s="1070"/>
      <c r="E157" s="1070"/>
    </row>
    <row r="158" spans="2:5">
      <c r="B158" s="1070"/>
      <c r="C158" s="1070"/>
      <c r="D158" s="1070"/>
      <c r="E158" s="1070"/>
    </row>
    <row r="159" spans="2:5">
      <c r="B159" s="1070"/>
      <c r="C159" s="1070"/>
      <c r="D159" s="1070"/>
      <c r="E159" s="1070"/>
    </row>
    <row r="160" spans="2:5">
      <c r="B160" s="1070"/>
      <c r="C160" s="1070"/>
      <c r="D160" s="1070"/>
      <c r="E160" s="1070"/>
    </row>
    <row r="161" spans="2:5">
      <c r="B161" s="1070"/>
      <c r="C161" s="1070"/>
      <c r="D161" s="1070"/>
      <c r="E161" s="1070"/>
    </row>
    <row r="162" spans="2:5">
      <c r="B162" s="1070"/>
      <c r="C162" s="1070"/>
      <c r="D162" s="1070"/>
      <c r="E162" s="1070"/>
    </row>
    <row r="163" spans="2:5">
      <c r="B163" s="1070"/>
      <c r="C163" s="1070"/>
      <c r="D163" s="1070"/>
      <c r="E163" s="1070"/>
    </row>
    <row r="164" spans="2:5">
      <c r="B164" s="1070"/>
      <c r="C164" s="1070"/>
      <c r="D164" s="1070"/>
      <c r="E164" s="1070"/>
    </row>
    <row r="165" spans="2:5">
      <c r="B165" s="1070"/>
      <c r="C165" s="1070"/>
      <c r="D165" s="1070"/>
      <c r="E165" s="1070"/>
    </row>
    <row r="166" spans="2:5">
      <c r="B166" s="1070"/>
      <c r="C166" s="1070"/>
      <c r="D166" s="1070"/>
      <c r="E166" s="1070"/>
    </row>
    <row r="167" spans="2:5">
      <c r="B167" s="1070"/>
      <c r="C167" s="1070"/>
      <c r="D167" s="1070"/>
      <c r="E167" s="1070"/>
    </row>
    <row r="168" spans="2:5">
      <c r="B168" s="1070"/>
      <c r="C168" s="1070"/>
      <c r="D168" s="1070"/>
      <c r="E168" s="1070"/>
    </row>
    <row r="169" spans="2:5">
      <c r="B169" s="1070"/>
      <c r="C169" s="1070"/>
      <c r="D169" s="1070"/>
      <c r="E169" s="1070"/>
    </row>
    <row r="170" spans="2:5">
      <c r="B170" s="1070"/>
      <c r="C170" s="1070"/>
      <c r="D170" s="1070"/>
      <c r="E170" s="1070"/>
    </row>
    <row r="171" spans="2:5">
      <c r="B171" s="1070"/>
      <c r="C171" s="1070"/>
      <c r="D171" s="1070"/>
      <c r="E171" s="1070"/>
    </row>
    <row r="172" spans="2:5">
      <c r="B172" s="1070"/>
      <c r="C172" s="1070"/>
      <c r="D172" s="1070"/>
      <c r="E172" s="1070"/>
    </row>
    <row r="173" spans="2:5">
      <c r="B173" s="1070"/>
      <c r="C173" s="1070"/>
      <c r="D173" s="1070"/>
      <c r="E173" s="1070"/>
    </row>
    <row r="174" spans="2:5">
      <c r="B174" s="1070"/>
      <c r="C174" s="1070"/>
      <c r="D174" s="1070"/>
      <c r="E174" s="1070"/>
    </row>
    <row r="175" spans="2:5">
      <c r="B175" s="1070"/>
      <c r="C175" s="1070"/>
      <c r="D175" s="1070"/>
      <c r="E175" s="1070"/>
    </row>
    <row r="176" spans="2:5">
      <c r="B176" s="1070"/>
      <c r="C176" s="1070"/>
      <c r="D176" s="1070"/>
      <c r="E176" s="1070"/>
    </row>
    <row r="177" spans="2:5">
      <c r="B177" s="1070"/>
      <c r="C177" s="1070"/>
      <c r="D177" s="1070"/>
      <c r="E177" s="1070"/>
    </row>
    <row r="178" spans="2:5">
      <c r="B178" s="1070"/>
      <c r="C178" s="1070"/>
      <c r="D178" s="1070"/>
      <c r="E178" s="1070"/>
    </row>
    <row r="179" spans="2:5">
      <c r="B179" s="1070"/>
      <c r="C179" s="1070"/>
      <c r="D179" s="1070"/>
      <c r="E179" s="1070"/>
    </row>
    <row r="180" spans="2:5">
      <c r="B180" s="1070"/>
      <c r="C180" s="1070"/>
      <c r="D180" s="1070"/>
      <c r="E180" s="1070"/>
    </row>
    <row r="181" spans="2:5">
      <c r="B181" s="1070"/>
      <c r="C181" s="1070"/>
      <c r="D181" s="1070"/>
      <c r="E181" s="1070"/>
    </row>
    <row r="182" spans="2:5">
      <c r="B182" s="1070"/>
      <c r="C182" s="1070"/>
      <c r="D182" s="1070"/>
      <c r="E182" s="1070"/>
    </row>
    <row r="183" spans="2:5">
      <c r="B183" s="1070"/>
      <c r="C183" s="1070"/>
      <c r="D183" s="1070"/>
      <c r="E183" s="1070"/>
    </row>
    <row r="184" spans="2:5">
      <c r="B184" s="1070"/>
      <c r="C184" s="1070"/>
      <c r="D184" s="1070"/>
      <c r="E184" s="1070"/>
    </row>
    <row r="185" spans="2:5">
      <c r="B185" s="1070"/>
      <c r="C185" s="1070"/>
      <c r="D185" s="1070"/>
      <c r="E185" s="1070"/>
    </row>
    <row r="186" spans="2:5">
      <c r="B186" s="1070"/>
      <c r="C186" s="1070"/>
      <c r="D186" s="1070"/>
      <c r="E186" s="1070"/>
    </row>
    <row r="187" spans="2:5">
      <c r="B187" s="1070"/>
      <c r="C187" s="1070"/>
      <c r="D187" s="1070"/>
      <c r="E187" s="1070"/>
    </row>
    <row r="188" spans="2:5">
      <c r="B188" s="1070"/>
      <c r="C188" s="1070"/>
      <c r="D188" s="1070"/>
      <c r="E188" s="1070"/>
    </row>
    <row r="189" spans="2:5">
      <c r="B189" s="1070"/>
      <c r="C189" s="1070"/>
      <c r="D189" s="1070"/>
      <c r="E189" s="1070"/>
    </row>
    <row r="190" spans="2:5">
      <c r="B190" s="1070"/>
      <c r="C190" s="1070"/>
      <c r="D190" s="1070"/>
      <c r="E190" s="1070"/>
    </row>
    <row r="191" spans="2:5">
      <c r="B191" s="1070"/>
      <c r="C191" s="1070"/>
      <c r="D191" s="1070"/>
      <c r="E191" s="1070"/>
    </row>
    <row r="192" spans="2:5">
      <c r="B192" s="1070"/>
      <c r="C192" s="1070"/>
      <c r="D192" s="1070"/>
      <c r="E192" s="1070"/>
    </row>
    <row r="193" spans="2:5">
      <c r="B193" s="1070"/>
      <c r="C193" s="1070"/>
      <c r="D193" s="1070"/>
      <c r="E193" s="1070"/>
    </row>
    <row r="194" spans="2:5">
      <c r="B194" s="1070"/>
      <c r="C194" s="1070"/>
      <c r="D194" s="1070"/>
      <c r="E194" s="1070"/>
    </row>
    <row r="195" spans="2:5">
      <c r="B195" s="1070"/>
      <c r="C195" s="1070"/>
      <c r="D195" s="1070"/>
      <c r="E195" s="1070"/>
    </row>
    <row r="196" spans="2:5">
      <c r="B196" s="1070"/>
      <c r="C196" s="1070"/>
      <c r="D196" s="1070"/>
      <c r="E196" s="1070"/>
    </row>
    <row r="197" spans="2:5">
      <c r="B197" s="1070"/>
      <c r="C197" s="1070"/>
      <c r="D197" s="1070"/>
      <c r="E197" s="1070"/>
    </row>
    <row r="198" spans="2:5">
      <c r="B198" s="1070"/>
      <c r="C198" s="1070"/>
      <c r="D198" s="1070"/>
      <c r="E198" s="1070"/>
    </row>
    <row r="199" spans="2:5">
      <c r="B199" s="1070"/>
      <c r="C199" s="1070"/>
      <c r="D199" s="1070"/>
      <c r="E199" s="1070"/>
    </row>
    <row r="200" spans="2:5">
      <c r="B200" s="1070"/>
      <c r="C200" s="1070"/>
      <c r="D200" s="1070"/>
      <c r="E200" s="1070"/>
    </row>
    <row r="201" spans="2:5">
      <c r="B201" s="1070"/>
      <c r="C201" s="1070"/>
      <c r="D201" s="1070"/>
      <c r="E201" s="1070"/>
    </row>
    <row r="202" spans="2:5">
      <c r="B202" s="1070"/>
      <c r="C202" s="1070"/>
      <c r="D202" s="1070"/>
      <c r="E202" s="1070"/>
    </row>
    <row r="203" spans="2:5">
      <c r="B203" s="1070"/>
      <c r="C203" s="1070"/>
      <c r="D203" s="1070"/>
      <c r="E203" s="1070"/>
    </row>
    <row r="204" spans="2:5">
      <c r="B204" s="1070"/>
      <c r="C204" s="1070"/>
      <c r="D204" s="1070"/>
      <c r="E204" s="1070"/>
    </row>
    <row r="205" spans="2:5">
      <c r="B205" s="1070"/>
      <c r="C205" s="1070"/>
      <c r="D205" s="1070"/>
      <c r="E205" s="1070"/>
    </row>
    <row r="206" spans="2:5">
      <c r="B206" s="1070"/>
      <c r="C206" s="1070"/>
      <c r="D206" s="1070"/>
      <c r="E206" s="1070"/>
    </row>
    <row r="207" spans="2:5">
      <c r="B207" s="1070"/>
      <c r="C207" s="1070"/>
      <c r="D207" s="1070"/>
      <c r="E207" s="1070"/>
    </row>
    <row r="208" spans="2:5">
      <c r="B208" s="1070"/>
      <c r="C208" s="1070"/>
      <c r="D208" s="1070"/>
      <c r="E208" s="1070"/>
    </row>
    <row r="209" spans="2:5">
      <c r="B209" s="1070"/>
      <c r="C209" s="1070"/>
      <c r="D209" s="1070"/>
      <c r="E209" s="1070"/>
    </row>
    <row r="210" spans="2:5">
      <c r="B210" s="1070"/>
      <c r="C210" s="1070"/>
      <c r="D210" s="1070"/>
      <c r="E210" s="1070"/>
    </row>
    <row r="211" spans="2:5">
      <c r="B211" s="1070"/>
      <c r="C211" s="1070"/>
      <c r="D211" s="1070"/>
      <c r="E211" s="1070"/>
    </row>
    <row r="212" spans="2:5">
      <c r="B212" s="1070"/>
      <c r="C212" s="1070"/>
      <c r="D212" s="1070"/>
      <c r="E212" s="1070"/>
    </row>
    <row r="213" spans="2:5">
      <c r="B213" s="1070"/>
      <c r="C213" s="1070"/>
      <c r="D213" s="1070"/>
      <c r="E213" s="1070"/>
    </row>
    <row r="214" spans="2:5">
      <c r="B214" s="1070"/>
      <c r="C214" s="1070"/>
      <c r="D214" s="1070"/>
      <c r="E214" s="1070"/>
    </row>
    <row r="215" spans="2:5">
      <c r="B215" s="1070"/>
      <c r="C215" s="1070"/>
      <c r="D215" s="1070"/>
      <c r="E215" s="1070"/>
    </row>
    <row r="216" spans="2:5">
      <c r="B216" s="1070"/>
      <c r="C216" s="1070"/>
      <c r="D216" s="1070"/>
      <c r="E216" s="1070"/>
    </row>
    <row r="217" spans="2:5">
      <c r="B217" s="1070"/>
      <c r="C217" s="1070"/>
      <c r="D217" s="1070"/>
      <c r="E217" s="1070"/>
    </row>
    <row r="218" spans="2:5">
      <c r="B218" s="1070"/>
      <c r="C218" s="1070"/>
      <c r="D218" s="1070"/>
      <c r="E218" s="1070"/>
    </row>
    <row r="219" spans="2:5">
      <c r="B219" s="1070"/>
      <c r="C219" s="1070"/>
      <c r="D219" s="1070"/>
      <c r="E219" s="1070"/>
    </row>
    <row r="220" spans="2:5">
      <c r="B220" s="1070"/>
      <c r="C220" s="1070"/>
      <c r="D220" s="1070"/>
      <c r="E220" s="1070"/>
    </row>
    <row r="221" spans="2:5">
      <c r="B221" s="1070"/>
      <c r="C221" s="1070"/>
      <c r="D221" s="1070"/>
      <c r="E221" s="1070"/>
    </row>
    <row r="222" spans="2:5">
      <c r="B222" s="1070"/>
      <c r="C222" s="1070"/>
      <c r="D222" s="1070"/>
      <c r="E222" s="1070"/>
    </row>
    <row r="223" spans="2:5">
      <c r="B223" s="1070"/>
      <c r="C223" s="1070"/>
      <c r="D223" s="1070"/>
      <c r="E223" s="1070"/>
    </row>
    <row r="224" spans="2:5">
      <c r="B224" s="1070"/>
      <c r="C224" s="1070"/>
      <c r="D224" s="1070"/>
      <c r="E224" s="1070"/>
    </row>
    <row r="225" spans="2:5">
      <c r="B225" s="1070"/>
      <c r="C225" s="1070"/>
      <c r="D225" s="1070"/>
      <c r="E225" s="1070"/>
    </row>
    <row r="226" spans="2:5">
      <c r="B226" s="1070"/>
      <c r="C226" s="1070"/>
      <c r="D226" s="1070"/>
      <c r="E226" s="1070"/>
    </row>
    <row r="227" spans="2:5">
      <c r="B227" s="1070"/>
      <c r="C227" s="1070"/>
      <c r="D227" s="1070"/>
      <c r="E227" s="1070"/>
    </row>
    <row r="228" spans="2:5">
      <c r="B228" s="1070"/>
      <c r="C228" s="1070"/>
      <c r="D228" s="1070"/>
      <c r="E228" s="1070"/>
    </row>
    <row r="229" spans="2:5">
      <c r="B229" s="1070"/>
      <c r="C229" s="1070"/>
      <c r="D229" s="1070"/>
      <c r="E229" s="1070"/>
    </row>
    <row r="230" spans="2:5">
      <c r="B230" s="1070"/>
      <c r="C230" s="1070"/>
      <c r="D230" s="1070"/>
      <c r="E230" s="1070"/>
    </row>
    <row r="231" spans="2:5">
      <c r="B231" s="1070"/>
      <c r="C231" s="1070"/>
      <c r="D231" s="1070"/>
      <c r="E231" s="1070"/>
    </row>
    <row r="232" spans="2:5">
      <c r="B232" s="1070"/>
      <c r="C232" s="1070"/>
      <c r="D232" s="1070"/>
      <c r="E232" s="1070"/>
    </row>
    <row r="233" spans="2:5">
      <c r="B233" s="1070"/>
      <c r="C233" s="1070"/>
      <c r="D233" s="1070"/>
      <c r="E233" s="1070"/>
    </row>
    <row r="234" spans="2:5">
      <c r="B234" s="1070"/>
      <c r="C234" s="1070"/>
      <c r="D234" s="1070"/>
      <c r="E234" s="1070"/>
    </row>
    <row r="235" spans="2:5">
      <c r="B235" s="1070"/>
      <c r="C235" s="1070"/>
      <c r="D235" s="1070"/>
      <c r="E235" s="1070"/>
    </row>
    <row r="236" spans="2:5">
      <c r="B236" s="1070"/>
      <c r="C236" s="1070"/>
      <c r="D236" s="1070"/>
      <c r="E236" s="1070"/>
    </row>
    <row r="237" spans="2:5">
      <c r="B237" s="1070"/>
      <c r="C237" s="1070"/>
      <c r="D237" s="1070"/>
      <c r="E237" s="1070"/>
    </row>
    <row r="238" spans="2:5">
      <c r="B238" s="1070"/>
      <c r="C238" s="1070"/>
      <c r="D238" s="1070"/>
      <c r="E238" s="1070"/>
    </row>
    <row r="239" spans="2:5">
      <c r="B239" s="1070"/>
      <c r="C239" s="1070"/>
      <c r="D239" s="1070"/>
      <c r="E239" s="1070"/>
    </row>
    <row r="240" spans="2:5">
      <c r="B240" s="1070"/>
      <c r="C240" s="1070"/>
      <c r="D240" s="1070"/>
      <c r="E240" s="1070"/>
    </row>
    <row r="241" spans="2:5">
      <c r="B241" s="1070"/>
      <c r="C241" s="1070"/>
      <c r="D241" s="1070"/>
      <c r="E241" s="1070"/>
    </row>
    <row r="242" spans="2:5">
      <c r="B242" s="1070"/>
      <c r="C242" s="1070"/>
      <c r="D242" s="1070"/>
      <c r="E242" s="1070"/>
    </row>
    <row r="243" spans="2:5">
      <c r="B243" s="1070"/>
      <c r="C243" s="1070"/>
      <c r="D243" s="1070"/>
      <c r="E243" s="1070"/>
    </row>
    <row r="244" spans="2:5">
      <c r="B244" s="1070"/>
      <c r="C244" s="1070"/>
      <c r="D244" s="1070"/>
      <c r="E244" s="1070"/>
    </row>
    <row r="245" spans="2:5">
      <c r="B245" s="1070"/>
      <c r="C245" s="1070"/>
      <c r="D245" s="1070"/>
      <c r="E245" s="1070"/>
    </row>
    <row r="246" spans="2:5">
      <c r="B246" s="1070"/>
      <c r="C246" s="1070"/>
      <c r="D246" s="1070"/>
      <c r="E246" s="1070"/>
    </row>
    <row r="247" spans="2:5">
      <c r="B247" s="1070"/>
      <c r="C247" s="1070"/>
      <c r="D247" s="1070"/>
      <c r="E247" s="1070"/>
    </row>
    <row r="248" spans="2:5">
      <c r="B248" s="1070"/>
      <c r="C248" s="1070"/>
      <c r="D248" s="1070"/>
      <c r="E248" s="1070"/>
    </row>
    <row r="249" spans="2:5">
      <c r="B249" s="1070"/>
      <c r="C249" s="1070"/>
      <c r="D249" s="1070"/>
      <c r="E249" s="1070"/>
    </row>
    <row r="250" spans="2:5">
      <c r="B250" s="1070"/>
      <c r="C250" s="1070"/>
      <c r="D250" s="1070"/>
      <c r="E250" s="1070"/>
    </row>
    <row r="251" spans="2:5">
      <c r="B251" s="1070"/>
      <c r="C251" s="1070"/>
      <c r="D251" s="1070"/>
      <c r="E251" s="1070"/>
    </row>
    <row r="252" spans="2:5">
      <c r="B252" s="1070"/>
      <c r="C252" s="1070"/>
      <c r="D252" s="1070"/>
      <c r="E252" s="1070"/>
    </row>
    <row r="253" spans="2:5">
      <c r="B253" s="1070"/>
      <c r="C253" s="1070"/>
      <c r="D253" s="1070"/>
      <c r="E253" s="1070"/>
    </row>
    <row r="254" spans="2:5">
      <c r="B254" s="1070"/>
      <c r="C254" s="1070"/>
      <c r="D254" s="1070"/>
      <c r="E254" s="1070"/>
    </row>
    <row r="255" spans="2:5">
      <c r="B255" s="1070"/>
      <c r="C255" s="1070"/>
      <c r="D255" s="1070"/>
      <c r="E255" s="1070"/>
    </row>
    <row r="256" spans="2:5">
      <c r="B256" s="1070"/>
      <c r="C256" s="1070"/>
      <c r="D256" s="1070"/>
      <c r="E256" s="1070"/>
    </row>
    <row r="257" spans="2:5">
      <c r="B257" s="1070"/>
      <c r="C257" s="1070"/>
      <c r="D257" s="1070"/>
      <c r="E257" s="1070"/>
    </row>
    <row r="258" spans="2:5">
      <c r="B258" s="1070"/>
      <c r="C258" s="1070"/>
      <c r="D258" s="1070"/>
      <c r="E258" s="1070"/>
    </row>
    <row r="259" spans="2:5">
      <c r="B259" s="1070"/>
      <c r="C259" s="1070"/>
      <c r="D259" s="1070"/>
      <c r="E259" s="1070"/>
    </row>
    <row r="260" spans="2:5">
      <c r="B260" s="1070"/>
      <c r="C260" s="1070"/>
      <c r="D260" s="1070"/>
      <c r="E260" s="1070"/>
    </row>
    <row r="261" spans="2:5">
      <c r="B261" s="1070"/>
      <c r="C261" s="1070"/>
      <c r="D261" s="1070"/>
      <c r="E261" s="1070"/>
    </row>
    <row r="262" spans="2:5">
      <c r="B262" s="1070"/>
      <c r="C262" s="1070"/>
      <c r="D262" s="1070"/>
      <c r="E262" s="1070"/>
    </row>
    <row r="263" spans="2:5">
      <c r="B263" s="1070"/>
      <c r="C263" s="1070"/>
      <c r="D263" s="1070"/>
      <c r="E263" s="1070"/>
    </row>
    <row r="264" spans="2:5">
      <c r="B264" s="1070"/>
      <c r="C264" s="1070"/>
      <c r="D264" s="1070"/>
      <c r="E264" s="1070"/>
    </row>
    <row r="265" spans="2:5">
      <c r="B265" s="1070"/>
      <c r="C265" s="1070"/>
      <c r="D265" s="1070"/>
      <c r="E265" s="1070"/>
    </row>
    <row r="266" spans="2:5">
      <c r="B266" s="1070"/>
      <c r="C266" s="1070"/>
      <c r="D266" s="1070"/>
      <c r="E266" s="1070"/>
    </row>
    <row r="267" spans="2:5">
      <c r="B267" s="1070"/>
      <c r="C267" s="1070"/>
      <c r="D267" s="1070"/>
      <c r="E267" s="1070"/>
    </row>
    <row r="268" spans="2:5">
      <c r="B268" s="1070"/>
      <c r="C268" s="1070"/>
      <c r="D268" s="1070"/>
      <c r="E268" s="1070"/>
    </row>
    <row r="269" spans="2:5">
      <c r="B269" s="1070"/>
      <c r="C269" s="1070"/>
      <c r="D269" s="1070"/>
      <c r="E269" s="1070"/>
    </row>
    <row r="270" spans="2:5">
      <c r="B270" s="1070"/>
      <c r="C270" s="1070"/>
      <c r="D270" s="1070"/>
      <c r="E270" s="1070"/>
    </row>
    <row r="271" spans="2:5">
      <c r="B271" s="1070"/>
      <c r="C271" s="1070"/>
      <c r="D271" s="1070"/>
      <c r="E271" s="1070"/>
    </row>
    <row r="272" spans="2:5">
      <c r="B272" s="1070"/>
      <c r="C272" s="1070"/>
      <c r="D272" s="1070"/>
      <c r="E272" s="1070"/>
    </row>
    <row r="273" spans="2:5">
      <c r="B273" s="1070"/>
      <c r="C273" s="1070"/>
      <c r="D273" s="1070"/>
      <c r="E273" s="1070"/>
    </row>
    <row r="274" spans="2:5">
      <c r="B274" s="1070"/>
      <c r="C274" s="1070"/>
      <c r="D274" s="1070"/>
      <c r="E274" s="1070"/>
    </row>
    <row r="275" spans="2:5">
      <c r="B275" s="1070"/>
      <c r="C275" s="1070"/>
      <c r="D275" s="1070"/>
      <c r="E275" s="1070"/>
    </row>
    <row r="276" spans="2:5">
      <c r="B276" s="1070"/>
      <c r="C276" s="1070"/>
      <c r="D276" s="1070"/>
      <c r="E276" s="1070"/>
    </row>
    <row r="277" spans="2:5">
      <c r="B277" s="1070"/>
      <c r="C277" s="1070"/>
      <c r="D277" s="1070"/>
      <c r="E277" s="1070"/>
    </row>
    <row r="278" spans="2:5">
      <c r="B278" s="1070"/>
      <c r="C278" s="1070"/>
      <c r="D278" s="1070"/>
      <c r="E278" s="1070"/>
    </row>
    <row r="279" spans="2:5">
      <c r="B279" s="1070"/>
      <c r="C279" s="1070"/>
      <c r="D279" s="1070"/>
      <c r="E279" s="1070"/>
    </row>
    <row r="280" spans="2:5">
      <c r="B280" s="1070"/>
      <c r="C280" s="1070"/>
      <c r="D280" s="1070"/>
      <c r="E280" s="1070"/>
    </row>
    <row r="281" spans="2:5">
      <c r="B281" s="1070"/>
      <c r="C281" s="1070"/>
      <c r="D281" s="1070"/>
      <c r="E281" s="1070"/>
    </row>
    <row r="282" spans="2:5">
      <c r="B282" s="1070"/>
      <c r="C282" s="1070"/>
      <c r="D282" s="1070"/>
      <c r="E282" s="1070"/>
    </row>
    <row r="283" spans="2:5">
      <c r="B283" s="1070"/>
      <c r="C283" s="1070"/>
      <c r="D283" s="1070"/>
      <c r="E283" s="1070"/>
    </row>
    <row r="284" spans="2:5">
      <c r="B284" s="1070"/>
      <c r="C284" s="1070"/>
      <c r="D284" s="1070"/>
      <c r="E284" s="1070"/>
    </row>
    <row r="285" spans="2:5">
      <c r="B285" s="1070"/>
      <c r="C285" s="1070"/>
      <c r="D285" s="1070"/>
      <c r="E285" s="1070"/>
    </row>
    <row r="286" spans="2:5">
      <c r="B286" s="1070"/>
      <c r="C286" s="1070"/>
      <c r="D286" s="1070"/>
      <c r="E286" s="1070"/>
    </row>
    <row r="287" spans="2:5">
      <c r="B287" s="1070"/>
      <c r="C287" s="1070"/>
      <c r="D287" s="1070"/>
      <c r="E287" s="1070"/>
    </row>
    <row r="288" spans="2:5">
      <c r="B288" s="1070"/>
      <c r="C288" s="1070"/>
      <c r="D288" s="1070"/>
      <c r="E288" s="1070"/>
    </row>
    <row r="289" spans="2:5">
      <c r="B289" s="1070"/>
      <c r="C289" s="1070"/>
      <c r="D289" s="1070"/>
      <c r="E289" s="1070"/>
    </row>
    <row r="290" spans="2:5">
      <c r="B290" s="1070"/>
      <c r="C290" s="1070"/>
      <c r="D290" s="1070"/>
      <c r="E290" s="1070"/>
    </row>
    <row r="291" spans="2:5">
      <c r="B291" s="1070"/>
      <c r="C291" s="1070"/>
      <c r="D291" s="1070"/>
      <c r="E291" s="1070"/>
    </row>
    <row r="292" spans="2:5">
      <c r="B292" s="1070"/>
      <c r="C292" s="1070"/>
      <c r="D292" s="1070"/>
      <c r="E292" s="1070"/>
    </row>
    <row r="293" spans="2:5">
      <c r="B293" s="1070"/>
      <c r="C293" s="1070"/>
      <c r="D293" s="1070"/>
      <c r="E293" s="1070"/>
    </row>
    <row r="294" spans="2:5">
      <c r="B294" s="1070"/>
      <c r="C294" s="1070"/>
      <c r="D294" s="1070"/>
      <c r="E294" s="1070"/>
    </row>
    <row r="295" spans="2:5">
      <c r="B295" s="1070"/>
      <c r="C295" s="1070"/>
      <c r="D295" s="1070"/>
      <c r="E295" s="1070"/>
    </row>
    <row r="296" spans="2:5">
      <c r="B296" s="1070"/>
      <c r="C296" s="1070"/>
      <c r="D296" s="1070"/>
      <c r="E296" s="1070"/>
    </row>
    <row r="297" spans="2:5">
      <c r="B297" s="1070"/>
      <c r="C297" s="1070"/>
      <c r="D297" s="1070"/>
      <c r="E297" s="1070"/>
    </row>
    <row r="298" spans="2:5">
      <c r="B298" s="1070"/>
      <c r="C298" s="1070"/>
      <c r="D298" s="1070"/>
      <c r="E298" s="1070"/>
    </row>
    <row r="299" spans="2:5">
      <c r="B299" s="1070"/>
      <c r="C299" s="1070"/>
      <c r="D299" s="1070"/>
      <c r="E299" s="1070"/>
    </row>
    <row r="300" spans="2:5">
      <c r="B300" s="1070"/>
      <c r="C300" s="1070"/>
      <c r="D300" s="1070"/>
      <c r="E300" s="1070"/>
    </row>
    <row r="301" spans="2:5">
      <c r="B301" s="1070"/>
      <c r="C301" s="1070"/>
      <c r="D301" s="1070"/>
      <c r="E301" s="1070"/>
    </row>
    <row r="302" spans="2:5">
      <c r="B302" s="1070"/>
      <c r="C302" s="1070"/>
      <c r="D302" s="1070"/>
      <c r="E302" s="1070"/>
    </row>
    <row r="303" spans="2:5">
      <c r="B303" s="1070"/>
      <c r="C303" s="1070"/>
      <c r="D303" s="1070"/>
      <c r="E303" s="1070"/>
    </row>
    <row r="304" spans="2:5">
      <c r="B304" s="1070"/>
      <c r="C304" s="1070"/>
      <c r="D304" s="1070"/>
      <c r="E304" s="1070"/>
    </row>
    <row r="305" spans="2:5">
      <c r="B305" s="1070"/>
      <c r="C305" s="1070"/>
      <c r="D305" s="1070"/>
      <c r="E305" s="1070"/>
    </row>
    <row r="306" spans="2:5">
      <c r="B306" s="1070"/>
      <c r="C306" s="1070"/>
      <c r="D306" s="1070"/>
      <c r="E306" s="1070"/>
    </row>
    <row r="307" spans="2:5">
      <c r="B307" s="1070"/>
      <c r="C307" s="1070"/>
      <c r="D307" s="1070"/>
      <c r="E307" s="1070"/>
    </row>
    <row r="308" spans="2:5">
      <c r="B308" s="1070"/>
      <c r="C308" s="1070"/>
      <c r="D308" s="1070"/>
      <c r="E308" s="1070"/>
    </row>
    <row r="309" spans="2:5">
      <c r="B309" s="1070"/>
      <c r="C309" s="1070"/>
      <c r="D309" s="1070"/>
      <c r="E309" s="1070"/>
    </row>
    <row r="310" spans="2:5">
      <c r="B310" s="1070"/>
      <c r="C310" s="1070"/>
      <c r="D310" s="1070"/>
      <c r="E310" s="1070"/>
    </row>
    <row r="311" spans="2:5">
      <c r="B311" s="1070"/>
      <c r="C311" s="1070"/>
      <c r="D311" s="1070"/>
      <c r="E311" s="1070"/>
    </row>
    <row r="312" spans="2:5">
      <c r="B312" s="1070"/>
      <c r="C312" s="1070"/>
      <c r="D312" s="1070"/>
      <c r="E312" s="1070"/>
    </row>
    <row r="313" spans="2:5">
      <c r="B313" s="1070"/>
      <c r="C313" s="1070"/>
      <c r="D313" s="1070"/>
      <c r="E313" s="1070"/>
    </row>
    <row r="314" spans="2:5">
      <c r="B314" s="1070"/>
      <c r="C314" s="1070"/>
      <c r="D314" s="1070"/>
      <c r="E314" s="1070"/>
    </row>
    <row r="315" spans="2:5">
      <c r="B315" s="1070"/>
      <c r="C315" s="1070"/>
      <c r="D315" s="1070"/>
      <c r="E315" s="1070"/>
    </row>
    <row r="316" spans="2:5">
      <c r="B316" s="1070"/>
      <c r="C316" s="1070"/>
      <c r="D316" s="1070"/>
      <c r="E316" s="1070"/>
    </row>
    <row r="317" spans="2:5">
      <c r="B317" s="1070"/>
      <c r="C317" s="1070"/>
      <c r="D317" s="1070"/>
      <c r="E317" s="1070"/>
    </row>
    <row r="318" spans="2:5">
      <c r="B318" s="1070"/>
      <c r="C318" s="1070"/>
      <c r="D318" s="1070"/>
      <c r="E318" s="1070"/>
    </row>
    <row r="319" spans="2:5">
      <c r="B319" s="1070"/>
      <c r="C319" s="1070"/>
      <c r="D319" s="1070"/>
      <c r="E319" s="1070"/>
    </row>
    <row r="320" spans="2:5">
      <c r="B320" s="1070"/>
      <c r="C320" s="1070"/>
      <c r="D320" s="1070"/>
      <c r="E320" s="1070"/>
    </row>
    <row r="321" spans="2:5">
      <c r="B321" s="1070"/>
      <c r="C321" s="1070"/>
      <c r="D321" s="1070"/>
      <c r="E321" s="1070"/>
    </row>
    <row r="322" spans="2:5">
      <c r="B322" s="1070"/>
      <c r="C322" s="1070"/>
      <c r="D322" s="1070"/>
      <c r="E322" s="1070"/>
    </row>
    <row r="323" spans="2:5">
      <c r="B323" s="1070"/>
      <c r="C323" s="1070"/>
      <c r="D323" s="1070"/>
      <c r="E323" s="1070"/>
    </row>
    <row r="324" spans="2:5">
      <c r="B324" s="1070"/>
      <c r="C324" s="1070"/>
      <c r="D324" s="1070"/>
      <c r="E324" s="1070"/>
    </row>
    <row r="325" spans="2:5">
      <c r="B325" s="1070"/>
      <c r="C325" s="1070"/>
      <c r="D325" s="1070"/>
      <c r="E325" s="1070"/>
    </row>
    <row r="326" spans="2:5">
      <c r="B326" s="1070"/>
      <c r="C326" s="1070"/>
      <c r="D326" s="1070"/>
      <c r="E326" s="1070"/>
    </row>
    <row r="327" spans="2:5">
      <c r="B327" s="1070"/>
      <c r="C327" s="1070"/>
      <c r="D327" s="1070"/>
      <c r="E327" s="1070"/>
    </row>
    <row r="328" spans="2:5">
      <c r="B328" s="1070"/>
      <c r="C328" s="1070"/>
      <c r="D328" s="1070"/>
      <c r="E328" s="1070"/>
    </row>
    <row r="329" spans="2:5">
      <c r="B329" s="1070"/>
      <c r="C329" s="1070"/>
      <c r="D329" s="1070"/>
      <c r="E329" s="1070"/>
    </row>
    <row r="330" spans="2:5">
      <c r="B330" s="1070"/>
      <c r="C330" s="1070"/>
      <c r="D330" s="1070"/>
      <c r="E330" s="1070"/>
    </row>
    <row r="331" spans="2:5">
      <c r="B331" s="1070"/>
      <c r="C331" s="1070"/>
      <c r="D331" s="1070"/>
      <c r="E331" s="1070"/>
    </row>
    <row r="332" spans="2:5">
      <c r="B332" s="1070"/>
      <c r="C332" s="1070"/>
      <c r="D332" s="1070"/>
      <c r="E332" s="1070"/>
    </row>
    <row r="333" spans="2:5">
      <c r="B333" s="1070"/>
      <c r="C333" s="1070"/>
      <c r="D333" s="1070"/>
      <c r="E333" s="1070"/>
    </row>
    <row r="334" spans="2:5">
      <c r="B334" s="1070"/>
      <c r="C334" s="1070"/>
      <c r="D334" s="1070"/>
      <c r="E334" s="1070"/>
    </row>
    <row r="335" spans="2:5">
      <c r="B335" s="1070"/>
      <c r="C335" s="1070"/>
      <c r="D335" s="1070"/>
      <c r="E335" s="1070"/>
    </row>
    <row r="336" spans="2:5">
      <c r="B336" s="1070"/>
      <c r="C336" s="1070"/>
      <c r="D336" s="1070"/>
      <c r="E336" s="1070"/>
    </row>
    <row r="337" spans="2:5">
      <c r="B337" s="1070"/>
      <c r="C337" s="1070"/>
      <c r="D337" s="1070"/>
      <c r="E337" s="1070"/>
    </row>
    <row r="338" spans="2:5">
      <c r="B338" s="1070"/>
      <c r="C338" s="1070"/>
      <c r="D338" s="1070"/>
      <c r="E338" s="1070"/>
    </row>
    <row r="339" spans="2:5">
      <c r="B339" s="1070"/>
      <c r="C339" s="1070"/>
      <c r="D339" s="1070"/>
      <c r="E339" s="1070"/>
    </row>
    <row r="340" spans="2:5">
      <c r="B340" s="1070"/>
      <c r="C340" s="1070"/>
      <c r="D340" s="1070"/>
      <c r="E340" s="1070"/>
    </row>
    <row r="341" spans="2:5">
      <c r="B341" s="1070"/>
      <c r="C341" s="1070"/>
      <c r="D341" s="1070"/>
      <c r="E341" s="1070"/>
    </row>
    <row r="342" spans="2:5">
      <c r="B342" s="1070"/>
      <c r="C342" s="1070"/>
      <c r="D342" s="1070"/>
      <c r="E342" s="1070"/>
    </row>
    <row r="343" spans="2:5">
      <c r="B343" s="1070"/>
      <c r="C343" s="1070"/>
      <c r="D343" s="1070"/>
      <c r="E343" s="1070"/>
    </row>
    <row r="344" spans="2:5">
      <c r="B344" s="1070"/>
      <c r="C344" s="1070"/>
      <c r="D344" s="1070"/>
      <c r="E344" s="1070"/>
    </row>
    <row r="345" spans="2:5">
      <c r="B345" s="1070"/>
      <c r="C345" s="1070"/>
      <c r="D345" s="1070"/>
      <c r="E345" s="1070"/>
    </row>
    <row r="346" spans="2:5">
      <c r="B346" s="1070"/>
      <c r="C346" s="1070"/>
      <c r="D346" s="1070"/>
      <c r="E346" s="1070"/>
    </row>
    <row r="347" spans="2:5">
      <c r="B347" s="1070"/>
      <c r="C347" s="1070"/>
      <c r="D347" s="1070"/>
      <c r="E347" s="1070"/>
    </row>
    <row r="348" spans="2:5">
      <c r="B348" s="1070"/>
      <c r="C348" s="1070"/>
      <c r="D348" s="1070"/>
      <c r="E348" s="1070"/>
    </row>
    <row r="349" spans="2:5">
      <c r="B349" s="1070"/>
      <c r="C349" s="1070"/>
      <c r="D349" s="1070"/>
      <c r="E349" s="1070"/>
    </row>
    <row r="350" spans="2:5">
      <c r="B350" s="1070"/>
      <c r="C350" s="1070"/>
      <c r="D350" s="1070"/>
      <c r="E350" s="1070"/>
    </row>
    <row r="351" spans="2:5">
      <c r="B351" s="1070"/>
      <c r="C351" s="1070"/>
      <c r="D351" s="1070"/>
      <c r="E351" s="1070"/>
    </row>
    <row r="352" spans="2:5">
      <c r="B352" s="1070"/>
      <c r="C352" s="1070"/>
      <c r="D352" s="1070"/>
      <c r="E352" s="1070"/>
    </row>
    <row r="353" spans="2:5">
      <c r="B353" s="1070"/>
      <c r="C353" s="1070"/>
      <c r="D353" s="1070"/>
      <c r="E353" s="1070"/>
    </row>
    <row r="354" spans="2:5">
      <c r="B354" s="1070"/>
      <c r="C354" s="1070"/>
      <c r="D354" s="1070"/>
      <c r="E354" s="1070"/>
    </row>
    <row r="355" spans="2:5">
      <c r="B355" s="1070"/>
      <c r="C355" s="1070"/>
      <c r="D355" s="1070"/>
      <c r="E355" s="1070"/>
    </row>
    <row r="356" spans="2:5">
      <c r="B356" s="1070"/>
      <c r="C356" s="1070"/>
      <c r="D356" s="1070"/>
      <c r="E356" s="1070"/>
    </row>
    <row r="357" spans="2:5">
      <c r="B357" s="1070"/>
      <c r="C357" s="1070"/>
      <c r="D357" s="1070"/>
      <c r="E357" s="1070"/>
    </row>
    <row r="358" spans="2:5">
      <c r="B358" s="1070"/>
      <c r="C358" s="1070"/>
      <c r="D358" s="1070"/>
      <c r="E358" s="1070"/>
    </row>
    <row r="359" spans="2:5">
      <c r="B359" s="1070"/>
      <c r="C359" s="1070"/>
      <c r="D359" s="1070"/>
      <c r="E359" s="1070"/>
    </row>
    <row r="360" spans="2:5">
      <c r="B360" s="1070"/>
      <c r="C360" s="1070"/>
      <c r="D360" s="1070"/>
      <c r="E360" s="1070"/>
    </row>
    <row r="361" spans="2:5">
      <c r="B361" s="1070"/>
      <c r="C361" s="1070"/>
      <c r="D361" s="1070"/>
      <c r="E361" s="1070"/>
    </row>
    <row r="362" spans="2:5">
      <c r="B362" s="1070"/>
      <c r="C362" s="1070"/>
      <c r="D362" s="1070"/>
      <c r="E362" s="1070"/>
    </row>
    <row r="363" spans="2:5">
      <c r="B363" s="1070"/>
      <c r="C363" s="1070"/>
      <c r="D363" s="1070"/>
      <c r="E363" s="1070"/>
    </row>
    <row r="364" spans="2:5">
      <c r="B364" s="1070"/>
      <c r="C364" s="1070"/>
      <c r="D364" s="1070"/>
      <c r="E364" s="1070"/>
    </row>
    <row r="365" spans="2:5">
      <c r="B365" s="1070"/>
      <c r="C365" s="1070"/>
      <c r="D365" s="1070"/>
      <c r="E365" s="1070"/>
    </row>
    <row r="366" spans="2:5">
      <c r="B366" s="1070"/>
      <c r="C366" s="1070"/>
      <c r="D366" s="1070"/>
      <c r="E366" s="1070"/>
    </row>
    <row r="367" spans="2:5">
      <c r="B367" s="1070"/>
      <c r="C367" s="1070"/>
      <c r="D367" s="1070"/>
      <c r="E367" s="1070"/>
    </row>
    <row r="368" spans="2:5">
      <c r="B368" s="1070"/>
      <c r="C368" s="1070"/>
      <c r="D368" s="1070"/>
      <c r="E368" s="1070"/>
    </row>
    <row r="369" spans="2:5">
      <c r="B369" s="1070"/>
      <c r="C369" s="1070"/>
      <c r="D369" s="1070"/>
      <c r="E369" s="1070"/>
    </row>
    <row r="370" spans="2:5">
      <c r="B370" s="1070"/>
      <c r="C370" s="1070"/>
      <c r="D370" s="1070"/>
      <c r="E370" s="1070"/>
    </row>
    <row r="371" spans="2:5">
      <c r="B371" s="1070"/>
      <c r="C371" s="1070"/>
      <c r="D371" s="1070"/>
      <c r="E371" s="1070"/>
    </row>
    <row r="372" spans="2:5">
      <c r="B372" s="1070"/>
      <c r="C372" s="1070"/>
      <c r="D372" s="1070"/>
      <c r="E372" s="1070"/>
    </row>
    <row r="373" spans="2:5">
      <c r="B373" s="1070"/>
      <c r="C373" s="1070"/>
      <c r="D373" s="1070"/>
      <c r="E373" s="1070"/>
    </row>
    <row r="374" spans="2:5">
      <c r="B374" s="1070"/>
      <c r="C374" s="1070"/>
      <c r="D374" s="1070"/>
      <c r="E374" s="1070"/>
    </row>
    <row r="375" spans="2:5">
      <c r="B375" s="1070"/>
      <c r="C375" s="1070"/>
      <c r="D375" s="1070"/>
      <c r="E375" s="1070"/>
    </row>
    <row r="376" spans="2:5">
      <c r="B376" s="1070"/>
      <c r="C376" s="1070"/>
      <c r="D376" s="1070"/>
      <c r="E376" s="1070"/>
    </row>
    <row r="377" spans="2:5">
      <c r="B377" s="1070"/>
      <c r="C377" s="1070"/>
      <c r="D377" s="1070"/>
      <c r="E377" s="1070"/>
    </row>
    <row r="378" spans="2:5">
      <c r="B378" s="1070"/>
      <c r="C378" s="1070"/>
      <c r="D378" s="1070"/>
      <c r="E378" s="1070"/>
    </row>
    <row r="379" spans="2:5">
      <c r="B379" s="1070"/>
      <c r="C379" s="1070"/>
      <c r="D379" s="1070"/>
      <c r="E379" s="1070"/>
    </row>
    <row r="380" spans="2:5">
      <c r="B380" s="1070"/>
      <c r="C380" s="1070"/>
      <c r="D380" s="1070"/>
      <c r="E380" s="1070"/>
    </row>
    <row r="381" spans="2:5">
      <c r="B381" s="1070"/>
      <c r="C381" s="1070"/>
      <c r="D381" s="1070"/>
      <c r="E381" s="1070"/>
    </row>
    <row r="382" spans="2:5">
      <c r="B382" s="1070"/>
      <c r="C382" s="1070"/>
      <c r="D382" s="1070"/>
      <c r="E382" s="1070"/>
    </row>
    <row r="383" spans="2:5">
      <c r="B383" s="1070"/>
      <c r="C383" s="1070"/>
      <c r="D383" s="1070"/>
      <c r="E383" s="1070"/>
    </row>
    <row r="384" spans="2:5">
      <c r="B384" s="1070"/>
      <c r="C384" s="1070"/>
      <c r="D384" s="1070"/>
      <c r="E384" s="1070"/>
    </row>
    <row r="385" spans="2:5">
      <c r="B385" s="1070"/>
      <c r="C385" s="1070"/>
      <c r="D385" s="1070"/>
      <c r="E385" s="1070"/>
    </row>
    <row r="386" spans="2:5">
      <c r="B386" s="1070"/>
      <c r="C386" s="1070"/>
      <c r="D386" s="1070"/>
      <c r="E386" s="1070"/>
    </row>
    <row r="387" spans="2:5">
      <c r="B387" s="1070"/>
      <c r="C387" s="1070"/>
      <c r="D387" s="1070"/>
      <c r="E387" s="1070"/>
    </row>
    <row r="388" spans="2:5">
      <c r="B388" s="1070"/>
      <c r="C388" s="1070"/>
      <c r="D388" s="1070"/>
      <c r="E388" s="1070"/>
    </row>
    <row r="389" spans="2:5">
      <c r="B389" s="1070"/>
      <c r="C389" s="1070"/>
      <c r="D389" s="1070"/>
      <c r="E389" s="1070"/>
    </row>
    <row r="390" spans="2:5">
      <c r="B390" s="1070"/>
      <c r="C390" s="1070"/>
      <c r="D390" s="1070"/>
      <c r="E390" s="1070"/>
    </row>
    <row r="391" spans="2:5">
      <c r="B391" s="1070"/>
      <c r="C391" s="1070"/>
      <c r="D391" s="1070"/>
      <c r="E391" s="1070"/>
    </row>
    <row r="392" spans="2:5">
      <c r="B392" s="1070"/>
      <c r="C392" s="1070"/>
      <c r="D392" s="1070"/>
      <c r="E392" s="1070"/>
    </row>
    <row r="393" spans="2:5">
      <c r="B393" s="1070"/>
      <c r="C393" s="1070"/>
      <c r="D393" s="1070"/>
      <c r="E393" s="1070"/>
    </row>
    <row r="394" spans="2:5">
      <c r="B394" s="1070"/>
      <c r="C394" s="1070"/>
      <c r="D394" s="1070"/>
      <c r="E394" s="1070"/>
    </row>
    <row r="395" spans="2:5">
      <c r="B395" s="1070"/>
      <c r="C395" s="1070"/>
      <c r="D395" s="1070"/>
      <c r="E395" s="1070"/>
    </row>
    <row r="396" spans="2:5">
      <c r="B396" s="1070"/>
      <c r="C396" s="1070"/>
      <c r="D396" s="1070"/>
      <c r="E396" s="1070"/>
    </row>
    <row r="397" spans="2:5">
      <c r="B397" s="1070"/>
      <c r="C397" s="1070"/>
      <c r="D397" s="1070"/>
      <c r="E397" s="1070"/>
    </row>
    <row r="398" spans="2:5">
      <c r="B398" s="1070"/>
      <c r="C398" s="1070"/>
      <c r="D398" s="1070"/>
      <c r="E398" s="1070"/>
    </row>
    <row r="399" spans="2:5">
      <c r="B399" s="1070"/>
      <c r="C399" s="1070"/>
      <c r="D399" s="1070"/>
      <c r="E399" s="1070"/>
    </row>
    <row r="400" spans="2:5">
      <c r="B400" s="1070"/>
      <c r="C400" s="1070"/>
      <c r="D400" s="1070"/>
      <c r="E400" s="1070"/>
    </row>
    <row r="401" spans="2:5">
      <c r="B401" s="1070"/>
      <c r="C401" s="1070"/>
      <c r="D401" s="1070"/>
      <c r="E401" s="1070"/>
    </row>
    <row r="402" spans="2:5">
      <c r="B402" s="1070"/>
      <c r="C402" s="1070"/>
      <c r="D402" s="1070"/>
      <c r="E402" s="1070"/>
    </row>
    <row r="403" spans="2:5">
      <c r="B403" s="1070"/>
      <c r="C403" s="1070"/>
      <c r="D403" s="1070"/>
      <c r="E403" s="1070"/>
    </row>
    <row r="404" spans="2:5">
      <c r="B404" s="1070"/>
      <c r="C404" s="1070"/>
      <c r="D404" s="1070"/>
      <c r="E404" s="1070"/>
    </row>
    <row r="405" spans="2:5">
      <c r="B405" s="1070"/>
      <c r="C405" s="1070"/>
      <c r="D405" s="1070"/>
      <c r="E405" s="1070"/>
    </row>
    <row r="406" spans="2:5">
      <c r="B406" s="1070"/>
      <c r="C406" s="1070"/>
      <c r="D406" s="1070"/>
      <c r="E406" s="1070"/>
    </row>
    <row r="407" spans="2:5">
      <c r="B407" s="1070"/>
      <c r="C407" s="1070"/>
      <c r="D407" s="1070"/>
      <c r="E407" s="1070"/>
    </row>
    <row r="408" spans="2:5">
      <c r="B408" s="1070"/>
      <c r="C408" s="1070"/>
      <c r="D408" s="1070"/>
      <c r="E408" s="1070"/>
    </row>
    <row r="409" spans="2:5">
      <c r="B409" s="1070"/>
      <c r="C409" s="1070"/>
      <c r="D409" s="1070"/>
      <c r="E409" s="1070"/>
    </row>
    <row r="410" spans="2:5">
      <c r="B410" s="1070"/>
      <c r="C410" s="1070"/>
      <c r="D410" s="1070"/>
      <c r="E410" s="1070"/>
    </row>
    <row r="411" spans="2:5">
      <c r="B411" s="1070"/>
      <c r="C411" s="1070"/>
      <c r="D411" s="1070"/>
      <c r="E411" s="1070"/>
    </row>
    <row r="412" spans="2:5">
      <c r="B412" s="1070"/>
      <c r="C412" s="1070"/>
      <c r="D412" s="1070"/>
      <c r="E412" s="1070"/>
    </row>
    <row r="413" spans="2:5">
      <c r="B413" s="1070"/>
      <c r="C413" s="1070"/>
      <c r="D413" s="1070"/>
      <c r="E413" s="1070"/>
    </row>
    <row r="414" spans="2:5">
      <c r="B414" s="1070"/>
      <c r="C414" s="1070"/>
      <c r="D414" s="1070"/>
      <c r="E414" s="1070"/>
    </row>
    <row r="415" spans="2:5">
      <c r="B415" s="1070"/>
      <c r="C415" s="1070"/>
      <c r="D415" s="1070"/>
      <c r="E415" s="1070"/>
    </row>
    <row r="416" spans="2:5">
      <c r="B416" s="1070"/>
      <c r="C416" s="1070"/>
      <c r="D416" s="1070"/>
      <c r="E416" s="1070"/>
    </row>
    <row r="417" spans="2:5">
      <c r="B417" s="1070"/>
      <c r="C417" s="1070"/>
      <c r="D417" s="1070"/>
      <c r="E417" s="1070"/>
    </row>
    <row r="418" spans="2:5">
      <c r="B418" s="1070"/>
      <c r="C418" s="1070"/>
      <c r="D418" s="1070"/>
      <c r="E418" s="1070"/>
    </row>
    <row r="419" spans="2:5">
      <c r="B419" s="1070"/>
      <c r="C419" s="1070"/>
      <c r="D419" s="1070"/>
      <c r="E419" s="1070"/>
    </row>
    <row r="420" spans="2:5">
      <c r="B420" s="1070"/>
      <c r="C420" s="1070"/>
      <c r="D420" s="1070"/>
      <c r="E420" s="1070"/>
    </row>
    <row r="421" spans="2:5">
      <c r="B421" s="1070"/>
      <c r="C421" s="1070"/>
      <c r="D421" s="1070"/>
      <c r="E421" s="1070"/>
    </row>
    <row r="422" spans="2:5">
      <c r="B422" s="1070"/>
      <c r="C422" s="1070"/>
      <c r="D422" s="1070"/>
      <c r="E422" s="1070"/>
    </row>
    <row r="423" spans="2:5">
      <c r="B423" s="1070"/>
      <c r="C423" s="1070"/>
      <c r="D423" s="1070"/>
      <c r="E423" s="1070"/>
    </row>
    <row r="424" spans="2:5">
      <c r="B424" s="1070"/>
      <c r="C424" s="1070"/>
      <c r="D424" s="1070"/>
      <c r="E424" s="1070"/>
    </row>
    <row r="425" spans="2:5">
      <c r="B425" s="1070"/>
      <c r="C425" s="1070"/>
      <c r="D425" s="1070"/>
      <c r="E425" s="1070"/>
    </row>
    <row r="426" spans="2:5">
      <c r="B426" s="1070"/>
      <c r="C426" s="1070"/>
      <c r="D426" s="1070"/>
      <c r="E426" s="1070"/>
    </row>
    <row r="427" spans="2:5">
      <c r="B427" s="1070"/>
      <c r="C427" s="1070"/>
      <c r="D427" s="1070"/>
      <c r="E427" s="1070"/>
    </row>
    <row r="428" spans="2:5">
      <c r="B428" s="1070"/>
      <c r="C428" s="1070"/>
      <c r="D428" s="1070"/>
      <c r="E428" s="1070"/>
    </row>
    <row r="429" spans="2:5">
      <c r="B429" s="1070"/>
      <c r="C429" s="1070"/>
      <c r="D429" s="1070"/>
      <c r="E429" s="1070"/>
    </row>
    <row r="430" spans="2:5">
      <c r="B430" s="1070"/>
      <c r="C430" s="1070"/>
      <c r="D430" s="1070"/>
      <c r="E430" s="1070"/>
    </row>
    <row r="431" spans="2:5">
      <c r="B431" s="1070"/>
      <c r="C431" s="1070"/>
      <c r="D431" s="1070"/>
      <c r="E431" s="1070"/>
    </row>
    <row r="432" spans="2:5">
      <c r="B432" s="1070"/>
      <c r="C432" s="1070"/>
      <c r="D432" s="1070"/>
      <c r="E432" s="1070"/>
    </row>
    <row r="433" spans="2:5">
      <c r="B433" s="1070"/>
      <c r="C433" s="1070"/>
      <c r="D433" s="1070"/>
      <c r="E433" s="1070"/>
    </row>
    <row r="434" spans="2:5">
      <c r="B434" s="1070"/>
      <c r="C434" s="1070"/>
      <c r="D434" s="1070"/>
      <c r="E434" s="1070"/>
    </row>
    <row r="435" spans="2:5">
      <c r="B435" s="1070"/>
      <c r="C435" s="1070"/>
      <c r="D435" s="1070"/>
      <c r="E435" s="1070"/>
    </row>
    <row r="436" spans="2:5">
      <c r="B436" s="1070"/>
      <c r="C436" s="1070"/>
      <c r="D436" s="1070"/>
      <c r="E436" s="1070"/>
    </row>
    <row r="437" spans="2:5">
      <c r="B437" s="1070"/>
      <c r="C437" s="1070"/>
      <c r="D437" s="1070"/>
      <c r="E437" s="1070"/>
    </row>
    <row r="438" spans="2:5">
      <c r="B438" s="1070"/>
      <c r="C438" s="1070"/>
      <c r="D438" s="1070"/>
      <c r="E438" s="107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6">
    <tabColor theme="0" tint="-0.34998626667073579"/>
  </sheetPr>
  <dimension ref="A1:AL112"/>
  <sheetViews>
    <sheetView topLeftCell="C23" zoomScale="85" zoomScaleNormal="85" workbookViewId="0">
      <selection activeCell="AE5" sqref="AE5"/>
    </sheetView>
  </sheetViews>
  <sheetFormatPr defaultRowHeight="12.75"/>
  <cols>
    <col min="1" max="5" width="9.140625" style="1070"/>
    <col min="6" max="6" width="48.5703125" style="1070" bestFit="1" customWidth="1"/>
    <col min="7" max="9" width="9.140625" style="1070"/>
    <col min="10" max="10" width="8.7109375" style="1070" customWidth="1"/>
    <col min="11" max="13" width="9.140625" style="1070" customWidth="1"/>
    <col min="14" max="16384" width="9.140625" style="1070"/>
  </cols>
  <sheetData>
    <row r="1" spans="1:38" s="102" customFormat="1" ht="23.25">
      <c r="A1" s="2304" t="s">
        <v>514</v>
      </c>
      <c r="B1" s="2304"/>
      <c r="C1" s="2304"/>
      <c r="D1" s="2304"/>
      <c r="E1" s="2304"/>
      <c r="F1" s="2304"/>
      <c r="G1" s="99"/>
      <c r="H1" s="99"/>
      <c r="I1" s="99"/>
      <c r="J1" s="1067"/>
      <c r="K1" s="1067"/>
      <c r="L1" s="1067"/>
      <c r="M1" s="1067"/>
      <c r="S1" s="127"/>
      <c r="T1" s="127"/>
      <c r="U1" s="127"/>
      <c r="V1" s="127"/>
      <c r="W1" s="127"/>
      <c r="X1" s="127"/>
      <c r="Z1" s="1624"/>
      <c r="AA1" s="1624"/>
      <c r="AB1" s="1624"/>
      <c r="AC1" s="1624"/>
      <c r="AD1" s="1624"/>
      <c r="AE1" s="1624"/>
      <c r="AF1" s="1624"/>
      <c r="AG1" s="1624"/>
      <c r="AH1" s="1624"/>
      <c r="AI1" s="1624"/>
      <c r="AJ1" s="1624"/>
      <c r="AK1" s="1624"/>
      <c r="AL1" s="1624"/>
    </row>
    <row r="2" spans="1:38" s="102" customFormat="1" ht="18">
      <c r="A2" s="127"/>
      <c r="B2" s="2305" t="s">
        <v>1010</v>
      </c>
      <c r="C2" s="2305"/>
      <c r="D2" s="2305"/>
      <c r="E2" s="2305"/>
      <c r="F2" s="2305"/>
      <c r="G2" s="2305"/>
      <c r="H2" s="1066"/>
      <c r="I2" s="1066"/>
      <c r="J2" s="150"/>
      <c r="K2" s="1067"/>
      <c r="L2" s="1067"/>
      <c r="M2" s="1067"/>
      <c r="S2" s="127"/>
      <c r="T2" s="127"/>
      <c r="U2" s="127"/>
      <c r="V2" s="127"/>
      <c r="W2" s="127"/>
      <c r="X2" s="127"/>
      <c r="Z2" s="1624"/>
      <c r="AA2" s="1624"/>
      <c r="AB2" s="1624"/>
      <c r="AC2" s="1624"/>
      <c r="AD2" s="1624"/>
      <c r="AE2" s="1624"/>
      <c r="AF2" s="1624"/>
      <c r="AG2" s="1624"/>
      <c r="AH2" s="1624"/>
      <c r="AI2" s="1624"/>
      <c r="AJ2" s="1624"/>
      <c r="AK2" s="1624"/>
      <c r="AL2" s="1624"/>
    </row>
    <row r="3" spans="1:38" s="102" customFormat="1" ht="15.75">
      <c r="A3" s="127"/>
      <c r="B3" s="100"/>
      <c r="C3" s="127"/>
      <c r="D3" s="127"/>
      <c r="E3" s="101"/>
      <c r="F3" s="101"/>
      <c r="G3" s="1067"/>
      <c r="H3" s="1067"/>
      <c r="I3" s="1067"/>
      <c r="J3" s="116"/>
      <c r="K3" s="116"/>
      <c r="L3" s="1067"/>
      <c r="M3" s="1067"/>
      <c r="S3" s="127"/>
      <c r="T3" s="127"/>
      <c r="U3" s="127"/>
      <c r="V3" s="127"/>
      <c r="W3" s="127"/>
      <c r="X3" s="127"/>
      <c r="Z3" s="1624"/>
      <c r="AA3" s="1624"/>
      <c r="AB3" s="1624"/>
      <c r="AC3" s="1624"/>
      <c r="AD3" s="1624"/>
      <c r="AE3" s="1624"/>
      <c r="AF3" s="1624"/>
      <c r="AG3" s="1624"/>
      <c r="AH3" s="1624"/>
      <c r="AI3" s="1624"/>
      <c r="AJ3" s="1624"/>
      <c r="AK3" s="1624"/>
      <c r="AL3" s="1624"/>
    </row>
    <row r="4" spans="1:38" s="102" customFormat="1" ht="15.75">
      <c r="A4" s="127"/>
      <c r="B4" s="100"/>
      <c r="C4" s="2302" t="s">
        <v>422</v>
      </c>
      <c r="D4" s="2303"/>
      <c r="E4" s="2303"/>
      <c r="F4" s="2303"/>
      <c r="G4" s="2303"/>
      <c r="H4" s="116"/>
      <c r="I4" s="154"/>
      <c r="K4" s="116"/>
      <c r="L4" s="1067"/>
      <c r="M4" s="1067"/>
      <c r="S4" s="127"/>
      <c r="T4" s="127"/>
      <c r="U4" s="127"/>
      <c r="V4" s="127"/>
      <c r="W4" s="127"/>
      <c r="X4" s="127"/>
      <c r="Z4" s="1624"/>
      <c r="AA4" s="1624"/>
      <c r="AB4" s="1624"/>
      <c r="AC4" s="1624"/>
      <c r="AD4" s="1624"/>
      <c r="AE4" s="1624"/>
      <c r="AF4" s="1624"/>
      <c r="AG4" s="1624"/>
      <c r="AH4" s="1624"/>
      <c r="AI4" s="1624"/>
      <c r="AJ4" s="1624"/>
      <c r="AK4" s="1624"/>
      <c r="AL4" s="1624"/>
    </row>
    <row r="5" spans="1:38" s="101" customFormat="1">
      <c r="A5" s="127"/>
      <c r="B5" s="1068"/>
      <c r="C5" s="127"/>
      <c r="D5" s="2300" t="s">
        <v>320</v>
      </c>
      <c r="E5" s="2301"/>
      <c r="F5" s="2301"/>
      <c r="G5" s="2301"/>
      <c r="H5" s="151"/>
      <c r="I5" s="154"/>
      <c r="K5" s="1067"/>
      <c r="L5" s="1067"/>
      <c r="M5" s="1067"/>
      <c r="N5" s="102"/>
      <c r="O5" s="102"/>
      <c r="P5" s="102"/>
      <c r="Q5" s="102"/>
      <c r="R5" s="102"/>
      <c r="S5" s="127"/>
      <c r="T5" s="127"/>
      <c r="U5" s="127"/>
      <c r="V5" s="127"/>
      <c r="W5" s="127"/>
      <c r="X5" s="127"/>
      <c r="Z5" s="1625"/>
      <c r="AA5" s="1625"/>
      <c r="AB5" s="1625"/>
      <c r="AC5" s="1625"/>
      <c r="AD5" s="1625"/>
      <c r="AE5" s="1625"/>
      <c r="AF5" s="1625"/>
      <c r="AG5" s="1625"/>
      <c r="AH5" s="1625"/>
      <c r="AI5" s="1625"/>
      <c r="AJ5" s="1625"/>
      <c r="AK5" s="1625"/>
      <c r="AL5" s="1625"/>
    </row>
    <row r="6" spans="1:38" s="101" customFormat="1" ht="22.5">
      <c r="A6" s="102"/>
      <c r="B6" s="102"/>
      <c r="C6" s="102"/>
      <c r="D6" s="103"/>
      <c r="E6" s="104"/>
      <c r="F6" s="104" t="s">
        <v>384</v>
      </c>
      <c r="G6" s="105" t="s">
        <v>190</v>
      </c>
      <c r="H6" s="382" t="s">
        <v>191</v>
      </c>
      <c r="I6" s="154"/>
      <c r="K6" s="154"/>
      <c r="L6" s="154"/>
      <c r="M6" s="154"/>
      <c r="N6" s="102"/>
      <c r="O6" s="102"/>
      <c r="P6" s="102"/>
      <c r="Q6" s="102"/>
      <c r="R6" s="102"/>
      <c r="S6" s="102"/>
      <c r="T6" s="102"/>
      <c r="U6" s="102"/>
      <c r="V6" s="102"/>
      <c r="W6" s="102"/>
      <c r="X6" s="102"/>
      <c r="Z6" s="1625"/>
      <c r="AA6" s="1625"/>
      <c r="AB6" s="1625"/>
      <c r="AC6" s="1625"/>
      <c r="AD6" s="1625"/>
      <c r="AE6" s="1625"/>
      <c r="AF6" s="1625"/>
      <c r="AG6" s="1625"/>
      <c r="AH6" s="1625"/>
      <c r="AI6" s="1625"/>
      <c r="AJ6" s="1625"/>
      <c r="AK6" s="1625"/>
      <c r="AL6" s="1625"/>
    </row>
    <row r="7" spans="1:38" s="101" customFormat="1">
      <c r="A7" s="102"/>
      <c r="B7" s="102"/>
      <c r="C7" s="102"/>
      <c r="D7" s="106"/>
      <c r="E7" s="107"/>
      <c r="F7" s="108" t="s">
        <v>385</v>
      </c>
      <c r="G7" s="111"/>
      <c r="H7" s="357"/>
      <c r="I7" s="154"/>
      <c r="K7" s="152"/>
      <c r="L7" s="152"/>
      <c r="M7" s="152"/>
      <c r="N7" s="102"/>
      <c r="O7" s="102"/>
      <c r="P7" s="102"/>
      <c r="Q7" s="102"/>
      <c r="R7" s="102"/>
      <c r="S7" s="102"/>
      <c r="T7" s="102"/>
      <c r="U7" s="102"/>
      <c r="V7" s="102"/>
      <c r="W7" s="102"/>
      <c r="X7" s="102"/>
      <c r="Z7" s="1625"/>
      <c r="AA7" s="1625"/>
      <c r="AB7" s="1625"/>
      <c r="AC7" s="1625"/>
      <c r="AD7" s="1625"/>
      <c r="AE7" s="1625"/>
      <c r="AF7" s="1625"/>
      <c r="AG7" s="1625"/>
      <c r="AH7" s="1625"/>
      <c r="AI7" s="1625"/>
      <c r="AJ7" s="1625"/>
      <c r="AK7" s="1625"/>
      <c r="AL7" s="1625"/>
    </row>
    <row r="8" spans="1:38" s="101" customFormat="1">
      <c r="A8" s="102"/>
      <c r="B8" s="102"/>
      <c r="C8" s="102"/>
      <c r="D8" s="106"/>
      <c r="E8" s="107"/>
      <c r="F8" s="108" t="s">
        <v>296</v>
      </c>
      <c r="G8" s="111"/>
      <c r="H8" s="381" t="s">
        <v>153</v>
      </c>
      <c r="I8" s="154" t="s">
        <v>321</v>
      </c>
      <c r="K8" s="126" t="s">
        <v>321</v>
      </c>
      <c r="L8" s="126"/>
      <c r="M8" s="126"/>
      <c r="N8" s="102"/>
      <c r="O8" s="102"/>
      <c r="P8" s="102"/>
      <c r="Q8" s="102"/>
      <c r="R8" s="102"/>
      <c r="S8" s="102"/>
      <c r="T8" s="102"/>
      <c r="U8" s="102"/>
      <c r="V8" s="102"/>
      <c r="W8" s="102"/>
      <c r="X8" s="102"/>
      <c r="Z8" s="1625"/>
      <c r="AA8" s="1625"/>
      <c r="AB8" s="1625"/>
      <c r="AC8" s="1625"/>
      <c r="AD8" s="1625"/>
      <c r="AE8" s="1625"/>
      <c r="AF8" s="1625"/>
      <c r="AG8" s="1625"/>
      <c r="AH8" s="1625"/>
      <c r="AI8" s="1625"/>
      <c r="AJ8" s="1625"/>
      <c r="AK8" s="1625"/>
      <c r="AL8" s="1625"/>
    </row>
    <row r="9" spans="1:38" s="116" customFormat="1" ht="11.25">
      <c r="A9" s="102"/>
      <c r="B9" s="102"/>
      <c r="C9" s="102"/>
      <c r="D9" s="106"/>
      <c r="E9" s="107"/>
      <c r="F9" s="108" t="s">
        <v>1303</v>
      </c>
      <c r="G9" s="111" t="s">
        <v>1064</v>
      </c>
      <c r="H9" s="383" t="b">
        <v>0</v>
      </c>
      <c r="I9" s="154"/>
      <c r="K9" s="126"/>
      <c r="L9" s="126"/>
      <c r="M9" s="126"/>
      <c r="N9" s="102"/>
      <c r="O9" s="102"/>
      <c r="P9" s="102"/>
      <c r="Q9" s="102"/>
      <c r="R9" s="102"/>
      <c r="S9" s="102"/>
      <c r="T9" s="102"/>
      <c r="U9" s="102"/>
      <c r="V9" s="102"/>
      <c r="W9" s="102"/>
      <c r="X9" s="102"/>
      <c r="Z9" s="1626"/>
      <c r="AA9" s="1626"/>
      <c r="AB9" s="1626"/>
      <c r="AC9" s="1626"/>
      <c r="AD9" s="1626"/>
      <c r="AE9" s="1626"/>
      <c r="AF9" s="1626"/>
      <c r="AG9" s="1626"/>
      <c r="AH9" s="1626"/>
      <c r="AI9" s="1626"/>
      <c r="AJ9" s="1626"/>
      <c r="AK9" s="1626"/>
      <c r="AL9" s="1626"/>
    </row>
    <row r="10" spans="1:38" s="101" customFormat="1">
      <c r="A10" s="102"/>
      <c r="B10" s="102"/>
      <c r="C10" s="102"/>
      <c r="D10" s="106"/>
      <c r="E10" s="107"/>
      <c r="F10" s="108" t="s">
        <v>355</v>
      </c>
      <c r="G10" s="111"/>
      <c r="H10" s="361">
        <v>4</v>
      </c>
      <c r="I10" s="154"/>
      <c r="K10" s="152"/>
      <c r="L10" s="152"/>
      <c r="M10" s="152"/>
      <c r="N10" s="152"/>
      <c r="O10" s="152"/>
      <c r="P10" s="152"/>
      <c r="Q10" s="102"/>
      <c r="R10" s="102"/>
      <c r="S10" s="102"/>
      <c r="T10" s="102"/>
      <c r="U10" s="102"/>
      <c r="V10" s="102"/>
      <c r="W10" s="102"/>
      <c r="X10" s="102"/>
      <c r="Z10" s="1625"/>
      <c r="AA10" s="1625"/>
      <c r="AB10" s="1625"/>
      <c r="AC10" s="1625"/>
      <c r="AD10" s="1625"/>
      <c r="AE10" s="1625"/>
      <c r="AF10" s="1625"/>
      <c r="AG10" s="1625"/>
      <c r="AH10" s="1625"/>
      <c r="AI10" s="1625"/>
      <c r="AJ10" s="1625"/>
      <c r="AK10" s="1625"/>
      <c r="AL10" s="1625"/>
    </row>
    <row r="11" spans="1:38" s="101" customFormat="1">
      <c r="A11" s="102"/>
      <c r="B11" s="102"/>
      <c r="C11" s="102"/>
      <c r="D11" s="120"/>
      <c r="E11" s="121"/>
      <c r="F11" s="110" t="s">
        <v>1099</v>
      </c>
      <c r="G11" s="46"/>
      <c r="H11" s="361" t="b">
        <v>1</v>
      </c>
      <c r="I11" s="154"/>
      <c r="K11" s="152"/>
      <c r="L11" s="152"/>
      <c r="M11" s="152"/>
      <c r="N11" s="152"/>
      <c r="O11" s="152"/>
      <c r="P11" s="152"/>
      <c r="Q11" s="102"/>
      <c r="R11" s="102"/>
      <c r="S11" s="102"/>
      <c r="T11" s="102"/>
      <c r="U11" s="102"/>
      <c r="V11" s="102"/>
      <c r="W11" s="102"/>
      <c r="X11" s="102"/>
      <c r="Z11" s="1625"/>
      <c r="AA11" s="1625"/>
      <c r="AB11" s="1625"/>
      <c r="AC11" s="1625"/>
      <c r="AD11" s="1625"/>
      <c r="AE11" s="1625"/>
      <c r="AF11" s="1625"/>
      <c r="AG11" s="1625"/>
      <c r="AH11" s="1625"/>
      <c r="AI11" s="1625"/>
      <c r="AJ11" s="1625"/>
      <c r="AK11" s="1625"/>
      <c r="AL11" s="1625"/>
    </row>
    <row r="12" spans="1:38" s="101" customFormat="1">
      <c r="A12" s="127"/>
      <c r="B12" s="1068"/>
      <c r="C12" s="127"/>
      <c r="D12" s="2300" t="s">
        <v>325</v>
      </c>
      <c r="E12" s="2301"/>
      <c r="F12" s="2301"/>
      <c r="G12" s="2301"/>
      <c r="H12" s="147"/>
      <c r="I12" s="154"/>
      <c r="K12" s="1067"/>
      <c r="L12" s="1067"/>
      <c r="M12" s="1067"/>
      <c r="N12" s="102"/>
      <c r="O12" s="102"/>
      <c r="P12" s="102"/>
      <c r="Q12" s="102"/>
      <c r="R12" s="102"/>
      <c r="S12" s="127"/>
      <c r="T12" s="127"/>
      <c r="U12" s="127"/>
      <c r="V12" s="127"/>
      <c r="W12" s="127"/>
      <c r="X12" s="127"/>
      <c r="Z12" s="1625"/>
      <c r="AA12" s="1625"/>
      <c r="AB12" s="1625"/>
      <c r="AC12" s="1625"/>
      <c r="AD12" s="1625"/>
      <c r="AE12" s="1625"/>
      <c r="AF12" s="1625"/>
      <c r="AG12" s="1625"/>
      <c r="AH12" s="1625"/>
      <c r="AI12" s="1625"/>
      <c r="AJ12" s="1625"/>
      <c r="AK12" s="1625"/>
      <c r="AL12" s="1625"/>
    </row>
    <row r="13" spans="1:38" s="101" customFormat="1">
      <c r="A13" s="102"/>
      <c r="B13" s="102"/>
      <c r="C13" s="102"/>
      <c r="D13" s="103"/>
      <c r="E13" s="104"/>
      <c r="F13" s="135" t="str">
        <f>NewConst!$C$26</f>
        <v>Number of Bedrooms (6 maximum)</v>
      </c>
      <c r="G13" s="129" t="str">
        <f>NewConst!$D$26</f>
        <v>#</v>
      </c>
      <c r="H13" s="141">
        <f>N_br</f>
        <v>3</v>
      </c>
      <c r="I13" s="154"/>
      <c r="K13" s="126" t="s">
        <v>321</v>
      </c>
      <c r="L13" s="126"/>
      <c r="M13" s="126"/>
      <c r="N13" s="102"/>
      <c r="O13" s="102"/>
      <c r="P13" s="102"/>
      <c r="Q13" s="102"/>
      <c r="R13" s="102"/>
      <c r="S13" s="102"/>
      <c r="T13" s="102"/>
      <c r="U13" s="102"/>
      <c r="V13" s="102"/>
      <c r="W13" s="102"/>
      <c r="X13" s="102"/>
      <c r="Z13" s="1625"/>
      <c r="AA13" s="1625"/>
      <c r="AB13" s="1625"/>
      <c r="AC13" s="1625"/>
      <c r="AD13" s="1625"/>
      <c r="AE13" s="1625"/>
      <c r="AF13" s="1625"/>
      <c r="AG13" s="1625"/>
      <c r="AH13" s="1625"/>
      <c r="AI13" s="1625"/>
      <c r="AJ13" s="1625"/>
      <c r="AK13" s="1625"/>
      <c r="AL13" s="1625"/>
    </row>
    <row r="14" spans="1:38" s="101" customFormat="1">
      <c r="A14" s="102"/>
      <c r="B14" s="102"/>
      <c r="C14" s="102"/>
      <c r="D14" s="106"/>
      <c r="E14" s="107"/>
      <c r="F14" s="108" t="str">
        <f>NewConst!$C$27</f>
        <v>Number of Bathrooms (0.5 increments, 1 - minimum, 3.5 - maximum)</v>
      </c>
      <c r="G14" s="111" t="str">
        <f>NewConst!$D$27</f>
        <v>#</v>
      </c>
      <c r="H14" s="141">
        <f>NewConst!$F$27</f>
        <v>2</v>
      </c>
      <c r="I14" s="154"/>
      <c r="K14" s="126"/>
      <c r="L14" s="126"/>
      <c r="M14" s="126"/>
      <c r="N14" s="102"/>
      <c r="O14" s="102"/>
      <c r="P14" s="102"/>
      <c r="Q14" s="102"/>
      <c r="R14" s="102"/>
      <c r="S14" s="102"/>
      <c r="T14" s="102"/>
      <c r="U14" s="102"/>
      <c r="V14" s="102"/>
      <c r="W14" s="102"/>
      <c r="X14" s="102"/>
      <c r="Z14" s="1625"/>
      <c r="AA14" s="1625"/>
      <c r="AB14" s="1625"/>
      <c r="AC14" s="1625"/>
      <c r="AD14" s="1625"/>
      <c r="AE14" s="1625"/>
      <c r="AF14" s="1625"/>
      <c r="AG14" s="1625"/>
      <c r="AH14" s="1625"/>
      <c r="AI14" s="1625"/>
      <c r="AJ14" s="1625"/>
      <c r="AK14" s="1625"/>
      <c r="AL14" s="1625"/>
    </row>
    <row r="15" spans="1:38" s="101" customFormat="1">
      <c r="A15" s="102"/>
      <c r="B15" s="102"/>
      <c r="C15" s="102"/>
      <c r="D15" s="120"/>
      <c r="E15" s="121"/>
      <c r="F15" s="110" t="s">
        <v>101</v>
      </c>
      <c r="G15" s="46" t="s">
        <v>210</v>
      </c>
      <c r="H15" s="158">
        <v>48</v>
      </c>
      <c r="I15" s="154"/>
      <c r="K15" s="126"/>
      <c r="L15" s="126"/>
      <c r="M15" s="126"/>
      <c r="N15" s="102"/>
      <c r="O15" s="102"/>
      <c r="P15" s="102"/>
      <c r="Q15" s="102"/>
      <c r="R15" s="102"/>
      <c r="S15" s="102"/>
      <c r="T15" s="102"/>
      <c r="U15" s="102"/>
      <c r="V15" s="102"/>
      <c r="W15" s="102"/>
      <c r="X15" s="102"/>
      <c r="Z15" s="1625"/>
      <c r="AA15" s="1625"/>
      <c r="AB15" s="1625"/>
      <c r="AC15" s="1625"/>
      <c r="AD15" s="1625"/>
      <c r="AE15" s="1625"/>
      <c r="AF15" s="1625"/>
      <c r="AG15" s="1625"/>
      <c r="AH15" s="1625"/>
      <c r="AI15" s="1625"/>
      <c r="AJ15" s="1625"/>
      <c r="AK15" s="1625"/>
      <c r="AL15" s="1625"/>
    </row>
    <row r="16" spans="1:38" s="101" customFormat="1">
      <c r="A16" s="127"/>
      <c r="B16" s="1068"/>
      <c r="C16" s="127"/>
      <c r="D16" s="2300" t="s">
        <v>324</v>
      </c>
      <c r="E16" s="2301"/>
      <c r="F16" s="2301"/>
      <c r="G16" s="2301"/>
      <c r="H16" s="147"/>
      <c r="I16" s="154"/>
      <c r="K16" s="1067"/>
      <c r="L16" s="1067"/>
      <c r="M16" s="1067"/>
      <c r="N16" s="102"/>
      <c r="O16" s="102"/>
      <c r="P16" s="102"/>
      <c r="Q16" s="102"/>
      <c r="R16" s="102"/>
      <c r="S16" s="127"/>
      <c r="T16" s="127"/>
      <c r="U16" s="127"/>
      <c r="V16" s="127"/>
      <c r="W16" s="127"/>
      <c r="X16" s="127"/>
      <c r="Z16" s="1625"/>
      <c r="AA16" s="1625"/>
      <c r="AB16" s="1625"/>
      <c r="AC16" s="1625"/>
      <c r="AD16" s="1625"/>
      <c r="AE16" s="1625"/>
      <c r="AF16" s="1625"/>
      <c r="AG16" s="1625"/>
      <c r="AH16" s="1625"/>
      <c r="AI16" s="1625"/>
      <c r="AJ16" s="1625"/>
      <c r="AK16" s="1625"/>
      <c r="AL16" s="1625"/>
    </row>
    <row r="17" spans="1:38" s="101" customFormat="1">
      <c r="A17" s="102"/>
      <c r="B17" s="102"/>
      <c r="C17" s="102"/>
      <c r="D17" s="103"/>
      <c r="E17" s="104"/>
      <c r="F17" s="135" t="str">
        <f>NewConst!$C$112</f>
        <v>Tank Setpoint</v>
      </c>
      <c r="G17" s="129" t="str">
        <f>NewConst!$D$112</f>
        <v>deg F</v>
      </c>
      <c r="H17" s="145">
        <f>NewConst!$F$112</f>
        <v>130</v>
      </c>
      <c r="I17" s="154"/>
      <c r="K17" s="152"/>
      <c r="L17" s="152"/>
      <c r="M17" s="152"/>
      <c r="N17" s="102"/>
      <c r="O17" s="102"/>
      <c r="P17" s="102"/>
      <c r="Q17" s="102"/>
      <c r="R17" s="102"/>
      <c r="S17" s="102"/>
      <c r="T17" s="102"/>
      <c r="U17" s="102"/>
      <c r="V17" s="102"/>
      <c r="W17" s="102"/>
      <c r="X17" s="102"/>
      <c r="Z17" s="1625"/>
      <c r="AA17" s="1625"/>
      <c r="AB17" s="1625"/>
      <c r="AC17" s="1625"/>
      <c r="AD17" s="1625"/>
      <c r="AE17" s="1625"/>
      <c r="AF17" s="1625"/>
      <c r="AG17" s="1625"/>
      <c r="AH17" s="1625"/>
      <c r="AI17" s="1625"/>
      <c r="AJ17" s="1625"/>
      <c r="AK17" s="1625"/>
      <c r="AL17" s="1625"/>
    </row>
    <row r="18" spans="1:38" s="101" customFormat="1">
      <c r="A18" s="102"/>
      <c r="B18" s="102"/>
      <c r="C18" s="102"/>
      <c r="D18" s="106"/>
      <c r="E18" s="107"/>
      <c r="F18" s="108" t="s">
        <v>846</v>
      </c>
      <c r="G18" s="111" t="s">
        <v>454</v>
      </c>
      <c r="H18" s="140">
        <v>135</v>
      </c>
      <c r="I18" s="154"/>
      <c r="K18" s="152"/>
      <c r="L18" s="152"/>
      <c r="M18" s="152"/>
      <c r="N18" s="102"/>
      <c r="O18" s="102"/>
      <c r="P18" s="102"/>
      <c r="Q18" s="102"/>
      <c r="R18" s="102"/>
      <c r="S18" s="102"/>
      <c r="T18" s="102"/>
      <c r="U18" s="102"/>
      <c r="V18" s="102"/>
      <c r="W18" s="102"/>
      <c r="X18" s="102"/>
      <c r="Z18" s="1625"/>
      <c r="AA18" s="1625"/>
      <c r="AB18" s="1625"/>
      <c r="AC18" s="1625"/>
      <c r="AD18" s="1625"/>
      <c r="AE18" s="1625"/>
      <c r="AF18" s="1625"/>
      <c r="AG18" s="1625"/>
      <c r="AH18" s="1625"/>
      <c r="AI18" s="1625"/>
      <c r="AJ18" s="1625"/>
      <c r="AK18" s="1625"/>
      <c r="AL18" s="1625"/>
    </row>
    <row r="19" spans="1:38" s="101" customFormat="1">
      <c r="A19" s="102"/>
      <c r="B19" s="102"/>
      <c r="C19" s="102"/>
      <c r="D19" s="106"/>
      <c r="E19" s="107"/>
      <c r="F19" s="108" t="s">
        <v>847</v>
      </c>
      <c r="G19" s="111" t="s">
        <v>454</v>
      </c>
      <c r="H19" s="140">
        <v>58</v>
      </c>
      <c r="I19" s="154"/>
      <c r="K19" s="152"/>
      <c r="L19" s="152"/>
      <c r="M19" s="152"/>
      <c r="N19" s="102"/>
      <c r="O19" s="102"/>
      <c r="P19" s="102"/>
      <c r="Q19" s="102"/>
      <c r="R19" s="102"/>
      <c r="S19" s="102"/>
      <c r="T19" s="102"/>
      <c r="U19" s="102"/>
      <c r="V19" s="102"/>
      <c r="W19" s="102"/>
      <c r="X19" s="102"/>
      <c r="Z19" s="1625"/>
      <c r="AA19" s="1625"/>
      <c r="AB19" s="1625"/>
      <c r="AC19" s="1625"/>
      <c r="AD19" s="1625"/>
      <c r="AE19" s="1625"/>
      <c r="AF19" s="1625"/>
      <c r="AG19" s="1625"/>
      <c r="AH19" s="1625"/>
      <c r="AI19" s="1625"/>
      <c r="AJ19" s="1625"/>
      <c r="AK19" s="1625"/>
      <c r="AL19" s="1625"/>
    </row>
    <row r="20" spans="1:38" s="101" customFormat="1">
      <c r="A20" s="102"/>
      <c r="B20" s="102"/>
      <c r="C20" s="102"/>
      <c r="D20" s="106"/>
      <c r="E20" s="107"/>
      <c r="F20" s="108" t="s">
        <v>855</v>
      </c>
      <c r="G20" s="111" t="s">
        <v>454</v>
      </c>
      <c r="H20" s="140">
        <v>67.5</v>
      </c>
      <c r="I20" s="154"/>
      <c r="K20" s="152"/>
      <c r="L20" s="152"/>
      <c r="M20" s="152"/>
      <c r="N20" s="102"/>
      <c r="O20" s="102"/>
      <c r="P20" s="102"/>
      <c r="Q20" s="102"/>
      <c r="R20" s="102"/>
      <c r="S20" s="102"/>
      <c r="T20" s="102"/>
      <c r="U20" s="102"/>
      <c r="V20" s="102"/>
      <c r="W20" s="102"/>
      <c r="X20" s="102"/>
      <c r="Z20" s="1625"/>
      <c r="AA20" s="1625"/>
      <c r="AB20" s="1625"/>
      <c r="AC20" s="1625"/>
      <c r="AD20" s="1625"/>
      <c r="AE20" s="1625"/>
      <c r="AF20" s="1625"/>
      <c r="AG20" s="1625"/>
      <c r="AH20" s="1625"/>
      <c r="AI20" s="1625"/>
      <c r="AJ20" s="1625"/>
      <c r="AK20" s="1625"/>
      <c r="AL20" s="1625"/>
    </row>
    <row r="21" spans="1:38" s="101" customFormat="1">
      <c r="A21" s="102"/>
      <c r="B21" s="102"/>
      <c r="C21" s="102"/>
      <c r="D21" s="106"/>
      <c r="E21" s="107"/>
      <c r="F21" s="108" t="s">
        <v>848</v>
      </c>
      <c r="G21" s="111" t="s">
        <v>849</v>
      </c>
      <c r="H21" s="140">
        <v>1.0006999999999999</v>
      </c>
      <c r="I21" s="154"/>
      <c r="K21" s="152"/>
      <c r="L21" s="152"/>
      <c r="M21" s="152"/>
      <c r="N21" s="102"/>
      <c r="O21" s="102"/>
      <c r="P21" s="102"/>
      <c r="Q21" s="102"/>
      <c r="R21" s="102"/>
      <c r="S21" s="102"/>
      <c r="T21" s="102"/>
      <c r="U21" s="102"/>
      <c r="V21" s="102"/>
      <c r="W21" s="102"/>
      <c r="X21" s="102"/>
      <c r="Z21" s="1625"/>
      <c r="AA21" s="1625"/>
      <c r="AB21" s="1625"/>
      <c r="AC21" s="1625"/>
      <c r="AD21" s="1625"/>
      <c r="AE21" s="1625"/>
      <c r="AF21" s="1625"/>
      <c r="AG21" s="1625"/>
      <c r="AH21" s="1625"/>
      <c r="AI21" s="1625"/>
      <c r="AJ21" s="1625"/>
      <c r="AK21" s="1625"/>
      <c r="AL21" s="1625"/>
    </row>
    <row r="22" spans="1:38" s="101" customFormat="1" ht="76.5" customHeight="1">
      <c r="A22" s="102"/>
      <c r="B22" s="102"/>
      <c r="C22" s="102"/>
      <c r="D22" s="106"/>
      <c r="E22" s="107"/>
      <c r="F22" s="108" t="s">
        <v>850</v>
      </c>
      <c r="G22" s="111" t="s">
        <v>882</v>
      </c>
      <c r="H22" s="140">
        <v>64.3</v>
      </c>
      <c r="I22" s="154"/>
      <c r="K22" s="152"/>
      <c r="L22" s="152"/>
      <c r="M22" s="152"/>
      <c r="N22" s="102"/>
      <c r="O22" s="102"/>
      <c r="P22" s="102"/>
      <c r="Q22" s="102"/>
      <c r="R22" s="102"/>
      <c r="S22" s="102"/>
      <c r="T22" s="102"/>
      <c r="U22" s="102"/>
      <c r="V22" s="102"/>
      <c r="W22" s="102"/>
      <c r="X22" s="102"/>
      <c r="Z22" s="1625"/>
      <c r="AA22" s="1625"/>
      <c r="AB22" s="1625"/>
      <c r="AC22" s="1625"/>
      <c r="AD22" s="1625"/>
      <c r="AE22" s="1625"/>
      <c r="AF22" s="1625"/>
      <c r="AG22" s="1625"/>
      <c r="AH22" s="1625"/>
      <c r="AI22" s="1625"/>
      <c r="AJ22" s="1625"/>
      <c r="AK22" s="1625"/>
      <c r="AL22" s="1625"/>
    </row>
    <row r="23" spans="1:38" s="101" customFormat="1">
      <c r="A23" s="102"/>
      <c r="B23" s="102"/>
      <c r="C23" s="102"/>
      <c r="D23" s="106"/>
      <c r="E23" s="107"/>
      <c r="F23" s="108" t="s">
        <v>1095</v>
      </c>
      <c r="G23" s="111" t="s">
        <v>851</v>
      </c>
      <c r="H23" s="140">
        <v>8.2899999999999991</v>
      </c>
      <c r="I23" s="154"/>
      <c r="K23" s="152"/>
      <c r="L23" s="152"/>
      <c r="M23" s="152"/>
      <c r="N23" s="102"/>
      <c r="O23" s="102"/>
      <c r="P23" s="102"/>
      <c r="Q23" s="102"/>
      <c r="R23" s="102"/>
      <c r="S23" s="102"/>
      <c r="T23" s="102"/>
      <c r="U23" s="102"/>
      <c r="V23" s="102"/>
      <c r="W23" s="102"/>
      <c r="X23" s="102"/>
      <c r="Z23" s="1625"/>
      <c r="AA23" s="1625"/>
      <c r="AB23" s="1625"/>
      <c r="AC23" s="1625"/>
      <c r="AD23" s="1625"/>
      <c r="AE23" s="1625"/>
      <c r="AF23" s="1625"/>
      <c r="AG23" s="1625"/>
      <c r="AH23" s="1625"/>
      <c r="AI23" s="1625"/>
      <c r="AJ23" s="1625"/>
      <c r="AK23" s="1625"/>
      <c r="AL23" s="1625"/>
    </row>
    <row r="24" spans="1:38" s="101" customFormat="1">
      <c r="A24" s="102"/>
      <c r="B24" s="102"/>
      <c r="C24" s="102"/>
      <c r="D24" s="106"/>
      <c r="E24" s="107"/>
      <c r="F24" s="108" t="s">
        <v>852</v>
      </c>
      <c r="G24" s="111" t="s">
        <v>1178</v>
      </c>
      <c r="H24" s="141">
        <f>$H$22*$H$23</f>
        <v>533.04699999999991</v>
      </c>
      <c r="I24" s="154"/>
      <c r="K24" s="152"/>
      <c r="L24" s="152"/>
      <c r="M24" s="152"/>
      <c r="N24" s="102"/>
      <c r="O24" s="102"/>
      <c r="P24" s="102"/>
      <c r="Q24" s="102"/>
      <c r="R24" s="102"/>
      <c r="S24" s="102"/>
      <c r="T24" s="102"/>
      <c r="U24" s="102"/>
      <c r="V24" s="102"/>
      <c r="W24" s="102"/>
      <c r="X24" s="102"/>
      <c r="Z24" s="1625"/>
      <c r="AA24" s="1625"/>
      <c r="AB24" s="1625"/>
      <c r="AC24" s="1625"/>
      <c r="AD24" s="1625"/>
      <c r="AE24" s="1625"/>
      <c r="AF24" s="1625"/>
      <c r="AG24" s="1625"/>
      <c r="AH24" s="1625"/>
      <c r="AI24" s="1625"/>
      <c r="AJ24" s="1625"/>
      <c r="AK24" s="1625"/>
      <c r="AL24" s="1625"/>
    </row>
    <row r="25" spans="1:38" s="101" customFormat="1">
      <c r="A25" s="102"/>
      <c r="B25" s="102"/>
      <c r="C25" s="102"/>
      <c r="D25" s="106"/>
      <c r="E25" s="107"/>
      <c r="F25" s="108" t="s">
        <v>853</v>
      </c>
      <c r="G25" s="111" t="s">
        <v>854</v>
      </c>
      <c r="H25" s="141">
        <f>$H$24*$H$21*($H$18-$H$19)</f>
        <v>41073.350233299992</v>
      </c>
      <c r="I25" s="154"/>
      <c r="K25" s="152"/>
      <c r="L25" s="152"/>
      <c r="M25" s="152"/>
      <c r="N25" s="102"/>
      <c r="O25" s="102"/>
      <c r="P25" s="102"/>
      <c r="Q25" s="102"/>
      <c r="R25" s="102"/>
      <c r="S25" s="102"/>
      <c r="T25" s="102"/>
      <c r="U25" s="102"/>
      <c r="V25" s="102"/>
      <c r="W25" s="102"/>
      <c r="X25" s="102"/>
      <c r="Z25" s="1625"/>
      <c r="AA25" s="1625"/>
      <c r="AB25" s="1625"/>
      <c r="AC25" s="1625"/>
      <c r="AD25" s="1625"/>
      <c r="AE25" s="1625"/>
      <c r="AF25" s="1625"/>
      <c r="AG25" s="1625"/>
      <c r="AH25" s="1625"/>
      <c r="AI25" s="1625"/>
      <c r="AJ25" s="1625"/>
      <c r="AK25" s="1625"/>
      <c r="AL25" s="1625"/>
    </row>
    <row r="26" spans="1:38" s="101" customFormat="1">
      <c r="A26" s="102"/>
      <c r="B26" s="102"/>
      <c r="C26" s="102"/>
      <c r="D26" s="120"/>
      <c r="E26" s="121"/>
      <c r="F26" s="110" t="s">
        <v>856</v>
      </c>
      <c r="G26" s="46"/>
      <c r="H26" s="146">
        <v>2.9300000000000002E-4</v>
      </c>
      <c r="I26" s="154"/>
      <c r="K26" s="152"/>
      <c r="L26" s="152"/>
      <c r="M26" s="152"/>
      <c r="N26" s="102"/>
      <c r="O26" s="102"/>
      <c r="P26" s="102"/>
      <c r="Q26" s="102"/>
      <c r="R26" s="102"/>
      <c r="S26" s="102"/>
      <c r="T26" s="102"/>
      <c r="U26" s="102"/>
      <c r="V26" s="102"/>
      <c r="W26" s="102"/>
      <c r="X26" s="102"/>
      <c r="Z26" s="1625"/>
      <c r="AA26" s="1625"/>
      <c r="AB26" s="1625"/>
      <c r="AC26" s="1625"/>
      <c r="AD26" s="1625"/>
      <c r="AE26" s="1625"/>
      <c r="AF26" s="1625"/>
      <c r="AG26" s="1625"/>
      <c r="AH26" s="1625"/>
      <c r="AI26" s="1625"/>
      <c r="AJ26" s="1625"/>
      <c r="AK26" s="1625"/>
      <c r="AL26" s="1625"/>
    </row>
    <row r="27" spans="1:38" s="101" customFormat="1" ht="15.75">
      <c r="A27" s="127"/>
      <c r="B27" s="100"/>
      <c r="C27" s="127"/>
      <c r="D27" s="127"/>
      <c r="G27" s="99"/>
      <c r="H27" s="99"/>
      <c r="I27" s="99"/>
      <c r="J27" s="1067"/>
      <c r="K27" s="1067"/>
      <c r="L27" s="1067"/>
      <c r="M27" s="1067"/>
      <c r="N27" s="102"/>
      <c r="O27" s="102"/>
      <c r="P27" s="102"/>
      <c r="Q27" s="102"/>
      <c r="R27" s="102"/>
      <c r="S27" s="127"/>
      <c r="T27" s="127"/>
      <c r="U27" s="102"/>
      <c r="V27" s="102"/>
      <c r="W27" s="127"/>
      <c r="X27" s="127"/>
      <c r="Z27" s="1625"/>
      <c r="AA27" s="1625"/>
      <c r="AB27" s="1625"/>
      <c r="AC27" s="1625"/>
      <c r="AD27" s="1625"/>
      <c r="AE27" s="1625"/>
      <c r="AF27" s="1625"/>
      <c r="AG27" s="1625"/>
      <c r="AH27" s="1625"/>
      <c r="AI27" s="1625"/>
      <c r="AJ27" s="1625"/>
      <c r="AK27" s="1625"/>
      <c r="AL27" s="1625"/>
    </row>
    <row r="28" spans="1:38" s="101" customFormat="1" ht="15.75">
      <c r="A28" s="127"/>
      <c r="B28" s="100"/>
      <c r="C28" s="2306" t="s">
        <v>322</v>
      </c>
      <c r="D28" s="2307"/>
      <c r="E28" s="2307"/>
      <c r="F28" s="2307"/>
      <c r="G28" s="574" t="s">
        <v>550</v>
      </c>
      <c r="H28" s="574" t="s">
        <v>548</v>
      </c>
      <c r="I28" s="575" t="s">
        <v>549</v>
      </c>
      <c r="J28" s="153"/>
      <c r="K28" s="153"/>
      <c r="L28" s="153"/>
      <c r="M28" s="1067"/>
      <c r="N28" s="102"/>
      <c r="O28" s="102"/>
      <c r="P28" s="102"/>
      <c r="Q28" s="102"/>
      <c r="R28" s="102"/>
      <c r="S28" s="127"/>
      <c r="T28" s="127"/>
      <c r="U28" s="102"/>
      <c r="V28" s="102"/>
      <c r="W28" s="127"/>
      <c r="X28" s="127"/>
      <c r="Z28" s="1625"/>
      <c r="AA28" s="1625"/>
      <c r="AB28" s="1625"/>
      <c r="AC28" s="1625"/>
      <c r="AD28" s="1625"/>
      <c r="AE28" s="1625"/>
      <c r="AF28" s="1625"/>
      <c r="AG28" s="1625"/>
      <c r="AH28" s="1625"/>
      <c r="AI28" s="1625"/>
      <c r="AJ28" s="1625"/>
      <c r="AK28" s="1625"/>
      <c r="AL28" s="1625"/>
    </row>
    <row r="29" spans="1:38" s="101" customFormat="1">
      <c r="A29" s="127"/>
      <c r="B29" s="127"/>
      <c r="C29" s="127"/>
      <c r="D29" s="2300" t="s">
        <v>320</v>
      </c>
      <c r="E29" s="2301"/>
      <c r="F29" s="2301"/>
      <c r="G29" s="2301"/>
      <c r="H29" s="1065"/>
      <c r="I29" s="1065"/>
      <c r="J29" s="360"/>
      <c r="K29" s="177"/>
      <c r="L29" s="1352"/>
      <c r="M29" s="1335"/>
      <c r="N29" s="178"/>
      <c r="O29" s="1335"/>
      <c r="P29" s="1352"/>
      <c r="Q29" s="1335"/>
      <c r="R29" s="1352"/>
      <c r="S29" s="1335"/>
      <c r="T29" s="1448"/>
      <c r="U29" s="102"/>
      <c r="V29" s="102"/>
      <c r="W29" s="127"/>
      <c r="X29" s="127"/>
      <c r="Y29" s="127"/>
      <c r="Z29" s="1627"/>
      <c r="AA29" s="1625"/>
      <c r="AB29" s="1625"/>
      <c r="AC29" s="1625"/>
      <c r="AD29" s="1625"/>
      <c r="AE29" s="1625"/>
      <c r="AF29" s="1625"/>
      <c r="AG29" s="1625"/>
      <c r="AH29" s="1625"/>
      <c r="AI29" s="1625"/>
      <c r="AJ29" s="1625"/>
      <c r="AK29" s="1625"/>
      <c r="AL29" s="1625"/>
    </row>
    <row r="30" spans="1:38" s="101" customFormat="1">
      <c r="A30" s="102"/>
      <c r="B30" s="102"/>
      <c r="C30" s="102"/>
      <c r="D30" s="106"/>
      <c r="E30" s="107"/>
      <c r="F30" s="108" t="s">
        <v>459</v>
      </c>
      <c r="G30" s="111" t="s">
        <v>4779</v>
      </c>
      <c r="H30" s="111"/>
      <c r="I30" s="111"/>
      <c r="J30" s="180" t="s">
        <v>1056</v>
      </c>
      <c r="K30" s="181" t="s">
        <v>1056</v>
      </c>
      <c r="L30" s="1353" t="s">
        <v>48</v>
      </c>
      <c r="M30" s="1337" t="s">
        <v>48</v>
      </c>
      <c r="N30" s="182" t="s">
        <v>4745</v>
      </c>
      <c r="O30" s="1337" t="s">
        <v>563</v>
      </c>
      <c r="P30" s="1353" t="s">
        <v>563</v>
      </c>
      <c r="Q30" s="1337" t="s">
        <v>563</v>
      </c>
      <c r="R30" s="1353" t="s">
        <v>563</v>
      </c>
      <c r="S30" s="1337" t="s">
        <v>563</v>
      </c>
      <c r="T30" s="1449" t="s">
        <v>563</v>
      </c>
      <c r="U30" s="102"/>
      <c r="V30" s="102"/>
      <c r="W30" s="102"/>
      <c r="X30" s="102"/>
      <c r="Y30" s="102"/>
      <c r="Z30" s="1624"/>
      <c r="AA30" s="1625"/>
      <c r="AB30" s="1625"/>
      <c r="AC30" s="1625"/>
      <c r="AD30" s="1625"/>
      <c r="AE30" s="1625"/>
      <c r="AF30" s="1625"/>
      <c r="AG30" s="1625"/>
      <c r="AH30" s="1625"/>
      <c r="AI30" s="1625"/>
      <c r="AJ30" s="1625"/>
      <c r="AK30" s="1625"/>
      <c r="AL30" s="1625"/>
    </row>
    <row r="31" spans="1:38" s="101" customFormat="1" ht="22.5">
      <c r="A31" s="132"/>
      <c r="B31" s="132"/>
      <c r="C31" s="132"/>
      <c r="D31" s="429"/>
      <c r="E31" s="108"/>
      <c r="F31" s="108" t="s">
        <v>458</v>
      </c>
      <c r="G31" s="430"/>
      <c r="H31" s="430"/>
      <c r="I31" s="430"/>
      <c r="J31" s="500" t="str">
        <f>"FollowsVar=" &amp; F80 &amp; "=Cannot have electric and gas options selected."</f>
        <v>FollowsVar=WaterHeaterFuelType=Cannot have electric and gas options selected.</v>
      </c>
      <c r="K31" s="501" t="str">
        <f>"FollowsVar=" &amp; F80 &amp; "=Cannot have electric and gas options selected."</f>
        <v>FollowsVar=WaterHeaterFuelType=Cannot have electric and gas options selected.</v>
      </c>
      <c r="L31" s="1562" t="s">
        <v>290</v>
      </c>
      <c r="M31" s="1563" t="s">
        <v>290</v>
      </c>
      <c r="N31" s="318" t="s">
        <v>4745</v>
      </c>
      <c r="O31" s="1592" t="s">
        <v>666</v>
      </c>
      <c r="P31" s="1593" t="s">
        <v>667</v>
      </c>
      <c r="Q31" s="1592" t="s">
        <v>668</v>
      </c>
      <c r="R31" s="1593" t="s">
        <v>1011</v>
      </c>
      <c r="S31" s="1592" t="s">
        <v>1012</v>
      </c>
      <c r="T31" s="1594" t="s">
        <v>1013</v>
      </c>
      <c r="U31" s="102"/>
      <c r="V31" s="102"/>
      <c r="W31" s="132"/>
      <c r="X31" s="132"/>
      <c r="Y31" s="132"/>
      <c r="Z31" s="1628"/>
      <c r="AA31" s="1625"/>
      <c r="AB31" s="1625"/>
      <c r="AC31" s="1625"/>
      <c r="AD31" s="1625"/>
      <c r="AE31" s="1625"/>
      <c r="AF31" s="1625"/>
      <c r="AG31" s="1625"/>
      <c r="AH31" s="1625"/>
      <c r="AI31" s="1625"/>
      <c r="AJ31" s="1625"/>
      <c r="AK31" s="1625"/>
      <c r="AL31" s="1625"/>
    </row>
    <row r="32" spans="1:38" s="101" customFormat="1">
      <c r="A32" s="102"/>
      <c r="B32" s="102"/>
      <c r="C32" s="102"/>
      <c r="D32" s="106"/>
      <c r="E32" s="107"/>
      <c r="F32" s="108" t="s">
        <v>1100</v>
      </c>
      <c r="G32" s="111"/>
      <c r="H32" s="111"/>
      <c r="I32" s="111"/>
      <c r="J32" s="366"/>
      <c r="K32" s="207"/>
      <c r="L32" s="1564"/>
      <c r="M32" s="1565"/>
      <c r="N32" s="208"/>
      <c r="O32" s="1565">
        <f t="shared" ref="O32:T32" si="0">O43*(1-O45)</f>
        <v>0.90400000000000003</v>
      </c>
      <c r="P32" s="1564">
        <f t="shared" si="0"/>
        <v>0.95</v>
      </c>
      <c r="Q32" s="1565">
        <f t="shared" si="0"/>
        <v>0.98</v>
      </c>
      <c r="R32" s="1564">
        <f t="shared" si="0"/>
        <v>0.59</v>
      </c>
      <c r="S32" s="1565">
        <f t="shared" si="0"/>
        <v>0.62</v>
      </c>
      <c r="T32" s="1595">
        <f t="shared" si="0"/>
        <v>0.76607999999999998</v>
      </c>
      <c r="U32" s="102"/>
      <c r="V32" s="102"/>
      <c r="W32" s="102"/>
      <c r="X32" s="102"/>
      <c r="Y32" s="102"/>
      <c r="Z32" s="1624"/>
      <c r="AA32" s="1625"/>
      <c r="AB32" s="1625"/>
      <c r="AC32" s="1625"/>
      <c r="AD32" s="1625"/>
      <c r="AE32" s="1625"/>
      <c r="AF32" s="1625"/>
      <c r="AG32" s="1625"/>
      <c r="AH32" s="1625"/>
      <c r="AI32" s="1625"/>
      <c r="AJ32" s="1625"/>
      <c r="AK32" s="1625"/>
      <c r="AL32" s="1625"/>
    </row>
    <row r="33" spans="1:38" s="101" customFormat="1">
      <c r="A33" s="102"/>
      <c r="B33" s="102"/>
      <c r="C33" s="102"/>
      <c r="D33" s="106"/>
      <c r="E33" s="107"/>
      <c r="F33" s="108" t="s">
        <v>155</v>
      </c>
      <c r="G33" s="111" t="s">
        <v>453</v>
      </c>
      <c r="H33" s="111"/>
      <c r="I33" s="111"/>
      <c r="J33" s="366"/>
      <c r="K33" s="207"/>
      <c r="L33" s="1564"/>
      <c r="M33" s="1565"/>
      <c r="N33" s="332"/>
      <c r="O33" s="1596">
        <f t="shared" ref="O33:T33" si="1">O39</f>
        <v>50</v>
      </c>
      <c r="P33" s="1597">
        <f t="shared" si="1"/>
        <v>50</v>
      </c>
      <c r="Q33" s="1596">
        <f t="shared" si="1"/>
        <v>0</v>
      </c>
      <c r="R33" s="1597">
        <f t="shared" si="1"/>
        <v>40</v>
      </c>
      <c r="S33" s="1596">
        <f t="shared" si="1"/>
        <v>40</v>
      </c>
      <c r="T33" s="1598">
        <f t="shared" si="1"/>
        <v>0</v>
      </c>
      <c r="U33" s="102"/>
      <c r="V33" s="102"/>
      <c r="W33" s="102"/>
      <c r="X33" s="102"/>
      <c r="Y33" s="102"/>
      <c r="Z33" s="1624"/>
      <c r="AA33" s="1625"/>
      <c r="AB33" s="1625"/>
      <c r="AC33" s="1625"/>
      <c r="AD33" s="1625"/>
      <c r="AE33" s="1625"/>
      <c r="AF33" s="1625"/>
      <c r="AG33" s="1625"/>
      <c r="AH33" s="1625"/>
      <c r="AI33" s="1625"/>
      <c r="AJ33" s="1625"/>
      <c r="AK33" s="1625"/>
      <c r="AL33" s="1625"/>
    </row>
    <row r="34" spans="1:38" s="101" customFormat="1" ht="12" customHeight="1">
      <c r="A34" s="102"/>
      <c r="B34" s="102"/>
      <c r="C34" s="102"/>
      <c r="D34" s="106"/>
      <c r="E34" s="107"/>
      <c r="F34" s="108" t="s">
        <v>154</v>
      </c>
      <c r="G34" s="113" t="s">
        <v>156</v>
      </c>
      <c r="H34" s="113"/>
      <c r="I34" s="113"/>
      <c r="J34" s="366"/>
      <c r="K34" s="207"/>
      <c r="L34" s="1564"/>
      <c r="M34" s="1565"/>
      <c r="N34" s="208"/>
      <c r="O34" s="1599" t="s">
        <v>152</v>
      </c>
      <c r="P34" s="1597" t="str">
        <f>O34</f>
        <v>If @WaterHeaterType = Tank
   Set @DV = @TankMaxHeatingRate
Else
   Set @DV = NA
EndIf</v>
      </c>
      <c r="Q34" s="1596" t="str">
        <f>O34</f>
        <v>If @WaterHeaterType = Tank
   Set @DV = @TankMaxHeatingRate
Else
   Set @DV = NA
EndIf</v>
      </c>
      <c r="R34" s="1597" t="str">
        <f>O34</f>
        <v>If @WaterHeaterType = Tank
   Set @DV = @TankMaxHeatingRate
Else
   Set @DV = NA
EndIf</v>
      </c>
      <c r="S34" s="1596" t="str">
        <f>O34</f>
        <v>If @WaterHeaterType = Tank
   Set @DV = @TankMaxHeatingRate
Else
   Set @DV = NA
EndIf</v>
      </c>
      <c r="T34" s="1598" t="str">
        <f>O34</f>
        <v>If @WaterHeaterType = Tank
   Set @DV = @TankMaxHeatingRate
Else
   Set @DV = NA
EndIf</v>
      </c>
      <c r="U34" s="102"/>
      <c r="V34" s="102"/>
      <c r="W34" s="102"/>
      <c r="X34" s="102"/>
      <c r="Y34" s="102"/>
      <c r="Z34" s="1624"/>
      <c r="AA34" s="1625"/>
      <c r="AB34" s="1625"/>
      <c r="AC34" s="1625"/>
      <c r="AD34" s="1625"/>
      <c r="AE34" s="1625"/>
      <c r="AF34" s="1625"/>
      <c r="AG34" s="1625"/>
      <c r="AH34" s="1625"/>
      <c r="AI34" s="1625"/>
      <c r="AJ34" s="1625"/>
      <c r="AK34" s="1625"/>
      <c r="AL34" s="1625"/>
    </row>
    <row r="35" spans="1:38" s="101" customFormat="1">
      <c r="A35" s="102"/>
      <c r="B35" s="102"/>
      <c r="C35" s="102"/>
      <c r="D35" s="106"/>
      <c r="E35" s="107"/>
      <c r="F35" s="108" t="s">
        <v>488</v>
      </c>
      <c r="G35" s="111" t="s">
        <v>1068</v>
      </c>
      <c r="H35" s="111"/>
      <c r="I35" s="111"/>
      <c r="J35" s="358" t="s">
        <v>1084</v>
      </c>
      <c r="K35" s="209" t="s">
        <v>1084</v>
      </c>
      <c r="L35" s="1353" t="s">
        <v>1084</v>
      </c>
      <c r="M35" s="1337" t="s">
        <v>1084</v>
      </c>
      <c r="N35" s="210" t="s">
        <v>1084</v>
      </c>
      <c r="O35" s="1337" t="s">
        <v>1084</v>
      </c>
      <c r="P35" s="1353" t="s">
        <v>1084</v>
      </c>
      <c r="Q35" s="1337" t="s">
        <v>452</v>
      </c>
      <c r="R35" s="1353" t="s">
        <v>1084</v>
      </c>
      <c r="S35" s="1337" t="s">
        <v>1084</v>
      </c>
      <c r="T35" s="1449" t="s">
        <v>452</v>
      </c>
      <c r="U35" s="102"/>
      <c r="V35" s="102"/>
      <c r="W35" s="102"/>
      <c r="X35" s="102"/>
      <c r="Y35" s="102"/>
      <c r="Z35" s="1624"/>
      <c r="AA35" s="1625"/>
      <c r="AB35" s="1625"/>
      <c r="AC35" s="1625"/>
      <c r="AD35" s="1625"/>
      <c r="AE35" s="1625"/>
      <c r="AF35" s="1625"/>
      <c r="AG35" s="1625"/>
      <c r="AH35" s="1625"/>
      <c r="AI35" s="1625"/>
      <c r="AJ35" s="1625"/>
      <c r="AK35" s="1625"/>
      <c r="AL35" s="1625"/>
    </row>
    <row r="36" spans="1:38" s="101" customFormat="1">
      <c r="A36" s="102"/>
      <c r="B36" s="102"/>
      <c r="C36" s="102"/>
      <c r="D36" s="106"/>
      <c r="E36" s="107"/>
      <c r="F36" s="108" t="s">
        <v>486</v>
      </c>
      <c r="G36" s="109"/>
      <c r="H36" s="109"/>
      <c r="I36" s="109"/>
      <c r="J36" s="358" t="s">
        <v>773</v>
      </c>
      <c r="K36" s="209" t="s">
        <v>773</v>
      </c>
      <c r="L36" s="1353" t="s">
        <v>773</v>
      </c>
      <c r="M36" s="1337" t="s">
        <v>773</v>
      </c>
      <c r="N36" s="210" t="s">
        <v>773</v>
      </c>
      <c r="O36" s="1337" t="s">
        <v>413</v>
      </c>
      <c r="P36" s="1353" t="s">
        <v>413</v>
      </c>
      <c r="Q36" s="1337" t="s">
        <v>1079</v>
      </c>
      <c r="R36" s="1451"/>
      <c r="S36" s="1337" t="s">
        <v>414</v>
      </c>
      <c r="T36" s="1449" t="s">
        <v>1078</v>
      </c>
      <c r="U36" s="102"/>
      <c r="V36" s="102"/>
      <c r="W36" s="102"/>
      <c r="X36" s="102"/>
      <c r="Y36" s="102"/>
      <c r="Z36" s="1624"/>
      <c r="AA36" s="1625"/>
      <c r="AB36" s="1625"/>
      <c r="AC36" s="1625"/>
      <c r="AD36" s="1625"/>
      <c r="AE36" s="1625"/>
      <c r="AF36" s="1625"/>
      <c r="AG36" s="1625"/>
      <c r="AH36" s="1625"/>
      <c r="AI36" s="1625"/>
      <c r="AJ36" s="1625"/>
      <c r="AK36" s="1625"/>
      <c r="AL36" s="1625"/>
    </row>
    <row r="37" spans="1:38" s="101" customFormat="1" ht="22.5">
      <c r="A37" s="102"/>
      <c r="B37" s="102"/>
      <c r="C37" s="102"/>
      <c r="D37" s="106"/>
      <c r="E37" s="107"/>
      <c r="F37" s="108" t="s">
        <v>487</v>
      </c>
      <c r="G37" s="109"/>
      <c r="H37" s="109"/>
      <c r="I37" s="109"/>
      <c r="J37" s="358" t="s">
        <v>773</v>
      </c>
      <c r="K37" s="209" t="s">
        <v>773</v>
      </c>
      <c r="L37" s="1353" t="s">
        <v>773</v>
      </c>
      <c r="M37" s="1337" t="s">
        <v>773</v>
      </c>
      <c r="N37" s="210" t="s">
        <v>773</v>
      </c>
      <c r="O37" s="1337" t="s">
        <v>1082</v>
      </c>
      <c r="P37" s="1353" t="s">
        <v>1083</v>
      </c>
      <c r="Q37" s="1337" t="s">
        <v>83</v>
      </c>
      <c r="R37" s="1451"/>
      <c r="S37" s="1337" t="s">
        <v>1080</v>
      </c>
      <c r="T37" s="1449" t="s">
        <v>1081</v>
      </c>
      <c r="U37" s="102"/>
      <c r="V37" s="102"/>
      <c r="W37" s="102"/>
      <c r="X37" s="102"/>
      <c r="Y37" s="102"/>
      <c r="Z37" s="1624"/>
      <c r="AA37" s="1625"/>
      <c r="AB37" s="1625"/>
      <c r="AC37" s="1625"/>
      <c r="AD37" s="1625"/>
      <c r="AE37" s="1625"/>
      <c r="AF37" s="1625"/>
      <c r="AG37" s="1625"/>
      <c r="AH37" s="1625"/>
      <c r="AI37" s="1625"/>
      <c r="AJ37" s="1625"/>
      <c r="AK37" s="1625"/>
      <c r="AL37" s="1625"/>
    </row>
    <row r="38" spans="1:38" s="101" customFormat="1">
      <c r="A38" s="127"/>
      <c r="B38" s="102"/>
      <c r="C38" s="102"/>
      <c r="D38" s="2300" t="s">
        <v>324</v>
      </c>
      <c r="E38" s="2301"/>
      <c r="F38" s="2301"/>
      <c r="G38" s="2301"/>
      <c r="H38" s="1065"/>
      <c r="I38" s="1065"/>
      <c r="J38" s="184"/>
      <c r="K38" s="185"/>
      <c r="L38" s="1566"/>
      <c r="M38" s="1567"/>
      <c r="N38" s="186"/>
      <c r="O38" s="1340"/>
      <c r="P38" s="1355"/>
      <c r="Q38" s="1340"/>
      <c r="R38" s="1355"/>
      <c r="S38" s="1340"/>
      <c r="T38" s="1464"/>
      <c r="U38" s="102"/>
      <c r="V38" s="102"/>
      <c r="W38" s="127"/>
      <c r="X38" s="127"/>
      <c r="Y38" s="127"/>
      <c r="Z38" s="1627"/>
      <c r="AA38" s="1625"/>
      <c r="AB38" s="1625"/>
      <c r="AC38" s="1625"/>
      <c r="AD38" s="1625"/>
      <c r="AE38" s="1625"/>
      <c r="AF38" s="1625"/>
      <c r="AG38" s="1625"/>
      <c r="AH38" s="1625"/>
      <c r="AI38" s="1625"/>
      <c r="AJ38" s="1625"/>
      <c r="AK38" s="1625"/>
      <c r="AL38" s="1625"/>
    </row>
    <row r="39" spans="1:38" s="101" customFormat="1">
      <c r="A39" s="102"/>
      <c r="B39" s="102"/>
      <c r="C39" s="102"/>
      <c r="D39" s="106"/>
      <c r="E39" s="130"/>
      <c r="F39" s="108" t="s">
        <v>411</v>
      </c>
      <c r="G39" s="111" t="s">
        <v>453</v>
      </c>
      <c r="H39" s="111"/>
      <c r="I39" s="111"/>
      <c r="J39" s="367">
        <f>IF(J35&lt;&gt;"Tankless", IF(J80="Gas", IF($H$13=1, 20, IF($H$13=2, IF($H$14&lt;=2.5, 30, 40), IF($H$13=3, IF($H$14&lt;=1.5, 30, 40), IF($H$13=4, IF($H$14&lt;=2.5, 40, 50), 50)))), IF($H$13=1, 20, IF($H$13=2, IF($H$14&lt;=1.5, 30, IF($H$14&lt;=2.5, 40, 50)), IF($H$13=3, IF($H$14&lt;=1.5, 40, 50), IF($H$13=4, IF($H$14&lt;=2.5, 50, 66), IF($H$13=5, 66, 80)))))), 0)</f>
        <v>50</v>
      </c>
      <c r="K39" s="328">
        <f>IF(K35&lt;&gt;"Tankless", IF(K80="Gas", IF($H$13=1, 20, IF($H$13=2, IF($H$14&lt;=2.5, 30, 40), IF($H$13=3, IF($H$14&lt;=1.5, 30, 40), IF($H$13=4, IF($H$14&lt;=2.5, 40, 50), 50)))), IF($H$13=1, 20, IF($H$13=2, IF($H$14&lt;=1.5, 30, IF($H$14&lt;=2.5, 40, 50)), IF($H$13=3, IF($H$14&lt;=1.5, 40, 50), IF($H$13=4, IF($H$14&lt;=2.5, 50, 66), IF($H$13=5, 66, 80)))))), 0)</f>
        <v>40</v>
      </c>
      <c r="L39" s="1568">
        <v>50</v>
      </c>
      <c r="M39" s="1569">
        <v>40</v>
      </c>
      <c r="N39" s="319">
        <f>NewConst!F113</f>
        <v>40</v>
      </c>
      <c r="O39" s="1452">
        <f t="shared" ref="O39:T39" si="2">IF(O35&lt;&gt;"Tankless", IF(O80="Gas", IF($H$13=1, 20, IF($H$13=2, IF($H$14&lt;=2.5, 30, 40), IF($H$13=3, IF($H$14&lt;=1.5, 30, 40), IF($H$13=4, IF($H$14&lt;=2.5, 40, 50), 50)))), IF($H$13=1, 20, IF($H$13=2, IF($H$14&lt;=1.5, 30, IF($H$14&lt;=2.5, 40, 50)), IF($H$13=3, IF($H$14&lt;=1.5, 40, 50), IF($H$13=4, IF($H$14&lt;=2.5, 50, 66), IF($H$13=5, 66, 80)))))), 0)</f>
        <v>50</v>
      </c>
      <c r="P39" s="1451">
        <f t="shared" si="2"/>
        <v>50</v>
      </c>
      <c r="Q39" s="1452">
        <f t="shared" si="2"/>
        <v>0</v>
      </c>
      <c r="R39" s="1451">
        <f t="shared" si="2"/>
        <v>40</v>
      </c>
      <c r="S39" s="1452">
        <f t="shared" si="2"/>
        <v>40</v>
      </c>
      <c r="T39" s="1600">
        <f t="shared" si="2"/>
        <v>0</v>
      </c>
      <c r="U39" s="102"/>
      <c r="V39" s="102"/>
      <c r="W39" s="102"/>
      <c r="X39" s="102"/>
      <c r="Y39" s="102"/>
      <c r="Z39" s="1624"/>
      <c r="AA39" s="1625"/>
      <c r="AB39" s="1625"/>
      <c r="AC39" s="1625"/>
      <c r="AD39" s="1625"/>
      <c r="AE39" s="1625"/>
      <c r="AF39" s="1625"/>
      <c r="AG39" s="1625"/>
      <c r="AH39" s="1625"/>
      <c r="AI39" s="1625"/>
      <c r="AJ39" s="1625"/>
      <c r="AK39" s="1625"/>
      <c r="AL39" s="1625"/>
    </row>
    <row r="40" spans="1:38" s="101" customFormat="1">
      <c r="A40" s="102"/>
      <c r="B40" s="102"/>
      <c r="C40" s="102"/>
      <c r="D40" s="106"/>
      <c r="E40" s="130"/>
      <c r="F40" s="17" t="s">
        <v>781</v>
      </c>
      <c r="G40" s="111" t="s">
        <v>453</v>
      </c>
      <c r="H40" s="111"/>
      <c r="I40" s="111"/>
      <c r="J40" s="367"/>
      <c r="K40" s="328"/>
      <c r="L40" s="1568"/>
      <c r="M40" s="1569"/>
      <c r="N40" s="319">
        <f>IF(NewConst!F111="Gas",0.95,0.9)*N39</f>
        <v>38</v>
      </c>
      <c r="O40" s="1452"/>
      <c r="P40" s="1451"/>
      <c r="Q40" s="1452"/>
      <c r="R40" s="1451"/>
      <c r="S40" s="1452"/>
      <c r="T40" s="1600"/>
      <c r="U40" s="102"/>
      <c r="V40" s="102"/>
      <c r="W40" s="102"/>
      <c r="X40" s="102"/>
      <c r="Y40" s="102"/>
      <c r="Z40" s="1624"/>
      <c r="AA40" s="1625"/>
      <c r="AB40" s="1625"/>
      <c r="AC40" s="1625"/>
      <c r="AD40" s="1625"/>
      <c r="AE40" s="1625"/>
      <c r="AF40" s="1625"/>
      <c r="AG40" s="1625"/>
      <c r="AH40" s="1625"/>
      <c r="AI40" s="1625"/>
      <c r="AJ40" s="1625"/>
      <c r="AK40" s="1625"/>
      <c r="AL40" s="1625"/>
    </row>
    <row r="41" spans="1:38" s="101" customFormat="1">
      <c r="A41" s="102"/>
      <c r="B41" s="102"/>
      <c r="C41" s="102"/>
      <c r="D41" s="106"/>
      <c r="E41" s="130"/>
      <c r="F41" s="1553" t="s">
        <v>101</v>
      </c>
      <c r="G41" s="111" t="s">
        <v>210</v>
      </c>
      <c r="H41" s="111"/>
      <c r="I41" s="111"/>
      <c r="J41" s="367"/>
      <c r="K41" s="328"/>
      <c r="L41" s="1568"/>
      <c r="M41" s="1569"/>
      <c r="N41" s="319">
        <f>NewConst!F114</f>
        <v>45</v>
      </c>
      <c r="O41" s="1452"/>
      <c r="P41" s="1451"/>
      <c r="Q41" s="1452"/>
      <c r="R41" s="1451"/>
      <c r="S41" s="1452"/>
      <c r="T41" s="1600"/>
      <c r="U41" s="102"/>
      <c r="V41" s="102"/>
      <c r="W41" s="102"/>
      <c r="X41" s="102"/>
      <c r="Y41" s="102"/>
      <c r="Z41" s="1624"/>
      <c r="AA41" s="1625"/>
      <c r="AB41" s="1625"/>
      <c r="AC41" s="1625"/>
      <c r="AD41" s="1625"/>
      <c r="AE41" s="1625"/>
      <c r="AF41" s="1625"/>
      <c r="AG41" s="1625"/>
      <c r="AH41" s="1625"/>
      <c r="AI41" s="1625"/>
      <c r="AJ41" s="1625"/>
      <c r="AK41" s="1625"/>
      <c r="AL41" s="1625"/>
    </row>
    <row r="42" spans="1:38" s="101" customFormat="1">
      <c r="A42" s="102"/>
      <c r="B42" s="102"/>
      <c r="C42" s="102"/>
      <c r="D42" s="106"/>
      <c r="E42" s="130"/>
      <c r="F42" s="1553" t="s">
        <v>942</v>
      </c>
      <c r="G42" s="111" t="s">
        <v>210</v>
      </c>
      <c r="H42" s="111"/>
      <c r="I42" s="111"/>
      <c r="J42" s="367"/>
      <c r="K42" s="328"/>
      <c r="L42" s="1568"/>
      <c r="M42" s="1569"/>
      <c r="N42" s="319">
        <f>24*SQRT((N40*0.1337)/((N41/12)*PI()))</f>
        <v>15.760796931300408</v>
      </c>
      <c r="O42" s="1452"/>
      <c r="P42" s="1451"/>
      <c r="Q42" s="1452"/>
      <c r="R42" s="1451"/>
      <c r="S42" s="1452"/>
      <c r="T42" s="1600"/>
      <c r="U42" s="102"/>
      <c r="V42" s="102"/>
      <c r="W42" s="102"/>
      <c r="X42" s="102"/>
      <c r="Y42" s="102"/>
      <c r="Z42" s="1624"/>
      <c r="AA42" s="1625"/>
      <c r="AB42" s="1625"/>
      <c r="AC42" s="1625"/>
      <c r="AD42" s="1625"/>
      <c r="AE42" s="1625"/>
      <c r="AF42" s="1625"/>
      <c r="AG42" s="1625"/>
      <c r="AH42" s="1625"/>
      <c r="AI42" s="1625"/>
      <c r="AJ42" s="1625"/>
      <c r="AK42" s="1625"/>
      <c r="AL42" s="1625"/>
    </row>
    <row r="43" spans="1:38" s="101" customFormat="1">
      <c r="A43" s="102"/>
      <c r="B43" s="102"/>
      <c r="C43" s="102"/>
      <c r="D43" s="106"/>
      <c r="E43" s="130"/>
      <c r="F43" s="108" t="s">
        <v>412</v>
      </c>
      <c r="G43" s="109"/>
      <c r="H43" s="109"/>
      <c r="I43" s="109"/>
      <c r="J43" s="367">
        <f>0.93-(0.00132*J39)</f>
        <v>0.8640000000000001</v>
      </c>
      <c r="K43" s="328">
        <f>0.62-(0.0019*K39)</f>
        <v>0.54400000000000004</v>
      </c>
      <c r="L43" s="1568">
        <v>0.90400000000000003</v>
      </c>
      <c r="M43" s="1569">
        <v>0.59399999999999997</v>
      </c>
      <c r="N43" s="329">
        <f>NewConst!F115</f>
        <v>0.54</v>
      </c>
      <c r="O43" s="1337">
        <v>0.90400000000000003</v>
      </c>
      <c r="P43" s="1353">
        <v>0.95</v>
      </c>
      <c r="Q43" s="1337">
        <v>0.98</v>
      </c>
      <c r="R43" s="1353">
        <v>0.59</v>
      </c>
      <c r="S43" s="1337">
        <v>0.62</v>
      </c>
      <c r="T43" s="1449">
        <v>0.84</v>
      </c>
      <c r="U43" s="102"/>
      <c r="V43" s="102"/>
      <c r="W43" s="102"/>
      <c r="X43" s="102"/>
      <c r="Y43" s="102"/>
      <c r="Z43" s="1624"/>
      <c r="AA43" s="1625"/>
      <c r="AB43" s="1625"/>
      <c r="AC43" s="1625"/>
      <c r="AD43" s="1625"/>
      <c r="AE43" s="1625"/>
      <c r="AF43" s="1625"/>
      <c r="AG43" s="1625"/>
      <c r="AH43" s="1625"/>
      <c r="AI43" s="1625"/>
      <c r="AJ43" s="1625"/>
      <c r="AK43" s="1625"/>
      <c r="AL43" s="1625"/>
    </row>
    <row r="44" spans="1:38" s="101" customFormat="1">
      <c r="A44" s="102"/>
      <c r="B44" s="102"/>
      <c r="C44" s="102"/>
      <c r="D44" s="106"/>
      <c r="E44" s="130"/>
      <c r="F44" s="108" t="s">
        <v>368</v>
      </c>
      <c r="G44" s="109"/>
      <c r="H44" s="109"/>
      <c r="I44" s="109"/>
      <c r="J44" s="367">
        <f>IF(J80="gas",0.76, 0.98)</f>
        <v>0.98</v>
      </c>
      <c r="K44" s="328">
        <f>IF(K80="gas",0.76, 0.98)</f>
        <v>0.76</v>
      </c>
      <c r="L44" s="1568">
        <v>0.98</v>
      </c>
      <c r="M44" s="1569">
        <v>0.76</v>
      </c>
      <c r="N44" s="329">
        <f>NewConst!F116</f>
        <v>0.76</v>
      </c>
      <c r="O44" s="1337">
        <v>0.99</v>
      </c>
      <c r="P44" s="1353">
        <v>0.99</v>
      </c>
      <c r="Q44" s="1337">
        <v>0.99</v>
      </c>
      <c r="R44" s="1353">
        <v>0.8</v>
      </c>
      <c r="S44" s="1337">
        <v>0.8</v>
      </c>
      <c r="T44" s="1449" t="s">
        <v>773</v>
      </c>
      <c r="U44" s="102"/>
      <c r="V44" s="102"/>
      <c r="W44" s="102"/>
      <c r="X44" s="102"/>
      <c r="Y44" s="102"/>
      <c r="Z44" s="1624"/>
      <c r="AA44" s="1625"/>
      <c r="AB44" s="1625"/>
      <c r="AC44" s="1625"/>
      <c r="AD44" s="1625"/>
      <c r="AE44" s="1625"/>
      <c r="AF44" s="1625"/>
      <c r="AG44" s="1625"/>
      <c r="AH44" s="1625"/>
      <c r="AI44" s="1625"/>
      <c r="AJ44" s="1625"/>
      <c r="AK44" s="1625"/>
      <c r="AL44" s="1625"/>
    </row>
    <row r="45" spans="1:38" s="101" customFormat="1">
      <c r="A45" s="102"/>
      <c r="B45" s="102"/>
      <c r="C45" s="102"/>
      <c r="D45" s="106"/>
      <c r="E45" s="130"/>
      <c r="F45" s="108" t="s">
        <v>462</v>
      </c>
      <c r="G45" s="109"/>
      <c r="H45" s="109"/>
      <c r="I45" s="109"/>
      <c r="J45" s="410">
        <v>0</v>
      </c>
      <c r="K45" s="333">
        <v>0</v>
      </c>
      <c r="L45" s="1570">
        <v>0</v>
      </c>
      <c r="M45" s="1571">
        <v>0</v>
      </c>
      <c r="N45" s="334">
        <v>0</v>
      </c>
      <c r="O45" s="1601">
        <v>0</v>
      </c>
      <c r="P45" s="1602">
        <v>0</v>
      </c>
      <c r="Q45" s="1601">
        <v>0</v>
      </c>
      <c r="R45" s="1602">
        <v>0</v>
      </c>
      <c r="S45" s="1601">
        <v>0</v>
      </c>
      <c r="T45" s="1603">
        <v>8.7999999999999995E-2</v>
      </c>
      <c r="U45" s="102"/>
      <c r="V45" s="102"/>
      <c r="W45" s="102"/>
      <c r="X45" s="102"/>
      <c r="Y45" s="102"/>
      <c r="Z45" s="1624"/>
      <c r="AA45" s="1625"/>
      <c r="AB45" s="1625"/>
      <c r="AC45" s="1625"/>
      <c r="AD45" s="1625"/>
      <c r="AE45" s="1625"/>
      <c r="AF45" s="1625"/>
      <c r="AG45" s="1625"/>
      <c r="AH45" s="1625"/>
      <c r="AI45" s="1625"/>
      <c r="AJ45" s="1625"/>
      <c r="AK45" s="1625"/>
      <c r="AL45" s="1625"/>
    </row>
    <row r="46" spans="1:38" s="101" customFormat="1">
      <c r="A46" s="102"/>
      <c r="B46" s="102"/>
      <c r="C46" s="102"/>
      <c r="D46" s="106"/>
      <c r="E46" s="130"/>
      <c r="F46" s="108" t="s">
        <v>845</v>
      </c>
      <c r="G46" s="111" t="s">
        <v>6430</v>
      </c>
      <c r="H46" s="111"/>
      <c r="I46" s="111"/>
      <c r="J46" s="367">
        <f>IF(J80="Gas",IF($H$13=1,27000,IF($H$13=2,36000,IF($H$13=3,IF($H$14&lt;=2.5,36000,38000),IF($H$13=4,IF($H$14&lt;=1.5,36000,38000),IF($H$13=5,47000,50000))))),IF($H$13=1,2.5,IF($H$13=2,IF($H$14&lt;=1.5,3.5,IF($H$14&lt;=2.5,4.5,5.5)),IF($H$13=3,IF($H$14&lt;=1.5,4.5,5.5),5.5))))</f>
        <v>5.5</v>
      </c>
      <c r="K46" s="328">
        <f>IF(K80="Gas", IF($H$13=1, 27000, IF($H$13=2, 36000, IF($H$13=3, IF($H$14&lt;=2.5, 36000, 38000), IF($H$13=4, IF($H$14&lt;=1.5, 36000, 38000), IF($H$13=5, 47000, 50000))))), IF($H$13=1, 2.5, IF($H$13=2, IF($H$14&lt;=1.5, 3.5, IF($H$14&lt;=2.5, 4.5, 5.5)), IF($H$13=3, IF($H$14&lt;=1.5, 4.5, 5.5), 5.5))))</f>
        <v>36000</v>
      </c>
      <c r="L46" s="1568">
        <v>5.5</v>
      </c>
      <c r="M46" s="1569">
        <v>36000</v>
      </c>
      <c r="N46" s="329">
        <f>NewConst!F117</f>
        <v>36</v>
      </c>
      <c r="O46" s="1337">
        <v>4.5</v>
      </c>
      <c r="P46" s="1353">
        <v>5.5</v>
      </c>
      <c r="Q46" s="1337">
        <v>27777.78</v>
      </c>
      <c r="R46" s="1604">
        <v>40200</v>
      </c>
      <c r="S46" s="1605">
        <v>34170</v>
      </c>
      <c r="T46" s="1606">
        <v>1000000000</v>
      </c>
      <c r="U46" s="102"/>
      <c r="V46" s="102"/>
      <c r="W46" s="102"/>
      <c r="X46" s="102"/>
      <c r="Y46" s="102"/>
      <c r="Z46" s="1624"/>
      <c r="AA46" s="1625"/>
      <c r="AB46" s="1625"/>
      <c r="AC46" s="1625"/>
      <c r="AD46" s="1625"/>
      <c r="AE46" s="1625"/>
      <c r="AF46" s="1625"/>
      <c r="AG46" s="1625"/>
      <c r="AH46" s="1625"/>
      <c r="AI46" s="1625"/>
      <c r="AJ46" s="1625"/>
      <c r="AK46" s="1625"/>
      <c r="AL46" s="1625"/>
    </row>
    <row r="47" spans="1:38" s="101" customFormat="1">
      <c r="A47" s="102"/>
      <c r="B47" s="102"/>
      <c r="C47" s="102"/>
      <c r="D47" s="106"/>
      <c r="E47" s="130"/>
      <c r="F47" s="108" t="s">
        <v>957</v>
      </c>
      <c r="G47" s="111" t="s">
        <v>1323</v>
      </c>
      <c r="H47" s="111"/>
      <c r="I47" s="111"/>
      <c r="J47" s="365">
        <f>J50/J49</f>
        <v>0.18413725843886153</v>
      </c>
      <c r="K47" s="217">
        <f>K50/K49</f>
        <v>0.57845415599298178</v>
      </c>
      <c r="L47" s="1572">
        <v>0.19062818220572308</v>
      </c>
      <c r="M47" s="1573">
        <v>0.58787890632335493</v>
      </c>
      <c r="N47" s="248">
        <f>N50/N49</f>
        <v>0.62292437641106813</v>
      </c>
      <c r="O47" s="1467">
        <f>O50/O49</f>
        <v>0.12422794739029915</v>
      </c>
      <c r="P47" s="1466">
        <f>P50/P49</f>
        <v>6.1569114276771045E-2</v>
      </c>
      <c r="Q47" s="1337" t="s">
        <v>773</v>
      </c>
      <c r="R47" s="1466">
        <f>R50/R49</f>
        <v>0.51002665660464885</v>
      </c>
      <c r="S47" s="1467">
        <f>S50/S49</f>
        <v>0.41991633421747704</v>
      </c>
      <c r="T47" s="1449" t="s">
        <v>773</v>
      </c>
      <c r="U47" s="102"/>
      <c r="V47" s="102"/>
      <c r="W47" s="102"/>
      <c r="X47" s="102"/>
      <c r="Y47" s="102"/>
      <c r="Z47" s="1624"/>
      <c r="AA47" s="1625"/>
      <c r="AB47" s="1625"/>
      <c r="AC47" s="1625"/>
      <c r="AD47" s="1625"/>
      <c r="AE47" s="1625"/>
      <c r="AF47" s="1625"/>
      <c r="AG47" s="1625"/>
      <c r="AH47" s="1625"/>
      <c r="AI47" s="1625"/>
      <c r="AJ47" s="1625"/>
      <c r="AK47" s="1625"/>
      <c r="AL47" s="1625"/>
    </row>
    <row r="48" spans="1:38" s="101" customFormat="1">
      <c r="A48" s="102"/>
      <c r="B48" s="102"/>
      <c r="C48" s="102"/>
      <c r="D48" s="106"/>
      <c r="E48" s="130"/>
      <c r="F48" s="108" t="s">
        <v>1324</v>
      </c>
      <c r="G48" s="111" t="s">
        <v>210</v>
      </c>
      <c r="H48" s="111"/>
      <c r="I48" s="111"/>
      <c r="J48" s="405">
        <f>IF(J39=0, "NA", 24*SQRT((J39*0.1337)/($H15/12*PI())))</f>
        <v>17.504794452833895</v>
      </c>
      <c r="K48" s="321">
        <f>IF(K39=0, "NA", 24*SQRT((K39*0.1337)/($H15/12*PI())))</f>
        <v>15.656764131479132</v>
      </c>
      <c r="L48" s="1574">
        <v>17.504794452833895</v>
      </c>
      <c r="M48" s="1575">
        <v>15.656764131479132</v>
      </c>
      <c r="N48" s="291">
        <f>N42</f>
        <v>15.760796931300408</v>
      </c>
      <c r="O48" s="1607">
        <f t="shared" ref="O48:T48" si="3">IF(O39=0, "NA", 24*SQRT((O39*0.1337)/($H15/12*PI())))</f>
        <v>17.504794452833895</v>
      </c>
      <c r="P48" s="1608">
        <f t="shared" si="3"/>
        <v>17.504794452833895</v>
      </c>
      <c r="Q48" s="1607" t="str">
        <f t="shared" si="3"/>
        <v>NA</v>
      </c>
      <c r="R48" s="1608">
        <f t="shared" si="3"/>
        <v>15.656764131479132</v>
      </c>
      <c r="S48" s="1607">
        <f t="shared" si="3"/>
        <v>15.656764131479132</v>
      </c>
      <c r="T48" s="1609" t="str">
        <f t="shared" si="3"/>
        <v>NA</v>
      </c>
      <c r="U48" s="102"/>
      <c r="V48" s="102"/>
      <c r="W48" s="102"/>
      <c r="X48" s="102"/>
      <c r="Y48" s="102"/>
      <c r="Z48" s="1624"/>
      <c r="AA48" s="1625"/>
      <c r="AB48" s="1625"/>
      <c r="AC48" s="1625"/>
      <c r="AD48" s="1625"/>
      <c r="AE48" s="1625"/>
      <c r="AF48" s="1625"/>
      <c r="AG48" s="1625"/>
      <c r="AH48" s="1625"/>
      <c r="AI48" s="1625"/>
      <c r="AJ48" s="1625"/>
      <c r="AK48" s="1625"/>
      <c r="AL48" s="1625"/>
    </row>
    <row r="49" spans="1:38" s="101" customFormat="1">
      <c r="A49" s="102"/>
      <c r="B49" s="102"/>
      <c r="C49" s="102"/>
      <c r="D49" s="106"/>
      <c r="E49" s="130"/>
      <c r="F49" s="108" t="s">
        <v>780</v>
      </c>
      <c r="G49" s="111" t="s">
        <v>299</v>
      </c>
      <c r="H49" s="111"/>
      <c r="I49" s="111"/>
      <c r="J49" s="393">
        <f>IF(J39=0, "NA", 2*PI()*(J48/12)^2/4 + PI()*(J48/12)*($H15/12))</f>
        <v>21.673477885207443</v>
      </c>
      <c r="K49" s="290">
        <f>IF(K39=0, "NA", 2*PI()*(K48/12)^2/4 + PI()*(K48/12)*($H15/12))</f>
        <v>19.069725058147672</v>
      </c>
      <c r="L49" s="1576">
        <v>21.673477885207443</v>
      </c>
      <c r="M49" s="1577">
        <v>19.069725058147672</v>
      </c>
      <c r="N49" s="291">
        <f>2*PI()*((N42/12)^2)/4+PI()*(N42/12)*(N41/12)</f>
        <v>18.18277953773768</v>
      </c>
      <c r="O49" s="1607">
        <f t="shared" ref="O49:T49" si="4">IF(O39=0, "NA", 2*PI()*(O48/12)^2/4 + PI()*(O48/12)*($H15/12))</f>
        <v>21.673477885207443</v>
      </c>
      <c r="P49" s="1608">
        <f t="shared" si="4"/>
        <v>21.673477885207443</v>
      </c>
      <c r="Q49" s="1607" t="str">
        <f t="shared" si="4"/>
        <v>NA</v>
      </c>
      <c r="R49" s="1608">
        <f t="shared" si="4"/>
        <v>19.069725058147672</v>
      </c>
      <c r="S49" s="1607">
        <f t="shared" si="4"/>
        <v>19.069725058147672</v>
      </c>
      <c r="T49" s="1609" t="str">
        <f t="shared" si="4"/>
        <v>NA</v>
      </c>
      <c r="U49" s="102"/>
      <c r="V49" s="102"/>
      <c r="W49" s="102"/>
      <c r="X49" s="102"/>
      <c r="Y49" s="102"/>
      <c r="Z49" s="1624"/>
      <c r="AA49" s="1625"/>
      <c r="AB49" s="1625"/>
      <c r="AC49" s="1625"/>
      <c r="AD49" s="1625"/>
      <c r="AE49" s="1625"/>
      <c r="AF49" s="1625"/>
      <c r="AG49" s="1625"/>
      <c r="AH49" s="1625"/>
      <c r="AI49" s="1625"/>
      <c r="AJ49" s="1625"/>
      <c r="AK49" s="1625"/>
      <c r="AL49" s="1625"/>
    </row>
    <row r="50" spans="1:38" s="101" customFormat="1">
      <c r="A50" s="102"/>
      <c r="B50" s="102"/>
      <c r="C50" s="102"/>
      <c r="D50" s="106"/>
      <c r="E50" s="130"/>
      <c r="F50" s="108" t="s">
        <v>857</v>
      </c>
      <c r="G50" s="111" t="s">
        <v>991</v>
      </c>
      <c r="H50" s="111"/>
      <c r="I50" s="111"/>
      <c r="J50" s="1222">
        <f>IF(J80="gas",((J44*(1-J45))/(J43*(1-J45))-1)/(($H$18-$H$20)*(24/$H$25-1/(J46*(J43*(1-J45))))),$H$25*(1/(J43*(1-J45))-1)/(($H$18-$H$20)*24))</f>
        <v>3.990894798617393</v>
      </c>
      <c r="K50" s="1223">
        <f>IF(K80="gas",((K44*(1-K45))/(K43*(1-K45))-1)/(($H$18-$H$20)*(24/$H$25-1/(K46*(K43*(1-K45))))),$H$25*(1/(K43*(1-K45))-1)/(($H$18-$H$20)*24))</f>
        <v>11.030961713529027</v>
      </c>
      <c r="L50" s="1578">
        <v>4.1315756913330342</v>
      </c>
      <c r="M50" s="1579">
        <v>11.210689111070929</v>
      </c>
      <c r="N50" s="1223">
        <f>IF(N80="gas",((N44*(1-N45))/(N43*(1-N45))-1)/(($H$18-$H$20)*(24/$H$25-1/(N46*1000*(N43*(1-N45))))),$H$25*(1/(N43*(1-N45))-1)/(($H$18-$H$20)*24))</f>
        <v>11.326496604965174</v>
      </c>
      <c r="O50" s="1454">
        <f>IF(O80="gas",((O44*(1-O45))/(O43*(1-O45))-1)/(($H$18-$H$20)*(24/$H$25-1/(O46*(O43*(1-O45))))),$H$25*(1/(O43*(1-O45))-1)/(($H$18-$H$20)*24))</f>
        <v>2.6924516704883623</v>
      </c>
      <c r="P50" s="1453">
        <f>IF(P80="gas",((P44*(1-P45))/(P43*(1-P45))-1)/(($H$18-$H$20)*(24/$H$25-1/(P46*(P43*(1-P45))))),$H$25*(1/(P43*(1-P45))-1)/(($H$18-$H$20)*24))</f>
        <v>1.3344168366894071</v>
      </c>
      <c r="Q50" s="1454" t="str">
        <f>IF(Q39=0, "NA", Q47*Q49)</f>
        <v>NA</v>
      </c>
      <c r="R50" s="1453">
        <f>IF(R80="gas",((R44*(1-R45))/(R43*(1-R45))-1)/(($H$18-$H$20)*(24/$H$25-1/(R46*(R43*(1-R45))))),$H$25*(1/(R43*(1-R45))-1)/(($H$18-$H$20)*24))</f>
        <v>9.7260681137769502</v>
      </c>
      <c r="S50" s="1454">
        <f>IF(S80="gas",((S44*(1-S45))/(S43*(1-S45))-1)/(($H$18-$H$20)*(24/$H$25-1/(S46*(S43*(1-S45))))),$H$25*(1/(S43*(1-S45))-1)/(($H$18-$H$20)*24))</f>
        <v>8.0076890409525348</v>
      </c>
      <c r="T50" s="1610" t="str">
        <f>IF(T39=0, "NA", T47*T49)</f>
        <v>NA</v>
      </c>
      <c r="U50" s="102"/>
      <c r="V50" s="102"/>
      <c r="W50" s="102"/>
      <c r="X50" s="102"/>
      <c r="Y50" s="102"/>
      <c r="Z50" s="1624"/>
      <c r="AA50" s="1625"/>
      <c r="AB50" s="1625"/>
      <c r="AC50" s="1625"/>
      <c r="AD50" s="1625"/>
      <c r="AE50" s="1625"/>
      <c r="AF50" s="1625"/>
      <c r="AG50" s="1625"/>
      <c r="AH50" s="1625"/>
      <c r="AI50" s="1625"/>
      <c r="AJ50" s="1625"/>
      <c r="AK50" s="1625"/>
      <c r="AL50" s="1625"/>
    </row>
    <row r="51" spans="1:38" s="127" customFormat="1">
      <c r="A51" s="102"/>
      <c r="B51" s="102"/>
      <c r="C51" s="102"/>
      <c r="D51" s="106"/>
      <c r="E51" s="130"/>
      <c r="F51" s="108" t="s">
        <v>555</v>
      </c>
      <c r="G51" s="111"/>
      <c r="H51" s="111"/>
      <c r="I51" s="111"/>
      <c r="J51" s="368">
        <f>IF(J80="gas",(J44*(1-J45))+(J50*($H$18-$H$20)/J46),1)</f>
        <v>1</v>
      </c>
      <c r="K51" s="215">
        <f>IF(K80="gas",(K44*(1-K45))+(K50*($H$18-$H$20)/K46),1)</f>
        <v>0.78068305321286691</v>
      </c>
      <c r="L51" s="1580">
        <v>1</v>
      </c>
      <c r="M51" s="1581">
        <v>0.77634892162031177</v>
      </c>
      <c r="N51" s="216">
        <f>IF(N80="gas",(N44*(1-N45))+(N50*($H$18-$H$20)/(N46*1000)),1)</f>
        <v>0.78123718113430973</v>
      </c>
      <c r="O51" s="1337" t="s">
        <v>773</v>
      </c>
      <c r="P51" s="1353" t="s">
        <v>773</v>
      </c>
      <c r="Q51" s="1337" t="s">
        <v>773</v>
      </c>
      <c r="R51" s="1353" t="s">
        <v>773</v>
      </c>
      <c r="S51" s="1337" t="s">
        <v>773</v>
      </c>
      <c r="T51" s="1449" t="s">
        <v>773</v>
      </c>
      <c r="U51" s="102"/>
      <c r="V51" s="102"/>
      <c r="W51" s="102"/>
      <c r="X51" s="102"/>
      <c r="Y51" s="102"/>
      <c r="Z51" s="1624"/>
      <c r="AA51" s="1627"/>
      <c r="AB51" s="1627"/>
      <c r="AC51" s="1627"/>
      <c r="AD51" s="1627"/>
      <c r="AE51" s="1627"/>
      <c r="AF51" s="1627"/>
      <c r="AG51" s="1627"/>
      <c r="AH51" s="1627"/>
      <c r="AI51" s="1627"/>
      <c r="AJ51" s="1627"/>
      <c r="AK51" s="1627"/>
      <c r="AL51" s="1627"/>
    </row>
    <row r="52" spans="1:38" s="127" customFormat="1">
      <c r="A52" s="102"/>
      <c r="B52" s="102"/>
      <c r="C52" s="102"/>
      <c r="D52" s="106"/>
      <c r="E52" s="130" t="s">
        <v>880</v>
      </c>
      <c r="F52" s="108"/>
      <c r="G52" s="111"/>
      <c r="H52" s="111"/>
      <c r="I52" s="111"/>
      <c r="J52" s="362"/>
      <c r="K52" s="191"/>
      <c r="L52" s="1456"/>
      <c r="M52" s="1457"/>
      <c r="N52" s="192"/>
      <c r="O52" s="1457"/>
      <c r="P52" s="1456"/>
      <c r="Q52" s="1457"/>
      <c r="R52" s="1456"/>
      <c r="S52" s="1457"/>
      <c r="T52" s="1458"/>
      <c r="U52" s="102"/>
      <c r="V52" s="102"/>
      <c r="W52" s="102"/>
      <c r="X52" s="102"/>
      <c r="Y52" s="102"/>
      <c r="Z52" s="1624"/>
      <c r="AA52" s="1627"/>
      <c r="AB52" s="1627"/>
      <c r="AC52" s="1627"/>
      <c r="AD52" s="1627"/>
      <c r="AE52" s="1627"/>
      <c r="AF52" s="1627"/>
      <c r="AG52" s="1627"/>
      <c r="AH52" s="1627"/>
      <c r="AI52" s="1627"/>
      <c r="AJ52" s="1627"/>
      <c r="AK52" s="1627"/>
      <c r="AL52" s="1627"/>
    </row>
    <row r="53" spans="1:38" s="127" customFormat="1">
      <c r="A53" s="102"/>
      <c r="B53" s="102"/>
      <c r="C53" s="102"/>
      <c r="D53" s="106"/>
      <c r="E53" s="130"/>
      <c r="F53" s="108" t="s">
        <v>1145</v>
      </c>
      <c r="G53" s="111"/>
      <c r="H53" s="111"/>
      <c r="I53" s="1196">
        <f>Locations!N2</f>
        <v>33.440000021457671</v>
      </c>
      <c r="J53" s="373">
        <f>J$51-J$50*(120-IF(AND($F53&lt;&gt;"Jul", $F53&lt;&gt;"Aug",$I53&lt;= 66),71,76))/IF(J$80="gas",J$46,J$46/$H$26)</f>
        <v>0.98958231334113633</v>
      </c>
      <c r="K53" s="330">
        <f>K$51-K$50*(120-IF(AND($F53&lt;&gt;"Jul", $F53&lt;&gt;"Aug",$I53&lt;= 66),71,76))/IF(K$80="gas",K$46,K$46/$H$26)</f>
        <v>0.76566868865834126</v>
      </c>
      <c r="L53" s="1582">
        <v>0.98921508505446032</v>
      </c>
      <c r="M53" s="1583">
        <v>0.76108992810802079</v>
      </c>
      <c r="N53" s="331">
        <f>N$51-N$50*(120-IF(AND($F53&lt;&gt;"Jul", $F53&lt;&gt;"Aug",$I53&lt;= 66),71,76))/IF(N$80="gas",N$46*1000,N$46*1000/$H$26)</f>
        <v>0.76582056075532934</v>
      </c>
      <c r="O53" s="1337" t="s">
        <v>773</v>
      </c>
      <c r="P53" s="1353" t="s">
        <v>773</v>
      </c>
      <c r="Q53" s="1337" t="s">
        <v>773</v>
      </c>
      <c r="R53" s="1353" t="s">
        <v>773</v>
      </c>
      <c r="S53" s="1337" t="s">
        <v>773</v>
      </c>
      <c r="T53" s="1449" t="s">
        <v>773</v>
      </c>
      <c r="U53" s="102"/>
      <c r="V53" s="102"/>
      <c r="W53" s="102"/>
      <c r="X53" s="102"/>
      <c r="Y53" s="102"/>
      <c r="Z53" s="1624"/>
      <c r="AA53" s="1627"/>
      <c r="AB53" s="1627"/>
      <c r="AC53" s="1627"/>
      <c r="AD53" s="1627"/>
      <c r="AE53" s="1627"/>
      <c r="AF53" s="1627"/>
      <c r="AG53" s="1627"/>
      <c r="AH53" s="1627"/>
      <c r="AI53" s="1627"/>
      <c r="AJ53" s="1627"/>
      <c r="AK53" s="1627"/>
      <c r="AL53" s="1627"/>
    </row>
    <row r="54" spans="1:38" s="127" customFormat="1">
      <c r="A54" s="102"/>
      <c r="B54" s="102"/>
      <c r="C54" s="102"/>
      <c r="D54" s="106"/>
      <c r="E54" s="130"/>
      <c r="F54" s="108" t="s">
        <v>1146</v>
      </c>
      <c r="G54" s="111"/>
      <c r="H54" s="111"/>
      <c r="I54" s="1196">
        <f>Locations!O2</f>
        <v>31.81999999731779</v>
      </c>
      <c r="J54" s="373">
        <f t="shared" ref="J54:K64" si="5">J$51-J$50*(120-IF(AND($F54&lt;&gt;"Jul", $F54&lt;&gt;"Aug",$I54&lt;= 66),71,76))/IF(J$80="gas",J$46,J$46/$H$26)</f>
        <v>0.98958231334113633</v>
      </c>
      <c r="K54" s="330">
        <f t="shared" si="5"/>
        <v>0.76566868865834126</v>
      </c>
      <c r="L54" s="1582">
        <v>0.98921508505446032</v>
      </c>
      <c r="M54" s="1583">
        <v>0.76108992810802079</v>
      </c>
      <c r="N54" s="331">
        <f t="shared" ref="N54:N64" si="6">N$51-N$50*(120-IF(AND($F54&lt;&gt;"Jul", $F54&lt;&gt;"Aug",$I54&lt;= 66),71,76))/IF(N$80="gas",N$46*1000,N$46*1000/$H$26)</f>
        <v>0.76582056075532934</v>
      </c>
      <c r="O54" s="1337" t="s">
        <v>773</v>
      </c>
      <c r="P54" s="1353" t="s">
        <v>773</v>
      </c>
      <c r="Q54" s="1337" t="s">
        <v>773</v>
      </c>
      <c r="R54" s="1353" t="s">
        <v>773</v>
      </c>
      <c r="S54" s="1337" t="s">
        <v>773</v>
      </c>
      <c r="T54" s="1449" t="s">
        <v>773</v>
      </c>
      <c r="U54" s="102"/>
      <c r="V54" s="102"/>
      <c r="W54" s="102"/>
      <c r="X54" s="102"/>
      <c r="Y54" s="102"/>
      <c r="Z54" s="1624"/>
      <c r="AA54" s="1627"/>
      <c r="AB54" s="1627"/>
      <c r="AC54" s="1627"/>
      <c r="AD54" s="1627"/>
      <c r="AE54" s="1627"/>
      <c r="AF54" s="1627"/>
      <c r="AG54" s="1627"/>
      <c r="AH54" s="1627"/>
      <c r="AI54" s="1627"/>
      <c r="AJ54" s="1627"/>
      <c r="AK54" s="1627"/>
      <c r="AL54" s="1627"/>
    </row>
    <row r="55" spans="1:38" s="102" customFormat="1" ht="11.25">
      <c r="D55" s="106"/>
      <c r="E55" s="130"/>
      <c r="F55" s="108" t="s">
        <v>1003</v>
      </c>
      <c r="G55" s="111"/>
      <c r="H55" s="111"/>
      <c r="I55" s="1196">
        <f>Locations!P2</f>
        <v>42.97999982833862</v>
      </c>
      <c r="J55" s="373">
        <f t="shared" si="5"/>
        <v>0.98958231334113633</v>
      </c>
      <c r="K55" s="330">
        <f t="shared" si="5"/>
        <v>0.76566868865834126</v>
      </c>
      <c r="L55" s="1582">
        <v>0.98921508505446032</v>
      </c>
      <c r="M55" s="1583">
        <v>0.76108992810802079</v>
      </c>
      <c r="N55" s="331">
        <f t="shared" si="6"/>
        <v>0.76582056075532934</v>
      </c>
      <c r="O55" s="1337" t="s">
        <v>773</v>
      </c>
      <c r="P55" s="1353" t="s">
        <v>773</v>
      </c>
      <c r="Q55" s="1337" t="s">
        <v>773</v>
      </c>
      <c r="R55" s="1353" t="s">
        <v>773</v>
      </c>
      <c r="S55" s="1337" t="s">
        <v>773</v>
      </c>
      <c r="T55" s="1449" t="s">
        <v>773</v>
      </c>
      <c r="Z55" s="1624"/>
      <c r="AA55" s="1624"/>
      <c r="AB55" s="1624"/>
      <c r="AC55" s="1624"/>
      <c r="AD55" s="1624"/>
      <c r="AE55" s="1624"/>
      <c r="AF55" s="1624"/>
      <c r="AG55" s="1624"/>
      <c r="AH55" s="1624"/>
      <c r="AI55" s="1624"/>
      <c r="AJ55" s="1624"/>
      <c r="AK55" s="1624"/>
      <c r="AL55" s="1624"/>
    </row>
    <row r="56" spans="1:38" s="102" customFormat="1" ht="11.25">
      <c r="D56" s="106"/>
      <c r="E56" s="130"/>
      <c r="F56" s="108" t="s">
        <v>1004</v>
      </c>
      <c r="G56" s="111"/>
      <c r="H56" s="111"/>
      <c r="I56" s="1196">
        <f>Locations!Q2</f>
        <v>42.440000343322751</v>
      </c>
      <c r="J56" s="373">
        <f t="shared" si="5"/>
        <v>0.98958231334113633</v>
      </c>
      <c r="K56" s="330">
        <f t="shared" si="5"/>
        <v>0.76566868865834126</v>
      </c>
      <c r="L56" s="1582">
        <v>0.98921508505446032</v>
      </c>
      <c r="M56" s="1583">
        <v>0.76264696826233624</v>
      </c>
      <c r="N56" s="331">
        <f t="shared" si="6"/>
        <v>0.76582056075532934</v>
      </c>
      <c r="O56" s="1337" t="s">
        <v>773</v>
      </c>
      <c r="P56" s="1353" t="s">
        <v>773</v>
      </c>
      <c r="Q56" s="1337" t="s">
        <v>773</v>
      </c>
      <c r="R56" s="1353" t="s">
        <v>773</v>
      </c>
      <c r="S56" s="1337" t="s">
        <v>773</v>
      </c>
      <c r="T56" s="1449" t="s">
        <v>773</v>
      </c>
      <c r="Z56" s="1624"/>
      <c r="AA56" s="1624"/>
      <c r="AB56" s="1624"/>
      <c r="AC56" s="1624"/>
      <c r="AD56" s="1624"/>
      <c r="AE56" s="1624"/>
      <c r="AF56" s="1624"/>
      <c r="AG56" s="1624"/>
      <c r="AH56" s="1624"/>
      <c r="AI56" s="1624"/>
      <c r="AJ56" s="1624"/>
      <c r="AK56" s="1624"/>
      <c r="AL56" s="1624"/>
    </row>
    <row r="57" spans="1:38" s="102" customFormat="1" ht="11.25">
      <c r="D57" s="106"/>
      <c r="E57" s="130"/>
      <c r="F57" s="108" t="s">
        <v>1005</v>
      </c>
      <c r="G57" s="111"/>
      <c r="H57" s="111"/>
      <c r="I57" s="1196">
        <f>Locations!R2</f>
        <v>59.9</v>
      </c>
      <c r="J57" s="373">
        <f t="shared" si="5"/>
        <v>0.98958231334113633</v>
      </c>
      <c r="K57" s="330">
        <f t="shared" si="5"/>
        <v>0.76566868865834126</v>
      </c>
      <c r="L57" s="1582">
        <v>0.99031558657951535</v>
      </c>
      <c r="M57" s="1583">
        <v>0.76264696826233624</v>
      </c>
      <c r="N57" s="331">
        <f t="shared" si="6"/>
        <v>0.76582056075532934</v>
      </c>
      <c r="O57" s="1337" t="s">
        <v>773</v>
      </c>
      <c r="P57" s="1353" t="s">
        <v>773</v>
      </c>
      <c r="Q57" s="1337" t="s">
        <v>773</v>
      </c>
      <c r="R57" s="1353" t="s">
        <v>773</v>
      </c>
      <c r="S57" s="1337" t="s">
        <v>773</v>
      </c>
      <c r="T57" s="1449" t="s">
        <v>773</v>
      </c>
      <c r="Z57" s="1624"/>
      <c r="AA57" s="1624"/>
      <c r="AB57" s="1624"/>
      <c r="AC57" s="1624"/>
      <c r="AD57" s="1624"/>
      <c r="AE57" s="1624"/>
      <c r="AF57" s="1624"/>
      <c r="AG57" s="1624"/>
      <c r="AH57" s="1624"/>
      <c r="AI57" s="1624"/>
      <c r="AJ57" s="1624"/>
      <c r="AK57" s="1624"/>
      <c r="AL57" s="1624"/>
    </row>
    <row r="58" spans="1:38" s="102" customFormat="1" ht="44.25" customHeight="1">
      <c r="D58" s="106"/>
      <c r="E58" s="130"/>
      <c r="F58" s="108" t="s">
        <v>1006</v>
      </c>
      <c r="G58" s="111"/>
      <c r="H58" s="111"/>
      <c r="I58" s="1196">
        <f>Locations!S2</f>
        <v>73.580000686645505</v>
      </c>
      <c r="J58" s="373">
        <f t="shared" si="5"/>
        <v>0.99064534259204085</v>
      </c>
      <c r="K58" s="330">
        <f t="shared" si="5"/>
        <v>0.76720076667410919</v>
      </c>
      <c r="L58" s="1582">
        <v>0.99031558657951535</v>
      </c>
      <c r="M58" s="1583">
        <v>0.76264696826233624</v>
      </c>
      <c r="N58" s="331">
        <f t="shared" si="6"/>
        <v>0.7673936852837967</v>
      </c>
      <c r="O58" s="1337" t="s">
        <v>773</v>
      </c>
      <c r="P58" s="1353" t="s">
        <v>773</v>
      </c>
      <c r="Q58" s="1337" t="s">
        <v>773</v>
      </c>
      <c r="R58" s="1353" t="s">
        <v>773</v>
      </c>
      <c r="S58" s="1337" t="s">
        <v>773</v>
      </c>
      <c r="T58" s="1449" t="s">
        <v>773</v>
      </c>
      <c r="Z58" s="1624"/>
      <c r="AA58" s="1624"/>
      <c r="AB58" s="1624"/>
      <c r="AC58" s="1624"/>
      <c r="AD58" s="1624"/>
      <c r="AE58" s="1624"/>
      <c r="AF58" s="1624"/>
      <c r="AG58" s="1624"/>
      <c r="AH58" s="1624"/>
      <c r="AI58" s="1624"/>
      <c r="AJ58" s="1624"/>
      <c r="AK58" s="1624"/>
      <c r="AL58" s="1624"/>
    </row>
    <row r="59" spans="1:38" s="102" customFormat="1" ht="11.25">
      <c r="D59" s="106"/>
      <c r="E59" s="130"/>
      <c r="F59" s="108" t="s">
        <v>1007</v>
      </c>
      <c r="G59" s="111"/>
      <c r="H59" s="111"/>
      <c r="I59" s="1196">
        <f>Locations!T2</f>
        <v>72.139998626708987</v>
      </c>
      <c r="J59" s="373">
        <f t="shared" si="5"/>
        <v>0.99064534259204085</v>
      </c>
      <c r="K59" s="330">
        <f t="shared" si="5"/>
        <v>0.76720076667410919</v>
      </c>
      <c r="L59" s="1582">
        <v>0.99031558657951535</v>
      </c>
      <c r="M59" s="1583">
        <v>0.76264696826233624</v>
      </c>
      <c r="N59" s="331">
        <f t="shared" si="6"/>
        <v>0.7673936852837967</v>
      </c>
      <c r="O59" s="1337" t="s">
        <v>773</v>
      </c>
      <c r="P59" s="1353" t="s">
        <v>773</v>
      </c>
      <c r="Q59" s="1337" t="s">
        <v>773</v>
      </c>
      <c r="R59" s="1353" t="s">
        <v>773</v>
      </c>
      <c r="S59" s="1337" t="s">
        <v>773</v>
      </c>
      <c r="T59" s="1449" t="s">
        <v>773</v>
      </c>
      <c r="Z59" s="1624"/>
      <c r="AA59" s="1624"/>
      <c r="AB59" s="1624"/>
      <c r="AC59" s="1624"/>
      <c r="AD59" s="1624"/>
      <c r="AE59" s="1624"/>
      <c r="AF59" s="1624"/>
      <c r="AG59" s="1624"/>
      <c r="AH59" s="1624"/>
      <c r="AI59" s="1624"/>
      <c r="AJ59" s="1624"/>
      <c r="AK59" s="1624"/>
      <c r="AL59" s="1624"/>
    </row>
    <row r="60" spans="1:38" s="102" customFormat="1" ht="11.25">
      <c r="D60" s="106"/>
      <c r="E60" s="130"/>
      <c r="F60" s="108" t="s">
        <v>481</v>
      </c>
      <c r="G60" s="111"/>
      <c r="H60" s="111"/>
      <c r="I60" s="1196">
        <f>Locations!U2</f>
        <v>72.680000686645513</v>
      </c>
      <c r="J60" s="373">
        <f t="shared" si="5"/>
        <v>0.99064534259204085</v>
      </c>
      <c r="K60" s="330">
        <f t="shared" si="5"/>
        <v>0.76720076667410919</v>
      </c>
      <c r="L60" s="1582">
        <v>0.99031558657951535</v>
      </c>
      <c r="M60" s="1583">
        <v>0.76264696826233624</v>
      </c>
      <c r="N60" s="331">
        <f t="shared" si="6"/>
        <v>0.7673936852837967</v>
      </c>
      <c r="O60" s="1337" t="s">
        <v>773</v>
      </c>
      <c r="P60" s="1353" t="s">
        <v>773</v>
      </c>
      <c r="Q60" s="1337" t="s">
        <v>773</v>
      </c>
      <c r="R60" s="1353" t="s">
        <v>773</v>
      </c>
      <c r="S60" s="1337" t="s">
        <v>773</v>
      </c>
      <c r="T60" s="1449" t="s">
        <v>773</v>
      </c>
      <c r="Z60" s="1624"/>
      <c r="AA60" s="1624"/>
      <c r="AB60" s="1624"/>
      <c r="AC60" s="1624"/>
      <c r="AD60" s="1624"/>
      <c r="AE60" s="1624"/>
      <c r="AF60" s="1624"/>
      <c r="AG60" s="1624"/>
      <c r="AH60" s="1624"/>
      <c r="AI60" s="1624"/>
      <c r="AJ60" s="1624"/>
      <c r="AK60" s="1624"/>
      <c r="AL60" s="1624"/>
    </row>
    <row r="61" spans="1:38" s="127" customFormat="1">
      <c r="A61" s="102"/>
      <c r="B61" s="102"/>
      <c r="C61" s="102"/>
      <c r="D61" s="106"/>
      <c r="E61" s="130"/>
      <c r="F61" s="108" t="s">
        <v>482</v>
      </c>
      <c r="G61" s="111"/>
      <c r="H61" s="111"/>
      <c r="I61" s="1196">
        <f>Locations!V2</f>
        <v>66.560001373291016</v>
      </c>
      <c r="J61" s="373">
        <f t="shared" si="5"/>
        <v>0.99064534259204085</v>
      </c>
      <c r="K61" s="330">
        <f t="shared" si="5"/>
        <v>0.76720076667410919</v>
      </c>
      <c r="L61" s="1582">
        <v>0.99031558657951535</v>
      </c>
      <c r="M61" s="1583">
        <v>0.76108992810802079</v>
      </c>
      <c r="N61" s="331">
        <f t="shared" si="6"/>
        <v>0.7673936852837967</v>
      </c>
      <c r="O61" s="1337" t="s">
        <v>773</v>
      </c>
      <c r="P61" s="1353" t="s">
        <v>773</v>
      </c>
      <c r="Q61" s="1337" t="s">
        <v>773</v>
      </c>
      <c r="R61" s="1353" t="s">
        <v>773</v>
      </c>
      <c r="S61" s="1337" t="s">
        <v>773</v>
      </c>
      <c r="T61" s="1449" t="s">
        <v>773</v>
      </c>
      <c r="U61" s="102"/>
      <c r="V61" s="102"/>
      <c r="W61" s="102"/>
      <c r="X61" s="102"/>
      <c r="Y61" s="102"/>
      <c r="Z61" s="1624"/>
      <c r="AA61" s="1627"/>
      <c r="AB61" s="1627"/>
      <c r="AC61" s="1627"/>
      <c r="AD61" s="1627"/>
      <c r="AE61" s="1627"/>
      <c r="AF61" s="1627"/>
      <c r="AG61" s="1627"/>
      <c r="AH61" s="1627"/>
      <c r="AI61" s="1627"/>
      <c r="AJ61" s="1627"/>
      <c r="AK61" s="1627"/>
      <c r="AL61" s="1627"/>
    </row>
    <row r="62" spans="1:38" s="102" customFormat="1" ht="11.25">
      <c r="D62" s="106"/>
      <c r="E62" s="130"/>
      <c r="F62" s="108" t="s">
        <v>483</v>
      </c>
      <c r="G62" s="111"/>
      <c r="H62" s="111"/>
      <c r="I62" s="1196">
        <f>Locations!W2</f>
        <v>50</v>
      </c>
      <c r="J62" s="373">
        <f t="shared" si="5"/>
        <v>0.98958231334113633</v>
      </c>
      <c r="K62" s="330">
        <f t="shared" si="5"/>
        <v>0.76566868865834126</v>
      </c>
      <c r="L62" s="1582">
        <v>0.98921508505446032</v>
      </c>
      <c r="M62" s="1583">
        <v>0.76108992810802079</v>
      </c>
      <c r="N62" s="331">
        <f t="shared" si="6"/>
        <v>0.76582056075532934</v>
      </c>
      <c r="O62" s="1337" t="s">
        <v>773</v>
      </c>
      <c r="P62" s="1353" t="s">
        <v>773</v>
      </c>
      <c r="Q62" s="1337" t="s">
        <v>773</v>
      </c>
      <c r="R62" s="1353" t="s">
        <v>773</v>
      </c>
      <c r="S62" s="1337" t="s">
        <v>773</v>
      </c>
      <c r="T62" s="1449" t="s">
        <v>773</v>
      </c>
      <c r="Z62" s="1624"/>
      <c r="AA62" s="1624"/>
      <c r="AB62" s="1624"/>
      <c r="AC62" s="1624"/>
      <c r="AD62" s="1624"/>
      <c r="AE62" s="1624"/>
      <c r="AF62" s="1624"/>
      <c r="AG62" s="1624"/>
      <c r="AH62" s="1624"/>
      <c r="AI62" s="1624"/>
      <c r="AJ62" s="1624"/>
      <c r="AK62" s="1624"/>
      <c r="AL62" s="1624"/>
    </row>
    <row r="63" spans="1:38" s="102" customFormat="1" ht="11.25">
      <c r="D63" s="106"/>
      <c r="E63" s="130"/>
      <c r="F63" s="108" t="s">
        <v>484</v>
      </c>
      <c r="G63" s="111"/>
      <c r="H63" s="111"/>
      <c r="I63" s="1196">
        <f>Locations!X2</f>
        <v>37.220000171661376</v>
      </c>
      <c r="J63" s="373">
        <f t="shared" si="5"/>
        <v>0.98958231334113633</v>
      </c>
      <c r="K63" s="330">
        <f t="shared" si="5"/>
        <v>0.76566868865834126</v>
      </c>
      <c r="L63" s="1582">
        <v>0.98921508505446032</v>
      </c>
      <c r="M63" s="1583">
        <v>0.76108992810802079</v>
      </c>
      <c r="N63" s="331">
        <f t="shared" si="6"/>
        <v>0.76582056075532934</v>
      </c>
      <c r="O63" s="1337" t="s">
        <v>773</v>
      </c>
      <c r="P63" s="1353" t="s">
        <v>773</v>
      </c>
      <c r="Q63" s="1337" t="s">
        <v>773</v>
      </c>
      <c r="R63" s="1353" t="s">
        <v>773</v>
      </c>
      <c r="S63" s="1337" t="s">
        <v>773</v>
      </c>
      <c r="T63" s="1449" t="s">
        <v>773</v>
      </c>
      <c r="Z63" s="1624"/>
      <c r="AA63" s="1624"/>
      <c r="AB63" s="1624"/>
      <c r="AC63" s="1624"/>
      <c r="AD63" s="1624"/>
      <c r="AE63" s="1624"/>
      <c r="AF63" s="1624"/>
      <c r="AG63" s="1624"/>
      <c r="AH63" s="1624"/>
      <c r="AI63" s="1624"/>
      <c r="AJ63" s="1624"/>
      <c r="AK63" s="1624"/>
      <c r="AL63" s="1624"/>
    </row>
    <row r="64" spans="1:38" s="102" customFormat="1" ht="11.25">
      <c r="D64" s="106"/>
      <c r="E64" s="130"/>
      <c r="F64" s="108" t="s">
        <v>485</v>
      </c>
      <c r="G64" s="111"/>
      <c r="H64" s="111"/>
      <c r="I64" s="1196">
        <f>Locations!Y2</f>
        <v>34.519999957084657</v>
      </c>
      <c r="J64" s="373">
        <f t="shared" si="5"/>
        <v>0.98958231334113633</v>
      </c>
      <c r="K64" s="330">
        <f t="shared" si="5"/>
        <v>0.76566868865834126</v>
      </c>
      <c r="L64" s="1582">
        <v>0.98921508505446032</v>
      </c>
      <c r="M64" s="1583">
        <v>0.76108992810802079</v>
      </c>
      <c r="N64" s="331">
        <f t="shared" si="6"/>
        <v>0.76582056075532934</v>
      </c>
      <c r="O64" s="1337" t="s">
        <v>773</v>
      </c>
      <c r="P64" s="1353" t="s">
        <v>773</v>
      </c>
      <c r="Q64" s="1337" t="s">
        <v>773</v>
      </c>
      <c r="R64" s="1353" t="s">
        <v>773</v>
      </c>
      <c r="S64" s="1337" t="s">
        <v>773</v>
      </c>
      <c r="T64" s="1449" t="s">
        <v>773</v>
      </c>
      <c r="Z64" s="1624"/>
      <c r="AA64" s="1624"/>
      <c r="AB64" s="1624"/>
      <c r="AC64" s="1624"/>
      <c r="AD64" s="1624"/>
      <c r="AE64" s="1624"/>
      <c r="AF64" s="1624"/>
      <c r="AG64" s="1624"/>
      <c r="AH64" s="1624"/>
      <c r="AI64" s="1624"/>
      <c r="AJ64" s="1624"/>
      <c r="AK64" s="1624"/>
      <c r="AL64" s="1624"/>
    </row>
    <row r="65" spans="1:38" s="102" customFormat="1" ht="11.25">
      <c r="D65" s="106"/>
      <c r="E65" s="130" t="s">
        <v>881</v>
      </c>
      <c r="F65" s="108"/>
      <c r="G65" s="111"/>
      <c r="H65" s="111"/>
      <c r="I65" s="111"/>
      <c r="J65" s="362"/>
      <c r="K65" s="191"/>
      <c r="L65" s="1584"/>
      <c r="M65" s="1585"/>
      <c r="N65" s="192"/>
      <c r="O65" s="1457"/>
      <c r="P65" s="1456"/>
      <c r="Q65" s="1457"/>
      <c r="R65" s="1456"/>
      <c r="S65" s="1457"/>
      <c r="T65" s="1458"/>
      <c r="Z65" s="1624"/>
      <c r="AA65" s="1624"/>
      <c r="AB65" s="1624"/>
      <c r="AC65" s="1624"/>
      <c r="AD65" s="1624"/>
      <c r="AE65" s="1624"/>
      <c r="AF65" s="1624"/>
      <c r="AG65" s="1624"/>
      <c r="AH65" s="1624"/>
      <c r="AI65" s="1624"/>
      <c r="AJ65" s="1624"/>
      <c r="AK65" s="1624"/>
      <c r="AL65" s="1624"/>
    </row>
    <row r="66" spans="1:38" s="102" customFormat="1" ht="11.25">
      <c r="D66" s="106"/>
      <c r="E66" s="130"/>
      <c r="F66" s="108" t="s">
        <v>1145</v>
      </c>
      <c r="G66" s="111" t="s">
        <v>882</v>
      </c>
      <c r="H66" s="111"/>
      <c r="I66" s="111"/>
      <c r="J66" s="405">
        <f>'Monthly Profiles'!W28+'Monthly Profiles'!Y28+Appliances!$AD$125+7.5+2.5*$H$13</f>
        <v>42.149763057042257</v>
      </c>
      <c r="K66" s="321">
        <f>'Monthly Profiles'!W28+'Monthly Profiles'!Y28+Appliances!$AD$125+7.5+2.5*$H$13</f>
        <v>42.149763057042257</v>
      </c>
      <c r="L66" s="1574">
        <v>39.356912278411983</v>
      </c>
      <c r="M66" s="1575">
        <v>39.356912278411983</v>
      </c>
      <c r="N66" s="320">
        <f>'Monthly Profiles'!W28+'Monthly Profiles'!Y28+Appliances!$AF$125+(IF(Appliances!AF$237="yes",IF(AND(Appliances!AF$238="yes",'Monthly Profiles'!G28&lt;70),Appliances!AF$267+(Appliances!AF$267*((1/Appliances!AF$257)*(70-'Monthly Profiles'!G28)+('Monthly Profiles'!G28-NewConst!F$112))/(NewConst!F$112-'Monthly Profiles'!G28)),0),IF(Appliances!AF$238="yes",Appliances!AF$267+(Appliances!AF$267*((1/Appliances!AF$257)*(Appliances!AF$258-'Monthly Profiles'!G28)+('Monthly Profiles'!G28-NewConst!F$112))/(NewConst!F$112-'Monthly Profiles'!G28)),Appliances!AF$267)*(Appliances!AF$261/365)))</f>
        <v>33.005864905675168</v>
      </c>
      <c r="O66" s="1337" t="s">
        <v>773</v>
      </c>
      <c r="P66" s="1353" t="s">
        <v>773</v>
      </c>
      <c r="Q66" s="1337" t="s">
        <v>773</v>
      </c>
      <c r="R66" s="1353" t="s">
        <v>773</v>
      </c>
      <c r="S66" s="1337" t="s">
        <v>773</v>
      </c>
      <c r="T66" s="1449" t="s">
        <v>773</v>
      </c>
      <c r="Z66" s="1624"/>
      <c r="AA66" s="1624"/>
      <c r="AB66" s="1624"/>
      <c r="AC66" s="1624"/>
      <c r="AD66" s="1624"/>
      <c r="AE66" s="1624"/>
      <c r="AF66" s="1624"/>
      <c r="AG66" s="1624"/>
      <c r="AH66" s="1624"/>
      <c r="AI66" s="1624"/>
      <c r="AJ66" s="1624"/>
      <c r="AK66" s="1624"/>
      <c r="AL66" s="1624"/>
    </row>
    <row r="67" spans="1:38" s="102" customFormat="1" ht="11.25">
      <c r="D67" s="106"/>
      <c r="E67" s="130"/>
      <c r="F67" s="108" t="s">
        <v>1146</v>
      </c>
      <c r="G67" s="111" t="s">
        <v>882</v>
      </c>
      <c r="H67" s="111"/>
      <c r="I67" s="111"/>
      <c r="J67" s="405">
        <f>'Monthly Profiles'!W29+'Monthly Profiles'!Y29+Appliances!$AD$125+7.5+2.5*$H$13</f>
        <v>42.278424356259663</v>
      </c>
      <c r="K67" s="321">
        <f>'Monthly Profiles'!W29+'Monthly Profiles'!Y29+Appliances!$AD$125+7.5+2.5*$H$13</f>
        <v>42.278424356259663</v>
      </c>
      <c r="L67" s="1574">
        <v>39.452783234454557</v>
      </c>
      <c r="M67" s="1575">
        <v>39.452783234454557</v>
      </c>
      <c r="N67" s="320">
        <f>'Monthly Profiles'!W29+'Monthly Profiles'!Y29+Appliances!$AF$125+(IF(Appliances!AF$237="yes",IF(AND(Appliances!AF$238="yes",'Monthly Profiles'!G29&lt;70),Appliances!AF$267+(Appliances!AF$267*((1/Appliances!AF$257)*(70-'Monthly Profiles'!G29)+('Monthly Profiles'!G29-NewConst!F$112))/(NewConst!F$112-'Monthly Profiles'!G29)),0),IF(Appliances!AF$238="yes",Appliances!AF$267+(Appliances!AF$267*((1/Appliances!AF$257)*(Appliances!AF$258-'Monthly Profiles'!G29)+('Monthly Profiles'!G29-NewConst!F$112))/(NewConst!F$112-'Monthly Profiles'!G29)),Appliances!AF$267)*(Appliances!AF$261/365)))</f>
        <v>33.233194116835911</v>
      </c>
      <c r="O67" s="1337" t="s">
        <v>773</v>
      </c>
      <c r="P67" s="1353" t="s">
        <v>773</v>
      </c>
      <c r="Q67" s="1337" t="s">
        <v>773</v>
      </c>
      <c r="R67" s="1353" t="s">
        <v>773</v>
      </c>
      <c r="S67" s="1337" t="s">
        <v>773</v>
      </c>
      <c r="T67" s="1449" t="s">
        <v>773</v>
      </c>
      <c r="Z67" s="1624"/>
      <c r="AA67" s="1624"/>
      <c r="AB67" s="1624"/>
      <c r="AC67" s="1624"/>
      <c r="AD67" s="1624"/>
      <c r="AE67" s="1624"/>
      <c r="AF67" s="1624"/>
      <c r="AG67" s="1624"/>
      <c r="AH67" s="1624"/>
      <c r="AI67" s="1624"/>
      <c r="AJ67" s="1624"/>
      <c r="AK67" s="1624"/>
      <c r="AL67" s="1624"/>
    </row>
    <row r="68" spans="1:38" s="102" customFormat="1" ht="11.25">
      <c r="D68" s="106"/>
      <c r="E68" s="130"/>
      <c r="F68" s="108" t="s">
        <v>1003</v>
      </c>
      <c r="G68" s="111" t="s">
        <v>882</v>
      </c>
      <c r="H68" s="111"/>
      <c r="I68" s="111"/>
      <c r="J68" s="405">
        <f>'Monthly Profiles'!W30+'Monthly Profiles'!Y30+Appliances!$AD$125+7.5+2.5*$H$13</f>
        <v>42.097155458271175</v>
      </c>
      <c r="K68" s="321">
        <f>'Monthly Profiles'!W30+'Monthly Profiles'!Y30+Appliances!$AD$125+7.5+2.5*$H$13</f>
        <v>42.097155458271175</v>
      </c>
      <c r="L68" s="1574">
        <v>39.226722880921628</v>
      </c>
      <c r="M68" s="1575">
        <v>39.226722880921628</v>
      </c>
      <c r="N68" s="320">
        <f>'Monthly Profiles'!W30+'Monthly Profiles'!Y30+Appliances!$AF$125+(IF(Appliances!AF$237="yes",IF(AND(Appliances!AF$238="yes",'Monthly Profiles'!G30&lt;70),Appliances!AF$267+(Appliances!AF$267*((1/Appliances!AF$257)*(70-'Monthly Profiles'!G30)+('Monthly Profiles'!G30-NewConst!F$112))/(NewConst!F$112-'Monthly Profiles'!G30)),0),IF(Appliances!AF$238="yes",Appliances!AF$267+(Appliances!AF$267*((1/Appliances!AF$257)*(Appliances!AF$258-'Monthly Profiles'!G30)+('Monthly Profiles'!G30-NewConst!F$112))/(NewConst!F$112-'Monthly Profiles'!G30)),Appliances!AF$267)*(Appliances!AF$261/365)))</f>
        <v>32.912913536441117</v>
      </c>
      <c r="O68" s="1337" t="s">
        <v>773</v>
      </c>
      <c r="P68" s="1353" t="s">
        <v>773</v>
      </c>
      <c r="Q68" s="1337" t="s">
        <v>773</v>
      </c>
      <c r="R68" s="1353" t="s">
        <v>773</v>
      </c>
      <c r="S68" s="1337" t="s">
        <v>773</v>
      </c>
      <c r="T68" s="1449" t="s">
        <v>773</v>
      </c>
      <c r="Z68" s="1624"/>
      <c r="AA68" s="1624"/>
      <c r="AB68" s="1624"/>
      <c r="AC68" s="1624"/>
      <c r="AD68" s="1624"/>
      <c r="AE68" s="1624"/>
      <c r="AF68" s="1624"/>
      <c r="AG68" s="1624"/>
      <c r="AH68" s="1624"/>
      <c r="AI68" s="1624"/>
      <c r="AJ68" s="1624"/>
      <c r="AK68" s="1624"/>
      <c r="AL68" s="1624"/>
    </row>
    <row r="69" spans="1:38" s="102" customFormat="1" ht="11.25">
      <c r="D69" s="106"/>
      <c r="E69" s="130"/>
      <c r="F69" s="108" t="s">
        <v>1004</v>
      </c>
      <c r="G69" s="111" t="s">
        <v>882</v>
      </c>
      <c r="H69" s="111"/>
      <c r="I69" s="111"/>
      <c r="J69" s="405">
        <f>'Monthly Profiles'!W31+'Monthly Profiles'!Y31+Appliances!$AD$125+7.5+2.5*$H$13</f>
        <v>41.622484208231171</v>
      </c>
      <c r="K69" s="321">
        <f>'Monthly Profiles'!W31+'Monthly Profiles'!Y31+Appliances!$AD$125+7.5+2.5*$H$13</f>
        <v>41.622484208231171</v>
      </c>
      <c r="L69" s="1574">
        <v>38.678910680133328</v>
      </c>
      <c r="M69" s="1575">
        <v>38.678910680133328</v>
      </c>
      <c r="N69" s="320">
        <f>'Monthly Profiles'!W31+'Monthly Profiles'!Y31+Appliances!$AF$125+(IF(Appliances!AF$237="yes",IF(AND(Appliances!AF$238="yes",'Monthly Profiles'!G31&lt;70),Appliances!AF$267+(Appliances!AF$267*((1/Appliances!AF$257)*(70-'Monthly Profiles'!G31)+('Monthly Profiles'!G31-NewConst!F$112))/(NewConst!F$112-'Monthly Profiles'!G31)),0),IF(Appliances!AF$238="yes",Appliances!AF$267+(Appliances!AF$267*((1/Appliances!AF$257)*(Appliances!AF$258-'Monthly Profiles'!G31)+('Monthly Profiles'!G31-NewConst!F$112))/(NewConst!F$112-'Monthly Profiles'!G31)),Appliances!AF$267)*(Appliances!AF$261/365)))</f>
        <v>32.074225900853484</v>
      </c>
      <c r="O69" s="1337" t="s">
        <v>773</v>
      </c>
      <c r="P69" s="1353" t="s">
        <v>773</v>
      </c>
      <c r="Q69" s="1337" t="s">
        <v>773</v>
      </c>
      <c r="R69" s="1353" t="s">
        <v>773</v>
      </c>
      <c r="S69" s="1337" t="s">
        <v>773</v>
      </c>
      <c r="T69" s="1449" t="s">
        <v>773</v>
      </c>
      <c r="Z69" s="1624"/>
      <c r="AA69" s="1624"/>
      <c r="AB69" s="1624"/>
      <c r="AC69" s="1624"/>
      <c r="AD69" s="1624"/>
      <c r="AE69" s="1624"/>
      <c r="AF69" s="1624"/>
      <c r="AG69" s="1624"/>
      <c r="AH69" s="1624"/>
      <c r="AI69" s="1624"/>
      <c r="AJ69" s="1624"/>
      <c r="AK69" s="1624"/>
      <c r="AL69" s="1624"/>
    </row>
    <row r="70" spans="1:38" s="102" customFormat="1" ht="11.25">
      <c r="D70" s="106"/>
      <c r="E70" s="130"/>
      <c r="F70" s="108" t="s">
        <v>1005</v>
      </c>
      <c r="G70" s="111" t="s">
        <v>882</v>
      </c>
      <c r="H70" s="111"/>
      <c r="I70" s="111"/>
      <c r="J70" s="405">
        <f>'Monthly Profiles'!W32+'Monthly Profiles'!Y32+Appliances!$AD$125+7.5+2.5*$H$13</f>
        <v>40.914834009960458</v>
      </c>
      <c r="K70" s="321">
        <f>'Monthly Profiles'!W32+'Monthly Profiles'!Y32+Appliances!$AD$125+7.5+2.5*$H$13</f>
        <v>40.914834009960458</v>
      </c>
      <c r="L70" s="1574">
        <v>37.837325570916562</v>
      </c>
      <c r="M70" s="1575">
        <v>37.837325570916562</v>
      </c>
      <c r="N70" s="320">
        <f>'Monthly Profiles'!W32+'Monthly Profiles'!Y32+Appliances!$AF$125+(IF(Appliances!AF$237="yes",IF(AND(Appliances!AF$238="yes",'Monthly Profiles'!G32&lt;70),Appliances!AF$267+(Appliances!AF$267*((1/Appliances!AF$257)*(70-'Monthly Profiles'!G32)+('Monthly Profiles'!G32-NewConst!F$112))/(NewConst!F$112-'Monthly Profiles'!G32)),0),IF(Appliances!AF$238="yes",Appliances!AF$267+(Appliances!AF$267*((1/Appliances!AF$257)*(Appliances!AF$258-'Monthly Profiles'!G32)+('Monthly Profiles'!G32-NewConst!F$112))/(NewConst!F$112-'Monthly Profiles'!G32)),Appliances!AF$267)*(Appliances!AF$261/365)))</f>
        <v>30.823892177122033</v>
      </c>
      <c r="O70" s="1337" t="s">
        <v>773</v>
      </c>
      <c r="P70" s="1353" t="s">
        <v>773</v>
      </c>
      <c r="Q70" s="1337" t="s">
        <v>773</v>
      </c>
      <c r="R70" s="1353" t="s">
        <v>773</v>
      </c>
      <c r="S70" s="1337" t="s">
        <v>773</v>
      </c>
      <c r="T70" s="1449" t="s">
        <v>773</v>
      </c>
      <c r="Z70" s="1624"/>
      <c r="AA70" s="1624"/>
      <c r="AB70" s="1624"/>
      <c r="AC70" s="1624"/>
      <c r="AD70" s="1624"/>
      <c r="AE70" s="1624"/>
      <c r="AF70" s="1624"/>
      <c r="AG70" s="1624"/>
      <c r="AH70" s="1624"/>
      <c r="AI70" s="1624"/>
      <c r="AJ70" s="1624"/>
      <c r="AK70" s="1624"/>
      <c r="AL70" s="1624"/>
    </row>
    <row r="71" spans="1:38" s="102" customFormat="1" ht="11.25">
      <c r="D71" s="106"/>
      <c r="E71" s="130"/>
      <c r="F71" s="108" t="s">
        <v>1006</v>
      </c>
      <c r="G71" s="111" t="s">
        <v>882</v>
      </c>
      <c r="H71" s="111"/>
      <c r="I71" s="111"/>
      <c r="J71" s="405">
        <f>'Monthly Profiles'!W33+'Monthly Profiles'!Y33+Appliances!$AD$125+7.5+2.5*$H$13</f>
        <v>40.113594223197154</v>
      </c>
      <c r="K71" s="321">
        <f>'Monthly Profiles'!W33+'Monthly Profiles'!Y33+Appliances!$AD$125+7.5+2.5*$H$13</f>
        <v>40.113594223197154</v>
      </c>
      <c r="L71" s="1574">
        <v>36.831856190051994</v>
      </c>
      <c r="M71" s="1575">
        <v>36.831856190051994</v>
      </c>
      <c r="N71" s="320">
        <f>'Monthly Profiles'!W33+'Monthly Profiles'!Y33+Appliances!$AF$125+(IF(Appliances!AF$237="yes",IF(AND(Appliances!AF$238="yes",'Monthly Profiles'!G33&lt;70),Appliances!AF$267+(Appliances!AF$267*((1/Appliances!AF$257)*(70-'Monthly Profiles'!G33)+('Monthly Profiles'!G33-NewConst!F$112))/(NewConst!F$112-'Monthly Profiles'!G33)),0),IF(Appliances!AF$238="yes",Appliances!AF$267+(Appliances!AF$267*((1/Appliances!AF$257)*(Appliances!AF$258-'Monthly Profiles'!G33)+('Monthly Profiles'!G33-NewConst!F$112))/(NewConst!F$112-'Monthly Profiles'!G33)),Appliances!AF$267)*(Appliances!AF$261/365)))</f>
        <v>29.408196783220205</v>
      </c>
      <c r="O71" s="1337" t="s">
        <v>773</v>
      </c>
      <c r="P71" s="1353" t="s">
        <v>773</v>
      </c>
      <c r="Q71" s="1337" t="s">
        <v>773</v>
      </c>
      <c r="R71" s="1353" t="s">
        <v>773</v>
      </c>
      <c r="S71" s="1337" t="s">
        <v>773</v>
      </c>
      <c r="T71" s="1449" t="s">
        <v>773</v>
      </c>
      <c r="Z71" s="1624"/>
      <c r="AA71" s="1624"/>
      <c r="AB71" s="1624"/>
      <c r="AC71" s="1624"/>
      <c r="AD71" s="1624"/>
      <c r="AE71" s="1624"/>
      <c r="AF71" s="1624"/>
      <c r="AG71" s="1624"/>
      <c r="AH71" s="1624"/>
      <c r="AI71" s="1624"/>
      <c r="AJ71" s="1624"/>
      <c r="AK71" s="1624"/>
      <c r="AL71" s="1624"/>
    </row>
    <row r="72" spans="1:38" s="102" customFormat="1" ht="11.25">
      <c r="D72" s="106"/>
      <c r="E72" s="130"/>
      <c r="F72" s="108" t="s">
        <v>1007</v>
      </c>
      <c r="G72" s="111" t="s">
        <v>882</v>
      </c>
      <c r="H72" s="111"/>
      <c r="I72" s="111"/>
      <c r="J72" s="405">
        <f>'Monthly Profiles'!W34+'Monthly Profiles'!Y34+Appliances!$AD$125+7.5+2.5*$H$13</f>
        <v>39.453704200006143</v>
      </c>
      <c r="K72" s="321">
        <f>'Monthly Profiles'!W34+'Monthly Profiles'!Y34+Appliances!$AD$125+7.5+2.5*$H$13</f>
        <v>39.453704200006143</v>
      </c>
      <c r="L72" s="1574">
        <v>35.976455309782267</v>
      </c>
      <c r="M72" s="1575">
        <v>35.976455309782267</v>
      </c>
      <c r="N72" s="320">
        <f>'Monthly Profiles'!W34+'Monthly Profiles'!Y34+Appliances!$AF$125+(IF(Appliances!AF$237="yes",IF(AND(Appliances!AF$238="yes",'Monthly Profiles'!G34&lt;70),Appliances!AF$267+(Appliances!AF$267*((1/Appliances!AF$257)*(70-'Monthly Profiles'!G34)+('Monthly Profiles'!G34-NewConst!F$112))/(NewConst!F$112-'Monthly Profiles'!G34)),0),IF(Appliances!AF$238="yes",Appliances!AF$267+(Appliances!AF$267*((1/Appliances!AF$257)*(Appliances!AF$258-'Monthly Profiles'!G34)+('Monthly Profiles'!G34-NewConst!F$112))/(NewConst!F$112-'Monthly Profiles'!G34)),Appliances!AF$267)*(Appliances!AF$261/365)))</f>
        <v>28.242249607672317</v>
      </c>
      <c r="O72" s="1337" t="s">
        <v>773</v>
      </c>
      <c r="P72" s="1353" t="s">
        <v>773</v>
      </c>
      <c r="Q72" s="1337" t="s">
        <v>773</v>
      </c>
      <c r="R72" s="1353" t="s">
        <v>773</v>
      </c>
      <c r="S72" s="1337" t="s">
        <v>773</v>
      </c>
      <c r="T72" s="1449" t="s">
        <v>773</v>
      </c>
      <c r="Z72" s="1624"/>
      <c r="AA72" s="1624"/>
      <c r="AB72" s="1624"/>
      <c r="AC72" s="1624"/>
      <c r="AD72" s="1624"/>
      <c r="AE72" s="1624"/>
      <c r="AF72" s="1624"/>
      <c r="AG72" s="1624"/>
      <c r="AH72" s="1624"/>
      <c r="AI72" s="1624"/>
      <c r="AJ72" s="1624"/>
      <c r="AK72" s="1624"/>
      <c r="AL72" s="1624"/>
    </row>
    <row r="73" spans="1:38" s="102" customFormat="1" ht="11.25">
      <c r="D73" s="106"/>
      <c r="E73" s="130"/>
      <c r="F73" s="108" t="s">
        <v>481</v>
      </c>
      <c r="G73" s="111" t="s">
        <v>882</v>
      </c>
      <c r="H73" s="111"/>
      <c r="I73" s="111"/>
      <c r="J73" s="405">
        <f>'Monthly Profiles'!W35+'Monthly Profiles'!Y35+Appliances!$AD$125+7.5+2.5*$H$13</f>
        <v>39.194247483602894</v>
      </c>
      <c r="K73" s="321">
        <f>'Monthly Profiles'!W35+'Monthly Profiles'!Y35+Appliances!$AD$125+7.5+2.5*$H$13</f>
        <v>39.194247483602894</v>
      </c>
      <c r="L73" s="1574">
        <v>35.688171698155386</v>
      </c>
      <c r="M73" s="1575">
        <v>35.688171698155386</v>
      </c>
      <c r="N73" s="320">
        <f>'Monthly Profiles'!W35+'Monthly Profiles'!Y35+Appliances!$AF$125+(IF(Appliances!AF$237="yes",IF(AND(Appliances!AF$238="yes",'Monthly Profiles'!G35&lt;70),Appliances!AF$267+(Appliances!AF$267*((1/Appliances!AF$257)*(70-'Monthly Profiles'!G35)+('Monthly Profiles'!G35-NewConst!F$112))/(NewConst!F$112-'Monthly Profiles'!G35)),0),IF(Appliances!AF$238="yes",Appliances!AF$267+(Appliances!AF$267*((1/Appliances!AF$257)*(Appliances!AF$258-'Monthly Profiles'!G35)+('Monthly Profiles'!G35-NewConst!F$112))/(NewConst!F$112-'Monthly Profiles'!G35)),Appliances!AF$267)*(Appliances!AF$261/365)))</f>
        <v>27.78382045275881</v>
      </c>
      <c r="O73" s="1337" t="s">
        <v>773</v>
      </c>
      <c r="P73" s="1353" t="s">
        <v>773</v>
      </c>
      <c r="Q73" s="1337" t="s">
        <v>773</v>
      </c>
      <c r="R73" s="1353" t="s">
        <v>773</v>
      </c>
      <c r="S73" s="1337" t="s">
        <v>773</v>
      </c>
      <c r="T73" s="1449" t="s">
        <v>773</v>
      </c>
      <c r="Z73" s="1624"/>
      <c r="AA73" s="1624"/>
      <c r="AB73" s="1624"/>
      <c r="AC73" s="1624"/>
      <c r="AD73" s="1624"/>
      <c r="AE73" s="1624"/>
      <c r="AF73" s="1624"/>
      <c r="AG73" s="1624"/>
      <c r="AH73" s="1624"/>
      <c r="AI73" s="1624"/>
      <c r="AJ73" s="1624"/>
      <c r="AK73" s="1624"/>
      <c r="AL73" s="1624"/>
    </row>
    <row r="74" spans="1:38" s="102" customFormat="1" ht="11.25">
      <c r="D74" s="106"/>
      <c r="E74" s="130"/>
      <c r="F74" s="108" t="s">
        <v>482</v>
      </c>
      <c r="G74" s="111" t="s">
        <v>882</v>
      </c>
      <c r="H74" s="111"/>
      <c r="I74" s="111"/>
      <c r="J74" s="405">
        <f>'Monthly Profiles'!W36+'Monthly Profiles'!Y36+Appliances!$AD$125+7.5+2.5*$H$13</f>
        <v>39.453936712645756</v>
      </c>
      <c r="K74" s="321">
        <f>'Monthly Profiles'!W36+'Monthly Profiles'!Y36+Appliances!$AD$125+7.5+2.5*$H$13</f>
        <v>39.453936712645756</v>
      </c>
      <c r="L74" s="1574">
        <v>36.139981338393639</v>
      </c>
      <c r="M74" s="1575">
        <v>36.139981338393639</v>
      </c>
      <c r="N74" s="320">
        <f>'Monthly Profiles'!W36+'Monthly Profiles'!Y36+Appliances!$AF$125+(IF(Appliances!AF$237="yes",IF(AND(Appliances!AF$238="yes",'Monthly Profiles'!G36&lt;70),Appliances!AF$267+(Appliances!AF$267*((1/Appliances!AF$257)*(70-'Monthly Profiles'!G36)+('Monthly Profiles'!G36-NewConst!F$112))/(NewConst!F$112-'Monthly Profiles'!G36)),0),IF(Appliances!AF$238="yes",Appliances!AF$267+(Appliances!AF$267*((1/Appliances!AF$257)*(Appliances!AF$258-'Monthly Profiles'!G36)+('Monthly Profiles'!G36-NewConst!F$112))/(NewConst!F$112-'Monthly Profiles'!G36)),Appliances!AF$267)*(Appliances!AF$261/365)))</f>
        <v>28.242660429848605</v>
      </c>
      <c r="O74" s="1337" t="s">
        <v>773</v>
      </c>
      <c r="P74" s="1353" t="s">
        <v>773</v>
      </c>
      <c r="Q74" s="1337" t="s">
        <v>773</v>
      </c>
      <c r="R74" s="1353" t="s">
        <v>773</v>
      </c>
      <c r="S74" s="1337" t="s">
        <v>773</v>
      </c>
      <c r="T74" s="1449" t="s">
        <v>773</v>
      </c>
      <c r="Z74" s="1624"/>
      <c r="AA74" s="1624"/>
      <c r="AB74" s="1624"/>
      <c r="AC74" s="1624"/>
      <c r="AD74" s="1624"/>
      <c r="AE74" s="1624"/>
      <c r="AF74" s="1624"/>
      <c r="AG74" s="1624"/>
      <c r="AH74" s="1624"/>
      <c r="AI74" s="1624"/>
      <c r="AJ74" s="1624"/>
      <c r="AK74" s="1624"/>
      <c r="AL74" s="1624"/>
    </row>
    <row r="75" spans="1:38" s="102" customFormat="1" ht="11.25">
      <c r="D75" s="106"/>
      <c r="E75" s="130"/>
      <c r="F75" s="108" t="s">
        <v>483</v>
      </c>
      <c r="G75" s="111" t="s">
        <v>882</v>
      </c>
      <c r="H75" s="111"/>
      <c r="I75" s="111"/>
      <c r="J75" s="405">
        <f>'Monthly Profiles'!W37+'Monthly Profiles'!Y37+Appliances!$AD$125+7.5+2.5*$H$13</f>
        <v>40.113957177730548</v>
      </c>
      <c r="K75" s="321">
        <f>'Monthly Profiles'!W37+'Monthly Profiles'!Y37+Appliances!$AD$125+7.5+2.5*$H$13</f>
        <v>40.113957177730548</v>
      </c>
      <c r="L75" s="1574">
        <v>37.068117356173431</v>
      </c>
      <c r="M75" s="1575">
        <v>37.068117356173431</v>
      </c>
      <c r="N75" s="320">
        <f>'Monthly Profiles'!W37+'Monthly Profiles'!Y37+Appliances!$AF$125+(IF(Appliances!AF$237="yes",IF(AND(Appliances!AF$238="yes",'Monthly Profiles'!G37&lt;70),Appliances!AF$267+(Appliances!AF$267*((1/Appliances!AF$257)*(70-'Monthly Profiles'!G37)+('Monthly Profiles'!G37-NewConst!F$112))/(NewConst!F$112-'Monthly Profiles'!G37)),0),IF(Appliances!AF$238="yes",Appliances!AF$267+(Appliances!AF$267*((1/Appliances!AF$257)*(Appliances!AF$258-'Monthly Profiles'!G37)+('Monthly Profiles'!G37-NewConst!F$112))/(NewConst!F$112-'Monthly Profiles'!G37)),Appliances!AF$267)*(Appliances!AF$261/365)))</f>
        <v>29.408838080706445</v>
      </c>
      <c r="O75" s="1337" t="s">
        <v>773</v>
      </c>
      <c r="P75" s="1353" t="s">
        <v>773</v>
      </c>
      <c r="Q75" s="1337" t="s">
        <v>773</v>
      </c>
      <c r="R75" s="1353" t="s">
        <v>773</v>
      </c>
      <c r="S75" s="1337" t="s">
        <v>773</v>
      </c>
      <c r="T75" s="1449" t="s">
        <v>773</v>
      </c>
      <c r="Z75" s="1624"/>
      <c r="AA75" s="1624"/>
      <c r="AB75" s="1624"/>
      <c r="AC75" s="1624"/>
      <c r="AD75" s="1624"/>
      <c r="AE75" s="1624"/>
      <c r="AF75" s="1624"/>
      <c r="AG75" s="1624"/>
      <c r="AH75" s="1624"/>
      <c r="AI75" s="1624"/>
      <c r="AJ75" s="1624"/>
      <c r="AK75" s="1624"/>
      <c r="AL75" s="1624"/>
    </row>
    <row r="76" spans="1:38" s="102" customFormat="1" ht="11.25">
      <c r="D76" s="106"/>
      <c r="E76" s="130"/>
      <c r="F76" s="108" t="s">
        <v>484</v>
      </c>
      <c r="G76" s="111" t="s">
        <v>882</v>
      </c>
      <c r="H76" s="111"/>
      <c r="I76" s="111"/>
      <c r="J76" s="405">
        <f>'Monthly Profiles'!W38+'Monthly Profiles'!Y38+Appliances!$AD$125+7.5+2.5*$H$13</f>
        <v>40.91520152845581</v>
      </c>
      <c r="K76" s="321">
        <f>'Monthly Profiles'!W38+'Monthly Profiles'!Y38+Appliances!$AD$125+7.5+2.5*$H$13</f>
        <v>40.91520152845581</v>
      </c>
      <c r="L76" s="1574">
        <v>38.05592865925459</v>
      </c>
      <c r="M76" s="1575">
        <v>38.05592865925459</v>
      </c>
      <c r="N76" s="320">
        <f>'Monthly Profiles'!W38+'Monthly Profiles'!Y38+Appliances!$AF$125+(IF(Appliances!AF$237="yes",IF(AND(Appliances!AF$238="yes",'Monthly Profiles'!G38&lt;70),Appliances!AF$267+(Appliances!AF$267*((1/Appliances!AF$257)*(70-'Monthly Profiles'!G38)+('Monthly Profiles'!G38-NewConst!F$112))/(NewConst!F$112-'Monthly Profiles'!G38)),0),IF(Appliances!AF$238="yes",Appliances!AF$267+(Appliances!AF$267*((1/Appliances!AF$257)*(Appliances!AF$258-'Monthly Profiles'!G38)+('Monthly Profiles'!G38-NewConst!F$112))/(NewConst!F$112-'Monthly Profiles'!G38)),Appliances!AF$267)*(Appliances!AF$261/365)))</f>
        <v>30.824541538586139</v>
      </c>
      <c r="O76" s="1337" t="s">
        <v>773</v>
      </c>
      <c r="P76" s="1353" t="s">
        <v>773</v>
      </c>
      <c r="Q76" s="1337" t="s">
        <v>773</v>
      </c>
      <c r="R76" s="1353" t="s">
        <v>773</v>
      </c>
      <c r="S76" s="1337" t="s">
        <v>773</v>
      </c>
      <c r="T76" s="1449" t="s">
        <v>773</v>
      </c>
      <c r="Z76" s="1624"/>
      <c r="AA76" s="1624"/>
      <c r="AB76" s="1624"/>
      <c r="AC76" s="1624"/>
      <c r="AD76" s="1624"/>
      <c r="AE76" s="1624"/>
      <c r="AF76" s="1624"/>
      <c r="AG76" s="1624"/>
      <c r="AH76" s="1624"/>
      <c r="AI76" s="1624"/>
      <c r="AJ76" s="1624"/>
      <c r="AK76" s="1624"/>
      <c r="AL76" s="1624"/>
    </row>
    <row r="77" spans="1:38" s="102" customFormat="1" ht="54" customHeight="1">
      <c r="D77" s="106"/>
      <c r="E77" s="130"/>
      <c r="F77" s="108" t="s">
        <v>485</v>
      </c>
      <c r="G77" s="111" t="s">
        <v>882</v>
      </c>
      <c r="H77" s="111"/>
      <c r="I77" s="111"/>
      <c r="J77" s="405">
        <f>'Monthly Profiles'!W39+'Monthly Profiles'!Y39+Appliances!$AD$125+7.5+2.5*$H$13</f>
        <v>41.622767782522004</v>
      </c>
      <c r="K77" s="321">
        <f>'Monthly Profiles'!W39+'Monthly Profiles'!Y39+Appliances!$AD$125+7.5+2.5*$H$13</f>
        <v>41.622767782522004</v>
      </c>
      <c r="L77" s="1574">
        <v>38.835165773262574</v>
      </c>
      <c r="M77" s="1575">
        <v>38.835165773262574</v>
      </c>
      <c r="N77" s="320">
        <f>'Monthly Profiles'!W39+'Monthly Profiles'!Y39+Appliances!$AF$125+(IF(Appliances!AF$237="yes",IF(AND(Appliances!AF$238="yes",'Monthly Profiles'!G39&lt;70),Appliances!AF$267+(Appliances!AF$267*((1/Appliances!AF$257)*(70-'Monthly Profiles'!G39)+('Monthly Profiles'!G39-NewConst!F$112))/(NewConst!F$112-'Monthly Profiles'!G39)),0),IF(Appliances!AF$238="yes",Appliances!AF$267+(Appliances!AF$267*((1/Appliances!AF$257)*(Appliances!AF$258-'Monthly Profiles'!G39)+('Monthly Profiles'!G39-NewConst!F$112))/(NewConst!F$112-'Monthly Profiles'!G39)),Appliances!AF$267)*(Appliances!AF$261/365)))</f>
        <v>32.07472694289357</v>
      </c>
      <c r="O77" s="1337" t="s">
        <v>773</v>
      </c>
      <c r="P77" s="1353" t="s">
        <v>773</v>
      </c>
      <c r="Q77" s="1337" t="s">
        <v>773</v>
      </c>
      <c r="R77" s="1353" t="s">
        <v>773</v>
      </c>
      <c r="S77" s="1337" t="s">
        <v>773</v>
      </c>
      <c r="T77" s="1449" t="s">
        <v>773</v>
      </c>
      <c r="Z77" s="1624"/>
      <c r="AA77" s="1624"/>
      <c r="AB77" s="1624"/>
      <c r="AC77" s="1624"/>
      <c r="AD77" s="1624"/>
      <c r="AE77" s="1624"/>
      <c r="AF77" s="1624"/>
      <c r="AG77" s="1624"/>
      <c r="AH77" s="1624"/>
      <c r="AI77" s="1624"/>
      <c r="AJ77" s="1624"/>
      <c r="AK77" s="1624"/>
      <c r="AL77" s="1624"/>
    </row>
    <row r="78" spans="1:38" s="102" customFormat="1">
      <c r="A78" s="127"/>
      <c r="B78" s="127"/>
      <c r="C78" s="127"/>
      <c r="D78" s="2300" t="s">
        <v>491</v>
      </c>
      <c r="E78" s="2301"/>
      <c r="F78" s="2301"/>
      <c r="G78" s="2301"/>
      <c r="H78" s="1065"/>
      <c r="I78" s="1065"/>
      <c r="J78" s="184"/>
      <c r="K78" s="185"/>
      <c r="L78" s="1355"/>
      <c r="M78" s="1340"/>
      <c r="N78" s="186"/>
      <c r="O78" s="1340"/>
      <c r="P78" s="1355"/>
      <c r="Q78" s="1340"/>
      <c r="R78" s="1355"/>
      <c r="S78" s="1340"/>
      <c r="T78" s="1464"/>
      <c r="W78" s="127"/>
      <c r="X78" s="127"/>
      <c r="Y78" s="127"/>
      <c r="Z78" s="1627"/>
      <c r="AA78" s="1624"/>
      <c r="AB78" s="1624"/>
      <c r="AC78" s="1624"/>
      <c r="AD78" s="1624"/>
      <c r="AE78" s="1624"/>
      <c r="AF78" s="1624"/>
      <c r="AG78" s="1624"/>
      <c r="AH78" s="1624"/>
      <c r="AI78" s="1624"/>
      <c r="AJ78" s="1624"/>
      <c r="AK78" s="1624"/>
      <c r="AL78" s="1624"/>
    </row>
    <row r="79" spans="1:38" s="102" customFormat="1" ht="11.25">
      <c r="D79" s="103"/>
      <c r="E79" s="104"/>
      <c r="F79" s="128" t="s">
        <v>920</v>
      </c>
      <c r="G79" s="123" t="s">
        <v>1068</v>
      </c>
      <c r="H79" s="107" t="s">
        <v>827</v>
      </c>
      <c r="I79" s="113" t="s">
        <v>321</v>
      </c>
      <c r="J79" s="377" t="str">
        <f>J35</f>
        <v>Tank</v>
      </c>
      <c r="K79" s="245" t="str">
        <f>K35</f>
        <v>Tank</v>
      </c>
      <c r="L79" s="1586" t="s">
        <v>1084</v>
      </c>
      <c r="M79" s="1587" t="s">
        <v>1084</v>
      </c>
      <c r="N79" s="203" t="s">
        <v>773</v>
      </c>
      <c r="O79" s="1611" t="str">
        <f t="shared" ref="O79:T79" si="7">O35</f>
        <v>Tank</v>
      </c>
      <c r="P79" s="1612" t="str">
        <f t="shared" si="7"/>
        <v>Tank</v>
      </c>
      <c r="Q79" s="1611" t="str">
        <f t="shared" si="7"/>
        <v>Tankless</v>
      </c>
      <c r="R79" s="1612" t="str">
        <f t="shared" si="7"/>
        <v>Tank</v>
      </c>
      <c r="S79" s="1611" t="str">
        <f t="shared" si="7"/>
        <v>Tank</v>
      </c>
      <c r="T79" s="1613" t="str">
        <f t="shared" si="7"/>
        <v>Tankless</v>
      </c>
      <c r="Z79" s="1624"/>
      <c r="AA79" s="1624"/>
      <c r="AB79" s="1624"/>
      <c r="AC79" s="1624"/>
      <c r="AD79" s="1624"/>
      <c r="AE79" s="1624"/>
      <c r="AF79" s="1624"/>
      <c r="AG79" s="1624"/>
      <c r="AH79" s="1624"/>
      <c r="AI79" s="1624"/>
      <c r="AJ79" s="1624"/>
      <c r="AK79" s="1624"/>
      <c r="AL79" s="1624"/>
    </row>
    <row r="80" spans="1:38" s="102" customFormat="1" ht="11.25">
      <c r="D80" s="106"/>
      <c r="E80" s="107"/>
      <c r="F80" s="109" t="s">
        <v>1302</v>
      </c>
      <c r="G80" s="113" t="s">
        <v>1066</v>
      </c>
      <c r="H80" s="107" t="s">
        <v>828</v>
      </c>
      <c r="I80" s="113" t="s">
        <v>321</v>
      </c>
      <c r="J80" s="180" t="s">
        <v>1151</v>
      </c>
      <c r="K80" s="181" t="s">
        <v>464</v>
      </c>
      <c r="L80" s="1353" t="s">
        <v>1151</v>
      </c>
      <c r="M80" s="1337" t="s">
        <v>464</v>
      </c>
      <c r="N80" s="230" t="str">
        <f>IF(NewConst!F111="Gas", "Gas", "Electric")</f>
        <v>Gas</v>
      </c>
      <c r="O80" s="1337" t="s">
        <v>1151</v>
      </c>
      <c r="P80" s="1353" t="s">
        <v>1151</v>
      </c>
      <c r="Q80" s="1337" t="s">
        <v>1151</v>
      </c>
      <c r="R80" s="1353" t="s">
        <v>464</v>
      </c>
      <c r="S80" s="1337" t="s">
        <v>464</v>
      </c>
      <c r="T80" s="1449" t="s">
        <v>464</v>
      </c>
      <c r="Z80" s="1624"/>
      <c r="AA80" s="1624"/>
      <c r="AB80" s="1624"/>
      <c r="AC80" s="1624"/>
      <c r="AD80" s="1624"/>
      <c r="AE80" s="1624"/>
      <c r="AF80" s="1624"/>
      <c r="AG80" s="1624"/>
      <c r="AH80" s="1624"/>
      <c r="AI80" s="1624"/>
      <c r="AJ80" s="1624"/>
      <c r="AK80" s="1624"/>
      <c r="AL80" s="1624"/>
    </row>
    <row r="81" spans="1:38" s="102" customFormat="1" ht="11.25">
      <c r="D81" s="106"/>
      <c r="E81" s="107"/>
      <c r="F81" s="109" t="s">
        <v>975</v>
      </c>
      <c r="G81" s="111" t="s">
        <v>1323</v>
      </c>
      <c r="H81" s="109" t="s">
        <v>829</v>
      </c>
      <c r="I81" s="111" t="s">
        <v>321</v>
      </c>
      <c r="J81" s="394" t="s">
        <v>773</v>
      </c>
      <c r="K81" s="204" t="s">
        <v>773</v>
      </c>
      <c r="L81" s="1498" t="s">
        <v>773</v>
      </c>
      <c r="M81" s="1499" t="s">
        <v>773</v>
      </c>
      <c r="N81" s="280" t="s">
        <v>773</v>
      </c>
      <c r="O81" s="1477">
        <f t="shared" ref="O81:T81" si="8">IF(O35="Tank", O47, "NA")</f>
        <v>0.12422794739029915</v>
      </c>
      <c r="P81" s="1476">
        <f t="shared" si="8"/>
        <v>6.1569114276771045E-2</v>
      </c>
      <c r="Q81" s="1477" t="str">
        <f t="shared" si="8"/>
        <v>NA</v>
      </c>
      <c r="R81" s="1476">
        <f t="shared" si="8"/>
        <v>0.51002665660464885</v>
      </c>
      <c r="S81" s="1477">
        <f t="shared" si="8"/>
        <v>0.41991633421747704</v>
      </c>
      <c r="T81" s="1478" t="str">
        <f t="shared" si="8"/>
        <v>NA</v>
      </c>
      <c r="Z81" s="1624"/>
      <c r="AA81" s="1624"/>
      <c r="AB81" s="1624"/>
      <c r="AC81" s="1624"/>
      <c r="AD81" s="1624"/>
      <c r="AE81" s="1624"/>
      <c r="AF81" s="1624"/>
      <c r="AG81" s="1624"/>
      <c r="AH81" s="1624"/>
      <c r="AI81" s="1624"/>
      <c r="AJ81" s="1624"/>
      <c r="AK81" s="1624"/>
      <c r="AL81" s="1624"/>
    </row>
    <row r="82" spans="1:38" s="102" customFormat="1" ht="11.25">
      <c r="D82" s="106"/>
      <c r="E82" s="107"/>
      <c r="F82" s="109" t="s">
        <v>367</v>
      </c>
      <c r="G82" s="113" t="s">
        <v>1069</v>
      </c>
      <c r="H82" s="107" t="s">
        <v>830</v>
      </c>
      <c r="I82" s="113" t="s">
        <v>321</v>
      </c>
      <c r="J82" s="378" t="s">
        <v>773</v>
      </c>
      <c r="K82" s="202" t="s">
        <v>773</v>
      </c>
      <c r="L82" s="1586" t="s">
        <v>773</v>
      </c>
      <c r="M82" s="1587" t="s">
        <v>773</v>
      </c>
      <c r="N82" s="280" t="s">
        <v>773</v>
      </c>
      <c r="O82" s="1611">
        <f t="shared" ref="O82:T82" si="9">IF(O80="Electric", 3413*O46, O46)</f>
        <v>15358.5</v>
      </c>
      <c r="P82" s="1612">
        <f t="shared" si="9"/>
        <v>18771.5</v>
      </c>
      <c r="Q82" s="1611">
        <f t="shared" si="9"/>
        <v>94805563.140000001</v>
      </c>
      <c r="R82" s="1612">
        <f t="shared" si="9"/>
        <v>40200</v>
      </c>
      <c r="S82" s="1611">
        <f t="shared" si="9"/>
        <v>34170</v>
      </c>
      <c r="T82" s="1613">
        <f t="shared" si="9"/>
        <v>1000000000</v>
      </c>
      <c r="Z82" s="1624"/>
      <c r="AA82" s="1624"/>
      <c r="AB82" s="1624"/>
      <c r="AC82" s="1624"/>
      <c r="AD82" s="1624"/>
      <c r="AE82" s="1624"/>
      <c r="AF82" s="1624"/>
      <c r="AG82" s="1624"/>
      <c r="AH82" s="1624"/>
      <c r="AI82" s="1624"/>
      <c r="AJ82" s="1624"/>
      <c r="AK82" s="1624"/>
      <c r="AL82" s="1624"/>
    </row>
    <row r="83" spans="1:38" s="102" customFormat="1" ht="11.25">
      <c r="D83" s="106"/>
      <c r="E83" s="107"/>
      <c r="F83" s="109" t="s">
        <v>369</v>
      </c>
      <c r="G83" s="113"/>
      <c r="H83" s="107" t="s">
        <v>831</v>
      </c>
      <c r="I83" s="113" t="s">
        <v>321</v>
      </c>
      <c r="J83" s="363">
        <f>J44*(1-J45)</f>
        <v>0.98</v>
      </c>
      <c r="K83" s="195">
        <f>K44*(1-K45)</f>
        <v>0.76</v>
      </c>
      <c r="L83" s="1490">
        <v>0.98</v>
      </c>
      <c r="M83" s="1491">
        <v>0.76</v>
      </c>
      <c r="N83" s="280" t="s">
        <v>773</v>
      </c>
      <c r="O83" s="1467">
        <f>O44*(1-O45)</f>
        <v>0.99</v>
      </c>
      <c r="P83" s="1466">
        <f>P44*(1-P45)</f>
        <v>0.99</v>
      </c>
      <c r="Q83" s="1467">
        <f>Q44*(1-Q45)</f>
        <v>0.99</v>
      </c>
      <c r="R83" s="1466">
        <f>R44*(1-R45)</f>
        <v>0.8</v>
      </c>
      <c r="S83" s="1467">
        <f>S44*(1-S45)</f>
        <v>0.8</v>
      </c>
      <c r="T83" s="1614">
        <f>T43*(1-T45)</f>
        <v>0.76607999999999998</v>
      </c>
      <c r="Z83" s="1624"/>
      <c r="AA83" s="1624"/>
      <c r="AB83" s="1624"/>
      <c r="AC83" s="1624"/>
      <c r="AD83" s="1624"/>
      <c r="AE83" s="1624"/>
      <c r="AF83" s="1624"/>
      <c r="AG83" s="1624"/>
      <c r="AH83" s="1624"/>
      <c r="AI83" s="1624"/>
      <c r="AJ83" s="1624"/>
      <c r="AK83" s="1624"/>
      <c r="AL83" s="1624"/>
    </row>
    <row r="84" spans="1:38" s="102" customFormat="1" ht="11.25">
      <c r="D84" s="106"/>
      <c r="E84" s="107"/>
      <c r="F84" s="109" t="s">
        <v>1263</v>
      </c>
      <c r="G84" s="573" t="s">
        <v>926</v>
      </c>
      <c r="H84" s="451" t="s">
        <v>824</v>
      </c>
      <c r="I84" s="113" t="s">
        <v>321</v>
      </c>
      <c r="J84" s="378" t="s">
        <v>1265</v>
      </c>
      <c r="K84" s="202" t="s">
        <v>1265</v>
      </c>
      <c r="L84" s="1586" t="s">
        <v>1265</v>
      </c>
      <c r="M84" s="1587" t="s">
        <v>1265</v>
      </c>
      <c r="N84" s="280" t="s">
        <v>773</v>
      </c>
      <c r="O84" s="1587" t="s">
        <v>1265</v>
      </c>
      <c r="P84" s="1586" t="s">
        <v>1265</v>
      </c>
      <c r="Q84" s="1587" t="s">
        <v>1265</v>
      </c>
      <c r="R84" s="1586" t="s">
        <v>1265</v>
      </c>
      <c r="S84" s="1587" t="s">
        <v>1265</v>
      </c>
      <c r="T84" s="1615" t="s">
        <v>1265</v>
      </c>
      <c r="Z84" s="1624"/>
      <c r="AA84" s="1624"/>
      <c r="AB84" s="1624"/>
      <c r="AC84" s="1624"/>
      <c r="AD84" s="1624"/>
      <c r="AE84" s="1624"/>
      <c r="AF84" s="1624"/>
      <c r="AG84" s="1624"/>
      <c r="AH84" s="1624"/>
      <c r="AI84" s="1624"/>
      <c r="AJ84" s="1624"/>
      <c r="AK84" s="1624"/>
      <c r="AL84" s="1624"/>
    </row>
    <row r="85" spans="1:38" s="102" customFormat="1">
      <c r="A85" s="127"/>
      <c r="D85" s="2300" t="s">
        <v>479</v>
      </c>
      <c r="E85" s="2301"/>
      <c r="F85" s="2301"/>
      <c r="G85" s="2301"/>
      <c r="H85" s="1065"/>
      <c r="I85" s="1065"/>
      <c r="J85" s="184"/>
      <c r="K85" s="185"/>
      <c r="L85" s="1566"/>
      <c r="M85" s="1567"/>
      <c r="N85" s="186"/>
      <c r="O85" s="1340"/>
      <c r="P85" s="1355"/>
      <c r="Q85" s="1340"/>
      <c r="R85" s="1355"/>
      <c r="S85" s="1340"/>
      <c r="T85" s="1464"/>
      <c r="W85" s="127"/>
      <c r="X85" s="127"/>
      <c r="Y85" s="127"/>
      <c r="Z85" s="1627"/>
      <c r="AA85" s="1624"/>
      <c r="AB85" s="1624"/>
      <c r="AC85" s="1624"/>
      <c r="AD85" s="1624"/>
      <c r="AE85" s="1624"/>
      <c r="AF85" s="1624"/>
      <c r="AG85" s="1624"/>
      <c r="AH85" s="1624"/>
      <c r="AI85" s="1624"/>
      <c r="AJ85" s="1624"/>
      <c r="AK85" s="1624"/>
      <c r="AL85" s="1624"/>
    </row>
    <row r="86" spans="1:38" s="102" customFormat="1" ht="11.25">
      <c r="D86" s="445"/>
      <c r="E86" s="432" t="s">
        <v>320</v>
      </c>
      <c r="F86" s="432"/>
      <c r="G86" s="432"/>
      <c r="H86" s="130"/>
      <c r="I86" s="130"/>
      <c r="J86" s="184"/>
      <c r="K86" s="185"/>
      <c r="L86" s="1566"/>
      <c r="M86" s="1567"/>
      <c r="N86" s="186"/>
      <c r="O86" s="1340"/>
      <c r="P86" s="1355"/>
      <c r="Q86" s="1340"/>
      <c r="R86" s="1355"/>
      <c r="S86" s="1340"/>
      <c r="T86" s="1464"/>
      <c r="Z86" s="1624"/>
      <c r="AA86" s="1624"/>
      <c r="AB86" s="1624"/>
      <c r="AC86" s="1624"/>
      <c r="AD86" s="1624"/>
      <c r="AE86" s="1624"/>
      <c r="AF86" s="1624"/>
      <c r="AG86" s="1624"/>
      <c r="AH86" s="1624"/>
      <c r="AI86" s="1624"/>
      <c r="AJ86" s="1624"/>
      <c r="AK86" s="1624"/>
      <c r="AL86" s="1624"/>
    </row>
    <row r="87" spans="1:38" s="102" customFormat="1" ht="11.25">
      <c r="D87" s="106"/>
      <c r="E87" s="107"/>
      <c r="F87" s="107" t="s">
        <v>492</v>
      </c>
      <c r="G87" s="113" t="s">
        <v>937</v>
      </c>
      <c r="H87" s="113"/>
      <c r="I87" s="113"/>
      <c r="J87" s="387"/>
      <c r="K87" s="261"/>
      <c r="L87" s="1588"/>
      <c r="M87" s="1589"/>
      <c r="N87" s="262"/>
      <c r="O87" s="1342">
        <v>1</v>
      </c>
      <c r="P87" s="1360">
        <v>1</v>
      </c>
      <c r="Q87" s="1342">
        <v>1</v>
      </c>
      <c r="R87" s="1360">
        <v>1</v>
      </c>
      <c r="S87" s="1342">
        <v>1</v>
      </c>
      <c r="T87" s="1482">
        <v>1</v>
      </c>
      <c r="Z87" s="1624"/>
      <c r="AA87" s="1624"/>
      <c r="AB87" s="1624"/>
      <c r="AC87" s="1624"/>
      <c r="AD87" s="1624"/>
      <c r="AE87" s="1624"/>
      <c r="AF87" s="1624"/>
      <c r="AG87" s="1624"/>
      <c r="AH87" s="1624"/>
      <c r="AI87" s="1624"/>
      <c r="AJ87" s="1624"/>
      <c r="AK87" s="1624"/>
      <c r="AL87" s="1624"/>
    </row>
    <row r="88" spans="1:38" s="102" customFormat="1" ht="11.25">
      <c r="D88" s="431"/>
      <c r="E88" s="130" t="s">
        <v>378</v>
      </c>
      <c r="F88" s="130"/>
      <c r="G88" s="130"/>
      <c r="H88" s="130"/>
      <c r="I88" s="130"/>
      <c r="J88" s="184"/>
      <c r="K88" s="185"/>
      <c r="L88" s="1355"/>
      <c r="M88" s="1340"/>
      <c r="N88" s="186"/>
      <c r="O88" s="1340"/>
      <c r="P88" s="1355"/>
      <c r="Q88" s="1340"/>
      <c r="R88" s="1355"/>
      <c r="S88" s="1340"/>
      <c r="T88" s="1464"/>
      <c r="Z88" s="1624"/>
      <c r="AA88" s="1624"/>
      <c r="AB88" s="1624"/>
      <c r="AC88" s="1624"/>
      <c r="AD88" s="1624"/>
      <c r="AE88" s="1624"/>
      <c r="AF88" s="1624"/>
      <c r="AG88" s="1624"/>
      <c r="AH88" s="1624"/>
      <c r="AI88" s="1624"/>
      <c r="AJ88" s="1624"/>
      <c r="AK88" s="1624"/>
      <c r="AL88" s="1624"/>
    </row>
    <row r="89" spans="1:38" s="102" customFormat="1" ht="11.25">
      <c r="A89" s="132"/>
      <c r="B89" s="132"/>
      <c r="C89" s="132"/>
      <c r="D89" s="429"/>
      <c r="E89" s="435"/>
      <c r="F89" s="108" t="s">
        <v>84</v>
      </c>
      <c r="G89" s="430" t="s">
        <v>100</v>
      </c>
      <c r="H89" s="430"/>
      <c r="I89" s="430"/>
      <c r="J89" s="387"/>
      <c r="K89" s="261"/>
      <c r="L89" s="1588"/>
      <c r="M89" s="1589"/>
      <c r="N89" s="262"/>
      <c r="O89" s="1616"/>
      <c r="P89" s="1617"/>
      <c r="Q89" s="1616"/>
      <c r="R89" s="1618">
        <v>228</v>
      </c>
      <c r="S89" s="1616"/>
      <c r="T89" s="1619">
        <v>750</v>
      </c>
      <c r="W89" s="132"/>
      <c r="X89" s="132"/>
      <c r="Y89" s="132"/>
      <c r="Z89" s="1628"/>
      <c r="AA89" s="1624"/>
      <c r="AB89" s="1624"/>
      <c r="AC89" s="1624"/>
      <c r="AD89" s="1624"/>
      <c r="AE89" s="1624"/>
      <c r="AF89" s="1624"/>
      <c r="AG89" s="1624"/>
      <c r="AH89" s="1624"/>
      <c r="AI89" s="1624"/>
      <c r="AJ89" s="1624"/>
      <c r="AK89" s="1624"/>
      <c r="AL89" s="1624"/>
    </row>
    <row r="90" spans="1:38" s="102" customFormat="1" ht="11.25">
      <c r="A90" s="132"/>
      <c r="B90" s="132"/>
      <c r="C90" s="132"/>
      <c r="D90" s="429"/>
      <c r="E90" s="435"/>
      <c r="F90" s="108" t="s">
        <v>85</v>
      </c>
      <c r="G90" s="430" t="s">
        <v>100</v>
      </c>
      <c r="H90" s="430"/>
      <c r="I90" s="430"/>
      <c r="J90" s="387"/>
      <c r="K90" s="261"/>
      <c r="L90" s="1588"/>
      <c r="M90" s="1589"/>
      <c r="N90" s="262"/>
      <c r="O90" s="1616"/>
      <c r="P90" s="1617"/>
      <c r="Q90" s="1616"/>
      <c r="R90" s="1618">
        <v>200</v>
      </c>
      <c r="S90" s="1616"/>
      <c r="T90" s="1619">
        <v>300</v>
      </c>
      <c r="W90" s="132"/>
      <c r="X90" s="132"/>
      <c r="Y90" s="132"/>
      <c r="Z90" s="1628"/>
      <c r="AA90" s="1624"/>
      <c r="AB90" s="1624"/>
      <c r="AC90" s="1624"/>
      <c r="AD90" s="1624"/>
      <c r="AE90" s="1624"/>
      <c r="AF90" s="1624"/>
      <c r="AG90" s="1624"/>
      <c r="AH90" s="1624"/>
      <c r="AI90" s="1624"/>
      <c r="AJ90" s="1624"/>
      <c r="AK90" s="1624"/>
      <c r="AL90" s="1624"/>
    </row>
    <row r="91" spans="1:38" s="102" customFormat="1" ht="11.25">
      <c r="D91" s="106"/>
      <c r="E91" s="107"/>
      <c r="F91" s="109" t="s">
        <v>935</v>
      </c>
      <c r="G91" s="430" t="s">
        <v>100</v>
      </c>
      <c r="H91" s="430"/>
      <c r="I91" s="430"/>
      <c r="J91" s="409"/>
      <c r="K91" s="406"/>
      <c r="L91" s="1588"/>
      <c r="M91" s="1589"/>
      <c r="N91" s="407"/>
      <c r="O91" s="1347" t="str">
        <f>IF(AND(ISNUMBER(O89), ISNUMBER(O90)), O89+O90, "")</f>
        <v/>
      </c>
      <c r="P91" s="1500" t="str">
        <f>IF(AND(ISNUMBER(P89), ISNUMBER(P90)), P89+P90, "")</f>
        <v/>
      </c>
      <c r="Q91" s="1347" t="str">
        <f>IF(AND(ISNUMBER(Q89), ISNUMBER(Q90)), Q89+Q90, "")</f>
        <v/>
      </c>
      <c r="R91" s="1363">
        <f>(R89+R90)*(1.02)^6</f>
        <v>481.99751544499202</v>
      </c>
      <c r="S91" s="1349" t="str">
        <f>IF(AND(ISNUMBER(S89), ISNUMBER(S90)), S89+S90, "")</f>
        <v/>
      </c>
      <c r="T91" s="1620">
        <f>(T89+T90)*(1.02)^6</f>
        <v>1182.4705402272</v>
      </c>
      <c r="Z91" s="1624"/>
      <c r="AA91" s="1624"/>
      <c r="AB91" s="1624"/>
      <c r="AC91" s="1624"/>
      <c r="AD91" s="1624"/>
      <c r="AE91" s="1624"/>
      <c r="AF91" s="1624"/>
      <c r="AG91" s="1624"/>
      <c r="AH91" s="1624"/>
      <c r="AI91" s="1624"/>
      <c r="AJ91" s="1624"/>
      <c r="AK91" s="1624"/>
      <c r="AL91" s="1624"/>
    </row>
    <row r="92" spans="1:38" s="102" customFormat="1" ht="11.25">
      <c r="D92" s="106"/>
      <c r="E92" s="107"/>
      <c r="F92" s="107" t="s">
        <v>493</v>
      </c>
      <c r="G92" s="113" t="s">
        <v>494</v>
      </c>
      <c r="H92" s="113"/>
      <c r="I92" s="113"/>
      <c r="J92" s="387"/>
      <c r="K92" s="261"/>
      <c r="L92" s="1588"/>
      <c r="M92" s="1589"/>
      <c r="N92" s="262"/>
      <c r="O92" s="1349" t="str">
        <f t="shared" ref="O92:T92" si="10">IF(ISNUMBER(O91), O91*O87, "")</f>
        <v/>
      </c>
      <c r="P92" s="1363" t="str">
        <f t="shared" si="10"/>
        <v/>
      </c>
      <c r="Q92" s="1349" t="str">
        <f t="shared" si="10"/>
        <v/>
      </c>
      <c r="R92" s="1363">
        <f t="shared" si="10"/>
        <v>481.99751544499202</v>
      </c>
      <c r="S92" s="1349" t="str">
        <f t="shared" si="10"/>
        <v/>
      </c>
      <c r="T92" s="1620">
        <f t="shared" si="10"/>
        <v>1182.4705402272</v>
      </c>
      <c r="Z92" s="1624"/>
      <c r="AA92" s="1624"/>
      <c r="AB92" s="1624"/>
      <c r="AC92" s="1624"/>
      <c r="AD92" s="1624"/>
      <c r="AE92" s="1624"/>
      <c r="AF92" s="1624"/>
      <c r="AG92" s="1624"/>
      <c r="AH92" s="1624"/>
      <c r="AI92" s="1624"/>
      <c r="AJ92" s="1624"/>
      <c r="AK92" s="1624"/>
      <c r="AL92" s="1624"/>
    </row>
    <row r="93" spans="1:38" s="102" customFormat="1" ht="11.25">
      <c r="D93" s="431"/>
      <c r="E93" s="130" t="s">
        <v>379</v>
      </c>
      <c r="F93" s="130"/>
      <c r="G93" s="130"/>
      <c r="H93" s="130"/>
      <c r="I93" s="130"/>
      <c r="J93" s="184"/>
      <c r="K93" s="185"/>
      <c r="L93" s="1566"/>
      <c r="M93" s="1567"/>
      <c r="N93" s="186"/>
      <c r="O93" s="1340"/>
      <c r="P93" s="1355"/>
      <c r="Q93" s="1340"/>
      <c r="R93" s="1355"/>
      <c r="S93" s="1340"/>
      <c r="T93" s="1464"/>
      <c r="Z93" s="1624"/>
      <c r="AA93" s="1624"/>
      <c r="AB93" s="1624"/>
      <c r="AC93" s="1624"/>
      <c r="AD93" s="1624"/>
      <c r="AE93" s="1624"/>
      <c r="AF93" s="1624"/>
      <c r="AG93" s="1624"/>
      <c r="AH93" s="1624"/>
      <c r="AI93" s="1624"/>
      <c r="AJ93" s="1624"/>
      <c r="AK93" s="1624"/>
      <c r="AL93" s="1624"/>
    </row>
    <row r="94" spans="1:38" s="102" customFormat="1" ht="11.25">
      <c r="A94" s="132"/>
      <c r="B94" s="132"/>
      <c r="C94" s="132"/>
      <c r="D94" s="429"/>
      <c r="E94" s="435"/>
      <c r="F94" s="108" t="s">
        <v>84</v>
      </c>
      <c r="G94" s="430" t="s">
        <v>100</v>
      </c>
      <c r="H94" s="430"/>
      <c r="I94" s="430"/>
      <c r="J94" s="387"/>
      <c r="K94" s="261"/>
      <c r="L94" s="1588"/>
      <c r="M94" s="1589"/>
      <c r="N94" s="262"/>
      <c r="O94" s="1621">
        <v>279</v>
      </c>
      <c r="P94" s="1618">
        <v>370</v>
      </c>
      <c r="Q94" s="1621">
        <v>775</v>
      </c>
      <c r="R94" s="1617"/>
      <c r="S94" s="1621">
        <v>424</v>
      </c>
      <c r="T94" s="1622"/>
      <c r="W94" s="132"/>
      <c r="X94" s="132"/>
      <c r="Y94" s="132"/>
      <c r="Z94" s="1628"/>
      <c r="AA94" s="1624"/>
      <c r="AB94" s="1624"/>
      <c r="AC94" s="1624"/>
      <c r="AD94" s="1624"/>
      <c r="AE94" s="1624"/>
      <c r="AF94" s="1624"/>
      <c r="AG94" s="1624"/>
      <c r="AH94" s="1624"/>
      <c r="AI94" s="1624"/>
      <c r="AJ94" s="1624"/>
      <c r="AK94" s="1624"/>
      <c r="AL94" s="1624"/>
    </row>
    <row r="95" spans="1:38" s="127" customFormat="1">
      <c r="A95" s="132"/>
      <c r="B95" s="132"/>
      <c r="C95" s="132"/>
      <c r="D95" s="429"/>
      <c r="E95" s="435"/>
      <c r="F95" s="108" t="s">
        <v>85</v>
      </c>
      <c r="G95" s="430" t="s">
        <v>100</v>
      </c>
      <c r="H95" s="430"/>
      <c r="I95" s="430"/>
      <c r="J95" s="387"/>
      <c r="K95" s="261"/>
      <c r="L95" s="1588"/>
      <c r="M95" s="1589"/>
      <c r="N95" s="262"/>
      <c r="O95" s="1621">
        <v>200</v>
      </c>
      <c r="P95" s="1618">
        <v>200</v>
      </c>
      <c r="Q95" s="1621">
        <v>300</v>
      </c>
      <c r="R95" s="1617"/>
      <c r="S95" s="1621">
        <v>200</v>
      </c>
      <c r="T95" s="1622"/>
      <c r="U95" s="102"/>
      <c r="V95" s="102"/>
      <c r="W95" s="132"/>
      <c r="X95" s="132"/>
      <c r="Y95" s="132"/>
      <c r="Z95" s="1628"/>
      <c r="AA95" s="1627"/>
      <c r="AB95" s="1627"/>
      <c r="AC95" s="1627"/>
      <c r="AD95" s="1627"/>
      <c r="AE95" s="1627"/>
      <c r="AF95" s="1627"/>
      <c r="AG95" s="1627"/>
      <c r="AH95" s="1627"/>
      <c r="AI95" s="1627"/>
      <c r="AJ95" s="1627"/>
      <c r="AK95" s="1627"/>
      <c r="AL95" s="1627"/>
    </row>
    <row r="96" spans="1:38" s="102" customFormat="1" ht="11.25">
      <c r="D96" s="106"/>
      <c r="E96" s="107"/>
      <c r="F96" s="109" t="s">
        <v>935</v>
      </c>
      <c r="G96" s="430" t="s">
        <v>100</v>
      </c>
      <c r="H96" s="430"/>
      <c r="I96" s="430"/>
      <c r="J96" s="409"/>
      <c r="K96" s="406"/>
      <c r="L96" s="1588"/>
      <c r="M96" s="1589"/>
      <c r="N96" s="407"/>
      <c r="O96" s="1349">
        <f>(O94+O95)*(1.02)^6</f>
        <v>539.43179882745608</v>
      </c>
      <c r="P96" s="1363">
        <f>(P94+P95)*(1.02)^6</f>
        <v>641.91257898048002</v>
      </c>
      <c r="Q96" s="1349">
        <f>(Q94+Q95)*(1.02)^6</f>
        <v>1210.6246007088</v>
      </c>
      <c r="R96" s="1500" t="str">
        <f>IF(AND(ISNUMBER(R94),ISNUMBER(R95)), R94+R95, "")</f>
        <v/>
      </c>
      <c r="S96" s="1349">
        <f>(S94+S95)*(1.02)^6</f>
        <v>702.7253496207361</v>
      </c>
      <c r="T96" s="1622" t="str">
        <f>IF(AND(ISNUMBER(T94),ISNUMBER(T95)), T94+T95, "")</f>
        <v/>
      </c>
      <c r="Z96" s="1624"/>
      <c r="AA96" s="1624"/>
      <c r="AB96" s="1624"/>
      <c r="AC96" s="1624"/>
      <c r="AD96" s="1624"/>
      <c r="AE96" s="1624"/>
      <c r="AF96" s="1624"/>
      <c r="AG96" s="1624"/>
      <c r="AH96" s="1624"/>
      <c r="AI96" s="1624"/>
      <c r="AJ96" s="1624"/>
      <c r="AK96" s="1624"/>
      <c r="AL96" s="1624"/>
    </row>
    <row r="97" spans="1:38" s="102" customFormat="1" ht="11.25">
      <c r="D97" s="106"/>
      <c r="E97" s="107"/>
      <c r="F97" s="107" t="s">
        <v>493</v>
      </c>
      <c r="G97" s="113" t="s">
        <v>494</v>
      </c>
      <c r="H97" s="113"/>
      <c r="I97" s="113"/>
      <c r="J97" s="387"/>
      <c r="K97" s="261"/>
      <c r="L97" s="1588"/>
      <c r="M97" s="1589"/>
      <c r="N97" s="262"/>
      <c r="O97" s="1349">
        <f t="shared" ref="O97:T97" si="11">IF(ISNUMBER(O96), O96*O87, "")</f>
        <v>539.43179882745608</v>
      </c>
      <c r="P97" s="1363">
        <f t="shared" si="11"/>
        <v>641.91257898048002</v>
      </c>
      <c r="Q97" s="1349">
        <f t="shared" si="11"/>
        <v>1210.6246007088</v>
      </c>
      <c r="R97" s="1363" t="str">
        <f t="shared" si="11"/>
        <v/>
      </c>
      <c r="S97" s="1349">
        <f t="shared" si="11"/>
        <v>702.7253496207361</v>
      </c>
      <c r="T97" s="1620" t="str">
        <f t="shared" si="11"/>
        <v/>
      </c>
      <c r="Z97" s="1624"/>
      <c r="AA97" s="1624"/>
      <c r="AB97" s="1624"/>
      <c r="AC97" s="1624"/>
      <c r="AD97" s="1624"/>
      <c r="AE97" s="1624"/>
      <c r="AF97" s="1624"/>
      <c r="AG97" s="1624"/>
      <c r="AH97" s="1624"/>
      <c r="AI97" s="1624"/>
      <c r="AJ97" s="1624"/>
      <c r="AK97" s="1624"/>
      <c r="AL97" s="1624"/>
    </row>
    <row r="98" spans="1:38" s="102" customFormat="1" ht="11.25">
      <c r="D98" s="431"/>
      <c r="E98" s="130" t="s">
        <v>774</v>
      </c>
      <c r="F98" s="130"/>
      <c r="G98" s="130"/>
      <c r="H98" s="130"/>
      <c r="I98" s="130"/>
      <c r="J98" s="184"/>
      <c r="K98" s="185"/>
      <c r="L98" s="1355"/>
      <c r="M98" s="1340"/>
      <c r="N98" s="186"/>
      <c r="O98" s="1340"/>
      <c r="P98" s="1355"/>
      <c r="Q98" s="1340"/>
      <c r="R98" s="1355"/>
      <c r="S98" s="1340"/>
      <c r="T98" s="1464"/>
      <c r="Z98" s="1624"/>
      <c r="AA98" s="1624"/>
      <c r="AB98" s="1624"/>
      <c r="AC98" s="1624"/>
      <c r="AD98" s="1624"/>
      <c r="AE98" s="1624"/>
      <c r="AF98" s="1624"/>
      <c r="AG98" s="1624"/>
      <c r="AH98" s="1624"/>
      <c r="AI98" s="1624"/>
      <c r="AJ98" s="1624"/>
      <c r="AK98" s="1624"/>
      <c r="AL98" s="1624"/>
    </row>
    <row r="99" spans="1:38" s="102" customFormat="1" ht="11.25">
      <c r="A99" s="132"/>
      <c r="B99" s="132"/>
      <c r="C99" s="132"/>
      <c r="D99" s="429"/>
      <c r="E99" s="435"/>
      <c r="F99" s="108" t="s">
        <v>84</v>
      </c>
      <c r="G99" s="430" t="s">
        <v>100</v>
      </c>
      <c r="H99" s="430"/>
      <c r="I99" s="430"/>
      <c r="J99" s="387"/>
      <c r="K99" s="261"/>
      <c r="L99" s="1588"/>
      <c r="M99" s="1589"/>
      <c r="N99" s="262"/>
      <c r="O99" s="1621">
        <v>316.41000000000003</v>
      </c>
      <c r="P99" s="1618">
        <v>305.45999999999998</v>
      </c>
      <c r="Q99" s="1616"/>
      <c r="R99" s="1618">
        <v>474.03</v>
      </c>
      <c r="S99" s="1621">
        <v>529.30999999999995</v>
      </c>
      <c r="T99" s="1619">
        <v>1081.06</v>
      </c>
      <c r="W99" s="132"/>
      <c r="X99" s="132"/>
      <c r="Y99" s="132"/>
      <c r="Z99" s="1628"/>
      <c r="AA99" s="1624"/>
      <c r="AB99" s="1624"/>
      <c r="AC99" s="1624"/>
      <c r="AD99" s="1624"/>
      <c r="AE99" s="1624"/>
      <c r="AF99" s="1624"/>
      <c r="AG99" s="1624"/>
      <c r="AH99" s="1624"/>
      <c r="AI99" s="1624"/>
      <c r="AJ99" s="1624"/>
      <c r="AK99" s="1624"/>
      <c r="AL99" s="1624"/>
    </row>
    <row r="100" spans="1:38" s="102" customFormat="1" ht="11.25">
      <c r="A100" s="132"/>
      <c r="B100" s="132"/>
      <c r="C100" s="132"/>
      <c r="D100" s="429"/>
      <c r="E100" s="435"/>
      <c r="F100" s="108" t="s">
        <v>85</v>
      </c>
      <c r="G100" s="430" t="s">
        <v>100</v>
      </c>
      <c r="H100" s="430"/>
      <c r="I100" s="430"/>
      <c r="J100" s="387"/>
      <c r="K100" s="261"/>
      <c r="L100" s="1588"/>
      <c r="M100" s="1589"/>
      <c r="N100" s="262"/>
      <c r="O100" s="1621">
        <v>164.06</v>
      </c>
      <c r="P100" s="1618">
        <v>164.06</v>
      </c>
      <c r="Q100" s="1616"/>
      <c r="R100" s="1618">
        <v>164.06</v>
      </c>
      <c r="S100" s="1621">
        <v>164.06</v>
      </c>
      <c r="T100" s="1619">
        <v>164.06</v>
      </c>
      <c r="W100" s="132"/>
      <c r="X100" s="132"/>
      <c r="Y100" s="132"/>
      <c r="Z100" s="1628"/>
      <c r="AA100" s="1624"/>
      <c r="AB100" s="1624"/>
      <c r="AC100" s="1624"/>
      <c r="AD100" s="1624"/>
      <c r="AE100" s="1624"/>
      <c r="AF100" s="1624"/>
      <c r="AG100" s="1624"/>
      <c r="AH100" s="1624"/>
      <c r="AI100" s="1624"/>
      <c r="AJ100" s="1624"/>
      <c r="AK100" s="1624"/>
      <c r="AL100" s="1624"/>
    </row>
    <row r="101" spans="1:38" s="102" customFormat="1" ht="11.25">
      <c r="D101" s="106"/>
      <c r="E101" s="107"/>
      <c r="F101" s="109" t="s">
        <v>935</v>
      </c>
      <c r="G101" s="430" t="s">
        <v>100</v>
      </c>
      <c r="H101" s="430"/>
      <c r="I101" s="430"/>
      <c r="J101" s="409"/>
      <c r="K101" s="406"/>
      <c r="L101" s="1588"/>
      <c r="M101" s="1589"/>
      <c r="N101" s="407"/>
      <c r="O101" s="1616">
        <f>O99+O100</f>
        <v>480.47</v>
      </c>
      <c r="P101" s="1617">
        <f>P99+P100</f>
        <v>469.52</v>
      </c>
      <c r="Q101" s="1616"/>
      <c r="R101" s="1617">
        <f>R99+R100</f>
        <v>638.08999999999992</v>
      </c>
      <c r="S101" s="1616">
        <f>S99+S100</f>
        <v>693.36999999999989</v>
      </c>
      <c r="T101" s="1622">
        <f>T99+T100</f>
        <v>1245.1199999999999</v>
      </c>
      <c r="Z101" s="1624"/>
      <c r="AA101" s="1624"/>
      <c r="AB101" s="1624"/>
      <c r="AC101" s="1624"/>
      <c r="AD101" s="1624"/>
      <c r="AE101" s="1624"/>
      <c r="AF101" s="1624"/>
      <c r="AG101" s="1624"/>
      <c r="AH101" s="1624"/>
      <c r="AI101" s="1624"/>
      <c r="AJ101" s="1624"/>
      <c r="AK101" s="1624"/>
      <c r="AL101" s="1624"/>
    </row>
    <row r="102" spans="1:38" s="102" customFormat="1" ht="11.25">
      <c r="D102" s="120"/>
      <c r="E102" s="121"/>
      <c r="F102" s="121" t="s">
        <v>493</v>
      </c>
      <c r="G102" s="347" t="s">
        <v>494</v>
      </c>
      <c r="H102" s="113"/>
      <c r="I102" s="113"/>
      <c r="J102" s="387"/>
      <c r="K102" s="261"/>
      <c r="L102" s="1588"/>
      <c r="M102" s="1589"/>
      <c r="N102" s="262"/>
      <c r="O102" s="1349">
        <f>IF(ISNUMBER(O101), O101*O87, "")</f>
        <v>480.47</v>
      </c>
      <c r="P102" s="1363">
        <f>IF(ISNUMBER(P101), P101*P87, "")</f>
        <v>469.52</v>
      </c>
      <c r="Q102" s="1349"/>
      <c r="R102" s="1363">
        <f>IF(ISNUMBER(R101), R101*R87, "")</f>
        <v>638.08999999999992</v>
      </c>
      <c r="S102" s="1349">
        <f>IF(ISNUMBER(S101), S101*S87, "")</f>
        <v>693.36999999999989</v>
      </c>
      <c r="T102" s="1620">
        <f>IF(ISNUMBER(T101), T101*T87, "")</f>
        <v>1245.1199999999999</v>
      </c>
      <c r="Z102" s="1624"/>
      <c r="AA102" s="1624"/>
      <c r="AB102" s="1624"/>
      <c r="AC102" s="1624"/>
      <c r="AD102" s="1624"/>
      <c r="AE102" s="1624"/>
      <c r="AF102" s="1624"/>
      <c r="AG102" s="1624"/>
      <c r="AH102" s="1624"/>
      <c r="AI102" s="1624"/>
      <c r="AJ102" s="1624"/>
      <c r="AK102" s="1624"/>
      <c r="AL102" s="1624"/>
    </row>
    <row r="103" spans="1:38" s="127" customFormat="1">
      <c r="B103" s="102"/>
      <c r="C103" s="102"/>
      <c r="D103" s="2300" t="s">
        <v>480</v>
      </c>
      <c r="E103" s="2301"/>
      <c r="F103" s="2301"/>
      <c r="G103" s="2301"/>
      <c r="H103" s="1065"/>
      <c r="I103" s="1065"/>
      <c r="J103" s="184"/>
      <c r="K103" s="185"/>
      <c r="L103" s="1566"/>
      <c r="M103" s="1567"/>
      <c r="N103" s="186"/>
      <c r="O103" s="1340"/>
      <c r="P103" s="1355"/>
      <c r="Q103" s="1340"/>
      <c r="R103" s="1355"/>
      <c r="S103" s="1340"/>
      <c r="T103" s="1464"/>
      <c r="U103" s="102"/>
      <c r="V103" s="102"/>
      <c r="Z103" s="1627"/>
      <c r="AA103" s="1627"/>
      <c r="AB103" s="1627"/>
      <c r="AC103" s="1627"/>
      <c r="AD103" s="1627"/>
      <c r="AE103" s="1627"/>
      <c r="AF103" s="1627"/>
      <c r="AG103" s="1627"/>
      <c r="AH103" s="1627"/>
      <c r="AI103" s="1627"/>
      <c r="AJ103" s="1627"/>
      <c r="AK103" s="1627"/>
      <c r="AL103" s="1627"/>
    </row>
    <row r="104" spans="1:38" s="127" customFormat="1">
      <c r="A104" s="102"/>
      <c r="B104" s="102"/>
      <c r="C104" s="102"/>
      <c r="D104" s="445"/>
      <c r="E104" s="432" t="s">
        <v>774</v>
      </c>
      <c r="F104" s="432"/>
      <c r="G104" s="432"/>
      <c r="H104" s="130"/>
      <c r="I104" s="130"/>
      <c r="J104" s="184"/>
      <c r="K104" s="185"/>
      <c r="L104" s="1566"/>
      <c r="M104" s="1567"/>
      <c r="N104" s="186"/>
      <c r="O104" s="1340"/>
      <c r="P104" s="1355"/>
      <c r="Q104" s="1340"/>
      <c r="R104" s="1355"/>
      <c r="S104" s="1340"/>
      <c r="T104" s="1464"/>
      <c r="U104" s="102"/>
      <c r="V104" s="102"/>
      <c r="W104" s="102"/>
      <c r="X104" s="102"/>
      <c r="Y104" s="102"/>
      <c r="Z104" s="1624"/>
      <c r="AA104" s="1627"/>
      <c r="AB104" s="1627"/>
      <c r="AC104" s="1627"/>
      <c r="AD104" s="1627"/>
      <c r="AE104" s="1627"/>
      <c r="AF104" s="1627"/>
      <c r="AG104" s="1627"/>
      <c r="AH104" s="1627"/>
      <c r="AI104" s="1627"/>
      <c r="AJ104" s="1627"/>
      <c r="AK104" s="1627"/>
      <c r="AL104" s="1627"/>
    </row>
    <row r="105" spans="1:38" s="127" customFormat="1">
      <c r="A105" s="102"/>
      <c r="B105" s="102"/>
      <c r="C105" s="102"/>
      <c r="D105" s="431"/>
      <c r="E105" s="107"/>
      <c r="F105" s="109" t="s">
        <v>902</v>
      </c>
      <c r="G105" s="113" t="s">
        <v>297</v>
      </c>
      <c r="H105" s="113"/>
      <c r="I105" s="113"/>
      <c r="J105" s="409"/>
      <c r="K105" s="406"/>
      <c r="L105" s="1588"/>
      <c r="M105" s="1589"/>
      <c r="N105" s="407"/>
      <c r="O105" s="1343">
        <v>13</v>
      </c>
      <c r="P105" s="1364">
        <v>13</v>
      </c>
      <c r="Q105" s="1343">
        <v>20</v>
      </c>
      <c r="R105" s="1364">
        <v>11</v>
      </c>
      <c r="S105" s="1343">
        <v>11</v>
      </c>
      <c r="T105" s="1485">
        <v>20</v>
      </c>
      <c r="U105" s="102"/>
      <c r="V105" s="102"/>
      <c r="W105" s="102"/>
      <c r="X105" s="102"/>
      <c r="Y105" s="102"/>
      <c r="Z105" s="1624"/>
      <c r="AA105" s="1627"/>
      <c r="AB105" s="1627"/>
      <c r="AC105" s="1627"/>
      <c r="AD105" s="1627"/>
      <c r="AE105" s="1627"/>
      <c r="AF105" s="1627"/>
      <c r="AG105" s="1627"/>
      <c r="AH105" s="1627"/>
      <c r="AI105" s="1627"/>
      <c r="AJ105" s="1627"/>
      <c r="AK105" s="1627"/>
      <c r="AL105" s="1627"/>
    </row>
    <row r="106" spans="1:38" s="102" customFormat="1" ht="11.25">
      <c r="D106" s="431"/>
      <c r="E106" s="130" t="s">
        <v>1031</v>
      </c>
      <c r="F106" s="130"/>
      <c r="G106" s="130"/>
      <c r="H106" s="130"/>
      <c r="I106" s="130"/>
      <c r="J106" s="184"/>
      <c r="K106" s="185"/>
      <c r="L106" s="1355"/>
      <c r="M106" s="1340"/>
      <c r="N106" s="186"/>
      <c r="O106" s="1340"/>
      <c r="P106" s="1355"/>
      <c r="Q106" s="1340"/>
      <c r="R106" s="1355"/>
      <c r="S106" s="1340"/>
      <c r="T106" s="1464"/>
      <c r="Z106" s="1624"/>
      <c r="AA106" s="1624"/>
      <c r="AB106" s="1624"/>
      <c r="AC106" s="1624"/>
      <c r="AD106" s="1624"/>
      <c r="AE106" s="1624"/>
      <c r="AF106" s="1624"/>
      <c r="AG106" s="1624"/>
      <c r="AH106" s="1624"/>
      <c r="AI106" s="1624"/>
      <c r="AJ106" s="1624"/>
      <c r="AK106" s="1624"/>
      <c r="AL106" s="1624"/>
    </row>
    <row r="107" spans="1:38" s="132" customFormat="1" ht="11.25">
      <c r="A107" s="102"/>
      <c r="B107" s="102"/>
      <c r="C107" s="102"/>
      <c r="D107" s="120"/>
      <c r="E107" s="121"/>
      <c r="F107" s="125" t="s">
        <v>902</v>
      </c>
      <c r="G107" s="347" t="s">
        <v>297</v>
      </c>
      <c r="H107" s="347"/>
      <c r="I107" s="347"/>
      <c r="J107" s="408"/>
      <c r="K107" s="355"/>
      <c r="L107" s="1590"/>
      <c r="M107" s="1591"/>
      <c r="N107" s="356"/>
      <c r="O107" s="1486">
        <v>11</v>
      </c>
      <c r="P107" s="1365">
        <v>11</v>
      </c>
      <c r="Q107" s="1486">
        <v>20</v>
      </c>
      <c r="R107" s="1365">
        <v>10</v>
      </c>
      <c r="S107" s="1486">
        <v>10</v>
      </c>
      <c r="T107" s="1487">
        <v>20</v>
      </c>
      <c r="U107" s="102"/>
      <c r="V107" s="102"/>
      <c r="W107" s="102"/>
      <c r="X107" s="102"/>
      <c r="Y107" s="102"/>
      <c r="Z107" s="1624"/>
      <c r="AA107" s="1628"/>
      <c r="AB107" s="1628"/>
      <c r="AC107" s="1628"/>
      <c r="AD107" s="1628"/>
      <c r="AE107" s="1628"/>
      <c r="AF107" s="1628"/>
      <c r="AG107" s="1628"/>
      <c r="AH107" s="1628"/>
      <c r="AI107" s="1628"/>
      <c r="AJ107" s="1628"/>
      <c r="AK107" s="1628"/>
      <c r="AL107" s="1628"/>
    </row>
    <row r="108" spans="1:38" s="102" customFormat="1">
      <c r="A108" s="101"/>
      <c r="B108" s="101"/>
      <c r="C108" s="101"/>
      <c r="D108" s="116" t="s">
        <v>1174</v>
      </c>
      <c r="E108" s="101"/>
      <c r="F108" s="101"/>
      <c r="G108" s="99"/>
      <c r="H108" s="99"/>
      <c r="I108" s="99"/>
      <c r="J108" s="1067"/>
      <c r="K108" s="1067"/>
      <c r="L108" s="1067"/>
      <c r="M108" s="1067"/>
      <c r="N108" s="1067"/>
      <c r="O108" s="1067"/>
      <c r="P108" s="116"/>
      <c r="Q108" s="116"/>
      <c r="R108" s="116"/>
      <c r="S108" s="116"/>
      <c r="T108" s="116"/>
      <c r="W108" s="101"/>
      <c r="X108" s="101"/>
      <c r="Y108" s="101"/>
      <c r="Z108" s="1625"/>
      <c r="AA108" s="1624"/>
      <c r="AB108" s="1624"/>
      <c r="AC108" s="1624"/>
      <c r="AD108" s="1624"/>
      <c r="AE108" s="1624"/>
      <c r="AF108" s="1624"/>
      <c r="AG108" s="1624"/>
      <c r="AH108" s="1624"/>
      <c r="AI108" s="1624"/>
      <c r="AJ108" s="1624"/>
      <c r="AK108" s="1624"/>
      <c r="AL108" s="1624"/>
    </row>
    <row r="109" spans="1:38" s="102" customFormat="1">
      <c r="A109" s="101"/>
      <c r="B109" s="101"/>
      <c r="C109" s="101"/>
      <c r="D109" s="131" t="s">
        <v>409</v>
      </c>
      <c r="E109" s="101"/>
      <c r="F109" s="101"/>
      <c r="G109" s="99"/>
      <c r="H109" s="99"/>
      <c r="I109" s="99"/>
      <c r="J109" s="1067"/>
      <c r="K109" s="1067"/>
      <c r="L109" s="1067"/>
      <c r="M109" s="1067"/>
      <c r="N109" s="1067"/>
      <c r="O109" s="1067"/>
      <c r="P109" s="116"/>
      <c r="Q109" s="116"/>
      <c r="R109" s="116"/>
      <c r="S109" s="116"/>
      <c r="T109" s="116"/>
      <c r="W109" s="101"/>
      <c r="X109" s="101"/>
      <c r="Y109" s="101"/>
      <c r="Z109" s="1625"/>
      <c r="AA109" s="1624"/>
      <c r="AB109" s="1624"/>
      <c r="AC109" s="1624"/>
      <c r="AD109" s="1624"/>
      <c r="AE109" s="1624"/>
      <c r="AF109" s="1624"/>
      <c r="AG109" s="1624"/>
      <c r="AH109" s="1624"/>
      <c r="AI109" s="1624"/>
      <c r="AJ109" s="1624"/>
      <c r="AK109" s="1624"/>
      <c r="AL109" s="1624"/>
    </row>
    <row r="110" spans="1:38" s="102" customFormat="1">
      <c r="A110" s="101"/>
      <c r="B110" s="101"/>
      <c r="C110" s="101"/>
      <c r="D110" s="116" t="s">
        <v>767</v>
      </c>
      <c r="E110" s="101"/>
      <c r="F110" s="101"/>
      <c r="G110" s="99"/>
      <c r="H110" s="99"/>
      <c r="I110" s="99"/>
      <c r="J110" s="1067"/>
      <c r="K110" s="1067"/>
      <c r="L110" s="1067"/>
      <c r="M110" s="1067"/>
      <c r="N110" s="1067"/>
      <c r="O110" s="1067"/>
      <c r="P110" s="116"/>
      <c r="Q110" s="116"/>
      <c r="R110" s="116"/>
      <c r="S110" s="116"/>
      <c r="T110" s="116"/>
      <c r="W110" s="101"/>
      <c r="X110" s="101"/>
      <c r="Y110" s="101"/>
      <c r="Z110" s="1625"/>
      <c r="AA110" s="1624"/>
      <c r="AB110" s="1624"/>
      <c r="AC110" s="1624"/>
      <c r="AD110" s="1624"/>
      <c r="AE110" s="1624"/>
      <c r="AF110" s="1624"/>
      <c r="AG110" s="1624"/>
      <c r="AH110" s="1624"/>
      <c r="AI110" s="1624"/>
      <c r="AJ110" s="1624"/>
      <c r="AK110" s="1624"/>
      <c r="AL110" s="1624"/>
    </row>
    <row r="111" spans="1:38" s="102" customFormat="1">
      <c r="A111" s="101"/>
      <c r="B111" s="101"/>
      <c r="C111" s="101"/>
      <c r="D111" s="131" t="s">
        <v>35</v>
      </c>
      <c r="E111" s="101"/>
      <c r="F111" s="101"/>
      <c r="G111" s="99"/>
      <c r="H111" s="99"/>
      <c r="I111" s="99"/>
      <c r="J111" s="1067"/>
      <c r="K111" s="1067"/>
      <c r="L111" s="1067"/>
      <c r="M111" s="1067"/>
      <c r="N111" s="1067"/>
      <c r="O111" s="1067"/>
      <c r="P111" s="116"/>
      <c r="Q111" s="116"/>
      <c r="R111" s="116"/>
      <c r="S111" s="116"/>
      <c r="T111" s="116"/>
      <c r="W111" s="101"/>
      <c r="X111" s="101"/>
      <c r="Y111" s="101"/>
      <c r="Z111" s="1625"/>
      <c r="AA111" s="1624"/>
      <c r="AB111" s="1624"/>
      <c r="AC111" s="1624"/>
      <c r="AD111" s="1624"/>
      <c r="AE111" s="1624"/>
      <c r="AF111" s="1624"/>
      <c r="AG111" s="1624"/>
      <c r="AH111" s="1624"/>
      <c r="AI111" s="1624"/>
      <c r="AJ111" s="1624"/>
      <c r="AK111" s="1624"/>
      <c r="AL111" s="1624"/>
    </row>
    <row r="112" spans="1:38" s="102" customFormat="1" ht="11.25">
      <c r="A112" s="116"/>
      <c r="B112" s="116"/>
      <c r="C112" s="116"/>
      <c r="D112" s="116" t="s">
        <v>1166</v>
      </c>
      <c r="E112" s="116"/>
      <c r="F112" s="116"/>
      <c r="G112" s="118"/>
      <c r="H112" s="118"/>
      <c r="I112" s="118"/>
      <c r="J112" s="1067"/>
      <c r="K112" s="1067"/>
      <c r="L112" s="1067"/>
      <c r="M112" s="1067"/>
      <c r="N112" s="1067"/>
      <c r="O112" s="1067"/>
      <c r="P112" s="116"/>
      <c r="Q112" s="116"/>
      <c r="R112" s="116"/>
      <c r="S112" s="116"/>
      <c r="T112" s="116"/>
      <c r="W112" s="116"/>
      <c r="X112" s="116"/>
      <c r="Y112" s="116"/>
      <c r="Z112" s="1626"/>
      <c r="AA112" s="1624"/>
      <c r="AB112" s="1624"/>
      <c r="AC112" s="1624"/>
      <c r="AD112" s="1624"/>
      <c r="AE112" s="1624"/>
      <c r="AF112" s="1624"/>
      <c r="AG112" s="1624"/>
      <c r="AH112" s="1624"/>
      <c r="AI112" s="1624"/>
      <c r="AJ112" s="1624"/>
      <c r="AK112" s="1624"/>
      <c r="AL112" s="1624"/>
    </row>
  </sheetData>
  <mergeCells count="12">
    <mergeCell ref="D103:G103"/>
    <mergeCell ref="C4:G4"/>
    <mergeCell ref="D5:G5"/>
    <mergeCell ref="A1:F1"/>
    <mergeCell ref="D85:G85"/>
    <mergeCell ref="D29:G29"/>
    <mergeCell ref="D78:G78"/>
    <mergeCell ref="B2:G2"/>
    <mergeCell ref="C28:F28"/>
    <mergeCell ref="D12:G12"/>
    <mergeCell ref="D16:G16"/>
    <mergeCell ref="D38:G38"/>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7">
    <tabColor theme="0" tint="-0.249977111117893"/>
  </sheetPr>
  <dimension ref="A1:AR469"/>
  <sheetViews>
    <sheetView zoomScale="130" zoomScaleNormal="130" workbookViewId="0">
      <selection activeCell="AF116" sqref="AF116"/>
    </sheetView>
  </sheetViews>
  <sheetFormatPr defaultRowHeight="11.25"/>
  <cols>
    <col min="1" max="1" width="9.140625" style="1085"/>
    <col min="2" max="2" width="25.28515625" style="1085" customWidth="1"/>
    <col min="3" max="3" width="23.140625" style="1085" bestFit="1" customWidth="1"/>
    <col min="4" max="4" width="1.85546875" style="1085" bestFit="1" customWidth="1"/>
    <col min="5" max="5" width="10" style="1085" bestFit="1" customWidth="1"/>
    <col min="6" max="6" width="21.28515625" style="1085" bestFit="1" customWidth="1"/>
    <col min="7" max="7" width="1.85546875" style="1085" bestFit="1" customWidth="1"/>
    <col min="8" max="8" width="10" style="1085" bestFit="1" customWidth="1"/>
    <col min="9" max="9" width="8.5703125" style="1085" customWidth="1"/>
    <col min="10" max="10" width="8.7109375" style="1085" customWidth="1"/>
    <col min="11" max="11" width="6.7109375" style="1085" bestFit="1" customWidth="1"/>
    <col min="12" max="12" width="2.42578125" style="1085" customWidth="1"/>
    <col min="13" max="16" width="8.42578125" style="1085" customWidth="1"/>
    <col min="17" max="24" width="9.140625" style="1085"/>
    <col min="25" max="25" width="21" style="1085" customWidth="1"/>
    <col min="26" max="26" width="34.140625" style="1085" customWidth="1"/>
    <col min="27" max="27" width="16.5703125" style="1085" customWidth="1"/>
    <col min="28" max="28" width="19.5703125" style="1085" customWidth="1"/>
    <col min="29" max="29" width="10" style="1085" bestFit="1" customWidth="1"/>
    <col min="30" max="16384" width="9.140625" style="1085"/>
  </cols>
  <sheetData>
    <row r="1" spans="1:39" ht="18">
      <c r="B1" s="2329" t="s">
        <v>4852</v>
      </c>
      <c r="C1" s="2329"/>
      <c r="D1" s="2329"/>
      <c r="E1" s="2329"/>
      <c r="F1" s="2329"/>
      <c r="G1" s="2329"/>
      <c r="H1" s="2329"/>
      <c r="I1" s="2329"/>
      <c r="J1" s="2329"/>
      <c r="K1" s="2329"/>
      <c r="R1" s="1224"/>
      <c r="U1" s="127"/>
      <c r="V1" s="2305" t="s">
        <v>1149</v>
      </c>
      <c r="W1" s="2305"/>
      <c r="X1" s="2305"/>
      <c r="Y1" s="2305"/>
      <c r="Z1" s="2305"/>
      <c r="AA1" s="2305"/>
      <c r="AB1" s="1066"/>
      <c r="AC1" s="1066"/>
      <c r="AD1" s="150"/>
      <c r="AE1" s="2337"/>
      <c r="AF1" s="2337"/>
      <c r="AG1" s="2337"/>
      <c r="AH1" s="2337"/>
      <c r="AI1" s="102"/>
      <c r="AJ1" s="102"/>
      <c r="AK1" s="102"/>
      <c r="AL1" s="102"/>
      <c r="AM1" s="127"/>
    </row>
    <row r="2" spans="1:39" ht="11.25" customHeight="1">
      <c r="B2" s="1090" t="s">
        <v>4807</v>
      </c>
      <c r="C2" s="2325" t="s">
        <v>4808</v>
      </c>
      <c r="D2" s="2330"/>
      <c r="E2" s="2327"/>
      <c r="F2" s="2325" t="s">
        <v>4809</v>
      </c>
      <c r="G2" s="2330"/>
      <c r="H2" s="2327"/>
      <c r="I2" s="2325" t="s">
        <v>4840</v>
      </c>
      <c r="J2" s="2327" t="s">
        <v>4841</v>
      </c>
      <c r="K2" s="1111" t="s">
        <v>4849</v>
      </c>
      <c r="M2" s="2319" t="s">
        <v>4854</v>
      </c>
      <c r="N2" s="2320"/>
      <c r="O2" s="2319" t="s">
        <v>4855</v>
      </c>
      <c r="P2" s="2320"/>
      <c r="Q2" s="2319" t="s">
        <v>6353</v>
      </c>
      <c r="R2" s="2320"/>
      <c r="U2" s="127"/>
      <c r="V2" s="100"/>
      <c r="W2" s="127"/>
      <c r="X2" s="127"/>
      <c r="Y2" s="101"/>
      <c r="Z2" s="101"/>
      <c r="AA2" s="1067"/>
      <c r="AB2" s="1067"/>
      <c r="AC2" s="1067"/>
      <c r="AD2" s="116"/>
      <c r="AE2" s="116"/>
      <c r="AF2" s="1067"/>
      <c r="AG2" s="1067"/>
      <c r="AH2" s="102"/>
      <c r="AI2" s="102"/>
      <c r="AJ2" s="102"/>
      <c r="AK2" s="102"/>
      <c r="AL2" s="102"/>
      <c r="AM2" s="127"/>
    </row>
    <row r="3" spans="1:39" ht="22.5">
      <c r="B3" s="1086"/>
      <c r="C3" s="2321" t="s">
        <v>799</v>
      </c>
      <c r="D3" s="2322"/>
      <c r="E3" s="2323"/>
      <c r="F3" s="2321" t="s">
        <v>800</v>
      </c>
      <c r="G3" s="2322"/>
      <c r="H3" s="2323"/>
      <c r="I3" s="2326"/>
      <c r="J3" s="2328"/>
      <c r="K3" s="1091"/>
      <c r="M3" s="1099" t="s">
        <v>4853</v>
      </c>
      <c r="N3" s="1098" t="s">
        <v>1276</v>
      </c>
      <c r="O3" s="1099" t="s">
        <v>4853</v>
      </c>
      <c r="P3" s="1098" t="s">
        <v>1276</v>
      </c>
      <c r="Q3" s="1099" t="s">
        <v>4853</v>
      </c>
      <c r="R3" s="1098" t="s">
        <v>1276</v>
      </c>
      <c r="U3" s="127"/>
      <c r="V3" s="100"/>
      <c r="W3" s="2302" t="s">
        <v>422</v>
      </c>
      <c r="X3" s="2303"/>
      <c r="Y3" s="2303"/>
      <c r="Z3" s="2303"/>
      <c r="AA3" s="2303"/>
      <c r="AB3" s="116"/>
      <c r="AC3" s="154"/>
      <c r="AD3" s="102"/>
      <c r="AE3" s="116"/>
      <c r="AF3" s="1067"/>
      <c r="AG3" s="1067"/>
      <c r="AH3" s="102"/>
      <c r="AI3" s="102"/>
      <c r="AJ3" s="102"/>
      <c r="AK3" s="102"/>
      <c r="AL3" s="102"/>
      <c r="AM3" s="127"/>
    </row>
    <row r="4" spans="1:39" ht="15" customHeight="1">
      <c r="B4" s="1105" t="s">
        <v>1158</v>
      </c>
      <c r="C4" s="1104">
        <v>434</v>
      </c>
      <c r="D4" s="1103" t="s">
        <v>4842</v>
      </c>
      <c r="E4" s="1102">
        <f>C4</f>
        <v>434</v>
      </c>
      <c r="F4" s="1104"/>
      <c r="G4" s="1103" t="s">
        <v>4842</v>
      </c>
      <c r="H4" s="1103"/>
      <c r="I4" s="1101">
        <v>1</v>
      </c>
      <c r="J4" s="1100">
        <v>0</v>
      </c>
      <c r="K4" s="1105"/>
      <c r="M4" s="1115">
        <f>I4*$E4</f>
        <v>434</v>
      </c>
      <c r="N4" s="1115">
        <f>J4*$E4</f>
        <v>0</v>
      </c>
      <c r="O4" s="1101">
        <f>I4*$H4</f>
        <v>0</v>
      </c>
      <c r="P4" s="1101">
        <f>J4*$H4</f>
        <v>0</v>
      </c>
      <c r="U4" s="127"/>
      <c r="V4" s="1068"/>
      <c r="W4" s="127"/>
      <c r="X4" s="2300" t="s">
        <v>320</v>
      </c>
      <c r="Y4" s="2301"/>
      <c r="Z4" s="2301"/>
      <c r="AA4" s="2301"/>
      <c r="AB4" s="151"/>
      <c r="AC4" s="154"/>
      <c r="AD4" s="102"/>
      <c r="AE4" s="1067"/>
      <c r="AF4" s="1067"/>
      <c r="AG4" s="1067"/>
      <c r="AH4" s="102"/>
      <c r="AI4" s="102"/>
      <c r="AJ4" s="102"/>
      <c r="AK4" s="102"/>
      <c r="AL4" s="102"/>
      <c r="AM4" s="127"/>
    </row>
    <row r="5" spans="1:39" ht="15" customHeight="1">
      <c r="B5" s="1105" t="s">
        <v>4810</v>
      </c>
      <c r="C5" s="1104" t="s">
        <v>4818</v>
      </c>
      <c r="D5" s="1103" t="s">
        <v>4842</v>
      </c>
      <c r="E5" s="1102">
        <f>38.8 + 12.9*N_br</f>
        <v>77.5</v>
      </c>
      <c r="F5" s="1104"/>
      <c r="G5" s="1103" t="s">
        <v>4842</v>
      </c>
      <c r="H5" s="1103"/>
      <c r="I5" s="1101">
        <v>0.8</v>
      </c>
      <c r="J5" s="1100">
        <v>0</v>
      </c>
      <c r="K5" s="1105"/>
      <c r="M5" s="1115">
        <f t="shared" ref="M5:M25" si="0">I5*$E5</f>
        <v>62</v>
      </c>
      <c r="N5" s="1097">
        <f t="shared" ref="N5:N25" si="1">J5*$E5</f>
        <v>0</v>
      </c>
      <c r="O5" s="1101">
        <f t="shared" ref="O5:O25" si="2">I5*$H5</f>
        <v>0</v>
      </c>
      <c r="P5" s="1100">
        <f t="shared" ref="P5:P25" si="3">J5*$H5</f>
        <v>0</v>
      </c>
      <c r="U5" s="102"/>
      <c r="V5" s="102"/>
      <c r="W5" s="102"/>
      <c r="X5" s="103"/>
      <c r="Y5" s="104"/>
      <c r="Z5" s="104" t="s">
        <v>384</v>
      </c>
      <c r="AA5" s="105" t="s">
        <v>190</v>
      </c>
      <c r="AB5" s="382" t="s">
        <v>1326</v>
      </c>
      <c r="AC5" s="154"/>
      <c r="AD5" s="102"/>
      <c r="AE5" s="154"/>
      <c r="AF5" s="154"/>
      <c r="AG5" s="154"/>
      <c r="AH5" s="102"/>
      <c r="AI5" s="102"/>
      <c r="AJ5" s="102"/>
      <c r="AK5" s="102"/>
      <c r="AL5" s="102"/>
      <c r="AM5" s="102"/>
    </row>
    <row r="6" spans="1:39" ht="15" customHeight="1">
      <c r="B6" s="1105" t="s">
        <v>4811</v>
      </c>
      <c r="C6" s="1104" t="s">
        <v>4819</v>
      </c>
      <c r="D6" s="1103" t="s">
        <v>4842</v>
      </c>
      <c r="E6" s="1102">
        <f>538.2 + 179.4 *N_br</f>
        <v>1076.4000000000001</v>
      </c>
      <c r="F6" s="1104"/>
      <c r="G6" s="1103" t="s">
        <v>4842</v>
      </c>
      <c r="H6" s="1103"/>
      <c r="I6" s="1101">
        <v>0.15</v>
      </c>
      <c r="J6" s="1100">
        <v>0.05</v>
      </c>
      <c r="K6" s="1105"/>
      <c r="M6" s="1115">
        <f t="shared" si="0"/>
        <v>161.46</v>
      </c>
      <c r="N6" s="1097">
        <f t="shared" si="1"/>
        <v>53.820000000000007</v>
      </c>
      <c r="O6" s="1101">
        <f t="shared" si="2"/>
        <v>0</v>
      </c>
      <c r="P6" s="1100">
        <f t="shared" si="3"/>
        <v>0</v>
      </c>
      <c r="U6" s="102"/>
      <c r="V6" s="102"/>
      <c r="W6" s="102"/>
      <c r="X6" s="106"/>
      <c r="Y6" s="107"/>
      <c r="Z6" s="108" t="s">
        <v>385</v>
      </c>
      <c r="AA6" s="109"/>
      <c r="AB6" s="357"/>
      <c r="AC6" s="154"/>
      <c r="AD6" s="102"/>
      <c r="AE6" s="152"/>
      <c r="AF6" s="152"/>
      <c r="AG6" s="152"/>
      <c r="AH6" s="102"/>
      <c r="AI6" s="102"/>
      <c r="AJ6" s="102"/>
      <c r="AK6" s="102"/>
      <c r="AL6" s="102"/>
      <c r="AM6" s="102"/>
    </row>
    <row r="7" spans="1:39" ht="9.75" customHeight="1">
      <c r="B7" s="2318" t="s">
        <v>4812</v>
      </c>
      <c r="C7" s="2317" t="s">
        <v>4820</v>
      </c>
      <c r="D7" s="2316" t="s">
        <v>4842</v>
      </c>
      <c r="E7" s="2315">
        <f>43 + 14.3 *N_br</f>
        <v>85.9</v>
      </c>
      <c r="F7" s="2317" t="s">
        <v>4826</v>
      </c>
      <c r="G7" s="2316" t="s">
        <v>4842</v>
      </c>
      <c r="H7" s="2315">
        <f>19.5 + 6.5 *N_br</f>
        <v>39</v>
      </c>
      <c r="I7" s="1110">
        <v>1</v>
      </c>
      <c r="J7" s="1109">
        <v>0</v>
      </c>
      <c r="K7" s="1088" t="s">
        <v>1151</v>
      </c>
      <c r="M7" s="1113">
        <f>I7*$E7</f>
        <v>85.9</v>
      </c>
      <c r="N7" s="1093">
        <f>J7*$E7</f>
        <v>0</v>
      </c>
      <c r="O7" s="1110">
        <f>I8*$H7</f>
        <v>3.9000000000000004</v>
      </c>
      <c r="P7" s="1109">
        <f>J8*$H7</f>
        <v>1.9500000000000002</v>
      </c>
      <c r="U7" s="102"/>
      <c r="V7" s="102"/>
      <c r="W7" s="102"/>
      <c r="X7" s="106"/>
      <c r="Y7" s="107"/>
      <c r="Z7" s="108" t="s">
        <v>296</v>
      </c>
      <c r="AA7" s="109"/>
      <c r="AB7" s="381" t="s">
        <v>475</v>
      </c>
      <c r="AC7" s="154" t="s">
        <v>321</v>
      </c>
      <c r="AD7" s="102"/>
      <c r="AE7" s="126" t="s">
        <v>321</v>
      </c>
      <c r="AF7" s="126"/>
      <c r="AG7" s="126"/>
      <c r="AH7" s="102"/>
      <c r="AI7" s="102"/>
      <c r="AJ7" s="102"/>
      <c r="AK7" s="102"/>
      <c r="AL7" s="102"/>
      <c r="AM7" s="102"/>
    </row>
    <row r="8" spans="1:39" ht="9.75" customHeight="1">
      <c r="B8" s="2318"/>
      <c r="C8" s="2317"/>
      <c r="D8" s="2316"/>
      <c r="E8" s="2315"/>
      <c r="F8" s="2317"/>
      <c r="G8" s="2316"/>
      <c r="H8" s="2315"/>
      <c r="I8" s="1108">
        <v>0.1</v>
      </c>
      <c r="J8" s="1107">
        <v>0.05</v>
      </c>
      <c r="K8" s="1089" t="s">
        <v>464</v>
      </c>
      <c r="M8" s="1116"/>
      <c r="N8" s="1096"/>
      <c r="O8" s="1108"/>
      <c r="P8" s="1107"/>
      <c r="U8" s="102"/>
      <c r="V8" s="102"/>
      <c r="W8" s="102"/>
      <c r="X8" s="106"/>
      <c r="Y8" s="107"/>
      <c r="Z8" s="108" t="s">
        <v>1303</v>
      </c>
      <c r="AA8" s="111" t="s">
        <v>1064</v>
      </c>
      <c r="AB8" s="383" t="b">
        <v>0</v>
      </c>
      <c r="AC8" s="154"/>
      <c r="AD8" s="102"/>
      <c r="AE8" s="126"/>
      <c r="AF8" s="126"/>
      <c r="AG8" s="126"/>
      <c r="AH8" s="102"/>
      <c r="AI8" s="102"/>
      <c r="AJ8" s="102"/>
      <c r="AK8" s="102"/>
      <c r="AL8" s="102"/>
      <c r="AM8" s="102"/>
    </row>
    <row r="9" spans="1:39" ht="15" customHeight="1">
      <c r="B9" s="1105" t="s">
        <v>4813</v>
      </c>
      <c r="C9" s="1104" t="s">
        <v>4821</v>
      </c>
      <c r="D9" s="1103" t="s">
        <v>4842</v>
      </c>
      <c r="E9" s="1102">
        <f>87.6 + 29.2 *N_br</f>
        <v>175.2</v>
      </c>
      <c r="F9" s="1104"/>
      <c r="G9" s="1103" t="s">
        <v>4842</v>
      </c>
      <c r="H9" s="1103"/>
      <c r="I9" s="1101">
        <v>0.6</v>
      </c>
      <c r="J9" s="1100">
        <v>0.15</v>
      </c>
      <c r="K9" s="1105"/>
      <c r="M9" s="1115">
        <f t="shared" si="0"/>
        <v>105.11999999999999</v>
      </c>
      <c r="N9" s="1097">
        <f t="shared" si="1"/>
        <v>26.279999999999998</v>
      </c>
      <c r="O9" s="1101">
        <f t="shared" si="2"/>
        <v>0</v>
      </c>
      <c r="P9" s="1100">
        <f t="shared" si="3"/>
        <v>0</v>
      </c>
      <c r="U9" s="102"/>
      <c r="V9" s="102"/>
      <c r="W9" s="102"/>
      <c r="X9" s="106"/>
      <c r="Y9" s="107"/>
      <c r="Z9" s="108" t="s">
        <v>355</v>
      </c>
      <c r="AA9" s="111"/>
      <c r="AB9" s="361">
        <v>1</v>
      </c>
      <c r="AC9" s="154"/>
      <c r="AD9" s="102"/>
      <c r="AE9" s="152"/>
      <c r="AF9" s="152"/>
      <c r="AG9" s="152"/>
      <c r="AH9" s="152"/>
      <c r="AI9" s="152"/>
      <c r="AJ9" s="152"/>
      <c r="AK9" s="102"/>
      <c r="AL9" s="102"/>
      <c r="AM9" s="102"/>
    </row>
    <row r="10" spans="1:39" ht="15" customHeight="1">
      <c r="B10" s="1105" t="s">
        <v>4814</v>
      </c>
      <c r="C10" s="1104" t="s">
        <v>4822</v>
      </c>
      <c r="D10" s="1103" t="s">
        <v>4842</v>
      </c>
      <c r="E10" s="1102">
        <f>250 + 83 *N_br</f>
        <v>499</v>
      </c>
      <c r="F10" s="1104"/>
      <c r="G10" s="1103" t="s">
        <v>4842</v>
      </c>
      <c r="H10" s="1103"/>
      <c r="I10" s="1101">
        <v>0.4</v>
      </c>
      <c r="J10" s="1100">
        <v>0.3</v>
      </c>
      <c r="K10" s="1105"/>
      <c r="M10" s="1115">
        <f t="shared" si="0"/>
        <v>199.60000000000002</v>
      </c>
      <c r="N10" s="1097">
        <f t="shared" si="1"/>
        <v>149.69999999999999</v>
      </c>
      <c r="O10" s="1101">
        <f t="shared" si="2"/>
        <v>0</v>
      </c>
      <c r="P10" s="1100">
        <f t="shared" si="3"/>
        <v>0</v>
      </c>
      <c r="U10" s="102"/>
      <c r="V10" s="102"/>
      <c r="W10" s="102"/>
      <c r="X10" s="120"/>
      <c r="Y10" s="121"/>
      <c r="Z10" s="110" t="s">
        <v>1099</v>
      </c>
      <c r="AA10" s="46"/>
      <c r="AB10" s="361" t="b">
        <v>1</v>
      </c>
      <c r="AC10" s="154"/>
      <c r="AD10" s="102"/>
      <c r="AE10" s="152"/>
      <c r="AF10" s="152"/>
      <c r="AG10" s="152"/>
      <c r="AH10" s="152"/>
      <c r="AI10" s="152"/>
      <c r="AJ10" s="152"/>
      <c r="AK10" s="102"/>
      <c r="AL10" s="102"/>
      <c r="AM10" s="102"/>
    </row>
    <row r="11" spans="1:39" ht="15" customHeight="1">
      <c r="B11" s="1105" t="s">
        <v>4815</v>
      </c>
      <c r="C11" s="1104" t="s">
        <v>4823</v>
      </c>
      <c r="D11" s="1103" t="s">
        <v>4842</v>
      </c>
      <c r="E11" s="1102">
        <f>40 + 13.3 *N_br</f>
        <v>79.900000000000006</v>
      </c>
      <c r="F11" s="1104" t="s">
        <v>4827</v>
      </c>
      <c r="G11" s="1103" t="s">
        <v>4842</v>
      </c>
      <c r="H11" s="1103">
        <f>14.3 + 4.8 *N_br</f>
        <v>28.7</v>
      </c>
      <c r="I11" s="1101">
        <v>0.3</v>
      </c>
      <c r="J11" s="1100">
        <v>0.2</v>
      </c>
      <c r="K11" s="1105"/>
      <c r="M11" s="1115">
        <f t="shared" si="0"/>
        <v>23.970000000000002</v>
      </c>
      <c r="N11" s="1097">
        <f t="shared" si="1"/>
        <v>15.980000000000002</v>
      </c>
      <c r="O11" s="1101">
        <f>I11*$H11</f>
        <v>8.61</v>
      </c>
      <c r="P11" s="1100">
        <f>J11*$H11</f>
        <v>5.74</v>
      </c>
      <c r="U11" s="127"/>
      <c r="V11" s="102"/>
      <c r="W11" s="127"/>
      <c r="X11" s="2300" t="s">
        <v>325</v>
      </c>
      <c r="Y11" s="2301"/>
      <c r="Z11" s="2301"/>
      <c r="AA11" s="2301"/>
      <c r="AB11" s="147"/>
      <c r="AC11" s="154"/>
      <c r="AD11" s="102"/>
      <c r="AE11" s="1067"/>
      <c r="AF11" s="1067"/>
      <c r="AG11" s="1067"/>
      <c r="AH11" s="102"/>
      <c r="AI11" s="102"/>
      <c r="AJ11" s="102"/>
      <c r="AK11" s="102"/>
      <c r="AL11" s="102"/>
      <c r="AM11" s="127"/>
    </row>
    <row r="12" spans="1:39" ht="15" customHeight="1">
      <c r="B12" s="1105" t="s">
        <v>4816</v>
      </c>
      <c r="C12" s="1104" t="s">
        <v>4824</v>
      </c>
      <c r="D12" s="1103" t="s">
        <v>4842</v>
      </c>
      <c r="E12" s="1102">
        <f>1595 + 248 *N_br+ 0.426*FFA</f>
        <v>3317.096</v>
      </c>
      <c r="F12" s="1104" t="s">
        <v>4828</v>
      </c>
      <c r="G12" s="1103" t="s">
        <v>4842</v>
      </c>
      <c r="H12" s="1103">
        <f>3.7 + 0.6 *N_br+ 0.001 *FFA</f>
        <v>7.7960000000000003</v>
      </c>
      <c r="I12" s="1117">
        <v>0.73399999999999999</v>
      </c>
      <c r="J12" s="1114">
        <v>0.02</v>
      </c>
      <c r="K12" s="1105"/>
      <c r="M12" s="1115">
        <f>I12*$E12</f>
        <v>2434.7484639999998</v>
      </c>
      <c r="N12" s="1097">
        <f t="shared" si="1"/>
        <v>66.341920000000002</v>
      </c>
      <c r="O12" s="1101">
        <f>I12*$H12</f>
        <v>5.722264</v>
      </c>
      <c r="P12" s="1100">
        <f t="shared" si="3"/>
        <v>0.15592</v>
      </c>
      <c r="Q12" s="1101">
        <f>M12+O12/0.03412</f>
        <v>2602.4584288300116</v>
      </c>
      <c r="R12" s="1101">
        <f>N12+P12/0.03412</f>
        <v>70.911673810082064</v>
      </c>
      <c r="U12" s="102"/>
      <c r="V12" s="102"/>
      <c r="W12" s="102"/>
      <c r="X12" s="114"/>
      <c r="Y12" s="115"/>
      <c r="Z12" s="148" t="str">
        <f>NewConst!$C$26</f>
        <v>Number of Bedrooms (6 maximum)</v>
      </c>
      <c r="AA12" s="343" t="str">
        <f>NewConst!$D$26</f>
        <v>#</v>
      </c>
      <c r="AB12" s="344">
        <f>N_br</f>
        <v>3</v>
      </c>
      <c r="AC12" s="154"/>
      <c r="AD12" s="102"/>
      <c r="AE12" s="1067"/>
      <c r="AF12" s="1067"/>
      <c r="AG12" s="1067"/>
      <c r="AH12" s="102"/>
      <c r="AI12" s="102"/>
      <c r="AJ12" s="102"/>
      <c r="AK12" s="102"/>
      <c r="AL12" s="102"/>
      <c r="AM12" s="102"/>
    </row>
    <row r="13" spans="1:39" ht="15" customHeight="1">
      <c r="B13" s="1105" t="s">
        <v>4817</v>
      </c>
      <c r="C13" s="1104" t="s">
        <v>4825</v>
      </c>
      <c r="D13" s="1103" t="s">
        <v>4842</v>
      </c>
      <c r="E13" s="1102">
        <f>1703 + 266 *N_br+ 0.454 *FFA</f>
        <v>3543.384</v>
      </c>
      <c r="F13" s="1104"/>
      <c r="G13" s="1103" t="s">
        <v>4842</v>
      </c>
      <c r="H13" s="1103"/>
      <c r="I13" s="1117">
        <v>0.73399999999999999</v>
      </c>
      <c r="J13" s="1114">
        <v>0.02</v>
      </c>
      <c r="K13" s="1105"/>
      <c r="M13" s="1115">
        <f t="shared" si="0"/>
        <v>2600.843856</v>
      </c>
      <c r="N13" s="1097">
        <f t="shared" si="1"/>
        <v>70.867680000000007</v>
      </c>
      <c r="O13" s="1101">
        <f t="shared" si="2"/>
        <v>0</v>
      </c>
      <c r="P13" s="1100">
        <f t="shared" si="3"/>
        <v>0</v>
      </c>
      <c r="Q13" s="1101">
        <f>M13+O13/0.03412</f>
        <v>2600.843856</v>
      </c>
      <c r="R13" s="1101">
        <f>N13+P13/0.03412</f>
        <v>70.867680000000007</v>
      </c>
      <c r="U13" s="127"/>
      <c r="V13" s="100"/>
      <c r="W13" s="127"/>
      <c r="X13" s="127"/>
      <c r="Y13" s="101"/>
      <c r="Z13" s="101"/>
      <c r="AA13" s="99"/>
      <c r="AB13" s="99"/>
      <c r="AC13" s="99"/>
      <c r="AD13" s="1067"/>
      <c r="AE13" s="1067"/>
      <c r="AF13" s="1067"/>
      <c r="AG13" s="1067"/>
      <c r="AH13" s="102"/>
      <c r="AI13" s="102"/>
      <c r="AJ13" s="102"/>
      <c r="AK13" s="102"/>
      <c r="AL13" s="102"/>
      <c r="AM13" s="127"/>
    </row>
    <row r="14" spans="1:39" ht="15" customHeight="1">
      <c r="B14" s="2319" t="s">
        <v>4829</v>
      </c>
      <c r="C14" s="2324"/>
      <c r="D14" s="2324"/>
      <c r="E14" s="2324"/>
      <c r="F14" s="2324"/>
      <c r="G14" s="2324"/>
      <c r="H14" s="2324"/>
      <c r="I14" s="2324"/>
      <c r="J14" s="2320"/>
      <c r="K14" s="1106"/>
      <c r="M14" s="157"/>
      <c r="N14" s="157"/>
      <c r="O14" s="1094"/>
      <c r="P14" s="1094"/>
      <c r="U14" s="127"/>
      <c r="V14" s="100"/>
      <c r="W14" s="2306" t="s">
        <v>322</v>
      </c>
      <c r="X14" s="2307"/>
      <c r="Y14" s="2307"/>
      <c r="Z14" s="2307"/>
      <c r="AA14" s="574" t="s">
        <v>550</v>
      </c>
      <c r="AB14" s="574" t="s">
        <v>548</v>
      </c>
      <c r="AC14" s="575" t="s">
        <v>549</v>
      </c>
      <c r="AD14" s="153"/>
      <c r="AE14" s="153"/>
      <c r="AF14" s="153"/>
      <c r="AG14" s="1067"/>
      <c r="AH14" s="102"/>
      <c r="AI14" s="102"/>
      <c r="AJ14" s="102"/>
      <c r="AK14" s="102"/>
      <c r="AL14" s="102"/>
      <c r="AM14" s="102"/>
    </row>
    <row r="15" spans="1:39" ht="15" customHeight="1">
      <c r="A15" s="1087"/>
      <c r="B15" s="1105" t="s">
        <v>1350</v>
      </c>
      <c r="C15" s="1103" t="s">
        <v>4850</v>
      </c>
      <c r="D15" s="1103" t="s">
        <v>4842</v>
      </c>
      <c r="E15" s="1102">
        <f>3.2*NewConst!$E$42</f>
        <v>3840</v>
      </c>
      <c r="F15" s="1103"/>
      <c r="G15" s="1103"/>
      <c r="H15" s="1102"/>
      <c r="I15" s="1092">
        <v>1</v>
      </c>
      <c r="J15" s="1100">
        <v>0</v>
      </c>
      <c r="K15" s="1105"/>
      <c r="M15" s="1095">
        <f>I15*$E15</f>
        <v>3840</v>
      </c>
      <c r="N15" s="1097">
        <f t="shared" si="1"/>
        <v>0</v>
      </c>
      <c r="O15" s="1092">
        <f t="shared" si="2"/>
        <v>0</v>
      </c>
      <c r="P15" s="1100">
        <f t="shared" si="3"/>
        <v>0</v>
      </c>
      <c r="U15" s="127"/>
      <c r="V15" s="127"/>
      <c r="W15" s="127"/>
      <c r="X15" s="2300" t="s">
        <v>320</v>
      </c>
      <c r="Y15" s="2301"/>
      <c r="Z15" s="2301"/>
      <c r="AA15" s="2301"/>
      <c r="AB15" s="1065"/>
      <c r="AC15" s="1065"/>
      <c r="AD15" s="360"/>
      <c r="AE15" s="177"/>
      <c r="AF15" s="178"/>
      <c r="AG15" s="177"/>
      <c r="AH15" s="178"/>
      <c r="AI15" s="177"/>
      <c r="AJ15" s="178"/>
      <c r="AK15" s="177"/>
      <c r="AL15" s="102"/>
      <c r="AM15" s="102"/>
    </row>
    <row r="16" spans="1:39" ht="15" customHeight="1">
      <c r="A16" s="1087"/>
      <c r="B16" s="1105" t="s">
        <v>4830</v>
      </c>
      <c r="C16" s="1103" t="s">
        <v>4831</v>
      </c>
      <c r="D16" s="1103" t="s">
        <v>4842</v>
      </c>
      <c r="E16" s="1102">
        <f>9.8*NewConst!$E$44</f>
        <v>2205</v>
      </c>
      <c r="F16" s="1103"/>
      <c r="G16" s="1103"/>
      <c r="H16" s="1102"/>
      <c r="I16" s="1092">
        <v>1</v>
      </c>
      <c r="J16" s="1100">
        <v>0</v>
      </c>
      <c r="K16" s="1105"/>
      <c r="M16" s="1095">
        <f>I16*$E16</f>
        <v>2205</v>
      </c>
      <c r="N16" s="1097">
        <f t="shared" si="1"/>
        <v>0</v>
      </c>
      <c r="O16" s="1092">
        <f t="shared" si="2"/>
        <v>0</v>
      </c>
      <c r="P16" s="1100">
        <f t="shared" si="3"/>
        <v>0</v>
      </c>
      <c r="U16" s="102"/>
      <c r="V16" s="102"/>
      <c r="W16" s="102"/>
      <c r="X16" s="106"/>
      <c r="Y16" s="107"/>
      <c r="Z16" s="108" t="s">
        <v>459</v>
      </c>
      <c r="AA16" s="111" t="s">
        <v>4779</v>
      </c>
      <c r="AB16" s="111"/>
      <c r="AC16" s="111"/>
      <c r="AD16" s="180" t="s">
        <v>1056</v>
      </c>
      <c r="AE16" s="181" t="s">
        <v>1056</v>
      </c>
      <c r="AF16" s="182" t="s">
        <v>48</v>
      </c>
      <c r="AG16" s="181" t="s">
        <v>48</v>
      </c>
      <c r="AH16" s="182" t="s">
        <v>4745</v>
      </c>
      <c r="AI16" s="181" t="s">
        <v>4745</v>
      </c>
      <c r="AJ16" s="182" t="s">
        <v>563</v>
      </c>
      <c r="AK16" s="181" t="s">
        <v>563</v>
      </c>
      <c r="AL16" s="102"/>
      <c r="AM16" s="102"/>
    </row>
    <row r="17" spans="1:39" ht="15" customHeight="1">
      <c r="A17" s="1087"/>
      <c r="B17" s="1105" t="s">
        <v>4832</v>
      </c>
      <c r="C17" s="1103">
        <v>0</v>
      </c>
      <c r="D17" s="1103" t="s">
        <v>4842</v>
      </c>
      <c r="E17" s="1102"/>
      <c r="F17" s="1103"/>
      <c r="G17" s="1103"/>
      <c r="H17" s="1102"/>
      <c r="I17" s="1092"/>
      <c r="J17" s="1100"/>
      <c r="K17" s="1105"/>
      <c r="M17" s="1095">
        <f t="shared" si="0"/>
        <v>0</v>
      </c>
      <c r="N17" s="1097">
        <f t="shared" si="1"/>
        <v>0</v>
      </c>
      <c r="O17" s="1092">
        <f t="shared" si="2"/>
        <v>0</v>
      </c>
      <c r="P17" s="1100">
        <f t="shared" si="3"/>
        <v>0</v>
      </c>
      <c r="U17" s="132"/>
      <c r="V17" s="132"/>
      <c r="W17" s="132"/>
      <c r="X17" s="429"/>
      <c r="Y17" s="108"/>
      <c r="Z17" s="108" t="s">
        <v>458</v>
      </c>
      <c r="AA17" s="430"/>
      <c r="AB17" s="430"/>
      <c r="AC17" s="430"/>
      <c r="AD17" s="496" t="str">
        <f>"FollowsVar=" &amp; Z33 &amp; "=Cannot have electric and gas options selected."</f>
        <v>FollowsVar=CookingRangeFuelType=Cannot have electric and gas options selected.</v>
      </c>
      <c r="AE17" s="497" t="str">
        <f>"FollowsVar=" &amp; Z33 &amp; "=Cannot have electric and gas options selected."</f>
        <v>FollowsVar=CookingRangeFuelType=Cannot have electric and gas options selected.</v>
      </c>
      <c r="AF17" s="498" t="s">
        <v>49</v>
      </c>
      <c r="AG17" s="499" t="s">
        <v>49</v>
      </c>
      <c r="AH17" s="457" t="s">
        <v>4771</v>
      </c>
      <c r="AI17" s="458" t="s">
        <v>4772</v>
      </c>
      <c r="AJ17" s="457" t="s">
        <v>1151</v>
      </c>
      <c r="AK17" s="458" t="s">
        <v>464</v>
      </c>
      <c r="AL17" s="102"/>
      <c r="AM17" s="102"/>
    </row>
    <row r="18" spans="1:39" ht="15" customHeight="1">
      <c r="A18" s="1087"/>
      <c r="B18" s="1105" t="s">
        <v>2905</v>
      </c>
      <c r="C18" s="1228" t="s">
        <v>6355</v>
      </c>
      <c r="D18" s="1103" t="s">
        <v>4842</v>
      </c>
      <c r="E18" s="1102">
        <f>1900*N_elev</f>
        <v>1900</v>
      </c>
      <c r="F18" s="1103"/>
      <c r="G18" s="1103"/>
      <c r="H18" s="1102"/>
      <c r="I18" s="1092">
        <v>1</v>
      </c>
      <c r="J18" s="1100">
        <v>0</v>
      </c>
      <c r="K18" s="1105"/>
      <c r="M18" s="1095">
        <f>I18*$E18</f>
        <v>1900</v>
      </c>
      <c r="N18" s="1097">
        <f t="shared" si="1"/>
        <v>0</v>
      </c>
      <c r="O18" s="1092">
        <f t="shared" si="2"/>
        <v>0</v>
      </c>
      <c r="P18" s="1100">
        <f t="shared" si="3"/>
        <v>0</v>
      </c>
      <c r="U18" s="132"/>
      <c r="V18" s="132"/>
      <c r="W18" s="132"/>
      <c r="X18" s="429"/>
      <c r="Y18" s="108"/>
      <c r="Z18" s="108" t="s">
        <v>146</v>
      </c>
      <c r="AA18" s="430" t="s">
        <v>1222</v>
      </c>
      <c r="AB18" s="430"/>
      <c r="AC18" s="430"/>
      <c r="AD18" s="453"/>
      <c r="AE18" s="455"/>
      <c r="AF18" s="454"/>
      <c r="AG18" s="455"/>
      <c r="AH18" s="454"/>
      <c r="AI18" s="455"/>
      <c r="AJ18" s="452" t="s">
        <v>1200</v>
      </c>
      <c r="AK18" s="502" t="str">
        <f>$AJ$18</f>
        <v>Set @DV = RND(@ConstantAnnualRangeElec+@AnnualRangeElecPerBedroom*@NumberBedrooms,0)</v>
      </c>
      <c r="AL18" s="102" t="s">
        <v>321</v>
      </c>
      <c r="AM18" s="102"/>
    </row>
    <row r="19" spans="1:39" ht="15" customHeight="1">
      <c r="A19" s="1087"/>
      <c r="B19" s="2319" t="s">
        <v>4843</v>
      </c>
      <c r="C19" s="2324"/>
      <c r="D19" s="2324"/>
      <c r="E19" s="2324"/>
      <c r="F19" s="2324"/>
      <c r="G19" s="2324"/>
      <c r="H19" s="2324"/>
      <c r="I19" s="2324"/>
      <c r="J19" s="2320"/>
      <c r="K19" s="1106"/>
      <c r="M19" s="157"/>
      <c r="N19" s="157"/>
      <c r="O19" s="1094"/>
      <c r="P19" s="1094"/>
      <c r="U19" s="132"/>
      <c r="V19" s="132"/>
      <c r="W19" s="132"/>
      <c r="X19" s="429"/>
      <c r="Y19" s="108"/>
      <c r="Z19" s="108" t="s">
        <v>1085</v>
      </c>
      <c r="AA19" s="430" t="s">
        <v>490</v>
      </c>
      <c r="AB19" s="430"/>
      <c r="AC19" s="430"/>
      <c r="AD19" s="453"/>
      <c r="AE19" s="455"/>
      <c r="AF19" s="454"/>
      <c r="AG19" s="455"/>
      <c r="AH19" s="454"/>
      <c r="AI19" s="455"/>
      <c r="AJ19" s="452" t="s">
        <v>619</v>
      </c>
      <c r="AK19" s="502" t="str">
        <f>$AJ$19</f>
        <v>Set @DV = RND(@ConstantAnnualRangeGas+@AnnualRangeGasPerBedroom*@NumberBedrooms,1)</v>
      </c>
      <c r="AL19" s="102" t="s">
        <v>321</v>
      </c>
      <c r="AM19" s="102"/>
    </row>
    <row r="20" spans="1:39" ht="15" customHeight="1">
      <c r="A20" s="1087"/>
      <c r="B20" s="1105" t="s">
        <v>4833</v>
      </c>
      <c r="C20" s="1103" t="s">
        <v>4834</v>
      </c>
      <c r="D20" s="1103" t="s">
        <v>4842</v>
      </c>
      <c r="E20" s="1102">
        <f>673</f>
        <v>673</v>
      </c>
      <c r="F20" s="1103"/>
      <c r="G20" s="1103"/>
      <c r="H20" s="1102"/>
      <c r="I20" s="1092">
        <v>1</v>
      </c>
      <c r="J20" s="1100">
        <v>0</v>
      </c>
      <c r="K20" s="1105"/>
      <c r="M20" s="1095">
        <f>I20*$E20</f>
        <v>673</v>
      </c>
      <c r="N20" s="1097">
        <f t="shared" si="1"/>
        <v>0</v>
      </c>
      <c r="O20" s="1092">
        <f t="shared" si="2"/>
        <v>0</v>
      </c>
      <c r="P20" s="1100">
        <f t="shared" si="3"/>
        <v>0</v>
      </c>
      <c r="U20" s="127"/>
      <c r="V20" s="102"/>
      <c r="W20" s="102"/>
      <c r="X20" s="2300" t="s">
        <v>324</v>
      </c>
      <c r="Y20" s="2301"/>
      <c r="Z20" s="2301"/>
      <c r="AA20" s="2301"/>
      <c r="AB20" s="1065"/>
      <c r="AC20" s="1065"/>
      <c r="AD20" s="184"/>
      <c r="AE20" s="185"/>
      <c r="AF20" s="186"/>
      <c r="AG20" s="185"/>
      <c r="AH20" s="186"/>
      <c r="AI20" s="185"/>
      <c r="AJ20" s="186"/>
      <c r="AK20" s="185"/>
      <c r="AL20" s="102"/>
      <c r="AM20" s="102"/>
    </row>
    <row r="21" spans="1:39" ht="15" customHeight="1">
      <c r="A21" s="1087"/>
      <c r="B21" s="1105" t="s">
        <v>1158</v>
      </c>
      <c r="C21" s="1103">
        <v>434</v>
      </c>
      <c r="D21" s="1103" t="s">
        <v>4842</v>
      </c>
      <c r="E21" s="1102">
        <v>434</v>
      </c>
      <c r="F21" s="1103"/>
      <c r="G21" s="1103"/>
      <c r="H21" s="1102"/>
      <c r="I21" s="1092">
        <v>1</v>
      </c>
      <c r="J21" s="1100">
        <v>0</v>
      </c>
      <c r="K21" s="1105"/>
      <c r="M21" s="1095">
        <f t="shared" si="0"/>
        <v>434</v>
      </c>
      <c r="N21" s="1097">
        <f t="shared" si="1"/>
        <v>0</v>
      </c>
      <c r="O21" s="1092">
        <f t="shared" si="2"/>
        <v>0</v>
      </c>
      <c r="P21" s="1100">
        <f t="shared" si="3"/>
        <v>0</v>
      </c>
      <c r="U21" s="132"/>
      <c r="V21" s="132"/>
      <c r="W21" s="132"/>
      <c r="X21" s="429"/>
      <c r="Y21" s="108"/>
      <c r="Z21" s="108" t="s">
        <v>1152</v>
      </c>
      <c r="AA21" s="430"/>
      <c r="AB21" s="430"/>
      <c r="AC21" s="430"/>
      <c r="AD21" s="385" t="s">
        <v>773</v>
      </c>
      <c r="AE21" s="255" t="s">
        <v>773</v>
      </c>
      <c r="AF21" s="260" t="s">
        <v>773</v>
      </c>
      <c r="AG21" s="255" t="s">
        <v>773</v>
      </c>
      <c r="AH21" s="260" t="s">
        <v>773</v>
      </c>
      <c r="AI21" s="255" t="s">
        <v>773</v>
      </c>
      <c r="AJ21" s="260">
        <v>4.5999999999999996</v>
      </c>
      <c r="AK21" s="255">
        <v>4.0999999999999996</v>
      </c>
      <c r="AL21" s="102"/>
      <c r="AM21" s="102"/>
    </row>
    <row r="22" spans="1:39" ht="15" customHeight="1">
      <c r="A22" s="1087"/>
      <c r="B22" s="1105" t="s">
        <v>526</v>
      </c>
      <c r="C22" s="1103" t="s">
        <v>4835</v>
      </c>
      <c r="D22" s="1103" t="s">
        <v>4842</v>
      </c>
      <c r="E22" s="1102">
        <v>52</v>
      </c>
      <c r="F22" s="1103"/>
      <c r="G22" s="1103"/>
      <c r="H22" s="1102"/>
      <c r="I22" s="1092">
        <v>0.6</v>
      </c>
      <c r="J22" s="1100">
        <v>0.15</v>
      </c>
      <c r="K22" s="1105"/>
      <c r="M22" s="1095">
        <f t="shared" si="0"/>
        <v>31.2</v>
      </c>
      <c r="N22" s="1097">
        <f t="shared" si="1"/>
        <v>7.8</v>
      </c>
      <c r="O22" s="1092">
        <f t="shared" si="2"/>
        <v>0</v>
      </c>
      <c r="P22" s="1100">
        <f t="shared" si="3"/>
        <v>0</v>
      </c>
      <c r="U22" s="132"/>
      <c r="V22" s="132"/>
      <c r="W22" s="132"/>
      <c r="X22" s="429"/>
      <c r="Y22" s="108"/>
      <c r="Z22" s="108" t="s">
        <v>489</v>
      </c>
      <c r="AA22" s="430" t="s">
        <v>569</v>
      </c>
      <c r="AB22" s="430"/>
      <c r="AC22" s="430"/>
      <c r="AD22" s="385" t="s">
        <v>773</v>
      </c>
      <c r="AE22" s="255" t="s">
        <v>773</v>
      </c>
      <c r="AF22" s="260" t="s">
        <v>773</v>
      </c>
      <c r="AG22" s="255" t="s">
        <v>773</v>
      </c>
      <c r="AH22" s="260" t="s">
        <v>773</v>
      </c>
      <c r="AI22" s="255" t="s">
        <v>773</v>
      </c>
      <c r="AJ22" s="260">
        <v>4</v>
      </c>
      <c r="AK22" s="255">
        <v>4</v>
      </c>
      <c r="AL22" s="102"/>
      <c r="AM22" s="102"/>
    </row>
    <row r="23" spans="1:39" ht="15" customHeight="1">
      <c r="A23" s="1087"/>
      <c r="B23" s="1105" t="s">
        <v>4836</v>
      </c>
      <c r="C23" s="1103" t="s">
        <v>4837</v>
      </c>
      <c r="D23" s="1103" t="s">
        <v>4842</v>
      </c>
      <c r="E23" s="1102">
        <v>62.4</v>
      </c>
      <c r="F23" s="1103"/>
      <c r="G23" s="1103"/>
      <c r="H23" s="1102"/>
      <c r="I23" s="1092">
        <v>0.4</v>
      </c>
      <c r="J23" s="1100">
        <v>0.3</v>
      </c>
      <c r="K23" s="1105"/>
      <c r="M23" s="1095">
        <f t="shared" si="0"/>
        <v>24.96</v>
      </c>
      <c r="N23" s="1097">
        <f t="shared" si="1"/>
        <v>18.72</v>
      </c>
      <c r="O23" s="1092">
        <f t="shared" si="2"/>
        <v>0</v>
      </c>
      <c r="P23" s="1100">
        <f t="shared" si="3"/>
        <v>0</v>
      </c>
      <c r="U23" s="132"/>
      <c r="V23" s="132"/>
      <c r="W23" s="132"/>
      <c r="X23" s="429"/>
      <c r="Y23" s="108"/>
      <c r="Z23" s="108" t="s">
        <v>749</v>
      </c>
      <c r="AA23" s="430"/>
      <c r="AB23" s="430"/>
      <c r="AC23" s="430"/>
      <c r="AD23" s="385" t="s">
        <v>773</v>
      </c>
      <c r="AE23" s="255" t="s">
        <v>773</v>
      </c>
      <c r="AF23" s="260" t="s">
        <v>773</v>
      </c>
      <c r="AG23" s="255" t="s">
        <v>773</v>
      </c>
      <c r="AH23" s="262"/>
      <c r="AI23" s="261"/>
      <c r="AJ23" s="260">
        <v>202</v>
      </c>
      <c r="AK23" s="261"/>
      <c r="AL23" s="102"/>
      <c r="AM23" s="102"/>
    </row>
    <row r="24" spans="1:39" ht="15" customHeight="1">
      <c r="A24" s="1087"/>
      <c r="B24" s="1105" t="s">
        <v>4838</v>
      </c>
      <c r="C24" s="1103"/>
      <c r="D24" s="1103"/>
      <c r="E24" s="1102"/>
      <c r="F24" s="1103" t="s">
        <v>4844</v>
      </c>
      <c r="G24" s="1103" t="s">
        <v>4842</v>
      </c>
      <c r="H24" s="1102">
        <v>4.5999999999999996</v>
      </c>
      <c r="I24" s="1092">
        <v>0.3</v>
      </c>
      <c r="J24" s="1100">
        <v>0.2</v>
      </c>
      <c r="K24" s="1105"/>
      <c r="M24" s="1095">
        <f t="shared" si="0"/>
        <v>0</v>
      </c>
      <c r="N24" s="1097">
        <f t="shared" si="1"/>
        <v>0</v>
      </c>
      <c r="O24" s="1092">
        <f>I24*$H24</f>
        <v>1.38</v>
      </c>
      <c r="P24" s="1100">
        <f t="shared" si="3"/>
        <v>0.91999999999999993</v>
      </c>
      <c r="U24" s="132"/>
      <c r="V24" s="132"/>
      <c r="W24" s="132"/>
      <c r="X24" s="429"/>
      <c r="Y24" s="108"/>
      <c r="Z24" s="108" t="s">
        <v>750</v>
      </c>
      <c r="AA24" s="430"/>
      <c r="AB24" s="430"/>
      <c r="AC24" s="430"/>
      <c r="AD24" s="385" t="s">
        <v>773</v>
      </c>
      <c r="AE24" s="255" t="s">
        <v>773</v>
      </c>
      <c r="AF24" s="260" t="s">
        <v>773</v>
      </c>
      <c r="AG24" s="255" t="s">
        <v>773</v>
      </c>
      <c r="AH24" s="262"/>
      <c r="AI24" s="261"/>
      <c r="AJ24" s="262"/>
      <c r="AK24" s="255">
        <v>15</v>
      </c>
      <c r="AL24" s="102"/>
      <c r="AM24" s="102"/>
    </row>
    <row r="25" spans="1:39" ht="15" customHeight="1">
      <c r="A25" s="1087"/>
      <c r="B25" s="1105" t="s">
        <v>1009</v>
      </c>
      <c r="C25" s="1103" t="s">
        <v>4839</v>
      </c>
      <c r="D25" s="1103" t="s">
        <v>4842</v>
      </c>
      <c r="E25" s="1102">
        <v>78</v>
      </c>
      <c r="F25" s="1103"/>
      <c r="G25" s="1103"/>
      <c r="H25" s="1102"/>
      <c r="I25" s="1092">
        <v>1</v>
      </c>
      <c r="J25" s="1100">
        <v>0</v>
      </c>
      <c r="K25" s="1105"/>
      <c r="M25" s="1095">
        <f t="shared" si="0"/>
        <v>78</v>
      </c>
      <c r="N25" s="1097">
        <f t="shared" si="1"/>
        <v>0</v>
      </c>
      <c r="O25" s="1092">
        <f t="shared" si="2"/>
        <v>0</v>
      </c>
      <c r="P25" s="1100">
        <f t="shared" si="3"/>
        <v>0</v>
      </c>
      <c r="U25" s="132"/>
      <c r="V25" s="132"/>
      <c r="W25" s="132"/>
      <c r="X25" s="429"/>
      <c r="Y25" s="108"/>
      <c r="Z25" s="108" t="s">
        <v>1028</v>
      </c>
      <c r="AA25" s="113" t="s">
        <v>1222</v>
      </c>
      <c r="AB25" s="113"/>
      <c r="AC25" s="113"/>
      <c r="AD25" s="387">
        <f>AD29+AD30*$AB12</f>
        <v>605</v>
      </c>
      <c r="AE25" s="261">
        <f>AE29+AE30*$AB12</f>
        <v>0</v>
      </c>
      <c r="AF25" s="260">
        <v>605</v>
      </c>
      <c r="AG25" s="255">
        <v>0</v>
      </c>
      <c r="AH25" s="236">
        <f>173.1/NewConst!F323+29.3/NewConst!F324</f>
        <v>937.92241379310337</v>
      </c>
      <c r="AI25" s="255">
        <v>0</v>
      </c>
      <c r="AJ25" s="262">
        <f>AJ29+AJ30*$AB12</f>
        <v>605</v>
      </c>
      <c r="AK25" s="261">
        <f>AK29+AK30*$AB12</f>
        <v>0</v>
      </c>
      <c r="AL25" s="102"/>
      <c r="AM25" s="102"/>
    </row>
    <row r="26" spans="1:39">
      <c r="B26" s="2313" t="s">
        <v>4845</v>
      </c>
      <c r="C26" s="2313"/>
      <c r="D26" s="2313"/>
      <c r="E26" s="2313"/>
      <c r="F26" s="2313"/>
      <c r="G26" s="2313"/>
      <c r="H26" s="2313"/>
      <c r="I26" s="2313"/>
      <c r="J26" s="2313"/>
      <c r="K26" s="1112"/>
      <c r="U26" s="132"/>
      <c r="V26" s="132"/>
      <c r="W26" s="132"/>
      <c r="X26" s="429"/>
      <c r="Y26" s="108"/>
      <c r="Z26" s="108" t="s">
        <v>200</v>
      </c>
      <c r="AA26" s="113" t="s">
        <v>490</v>
      </c>
      <c r="AB26" s="113"/>
      <c r="AC26" s="113"/>
      <c r="AD26" s="387">
        <f>AD31+AD32*$AB12</f>
        <v>0</v>
      </c>
      <c r="AE26" s="261">
        <f>AE31+AE32*$AB12</f>
        <v>45</v>
      </c>
      <c r="AF26" s="260">
        <v>0</v>
      </c>
      <c r="AG26" s="255">
        <v>45</v>
      </c>
      <c r="AH26" s="260">
        <v>0</v>
      </c>
      <c r="AI26" s="237">
        <f>(527600/NewConst!F323+88800/NewConst!F324)/100000</f>
        <v>28.500344827586208</v>
      </c>
      <c r="AJ26" s="262">
        <f>AJ31+AJ32*$AB12</f>
        <v>0</v>
      </c>
      <c r="AK26" s="261">
        <f>AK31+AK32*$AB12</f>
        <v>45</v>
      </c>
      <c r="AL26" s="102"/>
      <c r="AM26" s="102"/>
    </row>
    <row r="27" spans="1:39">
      <c r="B27" s="2314" t="s">
        <v>4846</v>
      </c>
      <c r="C27" s="2314"/>
      <c r="D27" s="2314"/>
      <c r="E27" s="2314"/>
      <c r="F27" s="2314"/>
      <c r="G27" s="2314"/>
      <c r="H27" s="2314"/>
      <c r="I27" s="2314"/>
      <c r="J27" s="2314"/>
      <c r="K27" s="1112"/>
      <c r="U27" s="102"/>
      <c r="V27" s="102"/>
      <c r="W27" s="102"/>
      <c r="X27" s="106"/>
      <c r="Y27" s="107"/>
      <c r="Z27" s="107" t="s">
        <v>644</v>
      </c>
      <c r="AA27" s="113" t="s">
        <v>524</v>
      </c>
      <c r="AB27" s="113"/>
      <c r="AC27" s="113"/>
      <c r="AD27" s="374">
        <f>AD26*105480/8760+AD25*3600/8760</f>
        <v>248.63013698630138</v>
      </c>
      <c r="AE27" s="235">
        <f>AE26*105480/8760+AE25*3600/8760</f>
        <v>541.84931506849318</v>
      </c>
      <c r="AF27" s="242">
        <v>248.63013698630138</v>
      </c>
      <c r="AG27" s="241">
        <v>541.84931506849318</v>
      </c>
      <c r="AH27" s="236">
        <f>AH26*105480/8760+AH25*3600/8760</f>
        <v>385.44756731223424</v>
      </c>
      <c r="AI27" s="235">
        <f>AI26*105480/8760+AI25*3600/8760</f>
        <v>343.17538497874352</v>
      </c>
      <c r="AJ27" s="236">
        <f>AJ26*105480/8760+AJ25*3600/8760</f>
        <v>248.63013698630138</v>
      </c>
      <c r="AK27" s="235">
        <f>AK26*105480/8760+AK25*3600/8760</f>
        <v>541.84931506849318</v>
      </c>
      <c r="AL27" s="102"/>
      <c r="AM27" s="102"/>
    </row>
    <row r="28" spans="1:39" ht="12.75">
      <c r="B28" s="2314" t="s">
        <v>4847</v>
      </c>
      <c r="C28" s="2314"/>
      <c r="D28" s="2314"/>
      <c r="E28" s="2314"/>
      <c r="F28" s="2314"/>
      <c r="G28" s="2314"/>
      <c r="H28" s="2314"/>
      <c r="I28" s="2314"/>
      <c r="J28" s="2314"/>
      <c r="K28" s="1112"/>
      <c r="U28" s="127"/>
      <c r="V28" s="127"/>
      <c r="W28" s="127"/>
      <c r="X28" s="2300" t="s">
        <v>491</v>
      </c>
      <c r="Y28" s="2301"/>
      <c r="Z28" s="2301"/>
      <c r="AA28" s="2301"/>
      <c r="AB28" s="1065"/>
      <c r="AC28" s="1065"/>
      <c r="AD28" s="184"/>
      <c r="AE28" s="185"/>
      <c r="AF28" s="186"/>
      <c r="AG28" s="185"/>
      <c r="AH28" s="186"/>
      <c r="AI28" s="185"/>
      <c r="AJ28" s="186"/>
      <c r="AK28" s="185"/>
      <c r="AL28" s="102"/>
      <c r="AM28" s="102"/>
    </row>
    <row r="29" spans="1:39">
      <c r="B29" s="2314" t="s">
        <v>4848</v>
      </c>
      <c r="C29" s="2314"/>
      <c r="D29" s="2314"/>
      <c r="E29" s="2314"/>
      <c r="F29" s="2314"/>
      <c r="G29" s="2314"/>
      <c r="H29" s="2314"/>
      <c r="I29" s="2314"/>
      <c r="J29" s="2314"/>
      <c r="K29" s="1112"/>
      <c r="U29" s="102"/>
      <c r="V29" s="102"/>
      <c r="W29" s="102"/>
      <c r="X29" s="106"/>
      <c r="Y29" s="107"/>
      <c r="Z29" s="109" t="s">
        <v>545</v>
      </c>
      <c r="AA29" s="113" t="s">
        <v>1222</v>
      </c>
      <c r="AB29" s="124" t="s">
        <v>335</v>
      </c>
      <c r="AC29" s="113" t="s">
        <v>321</v>
      </c>
      <c r="AD29" s="386">
        <v>302</v>
      </c>
      <c r="AE29" s="253">
        <v>0</v>
      </c>
      <c r="AF29" s="280">
        <v>302</v>
      </c>
      <c r="AG29" s="253">
        <v>0</v>
      </c>
      <c r="AH29" s="280" t="s">
        <v>773</v>
      </c>
      <c r="AI29" s="253" t="s">
        <v>773</v>
      </c>
      <c r="AJ29" s="280">
        <v>302</v>
      </c>
      <c r="AK29" s="253">
        <v>0</v>
      </c>
      <c r="AL29" s="102"/>
      <c r="AM29" s="102"/>
    </row>
    <row r="30" spans="1:39">
      <c r="U30" s="102"/>
      <c r="V30" s="102"/>
      <c r="W30" s="102"/>
      <c r="X30" s="106"/>
      <c r="Y30" s="107"/>
      <c r="Z30" s="109" t="s">
        <v>544</v>
      </c>
      <c r="AA30" s="113" t="s">
        <v>74</v>
      </c>
      <c r="AB30" s="124" t="s">
        <v>336</v>
      </c>
      <c r="AC30" s="113" t="s">
        <v>321</v>
      </c>
      <c r="AD30" s="386">
        <v>101</v>
      </c>
      <c r="AE30" s="253">
        <v>0</v>
      </c>
      <c r="AF30" s="280">
        <v>101</v>
      </c>
      <c r="AG30" s="253">
        <v>0</v>
      </c>
      <c r="AH30" s="280" t="s">
        <v>773</v>
      </c>
      <c r="AI30" s="253" t="s">
        <v>773</v>
      </c>
      <c r="AJ30" s="280">
        <v>101</v>
      </c>
      <c r="AK30" s="253">
        <v>0</v>
      </c>
      <c r="AL30" s="102"/>
      <c r="AM30" s="102"/>
    </row>
    <row r="31" spans="1:39" ht="25.5" customHeight="1">
      <c r="B31" s="2312" t="s">
        <v>4851</v>
      </c>
      <c r="C31" s="2312"/>
      <c r="D31" s="2312"/>
      <c r="E31" s="2312"/>
      <c r="F31" s="2312"/>
      <c r="G31" s="2312"/>
      <c r="H31" s="2312"/>
      <c r="I31" s="2312"/>
      <c r="J31" s="2312"/>
      <c r="K31" s="2312"/>
      <c r="U31" s="102"/>
      <c r="V31" s="102"/>
      <c r="W31" s="102"/>
      <c r="X31" s="106"/>
      <c r="Y31" s="107"/>
      <c r="Z31" s="109" t="s">
        <v>546</v>
      </c>
      <c r="AA31" s="113" t="s">
        <v>490</v>
      </c>
      <c r="AB31" s="124" t="s">
        <v>337</v>
      </c>
      <c r="AC31" s="113" t="s">
        <v>321</v>
      </c>
      <c r="AD31" s="386">
        <v>0</v>
      </c>
      <c r="AE31" s="253">
        <v>22.5</v>
      </c>
      <c r="AF31" s="280">
        <v>0</v>
      </c>
      <c r="AG31" s="253">
        <v>22.5</v>
      </c>
      <c r="AH31" s="280" t="s">
        <v>773</v>
      </c>
      <c r="AI31" s="253" t="s">
        <v>773</v>
      </c>
      <c r="AJ31" s="280">
        <v>0</v>
      </c>
      <c r="AK31" s="253">
        <v>22.5</v>
      </c>
      <c r="AL31" s="102"/>
      <c r="AM31" s="102"/>
    </row>
    <row r="32" spans="1:39">
      <c r="U32" s="102"/>
      <c r="V32" s="102"/>
      <c r="W32" s="102"/>
      <c r="X32" s="106"/>
      <c r="Y32" s="107"/>
      <c r="Z32" s="109" t="s">
        <v>547</v>
      </c>
      <c r="AA32" s="113" t="s">
        <v>1055</v>
      </c>
      <c r="AB32" s="124" t="s">
        <v>338</v>
      </c>
      <c r="AC32" s="113" t="s">
        <v>321</v>
      </c>
      <c r="AD32" s="386">
        <v>0</v>
      </c>
      <c r="AE32" s="253">
        <v>7.5</v>
      </c>
      <c r="AF32" s="280">
        <v>0</v>
      </c>
      <c r="AG32" s="253">
        <v>7.5</v>
      </c>
      <c r="AH32" s="280" t="s">
        <v>773</v>
      </c>
      <c r="AI32" s="253" t="s">
        <v>773</v>
      </c>
      <c r="AJ32" s="280">
        <v>0</v>
      </c>
      <c r="AK32" s="253">
        <v>7.5</v>
      </c>
      <c r="AL32" s="102"/>
      <c r="AM32" s="102"/>
    </row>
    <row r="33" spans="1:39" ht="12.75">
      <c r="A33" s="1224"/>
      <c r="B33" s="1246" t="s">
        <v>1348</v>
      </c>
      <c r="F33" s="1085">
        <f>E6*C36*C34</f>
        <v>88958.677685950417</v>
      </c>
      <c r="U33" s="102"/>
      <c r="V33" s="102"/>
      <c r="W33" s="102"/>
      <c r="X33" s="120"/>
      <c r="Y33" s="121"/>
      <c r="Z33" s="125" t="s">
        <v>1300</v>
      </c>
      <c r="AA33" s="113" t="s">
        <v>1066</v>
      </c>
      <c r="AB33" s="124" t="s">
        <v>339</v>
      </c>
      <c r="AC33" s="113" t="s">
        <v>321</v>
      </c>
      <c r="AD33" s="388" t="s">
        <v>1151</v>
      </c>
      <c r="AE33" s="263" t="s">
        <v>464</v>
      </c>
      <c r="AF33" s="264" t="s">
        <v>1151</v>
      </c>
      <c r="AG33" s="263" t="s">
        <v>464</v>
      </c>
      <c r="AH33" s="264" t="s">
        <v>773</v>
      </c>
      <c r="AI33" s="263" t="s">
        <v>773</v>
      </c>
      <c r="AJ33" s="264" t="s">
        <v>1151</v>
      </c>
      <c r="AK33" s="263" t="s">
        <v>464</v>
      </c>
      <c r="AL33" s="102"/>
      <c r="AM33" s="102"/>
    </row>
    <row r="34" spans="1:39" s="1224" customFormat="1" ht="12.75">
      <c r="B34" s="1247" t="s">
        <v>6318</v>
      </c>
      <c r="C34" s="1226">
        <f>Nunits</f>
        <v>200</v>
      </c>
      <c r="U34" s="102"/>
      <c r="V34" s="102"/>
      <c r="W34" s="102"/>
      <c r="X34" s="120"/>
      <c r="Y34" s="121"/>
      <c r="Z34" s="125"/>
      <c r="AA34" s="113"/>
      <c r="AB34" s="124"/>
      <c r="AC34" s="113"/>
      <c r="AD34" s="388"/>
      <c r="AE34" s="263"/>
      <c r="AF34" s="264"/>
      <c r="AG34" s="263"/>
      <c r="AH34" s="264"/>
      <c r="AI34" s="263"/>
      <c r="AJ34" s="264"/>
      <c r="AK34" s="263"/>
      <c r="AL34" s="102"/>
      <c r="AM34" s="102"/>
    </row>
    <row r="35" spans="1:39" s="1224" customFormat="1" ht="12.75">
      <c r="B35" s="1247" t="s">
        <v>6316</v>
      </c>
      <c r="C35" s="1226">
        <f>1.56</f>
        <v>1.56</v>
      </c>
      <c r="U35" s="102"/>
      <c r="V35" s="102"/>
      <c r="W35" s="102"/>
      <c r="X35" s="120"/>
      <c r="Y35" s="121"/>
      <c r="Z35" s="125"/>
      <c r="AA35" s="113"/>
      <c r="AB35" s="124"/>
      <c r="AC35" s="113"/>
      <c r="AD35" s="388"/>
      <c r="AE35" s="263"/>
      <c r="AF35" s="264"/>
      <c r="AG35" s="263"/>
      <c r="AH35" s="264"/>
      <c r="AI35" s="263"/>
      <c r="AJ35" s="264"/>
      <c r="AK35" s="263"/>
      <c r="AL35" s="102"/>
      <c r="AM35" s="102"/>
    </row>
    <row r="36" spans="1:39" s="1224" customFormat="1" ht="12.75">
      <c r="B36" s="1247" t="s">
        <v>6317</v>
      </c>
      <c r="C36" s="1226">
        <f>1/2.42</f>
        <v>0.41322314049586778</v>
      </c>
      <c r="U36" s="102"/>
      <c r="V36" s="102"/>
      <c r="W36" s="102"/>
      <c r="X36" s="120"/>
      <c r="Y36" s="121"/>
      <c r="Z36" s="125"/>
      <c r="AA36" s="113"/>
      <c r="AB36" s="124"/>
      <c r="AC36" s="113"/>
      <c r="AD36" s="388"/>
      <c r="AE36" s="263"/>
      <c r="AF36" s="264"/>
      <c r="AG36" s="263"/>
      <c r="AH36" s="264"/>
      <c r="AI36" s="263"/>
      <c r="AJ36" s="264"/>
      <c r="AK36" s="263"/>
      <c r="AL36" s="102"/>
      <c r="AM36" s="102"/>
    </row>
    <row r="37" spans="1:39" s="102" customFormat="1" ht="12.75">
      <c r="B37" s="1227" t="s">
        <v>4810</v>
      </c>
      <c r="C37" s="1226" t="s">
        <v>4818</v>
      </c>
      <c r="D37" s="1225" t="s">
        <v>4842</v>
      </c>
      <c r="E37" s="1248">
        <f>(38.8 + 12.9*$C$35)*C36*Nunits</f>
        <v>4869.7520661157032</v>
      </c>
      <c r="F37" s="1226"/>
      <c r="G37" s="1225" t="s">
        <v>4842</v>
      </c>
      <c r="H37" s="1225"/>
      <c r="I37" s="1101">
        <v>0.8</v>
      </c>
      <c r="J37" s="1100">
        <v>0</v>
      </c>
      <c r="K37" s="1227"/>
      <c r="L37" s="1224"/>
      <c r="M37" s="1115">
        <f t="shared" ref="M37:N39" si="4">I37*$E37</f>
        <v>3895.8016528925627</v>
      </c>
      <c r="N37" s="1097">
        <f t="shared" si="4"/>
        <v>0</v>
      </c>
      <c r="O37" s="1101">
        <f>I37*$H37</f>
        <v>0</v>
      </c>
      <c r="P37" s="1100">
        <f>J37*$H37</f>
        <v>0</v>
      </c>
      <c r="T37" s="127"/>
      <c r="U37" s="127"/>
      <c r="X37" s="2300" t="s">
        <v>479</v>
      </c>
      <c r="Y37" s="2301"/>
      <c r="Z37" s="2301"/>
      <c r="AA37" s="2301"/>
      <c r="AB37" s="1065"/>
      <c r="AC37" s="1065"/>
      <c r="AD37" s="184"/>
      <c r="AE37" s="185"/>
      <c r="AF37" s="186"/>
      <c r="AG37" s="185"/>
      <c r="AH37" s="186"/>
      <c r="AI37" s="185"/>
      <c r="AJ37" s="186"/>
      <c r="AK37" s="185"/>
    </row>
    <row r="38" spans="1:39" s="102" customFormat="1" ht="12.75">
      <c r="B38" s="1227" t="s">
        <v>4811</v>
      </c>
      <c r="C38" s="1226" t="s">
        <v>4819</v>
      </c>
      <c r="D38" s="1225" t="s">
        <v>4842</v>
      </c>
      <c r="E38" s="1248">
        <f>(538.2 + 179.4 *$C$35)*C36*Nunits</f>
        <v>67608.595041322333</v>
      </c>
      <c r="F38" s="1226"/>
      <c r="G38" s="1225" t="s">
        <v>4842</v>
      </c>
      <c r="H38" s="1225"/>
      <c r="I38" s="1101">
        <v>0.15</v>
      </c>
      <c r="J38" s="1100">
        <v>0.05</v>
      </c>
      <c r="K38" s="1227"/>
      <c r="L38" s="1224"/>
      <c r="M38" s="1115">
        <f t="shared" si="4"/>
        <v>10141.28925619835</v>
      </c>
      <c r="N38" s="1097">
        <f t="shared" si="4"/>
        <v>3380.4297520661166</v>
      </c>
      <c r="O38" s="1101">
        <f>I38*$H38</f>
        <v>0</v>
      </c>
      <c r="P38" s="1100">
        <f>J38*$H38</f>
        <v>0</v>
      </c>
      <c r="T38" s="127"/>
      <c r="X38" s="421"/>
      <c r="Y38" s="422" t="s">
        <v>320</v>
      </c>
      <c r="Z38" s="422"/>
      <c r="AA38" s="422"/>
      <c r="AB38" s="424"/>
      <c r="AC38" s="424"/>
      <c r="AD38" s="184"/>
      <c r="AE38" s="185"/>
      <c r="AF38" s="186"/>
      <c r="AG38" s="185"/>
      <c r="AH38" s="186"/>
      <c r="AI38" s="185"/>
      <c r="AJ38" s="186"/>
      <c r="AK38" s="185"/>
    </row>
    <row r="39" spans="1:39" s="102" customFormat="1" ht="12.75">
      <c r="B39" s="2318" t="s">
        <v>4812</v>
      </c>
      <c r="C39" s="2317" t="s">
        <v>4820</v>
      </c>
      <c r="D39" s="2316" t="s">
        <v>4842</v>
      </c>
      <c r="E39" s="2348">
        <f>(43 + 14.3 *$C$35)*C36*Nunits</f>
        <v>5397.3553719008269</v>
      </c>
      <c r="F39" s="2317" t="s">
        <v>4826</v>
      </c>
      <c r="G39" s="2316" t="s">
        <v>4842</v>
      </c>
      <c r="H39" s="2348">
        <f>(19.5 + 6.5 *$C$35)*C36*Nunits</f>
        <v>2449.5867768595044</v>
      </c>
      <c r="I39" s="1110">
        <v>1</v>
      </c>
      <c r="J39" s="1109">
        <v>0</v>
      </c>
      <c r="K39" s="1088" t="s">
        <v>1151</v>
      </c>
      <c r="L39" s="1224"/>
      <c r="M39" s="1113">
        <f t="shared" si="4"/>
        <v>5397.3553719008269</v>
      </c>
      <c r="N39" s="1093">
        <f t="shared" si="4"/>
        <v>0</v>
      </c>
      <c r="O39" s="1110">
        <f>I40*$H39</f>
        <v>244.95867768595045</v>
      </c>
      <c r="P39" s="1109">
        <f>J40*$H39</f>
        <v>122.47933884297522</v>
      </c>
      <c r="T39" s="127"/>
      <c r="X39" s="106"/>
      <c r="Y39" s="107"/>
      <c r="Z39" s="107" t="s">
        <v>492</v>
      </c>
      <c r="AA39" s="113" t="s">
        <v>937</v>
      </c>
      <c r="AB39" s="113"/>
      <c r="AC39" s="113"/>
      <c r="AD39" s="374"/>
      <c r="AE39" s="235"/>
      <c r="AF39" s="236"/>
      <c r="AG39" s="235"/>
      <c r="AH39" s="236"/>
      <c r="AI39" s="235"/>
      <c r="AJ39" s="242">
        <v>1</v>
      </c>
      <c r="AK39" s="241">
        <v>1</v>
      </c>
    </row>
    <row r="40" spans="1:39" s="102" customFormat="1" ht="12.75">
      <c r="B40" s="2318"/>
      <c r="C40" s="2317"/>
      <c r="D40" s="2316"/>
      <c r="E40" s="2348"/>
      <c r="F40" s="2317"/>
      <c r="G40" s="2316"/>
      <c r="H40" s="2348"/>
      <c r="I40" s="1108">
        <v>0.1</v>
      </c>
      <c r="J40" s="1107">
        <v>0.05</v>
      </c>
      <c r="K40" s="1089" t="s">
        <v>464</v>
      </c>
      <c r="L40" s="1224"/>
      <c r="M40" s="1116"/>
      <c r="N40" s="1096"/>
      <c r="O40" s="1108"/>
      <c r="P40" s="1107"/>
      <c r="T40" s="127"/>
      <c r="X40" s="423"/>
      <c r="Y40" s="424" t="s">
        <v>1077</v>
      </c>
      <c r="Z40" s="424"/>
      <c r="AA40" s="424"/>
      <c r="AB40" s="424"/>
      <c r="AC40" s="424"/>
      <c r="AD40" s="184"/>
      <c r="AE40" s="185"/>
      <c r="AF40" s="186"/>
      <c r="AG40" s="185"/>
      <c r="AH40" s="186"/>
      <c r="AI40" s="185"/>
      <c r="AJ40" s="186"/>
      <c r="AK40" s="185"/>
    </row>
    <row r="41" spans="1:39" s="102" customFormat="1">
      <c r="X41" s="423"/>
      <c r="Y41" s="424"/>
      <c r="Z41" s="133" t="s">
        <v>105</v>
      </c>
      <c r="AA41" s="113" t="s">
        <v>100</v>
      </c>
      <c r="AB41" s="113"/>
      <c r="AC41" s="113"/>
      <c r="AD41" s="211"/>
      <c r="AE41" s="227"/>
      <c r="AF41" s="228"/>
      <c r="AG41" s="227"/>
      <c r="AH41" s="228"/>
      <c r="AI41" s="227"/>
      <c r="AJ41" s="213">
        <v>828.5</v>
      </c>
      <c r="AK41" s="212">
        <v>828.5</v>
      </c>
    </row>
    <row r="42" spans="1:39" s="102" customFormat="1">
      <c r="B42" s="119" t="s">
        <v>6319</v>
      </c>
      <c r="X42" s="423"/>
      <c r="Y42" s="424"/>
      <c r="Z42" s="133" t="s">
        <v>106</v>
      </c>
      <c r="AA42" s="113" t="s">
        <v>100</v>
      </c>
      <c r="AB42" s="113"/>
      <c r="AC42" s="113"/>
      <c r="AD42" s="211"/>
      <c r="AE42" s="227"/>
      <c r="AF42" s="228"/>
      <c r="AG42" s="227"/>
      <c r="AH42" s="228"/>
      <c r="AI42" s="227"/>
      <c r="AJ42" s="213">
        <v>1905</v>
      </c>
      <c r="AK42" s="212">
        <v>1905</v>
      </c>
    </row>
    <row r="43" spans="1:39" s="102" customFormat="1">
      <c r="B43" s="102" t="s">
        <v>6320</v>
      </c>
      <c r="E43" s="1248">
        <f>IF(NewConst!$F$249="yes",E37,E5)</f>
        <v>77.5</v>
      </c>
      <c r="H43" s="1248">
        <f>IF(NewConst!$F$249="yes",H37,H5)</f>
        <v>0</v>
      </c>
      <c r="M43" s="1248">
        <f>IF(NewConst!$F$249="yes",M37,M5)</f>
        <v>62</v>
      </c>
      <c r="N43" s="1248">
        <f>IF(NewConst!$F$249="yes",N37,N5)</f>
        <v>0</v>
      </c>
      <c r="O43" s="1248">
        <f>IF(NewConst!$F$249="yes",O37,O5)</f>
        <v>0</v>
      </c>
      <c r="P43" s="1248">
        <f>IF(NewConst!$F$249="yes",P37,P5)</f>
        <v>0</v>
      </c>
      <c r="X43" s="106"/>
      <c r="Y43" s="107"/>
      <c r="Z43" s="109" t="s">
        <v>935</v>
      </c>
      <c r="AA43" s="113" t="s">
        <v>100</v>
      </c>
      <c r="AB43" s="113"/>
      <c r="AC43" s="113"/>
      <c r="AD43" s="379"/>
      <c r="AE43" s="250"/>
      <c r="AF43" s="249"/>
      <c r="AG43" s="250"/>
      <c r="AH43" s="249"/>
      <c r="AI43" s="250"/>
      <c r="AJ43" s="323">
        <f>AVERAGE(AJ41:AJ42)</f>
        <v>1366.75</v>
      </c>
      <c r="AK43" s="324">
        <f>AVERAGE(AK41:AK42)</f>
        <v>1366.75</v>
      </c>
    </row>
    <row r="44" spans="1:39" s="102" customFormat="1">
      <c r="E44" s="1248">
        <f>IF(NewConst!$F$249="yes",E38,E6)</f>
        <v>1076.4000000000001</v>
      </c>
      <c r="H44" s="1248">
        <f>IF(NewConst!$F$249="yes",H38,H6)</f>
        <v>0</v>
      </c>
      <c r="M44" s="1248">
        <f>IF(NewConst!$F$249="yes",M38,M6)</f>
        <v>161.46</v>
      </c>
      <c r="N44" s="1248">
        <f>IF(NewConst!$F$249="yes",N38,N6)</f>
        <v>53.820000000000007</v>
      </c>
      <c r="O44" s="1248">
        <f>IF(NewConst!$F$249="yes",O38,O6)</f>
        <v>0</v>
      </c>
      <c r="P44" s="1248">
        <f>IF(NewConst!$F$249="yes",P38,P6)</f>
        <v>0</v>
      </c>
      <c r="X44" s="120"/>
      <c r="Y44" s="121"/>
      <c r="Z44" s="121" t="s">
        <v>493</v>
      </c>
      <c r="AA44" s="347" t="s">
        <v>494</v>
      </c>
      <c r="AB44" s="113"/>
      <c r="AC44" s="113"/>
      <c r="AD44" s="389"/>
      <c r="AE44" s="224"/>
      <c r="AF44" s="353"/>
      <c r="AG44" s="224"/>
      <c r="AH44" s="353"/>
      <c r="AI44" s="224"/>
      <c r="AJ44" s="225">
        <f>IF(ISNUMBER(AJ43), AJ39*AJ43, "")</f>
        <v>1366.75</v>
      </c>
      <c r="AK44" s="224">
        <f>IF(ISNUMBER(AK43), AK39*AK43, "")</f>
        <v>1366.75</v>
      </c>
    </row>
    <row r="45" spans="1:39" s="102" customFormat="1" ht="12.75">
      <c r="E45" s="1248">
        <f>IF(NewConst!$F$249="yes",E39,E7)</f>
        <v>85.9</v>
      </c>
      <c r="H45" s="1248">
        <f>IF(NewConst!$F$249="yes",H39,H7)</f>
        <v>39</v>
      </c>
      <c r="M45" s="1248">
        <f>IF(NewConst!$F$249="yes",M39,M7)</f>
        <v>85.9</v>
      </c>
      <c r="N45" s="1248">
        <f>IF(NewConst!$F$249="yes",N39,N7)</f>
        <v>0</v>
      </c>
      <c r="O45" s="1248">
        <f>IF(NewConst!$F$249="yes",O39,O7)</f>
        <v>3.9000000000000004</v>
      </c>
      <c r="P45" s="1248">
        <f>IF(NewConst!$F$249="yes",P39,P7)</f>
        <v>1.9500000000000002</v>
      </c>
      <c r="U45" s="127"/>
      <c r="X45" s="2300" t="s">
        <v>480</v>
      </c>
      <c r="Y45" s="2301"/>
      <c r="Z45" s="2301"/>
      <c r="AA45" s="2301"/>
      <c r="AB45" s="1065"/>
      <c r="AC45" s="1065"/>
      <c r="AD45" s="184"/>
      <c r="AE45" s="185"/>
      <c r="AF45" s="186"/>
      <c r="AG45" s="185"/>
      <c r="AH45" s="186"/>
      <c r="AI45" s="185"/>
      <c r="AJ45" s="186"/>
      <c r="AK45" s="185"/>
    </row>
    <row r="46" spans="1:39" s="102" customFormat="1" ht="12.75">
      <c r="E46" s="127"/>
      <c r="X46" s="421"/>
      <c r="Y46" s="422" t="s">
        <v>1031</v>
      </c>
      <c r="Z46" s="422"/>
      <c r="AA46" s="422"/>
      <c r="AB46" s="424"/>
      <c r="AC46" s="424"/>
      <c r="AD46" s="184"/>
      <c r="AE46" s="185"/>
      <c r="AF46" s="186"/>
      <c r="AG46" s="185"/>
      <c r="AH46" s="186"/>
      <c r="AI46" s="185"/>
      <c r="AJ46" s="186"/>
      <c r="AK46" s="185"/>
    </row>
    <row r="47" spans="1:39" s="102" customFormat="1" ht="12.75">
      <c r="T47" s="127"/>
      <c r="X47" s="120"/>
      <c r="Y47" s="121"/>
      <c r="Z47" s="125" t="s">
        <v>902</v>
      </c>
      <c r="AA47" s="347" t="s">
        <v>297</v>
      </c>
      <c r="AB47" s="347"/>
      <c r="AC47" s="347"/>
      <c r="AD47" s="376"/>
      <c r="AE47" s="354"/>
      <c r="AF47" s="350"/>
      <c r="AG47" s="354"/>
      <c r="AH47" s="350"/>
      <c r="AI47" s="354"/>
      <c r="AJ47" s="339">
        <v>13</v>
      </c>
      <c r="AK47" s="340">
        <v>15</v>
      </c>
    </row>
    <row r="48" spans="1:39" s="102" customFormat="1">
      <c r="X48" s="117" t="s">
        <v>525</v>
      </c>
      <c r="Y48" s="116"/>
      <c r="AA48" s="118"/>
      <c r="AB48" s="118"/>
      <c r="AC48" s="118"/>
      <c r="AD48" s="1067"/>
      <c r="AE48" s="1067"/>
      <c r="AF48" s="1067"/>
      <c r="AG48" s="1067"/>
    </row>
    <row r="49" spans="2:39" s="102" customFormat="1" ht="12.75">
      <c r="T49" s="127"/>
      <c r="X49" s="117"/>
      <c r="Y49" s="116"/>
      <c r="AA49" s="118"/>
      <c r="AB49" s="118"/>
      <c r="AC49" s="118"/>
      <c r="AD49" s="1067"/>
      <c r="AE49" s="1067"/>
      <c r="AF49" s="1067"/>
      <c r="AG49" s="1067"/>
    </row>
    <row r="50" spans="2:39" s="127" customFormat="1" ht="12.75">
      <c r="U50" s="101"/>
      <c r="V50" s="101"/>
      <c r="W50" s="101"/>
      <c r="X50" s="101"/>
      <c r="Y50" s="101"/>
      <c r="Z50" s="101"/>
      <c r="AA50" s="99"/>
      <c r="AB50" s="99"/>
      <c r="AC50" s="99"/>
      <c r="AD50" s="1067"/>
      <c r="AE50" s="1067"/>
      <c r="AF50" s="1067"/>
      <c r="AG50" s="1067"/>
      <c r="AH50" s="116"/>
      <c r="AI50" s="116"/>
      <c r="AJ50" s="116"/>
      <c r="AK50" s="116"/>
      <c r="AL50" s="116"/>
      <c r="AM50" s="101"/>
    </row>
    <row r="51" spans="2:39" s="127" customFormat="1" ht="18">
      <c r="B51" s="100" t="s">
        <v>6324</v>
      </c>
      <c r="T51" s="102"/>
      <c r="V51" s="2305" t="s">
        <v>526</v>
      </c>
      <c r="W51" s="2305"/>
      <c r="X51" s="2305"/>
      <c r="Y51" s="2305"/>
      <c r="Z51" s="2305"/>
      <c r="AA51" s="2305"/>
      <c r="AB51" s="1066"/>
      <c r="AC51" s="1066"/>
      <c r="AD51" s="150"/>
      <c r="AE51" s="2337"/>
      <c r="AF51" s="2337"/>
      <c r="AG51" s="2337"/>
      <c r="AH51" s="2337"/>
      <c r="AI51" s="102"/>
      <c r="AJ51" s="102"/>
      <c r="AK51" s="102"/>
      <c r="AL51" s="102"/>
    </row>
    <row r="52" spans="2:39" s="127" customFormat="1" ht="16.5" thickBot="1">
      <c r="B52" s="1068" t="s">
        <v>6330</v>
      </c>
      <c r="M52" s="2319" t="s">
        <v>4854</v>
      </c>
      <c r="N52" s="2320"/>
      <c r="O52" s="2319" t="s">
        <v>4855</v>
      </c>
      <c r="P52" s="2320"/>
      <c r="T52" s="102"/>
      <c r="V52" s="100"/>
      <c r="Y52" s="101"/>
      <c r="Z52" s="101"/>
      <c r="AA52" s="1067"/>
      <c r="AB52" s="1067"/>
      <c r="AC52" s="1067"/>
      <c r="AD52" s="116"/>
      <c r="AE52" s="116"/>
      <c r="AF52" s="1067"/>
      <c r="AG52" s="1067"/>
      <c r="AH52" s="102"/>
      <c r="AI52" s="102"/>
      <c r="AJ52" s="102"/>
      <c r="AK52" s="102"/>
      <c r="AL52" s="102"/>
    </row>
    <row r="53" spans="2:39" s="101" customFormat="1" ht="35.25" thickBot="1">
      <c r="B53" s="1251" t="s">
        <v>639</v>
      </c>
      <c r="C53" s="2349" t="s">
        <v>6325</v>
      </c>
      <c r="D53" s="2350"/>
      <c r="E53" s="2351"/>
      <c r="F53" s="1251" t="s">
        <v>6343</v>
      </c>
      <c r="H53" s="1251" t="s">
        <v>1416</v>
      </c>
      <c r="I53" s="1251" t="str">
        <f>I2</f>
        <v>Sensible Load Fraction</v>
      </c>
      <c r="J53" s="1251" t="str">
        <f>J2</f>
        <v>Latent Load Fraction</v>
      </c>
      <c r="M53" s="1099" t="s">
        <v>4853</v>
      </c>
      <c r="N53" s="1098" t="s">
        <v>1276</v>
      </c>
      <c r="O53" s="1099" t="s">
        <v>4853</v>
      </c>
      <c r="P53" s="1098" t="s">
        <v>1276</v>
      </c>
      <c r="T53" s="132"/>
      <c r="U53" s="127"/>
      <c r="V53" s="100"/>
      <c r="W53" s="2302" t="s">
        <v>422</v>
      </c>
      <c r="X53" s="2303"/>
      <c r="Y53" s="2303"/>
      <c r="Z53" s="2303"/>
      <c r="AA53" s="2303"/>
      <c r="AB53" s="116"/>
      <c r="AC53" s="152"/>
      <c r="AD53" s="1067"/>
      <c r="AE53" s="116"/>
      <c r="AF53" s="1067"/>
      <c r="AG53" s="1067"/>
      <c r="AH53" s="102"/>
      <c r="AI53" s="102"/>
      <c r="AJ53" s="102"/>
      <c r="AK53" s="102"/>
      <c r="AL53" s="102"/>
      <c r="AM53" s="127"/>
    </row>
    <row r="54" spans="2:39" s="127" customFormat="1" ht="13.5" thickBot="1">
      <c r="B54" s="1252" t="s">
        <v>6326</v>
      </c>
      <c r="C54" s="1255" t="s">
        <v>6331</v>
      </c>
      <c r="D54" s="1256" t="s">
        <v>4842</v>
      </c>
      <c r="E54" s="1253">
        <f>86.5 + 28.9*N_br</f>
        <v>173.2</v>
      </c>
      <c r="F54" s="1253">
        <f>E54/NewConst!F323</f>
        <v>432.99999999999994</v>
      </c>
      <c r="G54" s="2310" t="s">
        <v>6342</v>
      </c>
      <c r="H54" s="2311">
        <f>F54+F55</f>
        <v>938.17241379310337</v>
      </c>
      <c r="I54" s="2308">
        <f>I10</f>
        <v>0.4</v>
      </c>
      <c r="J54" s="2308">
        <f>J10</f>
        <v>0.3</v>
      </c>
      <c r="M54" s="2308">
        <f>I54*$H54</f>
        <v>375.26896551724138</v>
      </c>
      <c r="N54" s="2308">
        <f>J54*$H54</f>
        <v>281.45172413793102</v>
      </c>
      <c r="O54" s="2308"/>
      <c r="P54" s="2308"/>
      <c r="T54" s="132"/>
      <c r="V54" s="1068"/>
      <c r="X54" s="2331" t="s">
        <v>320</v>
      </c>
      <c r="Y54" s="2332"/>
      <c r="Z54" s="2332"/>
      <c r="AA54" s="2332"/>
      <c r="AB54" s="151"/>
      <c r="AC54" s="152"/>
      <c r="AD54" s="102"/>
      <c r="AE54" s="1067"/>
      <c r="AF54" s="1067"/>
      <c r="AG54" s="1067"/>
      <c r="AH54" s="102"/>
      <c r="AI54" s="102"/>
      <c r="AJ54" s="102"/>
      <c r="AK54" s="102"/>
      <c r="AL54" s="102"/>
    </row>
    <row r="55" spans="2:39" s="127" customFormat="1" ht="13.5" thickBot="1">
      <c r="B55" s="1252" t="s">
        <v>6327</v>
      </c>
      <c r="C55" s="1255" t="s">
        <v>6332</v>
      </c>
      <c r="D55" s="1228" t="s">
        <v>4842</v>
      </c>
      <c r="E55" s="1253">
        <f>14.6 + 4.9 *N_br</f>
        <v>29.3</v>
      </c>
      <c r="F55" s="1253">
        <f>E55/NewConst!F324</f>
        <v>505.17241379310343</v>
      </c>
      <c r="G55" s="2310"/>
      <c r="H55" s="2311"/>
      <c r="I55" s="2309"/>
      <c r="J55" s="2309"/>
      <c r="M55" s="2309"/>
      <c r="N55" s="2309"/>
      <c r="O55" s="2309"/>
      <c r="P55" s="2309"/>
      <c r="T55" s="132"/>
      <c r="U55" s="102"/>
      <c r="V55" s="102"/>
      <c r="W55" s="102"/>
      <c r="X55" s="103"/>
      <c r="Y55" s="104"/>
      <c r="Z55" s="104" t="s">
        <v>384</v>
      </c>
      <c r="AA55" s="105" t="s">
        <v>190</v>
      </c>
      <c r="AB55" s="382" t="s">
        <v>191</v>
      </c>
      <c r="AC55" s="152"/>
      <c r="AD55" s="102"/>
      <c r="AE55" s="154"/>
      <c r="AF55" s="154"/>
      <c r="AG55" s="154"/>
      <c r="AH55" s="102"/>
      <c r="AI55" s="102"/>
      <c r="AJ55" s="102"/>
      <c r="AK55" s="102"/>
      <c r="AL55" s="102"/>
      <c r="AM55" s="102"/>
    </row>
    <row r="56" spans="2:39" s="102" customFormat="1" ht="12" customHeight="1" thickBot="1">
      <c r="B56" s="1252" t="s">
        <v>6328</v>
      </c>
      <c r="C56" s="1255" t="s">
        <v>6333</v>
      </c>
      <c r="D56" s="1228" t="s">
        <v>4842</v>
      </c>
      <c r="E56" s="1253">
        <f>2.64 + 0.88 *N_br</f>
        <v>5.28</v>
      </c>
      <c r="F56" s="1253">
        <f>E56/NewConst!F323</f>
        <v>13.2</v>
      </c>
      <c r="G56" s="2310" t="s">
        <v>6342</v>
      </c>
      <c r="H56" s="2311">
        <f>F56+F57</f>
        <v>28.544827586206893</v>
      </c>
      <c r="I56" s="2308">
        <f>I11</f>
        <v>0.3</v>
      </c>
      <c r="J56" s="2308">
        <f>J11</f>
        <v>0.2</v>
      </c>
      <c r="M56" s="2308"/>
      <c r="N56" s="2308"/>
      <c r="O56" s="2308">
        <f>I56*$H56</f>
        <v>8.5634482758620667</v>
      </c>
      <c r="P56" s="2308">
        <f>J56*$H56</f>
        <v>5.7089655172413787</v>
      </c>
      <c r="X56" s="106"/>
      <c r="Y56" s="107"/>
      <c r="Z56" s="112" t="s">
        <v>385</v>
      </c>
      <c r="AA56" s="111"/>
      <c r="AB56" s="357"/>
      <c r="AC56" s="152"/>
      <c r="AE56" s="152"/>
      <c r="AF56" s="152"/>
      <c r="AG56" s="152"/>
    </row>
    <row r="57" spans="2:39" s="127" customFormat="1" ht="13.5" thickBot="1">
      <c r="B57" s="1252" t="s">
        <v>6329</v>
      </c>
      <c r="C57" s="1255" t="s">
        <v>6334</v>
      </c>
      <c r="D57" s="1254" t="s">
        <v>4842</v>
      </c>
      <c r="E57" s="1253">
        <f>0.44 + 0.15*N_br</f>
        <v>0.8899999999999999</v>
      </c>
      <c r="F57" s="1253">
        <f>E57/NewConst!F324</f>
        <v>15.344827586206893</v>
      </c>
      <c r="G57" s="2310"/>
      <c r="H57" s="2311"/>
      <c r="I57" s="2309"/>
      <c r="J57" s="2309"/>
      <c r="M57" s="2309"/>
      <c r="N57" s="2309"/>
      <c r="O57" s="2309"/>
      <c r="P57" s="2309"/>
      <c r="T57" s="132"/>
      <c r="U57" s="102"/>
      <c r="V57" s="102"/>
      <c r="W57" s="102"/>
      <c r="X57" s="106"/>
      <c r="Y57" s="107"/>
      <c r="Z57" s="112" t="s">
        <v>296</v>
      </c>
      <c r="AA57" s="111"/>
      <c r="AB57" s="381" t="s">
        <v>518</v>
      </c>
      <c r="AC57" s="152" t="s">
        <v>321</v>
      </c>
      <c r="AD57" s="102"/>
      <c r="AE57" s="126" t="s">
        <v>321</v>
      </c>
      <c r="AF57" s="126"/>
      <c r="AG57" s="126"/>
      <c r="AH57" s="102"/>
      <c r="AI57" s="102"/>
      <c r="AJ57" s="102"/>
      <c r="AK57" s="102"/>
      <c r="AL57" s="102"/>
      <c r="AM57" s="102"/>
    </row>
    <row r="58" spans="2:39" s="127" customFormat="1" ht="13.5" thickBot="1">
      <c r="B58" s="1252" t="s">
        <v>6340</v>
      </c>
      <c r="C58" s="1255" t="s">
        <v>6341</v>
      </c>
      <c r="D58" s="1254" t="s">
        <v>4842</v>
      </c>
      <c r="E58" s="1253">
        <f>40+13.3*N_br</f>
        <v>79.900000000000006</v>
      </c>
      <c r="F58" s="1253">
        <f>40+13.3*N_br</f>
        <v>79.900000000000006</v>
      </c>
      <c r="G58" s="1250" t="s">
        <v>4842</v>
      </c>
      <c r="H58" s="1257">
        <f>F58</f>
        <v>79.900000000000006</v>
      </c>
      <c r="I58" s="1258">
        <f>I56</f>
        <v>0.3</v>
      </c>
      <c r="J58" s="1258">
        <f>J56</f>
        <v>0.2</v>
      </c>
      <c r="M58" s="1258">
        <f>$H58*I58</f>
        <v>23.970000000000002</v>
      </c>
      <c r="N58" s="1258">
        <f>$H58*J58</f>
        <v>15.980000000000002</v>
      </c>
      <c r="O58" s="1258"/>
      <c r="P58" s="1258"/>
      <c r="T58" s="132"/>
      <c r="U58" s="102"/>
      <c r="V58" s="102"/>
      <c r="W58" s="102"/>
      <c r="X58" s="106"/>
      <c r="Y58" s="107"/>
      <c r="Z58" s="112" t="s">
        <v>1303</v>
      </c>
      <c r="AA58" s="111" t="s">
        <v>1064</v>
      </c>
      <c r="AB58" s="383" t="b">
        <v>0</v>
      </c>
      <c r="AC58" s="152"/>
      <c r="AD58" s="102"/>
      <c r="AE58" s="126"/>
      <c r="AF58" s="126"/>
      <c r="AG58" s="126"/>
      <c r="AH58" s="102"/>
      <c r="AI58" s="102"/>
      <c r="AJ58" s="102"/>
      <c r="AK58" s="102"/>
      <c r="AL58" s="102"/>
      <c r="AM58" s="102"/>
    </row>
    <row r="59" spans="2:39" s="127" customFormat="1" ht="12.75">
      <c r="B59" s="1250" t="s">
        <v>6347</v>
      </c>
      <c r="C59" s="1250" t="s">
        <v>6348</v>
      </c>
      <c r="D59" s="1250" t="s">
        <v>4842</v>
      </c>
      <c r="E59" s="1259">
        <f>1/7</f>
        <v>0.14285714285714285</v>
      </c>
      <c r="T59" s="132"/>
      <c r="U59" s="102"/>
      <c r="V59" s="102"/>
      <c r="W59" s="102"/>
      <c r="X59" s="106"/>
      <c r="Y59" s="107"/>
      <c r="Z59" s="108" t="s">
        <v>355</v>
      </c>
      <c r="AA59" s="111"/>
      <c r="AB59" s="361">
        <v>1</v>
      </c>
      <c r="AC59" s="152"/>
      <c r="AD59" s="102"/>
      <c r="AE59" s="152"/>
      <c r="AF59" s="152"/>
      <c r="AG59" s="152"/>
      <c r="AH59" s="152"/>
      <c r="AI59" s="152"/>
      <c r="AJ59" s="152"/>
      <c r="AK59" s="102"/>
      <c r="AL59" s="102"/>
      <c r="AM59" s="102"/>
    </row>
    <row r="60" spans="2:39" s="102" customFormat="1" ht="13.5" thickBot="1">
      <c r="B60" s="1252" t="s">
        <v>6326</v>
      </c>
      <c r="C60" s="1255" t="s">
        <v>6331</v>
      </c>
      <c r="D60" s="1256" t="s">
        <v>4842</v>
      </c>
      <c r="E60" s="1253">
        <f>E54*$E$59</f>
        <v>24.74285714285714</v>
      </c>
      <c r="F60" s="1253">
        <f>E60/NewConst!F341</f>
        <v>61.857142857142847</v>
      </c>
      <c r="G60" s="2310" t="s">
        <v>6342</v>
      </c>
      <c r="H60" s="2311">
        <f>F60+F61</f>
        <v>134.02463054187191</v>
      </c>
      <c r="I60" s="2308">
        <f>I54</f>
        <v>0.4</v>
      </c>
      <c r="J60" s="2308">
        <f>J54</f>
        <v>0.3</v>
      </c>
      <c r="K60" s="127"/>
      <c r="L60" s="127"/>
      <c r="M60" s="2308">
        <f>I60*$H60</f>
        <v>53.60985221674877</v>
      </c>
      <c r="N60" s="2308">
        <f>J60*$H60</f>
        <v>40.207389162561576</v>
      </c>
      <c r="O60" s="2308"/>
      <c r="P60" s="2308"/>
      <c r="T60" s="132"/>
      <c r="X60" s="120"/>
      <c r="Y60" s="121"/>
      <c r="Z60" s="110" t="s">
        <v>1099</v>
      </c>
      <c r="AA60" s="46"/>
      <c r="AB60" s="361" t="b">
        <v>1</v>
      </c>
      <c r="AC60" s="152"/>
      <c r="AE60" s="152"/>
      <c r="AF60" s="152"/>
      <c r="AG60" s="152"/>
      <c r="AH60" s="152"/>
      <c r="AI60" s="152"/>
      <c r="AJ60" s="152"/>
    </row>
    <row r="61" spans="2:39" s="132" customFormat="1" ht="13.5" thickBot="1">
      <c r="B61" s="1252" t="s">
        <v>6327</v>
      </c>
      <c r="C61" s="1255" t="s">
        <v>6332</v>
      </c>
      <c r="D61" s="1228" t="s">
        <v>4842</v>
      </c>
      <c r="E61" s="1253">
        <f>E55*$E$59</f>
        <v>4.1857142857142859</v>
      </c>
      <c r="F61" s="1253">
        <f>E61/NewConst!F342</f>
        <v>72.167487684729068</v>
      </c>
      <c r="G61" s="2310"/>
      <c r="H61" s="2311"/>
      <c r="I61" s="2309"/>
      <c r="J61" s="2309"/>
      <c r="K61" s="127"/>
      <c r="L61" s="127"/>
      <c r="M61" s="2309"/>
      <c r="N61" s="2309"/>
      <c r="O61" s="2309"/>
      <c r="P61" s="2309"/>
      <c r="U61" s="127"/>
      <c r="V61" s="102"/>
      <c r="W61" s="127"/>
      <c r="X61" s="2335" t="s">
        <v>325</v>
      </c>
      <c r="Y61" s="2336"/>
      <c r="Z61" s="2336"/>
      <c r="AA61" s="2336"/>
      <c r="AB61" s="147"/>
      <c r="AC61" s="152"/>
      <c r="AD61" s="102"/>
      <c r="AE61" s="1067"/>
      <c r="AF61" s="1067"/>
      <c r="AG61" s="1067"/>
      <c r="AH61" s="102"/>
      <c r="AI61" s="102"/>
      <c r="AJ61" s="102"/>
      <c r="AK61" s="102"/>
      <c r="AL61" s="102"/>
      <c r="AM61" s="127"/>
    </row>
    <row r="62" spans="2:39" s="132" customFormat="1" ht="12" customHeight="1" thickBot="1">
      <c r="B62" s="1252" t="s">
        <v>6328</v>
      </c>
      <c r="C62" s="1255" t="s">
        <v>6333</v>
      </c>
      <c r="D62" s="1228" t="s">
        <v>4842</v>
      </c>
      <c r="E62" s="1253">
        <f>E56*$E$59</f>
        <v>0.75428571428571423</v>
      </c>
      <c r="F62" s="1253">
        <f>E62/NewConst!F341</f>
        <v>1.8857142857142855</v>
      </c>
      <c r="G62" s="2310" t="s">
        <v>6342</v>
      </c>
      <c r="H62" s="2311">
        <f>F62+F63</f>
        <v>4.0778325123152701</v>
      </c>
      <c r="I62" s="2308">
        <f>I56</f>
        <v>0.3</v>
      </c>
      <c r="J62" s="2308">
        <f>J56</f>
        <v>0.2</v>
      </c>
      <c r="K62" s="102"/>
      <c r="L62" s="102"/>
      <c r="M62" s="2308"/>
      <c r="N62" s="2308"/>
      <c r="O62" s="2308">
        <f>I62*$H62</f>
        <v>1.223349753694581</v>
      </c>
      <c r="P62" s="2308">
        <f>J62*$H62</f>
        <v>0.81556650246305407</v>
      </c>
      <c r="U62" s="102"/>
      <c r="V62" s="102"/>
      <c r="W62" s="102"/>
      <c r="X62" s="106"/>
      <c r="Y62" s="107"/>
      <c r="Z62" s="109" t="str">
        <f>NewConst!$C$26</f>
        <v>Number of Bedrooms (6 maximum)</v>
      </c>
      <c r="AA62" s="111" t="str">
        <f>NewConst!$D$26</f>
        <v>#</v>
      </c>
      <c r="AB62" s="141">
        <f>N_br</f>
        <v>3</v>
      </c>
      <c r="AC62" s="152"/>
      <c r="AD62" s="1067"/>
      <c r="AE62" s="1067"/>
      <c r="AF62" s="1067"/>
      <c r="AG62" s="1067"/>
      <c r="AH62" s="102"/>
      <c r="AI62" s="102"/>
      <c r="AJ62" s="102"/>
      <c r="AK62" s="102"/>
      <c r="AL62" s="102"/>
      <c r="AM62" s="102"/>
    </row>
    <row r="63" spans="2:39" s="132" customFormat="1" ht="13.5" thickBot="1">
      <c r="B63" s="1252" t="s">
        <v>6329</v>
      </c>
      <c r="C63" s="1255" t="s">
        <v>6334</v>
      </c>
      <c r="D63" s="1254" t="s">
        <v>4842</v>
      </c>
      <c r="E63" s="1253">
        <f>E57*$E$59</f>
        <v>0.12714285714285711</v>
      </c>
      <c r="F63" s="1253">
        <f>E63/NewConst!F342</f>
        <v>2.1921182266009844</v>
      </c>
      <c r="G63" s="2310"/>
      <c r="H63" s="2311"/>
      <c r="I63" s="2309"/>
      <c r="J63" s="2309"/>
      <c r="K63" s="127"/>
      <c r="L63" s="127"/>
      <c r="M63" s="2309"/>
      <c r="N63" s="2309"/>
      <c r="O63" s="2309"/>
      <c r="P63" s="2309"/>
      <c r="T63" s="102"/>
      <c r="U63" s="127"/>
      <c r="V63" s="1068"/>
      <c r="W63" s="127"/>
      <c r="X63" s="2300" t="s">
        <v>324</v>
      </c>
      <c r="Y63" s="2301"/>
      <c r="Z63" s="2301"/>
      <c r="AA63" s="2301"/>
      <c r="AB63" s="147"/>
      <c r="AC63" s="152"/>
      <c r="AD63" s="102"/>
      <c r="AE63" s="1067"/>
      <c r="AF63" s="1067"/>
      <c r="AG63" s="1067"/>
      <c r="AH63" s="102"/>
      <c r="AI63" s="102"/>
      <c r="AJ63" s="102"/>
      <c r="AK63" s="102"/>
      <c r="AL63" s="102"/>
      <c r="AM63" s="127"/>
    </row>
    <row r="64" spans="2:39" s="132" customFormat="1" ht="13.5" thickBot="1">
      <c r="B64" s="1252" t="s">
        <v>6340</v>
      </c>
      <c r="C64" s="1255" t="s">
        <v>6341</v>
      </c>
      <c r="D64" s="1254" t="s">
        <v>4842</v>
      </c>
      <c r="E64" s="1253">
        <f>E58*$E$59</f>
        <v>11.414285714285715</v>
      </c>
      <c r="F64" s="1253">
        <f>40+13.3*N_br</f>
        <v>79.900000000000006</v>
      </c>
      <c r="G64" s="1250" t="s">
        <v>4842</v>
      </c>
      <c r="H64" s="1257">
        <f>F64</f>
        <v>79.900000000000006</v>
      </c>
      <c r="I64" s="1258">
        <f>I62</f>
        <v>0.3</v>
      </c>
      <c r="J64" s="1258">
        <f>J62</f>
        <v>0.2</v>
      </c>
      <c r="K64" s="127"/>
      <c r="L64" s="127"/>
      <c r="M64" s="1258">
        <f>$H64*I64</f>
        <v>23.970000000000002</v>
      </c>
      <c r="N64" s="1258">
        <f>$H64*J64</f>
        <v>15.980000000000002</v>
      </c>
      <c r="O64" s="1258"/>
      <c r="P64" s="1258"/>
      <c r="T64" s="102"/>
      <c r="U64" s="102"/>
      <c r="V64" s="102"/>
      <c r="W64" s="102"/>
      <c r="X64" s="103"/>
      <c r="Y64" s="104"/>
      <c r="Z64" s="159" t="s">
        <v>1306</v>
      </c>
      <c r="AA64" s="129" t="s">
        <v>531</v>
      </c>
      <c r="AB64" s="142">
        <f>'Monthly Profiles'!G6</f>
        <v>48.718290388117268</v>
      </c>
      <c r="AC64" s="152"/>
      <c r="AD64" s="102"/>
      <c r="AE64" s="1067"/>
      <c r="AF64" s="1067"/>
      <c r="AG64" s="1067"/>
      <c r="AH64" s="102"/>
      <c r="AI64" s="102"/>
      <c r="AJ64" s="102"/>
      <c r="AK64" s="102"/>
      <c r="AL64" s="102"/>
      <c r="AM64" s="102"/>
    </row>
    <row r="65" spans="20:39" s="132" customFormat="1">
      <c r="T65" s="102"/>
      <c r="U65" s="102"/>
      <c r="V65" s="102"/>
      <c r="W65" s="102"/>
      <c r="X65" s="106"/>
      <c r="Y65" s="107"/>
      <c r="Z65" s="134" t="s">
        <v>1307</v>
      </c>
      <c r="AA65" s="111" t="s">
        <v>531</v>
      </c>
      <c r="AB65" s="142">
        <f>'Monthly Profiles'!G7</f>
        <v>47.641339778292384</v>
      </c>
      <c r="AC65" s="152"/>
      <c r="AD65" s="102"/>
      <c r="AE65" s="1067"/>
      <c r="AF65" s="1067"/>
      <c r="AG65" s="1067"/>
      <c r="AH65" s="102"/>
      <c r="AI65" s="102"/>
      <c r="AJ65" s="102"/>
      <c r="AK65" s="102"/>
      <c r="AL65" s="102"/>
      <c r="AM65" s="102"/>
    </row>
    <row r="66" spans="20:39" s="132" customFormat="1">
      <c r="T66" s="102"/>
      <c r="U66" s="102"/>
      <c r="V66" s="102"/>
      <c r="W66" s="102"/>
      <c r="X66" s="106"/>
      <c r="Y66" s="107"/>
      <c r="Z66" s="134" t="s">
        <v>837</v>
      </c>
      <c r="AA66" s="111" t="s">
        <v>531</v>
      </c>
      <c r="AB66" s="142">
        <f>'Monthly Profiles'!G8</f>
        <v>49.150569276918105</v>
      </c>
      <c r="AC66" s="152"/>
      <c r="AD66" s="102"/>
      <c r="AE66" s="1067"/>
      <c r="AF66" s="1067"/>
      <c r="AG66" s="1067"/>
      <c r="AH66" s="102"/>
      <c r="AI66" s="102"/>
      <c r="AJ66" s="102"/>
      <c r="AK66" s="102"/>
      <c r="AL66" s="102"/>
      <c r="AM66" s="102"/>
    </row>
    <row r="67" spans="20:39" s="132" customFormat="1">
      <c r="T67" s="102"/>
      <c r="U67" s="102"/>
      <c r="V67" s="102"/>
      <c r="W67" s="102"/>
      <c r="X67" s="106"/>
      <c r="Y67" s="107"/>
      <c r="Z67" s="134" t="s">
        <v>978</v>
      </c>
      <c r="AA67" s="111" t="s">
        <v>531</v>
      </c>
      <c r="AB67" s="142">
        <f>'Monthly Profiles'!G9</f>
        <v>52.85257495724705</v>
      </c>
      <c r="AC67" s="152"/>
      <c r="AD67" s="102"/>
      <c r="AE67" s="1067"/>
      <c r="AF67" s="1067"/>
      <c r="AG67" s="1067"/>
      <c r="AH67" s="102"/>
      <c r="AI67" s="102"/>
      <c r="AJ67" s="102"/>
      <c r="AK67" s="102"/>
      <c r="AL67" s="102"/>
      <c r="AM67" s="102"/>
    </row>
    <row r="68" spans="20:39" s="132" customFormat="1" ht="12.75">
      <c r="T68" s="102"/>
      <c r="U68" s="102"/>
      <c r="V68" s="102"/>
      <c r="W68" s="102"/>
      <c r="X68" s="106"/>
      <c r="Y68" s="107"/>
      <c r="Z68" s="134" t="s">
        <v>979</v>
      </c>
      <c r="AA68" s="111" t="s">
        <v>531</v>
      </c>
      <c r="AB68" s="142">
        <f>'Monthly Profiles'!G10</f>
        <v>57.782371989067066</v>
      </c>
      <c r="AC68" s="152"/>
      <c r="AD68" s="101"/>
      <c r="AE68" s="1067"/>
      <c r="AF68" s="1067"/>
      <c r="AG68" s="1067"/>
      <c r="AH68" s="102"/>
      <c r="AI68" s="102"/>
      <c r="AJ68" s="102"/>
      <c r="AK68" s="102"/>
      <c r="AL68" s="102"/>
      <c r="AM68" s="102"/>
    </row>
    <row r="69" spans="20:39" s="127" customFormat="1" ht="12.75">
      <c r="T69" s="102"/>
      <c r="U69" s="102"/>
      <c r="V69" s="102"/>
      <c r="W69" s="102"/>
      <c r="X69" s="106"/>
      <c r="Y69" s="107"/>
      <c r="Z69" s="134" t="s">
        <v>253</v>
      </c>
      <c r="AA69" s="111" t="s">
        <v>531</v>
      </c>
      <c r="AB69" s="142">
        <f>'Monthly Profiles'!G11</f>
        <v>62.654932805562403</v>
      </c>
      <c r="AC69" s="152"/>
      <c r="AD69" s="101"/>
      <c r="AE69" s="1067"/>
      <c r="AF69" s="1067"/>
      <c r="AG69" s="1067"/>
      <c r="AH69" s="102"/>
      <c r="AI69" s="102"/>
      <c r="AJ69" s="102"/>
      <c r="AK69" s="102"/>
      <c r="AL69" s="102"/>
      <c r="AM69" s="102"/>
    </row>
    <row r="70" spans="20:39" s="132" customFormat="1" ht="12.75">
      <c r="T70" s="102"/>
      <c r="U70" s="102"/>
      <c r="V70" s="102"/>
      <c r="W70" s="102"/>
      <c r="X70" s="106"/>
      <c r="Y70" s="107"/>
      <c r="Z70" s="134" t="s">
        <v>193</v>
      </c>
      <c r="AA70" s="111" t="s">
        <v>531</v>
      </c>
      <c r="AB70" s="142">
        <f>'Monthly Profiles'!G12</f>
        <v>66.200149341478465</v>
      </c>
      <c r="AC70" s="152"/>
      <c r="AD70" s="101"/>
      <c r="AE70" s="1067"/>
      <c r="AF70" s="1067"/>
      <c r="AG70" s="1067"/>
      <c r="AH70" s="102"/>
      <c r="AI70" s="102"/>
      <c r="AJ70" s="102"/>
      <c r="AK70" s="102"/>
      <c r="AL70" s="102"/>
      <c r="AM70" s="102"/>
    </row>
    <row r="71" spans="20:39" s="132" customFormat="1" ht="12.75">
      <c r="T71" s="102"/>
      <c r="U71" s="102"/>
      <c r="V71" s="102"/>
      <c r="W71" s="102"/>
      <c r="X71" s="106"/>
      <c r="Y71" s="107"/>
      <c r="Z71" s="134" t="s">
        <v>69</v>
      </c>
      <c r="AA71" s="111" t="s">
        <v>531</v>
      </c>
      <c r="AB71" s="142">
        <f>'Monthly Profiles'!G13</f>
        <v>67.493906273288161</v>
      </c>
      <c r="AC71" s="152"/>
      <c r="AD71" s="101"/>
      <c r="AE71" s="1067"/>
      <c r="AF71" s="1067"/>
      <c r="AG71" s="1067"/>
      <c r="AH71" s="102"/>
      <c r="AI71" s="102"/>
      <c r="AJ71" s="102"/>
      <c r="AK71" s="102"/>
      <c r="AL71" s="102"/>
      <c r="AM71" s="102"/>
    </row>
    <row r="72" spans="20:39" s="132" customFormat="1" ht="12.75">
      <c r="T72" s="102"/>
      <c r="U72" s="102"/>
      <c r="V72" s="102"/>
      <c r="W72" s="102"/>
      <c r="X72" s="106"/>
      <c r="Y72" s="107"/>
      <c r="Z72" s="134" t="s">
        <v>70</v>
      </c>
      <c r="AA72" s="111" t="s">
        <v>531</v>
      </c>
      <c r="AB72" s="142">
        <f>'Monthly Profiles'!G14</f>
        <v>66.198965919317473</v>
      </c>
      <c r="AC72" s="152"/>
      <c r="AD72" s="101"/>
      <c r="AE72" s="1067"/>
      <c r="AF72" s="1067"/>
      <c r="AG72" s="1067"/>
      <c r="AH72" s="102"/>
      <c r="AI72" s="102"/>
      <c r="AJ72" s="102"/>
      <c r="AK72" s="102"/>
      <c r="AL72" s="102"/>
      <c r="AM72" s="102"/>
    </row>
    <row r="73" spans="20:39" s="132" customFormat="1" ht="12.75">
      <c r="T73" s="102"/>
      <c r="U73" s="102"/>
      <c r="V73" s="102"/>
      <c r="W73" s="102"/>
      <c r="X73" s="106"/>
      <c r="Y73" s="107"/>
      <c r="Z73" s="134" t="s">
        <v>519</v>
      </c>
      <c r="AA73" s="111" t="s">
        <v>531</v>
      </c>
      <c r="AB73" s="142">
        <f>'Monthly Profiles'!G15</f>
        <v>62.65287443846379</v>
      </c>
      <c r="AC73" s="152"/>
      <c r="AD73" s="101"/>
      <c r="AE73" s="1067"/>
      <c r="AF73" s="1067"/>
      <c r="AG73" s="1067"/>
      <c r="AH73" s="102"/>
      <c r="AI73" s="102"/>
      <c r="AJ73" s="102"/>
      <c r="AK73" s="102"/>
      <c r="AL73" s="102"/>
      <c r="AM73" s="102"/>
    </row>
    <row r="74" spans="20:39" s="132" customFormat="1" ht="12.75">
      <c r="T74" s="102"/>
      <c r="U74" s="102"/>
      <c r="V74" s="102"/>
      <c r="W74" s="102"/>
      <c r="X74" s="106"/>
      <c r="Y74" s="107"/>
      <c r="Z74" s="134" t="s">
        <v>10</v>
      </c>
      <c r="AA74" s="111" t="s">
        <v>531</v>
      </c>
      <c r="AB74" s="142">
        <f>'Monthly Profiles'!G16</f>
        <v>57.779975222135477</v>
      </c>
      <c r="AC74" s="152"/>
      <c r="AD74" s="101"/>
      <c r="AE74" s="1067"/>
      <c r="AF74" s="1067"/>
      <c r="AG74" s="1067"/>
      <c r="AH74" s="102"/>
      <c r="AI74" s="102"/>
      <c r="AJ74" s="102"/>
      <c r="AK74" s="102"/>
      <c r="AL74" s="102"/>
      <c r="AM74" s="102"/>
    </row>
    <row r="75" spans="20:39" s="132" customFormat="1" ht="12.75">
      <c r="T75" s="102"/>
      <c r="U75" s="102"/>
      <c r="V75" s="102"/>
      <c r="W75" s="102"/>
      <c r="X75" s="106"/>
      <c r="Y75" s="107"/>
      <c r="Z75" s="134" t="s">
        <v>11</v>
      </c>
      <c r="AA75" s="111" t="s">
        <v>531</v>
      </c>
      <c r="AB75" s="142">
        <f>'Monthly Profiles'!G17</f>
        <v>52.850464544718484</v>
      </c>
      <c r="AC75" s="152"/>
      <c r="AD75" s="101"/>
      <c r="AE75" s="1067"/>
      <c r="AF75" s="1067"/>
      <c r="AG75" s="1067"/>
      <c r="AH75" s="102"/>
      <c r="AI75" s="102"/>
      <c r="AJ75" s="102"/>
      <c r="AK75" s="102"/>
      <c r="AL75" s="102"/>
      <c r="AM75" s="102"/>
    </row>
    <row r="76" spans="20:39" s="132" customFormat="1" ht="12.75">
      <c r="T76" s="102"/>
      <c r="U76" s="102"/>
      <c r="V76" s="102"/>
      <c r="W76" s="102"/>
      <c r="X76" s="106"/>
      <c r="Y76" s="107"/>
      <c r="Z76" s="109" t="str">
        <f>'Monthly Profiles'!B47</f>
        <v>Number Days, Jan</v>
      </c>
      <c r="AA76" s="111" t="s">
        <v>569</v>
      </c>
      <c r="AB76" s="141">
        <f>'Monthly Profiles'!$D$47</f>
        <v>31</v>
      </c>
      <c r="AC76" s="152"/>
      <c r="AD76" s="101"/>
      <c r="AE76" s="1067"/>
      <c r="AF76" s="1067"/>
      <c r="AG76" s="1067"/>
      <c r="AH76" s="102"/>
      <c r="AI76" s="102"/>
      <c r="AJ76" s="102"/>
      <c r="AK76" s="102"/>
      <c r="AL76" s="102"/>
      <c r="AM76" s="102"/>
    </row>
    <row r="77" spans="20:39" s="132" customFormat="1" ht="12.75">
      <c r="T77" s="102"/>
      <c r="U77" s="102"/>
      <c r="V77" s="102"/>
      <c r="W77" s="102"/>
      <c r="X77" s="106"/>
      <c r="Y77" s="107"/>
      <c r="Z77" s="109" t="str">
        <f>'Monthly Profiles'!B48</f>
        <v>Number Days, Feb</v>
      </c>
      <c r="AA77" s="111" t="s">
        <v>569</v>
      </c>
      <c r="AB77" s="141">
        <f>'Monthly Profiles'!$D$48</f>
        <v>28</v>
      </c>
      <c r="AC77" s="152"/>
      <c r="AD77" s="101"/>
      <c r="AE77" s="1067"/>
      <c r="AF77" s="1067"/>
      <c r="AG77" s="1067"/>
      <c r="AH77" s="102"/>
      <c r="AI77" s="102"/>
      <c r="AJ77" s="102"/>
      <c r="AK77" s="102"/>
      <c r="AL77" s="102"/>
      <c r="AM77" s="102"/>
    </row>
    <row r="78" spans="20:39" s="132" customFormat="1" ht="12.75">
      <c r="T78" s="102"/>
      <c r="U78" s="102"/>
      <c r="V78" s="102"/>
      <c r="W78" s="102"/>
      <c r="X78" s="106"/>
      <c r="Y78" s="107"/>
      <c r="Z78" s="109" t="str">
        <f>'Monthly Profiles'!B49</f>
        <v>Number Days, Mar</v>
      </c>
      <c r="AA78" s="111" t="s">
        <v>569</v>
      </c>
      <c r="AB78" s="141">
        <f>'Monthly Profiles'!$D$49</f>
        <v>31</v>
      </c>
      <c r="AC78" s="152"/>
      <c r="AD78" s="101"/>
      <c r="AE78" s="1067"/>
      <c r="AF78" s="1067"/>
      <c r="AG78" s="1067"/>
      <c r="AH78" s="102"/>
      <c r="AI78" s="102"/>
      <c r="AJ78" s="102"/>
      <c r="AK78" s="102"/>
      <c r="AL78" s="102"/>
      <c r="AM78" s="102"/>
    </row>
    <row r="79" spans="20:39" s="102" customFormat="1" ht="12.75">
      <c r="X79" s="106"/>
      <c r="Y79" s="107"/>
      <c r="Z79" s="109" t="str">
        <f>'Monthly Profiles'!B50</f>
        <v>Number Days, Apr</v>
      </c>
      <c r="AA79" s="111" t="s">
        <v>569</v>
      </c>
      <c r="AB79" s="141">
        <f>'Monthly Profiles'!$D$50</f>
        <v>30</v>
      </c>
      <c r="AC79" s="152"/>
      <c r="AD79" s="101"/>
      <c r="AE79" s="1067"/>
      <c r="AF79" s="1067"/>
      <c r="AG79" s="1067"/>
    </row>
    <row r="80" spans="20:39" s="102" customFormat="1" ht="12.75">
      <c r="X80" s="106"/>
      <c r="Y80" s="107"/>
      <c r="Z80" s="109" t="str">
        <f>'Monthly Profiles'!B51</f>
        <v>Number Days, May</v>
      </c>
      <c r="AA80" s="111" t="s">
        <v>569</v>
      </c>
      <c r="AB80" s="141">
        <f>'Monthly Profiles'!$D$51</f>
        <v>31</v>
      </c>
      <c r="AC80" s="152"/>
      <c r="AD80" s="101"/>
      <c r="AE80" s="1067"/>
      <c r="AF80" s="1067"/>
      <c r="AG80" s="1067"/>
    </row>
    <row r="81" spans="20:39" s="102" customFormat="1" ht="12.75">
      <c r="X81" s="106"/>
      <c r="Y81" s="107"/>
      <c r="Z81" s="109" t="str">
        <f>'Monthly Profiles'!B52</f>
        <v>Number Days, Jun</v>
      </c>
      <c r="AA81" s="111" t="s">
        <v>569</v>
      </c>
      <c r="AB81" s="141">
        <f>'Monthly Profiles'!$D$52</f>
        <v>30</v>
      </c>
      <c r="AC81" s="152"/>
      <c r="AD81" s="101"/>
      <c r="AE81" s="1067"/>
      <c r="AF81" s="1067"/>
      <c r="AG81" s="1067"/>
    </row>
    <row r="82" spans="20:39" s="102" customFormat="1" ht="12.75">
      <c r="X82" s="106"/>
      <c r="Y82" s="107"/>
      <c r="Z82" s="109" t="str">
        <f>'Monthly Profiles'!B53</f>
        <v>Number Days, Jul</v>
      </c>
      <c r="AA82" s="111" t="s">
        <v>569</v>
      </c>
      <c r="AB82" s="141">
        <f>'Monthly Profiles'!$D$53</f>
        <v>31</v>
      </c>
      <c r="AC82" s="152"/>
      <c r="AD82" s="101"/>
      <c r="AE82" s="1067"/>
      <c r="AF82" s="1067"/>
      <c r="AG82" s="1067"/>
    </row>
    <row r="83" spans="20:39" s="102" customFormat="1" ht="12.75">
      <c r="T83" s="101"/>
      <c r="X83" s="106"/>
      <c r="Y83" s="107"/>
      <c r="Z83" s="109" t="str">
        <f>'Monthly Profiles'!B54</f>
        <v>Number Days, Aug</v>
      </c>
      <c r="AA83" s="111" t="s">
        <v>569</v>
      </c>
      <c r="AB83" s="141">
        <f>'Monthly Profiles'!$D$54</f>
        <v>31</v>
      </c>
      <c r="AC83" s="152"/>
      <c r="AD83" s="101"/>
      <c r="AE83" s="1067"/>
      <c r="AF83" s="1067"/>
      <c r="AG83" s="1067"/>
    </row>
    <row r="84" spans="20:39" s="102" customFormat="1" ht="12.75">
      <c r="T84" s="127"/>
      <c r="X84" s="106"/>
      <c r="Y84" s="107"/>
      <c r="Z84" s="109" t="str">
        <f>'Monthly Profiles'!B55</f>
        <v>Number Days, Sep</v>
      </c>
      <c r="AA84" s="111" t="s">
        <v>569</v>
      </c>
      <c r="AB84" s="141">
        <f>'Monthly Profiles'!$D$55</f>
        <v>30</v>
      </c>
      <c r="AC84" s="152"/>
      <c r="AD84" s="101"/>
      <c r="AE84" s="1067"/>
      <c r="AF84" s="1067"/>
      <c r="AG84" s="1067"/>
    </row>
    <row r="85" spans="20:39" s="102" customFormat="1" ht="12.75">
      <c r="T85" s="127"/>
      <c r="X85" s="106"/>
      <c r="Y85" s="107"/>
      <c r="Z85" s="109" t="str">
        <f>'Monthly Profiles'!B56</f>
        <v>Number Days, Oct</v>
      </c>
      <c r="AA85" s="111" t="s">
        <v>569</v>
      </c>
      <c r="AB85" s="141">
        <f>'Monthly Profiles'!$D$56</f>
        <v>31</v>
      </c>
      <c r="AC85" s="152"/>
      <c r="AD85" s="101"/>
      <c r="AE85" s="1067"/>
      <c r="AF85" s="1067"/>
      <c r="AG85" s="1067"/>
    </row>
    <row r="86" spans="20:39" s="127" customFormat="1" ht="12.75">
      <c r="U86" s="102"/>
      <c r="V86" s="102"/>
      <c r="W86" s="102"/>
      <c r="X86" s="106"/>
      <c r="Y86" s="107"/>
      <c r="Z86" s="109" t="str">
        <f>'Monthly Profiles'!B57</f>
        <v>Number Days, Nov</v>
      </c>
      <c r="AA86" s="111" t="s">
        <v>569</v>
      </c>
      <c r="AB86" s="141">
        <f>'Monthly Profiles'!$D$57</f>
        <v>30</v>
      </c>
      <c r="AC86" s="152"/>
      <c r="AD86" s="101"/>
      <c r="AE86" s="1067"/>
      <c r="AF86" s="1067"/>
      <c r="AG86" s="1067"/>
      <c r="AH86" s="102"/>
      <c r="AI86" s="102"/>
      <c r="AJ86" s="102"/>
      <c r="AK86" s="102"/>
      <c r="AL86" s="102"/>
      <c r="AM86" s="102"/>
    </row>
    <row r="87" spans="20:39" s="102" customFormat="1" ht="12.75">
      <c r="T87" s="127"/>
      <c r="X87" s="106"/>
      <c r="Y87" s="107"/>
      <c r="Z87" s="109" t="str">
        <f>'Monthly Profiles'!B58</f>
        <v>Number Days, Dec</v>
      </c>
      <c r="AA87" s="111" t="s">
        <v>569</v>
      </c>
      <c r="AB87" s="141">
        <f>'Monthly Profiles'!$D$58</f>
        <v>31</v>
      </c>
      <c r="AC87" s="152"/>
      <c r="AD87" s="101"/>
      <c r="AE87" s="1067"/>
      <c r="AF87" s="1067"/>
      <c r="AG87" s="1067"/>
    </row>
    <row r="88" spans="20:39" s="102" customFormat="1" ht="12.75">
      <c r="U88" s="127"/>
      <c r="V88" s="1068"/>
      <c r="W88" s="127"/>
      <c r="X88" s="149"/>
      <c r="Y88" s="107"/>
      <c r="Z88" s="107" t="s">
        <v>906</v>
      </c>
      <c r="AA88" s="111" t="s">
        <v>56</v>
      </c>
      <c r="AB88" s="143">
        <v>8</v>
      </c>
      <c r="AC88" s="152"/>
      <c r="AD88" s="101"/>
      <c r="AE88" s="1067"/>
      <c r="AF88" s="1067"/>
      <c r="AG88" s="1067"/>
      <c r="AM88" s="127"/>
    </row>
    <row r="89" spans="20:39" s="102" customFormat="1" ht="12.75">
      <c r="U89" s="127"/>
      <c r="V89" s="1068"/>
      <c r="W89" s="127"/>
      <c r="X89" s="149"/>
      <c r="Y89" s="107"/>
      <c r="Z89" s="107" t="s">
        <v>787</v>
      </c>
      <c r="AA89" s="111"/>
      <c r="AB89" s="143">
        <v>0.75</v>
      </c>
      <c r="AC89" s="152"/>
      <c r="AD89" s="101"/>
      <c r="AE89" s="1067"/>
      <c r="AF89" s="1067"/>
      <c r="AG89" s="1067"/>
      <c r="AM89" s="127"/>
    </row>
    <row r="90" spans="20:39" s="102" customFormat="1" ht="12.75">
      <c r="U90" s="127"/>
      <c r="V90" s="1068"/>
      <c r="W90" s="127"/>
      <c r="X90" s="149"/>
      <c r="Y90" s="107"/>
      <c r="Z90" s="107" t="s">
        <v>788</v>
      </c>
      <c r="AA90" s="111"/>
      <c r="AB90" s="143">
        <v>1</v>
      </c>
      <c r="AC90" s="152"/>
      <c r="AD90" s="101"/>
      <c r="AE90" s="1067"/>
      <c r="AF90" s="1067"/>
      <c r="AG90" s="1067"/>
      <c r="AM90" s="127"/>
    </row>
    <row r="91" spans="20:39" s="102" customFormat="1" ht="12.75">
      <c r="U91" s="127"/>
      <c r="V91" s="1068"/>
      <c r="W91" s="127"/>
      <c r="X91" s="149"/>
      <c r="Y91" s="107"/>
      <c r="Z91" s="107" t="s">
        <v>776</v>
      </c>
      <c r="AA91" s="111" t="s">
        <v>777</v>
      </c>
      <c r="AB91" s="144">
        <f>29.3*$AB$89</f>
        <v>21.975000000000001</v>
      </c>
      <c r="AC91" s="152"/>
      <c r="AD91" s="101"/>
      <c r="AE91" s="1067"/>
      <c r="AF91" s="1067"/>
      <c r="AG91" s="1067"/>
      <c r="AM91" s="127"/>
    </row>
    <row r="92" spans="20:39" s="102" customFormat="1" ht="12.75">
      <c r="U92" s="127"/>
      <c r="V92" s="1068"/>
      <c r="W92" s="127"/>
      <c r="X92" s="149"/>
      <c r="Y92" s="107"/>
      <c r="Z92" s="107" t="s">
        <v>251</v>
      </c>
      <c r="AA92" s="111" t="s">
        <v>531</v>
      </c>
      <c r="AB92" s="143">
        <v>50</v>
      </c>
      <c r="AC92" s="152"/>
      <c r="AD92" s="101"/>
      <c r="AE92" s="1067"/>
      <c r="AF92" s="1067"/>
      <c r="AG92" s="1067"/>
      <c r="AM92" s="127"/>
    </row>
    <row r="93" spans="20:39" s="102" customFormat="1" ht="12.75">
      <c r="U93" s="127"/>
      <c r="V93" s="1068"/>
      <c r="W93" s="127"/>
      <c r="X93" s="149"/>
      <c r="Y93" s="107"/>
      <c r="Z93" s="107" t="s">
        <v>1032</v>
      </c>
      <c r="AA93" s="111" t="s">
        <v>960</v>
      </c>
      <c r="AB93" s="143">
        <v>3.7850000000000001</v>
      </c>
      <c r="AC93" s="152"/>
      <c r="AD93" s="101"/>
      <c r="AE93" s="1067"/>
      <c r="AF93" s="1067"/>
      <c r="AG93" s="1067"/>
      <c r="AM93" s="127"/>
    </row>
    <row r="94" spans="20:39" s="102" customFormat="1" ht="12.75">
      <c r="T94" s="127"/>
      <c r="X94" s="120"/>
      <c r="Y94" s="121"/>
      <c r="Z94" s="122" t="str">
        <f>NewConst!C112</f>
        <v>Tank Setpoint</v>
      </c>
      <c r="AA94" s="46" t="str">
        <f>NewConst!D112</f>
        <v>deg F</v>
      </c>
      <c r="AB94" s="160">
        <f>NewConst!$F$112</f>
        <v>130</v>
      </c>
      <c r="AC94" s="152"/>
      <c r="AD94" s="101"/>
      <c r="AE94" s="155"/>
      <c r="AF94" s="1067"/>
    </row>
    <row r="95" spans="20:39" s="127" customFormat="1" ht="15.75">
      <c r="T95" s="102"/>
      <c r="V95" s="100"/>
      <c r="Y95" s="101"/>
      <c r="Z95" s="101"/>
      <c r="AA95" s="99"/>
      <c r="AB95" s="99"/>
      <c r="AC95" s="99"/>
      <c r="AD95" s="1067"/>
      <c r="AE95" s="1067"/>
      <c r="AF95" s="1067"/>
      <c r="AG95" s="1067"/>
      <c r="AH95" s="102"/>
      <c r="AI95" s="102"/>
      <c r="AJ95" s="102"/>
      <c r="AK95" s="102"/>
      <c r="AL95" s="102"/>
    </row>
    <row r="96" spans="20:39" s="102" customFormat="1" ht="15.75">
      <c r="T96" s="127"/>
      <c r="U96" s="127"/>
      <c r="V96" s="100"/>
      <c r="W96" s="2306" t="s">
        <v>322</v>
      </c>
      <c r="X96" s="2307"/>
      <c r="Y96" s="2307"/>
      <c r="Z96" s="2307"/>
      <c r="AA96" s="574" t="s">
        <v>550</v>
      </c>
      <c r="AB96" s="574" t="s">
        <v>548</v>
      </c>
      <c r="AC96" s="575" t="s">
        <v>549</v>
      </c>
      <c r="AD96" s="153"/>
      <c r="AE96" s="153"/>
      <c r="AF96" s="153"/>
      <c r="AG96" s="1067"/>
      <c r="AM96" s="127"/>
    </row>
    <row r="97" spans="20:39" s="102" customFormat="1" ht="12.75">
      <c r="U97" s="127"/>
      <c r="V97" s="127"/>
      <c r="W97" s="127"/>
      <c r="X97" s="2300" t="s">
        <v>320</v>
      </c>
      <c r="Y97" s="2301"/>
      <c r="Z97" s="2301"/>
      <c r="AA97" s="2301"/>
      <c r="AB97" s="1065"/>
      <c r="AC97" s="1065"/>
      <c r="AD97" s="1366"/>
      <c r="AE97" s="1367"/>
      <c r="AF97" s="178"/>
      <c r="AG97" s="177"/>
      <c r="AH97" s="1414"/>
      <c r="AI97" s="1367"/>
    </row>
    <row r="98" spans="20:39" s="102" customFormat="1">
      <c r="X98" s="103"/>
      <c r="Y98" s="104"/>
      <c r="Z98" s="135" t="s">
        <v>459</v>
      </c>
      <c r="AA98" s="129" t="s">
        <v>4779</v>
      </c>
      <c r="AB98" s="111"/>
      <c r="AC98" s="111"/>
      <c r="AD98" s="1368" t="s">
        <v>1056</v>
      </c>
      <c r="AE98" s="1369" t="s">
        <v>48</v>
      </c>
      <c r="AF98" s="182" t="s">
        <v>4745</v>
      </c>
      <c r="AG98" s="181" t="s">
        <v>4707</v>
      </c>
      <c r="AH98" s="1415" t="s">
        <v>563</v>
      </c>
      <c r="AI98" s="1369" t="s">
        <v>563</v>
      </c>
    </row>
    <row r="99" spans="20:39" s="102" customFormat="1">
      <c r="U99" s="132"/>
      <c r="V99" s="132"/>
      <c r="W99" s="132"/>
      <c r="X99" s="429"/>
      <c r="Y99" s="108"/>
      <c r="Z99" s="112" t="s">
        <v>458</v>
      </c>
      <c r="AA99" s="430"/>
      <c r="AB99" s="430"/>
      <c r="AC99" s="430"/>
      <c r="AD99" s="1370" t="s">
        <v>517</v>
      </c>
      <c r="AE99" s="1371" t="s">
        <v>291</v>
      </c>
      <c r="AF99" s="252" t="s">
        <v>4745</v>
      </c>
      <c r="AG99" s="251" t="s">
        <v>4708</v>
      </c>
      <c r="AH99" s="1416" t="s">
        <v>139</v>
      </c>
      <c r="AI99" s="1371" t="s">
        <v>140</v>
      </c>
      <c r="AM99" s="132"/>
    </row>
    <row r="100" spans="20:39" s="102" customFormat="1">
      <c r="U100" s="132"/>
      <c r="V100" s="132"/>
      <c r="W100" s="132"/>
      <c r="X100" s="429"/>
      <c r="Y100" s="435" t="s">
        <v>542</v>
      </c>
      <c r="Z100" s="108"/>
      <c r="AA100" s="430"/>
      <c r="AB100" s="430"/>
      <c r="AC100" s="430"/>
      <c r="AD100" s="1372"/>
      <c r="AE100" s="1373"/>
      <c r="AF100" s="267"/>
      <c r="AG100" s="266"/>
      <c r="AH100" s="1417"/>
      <c r="AI100" s="1373"/>
      <c r="AM100" s="132"/>
    </row>
    <row r="101" spans="20:39" s="101" customFormat="1" ht="12.75">
      <c r="T101" s="102"/>
      <c r="U101" s="132"/>
      <c r="V101" s="132"/>
      <c r="W101" s="132"/>
      <c r="X101" s="429"/>
      <c r="Y101" s="108"/>
      <c r="Z101" s="112" t="s">
        <v>486</v>
      </c>
      <c r="AA101" s="430"/>
      <c r="AB101" s="430"/>
      <c r="AC101" s="430"/>
      <c r="AD101" s="1370" t="s">
        <v>773</v>
      </c>
      <c r="AE101" s="1371" t="s">
        <v>773</v>
      </c>
      <c r="AF101" s="259" t="s">
        <v>773</v>
      </c>
      <c r="AG101" s="254" t="s">
        <v>773</v>
      </c>
      <c r="AH101" s="1416" t="s">
        <v>57</v>
      </c>
      <c r="AI101" s="1371" t="s">
        <v>57</v>
      </c>
      <c r="AJ101" s="102"/>
      <c r="AK101" s="102"/>
      <c r="AL101" s="102"/>
      <c r="AM101" s="132"/>
    </row>
    <row r="102" spans="20:39" s="101" customFormat="1" ht="22.5">
      <c r="T102" s="102"/>
      <c r="U102" s="132"/>
      <c r="V102" s="132"/>
      <c r="W102" s="132"/>
      <c r="X102" s="429"/>
      <c r="Y102" s="108"/>
      <c r="Z102" s="112" t="s">
        <v>527</v>
      </c>
      <c r="AA102" s="430"/>
      <c r="AB102" s="430"/>
      <c r="AC102" s="430"/>
      <c r="AD102" s="1370" t="s">
        <v>773</v>
      </c>
      <c r="AE102" s="1371" t="s">
        <v>773</v>
      </c>
      <c r="AF102" s="259" t="s">
        <v>773</v>
      </c>
      <c r="AG102" s="254" t="s">
        <v>773</v>
      </c>
      <c r="AH102" s="1416" t="s">
        <v>573</v>
      </c>
      <c r="AI102" s="1371" t="s">
        <v>386</v>
      </c>
      <c r="AJ102" s="102"/>
      <c r="AK102" s="102"/>
      <c r="AL102" s="102"/>
      <c r="AM102" s="132"/>
    </row>
    <row r="103" spans="20:39" s="101" customFormat="1" ht="12.75">
      <c r="T103" s="102"/>
      <c r="U103" s="132"/>
      <c r="V103" s="132"/>
      <c r="W103" s="132"/>
      <c r="X103" s="429"/>
      <c r="Y103" s="108"/>
      <c r="Z103" s="112" t="s">
        <v>532</v>
      </c>
      <c r="AA103" s="430" t="s">
        <v>56</v>
      </c>
      <c r="AB103" s="430"/>
      <c r="AC103" s="430"/>
      <c r="AD103" s="1374" t="s">
        <v>773</v>
      </c>
      <c r="AE103" s="1375" t="s">
        <v>773</v>
      </c>
      <c r="AF103" s="274">
        <f>NewConst!F292</f>
        <v>14</v>
      </c>
      <c r="AG103" s="268">
        <f>NewConst!F310</f>
        <v>14</v>
      </c>
      <c r="AH103" s="1418">
        <v>8</v>
      </c>
      <c r="AI103" s="1375">
        <v>8</v>
      </c>
      <c r="AJ103" s="102"/>
      <c r="AK103" s="102"/>
      <c r="AL103" s="102"/>
      <c r="AM103" s="132"/>
    </row>
    <row r="104" spans="20:39" s="101" customFormat="1" ht="12.75">
      <c r="T104" s="102"/>
      <c r="U104" s="132"/>
      <c r="V104" s="132"/>
      <c r="W104" s="132"/>
      <c r="X104" s="429"/>
      <c r="Y104" s="108"/>
      <c r="Z104" s="112" t="s">
        <v>528</v>
      </c>
      <c r="AA104" s="430" t="s">
        <v>1065</v>
      </c>
      <c r="AB104" s="430"/>
      <c r="AC104" s="430"/>
      <c r="AD104" s="1374" t="s">
        <v>773</v>
      </c>
      <c r="AE104" s="1375" t="s">
        <v>773</v>
      </c>
      <c r="AF104" s="274" t="str">
        <f>NewConst!F293</f>
        <v>YES</v>
      </c>
      <c r="AG104" s="268" t="str">
        <f>NewConst!F311</f>
        <v>YES</v>
      </c>
      <c r="AH104" s="1418" t="s">
        <v>567</v>
      </c>
      <c r="AI104" s="1375" t="s">
        <v>567</v>
      </c>
      <c r="AJ104" s="102"/>
      <c r="AK104" s="102"/>
      <c r="AL104" s="102"/>
      <c r="AM104" s="132"/>
    </row>
    <row r="105" spans="20:39" s="101" customFormat="1" ht="12.75">
      <c r="T105" s="102"/>
      <c r="U105" s="132"/>
      <c r="V105" s="132"/>
      <c r="W105" s="132"/>
      <c r="X105" s="429"/>
      <c r="Y105" s="108"/>
      <c r="Z105" s="112" t="s">
        <v>55</v>
      </c>
      <c r="AA105" s="430" t="s">
        <v>1065</v>
      </c>
      <c r="AB105" s="430"/>
      <c r="AC105" s="430"/>
      <c r="AD105" s="1374" t="s">
        <v>773</v>
      </c>
      <c r="AE105" s="1375" t="s">
        <v>773</v>
      </c>
      <c r="AF105" s="274" t="str">
        <f>NewConst!F294</f>
        <v>NO</v>
      </c>
      <c r="AG105" s="268" t="str">
        <f>NewConst!F312</f>
        <v>NO</v>
      </c>
      <c r="AH105" s="1418" t="s">
        <v>671</v>
      </c>
      <c r="AI105" s="1375" t="s">
        <v>671</v>
      </c>
      <c r="AJ105" s="102"/>
      <c r="AK105" s="102"/>
      <c r="AL105" s="102"/>
      <c r="AM105" s="132"/>
    </row>
    <row r="106" spans="20:39" s="101" customFormat="1" ht="12.75">
      <c r="T106" s="102"/>
      <c r="U106" s="132"/>
      <c r="V106" s="132"/>
      <c r="W106" s="132"/>
      <c r="X106" s="437"/>
      <c r="Y106" s="110"/>
      <c r="Z106" s="338" t="s">
        <v>533</v>
      </c>
      <c r="AA106" s="438" t="s">
        <v>1065</v>
      </c>
      <c r="AB106" s="430"/>
      <c r="AC106" s="430"/>
      <c r="AD106" s="1374" t="s">
        <v>773</v>
      </c>
      <c r="AE106" s="1375" t="s">
        <v>773</v>
      </c>
      <c r="AF106" s="269" t="s">
        <v>773</v>
      </c>
      <c r="AG106" s="270" t="s">
        <v>773</v>
      </c>
      <c r="AH106" s="1418" t="s">
        <v>671</v>
      </c>
      <c r="AI106" s="1375" t="s">
        <v>567</v>
      </c>
      <c r="AJ106" s="102"/>
      <c r="AK106" s="102"/>
      <c r="AL106" s="102"/>
      <c r="AM106" s="132"/>
    </row>
    <row r="107" spans="20:39" s="101" customFormat="1" ht="12.75">
      <c r="T107" s="102"/>
      <c r="U107" s="127"/>
      <c r="V107" s="102"/>
      <c r="W107" s="102"/>
      <c r="X107" s="2300" t="s">
        <v>324</v>
      </c>
      <c r="Y107" s="2301"/>
      <c r="Z107" s="2301"/>
      <c r="AA107" s="2301"/>
      <c r="AB107" s="1065"/>
      <c r="AC107" s="1065"/>
      <c r="AD107" s="1376"/>
      <c r="AE107" s="1377"/>
      <c r="AF107" s="186"/>
      <c r="AG107" s="185"/>
      <c r="AH107" s="1419"/>
      <c r="AI107" s="1377"/>
      <c r="AJ107" s="102"/>
      <c r="AK107" s="102"/>
      <c r="AL107" s="102"/>
      <c r="AM107" s="102"/>
    </row>
    <row r="108" spans="20:39" s="101" customFormat="1" ht="12.75">
      <c r="T108" s="102"/>
      <c r="U108" s="132"/>
      <c r="V108" s="132"/>
      <c r="W108" s="132"/>
      <c r="X108" s="429"/>
      <c r="Y108" s="435" t="s">
        <v>425</v>
      </c>
      <c r="Z108" s="108"/>
      <c r="AA108" s="430"/>
      <c r="AB108" s="430"/>
      <c r="AC108" s="430"/>
      <c r="AD108" s="1372"/>
      <c r="AE108" s="1373"/>
      <c r="AF108" s="267"/>
      <c r="AG108" s="266"/>
      <c r="AH108" s="1417"/>
      <c r="AI108" s="1373"/>
      <c r="AJ108" s="102"/>
      <c r="AK108" s="102"/>
      <c r="AL108" s="102"/>
      <c r="AM108" s="132"/>
    </row>
    <row r="109" spans="20:39" s="101" customFormat="1" ht="12.75">
      <c r="T109" s="102"/>
      <c r="U109" s="132"/>
      <c r="V109" s="132"/>
      <c r="W109" s="132"/>
      <c r="X109" s="429"/>
      <c r="Y109" s="108"/>
      <c r="Z109" s="112" t="s">
        <v>574</v>
      </c>
      <c r="AA109" s="430" t="s">
        <v>353</v>
      </c>
      <c r="AB109" s="430"/>
      <c r="AC109" s="430"/>
      <c r="AD109" s="1374" t="s">
        <v>773</v>
      </c>
      <c r="AE109" s="1375" t="s">
        <v>773</v>
      </c>
      <c r="AF109" s="274">
        <f>NewConst!F290</f>
        <v>8.4000000000000005E-2</v>
      </c>
      <c r="AG109" s="268">
        <f>NewConst!F308</f>
        <v>8.4000000000000005E-2</v>
      </c>
      <c r="AH109" s="1418">
        <v>8.5999999999999993E-2</v>
      </c>
      <c r="AI109" s="1375">
        <v>8.5999999999999993E-2</v>
      </c>
      <c r="AJ109" s="102"/>
      <c r="AK109" s="102"/>
      <c r="AL109" s="102"/>
      <c r="AM109" s="132"/>
    </row>
    <row r="110" spans="20:39" s="101" customFormat="1" ht="12.75">
      <c r="T110" s="102"/>
      <c r="U110" s="132"/>
      <c r="V110" s="132"/>
      <c r="W110" s="132"/>
      <c r="X110" s="429"/>
      <c r="Y110" s="108"/>
      <c r="Z110" s="112" t="s">
        <v>415</v>
      </c>
      <c r="AA110" s="430" t="s">
        <v>354</v>
      </c>
      <c r="AB110" s="430"/>
      <c r="AC110" s="430"/>
      <c r="AD110" s="1374" t="s">
        <v>773</v>
      </c>
      <c r="AE110" s="1375" t="s">
        <v>773</v>
      </c>
      <c r="AF110" s="274">
        <f>NewConst!F291</f>
        <v>0.82</v>
      </c>
      <c r="AG110" s="268">
        <f>NewConst!F309</f>
        <v>0.82</v>
      </c>
      <c r="AH110" s="1418">
        <v>0.91</v>
      </c>
      <c r="AI110" s="1375">
        <v>0.91</v>
      </c>
      <c r="AJ110" s="102"/>
      <c r="AK110" s="102"/>
      <c r="AL110" s="102"/>
      <c r="AM110" s="132"/>
    </row>
    <row r="111" spans="20:39" s="101" customFormat="1" ht="12.75">
      <c r="T111" s="102"/>
      <c r="U111" s="132"/>
      <c r="V111" s="132"/>
      <c r="W111" s="132"/>
      <c r="X111" s="429"/>
      <c r="Y111" s="108"/>
      <c r="Z111" s="112" t="s">
        <v>778</v>
      </c>
      <c r="AA111" s="430" t="s">
        <v>494</v>
      </c>
      <c r="AB111" s="430"/>
      <c r="AC111" s="430"/>
      <c r="AD111" s="1374" t="s">
        <v>773</v>
      </c>
      <c r="AE111" s="1375" t="s">
        <v>773</v>
      </c>
      <c r="AF111" s="274">
        <f>NewConst!F288</f>
        <v>31</v>
      </c>
      <c r="AG111" s="268">
        <f>NewConst!F306</f>
        <v>31</v>
      </c>
      <c r="AH111" s="1418">
        <v>40</v>
      </c>
      <c r="AI111" s="1375">
        <v>33</v>
      </c>
      <c r="AJ111" s="102"/>
      <c r="AK111" s="102"/>
      <c r="AL111" s="102"/>
      <c r="AM111" s="132"/>
    </row>
    <row r="112" spans="20:39" s="101" customFormat="1" ht="12.75">
      <c r="T112" s="102"/>
      <c r="U112" s="132"/>
      <c r="V112" s="132"/>
      <c r="W112" s="132"/>
      <c r="X112" s="429"/>
      <c r="Y112" s="108"/>
      <c r="Z112" s="112" t="s">
        <v>416</v>
      </c>
      <c r="AA112" s="430" t="s">
        <v>494</v>
      </c>
      <c r="AB112" s="430"/>
      <c r="AC112" s="430"/>
      <c r="AD112" s="1374" t="s">
        <v>773</v>
      </c>
      <c r="AE112" s="1375" t="s">
        <v>773</v>
      </c>
      <c r="AF112" s="274">
        <f>NewConst!F289</f>
        <v>21</v>
      </c>
      <c r="AG112" s="268">
        <f>NewConst!F307</f>
        <v>21</v>
      </c>
      <c r="AH112" s="1418">
        <v>25</v>
      </c>
      <c r="AI112" s="1375">
        <v>21</v>
      </c>
      <c r="AJ112" s="102"/>
      <c r="AK112" s="102"/>
      <c r="AL112" s="102"/>
      <c r="AM112" s="132"/>
    </row>
    <row r="113" spans="20:39" s="101" customFormat="1" ht="12.75">
      <c r="T113" s="102"/>
      <c r="U113" s="132"/>
      <c r="V113" s="132"/>
      <c r="W113" s="132"/>
      <c r="X113" s="429"/>
      <c r="Y113" s="108"/>
      <c r="Z113" s="112" t="s">
        <v>417</v>
      </c>
      <c r="AA113" s="430" t="s">
        <v>1330</v>
      </c>
      <c r="AB113" s="430"/>
      <c r="AC113" s="430"/>
      <c r="AD113" s="1374" t="s">
        <v>773</v>
      </c>
      <c r="AE113" s="1375" t="s">
        <v>773</v>
      </c>
      <c r="AF113" s="279">
        <f>NewConst!F287</f>
        <v>372</v>
      </c>
      <c r="AG113" s="271">
        <f>NewConst!F305</f>
        <v>372</v>
      </c>
      <c r="AH113" s="1418">
        <v>462</v>
      </c>
      <c r="AI113" s="1375">
        <v>384</v>
      </c>
      <c r="AJ113" s="102"/>
      <c r="AK113" s="102"/>
      <c r="AL113" s="102"/>
      <c r="AM113" s="132"/>
    </row>
    <row r="114" spans="20:39" s="101" customFormat="1" ht="12.75">
      <c r="T114" s="102"/>
      <c r="U114" s="132"/>
      <c r="V114" s="132"/>
      <c r="W114" s="132"/>
      <c r="X114" s="429"/>
      <c r="Y114" s="108"/>
      <c r="Z114" s="112" t="s">
        <v>352</v>
      </c>
      <c r="AA114" s="430" t="s">
        <v>321</v>
      </c>
      <c r="AB114" s="430"/>
      <c r="AC114" s="430"/>
      <c r="AD114" s="1378" t="s">
        <v>773</v>
      </c>
      <c r="AE114" s="1379" t="s">
        <v>773</v>
      </c>
      <c r="AF114" s="471" t="str">
        <f>NewConst!F296</f>
        <v>2004 or later</v>
      </c>
      <c r="AG114" s="820">
        <f>NewConst!F314</f>
        <v>37622</v>
      </c>
      <c r="AH114" s="1420">
        <v>37987</v>
      </c>
      <c r="AI114" s="1379">
        <v>37622</v>
      </c>
      <c r="AJ114" s="102"/>
      <c r="AK114" s="102"/>
      <c r="AL114" s="102"/>
      <c r="AM114" s="132"/>
    </row>
    <row r="115" spans="20:39" s="101" customFormat="1" ht="12.75">
      <c r="T115" s="102"/>
      <c r="U115" s="102"/>
      <c r="V115" s="102"/>
      <c r="W115" s="102"/>
      <c r="X115" s="106"/>
      <c r="Y115" s="130" t="s">
        <v>543</v>
      </c>
      <c r="Z115" s="107"/>
      <c r="AA115" s="113"/>
      <c r="AB115" s="113"/>
      <c r="AC115" s="113"/>
      <c r="AD115" s="1380"/>
      <c r="AE115" s="1381"/>
      <c r="AF115" s="273"/>
      <c r="AG115" s="272"/>
      <c r="AH115" s="1421"/>
      <c r="AI115" s="1381"/>
      <c r="AJ115" s="102"/>
      <c r="AK115" s="102"/>
      <c r="AL115" s="102"/>
      <c r="AM115" s="102"/>
    </row>
    <row r="116" spans="20:39" s="101" customFormat="1" ht="12.75">
      <c r="T116" s="102"/>
      <c r="U116" s="102"/>
      <c r="V116" s="102"/>
      <c r="W116" s="102"/>
      <c r="X116" s="423"/>
      <c r="Y116" s="133"/>
      <c r="Z116" s="107" t="s">
        <v>1088</v>
      </c>
      <c r="AA116" s="113" t="s">
        <v>1333</v>
      </c>
      <c r="AB116" s="113"/>
      <c r="AC116" s="113"/>
      <c r="AD116" s="1374" t="s">
        <v>773</v>
      </c>
      <c r="AE116" s="1375" t="s">
        <v>773</v>
      </c>
      <c r="AF116" s="274">
        <f>IF(AF114="Before 6/15/2002",322,IF(AF114="6/15/2002 to 12/31/2003",264,IF(AF114="2004 or later",215,"error")))</f>
        <v>215</v>
      </c>
      <c r="AG116" s="274">
        <f>IF(AG114&lt;DATE(2002,6,15),322,IF(AG114&lt;DATE(2004,1,1),264,215))</f>
        <v>264</v>
      </c>
      <c r="AH116" s="1422">
        <f>IF(AH114&lt;DATE(2002,6,15),322,IF(AH114&lt;DATE(2004,1,1),264,215))</f>
        <v>215</v>
      </c>
      <c r="AI116" s="1423">
        <f>IF(AI114&lt;DATE(2002,6,15),322,IF(AI114&lt;DATE(2004,1,1),264,215))</f>
        <v>264</v>
      </c>
      <c r="AJ116" s="102"/>
      <c r="AK116" s="102"/>
      <c r="AL116" s="102"/>
      <c r="AM116" s="102"/>
    </row>
    <row r="117" spans="20:39" s="101" customFormat="1" ht="12.75">
      <c r="T117" s="102"/>
      <c r="U117" s="102"/>
      <c r="V117" s="102"/>
      <c r="W117" s="102"/>
      <c r="X117" s="429"/>
      <c r="Y117" s="108"/>
      <c r="Z117" s="112" t="s">
        <v>740</v>
      </c>
      <c r="AA117" s="430" t="s">
        <v>779</v>
      </c>
      <c r="AB117" s="430"/>
      <c r="AC117" s="430"/>
      <c r="AD117" s="1374" t="s">
        <v>773</v>
      </c>
      <c r="AE117" s="1375" t="s">
        <v>773</v>
      </c>
      <c r="AF117" s="274">
        <f>NewConst!F295</f>
        <v>5</v>
      </c>
      <c r="AG117" s="268">
        <f>NewConst!F313</f>
        <v>5</v>
      </c>
      <c r="AH117" s="1418">
        <v>0</v>
      </c>
      <c r="AI117" s="1375">
        <v>0</v>
      </c>
      <c r="AJ117" s="102"/>
      <c r="AK117" s="102"/>
      <c r="AL117" s="102"/>
      <c r="AM117" s="102"/>
    </row>
    <row r="118" spans="20:39" s="101" customFormat="1" ht="12.75">
      <c r="T118" s="102"/>
      <c r="U118" s="102"/>
      <c r="V118" s="102"/>
      <c r="W118" s="102"/>
      <c r="X118" s="106"/>
      <c r="Y118" s="130" t="s">
        <v>893</v>
      </c>
      <c r="Z118" s="107"/>
      <c r="AA118" s="113"/>
      <c r="AB118" s="113"/>
      <c r="AC118" s="113"/>
      <c r="AD118" s="1380"/>
      <c r="AE118" s="1381"/>
      <c r="AF118" s="273"/>
      <c r="AG118" s="272"/>
      <c r="AH118" s="1421"/>
      <c r="AI118" s="1381"/>
      <c r="AJ118" s="102"/>
      <c r="AK118" s="102"/>
      <c r="AL118" s="102"/>
      <c r="AM118" s="102"/>
    </row>
    <row r="119" spans="20:39" s="101" customFormat="1" ht="12.75">
      <c r="T119" s="102"/>
      <c r="U119" s="102"/>
      <c r="V119" s="102"/>
      <c r="W119" s="102"/>
      <c r="X119" s="423"/>
      <c r="Y119" s="133"/>
      <c r="Z119" s="107" t="s">
        <v>1023</v>
      </c>
      <c r="AA119" s="113" t="s">
        <v>1333</v>
      </c>
      <c r="AB119" s="113"/>
      <c r="AC119" s="113"/>
      <c r="AD119" s="1382" t="s">
        <v>773</v>
      </c>
      <c r="AE119" s="1383" t="s">
        <v>773</v>
      </c>
      <c r="AF119" s="201">
        <f>(215*(0.5+$AB$62/6))*$AB$88/$AF$103</f>
        <v>122.85714285714286</v>
      </c>
      <c r="AG119" s="200">
        <v>52</v>
      </c>
      <c r="AH119" s="1424">
        <f>AH116*(0.5+$AB$62/6)*$AB$88/AH103</f>
        <v>215</v>
      </c>
      <c r="AI119" s="1425">
        <f>AI116*(0.5+$AB$62/6)*$AB$88/AI103</f>
        <v>264</v>
      </c>
      <c r="AJ119" s="102"/>
      <c r="AK119" s="102"/>
      <c r="AL119" s="102"/>
      <c r="AM119" s="102"/>
    </row>
    <row r="120" spans="20:39" s="101" customFormat="1" ht="12.75">
      <c r="T120" s="102"/>
      <c r="U120" s="102"/>
      <c r="V120" s="102"/>
      <c r="W120" s="102"/>
      <c r="X120" s="423"/>
      <c r="Y120" s="433" t="s">
        <v>1002</v>
      </c>
      <c r="Z120" s="130"/>
      <c r="AA120" s="424"/>
      <c r="AB120" s="424"/>
      <c r="AC120" s="424"/>
      <c r="AD120" s="1376"/>
      <c r="AE120" s="1377"/>
      <c r="AF120" s="186"/>
      <c r="AG120" s="185"/>
      <c r="AH120" s="1419"/>
      <c r="AI120" s="1377"/>
      <c r="AJ120" s="102"/>
      <c r="AK120" s="102"/>
      <c r="AL120" s="102"/>
      <c r="AM120" s="102"/>
    </row>
    <row r="121" spans="20:39" s="101" customFormat="1" ht="12.75">
      <c r="T121" s="127"/>
      <c r="U121" s="102"/>
      <c r="V121" s="102"/>
      <c r="W121" s="102"/>
      <c r="X121" s="423"/>
      <c r="Y121" s="130"/>
      <c r="Z121" s="439" t="s">
        <v>1247</v>
      </c>
      <c r="AA121" s="113" t="s">
        <v>889</v>
      </c>
      <c r="AB121" s="113"/>
      <c r="AC121" s="113"/>
      <c r="AD121" s="1384" t="s">
        <v>773</v>
      </c>
      <c r="AE121" s="1385" t="s">
        <v>773</v>
      </c>
      <c r="AF121" s="276">
        <f>IF(AF105="yes",0,(AF113*AF109-AF112)/(($AB91*AF109)-AF110)/AF116)</f>
        <v>4.646175677850644E-2</v>
      </c>
      <c r="AG121" s="275">
        <f>IF(AG105="yes",0,(AG113*AG109-AG112)/(($AB91*AG109)-AG110)/AG116)</f>
        <v>3.7838173134010923E-2</v>
      </c>
      <c r="AH121" s="1426">
        <f>IF(AH105="yes",0,(AH113*AH109-AH112)/(($AB$91*AH109)-AH110)/AH116)</f>
        <v>6.9930020138345803E-2</v>
      </c>
      <c r="AI121" s="1427">
        <f>IF(AI105="yes",0,(AI113*AI109-AI112)/(($AB$91*AI109)-AI110)/AI116)</f>
        <v>4.6482068220089351E-2</v>
      </c>
      <c r="AJ121" s="102"/>
      <c r="AK121" s="102"/>
      <c r="AL121" s="102"/>
      <c r="AM121" s="102"/>
    </row>
    <row r="122" spans="20:39" s="101" customFormat="1" ht="12.75">
      <c r="T122" s="127"/>
      <c r="U122" s="102"/>
      <c r="V122" s="102"/>
      <c r="W122" s="102"/>
      <c r="X122" s="106"/>
      <c r="Y122" s="107"/>
      <c r="Z122" s="133" t="s">
        <v>73</v>
      </c>
      <c r="AA122" s="113" t="s">
        <v>1175</v>
      </c>
      <c r="AB122" s="113"/>
      <c r="AC122" s="113"/>
      <c r="AD122" s="1386" t="s">
        <v>773</v>
      </c>
      <c r="AE122" s="1387" t="s">
        <v>773</v>
      </c>
      <c r="AF122" s="278">
        <f>AF121*$AB91</f>
        <v>1.0209971052076792</v>
      </c>
      <c r="AG122" s="277">
        <f>AG121*$AB91</f>
        <v>0.83149385461989012</v>
      </c>
      <c r="AH122" s="1428">
        <f>AH121*$AB$91</f>
        <v>1.536712192540149</v>
      </c>
      <c r="AI122" s="1429">
        <f>AI121*$AB$91</f>
        <v>1.0214434491364635</v>
      </c>
      <c r="AJ122" s="102"/>
      <c r="AK122" s="102"/>
      <c r="AL122" s="102"/>
      <c r="AM122" s="102"/>
    </row>
    <row r="123" spans="20:39" s="101" customFormat="1" ht="22.5">
      <c r="T123" s="127"/>
      <c r="U123" s="102"/>
      <c r="V123" s="102"/>
      <c r="W123" s="102"/>
      <c r="X123" s="423"/>
      <c r="Y123" s="130"/>
      <c r="Z123" s="439" t="s">
        <v>1024</v>
      </c>
      <c r="AA123" s="113" t="s">
        <v>1330</v>
      </c>
      <c r="AB123" s="113"/>
      <c r="AC123" s="113"/>
      <c r="AD123" s="1388" t="s">
        <v>773</v>
      </c>
      <c r="AE123" s="1389" t="s">
        <v>773</v>
      </c>
      <c r="AF123" s="279">
        <f>AF122*AF119</f>
        <v>125.43678721122916</v>
      </c>
      <c r="AG123" s="271">
        <f>AG122*AG119</f>
        <v>43.237680440234286</v>
      </c>
      <c r="AH123" s="1430">
        <f>AH122*AH119</f>
        <v>330.39312139613202</v>
      </c>
      <c r="AI123" s="1431">
        <f>AI122*AI119</f>
        <v>269.66107057202635</v>
      </c>
      <c r="AJ123" s="102"/>
      <c r="AK123" s="102"/>
      <c r="AL123" s="102"/>
      <c r="AM123" s="102"/>
    </row>
    <row r="124" spans="20:39" s="101" customFormat="1" ht="22.5">
      <c r="T124" s="127"/>
      <c r="U124" s="102"/>
      <c r="V124" s="102"/>
      <c r="W124" s="102"/>
      <c r="X124" s="423"/>
      <c r="Y124" s="130"/>
      <c r="Z124" s="439" t="s">
        <v>168</v>
      </c>
      <c r="AA124" s="113" t="s">
        <v>1331</v>
      </c>
      <c r="AB124" s="113"/>
      <c r="AC124" s="113"/>
      <c r="AD124" s="1390" t="s">
        <v>773</v>
      </c>
      <c r="AE124" s="1391" t="s">
        <v>773</v>
      </c>
      <c r="AF124" s="279">
        <f>IF(AF105="yes",0,IF(AF104="yes",AF123/(70*0.0024),AF123/(90*0.0024)))</f>
        <v>746.64754292398322</v>
      </c>
      <c r="AG124" s="271">
        <f>IF(AG105="yes",0,IF(AG104="yes",AG123/(70*0.0024),AG123/(90*0.0024)))</f>
        <v>257.36714547758504</v>
      </c>
      <c r="AH124" s="1430">
        <f>IF(AH105="yes",0,IF(AH104="yes",AH123/(70*0.0024),AH123/(90*0.0024)))</f>
        <v>1966.6257225960242</v>
      </c>
      <c r="AI124" s="1431">
        <f>IF(AI105="yes",0,IF(AI104="yes",AI123/(70*0.0024),AI123/(90*0.0024)))</f>
        <v>1605.1254200715855</v>
      </c>
      <c r="AJ124" s="102"/>
      <c r="AK124" s="102"/>
      <c r="AL124" s="102"/>
      <c r="AM124" s="102"/>
    </row>
    <row r="125" spans="20:39" s="101" customFormat="1" ht="22.5">
      <c r="T125" s="127"/>
      <c r="U125" s="102"/>
      <c r="V125" s="102"/>
      <c r="W125" s="102"/>
      <c r="X125" s="423"/>
      <c r="Y125" s="130"/>
      <c r="Z125" s="439" t="s">
        <v>32</v>
      </c>
      <c r="AA125" s="113" t="s">
        <v>1332</v>
      </c>
      <c r="AB125" s="113"/>
      <c r="AC125" s="113"/>
      <c r="AD125" s="1392">
        <f>2.5 + 0.833*$AB$62</f>
        <v>4.9989999999999997</v>
      </c>
      <c r="AE125" s="1393">
        <v>4.9989999999999997</v>
      </c>
      <c r="AF125" s="278">
        <f>AF124/365</f>
        <v>2.0456097066410499</v>
      </c>
      <c r="AG125" s="277">
        <f>AG124/365</f>
        <v>0.70511546706187678</v>
      </c>
      <c r="AH125" s="1428">
        <f>AH124/365</f>
        <v>5.3880156783452717</v>
      </c>
      <c r="AI125" s="1429">
        <f>AI124/365</f>
        <v>4.3976038906070833</v>
      </c>
      <c r="AJ125" s="102"/>
      <c r="AK125" s="102"/>
      <c r="AL125" s="102"/>
      <c r="AM125" s="102"/>
    </row>
    <row r="126" spans="20:39" s="101" customFormat="1" ht="12.75">
      <c r="T126" s="127"/>
      <c r="U126" s="102"/>
      <c r="V126" s="102"/>
      <c r="W126" s="102"/>
      <c r="X126" s="423"/>
      <c r="Y126" s="433" t="s">
        <v>888</v>
      </c>
      <c r="Z126" s="433"/>
      <c r="AA126" s="113"/>
      <c r="AB126" s="113"/>
      <c r="AC126" s="113"/>
      <c r="AD126" s="1376"/>
      <c r="AE126" s="1377"/>
      <c r="AF126" s="186"/>
      <c r="AG126" s="185"/>
      <c r="AH126" s="1419"/>
      <c r="AI126" s="1377"/>
      <c r="AJ126" s="102"/>
      <c r="AK126" s="102"/>
      <c r="AL126" s="102"/>
      <c r="AM126" s="102"/>
    </row>
    <row r="127" spans="20:39" s="101" customFormat="1" ht="12.75">
      <c r="T127" s="102"/>
      <c r="U127" s="102"/>
      <c r="V127" s="102"/>
      <c r="W127" s="102"/>
      <c r="X127" s="423"/>
      <c r="Y127" s="433"/>
      <c r="Z127" s="124" t="s">
        <v>988</v>
      </c>
      <c r="AA127" s="113" t="s">
        <v>1175</v>
      </c>
      <c r="AB127" s="113"/>
      <c r="AC127" s="113"/>
      <c r="AD127" s="1394" t="s">
        <v>773</v>
      </c>
      <c r="AE127" s="1395" t="s">
        <v>773</v>
      </c>
      <c r="AF127" s="244">
        <f>AF113/AF116-AF122</f>
        <v>0.70923545293185564</v>
      </c>
      <c r="AG127" s="243">
        <f>AG113/AG116-AG122</f>
        <v>0.57759705447101906</v>
      </c>
      <c r="AH127" s="1432">
        <f>AH113/AH116-AH122</f>
        <v>0.61212501676217657</v>
      </c>
      <c r="AI127" s="1433">
        <f>AI113/AI116-AI122</f>
        <v>0.43310200540899113</v>
      </c>
      <c r="AJ127" s="102"/>
      <c r="AK127" s="102"/>
      <c r="AL127" s="102"/>
      <c r="AM127" s="102"/>
    </row>
    <row r="128" spans="20:39" s="101" customFormat="1" ht="12.75">
      <c r="T128" s="127"/>
      <c r="U128" s="102"/>
      <c r="V128" s="102"/>
      <c r="W128" s="102"/>
      <c r="X128" s="423"/>
      <c r="Y128" s="433"/>
      <c r="Z128" s="124" t="s">
        <v>987</v>
      </c>
      <c r="AA128" s="113" t="s">
        <v>160</v>
      </c>
      <c r="AB128" s="113"/>
      <c r="AC128" s="113"/>
      <c r="AD128" s="1396" t="s">
        <v>773</v>
      </c>
      <c r="AE128" s="1397" t="s">
        <v>773</v>
      </c>
      <c r="AF128" s="236">
        <f>(IF(AF$105="yes",($AB$92-$AB64)*AF$117*AF$119/365,IF(AND(AF$104="yes",120-$AB$94&gt;0),(120-$AB$94)*AF$124,0))*0.0024+(AF$127*AF$119/365))*3600*$AB76</f>
        <v>26641.715002186997</v>
      </c>
      <c r="AG128" s="236">
        <f t="shared" ref="AF128:AG139" si="5">(IF(AG$105="yes",($AB$92-$AB64)*AG$117*AG$119/365,IF(AND(AG$104="yes",120-$AB$94&gt;0),(120-$AB$94)*AG$124,0))*0.0024+(AG$127*AG$119/365))*3600*$AB76</f>
        <v>9183.3184287841596</v>
      </c>
      <c r="AH128" s="1434">
        <f t="shared" ref="AH128:AI139" si="6">(IF(AH$105="yes",($AB$92-$AB64)*AH$117*AH$119/365,IF(AND(AH$104="yes",120-$AB$94&lt;&gt;0),(120-$AB$94)*AH$124,0))*0.0024+(AH$127*AH$119/365))*3600*$AB76</f>
        <v>-5227171.0815595696</v>
      </c>
      <c r="AI128" s="1403">
        <f t="shared" si="6"/>
        <v>-4264208.4058754556</v>
      </c>
      <c r="AJ128" s="102"/>
      <c r="AK128" s="102"/>
      <c r="AL128" s="102"/>
      <c r="AM128" s="102"/>
    </row>
    <row r="129" spans="20:39" s="101" customFormat="1" ht="12.75">
      <c r="T129" s="127"/>
      <c r="U129" s="102"/>
      <c r="V129" s="102"/>
      <c r="W129" s="102"/>
      <c r="X129" s="423"/>
      <c r="Y129" s="433"/>
      <c r="Z129" s="124" t="s">
        <v>989</v>
      </c>
      <c r="AA129" s="113" t="s">
        <v>160</v>
      </c>
      <c r="AB129" s="113"/>
      <c r="AC129" s="113"/>
      <c r="AD129" s="1396" t="s">
        <v>773</v>
      </c>
      <c r="AE129" s="1397" t="s">
        <v>773</v>
      </c>
      <c r="AF129" s="236">
        <f t="shared" si="5"/>
        <v>24063.484518104386</v>
      </c>
      <c r="AG129" s="236">
        <f t="shared" ref="AG129:AG139" si="7">(IF(AG$105="yes",($AB$92-$AB65)*AG$117*AG$119/365,IF(AND(AG$104="yes",120-$AB$94&gt;0),(120-$AB$94)*AG$124,0))*0.0024+(AG$127*AG$119/365))*3600*$AB77</f>
        <v>8294.610193740531</v>
      </c>
      <c r="AH129" s="1434">
        <f t="shared" si="6"/>
        <v>-4721315.8156021927</v>
      </c>
      <c r="AI129" s="1403">
        <f t="shared" si="6"/>
        <v>-3851543.0762746045</v>
      </c>
      <c r="AJ129" s="102"/>
      <c r="AK129" s="102"/>
      <c r="AL129" s="102"/>
      <c r="AM129" s="102"/>
    </row>
    <row r="130" spans="20:39" s="101" customFormat="1" ht="12.75">
      <c r="T130" s="102"/>
      <c r="U130" s="102"/>
      <c r="V130" s="102"/>
      <c r="W130" s="102"/>
      <c r="X130" s="423"/>
      <c r="Y130" s="433"/>
      <c r="Z130" s="124" t="s">
        <v>990</v>
      </c>
      <c r="AA130" s="113" t="s">
        <v>160</v>
      </c>
      <c r="AB130" s="113"/>
      <c r="AC130" s="113"/>
      <c r="AD130" s="1396" t="s">
        <v>773</v>
      </c>
      <c r="AE130" s="1397" t="s">
        <v>773</v>
      </c>
      <c r="AF130" s="236">
        <f t="shared" si="5"/>
        <v>26641.715002186997</v>
      </c>
      <c r="AG130" s="236">
        <f t="shared" si="7"/>
        <v>9183.3184287841596</v>
      </c>
      <c r="AH130" s="1434">
        <f t="shared" si="6"/>
        <v>-5227171.0815595696</v>
      </c>
      <c r="AI130" s="1403">
        <f t="shared" si="6"/>
        <v>-4264208.4058754556</v>
      </c>
      <c r="AJ130" s="102"/>
      <c r="AK130" s="102"/>
      <c r="AL130" s="102"/>
      <c r="AM130" s="102"/>
    </row>
    <row r="131" spans="20:39" s="101" customFormat="1" ht="12.75">
      <c r="T131" s="102"/>
      <c r="U131" s="102"/>
      <c r="V131" s="102"/>
      <c r="W131" s="102"/>
      <c r="X131" s="423"/>
      <c r="Y131" s="433"/>
      <c r="Z131" s="124" t="s">
        <v>289</v>
      </c>
      <c r="AA131" s="113" t="s">
        <v>160</v>
      </c>
      <c r="AB131" s="113"/>
      <c r="AC131" s="113"/>
      <c r="AD131" s="1396" t="s">
        <v>773</v>
      </c>
      <c r="AE131" s="1397" t="s">
        <v>773</v>
      </c>
      <c r="AF131" s="236">
        <f t="shared" si="5"/>
        <v>25782.304840826127</v>
      </c>
      <c r="AG131" s="236">
        <f t="shared" si="7"/>
        <v>8887.0823504362834</v>
      </c>
      <c r="AH131" s="1434">
        <f t="shared" si="6"/>
        <v>-5058552.6595737776</v>
      </c>
      <c r="AI131" s="1403">
        <f t="shared" si="6"/>
        <v>-4126653.2960085049</v>
      </c>
      <c r="AJ131" s="102"/>
      <c r="AK131" s="102"/>
      <c r="AL131" s="102"/>
      <c r="AM131" s="102"/>
    </row>
    <row r="132" spans="20:39" s="127" customFormat="1" ht="12.75">
      <c r="T132" s="132"/>
      <c r="U132" s="102"/>
      <c r="V132" s="102"/>
      <c r="W132" s="102"/>
      <c r="X132" s="423"/>
      <c r="Y132" s="433"/>
      <c r="Z132" s="124" t="s">
        <v>884</v>
      </c>
      <c r="AA132" s="113" t="s">
        <v>160</v>
      </c>
      <c r="AB132" s="113"/>
      <c r="AC132" s="113"/>
      <c r="AD132" s="1396" t="s">
        <v>773</v>
      </c>
      <c r="AE132" s="1397" t="s">
        <v>773</v>
      </c>
      <c r="AF132" s="236">
        <f t="shared" si="5"/>
        <v>26641.715002186997</v>
      </c>
      <c r="AG132" s="236">
        <f t="shared" si="7"/>
        <v>9183.3184287841596</v>
      </c>
      <c r="AH132" s="1434">
        <f t="shared" si="6"/>
        <v>-5227171.0815595696</v>
      </c>
      <c r="AI132" s="1403">
        <f t="shared" si="6"/>
        <v>-4264208.4058754556</v>
      </c>
      <c r="AJ132" s="102"/>
      <c r="AK132" s="102"/>
      <c r="AL132" s="102"/>
      <c r="AM132" s="102"/>
    </row>
    <row r="133" spans="20:39" s="127" customFormat="1" ht="12.75">
      <c r="T133" s="132"/>
      <c r="U133" s="102"/>
      <c r="V133" s="102"/>
      <c r="W133" s="102"/>
      <c r="X133" s="423"/>
      <c r="Y133" s="433"/>
      <c r="Z133" s="124" t="s">
        <v>141</v>
      </c>
      <c r="AA133" s="113" t="s">
        <v>160</v>
      </c>
      <c r="AB133" s="113"/>
      <c r="AC133" s="113"/>
      <c r="AD133" s="1396" t="s">
        <v>773</v>
      </c>
      <c r="AE133" s="1397" t="s">
        <v>773</v>
      </c>
      <c r="AF133" s="236">
        <f t="shared" si="5"/>
        <v>25782.304840826127</v>
      </c>
      <c r="AG133" s="236">
        <f t="shared" si="7"/>
        <v>8887.0823504362834</v>
      </c>
      <c r="AH133" s="1434">
        <f t="shared" si="6"/>
        <v>-5058552.6595737776</v>
      </c>
      <c r="AI133" s="1403">
        <f t="shared" si="6"/>
        <v>-4126653.2960085049</v>
      </c>
      <c r="AJ133" s="102"/>
      <c r="AK133" s="102"/>
      <c r="AL133" s="102"/>
      <c r="AM133" s="102"/>
    </row>
    <row r="134" spans="20:39" s="127" customFormat="1" ht="12.75">
      <c r="T134" s="132"/>
      <c r="U134" s="102"/>
      <c r="V134" s="102"/>
      <c r="W134" s="102"/>
      <c r="X134" s="423"/>
      <c r="Y134" s="433"/>
      <c r="Z134" s="124" t="s">
        <v>636</v>
      </c>
      <c r="AA134" s="113" t="s">
        <v>160</v>
      </c>
      <c r="AB134" s="113"/>
      <c r="AC134" s="113"/>
      <c r="AD134" s="1396" t="s">
        <v>773</v>
      </c>
      <c r="AE134" s="1397" t="s">
        <v>773</v>
      </c>
      <c r="AF134" s="236">
        <f t="shared" si="5"/>
        <v>26641.715002186997</v>
      </c>
      <c r="AG134" s="236">
        <f t="shared" si="7"/>
        <v>9183.3184287841596</v>
      </c>
      <c r="AH134" s="1434">
        <f t="shared" si="6"/>
        <v>-5227171.0815595696</v>
      </c>
      <c r="AI134" s="1403">
        <f t="shared" si="6"/>
        <v>-4264208.4058754556</v>
      </c>
      <c r="AJ134" s="102"/>
      <c r="AK134" s="102"/>
      <c r="AL134" s="102"/>
      <c r="AM134" s="102"/>
    </row>
    <row r="135" spans="20:39" s="127" customFormat="1" ht="12.75">
      <c r="T135" s="132"/>
      <c r="U135" s="102"/>
      <c r="V135" s="102"/>
      <c r="W135" s="102"/>
      <c r="X135" s="423"/>
      <c r="Y135" s="433"/>
      <c r="Z135" s="124" t="s">
        <v>637</v>
      </c>
      <c r="AA135" s="113" t="s">
        <v>160</v>
      </c>
      <c r="AB135" s="113"/>
      <c r="AC135" s="113"/>
      <c r="AD135" s="1396" t="s">
        <v>773</v>
      </c>
      <c r="AE135" s="1397" t="s">
        <v>773</v>
      </c>
      <c r="AF135" s="236">
        <f t="shared" si="5"/>
        <v>26641.715002186997</v>
      </c>
      <c r="AG135" s="236">
        <f t="shared" si="7"/>
        <v>9183.3184287841596</v>
      </c>
      <c r="AH135" s="1434">
        <f t="shared" si="6"/>
        <v>-5227171.0815595696</v>
      </c>
      <c r="AI135" s="1403">
        <f t="shared" si="6"/>
        <v>-4264208.4058754556</v>
      </c>
      <c r="AJ135" s="102"/>
      <c r="AK135" s="102"/>
      <c r="AL135" s="102"/>
      <c r="AM135" s="102"/>
    </row>
    <row r="136" spans="20:39" s="102" customFormat="1">
      <c r="T136" s="132"/>
      <c r="X136" s="423"/>
      <c r="Y136" s="433"/>
      <c r="Z136" s="124" t="s">
        <v>103</v>
      </c>
      <c r="AA136" s="113" t="s">
        <v>160</v>
      </c>
      <c r="AB136" s="113"/>
      <c r="AC136" s="113"/>
      <c r="AD136" s="1396" t="s">
        <v>773</v>
      </c>
      <c r="AE136" s="1397" t="s">
        <v>773</v>
      </c>
      <c r="AF136" s="236">
        <f t="shared" si="5"/>
        <v>25782.304840826127</v>
      </c>
      <c r="AG136" s="236">
        <f t="shared" si="7"/>
        <v>8887.0823504362834</v>
      </c>
      <c r="AH136" s="1434">
        <f t="shared" si="6"/>
        <v>-5058552.6595737776</v>
      </c>
      <c r="AI136" s="1403">
        <f t="shared" si="6"/>
        <v>-4126653.2960085049</v>
      </c>
    </row>
    <row r="137" spans="20:39" s="102" customFormat="1">
      <c r="T137" s="132"/>
      <c r="X137" s="423"/>
      <c r="Y137" s="433"/>
      <c r="Z137" s="124" t="s">
        <v>907</v>
      </c>
      <c r="AA137" s="113" t="s">
        <v>160</v>
      </c>
      <c r="AB137" s="113"/>
      <c r="AC137" s="113"/>
      <c r="AD137" s="1396" t="s">
        <v>773</v>
      </c>
      <c r="AE137" s="1397" t="s">
        <v>773</v>
      </c>
      <c r="AF137" s="236">
        <f t="shared" si="5"/>
        <v>26641.715002186997</v>
      </c>
      <c r="AG137" s="236">
        <f t="shared" si="7"/>
        <v>9183.3184287841596</v>
      </c>
      <c r="AH137" s="1434">
        <f t="shared" si="6"/>
        <v>-5227171.0815595696</v>
      </c>
      <c r="AI137" s="1403">
        <f t="shared" si="6"/>
        <v>-4264208.4058754556</v>
      </c>
    </row>
    <row r="138" spans="20:39" s="102" customFormat="1">
      <c r="T138" s="132"/>
      <c r="X138" s="423"/>
      <c r="Y138" s="433"/>
      <c r="Z138" s="124" t="s">
        <v>104</v>
      </c>
      <c r="AA138" s="113" t="s">
        <v>160</v>
      </c>
      <c r="AB138" s="113"/>
      <c r="AC138" s="113"/>
      <c r="AD138" s="1396" t="s">
        <v>773</v>
      </c>
      <c r="AE138" s="1397" t="s">
        <v>773</v>
      </c>
      <c r="AF138" s="236">
        <f t="shared" si="5"/>
        <v>25782.304840826127</v>
      </c>
      <c r="AG138" s="236">
        <f t="shared" si="7"/>
        <v>8887.0823504362834</v>
      </c>
      <c r="AH138" s="1434">
        <f t="shared" si="6"/>
        <v>-5058552.6595737776</v>
      </c>
      <c r="AI138" s="1403">
        <f t="shared" si="6"/>
        <v>-4126653.2960085049</v>
      </c>
    </row>
    <row r="139" spans="20:39" s="102" customFormat="1">
      <c r="T139" s="132"/>
      <c r="X139" s="423"/>
      <c r="Y139" s="433"/>
      <c r="Z139" s="124" t="s">
        <v>393</v>
      </c>
      <c r="AA139" s="113" t="s">
        <v>160</v>
      </c>
      <c r="AB139" s="113"/>
      <c r="AC139" s="113"/>
      <c r="AD139" s="1396" t="s">
        <v>773</v>
      </c>
      <c r="AE139" s="1397" t="s">
        <v>773</v>
      </c>
      <c r="AF139" s="236">
        <f t="shared" si="5"/>
        <v>26641.715002186997</v>
      </c>
      <c r="AG139" s="236">
        <f t="shared" si="7"/>
        <v>9183.3184287841596</v>
      </c>
      <c r="AH139" s="1434">
        <f t="shared" si="6"/>
        <v>-5227171.0815595696</v>
      </c>
      <c r="AI139" s="1403">
        <f t="shared" si="6"/>
        <v>-4264208.4058754556</v>
      </c>
    </row>
    <row r="140" spans="20:39" s="102" customFormat="1" ht="22.5">
      <c r="X140" s="440"/>
      <c r="Y140" s="136"/>
      <c r="Z140" s="441" t="s">
        <v>163</v>
      </c>
      <c r="AA140" s="347" t="s">
        <v>1330</v>
      </c>
      <c r="AB140" s="113"/>
      <c r="AC140" s="113"/>
      <c r="AD140" s="1398">
        <f>103+34.3*$AB$62</f>
        <v>205.89999999999998</v>
      </c>
      <c r="AE140" s="1399">
        <v>205.9</v>
      </c>
      <c r="AF140" s="236">
        <f>SUM(AF128:AF139)/3600</f>
        <v>87.134641360199424</v>
      </c>
      <c r="AG140" s="235">
        <f>SUM(AG128:AG139)/3600</f>
        <v>30.035046832492991</v>
      </c>
      <c r="AH140" s="1434">
        <f>SUM(AH128:AH139)/3600</f>
        <v>-17096.034451337302</v>
      </c>
      <c r="AI140" s="1403">
        <f>SUM(AI128:AI139)/3600</f>
        <v>-13946.559750399114</v>
      </c>
    </row>
    <row r="141" spans="20:39" s="102" customFormat="1" ht="12.75">
      <c r="T141" s="132"/>
      <c r="U141" s="127"/>
      <c r="V141" s="127"/>
      <c r="W141" s="127"/>
      <c r="X141" s="2300" t="s">
        <v>491</v>
      </c>
      <c r="Y141" s="2301"/>
      <c r="Z141" s="2301"/>
      <c r="AA141" s="2301"/>
      <c r="AB141" s="1065"/>
      <c r="AC141" s="1065"/>
      <c r="AD141" s="1376"/>
      <c r="AE141" s="1377"/>
      <c r="AF141" s="186"/>
      <c r="AG141" s="185"/>
      <c r="AH141" s="1419"/>
      <c r="AI141" s="1377"/>
    </row>
    <row r="142" spans="20:39" s="127" customFormat="1" ht="12.75">
      <c r="T142" s="132"/>
      <c r="U142" s="102"/>
      <c r="V142" s="102"/>
      <c r="W142" s="102"/>
      <c r="X142" s="106"/>
      <c r="Y142" s="107"/>
      <c r="Z142" s="442" t="s">
        <v>394</v>
      </c>
      <c r="AA142" s="113" t="s">
        <v>1065</v>
      </c>
      <c r="AB142" s="124" t="s">
        <v>340</v>
      </c>
      <c r="AC142" s="113" t="s">
        <v>321</v>
      </c>
      <c r="AD142" s="1400" t="str">
        <f>AD105</f>
        <v>NA</v>
      </c>
      <c r="AE142" s="1401" t="s">
        <v>773</v>
      </c>
      <c r="AF142" s="194" t="str">
        <f>AF105</f>
        <v>NO</v>
      </c>
      <c r="AG142" s="193"/>
      <c r="AH142" s="1435" t="str">
        <f>AH105</f>
        <v>NO</v>
      </c>
      <c r="AI142" s="1402" t="str">
        <f>AI105</f>
        <v>NO</v>
      </c>
      <c r="AJ142" s="102"/>
      <c r="AK142" s="102"/>
      <c r="AL142" s="102"/>
      <c r="AM142" s="102"/>
    </row>
    <row r="143" spans="20:39" s="102" customFormat="1">
      <c r="T143" s="132"/>
      <c r="X143" s="106"/>
      <c r="Y143" s="107"/>
      <c r="Z143" s="442" t="s">
        <v>370</v>
      </c>
      <c r="AA143" s="113" t="s">
        <v>1065</v>
      </c>
      <c r="AB143" s="124" t="s">
        <v>341</v>
      </c>
      <c r="AC143" s="113" t="s">
        <v>321</v>
      </c>
      <c r="AD143" s="1400" t="str">
        <f>AD104</f>
        <v>NA</v>
      </c>
      <c r="AE143" s="1401" t="s">
        <v>773</v>
      </c>
      <c r="AF143" s="194" t="str">
        <f>AF104</f>
        <v>YES</v>
      </c>
      <c r="AG143" s="193"/>
      <c r="AH143" s="1435" t="str">
        <f>AH104</f>
        <v>YES</v>
      </c>
      <c r="AI143" s="1402" t="str">
        <f>AI104</f>
        <v>YES</v>
      </c>
    </row>
    <row r="144" spans="20:39" s="127" customFormat="1" ht="12.75">
      <c r="T144" s="132"/>
      <c r="U144" s="102"/>
      <c r="V144" s="102"/>
      <c r="W144" s="102"/>
      <c r="X144" s="106"/>
      <c r="Y144" s="107"/>
      <c r="Z144" s="443" t="s">
        <v>582</v>
      </c>
      <c r="AA144" s="113" t="str">
        <f>AA117</f>
        <v>gal/cycle</v>
      </c>
      <c r="AB144" s="124" t="s">
        <v>342</v>
      </c>
      <c r="AC144" s="113" t="s">
        <v>321</v>
      </c>
      <c r="AD144" s="1400" t="str">
        <f>AD117</f>
        <v>NA</v>
      </c>
      <c r="AE144" s="1401" t="s">
        <v>773</v>
      </c>
      <c r="AF144" s="194">
        <f>AF117</f>
        <v>5</v>
      </c>
      <c r="AG144" s="193"/>
      <c r="AH144" s="1435">
        <f>AH117</f>
        <v>0</v>
      </c>
      <c r="AI144" s="1402">
        <f>AI117</f>
        <v>0</v>
      </c>
      <c r="AJ144" s="102"/>
      <c r="AK144" s="102"/>
      <c r="AL144" s="102"/>
      <c r="AM144" s="102"/>
    </row>
    <row r="145" spans="20:39" s="102" customFormat="1">
      <c r="T145" s="132"/>
      <c r="X145" s="106"/>
      <c r="Y145" s="107"/>
      <c r="Z145" s="443" t="s">
        <v>580</v>
      </c>
      <c r="AA145" s="113" t="s">
        <v>581</v>
      </c>
      <c r="AB145" s="124" t="s">
        <v>343</v>
      </c>
      <c r="AC145" s="113" t="s">
        <v>321</v>
      </c>
      <c r="AD145" s="1400" t="str">
        <f>IF(ISNUMBER(AD114)=TRUE,MONTH(AD114) &amp; ", " &amp; DAY(AD114) &amp; ", " &amp; YEAR(AD114),"NA")</f>
        <v>NA</v>
      </c>
      <c r="AE145" s="1401" t="s">
        <v>773</v>
      </c>
      <c r="AF145" s="194"/>
      <c r="AG145" s="193"/>
      <c r="AH145" s="1435" t="str">
        <f>IF(ISNUMBER(AH114)=TRUE,MONTH(AH114) &amp; ", " &amp; DAY(AH114) &amp; ", " &amp; YEAR(AH114),"NA")</f>
        <v>1, 1, 2004</v>
      </c>
      <c r="AI145" s="1402" t="str">
        <f>IF(ISNUMBER(AI114)=TRUE,MONTH(AI114) &amp; ", " &amp; DAY(AI114) &amp; ", " &amp; YEAR(AI114),"NA")</f>
        <v>1, 1, 2003</v>
      </c>
    </row>
    <row r="146" spans="20:39" s="102" customFormat="1">
      <c r="T146" s="132"/>
      <c r="X146" s="106"/>
      <c r="Y146" s="107"/>
      <c r="Z146" s="443" t="s">
        <v>583</v>
      </c>
      <c r="AA146" s="113" t="s">
        <v>1222</v>
      </c>
      <c r="AB146" s="124" t="s">
        <v>344</v>
      </c>
      <c r="AC146" s="113" t="s">
        <v>321</v>
      </c>
      <c r="AD146" s="1400" t="str">
        <f>AD113</f>
        <v>NA</v>
      </c>
      <c r="AE146" s="1402" t="str">
        <f>AE113</f>
        <v>NA</v>
      </c>
      <c r="AF146" s="194">
        <f>AF113</f>
        <v>372</v>
      </c>
      <c r="AG146" s="193"/>
      <c r="AH146" s="1435">
        <f>AH113</f>
        <v>462</v>
      </c>
      <c r="AI146" s="1402">
        <f>AI113</f>
        <v>384</v>
      </c>
    </row>
    <row r="147" spans="20:39" s="102" customFormat="1">
      <c r="T147" s="132"/>
      <c r="X147" s="106"/>
      <c r="Y147" s="107"/>
      <c r="Z147" s="443" t="s">
        <v>585</v>
      </c>
      <c r="AA147" s="113" t="s">
        <v>586</v>
      </c>
      <c r="AB147" s="124" t="s">
        <v>345</v>
      </c>
      <c r="AC147" s="113" t="s">
        <v>321</v>
      </c>
      <c r="AD147" s="1400" t="str">
        <f>AD110</f>
        <v>NA</v>
      </c>
      <c r="AE147" s="1402" t="str">
        <f>AE110</f>
        <v>NA</v>
      </c>
      <c r="AF147" s="194">
        <f>AF110</f>
        <v>0.82</v>
      </c>
      <c r="AG147" s="193"/>
      <c r="AH147" s="1435">
        <f>AH110</f>
        <v>0.91</v>
      </c>
      <c r="AI147" s="1402">
        <f>AI110</f>
        <v>0.91</v>
      </c>
    </row>
    <row r="148" spans="20:39" s="102" customFormat="1">
      <c r="X148" s="106"/>
      <c r="Y148" s="107"/>
      <c r="Z148" s="443" t="s">
        <v>835</v>
      </c>
      <c r="AA148" s="113" t="s">
        <v>836</v>
      </c>
      <c r="AB148" s="124" t="s">
        <v>345</v>
      </c>
      <c r="AC148" s="113" t="s">
        <v>321</v>
      </c>
      <c r="AD148" s="1400" t="str">
        <f>AD109</f>
        <v>NA</v>
      </c>
      <c r="AE148" s="1402" t="str">
        <f>AE109</f>
        <v>NA</v>
      </c>
      <c r="AF148" s="194">
        <f>AF109</f>
        <v>8.4000000000000005E-2</v>
      </c>
      <c r="AG148" s="193"/>
      <c r="AH148" s="1435">
        <f>AH109</f>
        <v>8.5999999999999993E-2</v>
      </c>
      <c r="AI148" s="1402">
        <f>AI109</f>
        <v>8.5999999999999993E-2</v>
      </c>
    </row>
    <row r="149" spans="20:39" s="102" customFormat="1">
      <c r="X149" s="106"/>
      <c r="Y149" s="107"/>
      <c r="Z149" s="443" t="s">
        <v>587</v>
      </c>
      <c r="AA149" s="113" t="s">
        <v>584</v>
      </c>
      <c r="AB149" s="124" t="s">
        <v>345</v>
      </c>
      <c r="AC149" s="113" t="s">
        <v>321</v>
      </c>
      <c r="AD149" s="1400" t="str">
        <f>AD112</f>
        <v>NA</v>
      </c>
      <c r="AE149" s="1402" t="str">
        <f>AE112</f>
        <v>NA</v>
      </c>
      <c r="AF149" s="194">
        <f>AF112</f>
        <v>21</v>
      </c>
      <c r="AG149" s="193"/>
      <c r="AH149" s="1435">
        <f>AH112</f>
        <v>25</v>
      </c>
      <c r="AI149" s="1402">
        <f>AI112</f>
        <v>21</v>
      </c>
    </row>
    <row r="150" spans="20:39" s="102" customFormat="1">
      <c r="X150" s="106"/>
      <c r="Y150" s="107"/>
      <c r="Z150" s="443" t="s">
        <v>33</v>
      </c>
      <c r="AA150" s="113" t="s">
        <v>56</v>
      </c>
      <c r="AB150" s="124" t="s">
        <v>346</v>
      </c>
      <c r="AC150" s="113" t="s">
        <v>321</v>
      </c>
      <c r="AD150" s="1400" t="str">
        <f>AD103</f>
        <v>NA</v>
      </c>
      <c r="AE150" s="1401" t="s">
        <v>773</v>
      </c>
      <c r="AF150" s="194">
        <f>AF103</f>
        <v>14</v>
      </c>
      <c r="AG150" s="193"/>
      <c r="AH150" s="1435">
        <f>AH103</f>
        <v>8</v>
      </c>
      <c r="AI150" s="1402">
        <f>AI103</f>
        <v>8</v>
      </c>
    </row>
    <row r="151" spans="20:39" s="102" customFormat="1" ht="12.75">
      <c r="U151" s="127"/>
      <c r="X151" s="2300" t="s">
        <v>479</v>
      </c>
      <c r="Y151" s="2301"/>
      <c r="Z151" s="2301"/>
      <c r="AA151" s="2301"/>
      <c r="AB151" s="1065"/>
      <c r="AC151" s="1065"/>
      <c r="AD151" s="1376"/>
      <c r="AE151" s="1377"/>
      <c r="AF151" s="186"/>
      <c r="AG151" s="185"/>
      <c r="AH151" s="1419"/>
      <c r="AI151" s="1377"/>
    </row>
    <row r="152" spans="20:39" s="102" customFormat="1">
      <c r="X152" s="421"/>
      <c r="Y152" s="422" t="s">
        <v>320</v>
      </c>
      <c r="Z152" s="422"/>
      <c r="AA152" s="422"/>
      <c r="AB152" s="424"/>
      <c r="AC152" s="424"/>
      <c r="AD152" s="1376"/>
      <c r="AE152" s="1377"/>
      <c r="AF152" s="186"/>
      <c r="AG152" s="185"/>
      <c r="AH152" s="1419"/>
      <c r="AI152" s="1377"/>
    </row>
    <row r="153" spans="20:39" s="102" customFormat="1">
      <c r="X153" s="106"/>
      <c r="Y153" s="107"/>
      <c r="Z153" s="107" t="s">
        <v>492</v>
      </c>
      <c r="AA153" s="113" t="s">
        <v>937</v>
      </c>
      <c r="AB153" s="113"/>
      <c r="AC153" s="113"/>
      <c r="AD153" s="1398"/>
      <c r="AE153" s="1403"/>
      <c r="AF153" s="236"/>
      <c r="AG153" s="235"/>
      <c r="AH153" s="1436">
        <v>1</v>
      </c>
      <c r="AI153" s="1399">
        <v>1</v>
      </c>
    </row>
    <row r="154" spans="20:39" s="102" customFormat="1">
      <c r="X154" s="423"/>
      <c r="Y154" s="424" t="s">
        <v>380</v>
      </c>
      <c r="Z154" s="424"/>
      <c r="AA154" s="424"/>
      <c r="AB154" s="424"/>
      <c r="AC154" s="424"/>
      <c r="AD154" s="1376"/>
      <c r="AE154" s="1377"/>
      <c r="AF154" s="186"/>
      <c r="AG154" s="185"/>
      <c r="AH154" s="1419"/>
      <c r="AI154" s="1377"/>
    </row>
    <row r="155" spans="20:39" s="102" customFormat="1">
      <c r="X155" s="106"/>
      <c r="Y155" s="107"/>
      <c r="Z155" s="134" t="s">
        <v>935</v>
      </c>
      <c r="AA155" s="113" t="s">
        <v>100</v>
      </c>
      <c r="AB155" s="113"/>
      <c r="AC155" s="113"/>
      <c r="AD155" s="1404"/>
      <c r="AE155" s="1405"/>
      <c r="AF155" s="249"/>
      <c r="AG155" s="250"/>
      <c r="AH155" s="1437">
        <v>259</v>
      </c>
      <c r="AI155" s="1438">
        <v>329</v>
      </c>
    </row>
    <row r="156" spans="20:39" s="102" customFormat="1">
      <c r="X156" s="106"/>
      <c r="Y156" s="107"/>
      <c r="Z156" s="107" t="s">
        <v>493</v>
      </c>
      <c r="AA156" s="113" t="s">
        <v>494</v>
      </c>
      <c r="AB156" s="113"/>
      <c r="AC156" s="113"/>
      <c r="AD156" s="1406"/>
      <c r="AE156" s="1407"/>
      <c r="AF156" s="225"/>
      <c r="AG156" s="224"/>
      <c r="AH156" s="1439">
        <f>AH155*AH153*(1.02)^2</f>
        <v>269.46359999999999</v>
      </c>
      <c r="AI156" s="1407">
        <f>AI155*AI153*(1.02)^2</f>
        <v>342.29160000000002</v>
      </c>
    </row>
    <row r="157" spans="20:39" s="102" customFormat="1">
      <c r="X157" s="423"/>
      <c r="Y157" s="424" t="s">
        <v>774</v>
      </c>
      <c r="Z157" s="424"/>
      <c r="AA157" s="424"/>
      <c r="AB157" s="424"/>
      <c r="AC157" s="424"/>
      <c r="AD157" s="1376"/>
      <c r="AE157" s="1377"/>
      <c r="AF157" s="186"/>
      <c r="AG157" s="185"/>
      <c r="AH157" s="1419"/>
      <c r="AI157" s="1377"/>
    </row>
    <row r="158" spans="20:39" s="102" customFormat="1">
      <c r="X158" s="106"/>
      <c r="Y158" s="107"/>
      <c r="Z158" s="134" t="s">
        <v>935</v>
      </c>
      <c r="AA158" s="113" t="s">
        <v>100</v>
      </c>
      <c r="AB158" s="113"/>
      <c r="AC158" s="113"/>
      <c r="AD158" s="1404"/>
      <c r="AE158" s="1405"/>
      <c r="AF158" s="249"/>
      <c r="AG158" s="250"/>
      <c r="AH158" s="1439">
        <f>230.37 + 115.51</f>
        <v>345.88</v>
      </c>
      <c r="AI158" s="1407">
        <f>514.91 + 120.53</f>
        <v>635.43999999999994</v>
      </c>
    </row>
    <row r="159" spans="20:39" s="127" customFormat="1" ht="12.75">
      <c r="T159" s="102"/>
      <c r="U159" s="102"/>
      <c r="V159" s="102"/>
      <c r="W159" s="102"/>
      <c r="X159" s="120"/>
      <c r="Y159" s="121"/>
      <c r="Z159" s="121" t="s">
        <v>493</v>
      </c>
      <c r="AA159" s="347" t="s">
        <v>494</v>
      </c>
      <c r="AB159" s="113"/>
      <c r="AC159" s="113"/>
      <c r="AD159" s="1406"/>
      <c r="AE159" s="1407"/>
      <c r="AF159" s="225"/>
      <c r="AG159" s="224"/>
      <c r="AH159" s="1439">
        <f>IF(ISNUMBER(AH158), AH153*AH158, "")</f>
        <v>345.88</v>
      </c>
      <c r="AI159" s="1407">
        <f>IF(ISNUMBER(AI158), AI153*AI158, "")</f>
        <v>635.43999999999994</v>
      </c>
      <c r="AJ159" s="102"/>
      <c r="AK159" s="102"/>
      <c r="AL159" s="102"/>
      <c r="AM159" s="102"/>
    </row>
    <row r="160" spans="20:39" s="127" customFormat="1" ht="12.75">
      <c r="T160" s="102"/>
      <c r="V160" s="102"/>
      <c r="W160" s="102"/>
      <c r="X160" s="2300" t="s">
        <v>480</v>
      </c>
      <c r="Y160" s="2301"/>
      <c r="Z160" s="2301"/>
      <c r="AA160" s="2301"/>
      <c r="AB160" s="1065"/>
      <c r="AC160" s="1065"/>
      <c r="AD160" s="1376"/>
      <c r="AE160" s="1377"/>
      <c r="AF160" s="186"/>
      <c r="AG160" s="185"/>
      <c r="AH160" s="1419"/>
      <c r="AI160" s="1377"/>
      <c r="AJ160" s="102"/>
      <c r="AK160" s="102"/>
      <c r="AL160" s="102"/>
      <c r="AM160" s="102"/>
    </row>
    <row r="161" spans="20:41" s="127" customFormat="1" ht="12.75">
      <c r="T161" s="102"/>
      <c r="U161" s="102"/>
      <c r="V161" s="102"/>
      <c r="W161" s="102"/>
      <c r="X161" s="421"/>
      <c r="Y161" s="422" t="s">
        <v>774</v>
      </c>
      <c r="Z161" s="422"/>
      <c r="AA161" s="422"/>
      <c r="AB161" s="424"/>
      <c r="AC161" s="424"/>
      <c r="AD161" s="1376"/>
      <c r="AE161" s="1377"/>
      <c r="AF161" s="186"/>
      <c r="AG161" s="185"/>
      <c r="AH161" s="1419"/>
      <c r="AI161" s="1377"/>
      <c r="AJ161" s="102"/>
      <c r="AK161" s="102"/>
      <c r="AL161" s="102"/>
      <c r="AM161" s="102"/>
    </row>
    <row r="162" spans="20:41" s="102" customFormat="1">
      <c r="X162" s="106"/>
      <c r="Y162" s="107"/>
      <c r="Z162" s="134" t="s">
        <v>902</v>
      </c>
      <c r="AA162" s="113" t="s">
        <v>297</v>
      </c>
      <c r="AB162" s="113"/>
      <c r="AC162" s="113"/>
      <c r="AD162" s="1408"/>
      <c r="AE162" s="1409"/>
      <c r="AF162" s="221"/>
      <c r="AG162" s="220"/>
      <c r="AH162" s="1440">
        <v>11</v>
      </c>
      <c r="AI162" s="1411">
        <v>11</v>
      </c>
    </row>
    <row r="163" spans="20:41" s="132" customFormat="1">
      <c r="T163" s="102"/>
      <c r="U163" s="102"/>
      <c r="V163" s="102"/>
      <c r="W163" s="102"/>
      <c r="X163" s="106"/>
      <c r="Y163" s="130" t="s">
        <v>1031</v>
      </c>
      <c r="Z163" s="134"/>
      <c r="AA163" s="113"/>
      <c r="AB163" s="113"/>
      <c r="AC163" s="113"/>
      <c r="AD163" s="1410"/>
      <c r="AE163" s="1411"/>
      <c r="AF163" s="280"/>
      <c r="AG163" s="253"/>
      <c r="AH163" s="1440"/>
      <c r="AI163" s="1411"/>
      <c r="AJ163" s="102"/>
      <c r="AK163" s="102"/>
      <c r="AL163" s="102"/>
      <c r="AM163" s="102"/>
    </row>
    <row r="164" spans="20:41" s="102" customFormat="1">
      <c r="X164" s="120"/>
      <c r="Y164" s="121"/>
      <c r="Z164" s="444" t="s">
        <v>902</v>
      </c>
      <c r="AA164" s="347" t="s">
        <v>297</v>
      </c>
      <c r="AB164" s="347"/>
      <c r="AC164" s="347"/>
      <c r="AD164" s="1412"/>
      <c r="AE164" s="1413"/>
      <c r="AF164" s="352"/>
      <c r="AG164" s="354"/>
      <c r="AH164" s="1441">
        <v>9</v>
      </c>
      <c r="AI164" s="1442">
        <v>9</v>
      </c>
    </row>
    <row r="165" spans="20:41" s="102" customFormat="1">
      <c r="X165" s="116" t="s">
        <v>630</v>
      </c>
      <c r="Y165" s="116"/>
      <c r="AA165" s="118"/>
      <c r="AB165" s="118"/>
      <c r="AC165" s="118"/>
      <c r="AD165" s="1067"/>
      <c r="AE165" s="1067"/>
      <c r="AF165" s="1067"/>
      <c r="AG165" s="1067"/>
    </row>
    <row r="166" spans="20:41" s="102" customFormat="1" ht="12.75">
      <c r="U166" s="101"/>
      <c r="V166" s="101"/>
      <c r="W166" s="101"/>
      <c r="X166" s="116" t="s">
        <v>744</v>
      </c>
      <c r="Y166" s="101"/>
      <c r="Z166" s="101"/>
      <c r="AA166" s="99"/>
      <c r="AB166" s="99"/>
      <c r="AC166" s="99"/>
      <c r="AD166" s="1067"/>
      <c r="AE166" s="1067"/>
      <c r="AF166" s="1067"/>
      <c r="AG166" s="1067"/>
      <c r="AH166" s="116"/>
      <c r="AL166" s="116"/>
      <c r="AM166" s="101"/>
    </row>
    <row r="167" spans="20:41" s="102" customFormat="1" ht="12.75">
      <c r="U167" s="101"/>
      <c r="V167" s="101"/>
      <c r="W167" s="101"/>
      <c r="X167" s="116" t="s">
        <v>1168</v>
      </c>
      <c r="Y167" s="101"/>
      <c r="Z167" s="101"/>
      <c r="AA167" s="99"/>
      <c r="AB167" s="99"/>
      <c r="AC167" s="99"/>
      <c r="AD167" s="1067"/>
      <c r="AE167" s="1067"/>
      <c r="AF167" s="1067"/>
      <c r="AG167" s="1067"/>
      <c r="AH167" s="116"/>
      <c r="AL167" s="116"/>
      <c r="AM167" s="101"/>
    </row>
    <row r="168" spans="20:41" s="132" customFormat="1" ht="12.75">
      <c r="T168" s="102"/>
      <c r="U168" s="101"/>
      <c r="V168" s="101"/>
      <c r="W168" s="101"/>
      <c r="X168" s="12" t="s">
        <v>463</v>
      </c>
      <c r="Y168" s="101"/>
      <c r="Z168" s="101"/>
      <c r="AA168" s="99"/>
      <c r="AB168" s="99"/>
      <c r="AC168" s="99"/>
      <c r="AD168" s="1067"/>
      <c r="AE168" s="1067"/>
      <c r="AF168" s="1067"/>
      <c r="AG168" s="1067"/>
      <c r="AH168" s="116"/>
      <c r="AI168" s="102"/>
      <c r="AJ168" s="102"/>
      <c r="AK168" s="102"/>
      <c r="AL168" s="116"/>
      <c r="AM168" s="101"/>
    </row>
    <row r="169" spans="20:41" s="132" customFormat="1" ht="12.75">
      <c r="T169" s="102"/>
      <c r="U169" s="101"/>
      <c r="V169" s="101"/>
      <c r="W169" s="101"/>
      <c r="X169" s="12" t="s">
        <v>775</v>
      </c>
      <c r="Y169" s="101"/>
      <c r="Z169" s="101"/>
      <c r="AA169" s="99"/>
      <c r="AB169" s="99"/>
      <c r="AC169" s="99"/>
      <c r="AD169" s="1067"/>
      <c r="AE169" s="1067"/>
      <c r="AF169" s="1067"/>
      <c r="AG169" s="1067"/>
      <c r="AH169" s="116"/>
      <c r="AI169" s="116"/>
      <c r="AJ169" s="116"/>
      <c r="AK169" s="116"/>
      <c r="AL169" s="116"/>
      <c r="AM169" s="101"/>
    </row>
    <row r="170" spans="20:41" s="132" customFormat="1" ht="12.75">
      <c r="T170" s="102"/>
      <c r="U170" s="101"/>
      <c r="V170" s="101"/>
      <c r="W170" s="101"/>
      <c r="X170" s="12" t="s">
        <v>872</v>
      </c>
      <c r="Y170" s="101"/>
      <c r="Z170" s="101"/>
      <c r="AA170" s="99"/>
      <c r="AB170" s="99"/>
      <c r="AC170" s="99"/>
      <c r="AD170" s="1067"/>
      <c r="AE170" s="1067"/>
      <c r="AF170" s="1067"/>
      <c r="AG170" s="1067"/>
      <c r="AH170" s="116"/>
      <c r="AI170" s="116"/>
      <c r="AJ170" s="116"/>
      <c r="AK170" s="116"/>
      <c r="AL170" s="116"/>
      <c r="AM170" s="101"/>
    </row>
    <row r="171" spans="20:41" s="132" customFormat="1" ht="12.75">
      <c r="T171" s="102"/>
      <c r="U171" s="101"/>
      <c r="V171" s="101"/>
      <c r="W171" s="101"/>
      <c r="X171" s="12"/>
      <c r="Y171" s="101"/>
      <c r="Z171" s="101"/>
      <c r="AA171" s="99"/>
      <c r="AB171" s="99"/>
      <c r="AC171" s="99"/>
      <c r="AD171" s="1067"/>
      <c r="AE171" s="1067"/>
      <c r="AF171" s="1067"/>
      <c r="AG171" s="1067"/>
      <c r="AH171" s="116"/>
      <c r="AI171" s="116"/>
      <c r="AJ171" s="116"/>
      <c r="AK171" s="116"/>
      <c r="AL171" s="116"/>
      <c r="AM171" s="101"/>
    </row>
    <row r="172" spans="20:41" s="132" customFormat="1" ht="18" customHeight="1">
      <c r="T172" s="102"/>
      <c r="U172" s="127"/>
      <c r="V172" s="2305" t="s">
        <v>281</v>
      </c>
      <c r="W172" s="2305"/>
      <c r="X172" s="2305"/>
      <c r="Y172" s="2305"/>
      <c r="Z172" s="2305"/>
      <c r="AA172" s="2305"/>
      <c r="AB172" s="1066"/>
      <c r="AC172" s="1066"/>
      <c r="AD172" s="150"/>
      <c r="AE172" s="2337"/>
      <c r="AF172" s="2337"/>
      <c r="AG172" s="2340" t="s">
        <v>6313</v>
      </c>
      <c r="AH172" s="2340"/>
      <c r="AI172" s="2340"/>
      <c r="AJ172" s="2340"/>
      <c r="AK172" s="2340"/>
      <c r="AL172" s="2340"/>
      <c r="AM172" s="2340"/>
      <c r="AN172" s="2340"/>
      <c r="AO172" s="2340"/>
    </row>
    <row r="173" spans="20:41" s="132" customFormat="1" ht="16.5" thickBot="1">
      <c r="T173" s="102"/>
      <c r="U173" s="127"/>
      <c r="V173" s="100"/>
      <c r="W173" s="127"/>
      <c r="X173" s="127"/>
      <c r="Y173" s="101"/>
      <c r="Z173" s="101"/>
      <c r="AA173" s="1067"/>
      <c r="AB173" s="1067"/>
      <c r="AC173" s="1067"/>
      <c r="AD173" s="116"/>
      <c r="AE173" s="116"/>
      <c r="AF173" s="1067"/>
      <c r="AG173" s="1067"/>
      <c r="AH173" s="1230" t="s">
        <v>6229</v>
      </c>
      <c r="AI173"/>
      <c r="AJ173"/>
      <c r="AK173"/>
      <c r="AL173"/>
      <c r="AM173"/>
      <c r="AN173"/>
      <c r="AO173"/>
    </row>
    <row r="174" spans="20:41" s="132" customFormat="1" ht="17.25" thickTop="1" thickBot="1">
      <c r="T174" s="102"/>
      <c r="U174" s="127"/>
      <c r="V174" s="100"/>
      <c r="W174" s="2302" t="s">
        <v>422</v>
      </c>
      <c r="X174" s="2303"/>
      <c r="Y174" s="2303"/>
      <c r="Z174" s="2303"/>
      <c r="AA174" s="2303"/>
      <c r="AB174" s="116"/>
      <c r="AC174" s="1067"/>
      <c r="AD174" s="102"/>
      <c r="AE174" s="116"/>
      <c r="AF174" s="1067"/>
      <c r="AG174" s="1067"/>
      <c r="AH174" s="1241" t="s">
        <v>6301</v>
      </c>
      <c r="AI174"/>
      <c r="AJ174"/>
      <c r="AK174"/>
      <c r="AL174"/>
      <c r="AM174"/>
      <c r="AN174"/>
      <c r="AO174"/>
    </row>
    <row r="175" spans="20:41" s="102" customFormat="1" ht="14.25" thickTop="1" thickBot="1">
      <c r="U175" s="127"/>
      <c r="V175" s="1068"/>
      <c r="W175" s="127"/>
      <c r="X175" s="2331" t="s">
        <v>320</v>
      </c>
      <c r="Y175" s="2332"/>
      <c r="Z175" s="2332"/>
      <c r="AA175" s="2332"/>
      <c r="AB175" s="151"/>
      <c r="AC175" s="1067"/>
      <c r="AE175" s="1067"/>
      <c r="AF175" s="1067"/>
      <c r="AG175" s="1067"/>
      <c r="AH175" s="2338" t="s">
        <v>6230</v>
      </c>
      <c r="AI175" s="2339"/>
      <c r="AJ175" s="2341" t="s">
        <v>6231</v>
      </c>
      <c r="AK175" s="2342"/>
      <c r="AL175" s="2341" t="s">
        <v>6232</v>
      </c>
      <c r="AM175" s="2342"/>
      <c r="AN175" s="2341" t="s">
        <v>6233</v>
      </c>
      <c r="AO175" s="2343"/>
    </row>
    <row r="176" spans="20:41" s="102" customFormat="1" ht="12.75">
      <c r="X176" s="103"/>
      <c r="Y176" s="104"/>
      <c r="Z176" s="104" t="s">
        <v>384</v>
      </c>
      <c r="AA176" s="105" t="s">
        <v>190</v>
      </c>
      <c r="AB176" s="382" t="s">
        <v>191</v>
      </c>
      <c r="AC176" s="1067"/>
      <c r="AE176" s="154"/>
      <c r="AF176" s="1234" t="s">
        <v>6234</v>
      </c>
      <c r="AG176" s="1234" t="s">
        <v>6234</v>
      </c>
      <c r="AH176" s="1234" t="s">
        <v>6234</v>
      </c>
      <c r="AI176" s="1231" t="s">
        <v>6236</v>
      </c>
      <c r="AJ176" s="2344" t="s">
        <v>1178</v>
      </c>
      <c r="AK176" s="2344" t="s">
        <v>6237</v>
      </c>
      <c r="AL176" s="2344" t="s">
        <v>1178</v>
      </c>
      <c r="AM176" s="2344" t="s">
        <v>6237</v>
      </c>
      <c r="AN176" s="2344" t="s">
        <v>1178</v>
      </c>
      <c r="AO176" s="2346" t="s">
        <v>6237</v>
      </c>
    </row>
    <row r="177" spans="20:44" s="102" customFormat="1" ht="13.5" thickBot="1">
      <c r="X177" s="106"/>
      <c r="Y177" s="107"/>
      <c r="Z177" s="108" t="s">
        <v>385</v>
      </c>
      <c r="AA177" s="111"/>
      <c r="AB177" s="357"/>
      <c r="AC177" s="1067"/>
      <c r="AE177" s="152"/>
      <c r="AF177" s="1235" t="s">
        <v>6235</v>
      </c>
      <c r="AG177" s="1235" t="s">
        <v>6302</v>
      </c>
      <c r="AH177" s="1235" t="s">
        <v>6303</v>
      </c>
      <c r="AI177" s="1232" t="s">
        <v>6235</v>
      </c>
      <c r="AJ177" s="2345"/>
      <c r="AK177" s="2345"/>
      <c r="AL177" s="2345"/>
      <c r="AM177" s="2345"/>
      <c r="AN177" s="2345"/>
      <c r="AO177" s="2347"/>
    </row>
    <row r="178" spans="20:44" s="102" customFormat="1" ht="13.5" thickBot="1">
      <c r="X178" s="106"/>
      <c r="Y178" s="107"/>
      <c r="Z178" s="108" t="s">
        <v>296</v>
      </c>
      <c r="AA178" s="111"/>
      <c r="AB178" s="381" t="s">
        <v>29</v>
      </c>
      <c r="AC178" s="1067" t="s">
        <v>321</v>
      </c>
      <c r="AE178" s="126" t="s">
        <v>321</v>
      </c>
      <c r="AF178" s="1236" t="s">
        <v>6238</v>
      </c>
      <c r="AG178" s="1236">
        <v>0</v>
      </c>
      <c r="AH178" s="1236">
        <v>0.8</v>
      </c>
      <c r="AI178" s="1233" t="s">
        <v>6239</v>
      </c>
      <c r="AJ178" s="1233">
        <v>3</v>
      </c>
      <c r="AK178" s="1233">
        <v>1.36</v>
      </c>
      <c r="AL178" s="1233">
        <v>3</v>
      </c>
      <c r="AM178" s="1233">
        <v>1.36</v>
      </c>
      <c r="AN178" s="1233">
        <v>3</v>
      </c>
      <c r="AO178" s="1237">
        <v>1.36</v>
      </c>
      <c r="AQ178" s="102">
        <f>4.103003337*AG178 + 0.198242492</f>
        <v>0.19824249199999999</v>
      </c>
      <c r="AR178" s="102">
        <f>4.103003337*AH178 + 0.198242492</f>
        <v>3.4806451615999996</v>
      </c>
    </row>
    <row r="179" spans="20:44" s="102" customFormat="1" ht="13.5" thickBot="1">
      <c r="X179" s="106"/>
      <c r="Y179" s="107"/>
      <c r="Z179" s="108" t="s">
        <v>1303</v>
      </c>
      <c r="AA179" s="111" t="s">
        <v>1064</v>
      </c>
      <c r="AB179" s="383" t="b">
        <v>0</v>
      </c>
      <c r="AC179" s="1067"/>
      <c r="AE179" s="126"/>
      <c r="AF179" s="1236" t="s">
        <v>6240</v>
      </c>
      <c r="AG179" s="1236">
        <v>0.8</v>
      </c>
      <c r="AH179" s="1236">
        <v>0.9</v>
      </c>
      <c r="AI179" s="1233" t="s">
        <v>6241</v>
      </c>
      <c r="AJ179" s="1233">
        <v>3</v>
      </c>
      <c r="AK179" s="1233">
        <v>1.36</v>
      </c>
      <c r="AL179" s="1233">
        <v>3.5</v>
      </c>
      <c r="AM179" s="1233">
        <v>1.59</v>
      </c>
      <c r="AN179" s="1233">
        <v>3.25</v>
      </c>
      <c r="AO179" s="1237">
        <v>1.47</v>
      </c>
      <c r="AQ179" s="102">
        <f t="shared" ref="AQ179:AQ208" si="8">4.103003337*AG179 + 0.198242492</f>
        <v>3.4806451615999996</v>
      </c>
      <c r="AR179" s="102">
        <f t="shared" ref="AR179:AR208" si="9">4.103003337*AH179 + 0.198242492</f>
        <v>3.8909454952999996</v>
      </c>
    </row>
    <row r="180" spans="20:44" s="102" customFormat="1" ht="13.5" thickBot="1">
      <c r="X180" s="106"/>
      <c r="Y180" s="107"/>
      <c r="Z180" s="108" t="s">
        <v>355</v>
      </c>
      <c r="AA180" s="111"/>
      <c r="AB180" s="361">
        <v>1</v>
      </c>
      <c r="AC180" s="1067"/>
      <c r="AE180" s="152"/>
      <c r="AF180" s="1236" t="s">
        <v>6242</v>
      </c>
      <c r="AG180" s="1236">
        <v>0.9</v>
      </c>
      <c r="AH180" s="1236">
        <v>1</v>
      </c>
      <c r="AI180" s="1233" t="s">
        <v>6243</v>
      </c>
      <c r="AJ180" s="1233">
        <v>3</v>
      </c>
      <c r="AK180" s="1233">
        <v>1.36</v>
      </c>
      <c r="AL180" s="1233">
        <v>3.9</v>
      </c>
      <c r="AM180" s="1233">
        <v>1.77</v>
      </c>
      <c r="AN180" s="1233">
        <v>3.45</v>
      </c>
      <c r="AO180" s="1237">
        <v>1.56</v>
      </c>
      <c r="AQ180" s="102">
        <f t="shared" si="8"/>
        <v>3.8909454952999996</v>
      </c>
      <c r="AR180" s="102">
        <f t="shared" si="9"/>
        <v>4.301245829</v>
      </c>
    </row>
    <row r="181" spans="20:44" s="102" customFormat="1" ht="13.5" thickBot="1">
      <c r="X181" s="120"/>
      <c r="Y181" s="121"/>
      <c r="Z181" s="110" t="s">
        <v>1099</v>
      </c>
      <c r="AA181" s="46"/>
      <c r="AB181" s="361" t="b">
        <v>1</v>
      </c>
      <c r="AC181" s="1067"/>
      <c r="AE181" s="152"/>
      <c r="AF181" s="1236" t="s">
        <v>6244</v>
      </c>
      <c r="AG181" s="1236">
        <v>1</v>
      </c>
      <c r="AH181" s="1236">
        <v>1.1000000000000001</v>
      </c>
      <c r="AI181" s="1233" t="s">
        <v>6245</v>
      </c>
      <c r="AJ181" s="1233">
        <v>3</v>
      </c>
      <c r="AK181" s="1233">
        <v>1.36</v>
      </c>
      <c r="AL181" s="1233">
        <v>4.3</v>
      </c>
      <c r="AM181" s="1233">
        <v>1.95</v>
      </c>
      <c r="AN181" s="1233">
        <v>3.65</v>
      </c>
      <c r="AO181" s="1237">
        <v>1.66</v>
      </c>
      <c r="AQ181" s="102">
        <f t="shared" si="8"/>
        <v>4.301245829</v>
      </c>
      <c r="AR181" s="102">
        <f t="shared" si="9"/>
        <v>4.7115461627000004</v>
      </c>
    </row>
    <row r="182" spans="20:44" s="102" customFormat="1" ht="13.5" thickBot="1">
      <c r="U182" s="127"/>
      <c r="W182" s="127"/>
      <c r="X182" s="2335" t="s">
        <v>325</v>
      </c>
      <c r="Y182" s="2336"/>
      <c r="Z182" s="2336"/>
      <c r="AA182" s="2336"/>
      <c r="AB182" s="147"/>
      <c r="AC182" s="1067"/>
      <c r="AE182" s="1067"/>
      <c r="AF182" s="1236" t="s">
        <v>6246</v>
      </c>
      <c r="AG182" s="1236">
        <v>1.1000000000000001</v>
      </c>
      <c r="AH182" s="1236">
        <v>1.2</v>
      </c>
      <c r="AI182" s="1233" t="s">
        <v>6247</v>
      </c>
      <c r="AJ182" s="1233">
        <v>3</v>
      </c>
      <c r="AK182" s="1233">
        <v>1.36</v>
      </c>
      <c r="AL182" s="1233">
        <v>4.7</v>
      </c>
      <c r="AM182" s="1233">
        <v>2.13</v>
      </c>
      <c r="AN182" s="1233">
        <v>3.85</v>
      </c>
      <c r="AO182" s="1237">
        <v>1.75</v>
      </c>
      <c r="AQ182" s="102">
        <f t="shared" si="8"/>
        <v>4.7115461627000004</v>
      </c>
      <c r="AR182" s="102">
        <f t="shared" si="9"/>
        <v>5.1218464963999999</v>
      </c>
    </row>
    <row r="183" spans="20:44" s="102" customFormat="1" ht="13.5" thickBot="1">
      <c r="X183" s="106"/>
      <c r="Y183" s="107"/>
      <c r="Z183" s="109" t="str">
        <f>NewConst!$C$26</f>
        <v>Number of Bedrooms (6 maximum)</v>
      </c>
      <c r="AA183" s="111" t="str">
        <f>NewConst!$D$26</f>
        <v>#</v>
      </c>
      <c r="AB183" s="141">
        <f>N_br</f>
        <v>3</v>
      </c>
      <c r="AC183" s="1067"/>
      <c r="AE183" s="1067"/>
      <c r="AF183" s="1236" t="s">
        <v>6248</v>
      </c>
      <c r="AG183" s="1236">
        <v>1.2</v>
      </c>
      <c r="AH183" s="1236">
        <v>1.3</v>
      </c>
      <c r="AI183" s="1233" t="s">
        <v>6249</v>
      </c>
      <c r="AJ183" s="1233">
        <v>3</v>
      </c>
      <c r="AK183" s="1233">
        <v>1.36</v>
      </c>
      <c r="AL183" s="1233">
        <v>5.0999999999999996</v>
      </c>
      <c r="AM183" s="1233">
        <v>2.31</v>
      </c>
      <c r="AN183" s="1233">
        <v>4.05</v>
      </c>
      <c r="AO183" s="1237">
        <v>1.84</v>
      </c>
      <c r="AQ183" s="102">
        <f t="shared" si="8"/>
        <v>5.1218464963999999</v>
      </c>
      <c r="AR183" s="102">
        <f t="shared" si="9"/>
        <v>5.5321468301000003</v>
      </c>
    </row>
    <row r="184" spans="20:44" s="102" customFormat="1" ht="13.5" thickBot="1">
      <c r="U184" s="127"/>
      <c r="V184" s="1068"/>
      <c r="W184" s="127"/>
      <c r="X184" s="2331" t="s">
        <v>324</v>
      </c>
      <c r="Y184" s="2332"/>
      <c r="Z184" s="2332"/>
      <c r="AA184" s="2332"/>
      <c r="AB184" s="147"/>
      <c r="AC184" s="1067"/>
      <c r="AE184" s="1067"/>
      <c r="AF184" s="1236" t="s">
        <v>6250</v>
      </c>
      <c r="AG184" s="1236">
        <v>1.3</v>
      </c>
      <c r="AH184" s="1236">
        <v>1.4</v>
      </c>
      <c r="AI184" s="1233" t="s">
        <v>6251</v>
      </c>
      <c r="AJ184" s="1233">
        <v>3</v>
      </c>
      <c r="AK184" s="1233">
        <v>1.36</v>
      </c>
      <c r="AL184" s="1233">
        <v>5.5</v>
      </c>
      <c r="AM184" s="1233">
        <v>2.4900000000000002</v>
      </c>
      <c r="AN184" s="1233">
        <v>4.25</v>
      </c>
      <c r="AO184" s="1237">
        <v>1.93</v>
      </c>
      <c r="AQ184" s="102">
        <f t="shared" si="8"/>
        <v>5.5321468301000003</v>
      </c>
      <c r="AR184" s="102">
        <f t="shared" si="9"/>
        <v>5.9424471637999998</v>
      </c>
    </row>
    <row r="185" spans="20:44" s="102" customFormat="1" ht="13.5" thickBot="1">
      <c r="X185" s="103"/>
      <c r="Y185" s="104"/>
      <c r="Z185" s="128" t="s">
        <v>1306</v>
      </c>
      <c r="AA185" s="129" t="s">
        <v>531</v>
      </c>
      <c r="AB185" s="578">
        <f>'Monthly Profiles'!G6</f>
        <v>48.718290388117268</v>
      </c>
      <c r="AC185" s="1067"/>
      <c r="AE185" s="1067"/>
      <c r="AF185" s="1236" t="s">
        <v>6252</v>
      </c>
      <c r="AG185" s="1236">
        <v>1.4</v>
      </c>
      <c r="AH185" s="1236">
        <v>1.5</v>
      </c>
      <c r="AI185" s="1233" t="s">
        <v>6253</v>
      </c>
      <c r="AJ185" s="1233">
        <v>3</v>
      </c>
      <c r="AK185" s="1233">
        <v>1.36</v>
      </c>
      <c r="AL185" s="1233">
        <v>5.9</v>
      </c>
      <c r="AM185" s="1233">
        <v>2.68</v>
      </c>
      <c r="AN185" s="1233">
        <v>4.45</v>
      </c>
      <c r="AO185" s="1237">
        <v>2.02</v>
      </c>
      <c r="AQ185" s="102">
        <f t="shared" si="8"/>
        <v>5.9424471637999998</v>
      </c>
      <c r="AR185" s="102">
        <f t="shared" si="9"/>
        <v>6.3527474974999993</v>
      </c>
    </row>
    <row r="186" spans="20:44" s="127" customFormat="1" ht="13.5" thickBot="1">
      <c r="T186" s="102"/>
      <c r="U186" s="102"/>
      <c r="V186" s="102"/>
      <c r="W186" s="102"/>
      <c r="X186" s="106"/>
      <c r="Y186" s="107"/>
      <c r="Z186" s="109" t="s">
        <v>1307</v>
      </c>
      <c r="AA186" s="111" t="s">
        <v>531</v>
      </c>
      <c r="AB186" s="578">
        <f>'Monthly Profiles'!G7</f>
        <v>47.641339778292384</v>
      </c>
      <c r="AC186" s="1067"/>
      <c r="AD186" s="102"/>
      <c r="AE186" s="1067"/>
      <c r="AF186" s="1236" t="s">
        <v>6254</v>
      </c>
      <c r="AG186" s="1236">
        <v>1.5</v>
      </c>
      <c r="AH186" s="1236">
        <v>1.6</v>
      </c>
      <c r="AI186" s="1233" t="s">
        <v>6255</v>
      </c>
      <c r="AJ186" s="1233">
        <v>3</v>
      </c>
      <c r="AK186" s="1233">
        <v>1.36</v>
      </c>
      <c r="AL186" s="1233">
        <v>6.4</v>
      </c>
      <c r="AM186" s="1233">
        <v>2.9</v>
      </c>
      <c r="AN186" s="1233">
        <v>4.7</v>
      </c>
      <c r="AO186" s="1237">
        <v>2.13</v>
      </c>
      <c r="AQ186" s="102">
        <f t="shared" si="8"/>
        <v>6.3527474974999993</v>
      </c>
      <c r="AR186" s="102">
        <f t="shared" si="9"/>
        <v>6.7630478311999997</v>
      </c>
    </row>
    <row r="187" spans="20:44" s="102" customFormat="1" ht="13.5" thickBot="1">
      <c r="X187" s="106"/>
      <c r="Y187" s="107"/>
      <c r="Z187" s="109" t="s">
        <v>837</v>
      </c>
      <c r="AA187" s="111" t="s">
        <v>531</v>
      </c>
      <c r="AB187" s="578">
        <f>'Monthly Profiles'!G8</f>
        <v>49.150569276918105</v>
      </c>
      <c r="AC187" s="1067"/>
      <c r="AE187" s="1067"/>
      <c r="AF187" s="1236" t="s">
        <v>6256</v>
      </c>
      <c r="AG187" s="1236">
        <v>1.6</v>
      </c>
      <c r="AH187" s="1236">
        <v>1.7</v>
      </c>
      <c r="AI187" s="1233" t="s">
        <v>6257</v>
      </c>
      <c r="AJ187" s="1233">
        <v>3</v>
      </c>
      <c r="AK187" s="1233">
        <v>1.36</v>
      </c>
      <c r="AL187" s="1233">
        <v>6.8</v>
      </c>
      <c r="AM187" s="1233">
        <v>3.08</v>
      </c>
      <c r="AN187" s="1233">
        <v>4.9000000000000004</v>
      </c>
      <c r="AO187" s="1237">
        <v>2.2200000000000002</v>
      </c>
      <c r="AQ187" s="102">
        <f t="shared" si="8"/>
        <v>6.7630478311999997</v>
      </c>
      <c r="AR187" s="102">
        <f t="shared" si="9"/>
        <v>7.1733481648999993</v>
      </c>
    </row>
    <row r="188" spans="20:44" s="102" customFormat="1" ht="13.5" thickBot="1">
      <c r="X188" s="106"/>
      <c r="Y188" s="107"/>
      <c r="Z188" s="109" t="s">
        <v>978</v>
      </c>
      <c r="AA188" s="111" t="s">
        <v>531</v>
      </c>
      <c r="AB188" s="578">
        <f>'Monthly Profiles'!G9</f>
        <v>52.85257495724705</v>
      </c>
      <c r="AC188" s="1067"/>
      <c r="AE188" s="1067"/>
      <c r="AF188" s="1236" t="s">
        <v>6258</v>
      </c>
      <c r="AG188" s="1236">
        <v>1.7</v>
      </c>
      <c r="AH188" s="1236">
        <v>1.8</v>
      </c>
      <c r="AI188" s="1233" t="s">
        <v>6259</v>
      </c>
      <c r="AJ188" s="1233">
        <v>3</v>
      </c>
      <c r="AK188" s="1233">
        <v>1.36</v>
      </c>
      <c r="AL188" s="1233">
        <v>7.2</v>
      </c>
      <c r="AM188" s="1233">
        <v>3.27</v>
      </c>
      <c r="AN188" s="1233">
        <v>5.0999999999999996</v>
      </c>
      <c r="AO188" s="1237">
        <v>2.31</v>
      </c>
      <c r="AQ188" s="102">
        <f t="shared" si="8"/>
        <v>7.1733481648999993</v>
      </c>
      <c r="AR188" s="102">
        <f t="shared" si="9"/>
        <v>7.5836484985999997</v>
      </c>
    </row>
    <row r="189" spans="20:44" s="102" customFormat="1" ht="13.5" thickBot="1">
      <c r="X189" s="106"/>
      <c r="Y189" s="107"/>
      <c r="Z189" s="109" t="s">
        <v>979</v>
      </c>
      <c r="AA189" s="111" t="s">
        <v>531</v>
      </c>
      <c r="AB189" s="578">
        <f>'Monthly Profiles'!G10</f>
        <v>57.782371989067066</v>
      </c>
      <c r="AC189" s="1067"/>
      <c r="AE189" s="1067"/>
      <c r="AF189" s="1236" t="s">
        <v>6260</v>
      </c>
      <c r="AG189" s="1236">
        <v>1.8</v>
      </c>
      <c r="AH189" s="1236">
        <v>1.9</v>
      </c>
      <c r="AI189" s="1233" t="s">
        <v>6261</v>
      </c>
      <c r="AJ189" s="1233">
        <v>3</v>
      </c>
      <c r="AK189" s="1233">
        <v>1.36</v>
      </c>
      <c r="AL189" s="1233">
        <v>7.6</v>
      </c>
      <c r="AM189" s="1233">
        <v>3.45</v>
      </c>
      <c r="AN189" s="1233">
        <v>5.3</v>
      </c>
      <c r="AO189" s="1237">
        <v>2.4</v>
      </c>
      <c r="AQ189" s="102">
        <f t="shared" si="8"/>
        <v>7.5836484985999997</v>
      </c>
      <c r="AR189" s="102">
        <f t="shared" si="9"/>
        <v>7.9939488322999992</v>
      </c>
    </row>
    <row r="190" spans="20:44" s="102" customFormat="1" ht="13.5" thickBot="1">
      <c r="X190" s="106"/>
      <c r="Y190" s="107"/>
      <c r="Z190" s="109" t="s">
        <v>253</v>
      </c>
      <c r="AA190" s="111" t="s">
        <v>531</v>
      </c>
      <c r="AB190" s="578">
        <f>'Monthly Profiles'!G11</f>
        <v>62.654932805562403</v>
      </c>
      <c r="AC190" s="1067"/>
      <c r="AE190" s="1067"/>
      <c r="AF190" s="1236" t="s">
        <v>6262</v>
      </c>
      <c r="AG190" s="1236">
        <v>1.9</v>
      </c>
      <c r="AH190" s="1236">
        <v>2</v>
      </c>
      <c r="AI190" s="1233" t="s">
        <v>6263</v>
      </c>
      <c r="AJ190" s="1233">
        <v>3</v>
      </c>
      <c r="AK190" s="1233">
        <v>1.36</v>
      </c>
      <c r="AL190" s="1233">
        <v>8</v>
      </c>
      <c r="AM190" s="1233">
        <v>3.63</v>
      </c>
      <c r="AN190" s="1233">
        <v>5.5</v>
      </c>
      <c r="AO190" s="1237">
        <v>2.4900000000000002</v>
      </c>
      <c r="AQ190" s="102">
        <f t="shared" si="8"/>
        <v>7.9939488322999992</v>
      </c>
      <c r="AR190" s="102">
        <f t="shared" si="9"/>
        <v>8.4042491659999996</v>
      </c>
    </row>
    <row r="191" spans="20:44" s="127" customFormat="1" ht="13.5" thickBot="1">
      <c r="T191" s="102"/>
      <c r="U191" s="102"/>
      <c r="V191" s="102"/>
      <c r="W191" s="102"/>
      <c r="X191" s="106"/>
      <c r="Y191" s="107"/>
      <c r="Z191" s="109" t="s">
        <v>193</v>
      </c>
      <c r="AA191" s="111" t="s">
        <v>531</v>
      </c>
      <c r="AB191" s="578">
        <f>'Monthly Profiles'!G12</f>
        <v>66.200149341478465</v>
      </c>
      <c r="AC191" s="1067"/>
      <c r="AD191" s="102"/>
      <c r="AE191" s="1067"/>
      <c r="AF191" s="1236" t="s">
        <v>6264</v>
      </c>
      <c r="AG191" s="1236">
        <v>2</v>
      </c>
      <c r="AH191" s="1236">
        <v>2.1</v>
      </c>
      <c r="AI191" s="1233" t="s">
        <v>6265</v>
      </c>
      <c r="AJ191" s="1233">
        <v>3</v>
      </c>
      <c r="AK191" s="1233">
        <v>1.36</v>
      </c>
      <c r="AL191" s="1233">
        <v>8.4</v>
      </c>
      <c r="AM191" s="1233">
        <v>3.81</v>
      </c>
      <c r="AN191" s="1233">
        <v>5.7</v>
      </c>
      <c r="AO191" s="1237">
        <v>2.59</v>
      </c>
      <c r="AQ191" s="102">
        <f t="shared" si="8"/>
        <v>8.4042491659999996</v>
      </c>
      <c r="AR191" s="102">
        <f t="shared" si="9"/>
        <v>8.8145494997</v>
      </c>
    </row>
    <row r="192" spans="20:44" s="102" customFormat="1" ht="13.5" thickBot="1">
      <c r="X192" s="106"/>
      <c r="Y192" s="107"/>
      <c r="Z192" s="109" t="s">
        <v>69</v>
      </c>
      <c r="AA192" s="111" t="s">
        <v>531</v>
      </c>
      <c r="AB192" s="578">
        <f>'Monthly Profiles'!G13</f>
        <v>67.493906273288161</v>
      </c>
      <c r="AC192" s="1067"/>
      <c r="AE192" s="1067"/>
      <c r="AF192" s="1236" t="s">
        <v>6266</v>
      </c>
      <c r="AG192" s="1236">
        <v>2.1</v>
      </c>
      <c r="AH192" s="1236">
        <v>2.2000000000000002</v>
      </c>
      <c r="AI192" s="1233" t="s">
        <v>6267</v>
      </c>
      <c r="AJ192" s="1233">
        <v>3</v>
      </c>
      <c r="AK192" s="1233">
        <v>1.36</v>
      </c>
      <c r="AL192" s="1233">
        <v>8.8000000000000007</v>
      </c>
      <c r="AM192" s="1233">
        <v>3.99</v>
      </c>
      <c r="AN192" s="1233">
        <v>5.9</v>
      </c>
      <c r="AO192" s="1237">
        <v>2.68</v>
      </c>
      <c r="AQ192" s="102">
        <f t="shared" si="8"/>
        <v>8.8145494997</v>
      </c>
      <c r="AR192" s="102">
        <f t="shared" si="9"/>
        <v>9.2248498334000004</v>
      </c>
    </row>
    <row r="193" spans="20:44" s="102" customFormat="1" ht="13.5" thickBot="1">
      <c r="X193" s="106"/>
      <c r="Y193" s="107"/>
      <c r="Z193" s="109" t="s">
        <v>70</v>
      </c>
      <c r="AA193" s="111" t="s">
        <v>531</v>
      </c>
      <c r="AB193" s="578">
        <f>'Monthly Profiles'!G14</f>
        <v>66.198965919317473</v>
      </c>
      <c r="AC193" s="1067"/>
      <c r="AE193" s="1067"/>
      <c r="AF193" s="1236" t="s">
        <v>6268</v>
      </c>
      <c r="AG193" s="1236">
        <v>2.2000000000000002</v>
      </c>
      <c r="AH193" s="1236">
        <v>2.2999999999999998</v>
      </c>
      <c r="AI193" s="1233" t="s">
        <v>6269</v>
      </c>
      <c r="AJ193" s="1233">
        <v>3</v>
      </c>
      <c r="AK193" s="1233">
        <v>1.36</v>
      </c>
      <c r="AL193" s="1233">
        <v>9.1999999999999993</v>
      </c>
      <c r="AM193" s="1233">
        <v>4.17</v>
      </c>
      <c r="AN193" s="1233">
        <v>6.1</v>
      </c>
      <c r="AO193" s="1237">
        <v>2.77</v>
      </c>
      <c r="AQ193" s="102">
        <f t="shared" si="8"/>
        <v>9.2248498334000004</v>
      </c>
      <c r="AR193" s="102">
        <f t="shared" si="9"/>
        <v>9.6351501670999991</v>
      </c>
    </row>
    <row r="194" spans="20:44" s="102" customFormat="1" ht="13.5" thickBot="1">
      <c r="X194" s="106"/>
      <c r="Y194" s="107"/>
      <c r="Z194" s="109" t="s">
        <v>519</v>
      </c>
      <c r="AA194" s="111" t="s">
        <v>531</v>
      </c>
      <c r="AB194" s="578">
        <f>'Monthly Profiles'!G15</f>
        <v>62.65287443846379</v>
      </c>
      <c r="AC194" s="1067"/>
      <c r="AE194" s="1067"/>
      <c r="AF194" s="1236" t="s">
        <v>6270</v>
      </c>
      <c r="AG194" s="1236">
        <v>2.2999999999999998</v>
      </c>
      <c r="AH194" s="1236">
        <v>2.4</v>
      </c>
      <c r="AI194" s="1233" t="s">
        <v>6271</v>
      </c>
      <c r="AJ194" s="1233">
        <v>3</v>
      </c>
      <c r="AK194" s="1233">
        <v>1.36</v>
      </c>
      <c r="AL194" s="1233">
        <v>9.6</v>
      </c>
      <c r="AM194" s="1233">
        <v>4.3499999999999996</v>
      </c>
      <c r="AN194" s="1233">
        <v>6.3</v>
      </c>
      <c r="AO194" s="1237">
        <v>2.86</v>
      </c>
      <c r="AQ194" s="102">
        <f t="shared" si="8"/>
        <v>9.6351501670999991</v>
      </c>
      <c r="AR194" s="102">
        <f t="shared" si="9"/>
        <v>10.045450500799999</v>
      </c>
    </row>
    <row r="195" spans="20:44" s="102" customFormat="1" ht="13.5" thickBot="1">
      <c r="X195" s="106"/>
      <c r="Y195" s="107"/>
      <c r="Z195" s="109" t="s">
        <v>10</v>
      </c>
      <c r="AA195" s="111" t="s">
        <v>531</v>
      </c>
      <c r="AB195" s="578">
        <f>'Monthly Profiles'!G16</f>
        <v>57.779975222135477</v>
      </c>
      <c r="AC195" s="1067"/>
      <c r="AE195" s="1067"/>
      <c r="AF195" s="1236" t="s">
        <v>6272</v>
      </c>
      <c r="AG195" s="1236">
        <v>2.4</v>
      </c>
      <c r="AH195" s="1236">
        <v>2.5</v>
      </c>
      <c r="AI195" s="1233" t="s">
        <v>6273</v>
      </c>
      <c r="AJ195" s="1233">
        <v>3</v>
      </c>
      <c r="AK195" s="1233">
        <v>1.36</v>
      </c>
      <c r="AL195" s="1233">
        <v>10</v>
      </c>
      <c r="AM195" s="1233">
        <v>4.54</v>
      </c>
      <c r="AN195" s="1233">
        <v>6.5</v>
      </c>
      <c r="AO195" s="1237">
        <v>2.95</v>
      </c>
      <c r="AQ195" s="102">
        <f t="shared" si="8"/>
        <v>10.045450500799999</v>
      </c>
      <c r="AR195" s="102">
        <f t="shared" si="9"/>
        <v>10.4557508345</v>
      </c>
    </row>
    <row r="196" spans="20:44" s="102" customFormat="1" ht="13.5" thickBot="1">
      <c r="X196" s="106"/>
      <c r="Y196" s="107"/>
      <c r="Z196" s="109" t="s">
        <v>11</v>
      </c>
      <c r="AA196" s="111" t="s">
        <v>531</v>
      </c>
      <c r="AB196" s="578">
        <f>'Monthly Profiles'!G17</f>
        <v>52.850464544718484</v>
      </c>
      <c r="AC196" s="1067"/>
      <c r="AE196" s="1067"/>
      <c r="AF196" s="1236" t="s">
        <v>6274</v>
      </c>
      <c r="AG196" s="1236">
        <v>2.5</v>
      </c>
      <c r="AH196" s="1236">
        <v>2.6</v>
      </c>
      <c r="AI196" s="1233" t="s">
        <v>6275</v>
      </c>
      <c r="AJ196" s="1233">
        <v>3</v>
      </c>
      <c r="AK196" s="1233">
        <v>1.36</v>
      </c>
      <c r="AL196" s="1233">
        <v>10.5</v>
      </c>
      <c r="AM196" s="1233">
        <v>4.76</v>
      </c>
      <c r="AN196" s="1233">
        <v>6.75</v>
      </c>
      <c r="AO196" s="1237">
        <v>3.06</v>
      </c>
      <c r="AQ196" s="102">
        <f t="shared" si="8"/>
        <v>10.4557508345</v>
      </c>
      <c r="AR196" s="102">
        <f t="shared" si="9"/>
        <v>10.8660511682</v>
      </c>
    </row>
    <row r="197" spans="20:44" s="102" customFormat="1" ht="13.5" thickBot="1">
      <c r="X197" s="106"/>
      <c r="Y197" s="107"/>
      <c r="Z197" s="109" t="str">
        <f>'Monthly Profiles'!B47</f>
        <v>Number Days, Jan</v>
      </c>
      <c r="AA197" s="111" t="s">
        <v>569</v>
      </c>
      <c r="AB197" s="141">
        <f>'Monthly Profiles'!$D$47</f>
        <v>31</v>
      </c>
      <c r="AC197" s="1067"/>
      <c r="AE197" s="1067"/>
      <c r="AF197" s="1236" t="s">
        <v>6276</v>
      </c>
      <c r="AG197" s="1236">
        <v>2.6</v>
      </c>
      <c r="AH197" s="1236">
        <v>2.7</v>
      </c>
      <c r="AI197" s="1233" t="s">
        <v>6277</v>
      </c>
      <c r="AJ197" s="1233">
        <v>3</v>
      </c>
      <c r="AK197" s="1233">
        <v>1.36</v>
      </c>
      <c r="AL197" s="1233">
        <v>10.9</v>
      </c>
      <c r="AM197" s="1233">
        <v>4.9400000000000004</v>
      </c>
      <c r="AN197" s="1233">
        <v>6.95</v>
      </c>
      <c r="AO197" s="1237">
        <v>3.15</v>
      </c>
      <c r="AQ197" s="102">
        <f t="shared" si="8"/>
        <v>10.8660511682</v>
      </c>
      <c r="AR197" s="102">
        <f t="shared" si="9"/>
        <v>11.276351501900001</v>
      </c>
    </row>
    <row r="198" spans="20:44" s="102" customFormat="1" ht="13.5" thickBot="1">
      <c r="X198" s="106"/>
      <c r="Y198" s="107"/>
      <c r="Z198" s="109" t="str">
        <f>'Monthly Profiles'!B48</f>
        <v>Number Days, Feb</v>
      </c>
      <c r="AA198" s="111" t="s">
        <v>569</v>
      </c>
      <c r="AB198" s="141">
        <f>'Monthly Profiles'!$D$48</f>
        <v>28</v>
      </c>
      <c r="AC198" s="1067"/>
      <c r="AE198" s="1067"/>
      <c r="AF198" s="1236" t="s">
        <v>6278</v>
      </c>
      <c r="AG198" s="1236">
        <v>2.7</v>
      </c>
      <c r="AH198" s="1236">
        <v>2.8</v>
      </c>
      <c r="AI198" s="1233" t="s">
        <v>6279</v>
      </c>
      <c r="AJ198" s="1233">
        <v>3</v>
      </c>
      <c r="AK198" s="1233">
        <v>1.36</v>
      </c>
      <c r="AL198" s="1233">
        <v>11.3</v>
      </c>
      <c r="AM198" s="1233">
        <v>5.13</v>
      </c>
      <c r="AN198" s="1233">
        <v>7.15</v>
      </c>
      <c r="AO198" s="1237">
        <v>3.24</v>
      </c>
      <c r="AQ198" s="102">
        <f t="shared" si="8"/>
        <v>11.276351501900001</v>
      </c>
      <c r="AR198" s="102">
        <f t="shared" si="9"/>
        <v>11.686651835599999</v>
      </c>
    </row>
    <row r="199" spans="20:44" s="102" customFormat="1" ht="13.5" thickBot="1">
      <c r="T199" s="101"/>
      <c r="X199" s="106"/>
      <c r="Y199" s="107"/>
      <c r="Z199" s="109" t="str">
        <f>'Monthly Profiles'!B49</f>
        <v>Number Days, Mar</v>
      </c>
      <c r="AA199" s="111" t="s">
        <v>569</v>
      </c>
      <c r="AB199" s="141">
        <f>'Monthly Profiles'!$D$49</f>
        <v>31</v>
      </c>
      <c r="AC199" s="1067"/>
      <c r="AE199" s="1067"/>
      <c r="AF199" s="1236" t="s">
        <v>6280</v>
      </c>
      <c r="AG199" s="1236">
        <v>2.8</v>
      </c>
      <c r="AH199" s="1236">
        <v>2.9</v>
      </c>
      <c r="AI199" s="1233" t="s">
        <v>6281</v>
      </c>
      <c r="AJ199" s="1233">
        <v>3</v>
      </c>
      <c r="AK199" s="1233">
        <v>1.36</v>
      </c>
      <c r="AL199" s="1233">
        <v>11.7</v>
      </c>
      <c r="AM199" s="1233">
        <v>5.31</v>
      </c>
      <c r="AN199" s="1233">
        <v>7.35</v>
      </c>
      <c r="AO199" s="1237">
        <v>3.33</v>
      </c>
      <c r="AQ199" s="102">
        <f t="shared" si="8"/>
        <v>11.686651835599999</v>
      </c>
      <c r="AR199" s="102">
        <f t="shared" si="9"/>
        <v>12.0969521693</v>
      </c>
    </row>
    <row r="200" spans="20:44" s="127" customFormat="1" ht="13.5" thickBot="1">
      <c r="T200" s="101"/>
      <c r="U200" s="102"/>
      <c r="V200" s="102"/>
      <c r="W200" s="102"/>
      <c r="X200" s="106"/>
      <c r="Y200" s="107"/>
      <c r="Z200" s="109" t="str">
        <f>'Monthly Profiles'!B50</f>
        <v>Number Days, Apr</v>
      </c>
      <c r="AA200" s="111" t="s">
        <v>569</v>
      </c>
      <c r="AB200" s="141">
        <f>'Monthly Profiles'!$D$50</f>
        <v>30</v>
      </c>
      <c r="AC200" s="1067"/>
      <c r="AD200" s="102"/>
      <c r="AE200" s="1067"/>
      <c r="AF200" s="1236" t="s">
        <v>6282</v>
      </c>
      <c r="AG200" s="1236">
        <v>2.9</v>
      </c>
      <c r="AH200" s="1236">
        <v>3</v>
      </c>
      <c r="AI200" s="1233" t="s">
        <v>6283</v>
      </c>
      <c r="AJ200" s="1233">
        <v>3</v>
      </c>
      <c r="AK200" s="1233">
        <v>1.36</v>
      </c>
      <c r="AL200" s="1233">
        <v>12.1</v>
      </c>
      <c r="AM200" s="1233">
        <v>5.49</v>
      </c>
      <c r="AN200" s="1233">
        <v>7.55</v>
      </c>
      <c r="AO200" s="1237">
        <v>3.42</v>
      </c>
      <c r="AQ200" s="102">
        <f t="shared" si="8"/>
        <v>12.0969521693</v>
      </c>
      <c r="AR200" s="102">
        <f t="shared" si="9"/>
        <v>12.507252502999998</v>
      </c>
    </row>
    <row r="201" spans="20:44" s="102" customFormat="1" ht="13.5" thickBot="1">
      <c r="T201" s="101"/>
      <c r="X201" s="106"/>
      <c r="Y201" s="107"/>
      <c r="Z201" s="109" t="str">
        <f>'Monthly Profiles'!B51</f>
        <v>Number Days, May</v>
      </c>
      <c r="AA201" s="111" t="s">
        <v>569</v>
      </c>
      <c r="AB201" s="141">
        <f>'Monthly Profiles'!$D$51</f>
        <v>31</v>
      </c>
      <c r="AC201" s="1067"/>
      <c r="AE201" s="1067"/>
      <c r="AF201" s="1236" t="s">
        <v>6284</v>
      </c>
      <c r="AG201" s="1236">
        <v>3</v>
      </c>
      <c r="AH201" s="1236">
        <v>3.1</v>
      </c>
      <c r="AI201" s="1233" t="s">
        <v>6285</v>
      </c>
      <c r="AJ201" s="1233">
        <v>3</v>
      </c>
      <c r="AK201" s="1233">
        <v>1.36</v>
      </c>
      <c r="AL201" s="1233">
        <v>12.5</v>
      </c>
      <c r="AM201" s="1233">
        <v>5.67</v>
      </c>
      <c r="AN201" s="1233">
        <v>7.75</v>
      </c>
      <c r="AO201" s="1237">
        <v>3.52</v>
      </c>
      <c r="AQ201" s="102">
        <f t="shared" si="8"/>
        <v>12.507252502999998</v>
      </c>
      <c r="AR201" s="102">
        <f t="shared" si="9"/>
        <v>12.917552836699999</v>
      </c>
    </row>
    <row r="202" spans="20:44" s="102" customFormat="1" ht="13.5" thickBot="1">
      <c r="T202" s="101"/>
      <c r="X202" s="106"/>
      <c r="Y202" s="107"/>
      <c r="Z202" s="109" t="str">
        <f>'Monthly Profiles'!B52</f>
        <v>Number Days, Jun</v>
      </c>
      <c r="AA202" s="111" t="s">
        <v>569</v>
      </c>
      <c r="AB202" s="141">
        <f>'Monthly Profiles'!$D$52</f>
        <v>30</v>
      </c>
      <c r="AC202" s="1067"/>
      <c r="AE202" s="1067"/>
      <c r="AF202" s="1236" t="s">
        <v>6286</v>
      </c>
      <c r="AG202" s="1236">
        <v>3.1</v>
      </c>
      <c r="AH202" s="1236">
        <v>3.2</v>
      </c>
      <c r="AI202" s="1233" t="s">
        <v>6287</v>
      </c>
      <c r="AJ202" s="1233">
        <v>3</v>
      </c>
      <c r="AK202" s="1233">
        <v>1.36</v>
      </c>
      <c r="AL202" s="1233">
        <v>12.9</v>
      </c>
      <c r="AM202" s="1233">
        <v>5.85</v>
      </c>
      <c r="AN202" s="1233">
        <v>7.95</v>
      </c>
      <c r="AO202" s="1237">
        <v>3.61</v>
      </c>
      <c r="AQ202" s="102">
        <f t="shared" si="8"/>
        <v>12.917552836699999</v>
      </c>
      <c r="AR202" s="102">
        <f t="shared" si="9"/>
        <v>13.327853170399999</v>
      </c>
    </row>
    <row r="203" spans="20:44" s="102" customFormat="1" ht="13.5" thickBot="1">
      <c r="T203" s="101"/>
      <c r="X203" s="106"/>
      <c r="Y203" s="107"/>
      <c r="Z203" s="109" t="str">
        <f>'Monthly Profiles'!B53</f>
        <v>Number Days, Jul</v>
      </c>
      <c r="AA203" s="111" t="s">
        <v>569</v>
      </c>
      <c r="AB203" s="141">
        <f>'Monthly Profiles'!$D$53</f>
        <v>31</v>
      </c>
      <c r="AC203" s="1067"/>
      <c r="AE203" s="1067"/>
      <c r="AF203" s="1236" t="s">
        <v>6288</v>
      </c>
      <c r="AG203" s="1236">
        <v>3.2</v>
      </c>
      <c r="AH203" s="1236">
        <v>3.3</v>
      </c>
      <c r="AI203" s="1233" t="s">
        <v>6289</v>
      </c>
      <c r="AJ203" s="1233">
        <v>3</v>
      </c>
      <c r="AK203" s="1233">
        <v>1.36</v>
      </c>
      <c r="AL203" s="1233">
        <v>13.3</v>
      </c>
      <c r="AM203" s="1233">
        <v>6.03</v>
      </c>
      <c r="AN203" s="1233">
        <v>8.15</v>
      </c>
      <c r="AO203" s="1237">
        <v>3.7</v>
      </c>
      <c r="AQ203" s="102">
        <f t="shared" si="8"/>
        <v>13.327853170399999</v>
      </c>
      <c r="AR203" s="102">
        <f t="shared" si="9"/>
        <v>13.738153504099998</v>
      </c>
    </row>
    <row r="204" spans="20:44" s="102" customFormat="1" ht="13.5" thickBot="1">
      <c r="T204" s="101"/>
      <c r="X204" s="106"/>
      <c r="Y204" s="107"/>
      <c r="Z204" s="109" t="str">
        <f>'Monthly Profiles'!B54</f>
        <v>Number Days, Aug</v>
      </c>
      <c r="AA204" s="111" t="s">
        <v>569</v>
      </c>
      <c r="AB204" s="141">
        <f>'Monthly Profiles'!$D$54</f>
        <v>31</v>
      </c>
      <c r="AC204" s="1067"/>
      <c r="AE204" s="1067"/>
      <c r="AF204" s="1236" t="s">
        <v>6290</v>
      </c>
      <c r="AG204" s="1236">
        <v>3.3</v>
      </c>
      <c r="AH204" s="1236">
        <v>3.4</v>
      </c>
      <c r="AI204" s="1233" t="s">
        <v>6291</v>
      </c>
      <c r="AJ204" s="1233">
        <v>3</v>
      </c>
      <c r="AK204" s="1233">
        <v>1.36</v>
      </c>
      <c r="AL204" s="1233">
        <v>13.7</v>
      </c>
      <c r="AM204" s="1233">
        <v>6.21</v>
      </c>
      <c r="AN204" s="1233">
        <v>8.35</v>
      </c>
      <c r="AO204" s="1237">
        <v>3.79</v>
      </c>
      <c r="AQ204" s="102">
        <f t="shared" si="8"/>
        <v>13.738153504099998</v>
      </c>
      <c r="AR204" s="102">
        <f t="shared" si="9"/>
        <v>14.148453837799998</v>
      </c>
    </row>
    <row r="205" spans="20:44" s="102" customFormat="1" ht="13.5" thickBot="1">
      <c r="T205" s="127"/>
      <c r="X205" s="106"/>
      <c r="Y205" s="107"/>
      <c r="Z205" s="109" t="str">
        <f>'Monthly Profiles'!B55</f>
        <v>Number Days, Sep</v>
      </c>
      <c r="AA205" s="111" t="s">
        <v>569</v>
      </c>
      <c r="AB205" s="141">
        <f>'Monthly Profiles'!$D$55</f>
        <v>30</v>
      </c>
      <c r="AC205" s="1067"/>
      <c r="AE205" s="1067"/>
      <c r="AF205" s="1236" t="s">
        <v>6292</v>
      </c>
      <c r="AG205" s="1236">
        <v>3.4</v>
      </c>
      <c r="AH205" s="1236">
        <v>3.5</v>
      </c>
      <c r="AI205" s="1233" t="s">
        <v>6293</v>
      </c>
      <c r="AJ205" s="1233">
        <v>3</v>
      </c>
      <c r="AK205" s="1233">
        <v>1.36</v>
      </c>
      <c r="AL205" s="1233">
        <v>14.1</v>
      </c>
      <c r="AM205" s="1233">
        <v>6.4</v>
      </c>
      <c r="AN205" s="1233">
        <v>8.5500000000000007</v>
      </c>
      <c r="AO205" s="1237">
        <v>3.88</v>
      </c>
      <c r="AQ205" s="102">
        <f t="shared" si="8"/>
        <v>14.148453837799998</v>
      </c>
      <c r="AR205" s="102">
        <f t="shared" si="9"/>
        <v>14.558754171499999</v>
      </c>
    </row>
    <row r="206" spans="20:44" s="102" customFormat="1" ht="26.25" thickBot="1">
      <c r="T206" s="127"/>
      <c r="X206" s="106"/>
      <c r="Y206" s="107"/>
      <c r="Z206" s="109" t="str">
        <f>'Monthly Profiles'!B56</f>
        <v>Number Days, Oct</v>
      </c>
      <c r="AA206" s="111" t="s">
        <v>569</v>
      </c>
      <c r="AB206" s="141">
        <f>'Monthly Profiles'!$D$56</f>
        <v>31</v>
      </c>
      <c r="AC206" s="1067"/>
      <c r="AE206" s="1067"/>
      <c r="AF206" s="1236" t="s">
        <v>6294</v>
      </c>
      <c r="AG206" s="1236">
        <v>3.5</v>
      </c>
      <c r="AH206" s="1236">
        <v>3.6</v>
      </c>
      <c r="AI206" s="1233" t="s">
        <v>6295</v>
      </c>
      <c r="AJ206" s="1233">
        <v>3</v>
      </c>
      <c r="AK206" s="1233">
        <v>1.36</v>
      </c>
      <c r="AL206" s="1233">
        <v>14.6</v>
      </c>
      <c r="AM206" s="1233">
        <v>6.62</v>
      </c>
      <c r="AN206" s="1233">
        <v>8.8000000000000007</v>
      </c>
      <c r="AO206" s="1237">
        <v>3.99</v>
      </c>
      <c r="AQ206" s="102">
        <f t="shared" si="8"/>
        <v>14.558754171499999</v>
      </c>
      <c r="AR206" s="102">
        <f t="shared" si="9"/>
        <v>14.969054505199999</v>
      </c>
    </row>
    <row r="207" spans="20:44" s="102" customFormat="1" ht="26.25" thickBot="1">
      <c r="T207" s="127"/>
      <c r="X207" s="106"/>
      <c r="Y207" s="107"/>
      <c r="Z207" s="109" t="str">
        <f>'Monthly Profiles'!B57</f>
        <v>Number Days, Nov</v>
      </c>
      <c r="AA207" s="111" t="s">
        <v>569</v>
      </c>
      <c r="AB207" s="141">
        <f>'Monthly Profiles'!$D$57</f>
        <v>30</v>
      </c>
      <c r="AC207" s="1067"/>
      <c r="AE207" s="1067"/>
      <c r="AF207" s="1236" t="s">
        <v>6296</v>
      </c>
      <c r="AG207" s="1236">
        <v>3.6</v>
      </c>
      <c r="AH207" s="1236">
        <v>3.7</v>
      </c>
      <c r="AI207" s="1233" t="s">
        <v>6297</v>
      </c>
      <c r="AJ207" s="1233">
        <v>3</v>
      </c>
      <c r="AK207" s="1233">
        <v>1.36</v>
      </c>
      <c r="AL207" s="1233">
        <v>15</v>
      </c>
      <c r="AM207" s="1233">
        <v>6.8</v>
      </c>
      <c r="AN207" s="1233">
        <v>9</v>
      </c>
      <c r="AO207" s="1237">
        <v>4.08</v>
      </c>
      <c r="AQ207" s="102">
        <f t="shared" si="8"/>
        <v>14.969054505199999</v>
      </c>
      <c r="AR207" s="102">
        <f t="shared" si="9"/>
        <v>15.379354838899999</v>
      </c>
    </row>
    <row r="208" spans="20:44" s="102" customFormat="1" ht="25.5">
      <c r="T208" s="127"/>
      <c r="X208" s="106"/>
      <c r="Y208" s="107"/>
      <c r="Z208" s="109" t="str">
        <f>'Monthly Profiles'!B58</f>
        <v>Number Days, Dec</v>
      </c>
      <c r="AA208" s="111" t="s">
        <v>569</v>
      </c>
      <c r="AB208" s="141">
        <f>'Monthly Profiles'!$D$58</f>
        <v>31</v>
      </c>
      <c r="AC208" s="1067"/>
      <c r="AE208" s="1067"/>
      <c r="AF208" s="1238" t="s">
        <v>6298</v>
      </c>
      <c r="AG208" s="1238">
        <v>3.7</v>
      </c>
      <c r="AH208" s="1238">
        <v>3.8</v>
      </c>
      <c r="AI208" s="1239" t="s">
        <v>6299</v>
      </c>
      <c r="AJ208" s="1239">
        <v>3</v>
      </c>
      <c r="AK208" s="1239">
        <v>1.36</v>
      </c>
      <c r="AL208" s="1239">
        <v>15.4</v>
      </c>
      <c r="AM208" s="1239">
        <v>6.99</v>
      </c>
      <c r="AN208" s="1239">
        <v>9.1999999999999993</v>
      </c>
      <c r="AO208" s="1240">
        <v>4.17</v>
      </c>
      <c r="AQ208" s="102">
        <f t="shared" si="8"/>
        <v>15.379354838899999</v>
      </c>
      <c r="AR208" s="102">
        <f t="shared" si="9"/>
        <v>15.789655172599998</v>
      </c>
    </row>
    <row r="209" spans="20:41" s="102" customFormat="1" ht="12.75">
      <c r="X209" s="106"/>
      <c r="Y209" s="107"/>
      <c r="Z209" s="107" t="s">
        <v>1032</v>
      </c>
      <c r="AA209" s="111" t="s">
        <v>960</v>
      </c>
      <c r="AB209" s="143">
        <v>3.7850000000000001</v>
      </c>
      <c r="AC209" s="1067"/>
      <c r="AE209" s="1067"/>
      <c r="AF209" s="1067"/>
      <c r="AH209"/>
      <c r="AI209"/>
      <c r="AJ209"/>
      <c r="AK209"/>
      <c r="AL209"/>
      <c r="AM209"/>
      <c r="AN209"/>
      <c r="AO209"/>
    </row>
    <row r="210" spans="20:41" s="102" customFormat="1" ht="12.75">
      <c r="X210" s="106"/>
      <c r="Y210" s="107"/>
      <c r="Z210" s="107" t="s">
        <v>777</v>
      </c>
      <c r="AA210" s="111" t="s">
        <v>777</v>
      </c>
      <c r="AB210" s="579">
        <v>29.31</v>
      </c>
      <c r="AC210" s="1067"/>
      <c r="AE210" s="1067"/>
      <c r="AF210" s="1067"/>
      <c r="AH210" s="1229" t="s">
        <v>6300</v>
      </c>
      <c r="AI210"/>
      <c r="AJ210"/>
      <c r="AK210"/>
      <c r="AL210"/>
      <c r="AM210"/>
      <c r="AN210"/>
      <c r="AO210"/>
    </row>
    <row r="211" spans="20:41" s="102" customFormat="1">
      <c r="X211" s="106"/>
      <c r="Y211" s="107"/>
      <c r="Z211" s="124" t="s">
        <v>1123</v>
      </c>
      <c r="AA211" s="111" t="str">
        <f>NewConst!D112</f>
        <v>deg F</v>
      </c>
      <c r="AB211" s="580">
        <f>NewConst!$F$112</f>
        <v>130</v>
      </c>
      <c r="AC211" s="1067"/>
      <c r="AE211" s="155"/>
      <c r="AF211" s="1067"/>
    </row>
    <row r="212" spans="20:41" s="102" customFormat="1" ht="12">
      <c r="X212" s="106"/>
      <c r="Y212" s="137" t="s">
        <v>913</v>
      </c>
      <c r="Z212" s="107"/>
      <c r="AA212" s="111"/>
      <c r="AB212" s="581"/>
      <c r="AC212" s="1067"/>
      <c r="AE212" s="1067"/>
      <c r="AF212" s="1224" t="s">
        <v>6304</v>
      </c>
      <c r="AG212" s="102">
        <f>NewConst!$F$262</f>
        <v>3.15</v>
      </c>
    </row>
    <row r="213" spans="20:41" s="102" customFormat="1">
      <c r="X213" s="106"/>
      <c r="Y213" s="107"/>
      <c r="Z213" s="124" t="s">
        <v>6311</v>
      </c>
      <c r="AA213" s="111" t="s">
        <v>1333</v>
      </c>
      <c r="AB213" s="143">
        <f>392*(0.5+N_br/6)*12.5/W_test</f>
        <v>373.39868155778845</v>
      </c>
      <c r="AC213" s="143">
        <f>392*(0.5+1.56/6)*12.5/W_test</f>
        <v>283.78299798391919</v>
      </c>
      <c r="AE213" s="1067"/>
      <c r="AF213" s="1224" t="s">
        <v>6306</v>
      </c>
      <c r="AG213" s="1242">
        <f>FLOOR(AG212,0.1)</f>
        <v>3.1</v>
      </c>
    </row>
    <row r="214" spans="20:41" s="102" customFormat="1">
      <c r="X214" s="106"/>
      <c r="Y214" s="107"/>
      <c r="Z214" s="124" t="s">
        <v>6312</v>
      </c>
      <c r="AA214" s="111" t="s">
        <v>1333</v>
      </c>
      <c r="AB214" s="1243">
        <f>2.16*52*Nunits</f>
        <v>22464</v>
      </c>
      <c r="AC214" s="1224">
        <f>AC213*200/2.42</f>
        <v>23453.14032924952</v>
      </c>
      <c r="AE214" s="1224"/>
      <c r="AF214" s="1224"/>
      <c r="AG214" s="1242"/>
    </row>
    <row r="215" spans="20:41" s="102" customFormat="1">
      <c r="X215" s="106"/>
      <c r="Y215" s="107"/>
      <c r="Z215" s="433" t="s">
        <v>6314</v>
      </c>
      <c r="AA215" s="1244" t="s">
        <v>1333</v>
      </c>
      <c r="AB215" s="1245">
        <f>IF(HomeType=2, IF(NewConst!$F$249="yes", $AB$214, $AB$213),  $AB$213)</f>
        <v>373.39868155778845</v>
      </c>
      <c r="AC215" s="1224"/>
      <c r="AE215" s="1224"/>
      <c r="AF215" s="1224"/>
      <c r="AG215" s="1242"/>
    </row>
    <row r="216" spans="20:41" s="102" customFormat="1">
      <c r="X216" s="106"/>
      <c r="Y216" s="107"/>
      <c r="Z216" s="124" t="s">
        <v>1325</v>
      </c>
      <c r="AA216" s="111" t="s">
        <v>1178</v>
      </c>
      <c r="AB216" s="143">
        <f>W_test</f>
        <v>13.122703003549999</v>
      </c>
      <c r="AC216" s="1067"/>
      <c r="AE216" s="1067"/>
      <c r="AF216" s="1224" t="s">
        <v>6307</v>
      </c>
      <c r="AG216" s="102">
        <f>4.103003337*NewConst!$F$262 + 0.198242492</f>
        <v>13.122703003549999</v>
      </c>
      <c r="AH216" s="102" t="s">
        <v>6305</v>
      </c>
    </row>
    <row r="217" spans="20:41" s="102" customFormat="1" ht="12.75">
      <c r="T217" s="127"/>
      <c r="X217" s="106"/>
      <c r="Y217" s="107"/>
      <c r="Z217" s="124" t="s">
        <v>1127</v>
      </c>
      <c r="AA217" s="111" t="s">
        <v>531</v>
      </c>
      <c r="AB217" s="143">
        <v>60</v>
      </c>
      <c r="AC217" s="1067"/>
      <c r="AE217" s="1067"/>
      <c r="AF217" s="1067"/>
      <c r="AG217" s="102">
        <f>392*(0.5+N_br/6)*12.5/W_test</f>
        <v>373.39868155778845</v>
      </c>
      <c r="AH217" s="102" t="s">
        <v>6308</v>
      </c>
    </row>
    <row r="218" spans="20:41" s="102" customFormat="1">
      <c r="X218" s="106"/>
      <c r="Y218" s="107"/>
      <c r="Z218" s="124" t="s">
        <v>1116</v>
      </c>
      <c r="AA218" s="111"/>
      <c r="AB218" s="143">
        <v>0.75</v>
      </c>
      <c r="AC218" s="1067"/>
      <c r="AE218" s="1067"/>
      <c r="AF218" s="1067"/>
    </row>
    <row r="219" spans="20:41" s="102" customFormat="1" ht="12.75">
      <c r="T219" s="127"/>
      <c r="X219" s="106"/>
      <c r="Y219" s="137" t="s">
        <v>52</v>
      </c>
      <c r="Z219" s="124"/>
      <c r="AA219" s="111"/>
      <c r="AB219" s="581"/>
      <c r="AC219" s="1067"/>
      <c r="AE219" s="1067"/>
      <c r="AF219" s="1067"/>
    </row>
    <row r="220" spans="20:41" s="102" customFormat="1" ht="12.75">
      <c r="X220" s="106"/>
      <c r="Y220" s="107"/>
      <c r="Z220" s="124" t="s">
        <v>914</v>
      </c>
      <c r="AA220" s="576"/>
      <c r="AB220" s="143">
        <v>0.52</v>
      </c>
      <c r="AC220" s="1067"/>
      <c r="AE220" s="1067"/>
      <c r="AF220" s="1067"/>
    </row>
    <row r="221" spans="20:41" s="102" customFormat="1">
      <c r="X221" s="106"/>
      <c r="Y221" s="107"/>
      <c r="Z221" s="124" t="s">
        <v>86</v>
      </c>
      <c r="AA221" s="113" t="s">
        <v>1104</v>
      </c>
      <c r="AB221" s="143">
        <v>0.5</v>
      </c>
      <c r="AC221" s="1067"/>
      <c r="AE221" s="1067"/>
      <c r="AF221" s="1067"/>
    </row>
    <row r="222" spans="20:41" s="102" customFormat="1" ht="22.5">
      <c r="X222" s="120"/>
      <c r="Y222" s="121"/>
      <c r="Z222" s="138" t="s">
        <v>1268</v>
      </c>
      <c r="AA222" s="577"/>
      <c r="AB222" s="582">
        <v>0.84</v>
      </c>
      <c r="AC222" s="1067"/>
      <c r="AE222" s="1067"/>
      <c r="AF222" s="1067"/>
    </row>
    <row r="223" spans="20:41" s="102" customFormat="1" ht="15.75">
      <c r="U223" s="127"/>
      <c r="V223" s="100"/>
      <c r="W223" s="127"/>
      <c r="X223" s="127"/>
      <c r="Y223" s="101"/>
      <c r="Z223" s="101"/>
      <c r="AA223" s="99"/>
      <c r="AB223" s="99"/>
      <c r="AC223" s="99"/>
      <c r="AD223" s="1067"/>
      <c r="AE223" s="1067"/>
      <c r="AF223" s="1067"/>
      <c r="AG223" s="1067"/>
    </row>
    <row r="224" spans="20:41" s="102" customFormat="1" ht="15.75">
      <c r="U224" s="127"/>
      <c r="V224" s="100"/>
      <c r="W224" s="2306" t="s">
        <v>322</v>
      </c>
      <c r="X224" s="2307"/>
      <c r="Y224" s="2307"/>
      <c r="Z224" s="2307"/>
      <c r="AA224" s="574" t="s">
        <v>550</v>
      </c>
      <c r="AB224" s="574" t="s">
        <v>548</v>
      </c>
      <c r="AC224" s="575" t="s">
        <v>549</v>
      </c>
      <c r="AD224" s="153"/>
      <c r="AE224" s="153"/>
      <c r="AF224" s="153"/>
      <c r="AG224" s="1067"/>
    </row>
    <row r="225" spans="21:36" s="102" customFormat="1" ht="12.75">
      <c r="U225" s="127"/>
      <c r="V225" s="127"/>
      <c r="W225" s="127"/>
      <c r="X225" s="2300" t="s">
        <v>320</v>
      </c>
      <c r="Y225" s="2301"/>
      <c r="Z225" s="2301"/>
      <c r="AA225" s="2301"/>
      <c r="AB225" s="1065"/>
      <c r="AC225" s="1065"/>
      <c r="AD225" s="360"/>
      <c r="AE225" s="177"/>
      <c r="AF225" s="178"/>
      <c r="AG225" s="177"/>
      <c r="AH225" s="178"/>
      <c r="AI225" s="177"/>
      <c r="AJ225" s="179"/>
    </row>
    <row r="226" spans="21:36" s="102" customFormat="1">
      <c r="X226" s="421"/>
      <c r="Y226" s="422" t="s">
        <v>320</v>
      </c>
      <c r="Z226" s="422"/>
      <c r="AA226" s="105" t="s">
        <v>190</v>
      </c>
      <c r="AB226" s="447"/>
      <c r="AC226" s="447"/>
      <c r="AD226" s="184"/>
      <c r="AE226" s="185"/>
      <c r="AF226" s="186"/>
      <c r="AG226" s="185"/>
      <c r="AH226" s="186"/>
      <c r="AI226" s="185"/>
      <c r="AJ226" s="187"/>
    </row>
    <row r="227" spans="21:36" s="102" customFormat="1">
      <c r="X227" s="106"/>
      <c r="Y227" s="107"/>
      <c r="Z227" s="108" t="s">
        <v>459</v>
      </c>
      <c r="AA227" s="111" t="s">
        <v>4779</v>
      </c>
      <c r="AB227" s="111"/>
      <c r="AC227" s="111"/>
      <c r="AD227" s="180" t="s">
        <v>1056</v>
      </c>
      <c r="AE227" s="181" t="s">
        <v>48</v>
      </c>
      <c r="AF227" s="182" t="s">
        <v>4745</v>
      </c>
      <c r="AG227" s="181" t="s">
        <v>563</v>
      </c>
      <c r="AH227" s="182" t="s">
        <v>563</v>
      </c>
      <c r="AI227" s="181" t="s">
        <v>563</v>
      </c>
      <c r="AJ227" s="183" t="s">
        <v>563</v>
      </c>
    </row>
    <row r="228" spans="21:36" s="102" customFormat="1" ht="33.75">
      <c r="U228" s="132"/>
      <c r="V228" s="132"/>
      <c r="W228" s="132"/>
      <c r="X228" s="429"/>
      <c r="Y228" s="108"/>
      <c r="Z228" s="108" t="s">
        <v>458</v>
      </c>
      <c r="AA228" s="430"/>
      <c r="AB228" s="430"/>
      <c r="AC228" s="430"/>
      <c r="AD228" s="399" t="s">
        <v>517</v>
      </c>
      <c r="AE228" s="292" t="s">
        <v>291</v>
      </c>
      <c r="AF228" s="293" t="s">
        <v>4745</v>
      </c>
      <c r="AG228" s="292" t="s">
        <v>874</v>
      </c>
      <c r="AH228" s="295" t="s">
        <v>509</v>
      </c>
      <c r="AI228" s="294" t="s">
        <v>875</v>
      </c>
      <c r="AJ228" s="473" t="s">
        <v>137</v>
      </c>
    </row>
    <row r="229" spans="21:36" s="102" customFormat="1">
      <c r="X229" s="106"/>
      <c r="Y229" s="107"/>
      <c r="Z229" s="108" t="s">
        <v>1114</v>
      </c>
      <c r="AA229" s="111" t="s">
        <v>1153</v>
      </c>
      <c r="AB229" s="111"/>
      <c r="AC229" s="111"/>
      <c r="AD229" s="372"/>
      <c r="AE229" s="229"/>
      <c r="AF229" s="230">
        <f t="shared" ref="AF229:AJ230" si="10">AF250</f>
        <v>1.1599999999999999</v>
      </c>
      <c r="AG229" s="229">
        <f t="shared" si="10"/>
        <v>1.1599999999999999</v>
      </c>
      <c r="AH229" s="230">
        <f t="shared" si="10"/>
        <v>1.47</v>
      </c>
      <c r="AI229" s="229">
        <f t="shared" si="10"/>
        <v>1.1599999999999999</v>
      </c>
      <c r="AJ229" s="231">
        <f t="shared" si="10"/>
        <v>1.47</v>
      </c>
    </row>
    <row r="230" spans="21:36" s="102" customFormat="1">
      <c r="X230" s="106"/>
      <c r="Y230" s="107"/>
      <c r="Z230" s="108" t="s">
        <v>79</v>
      </c>
      <c r="AA230" s="111" t="s">
        <v>1154</v>
      </c>
      <c r="AB230" s="111"/>
      <c r="AC230" s="111"/>
      <c r="AD230" s="372"/>
      <c r="AE230" s="229"/>
      <c r="AF230" s="230" t="e">
        <f t="shared" si="10"/>
        <v>#REF!</v>
      </c>
      <c r="AG230" s="229" t="str">
        <f t="shared" si="10"/>
        <v>NA</v>
      </c>
      <c r="AH230" s="230">
        <f t="shared" si="10"/>
        <v>9</v>
      </c>
      <c r="AI230" s="229" t="str">
        <f t="shared" si="10"/>
        <v>NA</v>
      </c>
      <c r="AJ230" s="231">
        <f t="shared" si="10"/>
        <v>9</v>
      </c>
    </row>
    <row r="231" spans="21:36" s="102" customFormat="1">
      <c r="U231" s="132"/>
      <c r="V231" s="132"/>
      <c r="W231" s="132"/>
      <c r="X231" s="429"/>
      <c r="Y231" s="435" t="s">
        <v>9</v>
      </c>
      <c r="Z231" s="108"/>
      <c r="AA231" s="430"/>
      <c r="AB231" s="430"/>
      <c r="AC231" s="430"/>
      <c r="AD231" s="395"/>
      <c r="AE231" s="488"/>
      <c r="AF231" s="297"/>
      <c r="AG231" s="296"/>
      <c r="AH231" s="297"/>
      <c r="AI231" s="296"/>
      <c r="AJ231" s="474"/>
    </row>
    <row r="232" spans="21:36" s="102" customFormat="1">
      <c r="U232" s="132"/>
      <c r="V232" s="132"/>
      <c r="W232" s="132"/>
      <c r="X232" s="429"/>
      <c r="Y232" s="108"/>
      <c r="Z232" s="108" t="s">
        <v>486</v>
      </c>
      <c r="AA232" s="430"/>
      <c r="AB232" s="430"/>
      <c r="AC232" s="430"/>
      <c r="AD232" s="380" t="s">
        <v>773</v>
      </c>
      <c r="AE232" s="484" t="s">
        <v>773</v>
      </c>
      <c r="AF232" s="298" t="s">
        <v>773</v>
      </c>
      <c r="AG232" s="247" t="s">
        <v>57</v>
      </c>
      <c r="AH232" s="298" t="s">
        <v>57</v>
      </c>
      <c r="AI232" s="247" t="s">
        <v>57</v>
      </c>
      <c r="AJ232" s="411" t="s">
        <v>57</v>
      </c>
    </row>
    <row r="233" spans="21:36" s="102" customFormat="1">
      <c r="U233" s="132"/>
      <c r="V233" s="132"/>
      <c r="W233" s="132"/>
      <c r="X233" s="429"/>
      <c r="Y233" s="108"/>
      <c r="Z233" s="108" t="s">
        <v>527</v>
      </c>
      <c r="AA233" s="430"/>
      <c r="AB233" s="430"/>
      <c r="AC233" s="430"/>
      <c r="AD233" s="380" t="s">
        <v>773</v>
      </c>
      <c r="AE233" s="484" t="s">
        <v>773</v>
      </c>
      <c r="AF233" s="298" t="s">
        <v>773</v>
      </c>
      <c r="AG233" s="247" t="s">
        <v>263</v>
      </c>
      <c r="AH233" s="298" t="s">
        <v>758</v>
      </c>
      <c r="AI233" s="247" t="s">
        <v>263</v>
      </c>
      <c r="AJ233" s="411" t="s">
        <v>758</v>
      </c>
    </row>
    <row r="234" spans="21:36" s="102" customFormat="1">
      <c r="U234" s="132"/>
      <c r="V234" s="132"/>
      <c r="W234" s="132"/>
      <c r="X234" s="429"/>
      <c r="Y234" s="108"/>
      <c r="Z234" s="108" t="s">
        <v>282</v>
      </c>
      <c r="AA234" s="430" t="s">
        <v>1067</v>
      </c>
      <c r="AB234" s="430"/>
      <c r="AC234" s="430"/>
      <c r="AD234" s="214" t="s">
        <v>773</v>
      </c>
      <c r="AE234" s="485" t="s">
        <v>773</v>
      </c>
      <c r="AF234" s="233" t="s">
        <v>773</v>
      </c>
      <c r="AG234" s="232" t="s">
        <v>510</v>
      </c>
      <c r="AH234" s="233" t="s">
        <v>511</v>
      </c>
      <c r="AI234" s="247" t="s">
        <v>510</v>
      </c>
      <c r="AJ234" s="411" t="s">
        <v>511</v>
      </c>
    </row>
    <row r="235" spans="21:36" s="102" customFormat="1">
      <c r="U235" s="132"/>
      <c r="V235" s="132"/>
      <c r="W235" s="132"/>
      <c r="X235" s="429"/>
      <c r="Y235" s="108"/>
      <c r="Z235" s="108" t="s">
        <v>471</v>
      </c>
      <c r="AA235" s="430" t="s">
        <v>558</v>
      </c>
      <c r="AB235" s="430"/>
      <c r="AC235" s="430"/>
      <c r="AD235" s="214" t="s">
        <v>773</v>
      </c>
      <c r="AE235" s="485" t="s">
        <v>773</v>
      </c>
      <c r="AF235" s="218">
        <f>NewConst!F262</f>
        <v>3.15</v>
      </c>
      <c r="AG235" s="232">
        <v>3.15</v>
      </c>
      <c r="AH235" s="233">
        <v>2.65</v>
      </c>
      <c r="AI235" s="299">
        <v>3.15</v>
      </c>
      <c r="AJ235" s="475">
        <v>2.65</v>
      </c>
    </row>
    <row r="236" spans="21:36" s="102" customFormat="1">
      <c r="U236" s="132"/>
      <c r="V236" s="132"/>
      <c r="W236" s="132"/>
      <c r="X236" s="429"/>
      <c r="Y236" s="108"/>
      <c r="Z236" s="108" t="s">
        <v>670</v>
      </c>
      <c r="AA236" s="430" t="s">
        <v>1065</v>
      </c>
      <c r="AB236" s="430"/>
      <c r="AC236" s="430"/>
      <c r="AD236" s="214" t="s">
        <v>773</v>
      </c>
      <c r="AE236" s="485" t="s">
        <v>773</v>
      </c>
      <c r="AF236" s="233" t="s">
        <v>773</v>
      </c>
      <c r="AG236" s="232" t="s">
        <v>671</v>
      </c>
      <c r="AH236" s="233" t="s">
        <v>567</v>
      </c>
      <c r="AI236" s="247" t="s">
        <v>671</v>
      </c>
      <c r="AJ236" s="411" t="s">
        <v>567</v>
      </c>
    </row>
    <row r="237" spans="21:36" s="102" customFormat="1">
      <c r="U237" s="132"/>
      <c r="V237" s="132"/>
      <c r="W237" s="132"/>
      <c r="X237" s="429"/>
      <c r="Y237" s="108"/>
      <c r="Z237" s="108" t="s">
        <v>252</v>
      </c>
      <c r="AA237" s="430" t="s">
        <v>1065</v>
      </c>
      <c r="AB237" s="430"/>
      <c r="AC237" s="430"/>
      <c r="AD237" s="214" t="s">
        <v>773</v>
      </c>
      <c r="AE237" s="485" t="s">
        <v>773</v>
      </c>
      <c r="AF237" s="233" t="s">
        <v>671</v>
      </c>
      <c r="AG237" s="232" t="s">
        <v>671</v>
      </c>
      <c r="AH237" s="233" t="s">
        <v>671</v>
      </c>
      <c r="AI237" s="232" t="s">
        <v>567</v>
      </c>
      <c r="AJ237" s="234" t="s">
        <v>567</v>
      </c>
    </row>
    <row r="238" spans="21:36" s="102" customFormat="1">
      <c r="U238" s="132"/>
      <c r="V238" s="132"/>
      <c r="W238" s="132"/>
      <c r="X238" s="429"/>
      <c r="Y238" s="108"/>
      <c r="Z238" s="108" t="s">
        <v>1137</v>
      </c>
      <c r="AA238" s="430" t="s">
        <v>1065</v>
      </c>
      <c r="AB238" s="430"/>
      <c r="AC238" s="430"/>
      <c r="AD238" s="214" t="s">
        <v>773</v>
      </c>
      <c r="AE238" s="485" t="s">
        <v>773</v>
      </c>
      <c r="AF238" s="284" t="str">
        <f>NewConst!F257</f>
        <v>YES</v>
      </c>
      <c r="AG238" s="232" t="s">
        <v>671</v>
      </c>
      <c r="AH238" s="233" t="s">
        <v>567</v>
      </c>
      <c r="AI238" s="247" t="s">
        <v>567</v>
      </c>
      <c r="AJ238" s="411" t="s">
        <v>567</v>
      </c>
    </row>
    <row r="239" spans="21:36" s="102" customFormat="1">
      <c r="U239" s="132"/>
      <c r="V239" s="132"/>
      <c r="W239" s="132"/>
      <c r="X239" s="429"/>
      <c r="Y239" s="108"/>
      <c r="Z239" s="108" t="s">
        <v>528</v>
      </c>
      <c r="AA239" s="430" t="s">
        <v>1065</v>
      </c>
      <c r="AB239" s="430"/>
      <c r="AC239" s="430"/>
      <c r="AD239" s="214" t="s">
        <v>773</v>
      </c>
      <c r="AE239" s="485" t="s">
        <v>773</v>
      </c>
      <c r="AF239" s="284" t="str">
        <f>NewConst!F258</f>
        <v>NO</v>
      </c>
      <c r="AG239" s="232" t="s">
        <v>671</v>
      </c>
      <c r="AH239" s="233" t="s">
        <v>671</v>
      </c>
      <c r="AI239" s="247" t="s">
        <v>671</v>
      </c>
      <c r="AJ239" s="411" t="s">
        <v>671</v>
      </c>
    </row>
    <row r="240" spans="21:36" s="102" customFormat="1">
      <c r="U240" s="132"/>
      <c r="V240" s="132"/>
      <c r="W240" s="132"/>
      <c r="X240" s="429"/>
      <c r="Y240" s="108"/>
      <c r="Z240" s="108" t="s">
        <v>1117</v>
      </c>
      <c r="AA240" s="430" t="s">
        <v>1065</v>
      </c>
      <c r="AB240" s="430"/>
      <c r="AC240" s="430"/>
      <c r="AD240" s="214" t="s">
        <v>773</v>
      </c>
      <c r="AE240" s="485" t="s">
        <v>773</v>
      </c>
      <c r="AF240" s="284" t="str">
        <f>NewConst!F259</f>
        <v>NO</v>
      </c>
      <c r="AG240" s="232" t="s">
        <v>671</v>
      </c>
      <c r="AH240" s="233" t="s">
        <v>671</v>
      </c>
      <c r="AI240" s="247" t="s">
        <v>671</v>
      </c>
      <c r="AJ240" s="411" t="s">
        <v>671</v>
      </c>
    </row>
    <row r="241" spans="20:36" s="102" customFormat="1">
      <c r="U241" s="132"/>
      <c r="V241" s="132"/>
      <c r="W241" s="132"/>
      <c r="X241" s="429"/>
      <c r="Y241" s="108"/>
      <c r="Z241" s="108" t="s">
        <v>1130</v>
      </c>
      <c r="AA241" s="430" t="s">
        <v>1065</v>
      </c>
      <c r="AB241" s="430"/>
      <c r="AC241" s="430"/>
      <c r="AD241" s="214" t="s">
        <v>773</v>
      </c>
      <c r="AE241" s="485" t="s">
        <v>773</v>
      </c>
      <c r="AF241" s="284" t="str">
        <f>NewConst!F261</f>
        <v>NO</v>
      </c>
      <c r="AG241" s="232" t="s">
        <v>671</v>
      </c>
      <c r="AH241" s="233" t="s">
        <v>671</v>
      </c>
      <c r="AI241" s="247" t="s">
        <v>671</v>
      </c>
      <c r="AJ241" s="411" t="s">
        <v>671</v>
      </c>
    </row>
    <row r="242" spans="20:36" s="102" customFormat="1" ht="12.75">
      <c r="U242" s="127"/>
      <c r="X242" s="2300" t="s">
        <v>324</v>
      </c>
      <c r="Y242" s="2301"/>
      <c r="Z242" s="2301"/>
      <c r="AA242" s="2301"/>
      <c r="AB242" s="1065"/>
      <c r="AC242" s="1065"/>
      <c r="AD242" s="184"/>
      <c r="AE242" s="185"/>
      <c r="AF242" s="186"/>
      <c r="AG242" s="185"/>
      <c r="AH242" s="186"/>
      <c r="AI242" s="185"/>
      <c r="AJ242" s="187"/>
    </row>
    <row r="243" spans="20:36" s="102" customFormat="1">
      <c r="U243" s="132"/>
      <c r="V243" s="132"/>
      <c r="W243" s="132"/>
      <c r="X243" s="429"/>
      <c r="Y243" s="435" t="s">
        <v>425</v>
      </c>
      <c r="Z243" s="108"/>
      <c r="AA243" s="430"/>
      <c r="AB243" s="430"/>
      <c r="AC243" s="430"/>
      <c r="AD243" s="390"/>
      <c r="AE243" s="266"/>
      <c r="AF243" s="267"/>
      <c r="AG243" s="266"/>
      <c r="AH243" s="267"/>
      <c r="AI243" s="266"/>
      <c r="AJ243" s="470"/>
    </row>
    <row r="244" spans="20:36" s="102" customFormat="1">
      <c r="U244" s="132"/>
      <c r="V244" s="132"/>
      <c r="W244" s="132"/>
      <c r="X244" s="429"/>
      <c r="Y244" s="108"/>
      <c r="Z244" s="108" t="s">
        <v>1122</v>
      </c>
      <c r="AA244" s="430" t="s">
        <v>353</v>
      </c>
      <c r="AB244" s="430"/>
      <c r="AC244" s="430"/>
      <c r="AD244" s="214" t="s">
        <v>773</v>
      </c>
      <c r="AE244" s="232" t="s">
        <v>773</v>
      </c>
      <c r="AF244" s="284">
        <f>NewConst!F254</f>
        <v>8.0299999999999996E-2</v>
      </c>
      <c r="AG244" s="232">
        <v>8.0299999999999996E-2</v>
      </c>
      <c r="AH244" s="233">
        <v>8.0299999999999996E-2</v>
      </c>
      <c r="AI244" s="232">
        <v>8.0299999999999996E-2</v>
      </c>
      <c r="AJ244" s="234">
        <v>8.0299999999999996E-2</v>
      </c>
    </row>
    <row r="245" spans="20:36" s="102" customFormat="1">
      <c r="U245" s="132"/>
      <c r="V245" s="132"/>
      <c r="W245" s="132"/>
      <c r="X245" s="429"/>
      <c r="Y245" s="108"/>
      <c r="Z245" s="108" t="s">
        <v>1119</v>
      </c>
      <c r="AA245" s="430" t="s">
        <v>354</v>
      </c>
      <c r="AB245" s="430"/>
      <c r="AC245" s="430"/>
      <c r="AD245" s="214" t="s">
        <v>773</v>
      </c>
      <c r="AE245" s="232" t="s">
        <v>773</v>
      </c>
      <c r="AF245" s="248">
        <f>NewConst!F255</f>
        <v>0.68879999999999997</v>
      </c>
      <c r="AG245" s="301">
        <v>0.68879999999999997</v>
      </c>
      <c r="AH245" s="300">
        <v>0.68879999999999997</v>
      </c>
      <c r="AI245" s="301">
        <v>0.68879999999999997</v>
      </c>
      <c r="AJ245" s="476">
        <v>0.68879999999999997</v>
      </c>
    </row>
    <row r="246" spans="20:36" s="102" customFormat="1">
      <c r="U246" s="132"/>
      <c r="V246" s="132"/>
      <c r="W246" s="132"/>
      <c r="X246" s="429"/>
      <c r="Y246" s="108"/>
      <c r="Z246" s="108" t="s">
        <v>1014</v>
      </c>
      <c r="AA246" s="430" t="s">
        <v>494</v>
      </c>
      <c r="AB246" s="430"/>
      <c r="AC246" s="430"/>
      <c r="AD246" s="214" t="s">
        <v>773</v>
      </c>
      <c r="AE246" s="232" t="s">
        <v>773</v>
      </c>
      <c r="AF246" s="284">
        <f>NewConst!F252</f>
        <v>43</v>
      </c>
      <c r="AG246" s="232">
        <v>43</v>
      </c>
      <c r="AH246" s="233">
        <v>28</v>
      </c>
      <c r="AI246" s="232">
        <v>43</v>
      </c>
      <c r="AJ246" s="234">
        <v>28</v>
      </c>
    </row>
    <row r="247" spans="20:36" s="102" customFormat="1">
      <c r="U247" s="132"/>
      <c r="V247" s="132"/>
      <c r="W247" s="132"/>
      <c r="X247" s="429"/>
      <c r="Y247" s="108"/>
      <c r="Z247" s="108" t="s">
        <v>1120</v>
      </c>
      <c r="AA247" s="430" t="s">
        <v>494</v>
      </c>
      <c r="AB247" s="430"/>
      <c r="AC247" s="430"/>
      <c r="AD247" s="214" t="s">
        <v>773</v>
      </c>
      <c r="AE247" s="232" t="s">
        <v>773</v>
      </c>
      <c r="AF247" s="284">
        <f>NewConst!F253</f>
        <v>20</v>
      </c>
      <c r="AG247" s="232">
        <v>20</v>
      </c>
      <c r="AH247" s="233">
        <v>14</v>
      </c>
      <c r="AI247" s="232">
        <v>20</v>
      </c>
      <c r="AJ247" s="234">
        <v>14</v>
      </c>
    </row>
    <row r="248" spans="20:36" s="102" customFormat="1">
      <c r="U248" s="132"/>
      <c r="V248" s="132"/>
      <c r="W248" s="132"/>
      <c r="X248" s="429"/>
      <c r="Y248" s="108"/>
      <c r="Z248" s="108" t="s">
        <v>1115</v>
      </c>
      <c r="AA248" s="430" t="s">
        <v>1267</v>
      </c>
      <c r="AB248" s="430"/>
      <c r="AC248" s="430"/>
      <c r="AD248" s="214" t="s">
        <v>773</v>
      </c>
      <c r="AE248" s="232" t="s">
        <v>773</v>
      </c>
      <c r="AF248" s="201">
        <f>NewConst!F251</f>
        <v>533</v>
      </c>
      <c r="AG248" s="232">
        <v>533</v>
      </c>
      <c r="AH248" s="233">
        <v>351</v>
      </c>
      <c r="AI248" s="232">
        <v>533</v>
      </c>
      <c r="AJ248" s="234">
        <v>351</v>
      </c>
    </row>
    <row r="249" spans="20:36" s="102" customFormat="1">
      <c r="U249" s="132"/>
      <c r="V249" s="132"/>
      <c r="W249" s="132"/>
      <c r="X249" s="429"/>
      <c r="Y249" s="435" t="s">
        <v>8</v>
      </c>
      <c r="Z249" s="108"/>
      <c r="AA249" s="430"/>
      <c r="AB249" s="430"/>
      <c r="AC249" s="430"/>
      <c r="AD249" s="392"/>
      <c r="AE249" s="489"/>
      <c r="AF249" s="283"/>
      <c r="AG249" s="282"/>
      <c r="AH249" s="283"/>
      <c r="AI249" s="282"/>
      <c r="AJ249" s="326"/>
    </row>
    <row r="250" spans="20:36" s="102" customFormat="1">
      <c r="U250" s="132"/>
      <c r="V250" s="132"/>
      <c r="W250" s="132"/>
      <c r="X250" s="429"/>
      <c r="Y250" s="108"/>
      <c r="Z250" s="108" t="s">
        <v>80</v>
      </c>
      <c r="AA250" s="430" t="s">
        <v>964</v>
      </c>
      <c r="AB250" s="430"/>
      <c r="AC250" s="430"/>
      <c r="AD250" s="214" t="s">
        <v>773</v>
      </c>
      <c r="AE250" s="485" t="s">
        <v>773</v>
      </c>
      <c r="AF250" s="284">
        <f>NewConst!F256</f>
        <v>1.1599999999999999</v>
      </c>
      <c r="AG250" s="232">
        <v>1.1599999999999999</v>
      </c>
      <c r="AH250" s="233">
        <v>1.47</v>
      </c>
      <c r="AI250" s="232">
        <v>1.1599999999999999</v>
      </c>
      <c r="AJ250" s="234">
        <v>1.47</v>
      </c>
    </row>
    <row r="251" spans="20:36" s="102" customFormat="1">
      <c r="U251" s="132"/>
      <c r="V251" s="132"/>
      <c r="W251" s="132"/>
      <c r="X251" s="429"/>
      <c r="Y251" s="108"/>
      <c r="Z251" s="108" t="s">
        <v>808</v>
      </c>
      <c r="AA251" s="430" t="s">
        <v>965</v>
      </c>
      <c r="AB251" s="430"/>
      <c r="AC251" s="430"/>
      <c r="AD251" s="214" t="s">
        <v>773</v>
      </c>
      <c r="AE251" s="485" t="s">
        <v>773</v>
      </c>
      <c r="AF251" s="218" t="e">
        <f>NewConst!#REF!</f>
        <v>#REF!</v>
      </c>
      <c r="AG251" s="232" t="s">
        <v>773</v>
      </c>
      <c r="AH251" s="233">
        <v>9</v>
      </c>
      <c r="AI251" s="232" t="s">
        <v>773</v>
      </c>
      <c r="AJ251" s="234">
        <v>9</v>
      </c>
    </row>
    <row r="252" spans="20:36" s="102" customFormat="1">
      <c r="U252" s="132"/>
      <c r="V252" s="132"/>
      <c r="W252" s="132"/>
      <c r="X252" s="429"/>
      <c r="Y252" s="108"/>
      <c r="Z252" s="108" t="s">
        <v>474</v>
      </c>
      <c r="AA252" s="430"/>
      <c r="AB252" s="430"/>
      <c r="AC252" s="430"/>
      <c r="AD252" s="214" t="s">
        <v>773</v>
      </c>
      <c r="AE252" s="485" t="s">
        <v>773</v>
      </c>
      <c r="AF252" s="284" t="str">
        <f>IF(NewConst!F260="2004 or later","2004","2003")</f>
        <v>2004</v>
      </c>
      <c r="AG252" s="232">
        <v>2004</v>
      </c>
      <c r="AH252" s="233">
        <v>2000</v>
      </c>
      <c r="AI252" s="232">
        <v>2004</v>
      </c>
      <c r="AJ252" s="234">
        <v>2000</v>
      </c>
    </row>
    <row r="253" spans="20:36" s="102" customFormat="1">
      <c r="X253" s="431"/>
      <c r="Y253" s="424" t="s">
        <v>1177</v>
      </c>
      <c r="Z253" s="107"/>
      <c r="AA253" s="107"/>
      <c r="AB253" s="107"/>
      <c r="AC253" s="107"/>
      <c r="AD253" s="396"/>
      <c r="AE253" s="302"/>
      <c r="AF253" s="303"/>
      <c r="AG253" s="302"/>
      <c r="AH253" s="303"/>
      <c r="AI253" s="302"/>
      <c r="AJ253" s="477"/>
    </row>
    <row r="254" spans="20:36" s="102" customFormat="1">
      <c r="X254" s="431"/>
      <c r="Y254" s="424"/>
      <c r="Z254" s="124" t="s">
        <v>472</v>
      </c>
      <c r="AA254" s="113" t="s">
        <v>1178</v>
      </c>
      <c r="AB254" s="113"/>
      <c r="AC254" s="113"/>
      <c r="AD254" s="364" t="s">
        <v>773</v>
      </c>
      <c r="AE254" s="199" t="s">
        <v>773</v>
      </c>
      <c r="AF254" s="291">
        <f>4.103003337*AF235 + 0.198242492</f>
        <v>13.122703003549999</v>
      </c>
      <c r="AG254" s="290">
        <f>4.103003337*AG235 + 0.198242492</f>
        <v>13.122703003549999</v>
      </c>
      <c r="AH254" s="291">
        <f>4.103003337*AH235 + 0.198242492</f>
        <v>11.071201335049999</v>
      </c>
      <c r="AI254" s="290">
        <f>4.103003337*AI235 + 0.198242492</f>
        <v>13.122703003549999</v>
      </c>
      <c r="AJ254" s="349">
        <f>4.103003337*AJ235 + 0.198242492</f>
        <v>11.071201335049999</v>
      </c>
    </row>
    <row r="255" spans="20:36" s="102" customFormat="1">
      <c r="X255" s="431"/>
      <c r="Y255" s="424"/>
      <c r="Z255" s="124" t="s">
        <v>1134</v>
      </c>
      <c r="AA255" s="113" t="s">
        <v>531</v>
      </c>
      <c r="AB255" s="113"/>
      <c r="AC255" s="113"/>
      <c r="AD255" s="214" t="s">
        <v>773</v>
      </c>
      <c r="AE255" s="232" t="s">
        <v>773</v>
      </c>
      <c r="AF255" s="284">
        <f>IF(AF252&lt;2004,90,75)</f>
        <v>75</v>
      </c>
      <c r="AG255" s="285">
        <f>IF(AG252&lt;2004,90,75)</f>
        <v>75</v>
      </c>
      <c r="AH255" s="284">
        <f>IF(AH252&lt;2004,90,75)</f>
        <v>90</v>
      </c>
      <c r="AI255" s="285">
        <f>IF(AI252&lt;2004,90,75)</f>
        <v>75</v>
      </c>
      <c r="AJ255" s="348">
        <f>IF(AJ252&lt;2004,90,75)</f>
        <v>90</v>
      </c>
    </row>
    <row r="256" spans="20:36" s="102" customFormat="1" ht="12.75">
      <c r="T256" s="127"/>
      <c r="X256" s="431"/>
      <c r="Y256" s="424"/>
      <c r="Z256" s="124" t="s">
        <v>1126</v>
      </c>
      <c r="AA256" s="113" t="s">
        <v>531</v>
      </c>
      <c r="AB256" s="113"/>
      <c r="AC256" s="113"/>
      <c r="AD256" s="214" t="s">
        <v>773</v>
      </c>
      <c r="AE256" s="232" t="s">
        <v>773</v>
      </c>
      <c r="AF256" s="284">
        <f>IF(AF252&lt;2004,140,135)</f>
        <v>135</v>
      </c>
      <c r="AG256" s="285">
        <f>IF(AG252&lt;2004,140,135)</f>
        <v>135</v>
      </c>
      <c r="AH256" s="284">
        <f>IF(AH252&lt;2004,140,135)</f>
        <v>140</v>
      </c>
      <c r="AI256" s="285">
        <f>IF(AI252&lt;2004,140,135)</f>
        <v>135</v>
      </c>
      <c r="AJ256" s="348">
        <f>IF(AJ252&lt;2004,140,135)</f>
        <v>140</v>
      </c>
    </row>
    <row r="257" spans="20:36" s="102" customFormat="1" ht="22.5">
      <c r="T257" s="127"/>
      <c r="X257" s="431"/>
      <c r="Y257" s="424"/>
      <c r="Z257" s="139" t="s">
        <v>1136</v>
      </c>
      <c r="AA257" s="427"/>
      <c r="AB257" s="427"/>
      <c r="AC257" s="427"/>
      <c r="AD257" s="375" t="s">
        <v>773</v>
      </c>
      <c r="AE257" s="240" t="s">
        <v>773</v>
      </c>
      <c r="AF257" s="238">
        <f>IF(AF238="no",0.5,(AF258-$AB$217)/(AF256-$AB$217))</f>
        <v>0.43333333333333335</v>
      </c>
      <c r="AG257" s="237">
        <f>IF(AG238="no",0.5,(AG258-$AB$217)/(AG256-$AB$217))</f>
        <v>0.5</v>
      </c>
      <c r="AH257" s="238">
        <f>IF(AH238="no",0.5,(AH258-$AB$217)/(AH256-$AB$217))</f>
        <v>0.40625</v>
      </c>
      <c r="AI257" s="237">
        <f>IF(AI238="no",0.5,(AI258-$AB$217)/(AI256-$AB$217))</f>
        <v>0.43333333333333335</v>
      </c>
      <c r="AJ257" s="239">
        <f>IF(AJ238="no",0.5,(AJ258-$AB$217)/(AJ256-$AB$217))</f>
        <v>0.40625</v>
      </c>
    </row>
    <row r="258" spans="20:36" s="102" customFormat="1" ht="12.75">
      <c r="T258" s="127"/>
      <c r="X258" s="431"/>
      <c r="Y258" s="424"/>
      <c r="Z258" s="124" t="s">
        <v>1125</v>
      </c>
      <c r="AA258" s="113" t="s">
        <v>531</v>
      </c>
      <c r="AB258" s="113"/>
      <c r="AC258" s="113"/>
      <c r="AD258" s="214" t="s">
        <v>773</v>
      </c>
      <c r="AE258" s="232" t="s">
        <v>773</v>
      </c>
      <c r="AF258" s="284">
        <f>IF(AF238="yes",92.5,(AF256-$AB$217)*AF257+$AB$217)</f>
        <v>92.5</v>
      </c>
      <c r="AG258" s="285">
        <f>IF(AG238="yes",92.5,(AG256-$AB$217)*AG257+$AB$217)</f>
        <v>97.5</v>
      </c>
      <c r="AH258" s="284">
        <f>IF(AH238="yes",92.5,(AH256-$AB$217)*AH257+$AB$217)</f>
        <v>92.5</v>
      </c>
      <c r="AI258" s="285">
        <f>IF(AI238="yes",92.5,(AI256-$AB$217)*AI257+$AB$217)</f>
        <v>92.5</v>
      </c>
      <c r="AJ258" s="348">
        <f>IF(AJ238="yes",92.5,(AJ256-$AB$217)*AJ257+$AB$217)</f>
        <v>92.5</v>
      </c>
    </row>
    <row r="259" spans="20:36" s="102" customFormat="1" ht="22.5">
      <c r="X259" s="431"/>
      <c r="Y259" s="424"/>
      <c r="Z259" s="139" t="s">
        <v>963</v>
      </c>
      <c r="AA259" s="113" t="s">
        <v>531</v>
      </c>
      <c r="AB259" s="113"/>
      <c r="AC259" s="113"/>
      <c r="AD259" s="364" t="s">
        <v>773</v>
      </c>
      <c r="AE259" s="199" t="s">
        <v>773</v>
      </c>
      <c r="AF259" s="218" t="str">
        <f>IF(AF237="yes",70,"NA")</f>
        <v>NA</v>
      </c>
      <c r="AG259" s="217" t="str">
        <f>IF(AG237="yes",70,"NA")</f>
        <v>NA</v>
      </c>
      <c r="AH259" s="218" t="str">
        <f>IF(AH237="yes",70,"NA")</f>
        <v>NA</v>
      </c>
      <c r="AI259" s="217">
        <f>IF(AI237="yes",70,"NA")</f>
        <v>70</v>
      </c>
      <c r="AJ259" s="345">
        <f>IF(AJ237="yes",70,"NA")</f>
        <v>70</v>
      </c>
    </row>
    <row r="260" spans="20:36" s="102" customFormat="1" ht="22.5">
      <c r="X260" s="431"/>
      <c r="Y260" s="424"/>
      <c r="Z260" s="139" t="s">
        <v>34</v>
      </c>
      <c r="AA260" s="113" t="s">
        <v>531</v>
      </c>
      <c r="AB260" s="113"/>
      <c r="AC260" s="113"/>
      <c r="AD260" s="364" t="s">
        <v>773</v>
      </c>
      <c r="AE260" s="199" t="s">
        <v>773</v>
      </c>
      <c r="AF260" s="218" t="str">
        <f>IF(AF240="yes",120,"NA")</f>
        <v>NA</v>
      </c>
      <c r="AG260" s="217" t="str">
        <f>IF(AG240="yes",120,"NA")</f>
        <v>NA</v>
      </c>
      <c r="AH260" s="218" t="str">
        <f>IF(AH240="yes",120,"NA")</f>
        <v>NA</v>
      </c>
      <c r="AI260" s="217" t="str">
        <f>IF(AI240="yes",120,"NA")</f>
        <v>NA</v>
      </c>
      <c r="AJ260" s="345" t="str">
        <f>IF(AJ240="yes",120,"NA")</f>
        <v>NA</v>
      </c>
    </row>
    <row r="261" spans="20:36" s="102" customFormat="1" ht="22.5">
      <c r="T261" s="132"/>
      <c r="X261" s="431"/>
      <c r="Y261" s="424"/>
      <c r="Z261" s="139" t="s">
        <v>470</v>
      </c>
      <c r="AA261" s="113" t="s">
        <v>218</v>
      </c>
      <c r="AB261" s="113"/>
      <c r="AC261" s="113"/>
      <c r="AD261" s="364" t="s">
        <v>773</v>
      </c>
      <c r="AE261" s="199" t="s">
        <v>773</v>
      </c>
      <c r="AF261" s="201">
        <f>$AB$215</f>
        <v>373.39868155778845</v>
      </c>
      <c r="AG261" s="201">
        <f>$AB$215</f>
        <v>373.39868155778845</v>
      </c>
      <c r="AH261" s="201">
        <f>$AB$215</f>
        <v>373.39868155778845</v>
      </c>
      <c r="AI261" s="201">
        <f>$AB$215</f>
        <v>373.39868155778845</v>
      </c>
      <c r="AJ261" s="201">
        <f>$AB$215</f>
        <v>373.39868155778845</v>
      </c>
    </row>
    <row r="262" spans="20:36" s="102" customFormat="1">
      <c r="X262" s="431"/>
      <c r="Y262" s="424" t="s">
        <v>278</v>
      </c>
      <c r="Z262" s="107"/>
      <c r="AA262" s="107"/>
      <c r="AB262" s="107"/>
      <c r="AC262" s="107"/>
      <c r="AD262" s="400"/>
      <c r="AE262" s="490"/>
      <c r="AF262" s="305"/>
      <c r="AG262" s="304"/>
      <c r="AH262" s="186"/>
      <c r="AI262" s="185"/>
      <c r="AJ262" s="187"/>
    </row>
    <row r="263" spans="20:36" s="102" customFormat="1">
      <c r="X263" s="431"/>
      <c r="Y263" s="133"/>
      <c r="Z263" s="107" t="s">
        <v>1133</v>
      </c>
      <c r="AA263" s="113" t="s">
        <v>889</v>
      </c>
      <c r="AB263" s="113"/>
      <c r="AC263" s="113"/>
      <c r="AD263" s="364" t="s">
        <v>773</v>
      </c>
      <c r="AE263" s="486" t="s">
        <v>773</v>
      </c>
      <c r="AF263" s="218">
        <f>IF(AF240="yes",0,(AF248*AF244-AF247)/($AB$210*$AB$218*AF244-AF245)/$AB$213)</f>
        <v>5.6726839940504085E-2</v>
      </c>
      <c r="AG263" s="217">
        <f>IF(AG240="yes",0,(AG248*AG244-AG247)/($AB$210*$AB$218*AG244-AG245)/$AB$213)</f>
        <v>5.6726839940504085E-2</v>
      </c>
      <c r="AH263" s="218">
        <f>IF(AH240="yes",0,(AH248*AH244-AH247)/($AB$210*$AB$218*AH244-AH245)/$AB$213)</f>
        <v>3.5293454910242258E-2</v>
      </c>
      <c r="AI263" s="217">
        <f>IF(AI240="yes",0,(AI248*AI244-AI247)/($AB$210*$AB$218*AI244-AI245)/$AB$213)</f>
        <v>5.6726839940504085E-2</v>
      </c>
      <c r="AJ263" s="345">
        <f>IF(AJ240="yes",0,(AJ248*AJ244-AJ247)/($AB$210*$AB$218*AJ244-AJ245)/$AB$213)</f>
        <v>3.5293454910242258E-2</v>
      </c>
    </row>
    <row r="264" spans="20:36" s="102" customFormat="1">
      <c r="T264" s="132"/>
      <c r="X264" s="431"/>
      <c r="Y264" s="133"/>
      <c r="Z264" s="107" t="s">
        <v>1132</v>
      </c>
      <c r="AA264" s="113" t="s">
        <v>1175</v>
      </c>
      <c r="AB264" s="113"/>
      <c r="AC264" s="113"/>
      <c r="AD264" s="364" t="s">
        <v>773</v>
      </c>
      <c r="AE264" s="486" t="s">
        <v>773</v>
      </c>
      <c r="AF264" s="218">
        <f>AF263*$AB$210*$AB$218</f>
        <v>1.2469977589921308</v>
      </c>
      <c r="AG264" s="217">
        <f>AG263*$AB$210*$AB$218</f>
        <v>1.2469977589921308</v>
      </c>
      <c r="AH264" s="218">
        <f>AH263*$AB$210*$AB$218</f>
        <v>0.77583837256440047</v>
      </c>
      <c r="AI264" s="217">
        <f>AI263*$AB$210*$AB$218</f>
        <v>1.2469977589921308</v>
      </c>
      <c r="AJ264" s="345">
        <f>AJ263*$AB$210*$AB$218</f>
        <v>0.77583837256440047</v>
      </c>
    </row>
    <row r="265" spans="20:36" s="102" customFormat="1">
      <c r="T265" s="132"/>
      <c r="X265" s="431"/>
      <c r="Y265" s="133"/>
      <c r="Z265" s="107" t="s">
        <v>1131</v>
      </c>
      <c r="AA265" s="113" t="s">
        <v>220</v>
      </c>
      <c r="AB265" s="113"/>
      <c r="AC265" s="113"/>
      <c r="AD265" s="364" t="s">
        <v>773</v>
      </c>
      <c r="AE265" s="486" t="s">
        <v>773</v>
      </c>
      <c r="AF265" s="201">
        <f>AF264*$AB$213</f>
        <v>465.62731911317849</v>
      </c>
      <c r="AG265" s="200">
        <f>AG264*$AB$213</f>
        <v>465.62731911317849</v>
      </c>
      <c r="AH265" s="201">
        <f>AH264*$AB$213</f>
        <v>289.6970254174874</v>
      </c>
      <c r="AI265" s="200">
        <f>AI264*$AB$213</f>
        <v>465.62731911317849</v>
      </c>
      <c r="AJ265" s="346">
        <f>AJ264*$AB$213</f>
        <v>289.6970254174874</v>
      </c>
    </row>
    <row r="266" spans="20:36" s="102" customFormat="1">
      <c r="T266" s="132"/>
      <c r="X266" s="431"/>
      <c r="Y266" s="133"/>
      <c r="Z266" s="107" t="s">
        <v>1128</v>
      </c>
      <c r="AA266" s="113" t="s">
        <v>221</v>
      </c>
      <c r="AB266" s="113"/>
      <c r="AC266" s="113"/>
      <c r="AD266" s="364" t="s">
        <v>773</v>
      </c>
      <c r="AE266" s="486" t="s">
        <v>773</v>
      </c>
      <c r="AF266" s="201">
        <f>IF(AND(AF241="yes",AF252&lt;2004),AF265/(AF255*0.0024*0.94),AF265/(AF255*0.0024))</f>
        <v>2586.8184395176581</v>
      </c>
      <c r="AG266" s="200">
        <f>IF(AND(AG241="yes",AG252&lt;2004),AG265/(AG255*0.0024*0.94),AG265/(AG255*0.0024))</f>
        <v>2586.8184395176581</v>
      </c>
      <c r="AH266" s="201">
        <f>IF(AND(AH241="yes",AH252&lt;2004),AH265/(AH255*0.0024*0.94),AH265/(AH255*0.0024))</f>
        <v>1341.1899324883677</v>
      </c>
      <c r="AI266" s="200">
        <f>IF(AND(AI241="yes",AI252&lt;2004),AI265/(AI255*0.0024*0.94),AI265/(AI255*0.0024))</f>
        <v>2586.8184395176581</v>
      </c>
      <c r="AJ266" s="346">
        <f>IF(AND(AJ241="yes",AJ252&lt;2004),AJ265/(AJ255*0.0024*0.94),AJ265/(AJ255*0.0024))</f>
        <v>1341.1899324883677</v>
      </c>
    </row>
    <row r="267" spans="20:36" s="102" customFormat="1">
      <c r="T267" s="132"/>
      <c r="X267" s="431"/>
      <c r="Y267" s="133"/>
      <c r="Z267" s="107" t="s">
        <v>1124</v>
      </c>
      <c r="AA267" s="113" t="s">
        <v>219</v>
      </c>
      <c r="AB267" s="113"/>
      <c r="AC267" s="113"/>
      <c r="AD267" s="364" t="s">
        <v>773</v>
      </c>
      <c r="AE267" s="486" t="s">
        <v>773</v>
      </c>
      <c r="AF267" s="218">
        <f>AF266/$AB$213</f>
        <v>6.9277653277340594</v>
      </c>
      <c r="AG267" s="217">
        <f>AG266/$AB$213</f>
        <v>6.9277653277340594</v>
      </c>
      <c r="AH267" s="218">
        <f>AH266/$AB$213</f>
        <v>3.5918443174277801</v>
      </c>
      <c r="AI267" s="217">
        <f>AI266/$AB$213</f>
        <v>6.9277653277340594</v>
      </c>
      <c r="AJ267" s="345">
        <f>AJ266/$AB$213</f>
        <v>3.5918443174277801</v>
      </c>
    </row>
    <row r="268" spans="20:36" s="102" customFormat="1">
      <c r="T268" s="132"/>
      <c r="X268" s="431"/>
      <c r="Y268" s="133"/>
      <c r="Z268" s="107" t="s">
        <v>410</v>
      </c>
      <c r="AA268" s="113" t="s">
        <v>217</v>
      </c>
      <c r="AB268" s="113"/>
      <c r="AC268" s="113"/>
      <c r="AD268" s="364" t="s">
        <v>773</v>
      </c>
      <c r="AE268" s="486" t="s">
        <v>773</v>
      </c>
      <c r="AF268" s="307">
        <f t="shared" ref="AF268:AJ279" si="11">IF(AF$237="yes",IF(AND(AF$238="yes",$AB185&lt;AF$259),AF$267+(AF$267*((1/AF$257)*(AF$259-$AB185)+($AB185-$AB$211))/($AB$211-$AB185)),0),IF(AF$238="yes",AF$267+(AF$267*((1/AF$257)*(AF$258-$AB185)+($AB185-$AB$211))/($AB$211-$AB185)),AF$267))*(AF$261/365)*$AB197</f>
        <v>273.09425640174771</v>
      </c>
      <c r="AG268" s="306">
        <f t="shared" si="11"/>
        <v>219.70238801382851</v>
      </c>
      <c r="AH268" s="307">
        <f t="shared" si="11"/>
        <v>151.03083611324661</v>
      </c>
      <c r="AI268" s="306">
        <f t="shared" si="11"/>
        <v>132.74750376211074</v>
      </c>
      <c r="AJ268" s="478">
        <f t="shared" si="11"/>
        <v>73.414090612158418</v>
      </c>
    </row>
    <row r="269" spans="20:36" s="102" customFormat="1">
      <c r="T269" s="132"/>
      <c r="X269" s="431"/>
      <c r="Y269" s="133"/>
      <c r="Z269" s="107" t="s">
        <v>1020</v>
      </c>
      <c r="AA269" s="113" t="s">
        <v>217</v>
      </c>
      <c r="AB269" s="113"/>
      <c r="AC269" s="113"/>
      <c r="AD269" s="364" t="s">
        <v>773</v>
      </c>
      <c r="AE269" s="486" t="s">
        <v>773</v>
      </c>
      <c r="AF269" s="307">
        <f t="shared" si="11"/>
        <v>249.42848151018555</v>
      </c>
      <c r="AG269" s="306">
        <f t="shared" si="11"/>
        <v>198.44086659313541</v>
      </c>
      <c r="AH269" s="307">
        <f t="shared" si="11"/>
        <v>137.94282094868589</v>
      </c>
      <c r="AI269" s="306">
        <f t="shared" si="11"/>
        <v>124.32129359503256</v>
      </c>
      <c r="AJ269" s="478">
        <f t="shared" si="11"/>
        <v>68.754096720058357</v>
      </c>
    </row>
    <row r="270" spans="20:36" s="102" customFormat="1">
      <c r="T270" s="132"/>
      <c r="X270" s="431"/>
      <c r="Y270" s="133"/>
      <c r="Z270" s="107" t="s">
        <v>759</v>
      </c>
      <c r="AA270" s="113" t="s">
        <v>217</v>
      </c>
      <c r="AB270" s="113"/>
      <c r="AC270" s="113"/>
      <c r="AD270" s="364" t="s">
        <v>773</v>
      </c>
      <c r="AE270" s="486" t="s">
        <v>773</v>
      </c>
      <c r="AF270" s="307">
        <f t="shared" si="11"/>
        <v>271.84359951739549</v>
      </c>
      <c r="AG270" s="306">
        <f t="shared" si="11"/>
        <v>219.70238801382851</v>
      </c>
      <c r="AH270" s="307">
        <f t="shared" si="11"/>
        <v>150.33917837784324</v>
      </c>
      <c r="AI270" s="306">
        <f t="shared" si="11"/>
        <v>130.74645274714715</v>
      </c>
      <c r="AJ270" s="478">
        <f t="shared" si="11"/>
        <v>72.307438235513004</v>
      </c>
    </row>
    <row r="271" spans="20:36" s="102" customFormat="1">
      <c r="T271" s="132"/>
      <c r="X271" s="431"/>
      <c r="Y271" s="133"/>
      <c r="Z271" s="107" t="s">
        <v>760</v>
      </c>
      <c r="AA271" s="113" t="s">
        <v>217</v>
      </c>
      <c r="AB271" s="113"/>
      <c r="AC271" s="113"/>
      <c r="AD271" s="364" t="s">
        <v>773</v>
      </c>
      <c r="AE271" s="486" t="s">
        <v>773</v>
      </c>
      <c r="AF271" s="307">
        <f t="shared" si="11"/>
        <v>252.15395957943787</v>
      </c>
      <c r="AG271" s="306">
        <f t="shared" si="11"/>
        <v>212.6152142069308</v>
      </c>
      <c r="AH271" s="307">
        <f t="shared" si="11"/>
        <v>139.45010724987395</v>
      </c>
      <c r="AI271" s="306">
        <f t="shared" si="11"/>
        <v>109.05603873288872</v>
      </c>
      <c r="AJ271" s="478">
        <f t="shared" si="11"/>
        <v>60.311867887827844</v>
      </c>
    </row>
    <row r="272" spans="20:36" s="102" customFormat="1">
      <c r="T272" s="132"/>
      <c r="X272" s="431"/>
      <c r="Y272" s="133"/>
      <c r="Z272" s="107" t="s">
        <v>925</v>
      </c>
      <c r="AA272" s="113" t="s">
        <v>217</v>
      </c>
      <c r="AB272" s="113"/>
      <c r="AC272" s="113"/>
      <c r="AD272" s="364" t="s">
        <v>773</v>
      </c>
      <c r="AE272" s="486" t="s">
        <v>773</v>
      </c>
      <c r="AF272" s="307">
        <f t="shared" si="11"/>
        <v>243.73590227613624</v>
      </c>
      <c r="AG272" s="306">
        <f t="shared" si="11"/>
        <v>219.70238801382851</v>
      </c>
      <c r="AH272" s="307">
        <f t="shared" si="11"/>
        <v>134.79462218139074</v>
      </c>
      <c r="AI272" s="306">
        <f t="shared" si="11"/>
        <v>85.774137161132415</v>
      </c>
      <c r="AJ272" s="478">
        <f t="shared" si="11"/>
        <v>47.436148321189009</v>
      </c>
    </row>
    <row r="273" spans="20:39" s="127" customFormat="1" ht="12.75">
      <c r="T273" s="132"/>
      <c r="U273" s="102"/>
      <c r="V273" s="102"/>
      <c r="W273" s="102"/>
      <c r="X273" s="431"/>
      <c r="Y273" s="133"/>
      <c r="Z273" s="107" t="s">
        <v>257</v>
      </c>
      <c r="AA273" s="113" t="s">
        <v>217</v>
      </c>
      <c r="AB273" s="113"/>
      <c r="AC273" s="113"/>
      <c r="AD273" s="364" t="s">
        <v>773</v>
      </c>
      <c r="AE273" s="486" t="s">
        <v>773</v>
      </c>
      <c r="AF273" s="307">
        <f t="shared" si="11"/>
        <v>217.43978560146022</v>
      </c>
      <c r="AG273" s="306">
        <f t="shared" si="11"/>
        <v>212.6152142069308</v>
      </c>
      <c r="AH273" s="307">
        <f t="shared" si="11"/>
        <v>120.25193446530302</v>
      </c>
      <c r="AI273" s="306">
        <f t="shared" si="11"/>
        <v>53.513360368124502</v>
      </c>
      <c r="AJ273" s="478">
        <f t="shared" si="11"/>
        <v>29.594791432514349</v>
      </c>
      <c r="AK273" s="102"/>
      <c r="AL273" s="102"/>
      <c r="AM273" s="102"/>
    </row>
    <row r="274" spans="20:39" s="102" customFormat="1">
      <c r="T274" s="132"/>
      <c r="X274" s="431"/>
      <c r="Y274" s="133"/>
      <c r="Z274" s="107" t="s">
        <v>258</v>
      </c>
      <c r="AA274" s="113" t="s">
        <v>217</v>
      </c>
      <c r="AB274" s="113"/>
      <c r="AC274" s="113"/>
      <c r="AD274" s="364" t="s">
        <v>773</v>
      </c>
      <c r="AE274" s="486" t="s">
        <v>773</v>
      </c>
      <c r="AF274" s="307">
        <f t="shared" si="11"/>
        <v>209.00000673177877</v>
      </c>
      <c r="AG274" s="306">
        <f t="shared" si="11"/>
        <v>219.70238801382851</v>
      </c>
      <c r="AH274" s="307">
        <f t="shared" si="11"/>
        <v>115.584436598106</v>
      </c>
      <c r="AI274" s="306">
        <f t="shared" si="11"/>
        <v>30.196704290160383</v>
      </c>
      <c r="AJ274" s="478">
        <f t="shared" si="11"/>
        <v>16.699851387933471</v>
      </c>
    </row>
    <row r="275" spans="20:39" s="102" customFormat="1" ht="12.75">
      <c r="T275" s="127"/>
      <c r="X275" s="431"/>
      <c r="Y275" s="133"/>
      <c r="Z275" s="107" t="s">
        <v>259</v>
      </c>
      <c r="AA275" s="113" t="s">
        <v>217</v>
      </c>
      <c r="AB275" s="113"/>
      <c r="AC275" s="113"/>
      <c r="AD275" s="364" t="s">
        <v>773</v>
      </c>
      <c r="AE275" s="486" t="s">
        <v>773</v>
      </c>
      <c r="AF275" s="307">
        <f t="shared" si="11"/>
        <v>202.83186113796094</v>
      </c>
      <c r="AG275" s="306">
        <f t="shared" si="11"/>
        <v>219.70238801382851</v>
      </c>
      <c r="AH275" s="307">
        <f t="shared" si="11"/>
        <v>112.17323272081867</v>
      </c>
      <c r="AI275" s="306">
        <f t="shared" si="11"/>
        <v>20.327671340051854</v>
      </c>
      <c r="AJ275" s="478">
        <f t="shared" si="11"/>
        <v>11.241925184273724</v>
      </c>
    </row>
    <row r="276" spans="20:39" s="102" customFormat="1">
      <c r="T276" s="132"/>
      <c r="X276" s="431"/>
      <c r="Y276" s="133"/>
      <c r="Z276" s="107" t="s">
        <v>864</v>
      </c>
      <c r="AA276" s="113" t="s">
        <v>217</v>
      </c>
      <c r="AB276" s="113"/>
      <c r="AC276" s="113"/>
      <c r="AD276" s="364" t="s">
        <v>773</v>
      </c>
      <c r="AE276" s="486" t="s">
        <v>773</v>
      </c>
      <c r="AF276" s="307">
        <f t="shared" si="11"/>
        <v>202.26342031685385</v>
      </c>
      <c r="AG276" s="306">
        <f t="shared" si="11"/>
        <v>212.6152142069308</v>
      </c>
      <c r="AH276" s="307">
        <f t="shared" si="11"/>
        <v>111.85886473071928</v>
      </c>
      <c r="AI276" s="306">
        <f t="shared" si="11"/>
        <v>29.231175912754253</v>
      </c>
      <c r="AJ276" s="478">
        <f t="shared" si="11"/>
        <v>16.165879857180386</v>
      </c>
    </row>
    <row r="277" spans="20:39" s="102" customFormat="1">
      <c r="T277" s="132"/>
      <c r="X277" s="431"/>
      <c r="Y277" s="133"/>
      <c r="Z277" s="107" t="s">
        <v>865</v>
      </c>
      <c r="AA277" s="113" t="s">
        <v>217</v>
      </c>
      <c r="AB277" s="113"/>
      <c r="AC277" s="113"/>
      <c r="AD277" s="364" t="s">
        <v>773</v>
      </c>
      <c r="AE277" s="486" t="s">
        <v>773</v>
      </c>
      <c r="AF277" s="307">
        <f t="shared" si="11"/>
        <v>224.69640708638028</v>
      </c>
      <c r="AG277" s="306">
        <f t="shared" si="11"/>
        <v>219.70238801382851</v>
      </c>
      <c r="AH277" s="307">
        <f t="shared" si="11"/>
        <v>124.26510422092227</v>
      </c>
      <c r="AI277" s="306">
        <f t="shared" si="11"/>
        <v>55.31094485752287</v>
      </c>
      <c r="AJ277" s="478">
        <f t="shared" si="11"/>
        <v>30.588919584439473</v>
      </c>
    </row>
    <row r="278" spans="20:39" s="102" customFormat="1">
      <c r="T278" s="132"/>
      <c r="X278" s="431"/>
      <c r="Y278" s="133"/>
      <c r="Z278" s="107" t="s">
        <v>866</v>
      </c>
      <c r="AA278" s="113" t="s">
        <v>217</v>
      </c>
      <c r="AB278" s="113"/>
      <c r="AC278" s="113"/>
      <c r="AD278" s="364" t="s">
        <v>773</v>
      </c>
      <c r="AE278" s="486" t="s">
        <v>773</v>
      </c>
      <c r="AF278" s="307">
        <f t="shared" si="11"/>
        <v>235.88190910467853</v>
      </c>
      <c r="AG278" s="306">
        <f t="shared" si="11"/>
        <v>212.6152142069308</v>
      </c>
      <c r="AH278" s="307">
        <f t="shared" si="11"/>
        <v>130.45108463819179</v>
      </c>
      <c r="AI278" s="306">
        <f t="shared" si="11"/>
        <v>83.020757973273788</v>
      </c>
      <c r="AJ278" s="478">
        <f t="shared" si="11"/>
        <v>45.913431709136383</v>
      </c>
    </row>
    <row r="279" spans="20:39" s="102" customFormat="1">
      <c r="T279" s="132"/>
      <c r="X279" s="431"/>
      <c r="Y279" s="133"/>
      <c r="Z279" s="107" t="s">
        <v>867</v>
      </c>
      <c r="AA279" s="113" t="s">
        <v>217</v>
      </c>
      <c r="AB279" s="113"/>
      <c r="AC279" s="113"/>
      <c r="AD279" s="364" t="s">
        <v>773</v>
      </c>
      <c r="AE279" s="486" t="s">
        <v>773</v>
      </c>
      <c r="AF279" s="307">
        <f t="shared" si="11"/>
        <v>260.56583306564596</v>
      </c>
      <c r="AG279" s="306">
        <f t="shared" si="11"/>
        <v>219.70238801382851</v>
      </c>
      <c r="AH279" s="307">
        <f t="shared" si="11"/>
        <v>144.10217244758323</v>
      </c>
      <c r="AI279" s="306">
        <f t="shared" si="11"/>
        <v>112.70202642434799</v>
      </c>
      <c r="AJ279" s="478">
        <f t="shared" si="11"/>
        <v>62.328228747097015</v>
      </c>
    </row>
    <row r="280" spans="20:39" s="102" customFormat="1">
      <c r="T280" s="132"/>
      <c r="X280" s="431"/>
      <c r="Y280" s="133"/>
      <c r="Z280" s="107" t="s">
        <v>868</v>
      </c>
      <c r="AA280" s="113" t="s">
        <v>1332</v>
      </c>
      <c r="AB280" s="113"/>
      <c r="AC280" s="113"/>
      <c r="AD280" s="364" t="s">
        <v>773</v>
      </c>
      <c r="AE280" s="486" t="s">
        <v>773</v>
      </c>
      <c r="AF280" s="218">
        <f>SUM(AF268:AF279)/365</f>
        <v>7.7888641707661952</v>
      </c>
      <c r="AG280" s="217">
        <f>SUM(AG268:AG279)/365</f>
        <v>7.0871738068976944</v>
      </c>
      <c r="AH280" s="218">
        <f>SUM(AH268:AH279)/365</f>
        <v>4.3075188895689989</v>
      </c>
      <c r="AI280" s="217">
        <f>SUM(AI268:AI279)/365</f>
        <v>2.6491727867521839</v>
      </c>
      <c r="AJ280" s="345">
        <f>SUM(AJ268:AJ279)/365</f>
        <v>1.4650867662447165</v>
      </c>
    </row>
    <row r="281" spans="20:39" s="102" customFormat="1">
      <c r="T281" s="132"/>
      <c r="X281" s="431"/>
      <c r="Y281" s="424" t="s">
        <v>784</v>
      </c>
      <c r="Z281" s="107"/>
      <c r="AA281" s="113"/>
      <c r="AB281" s="113"/>
      <c r="AC281" s="113"/>
      <c r="AD281" s="397"/>
      <c r="AE281" s="308"/>
      <c r="AF281" s="309"/>
      <c r="AG281" s="308"/>
      <c r="AH281" s="309"/>
      <c r="AI281" s="308"/>
      <c r="AJ281" s="479"/>
    </row>
    <row r="282" spans="20:39" s="127" customFormat="1" ht="22.5">
      <c r="T282" s="132"/>
      <c r="U282" s="102"/>
      <c r="V282" s="102"/>
      <c r="W282" s="102"/>
      <c r="X282" s="431"/>
      <c r="Y282" s="133"/>
      <c r="Z282" s="439" t="s">
        <v>785</v>
      </c>
      <c r="AA282" s="113" t="s">
        <v>1332</v>
      </c>
      <c r="AB282" s="113"/>
      <c r="AC282" s="113"/>
      <c r="AD282" s="401" t="s">
        <v>773</v>
      </c>
      <c r="AE282" s="482" t="s">
        <v>773</v>
      </c>
      <c r="AF282" s="311">
        <f>IF(AF240="yes",AF320*AF261/365,(AF267/AF257)*(AF261/365))</f>
        <v>16.355016477456214</v>
      </c>
      <c r="AG282" s="310">
        <f>IF(AG240="yes",AG320*AG261/365,(AG267/AG257)*(AG261/365))</f>
        <v>14.174347613795387</v>
      </c>
      <c r="AH282" s="311">
        <f>IF(AH240="yes",AH320*AH261/365,(AH267/AH257)*(AH261/365))</f>
        <v>9.0449057617761373</v>
      </c>
      <c r="AI282" s="310">
        <f>IF(AI240="yes",AI320*AI261/365,(AI267/AI257)*(AI261/365))</f>
        <v>16.355016477456214</v>
      </c>
      <c r="AJ282" s="480">
        <f>IF(AJ240="yes",AJ320*AJ261/365,(AJ267/AJ257)*(AJ261/365))</f>
        <v>9.0449057617761373</v>
      </c>
      <c r="AK282" s="102"/>
      <c r="AL282" s="102"/>
      <c r="AM282" s="102"/>
    </row>
    <row r="283" spans="20:39" s="102" customFormat="1">
      <c r="T283" s="132"/>
      <c r="X283" s="431"/>
      <c r="Y283" s="424" t="s">
        <v>279</v>
      </c>
      <c r="Z283" s="439"/>
      <c r="AA283" s="113"/>
      <c r="AB283" s="113"/>
      <c r="AC283" s="113"/>
      <c r="AD283" s="398"/>
      <c r="AE283" s="491"/>
      <c r="AF283" s="313"/>
      <c r="AG283" s="312"/>
      <c r="AH283" s="313"/>
      <c r="AI283" s="312"/>
      <c r="AJ283" s="481"/>
    </row>
    <row r="284" spans="20:39" s="102" customFormat="1" ht="22.5">
      <c r="T284" s="132"/>
      <c r="X284" s="431"/>
      <c r="Y284" s="133"/>
      <c r="Z284" s="439" t="s">
        <v>68</v>
      </c>
      <c r="AA284" s="113" t="s">
        <v>217</v>
      </c>
      <c r="AB284" s="113"/>
      <c r="AC284" s="113"/>
      <c r="AD284" s="402" t="s">
        <v>773</v>
      </c>
      <c r="AE284" s="492" t="s">
        <v>773</v>
      </c>
      <c r="AF284" s="307">
        <f t="shared" ref="AF284:AJ295" si="12">(AF$282-AF268/$AB197)*$AB197</f>
        <v>233.91125439939489</v>
      </c>
      <c r="AG284" s="306">
        <f t="shared" si="12"/>
        <v>219.70238801382851</v>
      </c>
      <c r="AH284" s="307">
        <f t="shared" si="12"/>
        <v>129.36124250181365</v>
      </c>
      <c r="AI284" s="306">
        <f t="shared" si="12"/>
        <v>374.2580070390319</v>
      </c>
      <c r="AJ284" s="478">
        <f t="shared" si="12"/>
        <v>206.97798800290181</v>
      </c>
    </row>
    <row r="285" spans="20:39" s="102" customFormat="1" ht="22.5">
      <c r="T285" s="132"/>
      <c r="X285" s="431"/>
      <c r="Y285" s="133"/>
      <c r="Z285" s="439" t="s">
        <v>240</v>
      </c>
      <c r="AA285" s="113" t="s">
        <v>217</v>
      </c>
      <c r="AB285" s="113"/>
      <c r="AC285" s="113"/>
      <c r="AD285" s="402" t="s">
        <v>773</v>
      </c>
      <c r="AE285" s="492" t="s">
        <v>773</v>
      </c>
      <c r="AF285" s="307">
        <f t="shared" si="12"/>
        <v>208.51197985858846</v>
      </c>
      <c r="AG285" s="306">
        <f t="shared" si="12"/>
        <v>198.44086659313541</v>
      </c>
      <c r="AH285" s="307">
        <f t="shared" si="12"/>
        <v>115.31454038104596</v>
      </c>
      <c r="AI285" s="306">
        <f t="shared" si="12"/>
        <v>333.61916777374142</v>
      </c>
      <c r="AJ285" s="478">
        <f t="shared" si="12"/>
        <v>184.50326460967347</v>
      </c>
    </row>
    <row r="286" spans="20:39" s="102" customFormat="1" ht="22.5">
      <c r="X286" s="431"/>
      <c r="Y286" s="133"/>
      <c r="Z286" s="439" t="s">
        <v>1266</v>
      </c>
      <c r="AA286" s="113" t="s">
        <v>217</v>
      </c>
      <c r="AB286" s="113"/>
      <c r="AC286" s="113"/>
      <c r="AD286" s="402" t="s">
        <v>773</v>
      </c>
      <c r="AE286" s="492" t="s">
        <v>773</v>
      </c>
      <c r="AF286" s="307">
        <f t="shared" si="12"/>
        <v>235.16191128374714</v>
      </c>
      <c r="AG286" s="306">
        <f t="shared" si="12"/>
        <v>219.70238801382851</v>
      </c>
      <c r="AH286" s="307">
        <f t="shared" si="12"/>
        <v>130.05290023721702</v>
      </c>
      <c r="AI286" s="306">
        <f t="shared" si="12"/>
        <v>376.25905805399555</v>
      </c>
      <c r="AJ286" s="478">
        <f t="shared" si="12"/>
        <v>208.08464037954727</v>
      </c>
    </row>
    <row r="287" spans="20:39" s="102" customFormat="1" ht="22.5">
      <c r="X287" s="431"/>
      <c r="Y287" s="133"/>
      <c r="Z287" s="439" t="s">
        <v>743</v>
      </c>
      <c r="AA287" s="113" t="s">
        <v>217</v>
      </c>
      <c r="AB287" s="113"/>
      <c r="AC287" s="113"/>
      <c r="AD287" s="402" t="s">
        <v>773</v>
      </c>
      <c r="AE287" s="492" t="s">
        <v>773</v>
      </c>
      <c r="AF287" s="307">
        <f t="shared" si="12"/>
        <v>238.49653474424858</v>
      </c>
      <c r="AG287" s="306">
        <f t="shared" si="12"/>
        <v>212.6152142069308</v>
      </c>
      <c r="AH287" s="307">
        <f t="shared" si="12"/>
        <v>131.89706560341017</v>
      </c>
      <c r="AI287" s="306">
        <f t="shared" si="12"/>
        <v>381.59445559079768</v>
      </c>
      <c r="AJ287" s="478">
        <f t="shared" si="12"/>
        <v>211.03530496545628</v>
      </c>
    </row>
    <row r="288" spans="20:39" s="102" customFormat="1" ht="22.5">
      <c r="X288" s="431"/>
      <c r="Y288" s="133"/>
      <c r="Z288" s="439" t="s">
        <v>911</v>
      </c>
      <c r="AA288" s="113" t="s">
        <v>217</v>
      </c>
      <c r="AB288" s="113"/>
      <c r="AC288" s="113"/>
      <c r="AD288" s="402" t="s">
        <v>773</v>
      </c>
      <c r="AE288" s="492" t="s">
        <v>773</v>
      </c>
      <c r="AF288" s="307">
        <f t="shared" si="12"/>
        <v>263.26960852500639</v>
      </c>
      <c r="AG288" s="306">
        <f t="shared" si="12"/>
        <v>219.70238801382851</v>
      </c>
      <c r="AH288" s="307">
        <f t="shared" si="12"/>
        <v>145.59745643366952</v>
      </c>
      <c r="AI288" s="306">
        <f t="shared" si="12"/>
        <v>421.23137364001019</v>
      </c>
      <c r="AJ288" s="478">
        <f t="shared" si="12"/>
        <v>232.95593029387126</v>
      </c>
    </row>
    <row r="289" spans="20:39" s="102" customFormat="1" ht="22.5">
      <c r="X289" s="431"/>
      <c r="Y289" s="133"/>
      <c r="Z289" s="439" t="s">
        <v>254</v>
      </c>
      <c r="AA289" s="113" t="s">
        <v>217</v>
      </c>
      <c r="AB289" s="113"/>
      <c r="AC289" s="113"/>
      <c r="AD289" s="402" t="s">
        <v>773</v>
      </c>
      <c r="AE289" s="492" t="s">
        <v>773</v>
      </c>
      <c r="AF289" s="307">
        <f t="shared" si="12"/>
        <v>273.21070872222623</v>
      </c>
      <c r="AG289" s="306">
        <f t="shared" si="12"/>
        <v>212.6152142069308</v>
      </c>
      <c r="AH289" s="307">
        <f t="shared" si="12"/>
        <v>151.09523838798108</v>
      </c>
      <c r="AI289" s="306">
        <f t="shared" si="12"/>
        <v>437.13713395556192</v>
      </c>
      <c r="AJ289" s="478">
        <f t="shared" si="12"/>
        <v>241.75238142076975</v>
      </c>
    </row>
    <row r="290" spans="20:39" s="102" customFormat="1" ht="13.5" customHeight="1">
      <c r="X290" s="431"/>
      <c r="Y290" s="133"/>
      <c r="Z290" s="439" t="s">
        <v>170</v>
      </c>
      <c r="AA290" s="113" t="s">
        <v>217</v>
      </c>
      <c r="AB290" s="113"/>
      <c r="AC290" s="113"/>
      <c r="AD290" s="402" t="s">
        <v>773</v>
      </c>
      <c r="AE290" s="492" t="s">
        <v>773</v>
      </c>
      <c r="AF290" s="307">
        <f t="shared" si="12"/>
        <v>298.00550406936389</v>
      </c>
      <c r="AG290" s="306">
        <f t="shared" si="12"/>
        <v>219.70238801382851</v>
      </c>
      <c r="AH290" s="307">
        <f t="shared" si="12"/>
        <v>164.80764201695425</v>
      </c>
      <c r="AI290" s="306">
        <f t="shared" si="12"/>
        <v>476.80880651098221</v>
      </c>
      <c r="AJ290" s="478">
        <f t="shared" si="12"/>
        <v>263.69222722712681</v>
      </c>
    </row>
    <row r="291" spans="20:39" s="101" customFormat="1" ht="22.5">
      <c r="T291" s="102"/>
      <c r="U291" s="102"/>
      <c r="V291" s="102"/>
      <c r="W291" s="102"/>
      <c r="X291" s="431"/>
      <c r="Y291" s="133"/>
      <c r="Z291" s="439" t="s">
        <v>810</v>
      </c>
      <c r="AA291" s="113" t="s">
        <v>217</v>
      </c>
      <c r="AB291" s="113"/>
      <c r="AC291" s="113"/>
      <c r="AD291" s="402" t="s">
        <v>773</v>
      </c>
      <c r="AE291" s="492" t="s">
        <v>773</v>
      </c>
      <c r="AF291" s="307">
        <f t="shared" si="12"/>
        <v>304.17364966318172</v>
      </c>
      <c r="AG291" s="306">
        <f t="shared" si="12"/>
        <v>219.70238801382851</v>
      </c>
      <c r="AH291" s="307">
        <f t="shared" si="12"/>
        <v>168.21884589424161</v>
      </c>
      <c r="AI291" s="306">
        <f t="shared" si="12"/>
        <v>486.6778394610908</v>
      </c>
      <c r="AJ291" s="478">
        <f t="shared" si="12"/>
        <v>269.15015343078653</v>
      </c>
      <c r="AK291" s="102"/>
      <c r="AL291" s="102"/>
      <c r="AM291" s="102"/>
    </row>
    <row r="292" spans="20:39" s="101" customFormat="1" ht="22.5">
      <c r="T292" s="102"/>
      <c r="U292" s="102"/>
      <c r="V292" s="102"/>
      <c r="W292" s="102"/>
      <c r="X292" s="431"/>
      <c r="Y292" s="133"/>
      <c r="Z292" s="439" t="s">
        <v>50</v>
      </c>
      <c r="AA292" s="113" t="s">
        <v>217</v>
      </c>
      <c r="AB292" s="113"/>
      <c r="AC292" s="113"/>
      <c r="AD292" s="402" t="s">
        <v>773</v>
      </c>
      <c r="AE292" s="492" t="s">
        <v>773</v>
      </c>
      <c r="AF292" s="307">
        <f t="shared" si="12"/>
        <v>288.38707400683256</v>
      </c>
      <c r="AG292" s="306">
        <f t="shared" si="12"/>
        <v>212.6152142069308</v>
      </c>
      <c r="AH292" s="307">
        <f t="shared" si="12"/>
        <v>159.48830812256483</v>
      </c>
      <c r="AI292" s="306">
        <f t="shared" si="12"/>
        <v>461.41931841093219</v>
      </c>
      <c r="AJ292" s="478">
        <f t="shared" si="12"/>
        <v>255.18129299610374</v>
      </c>
      <c r="AK292" s="102"/>
      <c r="AL292" s="102"/>
      <c r="AM292" s="102"/>
    </row>
    <row r="293" spans="20:39" s="101" customFormat="1" ht="22.5">
      <c r="T293" s="102"/>
      <c r="U293" s="102"/>
      <c r="V293" s="102"/>
      <c r="W293" s="102"/>
      <c r="X293" s="431"/>
      <c r="Y293" s="133"/>
      <c r="Z293" s="439" t="s">
        <v>1052</v>
      </c>
      <c r="AA293" s="113" t="s">
        <v>217</v>
      </c>
      <c r="AB293" s="113"/>
      <c r="AC293" s="113"/>
      <c r="AD293" s="402" t="s">
        <v>773</v>
      </c>
      <c r="AE293" s="492" t="s">
        <v>773</v>
      </c>
      <c r="AF293" s="307">
        <f t="shared" si="12"/>
        <v>282.30910371476233</v>
      </c>
      <c r="AG293" s="306">
        <f t="shared" si="12"/>
        <v>219.70238801382851</v>
      </c>
      <c r="AH293" s="307">
        <f t="shared" si="12"/>
        <v>156.12697439413799</v>
      </c>
      <c r="AI293" s="306">
        <f t="shared" si="12"/>
        <v>451.69456594361981</v>
      </c>
      <c r="AJ293" s="478">
        <f t="shared" si="12"/>
        <v>249.80315903062075</v>
      </c>
      <c r="AK293" s="102"/>
      <c r="AL293" s="102"/>
      <c r="AM293" s="102"/>
    </row>
    <row r="294" spans="20:39" s="101" customFormat="1" ht="22.5">
      <c r="T294" s="102"/>
      <c r="U294" s="102"/>
      <c r="V294" s="102"/>
      <c r="W294" s="102"/>
      <c r="X294" s="431"/>
      <c r="Y294" s="133"/>
      <c r="Z294" s="439" t="s">
        <v>51</v>
      </c>
      <c r="AA294" s="113" t="s">
        <v>217</v>
      </c>
      <c r="AB294" s="113"/>
      <c r="AC294" s="113"/>
      <c r="AD294" s="402" t="s">
        <v>773</v>
      </c>
      <c r="AE294" s="492" t="s">
        <v>773</v>
      </c>
      <c r="AF294" s="307">
        <f t="shared" si="12"/>
        <v>254.76858521900789</v>
      </c>
      <c r="AG294" s="306">
        <f t="shared" si="12"/>
        <v>212.6152142069308</v>
      </c>
      <c r="AH294" s="307">
        <f t="shared" si="12"/>
        <v>140.89608821509233</v>
      </c>
      <c r="AI294" s="306">
        <f t="shared" si="12"/>
        <v>407.6297363504126</v>
      </c>
      <c r="AJ294" s="478">
        <f t="shared" si="12"/>
        <v>225.43374114414775</v>
      </c>
      <c r="AK294" s="102"/>
      <c r="AL294" s="102"/>
      <c r="AM294" s="102"/>
    </row>
    <row r="295" spans="20:39" s="101" customFormat="1" ht="22.5">
      <c r="T295" s="102"/>
      <c r="U295" s="102"/>
      <c r="V295" s="102"/>
      <c r="W295" s="102"/>
      <c r="X295" s="431"/>
      <c r="Y295" s="133"/>
      <c r="Z295" s="439" t="s">
        <v>383</v>
      </c>
      <c r="AA295" s="113" t="s">
        <v>217</v>
      </c>
      <c r="AB295" s="113"/>
      <c r="AC295" s="113"/>
      <c r="AD295" s="402" t="s">
        <v>773</v>
      </c>
      <c r="AE295" s="492" t="s">
        <v>773</v>
      </c>
      <c r="AF295" s="307">
        <f t="shared" si="12"/>
        <v>246.43967773549664</v>
      </c>
      <c r="AG295" s="306">
        <f t="shared" si="12"/>
        <v>219.70238801382851</v>
      </c>
      <c r="AH295" s="307">
        <f t="shared" si="12"/>
        <v>136.28990616747703</v>
      </c>
      <c r="AI295" s="306">
        <f t="shared" si="12"/>
        <v>394.30348437679464</v>
      </c>
      <c r="AJ295" s="478">
        <f t="shared" si="12"/>
        <v>218.06384986796323</v>
      </c>
      <c r="AK295" s="102"/>
      <c r="AL295" s="102"/>
      <c r="AM295" s="102"/>
    </row>
    <row r="296" spans="20:39" s="101" customFormat="1" ht="12.75">
      <c r="T296" s="102"/>
      <c r="U296" s="102"/>
      <c r="V296" s="102"/>
      <c r="W296" s="102"/>
      <c r="X296" s="431"/>
      <c r="Y296" s="424" t="s">
        <v>971</v>
      </c>
      <c r="Z296" s="133"/>
      <c r="AA296" s="113"/>
      <c r="AB296" s="113"/>
      <c r="AC296" s="113"/>
      <c r="AD296" s="397"/>
      <c r="AE296" s="308"/>
      <c r="AF296" s="309"/>
      <c r="AG296" s="308"/>
      <c r="AH296" s="309"/>
      <c r="AI296" s="308"/>
      <c r="AJ296" s="479"/>
      <c r="AK296" s="102"/>
      <c r="AL296" s="102"/>
      <c r="AM296" s="102"/>
    </row>
    <row r="297" spans="20:39" s="101" customFormat="1" ht="12.75">
      <c r="T297" s="102"/>
      <c r="U297" s="102"/>
      <c r="V297" s="102"/>
      <c r="W297" s="102"/>
      <c r="X297" s="431"/>
      <c r="Y297" s="424"/>
      <c r="Z297" s="133" t="s">
        <v>1102</v>
      </c>
      <c r="AA297" s="113" t="s">
        <v>1332</v>
      </c>
      <c r="AB297" s="113"/>
      <c r="AC297" s="113"/>
      <c r="AD297" s="364" t="s">
        <v>773</v>
      </c>
      <c r="AE297" s="199" t="s">
        <v>773</v>
      </c>
      <c r="AF297" s="291" t="str">
        <f>IF(ISNUMBER(AF251),AF251*AF235*AF261/365,"WCF Missing!")</f>
        <v>WCF Missing!</v>
      </c>
      <c r="AG297" s="290" t="str">
        <f>IF(ISNUMBER(AG251),AG251*AG235*AG261/365,"WCF Missing!")</f>
        <v>WCF Missing!</v>
      </c>
      <c r="AH297" s="291">
        <f>IF(ISNUMBER(AH251),AH251*AH235*AH261/365,"WCF Missing!")</f>
        <v>24.398790562063706</v>
      </c>
      <c r="AI297" s="290" t="str">
        <f>IF(ISNUMBER(AI251),AI251*AI235*AI261/365,"WCF Missing!")</f>
        <v>WCF Missing!</v>
      </c>
      <c r="AJ297" s="349">
        <f>IF(ISNUMBER(AJ251),AJ251*AJ235*AJ261/365,"WCF Missing!")</f>
        <v>24.398790562063706</v>
      </c>
      <c r="AK297" s="102"/>
      <c r="AL297" s="102"/>
      <c r="AM297" s="102"/>
    </row>
    <row r="298" spans="20:39" s="101" customFormat="1" ht="12.75">
      <c r="T298" s="102"/>
      <c r="U298" s="102"/>
      <c r="V298" s="102"/>
      <c r="W298" s="102"/>
      <c r="X298" s="431"/>
      <c r="Y298" s="133"/>
      <c r="Z298" s="133" t="s">
        <v>194</v>
      </c>
      <c r="AA298" s="113" t="s">
        <v>972</v>
      </c>
      <c r="AB298" s="113"/>
      <c r="AC298" s="113"/>
      <c r="AD298" s="364" t="s">
        <v>773</v>
      </c>
      <c r="AE298" s="199" t="s">
        <v>773</v>
      </c>
      <c r="AF298" s="218" t="str">
        <f>IF(ISNUMBER(AF251),AF297*$AB209/24,"WCF Missing!")</f>
        <v>WCF Missing!</v>
      </c>
      <c r="AG298" s="217" t="str">
        <f>IF(ISNUMBER(AG251),AG297*$AB209/24,"WCF Missing!")</f>
        <v>WCF Missing!</v>
      </c>
      <c r="AH298" s="218">
        <f>IF(ISNUMBER(AH251),AH297*$AB209/24,"WCF Missing!")</f>
        <v>3.8478925948921305</v>
      </c>
      <c r="AI298" s="217" t="str">
        <f>IF(ISNUMBER(AI251),AI297*$AB209/24,"WCF Missing!")</f>
        <v>WCF Missing!</v>
      </c>
      <c r="AJ298" s="345">
        <f>IF(ISNUMBER(AJ251),AJ297*$AB209/24,"WCF Missing!")</f>
        <v>3.8478925948921305</v>
      </c>
      <c r="AK298" s="102"/>
      <c r="AL298" s="102"/>
      <c r="AM298" s="102"/>
    </row>
    <row r="299" spans="20:39" s="101" customFormat="1" ht="12.75">
      <c r="T299" s="102"/>
      <c r="U299" s="102"/>
      <c r="V299" s="102"/>
      <c r="W299" s="102"/>
      <c r="X299" s="431"/>
      <c r="Y299" s="424" t="s">
        <v>888</v>
      </c>
      <c r="Z299" s="107"/>
      <c r="AA299" s="113"/>
      <c r="AB299" s="113"/>
      <c r="AC299" s="113"/>
      <c r="AD299" s="397"/>
      <c r="AE299" s="493"/>
      <c r="AF299" s="309"/>
      <c r="AG299" s="308"/>
      <c r="AH299" s="309"/>
      <c r="AI299" s="308"/>
      <c r="AJ299" s="479"/>
      <c r="AK299" s="102"/>
      <c r="AL299" s="102"/>
      <c r="AM299" s="102"/>
    </row>
    <row r="300" spans="20:39" s="101" customFormat="1" ht="12.75">
      <c r="T300" s="102"/>
      <c r="U300" s="102"/>
      <c r="V300" s="102"/>
      <c r="W300" s="102"/>
      <c r="X300" s="431"/>
      <c r="Y300" s="133"/>
      <c r="Z300" s="107" t="s">
        <v>1135</v>
      </c>
      <c r="AA300" s="113" t="s">
        <v>1175</v>
      </c>
      <c r="AB300" s="113"/>
      <c r="AC300" s="113"/>
      <c r="AD300" s="364" t="s">
        <v>773</v>
      </c>
      <c r="AE300" s="486" t="s">
        <v>773</v>
      </c>
      <c r="AF300" s="218">
        <f>AF248/$AB$213 - AF264</f>
        <v>0.18043095547565469</v>
      </c>
      <c r="AG300" s="217">
        <f>AG248/$AB$213 - AG264</f>
        <v>0.18043095547565469</v>
      </c>
      <c r="AH300" s="218">
        <f>AH248/$AB$213 - AH264</f>
        <v>0.16417565891438513</v>
      </c>
      <c r="AI300" s="217">
        <f>AI248/$AB$213 - AI264</f>
        <v>0.18043095547565469</v>
      </c>
      <c r="AJ300" s="345">
        <f>AJ248/$AB$213 - AJ264</f>
        <v>0.16417565891438513</v>
      </c>
      <c r="AK300" s="102"/>
      <c r="AL300" s="102"/>
      <c r="AM300" s="102"/>
    </row>
    <row r="301" spans="20:39" s="101" customFormat="1" ht="12.75">
      <c r="T301" s="102"/>
      <c r="U301" s="102"/>
      <c r="V301" s="156"/>
      <c r="W301" s="102"/>
      <c r="X301" s="431"/>
      <c r="Y301" s="133"/>
      <c r="Z301" s="107" t="s">
        <v>1269</v>
      </c>
      <c r="AA301" s="113" t="s">
        <v>202</v>
      </c>
      <c r="AB301" s="113"/>
      <c r="AC301" s="113"/>
      <c r="AD301" s="364" t="s">
        <v>773</v>
      </c>
      <c r="AE301" s="486" t="s">
        <v>773</v>
      </c>
      <c r="AF301" s="218">
        <f t="shared" ref="AF301:AJ312" si="13">(IF(AF$237="no",3600*AF$261/8760*(IF(AND(AF$239="yes",AF$258&gt;(($AB$211*AF268/$AB197+$AB185*AF284/$AB197)/(AF268/$AB197+AF284/$AB197))),AF$300+0.0024*(AF$258-(($AB$211*AF$267/$AB197+$AB185*AF284/$AB197)/(AF$267/$AB197+AF284/$AB197)))*AF$282*365/AF$261,IF(AF$240="yes",AF$300+0.0024*AF$320*($AB$217-$AB185),AF$300))),3600*AF$261/8760*(IF(AND(AF$239="yes",$AB185&lt;AF$259),AF$300+0.0024*(AF$259-$AB185)*(AF$320/AF$257),IF(AND(AF$240="yes",$AB185&lt;AF$259),AF$300-AF$320*0.0024*(AF$260-$AB$217)+0.0024*AF$320*(AF$259-$AB185),IF(AF$240="yes",AF$300-0.0024*AF$320*(AF$260-$AB$217),AF$300))))))*$AB197*24/3600</f>
        <v>5.7220633081957972</v>
      </c>
      <c r="AG301" s="217">
        <f t="shared" si="13"/>
        <v>5.7220633081957972</v>
      </c>
      <c r="AH301" s="218">
        <f t="shared" si="13"/>
        <v>5.206554005638055</v>
      </c>
      <c r="AI301" s="217">
        <f t="shared" si="13"/>
        <v>5.7220633081957972</v>
      </c>
      <c r="AJ301" s="345">
        <f t="shared" si="13"/>
        <v>5.206554005638055</v>
      </c>
      <c r="AK301" s="102"/>
      <c r="AL301" s="102"/>
      <c r="AM301" s="102"/>
    </row>
    <row r="302" spans="20:39" s="101" customFormat="1" ht="12.75">
      <c r="T302" s="102"/>
      <c r="U302" s="102"/>
      <c r="V302" s="156"/>
      <c r="W302" s="102"/>
      <c r="X302" s="431"/>
      <c r="Y302" s="133"/>
      <c r="Z302" s="107" t="s">
        <v>564</v>
      </c>
      <c r="AA302" s="113" t="s">
        <v>202</v>
      </c>
      <c r="AB302" s="113"/>
      <c r="AC302" s="113"/>
      <c r="AD302" s="364" t="s">
        <v>773</v>
      </c>
      <c r="AE302" s="486" t="s">
        <v>773</v>
      </c>
      <c r="AF302" s="218">
        <f t="shared" si="13"/>
        <v>5.1683152461123338</v>
      </c>
      <c r="AG302" s="217">
        <f t="shared" si="13"/>
        <v>5.1683152461123338</v>
      </c>
      <c r="AH302" s="218">
        <f t="shared" si="13"/>
        <v>4.7026939405763075</v>
      </c>
      <c r="AI302" s="217">
        <f t="shared" si="13"/>
        <v>5.1683152461123338</v>
      </c>
      <c r="AJ302" s="345">
        <f t="shared" si="13"/>
        <v>4.7026939405763075</v>
      </c>
      <c r="AK302" s="102"/>
      <c r="AL302" s="102"/>
      <c r="AM302" s="102"/>
    </row>
    <row r="303" spans="20:39" s="101" customFormat="1" ht="12.75">
      <c r="T303" s="102"/>
      <c r="U303" s="102"/>
      <c r="V303" s="156"/>
      <c r="W303" s="102"/>
      <c r="X303" s="431"/>
      <c r="Y303" s="133"/>
      <c r="Z303" s="107" t="s">
        <v>565</v>
      </c>
      <c r="AA303" s="113" t="s">
        <v>202</v>
      </c>
      <c r="AB303" s="113"/>
      <c r="AC303" s="113"/>
      <c r="AD303" s="364" t="s">
        <v>773</v>
      </c>
      <c r="AE303" s="486" t="s">
        <v>773</v>
      </c>
      <c r="AF303" s="218">
        <f t="shared" si="13"/>
        <v>5.7220633081957972</v>
      </c>
      <c r="AG303" s="217">
        <f t="shared" si="13"/>
        <v>5.7220633081957972</v>
      </c>
      <c r="AH303" s="218">
        <f t="shared" si="13"/>
        <v>5.206554005638055</v>
      </c>
      <c r="AI303" s="217">
        <f t="shared" si="13"/>
        <v>5.7220633081957972</v>
      </c>
      <c r="AJ303" s="345">
        <f t="shared" si="13"/>
        <v>5.206554005638055</v>
      </c>
      <c r="AK303" s="102"/>
      <c r="AL303" s="102"/>
      <c r="AM303" s="102"/>
    </row>
    <row r="304" spans="20:39" s="101" customFormat="1" ht="12.75">
      <c r="T304" s="102"/>
      <c r="U304" s="102"/>
      <c r="V304" s="156"/>
      <c r="W304" s="102"/>
      <c r="X304" s="431"/>
      <c r="Y304" s="133"/>
      <c r="Z304" s="107" t="s">
        <v>1209</v>
      </c>
      <c r="AA304" s="113" t="s">
        <v>202</v>
      </c>
      <c r="AB304" s="113"/>
      <c r="AC304" s="113"/>
      <c r="AD304" s="364" t="s">
        <v>773</v>
      </c>
      <c r="AE304" s="486" t="s">
        <v>773</v>
      </c>
      <c r="AF304" s="218">
        <f t="shared" si="13"/>
        <v>5.5374806208346428</v>
      </c>
      <c r="AG304" s="217">
        <f t="shared" si="13"/>
        <v>5.5374806208346428</v>
      </c>
      <c r="AH304" s="218">
        <f t="shared" si="13"/>
        <v>5.0386006506174725</v>
      </c>
      <c r="AI304" s="217">
        <f t="shared" si="13"/>
        <v>5.5374806208346428</v>
      </c>
      <c r="AJ304" s="345">
        <f t="shared" si="13"/>
        <v>5.0386006506174725</v>
      </c>
      <c r="AK304" s="102"/>
      <c r="AL304" s="102"/>
      <c r="AM304" s="102"/>
    </row>
    <row r="305" spans="20:39" s="101" customFormat="1" ht="12.75">
      <c r="T305" s="102"/>
      <c r="U305" s="102"/>
      <c r="V305" s="156"/>
      <c r="W305" s="102"/>
      <c r="X305" s="431"/>
      <c r="Y305" s="133"/>
      <c r="Z305" s="107" t="s">
        <v>1210</v>
      </c>
      <c r="AA305" s="113" t="s">
        <v>202</v>
      </c>
      <c r="AB305" s="113"/>
      <c r="AC305" s="113"/>
      <c r="AD305" s="364" t="s">
        <v>773</v>
      </c>
      <c r="AE305" s="486" t="s">
        <v>773</v>
      </c>
      <c r="AF305" s="218">
        <f t="shared" si="13"/>
        <v>5.7220633081957972</v>
      </c>
      <c r="AG305" s="217">
        <f t="shared" si="13"/>
        <v>5.7220633081957972</v>
      </c>
      <c r="AH305" s="218">
        <f t="shared" si="13"/>
        <v>5.206554005638055</v>
      </c>
      <c r="AI305" s="217">
        <f t="shared" si="13"/>
        <v>5.7220633081957972</v>
      </c>
      <c r="AJ305" s="345">
        <f t="shared" si="13"/>
        <v>5.206554005638055</v>
      </c>
      <c r="AK305" s="102"/>
      <c r="AL305" s="102"/>
      <c r="AM305" s="102"/>
    </row>
    <row r="306" spans="20:39" s="101" customFormat="1" ht="12.75">
      <c r="T306" s="102"/>
      <c r="U306" s="102"/>
      <c r="V306" s="156"/>
      <c r="W306" s="102"/>
      <c r="X306" s="431"/>
      <c r="Y306" s="133"/>
      <c r="Z306" s="107" t="s">
        <v>128</v>
      </c>
      <c r="AA306" s="113" t="s">
        <v>202</v>
      </c>
      <c r="AB306" s="113"/>
      <c r="AC306" s="113"/>
      <c r="AD306" s="364" t="s">
        <v>773</v>
      </c>
      <c r="AE306" s="486" t="s">
        <v>773</v>
      </c>
      <c r="AF306" s="218">
        <f t="shared" si="13"/>
        <v>5.5374806208346428</v>
      </c>
      <c r="AG306" s="217">
        <f t="shared" si="13"/>
        <v>5.5374806208346428</v>
      </c>
      <c r="AH306" s="218">
        <f t="shared" si="13"/>
        <v>5.0386006506174725</v>
      </c>
      <c r="AI306" s="217">
        <f t="shared" si="13"/>
        <v>5.5374806208346428</v>
      </c>
      <c r="AJ306" s="345">
        <f t="shared" si="13"/>
        <v>5.0386006506174725</v>
      </c>
      <c r="AK306" s="102"/>
      <c r="AL306" s="102"/>
      <c r="AM306" s="102"/>
    </row>
    <row r="307" spans="20:39" s="101" customFormat="1" ht="12.75">
      <c r="T307" s="102"/>
      <c r="U307" s="102"/>
      <c r="V307" s="156"/>
      <c r="W307" s="102"/>
      <c r="X307" s="431"/>
      <c r="Y307" s="133"/>
      <c r="Z307" s="107" t="s">
        <v>812</v>
      </c>
      <c r="AA307" s="113" t="s">
        <v>202</v>
      </c>
      <c r="AB307" s="113"/>
      <c r="AC307" s="113"/>
      <c r="AD307" s="364" t="s">
        <v>773</v>
      </c>
      <c r="AE307" s="486" t="s">
        <v>773</v>
      </c>
      <c r="AF307" s="218">
        <f t="shared" si="13"/>
        <v>5.7220633081957972</v>
      </c>
      <c r="AG307" s="217">
        <f t="shared" si="13"/>
        <v>5.7220633081957972</v>
      </c>
      <c r="AH307" s="218">
        <f t="shared" si="13"/>
        <v>5.206554005638055</v>
      </c>
      <c r="AI307" s="217">
        <f t="shared" si="13"/>
        <v>5.7220633081957972</v>
      </c>
      <c r="AJ307" s="345">
        <f t="shared" si="13"/>
        <v>5.206554005638055</v>
      </c>
      <c r="AK307" s="102"/>
      <c r="AL307" s="102"/>
      <c r="AM307" s="102"/>
    </row>
    <row r="308" spans="20:39" s="101" customFormat="1" ht="12.75">
      <c r="T308" s="102"/>
      <c r="U308" s="102"/>
      <c r="V308" s="156"/>
      <c r="W308" s="102"/>
      <c r="X308" s="431"/>
      <c r="Y308" s="133"/>
      <c r="Z308" s="107" t="s">
        <v>732</v>
      </c>
      <c r="AA308" s="113" t="s">
        <v>202</v>
      </c>
      <c r="AB308" s="113"/>
      <c r="AC308" s="113"/>
      <c r="AD308" s="364" t="s">
        <v>773</v>
      </c>
      <c r="AE308" s="486" t="s">
        <v>773</v>
      </c>
      <c r="AF308" s="218">
        <f t="shared" si="13"/>
        <v>5.7220633081957972</v>
      </c>
      <c r="AG308" s="217">
        <f t="shared" si="13"/>
        <v>5.7220633081957972</v>
      </c>
      <c r="AH308" s="218">
        <f t="shared" si="13"/>
        <v>5.206554005638055</v>
      </c>
      <c r="AI308" s="217">
        <f t="shared" si="13"/>
        <v>5.7220633081957972</v>
      </c>
      <c r="AJ308" s="345">
        <f t="shared" si="13"/>
        <v>5.206554005638055</v>
      </c>
      <c r="AK308" s="102"/>
      <c r="AL308" s="102"/>
      <c r="AM308" s="102"/>
    </row>
    <row r="309" spans="20:39" s="101" customFormat="1" ht="12.75">
      <c r="T309" s="102"/>
      <c r="U309" s="102"/>
      <c r="V309" s="156"/>
      <c r="W309" s="102"/>
      <c r="X309" s="431"/>
      <c r="Y309" s="133"/>
      <c r="Z309" s="107" t="s">
        <v>733</v>
      </c>
      <c r="AA309" s="113" t="s">
        <v>202</v>
      </c>
      <c r="AB309" s="113"/>
      <c r="AC309" s="113"/>
      <c r="AD309" s="364" t="s">
        <v>773</v>
      </c>
      <c r="AE309" s="486" t="s">
        <v>773</v>
      </c>
      <c r="AF309" s="218">
        <f t="shared" si="13"/>
        <v>5.5374806208346428</v>
      </c>
      <c r="AG309" s="217">
        <f t="shared" si="13"/>
        <v>5.5374806208346428</v>
      </c>
      <c r="AH309" s="218">
        <f t="shared" si="13"/>
        <v>5.0386006506174725</v>
      </c>
      <c r="AI309" s="217">
        <f t="shared" si="13"/>
        <v>5.5374806208346428</v>
      </c>
      <c r="AJ309" s="345">
        <f t="shared" si="13"/>
        <v>5.0386006506174725</v>
      </c>
      <c r="AK309" s="102"/>
      <c r="AL309" s="102"/>
      <c r="AM309" s="102"/>
    </row>
    <row r="310" spans="20:39" s="101" customFormat="1" ht="12.75">
      <c r="T310" s="102"/>
      <c r="U310" s="102"/>
      <c r="V310" s="156"/>
      <c r="W310" s="102"/>
      <c r="X310" s="431"/>
      <c r="Y310" s="133"/>
      <c r="Z310" s="107" t="s">
        <v>869</v>
      </c>
      <c r="AA310" s="113" t="s">
        <v>202</v>
      </c>
      <c r="AB310" s="113"/>
      <c r="AC310" s="113"/>
      <c r="AD310" s="364" t="s">
        <v>773</v>
      </c>
      <c r="AE310" s="486" t="s">
        <v>773</v>
      </c>
      <c r="AF310" s="218">
        <f t="shared" si="13"/>
        <v>5.7220633081957972</v>
      </c>
      <c r="AG310" s="217">
        <f t="shared" si="13"/>
        <v>5.7220633081957972</v>
      </c>
      <c r="AH310" s="218">
        <f t="shared" si="13"/>
        <v>5.206554005638055</v>
      </c>
      <c r="AI310" s="217">
        <f t="shared" si="13"/>
        <v>5.7220633081957972</v>
      </c>
      <c r="AJ310" s="345">
        <f t="shared" si="13"/>
        <v>5.206554005638055</v>
      </c>
      <c r="AK310" s="102"/>
      <c r="AL310" s="102"/>
      <c r="AM310" s="102"/>
    </row>
    <row r="311" spans="20:39" s="101" customFormat="1" ht="12.75">
      <c r="T311" s="102"/>
      <c r="U311" s="102"/>
      <c r="V311" s="156"/>
      <c r="W311" s="102"/>
      <c r="X311" s="431"/>
      <c r="Y311" s="133"/>
      <c r="Z311" s="107" t="s">
        <v>870</v>
      </c>
      <c r="AA311" s="113" t="s">
        <v>202</v>
      </c>
      <c r="AB311" s="113"/>
      <c r="AC311" s="113"/>
      <c r="AD311" s="364" t="s">
        <v>773</v>
      </c>
      <c r="AE311" s="486" t="s">
        <v>773</v>
      </c>
      <c r="AF311" s="218">
        <f t="shared" si="13"/>
        <v>5.5374806208346428</v>
      </c>
      <c r="AG311" s="217">
        <f t="shared" si="13"/>
        <v>5.5374806208346428</v>
      </c>
      <c r="AH311" s="218">
        <f t="shared" si="13"/>
        <v>5.0386006506174725</v>
      </c>
      <c r="AI311" s="217">
        <f t="shared" si="13"/>
        <v>5.5374806208346428</v>
      </c>
      <c r="AJ311" s="345">
        <f t="shared" si="13"/>
        <v>5.0386006506174725</v>
      </c>
      <c r="AK311" s="102"/>
      <c r="AL311" s="102"/>
      <c r="AM311" s="102"/>
    </row>
    <row r="312" spans="20:39" s="101" customFormat="1" ht="12.75">
      <c r="T312" s="102"/>
      <c r="U312" s="102"/>
      <c r="V312" s="156"/>
      <c r="W312" s="102"/>
      <c r="X312" s="431"/>
      <c r="Y312" s="133"/>
      <c r="Z312" s="107" t="s">
        <v>936</v>
      </c>
      <c r="AA312" s="113" t="s">
        <v>202</v>
      </c>
      <c r="AB312" s="113"/>
      <c r="AC312" s="113"/>
      <c r="AD312" s="364" t="s">
        <v>773</v>
      </c>
      <c r="AE312" s="486" t="s">
        <v>773</v>
      </c>
      <c r="AF312" s="218">
        <f t="shared" si="13"/>
        <v>5.7220633081957972</v>
      </c>
      <c r="AG312" s="217">
        <f t="shared" si="13"/>
        <v>5.7220633081957972</v>
      </c>
      <c r="AH312" s="218">
        <f t="shared" si="13"/>
        <v>5.206554005638055</v>
      </c>
      <c r="AI312" s="217">
        <f t="shared" si="13"/>
        <v>5.7220633081957972</v>
      </c>
      <c r="AJ312" s="345">
        <f t="shared" si="13"/>
        <v>5.206554005638055</v>
      </c>
      <c r="AK312" s="102"/>
      <c r="AL312" s="102"/>
      <c r="AM312" s="102"/>
    </row>
    <row r="313" spans="20:39" s="101" customFormat="1" ht="12.75">
      <c r="T313" s="102"/>
      <c r="U313" s="102"/>
      <c r="V313" s="102"/>
      <c r="W313" s="102"/>
      <c r="X313" s="431"/>
      <c r="Y313" s="133"/>
      <c r="Z313" s="107" t="s">
        <v>203</v>
      </c>
      <c r="AA313" s="113" t="s">
        <v>220</v>
      </c>
      <c r="AB313" s="113"/>
      <c r="AC313" s="113"/>
      <c r="AD313" s="393">
        <f xml:space="preserve"> 52.5 + 17.5 *N_br</f>
        <v>105</v>
      </c>
      <c r="AE313" s="487">
        <v>105</v>
      </c>
      <c r="AF313" s="291">
        <f>SUM(AF301:AF312)</f>
        <v>67.372680886821499</v>
      </c>
      <c r="AG313" s="290">
        <f>SUM(AG301:AG312)</f>
        <v>67.372680886821499</v>
      </c>
      <c r="AH313" s="291">
        <f>SUM(AH301:AH312)</f>
        <v>61.302974582512583</v>
      </c>
      <c r="AI313" s="290">
        <f>SUM(AI301:AI312)</f>
        <v>67.372680886821499</v>
      </c>
      <c r="AJ313" s="349">
        <f>SUM(AJ301:AJ312)</f>
        <v>61.302974582512583</v>
      </c>
      <c r="AK313" s="102"/>
      <c r="AL313" s="102"/>
      <c r="AM313" s="102"/>
    </row>
    <row r="314" spans="20:39" s="101" customFormat="1" ht="12.75">
      <c r="T314" s="102"/>
      <c r="U314" s="102"/>
      <c r="V314" s="102"/>
      <c r="W314" s="102"/>
      <c r="X314" s="431"/>
      <c r="Y314" s="424" t="s">
        <v>204</v>
      </c>
      <c r="Z314" s="107"/>
      <c r="AA314" s="113"/>
      <c r="AB314" s="113"/>
      <c r="AC314" s="113"/>
      <c r="AD314" s="403"/>
      <c r="AE314" s="314"/>
      <c r="AF314" s="315"/>
      <c r="AG314" s="314"/>
      <c r="AH314" s="303"/>
      <c r="AI314" s="302"/>
      <c r="AJ314" s="477"/>
      <c r="AK314" s="102"/>
      <c r="AL314" s="102"/>
      <c r="AM314" s="102"/>
    </row>
    <row r="315" spans="20:39" s="101" customFormat="1" ht="12.75">
      <c r="T315" s="102"/>
      <c r="U315" s="102"/>
      <c r="V315" s="102"/>
      <c r="W315" s="102"/>
      <c r="X315" s="431"/>
      <c r="Y315" s="133"/>
      <c r="Z315" s="124" t="s">
        <v>260</v>
      </c>
      <c r="AA315" s="113" t="s">
        <v>261</v>
      </c>
      <c r="AB315" s="113"/>
      <c r="AC315" s="113"/>
      <c r="AD315" s="369" t="s">
        <v>773</v>
      </c>
      <c r="AE315" s="450" t="s">
        <v>773</v>
      </c>
      <c r="AF315" s="317">
        <f>AF317/($AB$220*$AB$221*$AB$222*AF254) + 0.04</f>
        <v>0.48943798841152469</v>
      </c>
      <c r="AG315" s="316">
        <f>AG317/($AB$220*$AB$221*$AB$222*AG254) + 0.04</f>
        <v>0.48943798841152469</v>
      </c>
      <c r="AH315" s="317">
        <f>AH317/($AB$220*$AB$221*$AB$222*AH254) + 0.04</f>
        <v>0.39679270637580066</v>
      </c>
      <c r="AI315" s="316">
        <f>AI317/($AB$220*$AB$221*$AB$222*AI254) + 0.04</f>
        <v>0.48943798841152469</v>
      </c>
      <c r="AJ315" s="456">
        <f>AJ317/($AB$220*$AB$221*$AB$222*AJ254) + 0.04</f>
        <v>0.39679270637580066</v>
      </c>
      <c r="AK315" s="102"/>
      <c r="AL315" s="102"/>
      <c r="AM315" s="102"/>
    </row>
    <row r="316" spans="20:39" s="101" customFormat="1" ht="12.75">
      <c r="T316" s="102"/>
      <c r="U316" s="102"/>
      <c r="V316" s="102"/>
      <c r="W316" s="102"/>
      <c r="X316" s="431"/>
      <c r="Y316" s="133"/>
      <c r="Z316" s="124" t="s">
        <v>262</v>
      </c>
      <c r="AA316" s="113" t="s">
        <v>1267</v>
      </c>
      <c r="AB316" s="113"/>
      <c r="AC316" s="113"/>
      <c r="AD316" s="404" t="s">
        <v>773</v>
      </c>
      <c r="AE316" s="494" t="s">
        <v>773</v>
      </c>
      <c r="AF316" s="201">
        <f>$AB$213*AF235/AF250 - AF248</f>
        <v>480.97055767847735</v>
      </c>
      <c r="AG316" s="200">
        <f>$AB$213*AG235/AG250 - AG248</f>
        <v>480.97055767847735</v>
      </c>
      <c r="AH316" s="201">
        <f>$AB$213*AH235/AH250 - AH248</f>
        <v>322.13367763819008</v>
      </c>
      <c r="AI316" s="200">
        <f>$AB$213*AI235/AI250 - AI248</f>
        <v>480.97055767847735</v>
      </c>
      <c r="AJ316" s="346">
        <f>$AB$213*AJ235/AJ250 - AJ248</f>
        <v>322.13367763819008</v>
      </c>
      <c r="AK316" s="102"/>
      <c r="AL316" s="102"/>
      <c r="AM316" s="102"/>
    </row>
    <row r="317" spans="20:39" s="101" customFormat="1" ht="12.75">
      <c r="T317" s="102"/>
      <c r="U317" s="102"/>
      <c r="V317" s="102"/>
      <c r="W317" s="102"/>
      <c r="X317" s="431"/>
      <c r="Y317" s="133"/>
      <c r="Z317" s="124" t="s">
        <v>912</v>
      </c>
      <c r="AA317" s="113" t="s">
        <v>1267</v>
      </c>
      <c r="AB317" s="113"/>
      <c r="AC317" s="113"/>
      <c r="AD317" s="404" t="s">
        <v>773</v>
      </c>
      <c r="AE317" s="494" t="s">
        <v>773</v>
      </c>
      <c r="AF317" s="218">
        <f>AF316/$AB$213</f>
        <v>1.288088526911525</v>
      </c>
      <c r="AG317" s="217">
        <f>AG316/$AB$213</f>
        <v>1.288088526911525</v>
      </c>
      <c r="AH317" s="218">
        <f>AH316/$AB$213</f>
        <v>0.86270705695658856</v>
      </c>
      <c r="AI317" s="217">
        <f>AI316/$AB$213</f>
        <v>1.288088526911525</v>
      </c>
      <c r="AJ317" s="345">
        <f>AJ316/$AB$213</f>
        <v>0.86270705695658856</v>
      </c>
      <c r="AK317" s="102"/>
      <c r="AL317" s="102"/>
      <c r="AM317" s="102"/>
    </row>
    <row r="318" spans="20:39" s="101" customFormat="1" ht="12.75">
      <c r="T318" s="102"/>
      <c r="U318" s="102"/>
      <c r="V318" s="102"/>
      <c r="W318" s="102"/>
      <c r="X318" s="431"/>
      <c r="Y318" s="133"/>
      <c r="Z318" s="439" t="s">
        <v>53</v>
      </c>
      <c r="AA318" s="427" t="s">
        <v>1178</v>
      </c>
      <c r="AB318" s="427"/>
      <c r="AC318" s="427"/>
      <c r="AD318" s="369" t="s">
        <v>773</v>
      </c>
      <c r="AE318" s="450" t="s">
        <v>773</v>
      </c>
      <c r="AF318" s="238">
        <f>AF315*AF254</f>
        <v>6.4227493605793846</v>
      </c>
      <c r="AG318" s="237">
        <f>AG315*AG254</f>
        <v>6.4227493605793846</v>
      </c>
      <c r="AH318" s="238">
        <f>AH315*AH254</f>
        <v>4.3929719405658663</v>
      </c>
      <c r="AI318" s="237">
        <f>AI315*AI254</f>
        <v>6.4227493605793846</v>
      </c>
      <c r="AJ318" s="239">
        <f>AJ315*AJ254</f>
        <v>4.3929719405658663</v>
      </c>
      <c r="AK318" s="102"/>
      <c r="AL318" s="102"/>
      <c r="AM318" s="102"/>
    </row>
    <row r="319" spans="20:39" s="127" customFormat="1" ht="12.75">
      <c r="T319" s="102"/>
      <c r="U319" s="102"/>
      <c r="V319" s="102"/>
      <c r="W319" s="102"/>
      <c r="X319" s="106"/>
      <c r="Y319" s="130" t="s">
        <v>1334</v>
      </c>
      <c r="Z319" s="107"/>
      <c r="AA319" s="113"/>
      <c r="AB319" s="113"/>
      <c r="AC319" s="113"/>
      <c r="AD319" s="391"/>
      <c r="AE319" s="495"/>
      <c r="AF319" s="273"/>
      <c r="AG319" s="272"/>
      <c r="AH319" s="273"/>
      <c r="AI319" s="272"/>
      <c r="AJ319" s="472"/>
      <c r="AK319" s="102"/>
      <c r="AL319" s="102"/>
      <c r="AM319" s="102"/>
    </row>
    <row r="320" spans="20:39" s="127" customFormat="1" ht="12.75">
      <c r="T320" s="102"/>
      <c r="U320" s="102"/>
      <c r="V320" s="102"/>
      <c r="W320" s="102"/>
      <c r="X320" s="437"/>
      <c r="Y320" s="110"/>
      <c r="Z320" s="338" t="s">
        <v>185</v>
      </c>
      <c r="AA320" s="438" t="s">
        <v>219</v>
      </c>
      <c r="AB320" s="430"/>
      <c r="AC320" s="430"/>
      <c r="AD320" s="214" t="s">
        <v>773</v>
      </c>
      <c r="AE320" s="485" t="s">
        <v>773</v>
      </c>
      <c r="AF320" s="233">
        <v>0</v>
      </c>
      <c r="AG320" s="232">
        <v>0</v>
      </c>
      <c r="AH320" s="233">
        <v>0</v>
      </c>
      <c r="AI320" s="232">
        <v>0</v>
      </c>
      <c r="AJ320" s="234">
        <v>0</v>
      </c>
      <c r="AK320" s="102"/>
      <c r="AL320" s="102"/>
      <c r="AM320" s="102"/>
    </row>
    <row r="321" spans="20:39" s="127" customFormat="1" ht="12.75">
      <c r="T321" s="102"/>
      <c r="U321" s="102"/>
      <c r="V321" s="102"/>
      <c r="W321" s="102"/>
      <c r="X321" s="162" t="s">
        <v>491</v>
      </c>
      <c r="Y321" s="434"/>
      <c r="Z321" s="571"/>
      <c r="AA321" s="572"/>
      <c r="AB321" s="572"/>
      <c r="AC321" s="572"/>
      <c r="AD321" s="184"/>
      <c r="AE321" s="185"/>
      <c r="AF321" s="186"/>
      <c r="AG321" s="185"/>
      <c r="AH321" s="186"/>
      <c r="AI321" s="185"/>
      <c r="AJ321" s="187"/>
      <c r="AK321" s="102"/>
      <c r="AL321" s="102"/>
      <c r="AM321" s="102"/>
    </row>
    <row r="322" spans="20:39" s="127" customFormat="1" ht="12.75">
      <c r="T322" s="102"/>
      <c r="U322" s="102"/>
      <c r="V322" s="102"/>
      <c r="W322" s="102"/>
      <c r="X322" s="106"/>
      <c r="Y322" s="107"/>
      <c r="Z322" s="108" t="s">
        <v>1296</v>
      </c>
      <c r="AA322" s="430" t="s">
        <v>1267</v>
      </c>
      <c r="AB322" s="108" t="s">
        <v>347</v>
      </c>
      <c r="AC322" s="430" t="s">
        <v>321</v>
      </c>
      <c r="AD322" s="359" t="str">
        <f t="shared" ref="AD322:AJ322" si="14">AD248</f>
        <v>NA</v>
      </c>
      <c r="AE322" s="188" t="str">
        <f t="shared" si="14"/>
        <v>NA</v>
      </c>
      <c r="AF322" s="189">
        <f t="shared" si="14"/>
        <v>533</v>
      </c>
      <c r="AG322" s="188">
        <f t="shared" si="14"/>
        <v>533</v>
      </c>
      <c r="AH322" s="189">
        <f t="shared" si="14"/>
        <v>351</v>
      </c>
      <c r="AI322" s="188">
        <f t="shared" si="14"/>
        <v>533</v>
      </c>
      <c r="AJ322" s="190">
        <f t="shared" si="14"/>
        <v>351</v>
      </c>
      <c r="AK322" s="102"/>
      <c r="AL322" s="102"/>
      <c r="AM322" s="102"/>
    </row>
    <row r="323" spans="20:39" s="127" customFormat="1" ht="12.75">
      <c r="T323" s="102"/>
      <c r="U323" s="102"/>
      <c r="V323" s="102"/>
      <c r="W323" s="102"/>
      <c r="X323" s="106"/>
      <c r="Y323" s="107"/>
      <c r="Z323" s="109" t="s">
        <v>1295</v>
      </c>
      <c r="AA323" s="113" t="s">
        <v>1178</v>
      </c>
      <c r="AB323" s="107" t="s">
        <v>348</v>
      </c>
      <c r="AC323" s="113" t="s">
        <v>321</v>
      </c>
      <c r="AD323" s="388" t="s">
        <v>773</v>
      </c>
      <c r="AE323" s="263" t="s">
        <v>773</v>
      </c>
      <c r="AF323" s="264" t="s">
        <v>773</v>
      </c>
      <c r="AG323" s="195">
        <f>AG318</f>
        <v>6.4227493605793846</v>
      </c>
      <c r="AH323" s="196">
        <f>AH318</f>
        <v>4.3929719405658663</v>
      </c>
      <c r="AI323" s="195">
        <f>AI318</f>
        <v>6.4227493605793846</v>
      </c>
      <c r="AJ323" s="219">
        <f>AJ318</f>
        <v>4.3929719405658663</v>
      </c>
      <c r="AK323" s="102"/>
      <c r="AL323" s="102"/>
      <c r="AM323" s="102"/>
    </row>
    <row r="324" spans="20:39" s="102" customFormat="1">
      <c r="X324" s="106"/>
      <c r="Y324" s="107"/>
      <c r="Z324" s="109" t="s">
        <v>1241</v>
      </c>
      <c r="AA324" s="113" t="s">
        <v>531</v>
      </c>
      <c r="AB324" s="107" t="s">
        <v>349</v>
      </c>
      <c r="AC324" s="113" t="s">
        <v>321</v>
      </c>
      <c r="AD324" s="370">
        <f>$AB$211</f>
        <v>130</v>
      </c>
      <c r="AE324" s="253">
        <v>120</v>
      </c>
      <c r="AF324" s="264" t="s">
        <v>773</v>
      </c>
      <c r="AG324" s="245">
        <f>$AB$211</f>
        <v>130</v>
      </c>
      <c r="AH324" s="246">
        <f>$AB$211</f>
        <v>130</v>
      </c>
      <c r="AI324" s="245">
        <f>$AB$211</f>
        <v>130</v>
      </c>
      <c r="AJ324" s="322">
        <f>$AB$211</f>
        <v>130</v>
      </c>
    </row>
    <row r="325" spans="20:39" s="102" customFormat="1">
      <c r="X325" s="106"/>
      <c r="Y325" s="107"/>
      <c r="Z325" s="109" t="s">
        <v>469</v>
      </c>
      <c r="AA325" s="113" t="s">
        <v>558</v>
      </c>
      <c r="AB325" s="107" t="s">
        <v>350</v>
      </c>
      <c r="AC325" s="113" t="s">
        <v>321</v>
      </c>
      <c r="AD325" s="388" t="s">
        <v>773</v>
      </c>
      <c r="AE325" s="263" t="s">
        <v>773</v>
      </c>
      <c r="AF325" s="264" t="s">
        <v>773</v>
      </c>
      <c r="AG325" s="195">
        <f>AG235</f>
        <v>3.15</v>
      </c>
      <c r="AH325" s="196">
        <f>AH235</f>
        <v>2.65</v>
      </c>
      <c r="AI325" s="195">
        <f>AI235</f>
        <v>3.15</v>
      </c>
      <c r="AJ325" s="219">
        <f>AJ235</f>
        <v>2.65</v>
      </c>
    </row>
    <row r="326" spans="20:39" s="102" customFormat="1">
      <c r="X326" s="106"/>
      <c r="Y326" s="107"/>
      <c r="Z326" s="133" t="s">
        <v>468</v>
      </c>
      <c r="AA326" s="113" t="s">
        <v>1065</v>
      </c>
      <c r="AB326" s="107" t="s">
        <v>351</v>
      </c>
      <c r="AC326" s="113" t="s">
        <v>321</v>
      </c>
      <c r="AD326" s="388" t="s">
        <v>773</v>
      </c>
      <c r="AE326" s="263" t="s">
        <v>773</v>
      </c>
      <c r="AF326" s="264" t="s">
        <v>773</v>
      </c>
      <c r="AG326" s="245" t="str">
        <f>AG237</f>
        <v>NO</v>
      </c>
      <c r="AH326" s="246" t="str">
        <f>AH237</f>
        <v>NO</v>
      </c>
      <c r="AI326" s="245" t="str">
        <f>AI237</f>
        <v>YES</v>
      </c>
      <c r="AJ326" s="322" t="str">
        <f>AJ237</f>
        <v>YES</v>
      </c>
    </row>
    <row r="327" spans="20:39" s="102" customFormat="1">
      <c r="X327" s="106"/>
      <c r="Y327" s="107"/>
      <c r="Z327" s="109" t="s">
        <v>1297</v>
      </c>
      <c r="AA327" s="113" t="s">
        <v>1065</v>
      </c>
      <c r="AB327" s="451" t="s">
        <v>817</v>
      </c>
      <c r="AC327" s="113" t="s">
        <v>321</v>
      </c>
      <c r="AD327" s="388" t="s">
        <v>773</v>
      </c>
      <c r="AE327" s="263" t="s">
        <v>773</v>
      </c>
      <c r="AF327" s="264" t="s">
        <v>773</v>
      </c>
      <c r="AG327" s="245" t="str">
        <f t="shared" ref="AG327:AJ328" si="15">AG239</f>
        <v>NO</v>
      </c>
      <c r="AH327" s="246" t="str">
        <f t="shared" si="15"/>
        <v>NO</v>
      </c>
      <c r="AI327" s="245" t="str">
        <f t="shared" si="15"/>
        <v>NO</v>
      </c>
      <c r="AJ327" s="322" t="str">
        <f t="shared" si="15"/>
        <v>NO</v>
      </c>
    </row>
    <row r="328" spans="20:39" s="102" customFormat="1">
      <c r="X328" s="106"/>
      <c r="Y328" s="107"/>
      <c r="Z328" s="109" t="s">
        <v>465</v>
      </c>
      <c r="AA328" s="113" t="s">
        <v>1065</v>
      </c>
      <c r="AB328" s="107" t="s">
        <v>818</v>
      </c>
      <c r="AC328" s="113" t="s">
        <v>321</v>
      </c>
      <c r="AD328" s="388" t="s">
        <v>773</v>
      </c>
      <c r="AE328" s="263" t="s">
        <v>773</v>
      </c>
      <c r="AF328" s="264" t="s">
        <v>773</v>
      </c>
      <c r="AG328" s="245" t="str">
        <f t="shared" si="15"/>
        <v>NO</v>
      </c>
      <c r="AH328" s="246" t="str">
        <f t="shared" si="15"/>
        <v>NO</v>
      </c>
      <c r="AI328" s="245" t="str">
        <f t="shared" si="15"/>
        <v>NO</v>
      </c>
      <c r="AJ328" s="322" t="str">
        <f t="shared" si="15"/>
        <v>NO</v>
      </c>
    </row>
    <row r="329" spans="20:39" s="102" customFormat="1">
      <c r="X329" s="106"/>
      <c r="Y329" s="107"/>
      <c r="Z329" s="109" t="s">
        <v>1138</v>
      </c>
      <c r="AA329" s="113" t="s">
        <v>1065</v>
      </c>
      <c r="AB329" s="451" t="s">
        <v>1223</v>
      </c>
      <c r="AC329" s="113" t="s">
        <v>321</v>
      </c>
      <c r="AD329" s="388" t="s">
        <v>773</v>
      </c>
      <c r="AE329" s="263" t="s">
        <v>773</v>
      </c>
      <c r="AF329" s="264" t="s">
        <v>773</v>
      </c>
      <c r="AG329" s="245" t="str">
        <f>AG238</f>
        <v>NO</v>
      </c>
      <c r="AH329" s="246" t="str">
        <f>AH238</f>
        <v>YES</v>
      </c>
      <c r="AI329" s="245" t="str">
        <f>AI238</f>
        <v>YES</v>
      </c>
      <c r="AJ329" s="322" t="str">
        <f>AJ238</f>
        <v>YES</v>
      </c>
    </row>
    <row r="330" spans="20:39" s="102" customFormat="1">
      <c r="X330" s="106"/>
      <c r="Y330" s="107"/>
      <c r="Z330" s="109" t="s">
        <v>1129</v>
      </c>
      <c r="AA330" s="113" t="s">
        <v>1065</v>
      </c>
      <c r="AB330" s="107" t="s">
        <v>1224</v>
      </c>
      <c r="AC330" s="113" t="s">
        <v>321</v>
      </c>
      <c r="AD330" s="359" t="str">
        <f t="shared" ref="AD330:AJ330" si="16">AD241</f>
        <v>NA</v>
      </c>
      <c r="AE330" s="188" t="str">
        <f t="shared" si="16"/>
        <v>NA</v>
      </c>
      <c r="AF330" s="189" t="str">
        <f t="shared" si="16"/>
        <v>NO</v>
      </c>
      <c r="AG330" s="188" t="str">
        <f t="shared" si="16"/>
        <v>NO</v>
      </c>
      <c r="AH330" s="189" t="str">
        <f t="shared" si="16"/>
        <v>NO</v>
      </c>
      <c r="AI330" s="188" t="str">
        <f t="shared" si="16"/>
        <v>NO</v>
      </c>
      <c r="AJ330" s="190" t="str">
        <f t="shared" si="16"/>
        <v>NO</v>
      </c>
    </row>
    <row r="331" spans="20:39" s="102" customFormat="1">
      <c r="X331" s="106"/>
      <c r="Y331" s="107"/>
      <c r="Z331" s="109" t="s">
        <v>466</v>
      </c>
      <c r="AA331" s="113" t="s">
        <v>531</v>
      </c>
      <c r="AB331" s="107" t="s">
        <v>1225</v>
      </c>
      <c r="AC331" s="113" t="s">
        <v>321</v>
      </c>
      <c r="AD331" s="388" t="s">
        <v>773</v>
      </c>
      <c r="AE331" s="263" t="s">
        <v>773</v>
      </c>
      <c r="AF331" s="264" t="s">
        <v>773</v>
      </c>
      <c r="AG331" s="245" t="str">
        <f>AG260</f>
        <v>NA</v>
      </c>
      <c r="AH331" s="246" t="str">
        <f>AH260</f>
        <v>NA</v>
      </c>
      <c r="AI331" s="245" t="str">
        <f>AI260</f>
        <v>NA</v>
      </c>
      <c r="AJ331" s="322" t="str">
        <f>AJ260</f>
        <v>NA</v>
      </c>
    </row>
    <row r="332" spans="20:39" s="102" customFormat="1">
      <c r="X332" s="106"/>
      <c r="Y332" s="107"/>
      <c r="Z332" s="109" t="s">
        <v>467</v>
      </c>
      <c r="AA332" s="113" t="s">
        <v>219</v>
      </c>
      <c r="AB332" s="107" t="s">
        <v>1226</v>
      </c>
      <c r="AC332" s="113" t="s">
        <v>321</v>
      </c>
      <c r="AD332" s="388" t="s">
        <v>773</v>
      </c>
      <c r="AE332" s="263" t="s">
        <v>773</v>
      </c>
      <c r="AF332" s="264" t="s">
        <v>773</v>
      </c>
      <c r="AG332" s="195">
        <f>AG320</f>
        <v>0</v>
      </c>
      <c r="AH332" s="196">
        <f>AH320</f>
        <v>0</v>
      </c>
      <c r="AI332" s="195">
        <f>AI320</f>
        <v>0</v>
      </c>
      <c r="AJ332" s="219">
        <f>AJ320</f>
        <v>0</v>
      </c>
    </row>
    <row r="333" spans="20:39" s="102" customFormat="1">
      <c r="X333" s="106"/>
      <c r="Y333" s="107"/>
      <c r="Z333" s="109" t="s">
        <v>473</v>
      </c>
      <c r="AA333" s="113" t="s">
        <v>662</v>
      </c>
      <c r="AB333" s="107" t="s">
        <v>1227</v>
      </c>
      <c r="AC333" s="113" t="s">
        <v>321</v>
      </c>
      <c r="AD333" s="377" t="str">
        <f t="shared" ref="AD333:AJ333" si="17">AD252</f>
        <v>NA</v>
      </c>
      <c r="AE333" s="245" t="str">
        <f t="shared" si="17"/>
        <v>NA</v>
      </c>
      <c r="AF333" s="246" t="str">
        <f t="shared" si="17"/>
        <v>2004</v>
      </c>
      <c r="AG333" s="245">
        <f t="shared" si="17"/>
        <v>2004</v>
      </c>
      <c r="AH333" s="246">
        <f t="shared" si="17"/>
        <v>2000</v>
      </c>
      <c r="AI333" s="245">
        <f t="shared" si="17"/>
        <v>2004</v>
      </c>
      <c r="AJ333" s="322">
        <f t="shared" si="17"/>
        <v>2000</v>
      </c>
    </row>
    <row r="334" spans="20:39" s="102" customFormat="1">
      <c r="X334" s="106"/>
      <c r="Y334" s="107"/>
      <c r="Z334" s="108" t="s">
        <v>1118</v>
      </c>
      <c r="AA334" s="430" t="s">
        <v>354</v>
      </c>
      <c r="AB334" s="108" t="s">
        <v>1228</v>
      </c>
      <c r="AC334" s="430" t="s">
        <v>321</v>
      </c>
      <c r="AD334" s="363" t="str">
        <f t="shared" ref="AD334:AJ334" si="18">AD245</f>
        <v>NA</v>
      </c>
      <c r="AE334" s="195" t="str">
        <f t="shared" si="18"/>
        <v>NA</v>
      </c>
      <c r="AF334" s="196">
        <f t="shared" si="18"/>
        <v>0.68879999999999997</v>
      </c>
      <c r="AG334" s="195">
        <f t="shared" si="18"/>
        <v>0.68879999999999997</v>
      </c>
      <c r="AH334" s="196">
        <f t="shared" si="18"/>
        <v>0.68879999999999997</v>
      </c>
      <c r="AI334" s="195">
        <f t="shared" si="18"/>
        <v>0.68879999999999997</v>
      </c>
      <c r="AJ334" s="219">
        <f t="shared" si="18"/>
        <v>0.68879999999999997</v>
      </c>
    </row>
    <row r="335" spans="20:39" s="102" customFormat="1">
      <c r="X335" s="106"/>
      <c r="Y335" s="107"/>
      <c r="Z335" s="108" t="s">
        <v>110</v>
      </c>
      <c r="AA335" s="430" t="s">
        <v>353</v>
      </c>
      <c r="AB335" s="108" t="s">
        <v>1229</v>
      </c>
      <c r="AC335" s="430" t="s">
        <v>321</v>
      </c>
      <c r="AD335" s="363" t="str">
        <f t="shared" ref="AD335:AJ335" si="19">AD244</f>
        <v>NA</v>
      </c>
      <c r="AE335" s="195" t="str">
        <f t="shared" si="19"/>
        <v>NA</v>
      </c>
      <c r="AF335" s="196">
        <f t="shared" si="19"/>
        <v>8.0299999999999996E-2</v>
      </c>
      <c r="AG335" s="195">
        <f t="shared" si="19"/>
        <v>8.0299999999999996E-2</v>
      </c>
      <c r="AH335" s="196">
        <f t="shared" si="19"/>
        <v>8.0299999999999996E-2</v>
      </c>
      <c r="AI335" s="195">
        <f t="shared" si="19"/>
        <v>8.0299999999999996E-2</v>
      </c>
      <c r="AJ335" s="219">
        <f t="shared" si="19"/>
        <v>8.0299999999999996E-2</v>
      </c>
    </row>
    <row r="336" spans="20:39" s="102" customFormat="1">
      <c r="X336" s="106"/>
      <c r="Y336" s="107"/>
      <c r="Z336" s="108" t="s">
        <v>1121</v>
      </c>
      <c r="AA336" s="430" t="s">
        <v>494</v>
      </c>
      <c r="AB336" s="108" t="s">
        <v>1230</v>
      </c>
      <c r="AC336" s="430" t="s">
        <v>321</v>
      </c>
      <c r="AD336" s="359" t="str">
        <f t="shared" ref="AD336:AJ336" si="20">AD247</f>
        <v>NA</v>
      </c>
      <c r="AE336" s="188" t="str">
        <f t="shared" si="20"/>
        <v>NA</v>
      </c>
      <c r="AF336" s="189">
        <f t="shared" si="20"/>
        <v>20</v>
      </c>
      <c r="AG336" s="188">
        <f t="shared" si="20"/>
        <v>20</v>
      </c>
      <c r="AH336" s="189">
        <f t="shared" si="20"/>
        <v>14</v>
      </c>
      <c r="AI336" s="188">
        <f t="shared" si="20"/>
        <v>20</v>
      </c>
      <c r="AJ336" s="190">
        <f t="shared" si="20"/>
        <v>14</v>
      </c>
    </row>
    <row r="337" spans="21:36" s="102" customFormat="1">
      <c r="X337" s="106"/>
      <c r="Y337" s="107"/>
      <c r="Z337" s="109" t="s">
        <v>1242</v>
      </c>
      <c r="AA337" s="113" t="s">
        <v>531</v>
      </c>
      <c r="AB337" s="107" t="s">
        <v>1231</v>
      </c>
      <c r="AC337" s="113" t="s">
        <v>321</v>
      </c>
      <c r="AD337" s="388" t="s">
        <v>773</v>
      </c>
      <c r="AE337" s="263" t="s">
        <v>773</v>
      </c>
      <c r="AF337" s="264" t="s">
        <v>773</v>
      </c>
      <c r="AG337" s="195" t="str">
        <f>AG259</f>
        <v>NA</v>
      </c>
      <c r="AH337" s="196" t="str">
        <f>AH259</f>
        <v>NA</v>
      </c>
      <c r="AI337" s="195">
        <f>AI259</f>
        <v>70</v>
      </c>
      <c r="AJ337" s="219">
        <f>AJ259</f>
        <v>70</v>
      </c>
    </row>
    <row r="338" spans="21:36" s="102" customFormat="1" ht="12.75">
      <c r="U338" s="127"/>
      <c r="X338" s="2300" t="s">
        <v>479</v>
      </c>
      <c r="Y338" s="2301"/>
      <c r="Z338" s="2301"/>
      <c r="AA338" s="2301"/>
      <c r="AB338" s="1065"/>
      <c r="AC338" s="1065"/>
      <c r="AD338" s="184"/>
      <c r="AE338" s="483"/>
      <c r="AF338" s="186"/>
      <c r="AG338" s="185"/>
      <c r="AH338" s="186"/>
      <c r="AI338" s="185"/>
      <c r="AJ338" s="187"/>
    </row>
    <row r="339" spans="21:36" s="102" customFormat="1">
      <c r="X339" s="445"/>
      <c r="Y339" s="432" t="s">
        <v>320</v>
      </c>
      <c r="Z339" s="109"/>
      <c r="AA339" s="104"/>
      <c r="AB339" s="107"/>
      <c r="AC339" s="107"/>
      <c r="AD339" s="184"/>
      <c r="AE339" s="483"/>
      <c r="AF339" s="186"/>
      <c r="AG339" s="185"/>
      <c r="AH339" s="186"/>
      <c r="AI339" s="185"/>
      <c r="AJ339" s="187"/>
    </row>
    <row r="340" spans="21:36" s="102" customFormat="1">
      <c r="X340" s="106"/>
      <c r="Y340" s="107"/>
      <c r="Z340" s="107" t="s">
        <v>492</v>
      </c>
      <c r="AA340" s="113" t="s">
        <v>937</v>
      </c>
      <c r="AB340" s="113"/>
      <c r="AC340" s="113"/>
      <c r="AD340" s="374"/>
      <c r="AE340" s="235"/>
      <c r="AF340" s="236"/>
      <c r="AG340" s="241">
        <v>1</v>
      </c>
      <c r="AH340" s="242">
        <v>1</v>
      </c>
      <c r="AI340" s="241">
        <v>1</v>
      </c>
      <c r="AJ340" s="256">
        <v>1</v>
      </c>
    </row>
    <row r="341" spans="21:36" s="102" customFormat="1">
      <c r="X341" s="431"/>
      <c r="Y341" s="130" t="s">
        <v>381</v>
      </c>
      <c r="Z341" s="107"/>
      <c r="AA341" s="107"/>
      <c r="AB341" s="107"/>
      <c r="AC341" s="107"/>
      <c r="AD341" s="184"/>
      <c r="AE341" s="185"/>
      <c r="AF341" s="186"/>
      <c r="AG341" s="185"/>
      <c r="AH341" s="186"/>
      <c r="AI341" s="185"/>
      <c r="AJ341" s="187"/>
    </row>
    <row r="342" spans="21:36" s="102" customFormat="1">
      <c r="X342" s="106"/>
      <c r="Y342" s="107"/>
      <c r="Z342" s="109" t="s">
        <v>935</v>
      </c>
      <c r="AA342" s="113" t="s">
        <v>100</v>
      </c>
      <c r="AB342" s="113"/>
      <c r="AC342" s="113"/>
      <c r="AD342" s="379"/>
      <c r="AE342" s="250"/>
      <c r="AF342" s="249"/>
      <c r="AG342" s="257">
        <v>419</v>
      </c>
      <c r="AH342" s="265">
        <v>799</v>
      </c>
      <c r="AI342" s="257">
        <v>419</v>
      </c>
      <c r="AJ342" s="258">
        <v>799</v>
      </c>
    </row>
    <row r="343" spans="21:36" s="102" customFormat="1">
      <c r="X343" s="106"/>
      <c r="Y343" s="107"/>
      <c r="Z343" s="107" t="s">
        <v>493</v>
      </c>
      <c r="AA343" s="113" t="s">
        <v>494</v>
      </c>
      <c r="AB343" s="113"/>
      <c r="AC343" s="113"/>
      <c r="AD343" s="371"/>
      <c r="AE343" s="224"/>
      <c r="AF343" s="225"/>
      <c r="AG343" s="224">
        <f>AG342*AG340*(1.02)^3</f>
        <v>444.64615199999997</v>
      </c>
      <c r="AH343" s="225">
        <f>AH342*AH340*(1.02)^3</f>
        <v>847.90519199999994</v>
      </c>
      <c r="AI343" s="224">
        <f>AI342*AI340*(1.02)^3</f>
        <v>444.64615199999997</v>
      </c>
      <c r="AJ343" s="226">
        <f>AJ342*AJ340*(1.02)^3</f>
        <v>847.90519199999994</v>
      </c>
    </row>
    <row r="344" spans="21:36" s="102" customFormat="1">
      <c r="X344" s="431"/>
      <c r="Y344" s="130" t="s">
        <v>774</v>
      </c>
      <c r="Z344" s="107"/>
      <c r="AA344" s="107"/>
      <c r="AB344" s="107"/>
      <c r="AC344" s="107"/>
      <c r="AD344" s="184"/>
      <c r="AE344" s="483"/>
      <c r="AF344" s="186"/>
      <c r="AG344" s="185"/>
      <c r="AH344" s="186"/>
      <c r="AI344" s="185"/>
      <c r="AJ344" s="187"/>
    </row>
    <row r="345" spans="21:36" s="102" customFormat="1">
      <c r="X345" s="106"/>
      <c r="Y345" s="107"/>
      <c r="Z345" s="109" t="s">
        <v>935</v>
      </c>
      <c r="AA345" s="113" t="s">
        <v>100</v>
      </c>
      <c r="AB345" s="113"/>
      <c r="AC345" s="113"/>
      <c r="AD345" s="379"/>
      <c r="AE345" s="250"/>
      <c r="AF345" s="249"/>
      <c r="AG345" s="324"/>
      <c r="AH345" s="323">
        <f>855.69+115.51</f>
        <v>971.2</v>
      </c>
      <c r="AI345" s="324"/>
      <c r="AJ345" s="325">
        <f>855.69+115.51</f>
        <v>971.2</v>
      </c>
    </row>
    <row r="346" spans="21:36" s="102" customFormat="1">
      <c r="X346" s="120"/>
      <c r="Y346" s="121"/>
      <c r="Z346" s="121" t="s">
        <v>493</v>
      </c>
      <c r="AA346" s="347" t="s">
        <v>494</v>
      </c>
      <c r="AB346" s="113"/>
      <c r="AC346" s="113"/>
      <c r="AD346" s="371"/>
      <c r="AE346" s="224"/>
      <c r="AF346" s="225"/>
      <c r="AG346" s="224" t="str">
        <f>IF(ISNUMBER(AG345), AG340*AG345, "")</f>
        <v/>
      </c>
      <c r="AH346" s="225">
        <f>IF(ISNUMBER(AH345), AH340*AH345, "")</f>
        <v>971.2</v>
      </c>
      <c r="AI346" s="224" t="str">
        <f>IF(ISNUMBER(AI345), AI340*AI345, "")</f>
        <v/>
      </c>
      <c r="AJ346" s="226">
        <f>IF(ISNUMBER(AJ345), AJ340*AJ345, "")</f>
        <v>971.2</v>
      </c>
    </row>
    <row r="347" spans="21:36" s="102" customFormat="1" ht="12.75">
      <c r="U347" s="127"/>
      <c r="X347" s="2300" t="s">
        <v>480</v>
      </c>
      <c r="Y347" s="2301"/>
      <c r="Z347" s="2301"/>
      <c r="AA347" s="2301"/>
      <c r="AB347" s="1065"/>
      <c r="AC347" s="1065"/>
      <c r="AD347" s="184"/>
      <c r="AE347" s="185"/>
      <c r="AF347" s="186"/>
      <c r="AG347" s="185"/>
      <c r="AH347" s="186"/>
      <c r="AI347" s="185"/>
      <c r="AJ347" s="187"/>
    </row>
    <row r="348" spans="21:36" s="102" customFormat="1">
      <c r="X348" s="445"/>
      <c r="Y348" s="432" t="s">
        <v>774</v>
      </c>
      <c r="Z348" s="104"/>
      <c r="AA348" s="104"/>
      <c r="AB348" s="107"/>
      <c r="AC348" s="107"/>
      <c r="AD348" s="184"/>
      <c r="AE348" s="185"/>
      <c r="AF348" s="186"/>
      <c r="AG348" s="185"/>
      <c r="AH348" s="186"/>
      <c r="AI348" s="185"/>
      <c r="AJ348" s="187"/>
    </row>
    <row r="349" spans="21:36" s="102" customFormat="1">
      <c r="X349" s="431"/>
      <c r="Y349" s="107"/>
      <c r="Z349" s="109" t="s">
        <v>902</v>
      </c>
      <c r="AA349" s="113" t="s">
        <v>297</v>
      </c>
      <c r="AB349" s="113"/>
      <c r="AC349" s="113"/>
      <c r="AD349" s="370"/>
      <c r="AE349" s="220"/>
      <c r="AF349" s="221"/>
      <c r="AG349" s="253">
        <v>11</v>
      </c>
      <c r="AH349" s="280">
        <v>11</v>
      </c>
      <c r="AI349" s="253">
        <v>11</v>
      </c>
      <c r="AJ349" s="327">
        <v>11</v>
      </c>
    </row>
    <row r="350" spans="21:36" s="102" customFormat="1">
      <c r="X350" s="431"/>
      <c r="Y350" s="130" t="s">
        <v>1031</v>
      </c>
      <c r="Z350" s="107"/>
      <c r="AA350" s="107"/>
      <c r="AB350" s="107"/>
      <c r="AC350" s="107"/>
      <c r="AD350" s="184"/>
      <c r="AE350" s="483"/>
      <c r="AF350" s="186"/>
      <c r="AG350" s="185"/>
      <c r="AH350" s="186"/>
      <c r="AI350" s="185"/>
      <c r="AJ350" s="187"/>
    </row>
    <row r="351" spans="21:36" s="102" customFormat="1">
      <c r="X351" s="446"/>
      <c r="Y351" s="121"/>
      <c r="Z351" s="125" t="s">
        <v>902</v>
      </c>
      <c r="AA351" s="347" t="s">
        <v>297</v>
      </c>
      <c r="AB351" s="347"/>
      <c r="AC351" s="347"/>
      <c r="AD351" s="384"/>
      <c r="AE351" s="354"/>
      <c r="AF351" s="352"/>
      <c r="AG351" s="340">
        <v>10</v>
      </c>
      <c r="AH351" s="341">
        <v>10</v>
      </c>
      <c r="AI351" s="340">
        <v>10</v>
      </c>
      <c r="AJ351" s="342">
        <v>10</v>
      </c>
    </row>
    <row r="352" spans="21:36" s="102" customFormat="1">
      <c r="X352" s="12" t="s">
        <v>463</v>
      </c>
      <c r="Y352" s="116"/>
      <c r="AA352" s="118"/>
      <c r="AB352" s="118"/>
      <c r="AC352" s="118"/>
      <c r="AD352" s="1067"/>
      <c r="AE352" s="1067"/>
      <c r="AF352" s="1067"/>
      <c r="AG352" s="1067"/>
      <c r="AH352" s="1067"/>
    </row>
    <row r="353" spans="21:39" s="102" customFormat="1">
      <c r="X353" s="12" t="s">
        <v>593</v>
      </c>
      <c r="Y353" s="116"/>
      <c r="AA353" s="118"/>
      <c r="AB353" s="118"/>
      <c r="AC353" s="118"/>
      <c r="AD353" s="1067"/>
      <c r="AE353" s="1067"/>
      <c r="AF353" s="1067"/>
      <c r="AG353" s="1067"/>
      <c r="AJ353" s="118"/>
    </row>
    <row r="354" spans="21:39" s="102" customFormat="1">
      <c r="X354" s="12"/>
      <c r="Y354" s="116"/>
      <c r="AA354" s="118"/>
      <c r="AB354" s="118"/>
      <c r="AC354" s="118"/>
      <c r="AD354" s="1067"/>
      <c r="AE354" s="1067"/>
      <c r="AF354" s="1067"/>
      <c r="AG354" s="1067"/>
      <c r="AJ354" s="118"/>
    </row>
    <row r="355" spans="21:39" s="102" customFormat="1">
      <c r="X355" s="12"/>
      <c r="Y355" s="116"/>
      <c r="AA355" s="118"/>
      <c r="AB355" s="118"/>
      <c r="AC355" s="118"/>
      <c r="AD355" s="1067"/>
      <c r="AE355" s="1067"/>
      <c r="AF355" s="1067"/>
      <c r="AG355" s="1067"/>
      <c r="AJ355" s="118"/>
    </row>
    <row r="356" spans="21:39" s="102" customFormat="1" ht="12.75">
      <c r="X356" s="101"/>
      <c r="Y356" s="101"/>
      <c r="Z356" s="101"/>
      <c r="AA356" s="99"/>
      <c r="AB356" s="99"/>
      <c r="AC356" s="99"/>
      <c r="AD356" s="1067"/>
      <c r="AE356" s="1067"/>
      <c r="AF356" s="1067"/>
      <c r="AG356" s="1067"/>
      <c r="AH356" s="116"/>
      <c r="AI356" s="116"/>
    </row>
    <row r="357" spans="21:39" s="102" customFormat="1" ht="18">
      <c r="U357" s="127"/>
      <c r="V357" s="2305" t="s">
        <v>1017</v>
      </c>
      <c r="W357" s="2305"/>
      <c r="X357" s="2305"/>
      <c r="Y357" s="2305"/>
      <c r="Z357" s="2305"/>
      <c r="AA357" s="2305"/>
      <c r="AB357" s="1066"/>
      <c r="AC357" s="1066"/>
      <c r="AD357" s="150"/>
      <c r="AE357" s="2337"/>
      <c r="AF357" s="2337"/>
      <c r="AG357" s="2337"/>
      <c r="AH357" s="2337"/>
      <c r="AM357" s="127"/>
    </row>
    <row r="358" spans="21:39" s="102" customFormat="1" ht="15.75">
      <c r="U358" s="127"/>
      <c r="V358" s="100"/>
      <c r="W358" s="127"/>
      <c r="X358" s="127"/>
      <c r="Y358" s="101"/>
      <c r="Z358" s="101"/>
      <c r="AA358" s="1067"/>
      <c r="AB358" s="1067"/>
      <c r="AC358" s="1067"/>
      <c r="AD358" s="116"/>
      <c r="AE358" s="116"/>
      <c r="AF358" s="1067"/>
      <c r="AG358" s="1067"/>
      <c r="AM358" s="127"/>
    </row>
    <row r="359" spans="21:39" s="102" customFormat="1" ht="15.75">
      <c r="U359" s="127"/>
      <c r="V359" s="100"/>
      <c r="W359" s="2302" t="s">
        <v>422</v>
      </c>
      <c r="X359" s="2303"/>
      <c r="Y359" s="2303"/>
      <c r="Z359" s="2303"/>
      <c r="AA359" s="2303"/>
      <c r="AB359" s="116"/>
      <c r="AC359" s="126"/>
      <c r="AD359" s="101"/>
      <c r="AE359" s="116"/>
      <c r="AF359" s="1067"/>
      <c r="AG359" s="1067"/>
      <c r="AM359" s="127"/>
    </row>
    <row r="360" spans="21:39" s="102" customFormat="1" ht="12.75">
      <c r="U360" s="127"/>
      <c r="V360" s="1068"/>
      <c r="W360" s="127"/>
      <c r="X360" s="2331" t="s">
        <v>320</v>
      </c>
      <c r="Y360" s="2332"/>
      <c r="Z360" s="2332"/>
      <c r="AA360" s="2332"/>
      <c r="AB360" s="151"/>
      <c r="AC360" s="126"/>
      <c r="AD360" s="101"/>
      <c r="AE360" s="1067"/>
      <c r="AF360" s="1067"/>
      <c r="AG360" s="1067"/>
      <c r="AM360" s="127"/>
    </row>
    <row r="361" spans="21:39" s="102" customFormat="1" ht="12.75">
      <c r="X361" s="103"/>
      <c r="Y361" s="104"/>
      <c r="Z361" s="104" t="s">
        <v>384</v>
      </c>
      <c r="AA361" s="105" t="s">
        <v>190</v>
      </c>
      <c r="AB361" s="382" t="s">
        <v>191</v>
      </c>
      <c r="AC361" s="126"/>
      <c r="AD361" s="101"/>
      <c r="AE361" s="154"/>
      <c r="AF361" s="154"/>
      <c r="AG361" s="154"/>
    </row>
    <row r="362" spans="21:39" s="102" customFormat="1">
      <c r="X362" s="106"/>
      <c r="Y362" s="107"/>
      <c r="Z362" s="108" t="s">
        <v>385</v>
      </c>
      <c r="AA362" s="111"/>
      <c r="AB362" s="357"/>
      <c r="AC362" s="126"/>
      <c r="AD362" s="1067"/>
      <c r="AE362" s="152"/>
      <c r="AF362" s="152"/>
      <c r="AG362" s="152"/>
    </row>
    <row r="363" spans="21:39" s="102" customFormat="1">
      <c r="X363" s="106"/>
      <c r="Y363" s="107"/>
      <c r="Z363" s="108" t="s">
        <v>296</v>
      </c>
      <c r="AA363" s="111"/>
      <c r="AB363" s="381" t="s">
        <v>640</v>
      </c>
      <c r="AC363" s="126" t="s">
        <v>321</v>
      </c>
      <c r="AD363" s="1067"/>
      <c r="AE363" s="126" t="s">
        <v>321</v>
      </c>
      <c r="AF363" s="126"/>
      <c r="AG363" s="126"/>
    </row>
    <row r="364" spans="21:39" s="102" customFormat="1">
      <c r="X364" s="106"/>
      <c r="Y364" s="107"/>
      <c r="Z364" s="108" t="s">
        <v>1303</v>
      </c>
      <c r="AA364" s="111" t="s">
        <v>1064</v>
      </c>
      <c r="AB364" s="383" t="b">
        <v>0</v>
      </c>
      <c r="AC364" s="126"/>
      <c r="AD364" s="1067"/>
      <c r="AE364" s="126"/>
      <c r="AF364" s="126"/>
      <c r="AG364" s="126"/>
    </row>
    <row r="365" spans="21:39" s="102" customFormat="1">
      <c r="X365" s="106"/>
      <c r="Y365" s="107"/>
      <c r="Z365" s="108" t="s">
        <v>355</v>
      </c>
      <c r="AA365" s="111"/>
      <c r="AB365" s="361">
        <v>1</v>
      </c>
      <c r="AC365" s="126"/>
      <c r="AD365" s="1067"/>
      <c r="AE365" s="152"/>
      <c r="AF365" s="152"/>
      <c r="AG365" s="152"/>
      <c r="AH365" s="152"/>
      <c r="AI365" s="152"/>
      <c r="AJ365" s="152"/>
    </row>
    <row r="366" spans="21:39" s="102" customFormat="1">
      <c r="X366" s="120"/>
      <c r="Y366" s="121"/>
      <c r="Z366" s="110" t="s">
        <v>1099</v>
      </c>
      <c r="AA366" s="46"/>
      <c r="AB366" s="361" t="b">
        <v>1</v>
      </c>
      <c r="AC366" s="126"/>
      <c r="AE366" s="152"/>
      <c r="AF366" s="152"/>
      <c r="AG366" s="152"/>
      <c r="AH366" s="152"/>
      <c r="AI366" s="152"/>
      <c r="AJ366" s="152"/>
    </row>
    <row r="367" spans="21:39" s="102" customFormat="1" ht="12.75">
      <c r="U367" s="127"/>
      <c r="W367" s="127"/>
      <c r="X367" s="2333" t="s">
        <v>325</v>
      </c>
      <c r="Y367" s="2334"/>
      <c r="Z367" s="2334"/>
      <c r="AA367" s="2334"/>
      <c r="AB367" s="147"/>
      <c r="AC367" s="126"/>
      <c r="AE367" s="1067"/>
      <c r="AF367" s="1067"/>
      <c r="AG367" s="1067"/>
      <c r="AM367" s="127"/>
    </row>
    <row r="368" spans="21:39" s="102" customFormat="1">
      <c r="X368" s="114"/>
      <c r="Y368" s="115"/>
      <c r="Z368" s="148" t="str">
        <f>NewConst!$C$26</f>
        <v>Number of Bedrooms (6 maximum)</v>
      </c>
      <c r="AA368" s="343" t="str">
        <f>NewConst!$D$26</f>
        <v>#</v>
      </c>
      <c r="AB368" s="141">
        <f>N_br</f>
        <v>3</v>
      </c>
      <c r="AC368" s="126"/>
      <c r="AE368" s="1067"/>
      <c r="AF368" s="1067"/>
      <c r="AG368" s="1067"/>
    </row>
    <row r="369" spans="20:39" s="102" customFormat="1" ht="12.75">
      <c r="U369" s="127"/>
      <c r="W369" s="127"/>
      <c r="X369" s="2333" t="s">
        <v>324</v>
      </c>
      <c r="Y369" s="2334"/>
      <c r="Z369" s="2334"/>
      <c r="AA369" s="2334"/>
      <c r="AB369" s="147"/>
      <c r="AC369" s="126"/>
      <c r="AE369" s="1067"/>
      <c r="AF369" s="1067"/>
      <c r="AG369" s="1067"/>
      <c r="AM369" s="127"/>
    </row>
    <row r="370" spans="20:39" s="102" customFormat="1">
      <c r="X370" s="103"/>
      <c r="Y370" s="104"/>
      <c r="Z370" s="128" t="s">
        <v>6309</v>
      </c>
      <c r="AA370" s="129" t="s">
        <v>6310</v>
      </c>
      <c r="AB370" s="141">
        <f>AB215</f>
        <v>373.39868155778845</v>
      </c>
      <c r="AC370" s="126"/>
      <c r="AE370" s="1067"/>
      <c r="AF370" s="1067"/>
      <c r="AG370" s="1067"/>
    </row>
    <row r="371" spans="20:39" s="102" customFormat="1">
      <c r="X371" s="106"/>
      <c r="Y371" s="107"/>
      <c r="Z371" s="109" t="s">
        <v>578</v>
      </c>
      <c r="AA371" s="111"/>
      <c r="AB371" s="583">
        <v>0.84</v>
      </c>
      <c r="AC371" s="126"/>
      <c r="AE371" s="1224"/>
      <c r="AF371" s="1224"/>
      <c r="AG371" s="1224"/>
    </row>
    <row r="372" spans="20:39" s="102" customFormat="1">
      <c r="X372" s="106"/>
      <c r="Y372" s="107"/>
      <c r="Z372" s="109" t="s">
        <v>6315</v>
      </c>
      <c r="AA372" s="129" t="s">
        <v>6310</v>
      </c>
      <c r="AB372" s="583">
        <f>AB371*AB370</f>
        <v>313.65489250854228</v>
      </c>
      <c r="AC372" s="126"/>
      <c r="AE372" s="1224"/>
      <c r="AF372" s="1224"/>
      <c r="AG372" s="1224"/>
    </row>
    <row r="373" spans="20:39" s="102" customFormat="1" ht="12.75">
      <c r="T373" s="127"/>
      <c r="X373" s="106"/>
      <c r="Y373" s="107"/>
      <c r="Z373" s="109" t="e">
        <f>NewConst!#REF!</f>
        <v>#REF!</v>
      </c>
      <c r="AA373" s="111" t="e">
        <f>NewConst!#REF!</f>
        <v>#REF!</v>
      </c>
      <c r="AB373" s="583" t="e">
        <f>NewConst!#REF!</f>
        <v>#REF!</v>
      </c>
      <c r="AC373" s="126"/>
      <c r="AE373" s="1067"/>
      <c r="AF373" s="1067"/>
      <c r="AG373" s="1067"/>
    </row>
    <row r="374" spans="20:39" s="102" customFormat="1">
      <c r="X374" s="106"/>
      <c r="Y374" s="133"/>
      <c r="Z374" s="107" t="s">
        <v>632</v>
      </c>
      <c r="AA374" s="113" t="s">
        <v>632</v>
      </c>
      <c r="AB374" s="143">
        <v>3.4119999999999999</v>
      </c>
      <c r="AC374" s="126"/>
      <c r="AD374" s="1067"/>
      <c r="AE374" s="1067"/>
      <c r="AF374" s="1067"/>
    </row>
    <row r="375" spans="20:39" s="102" customFormat="1">
      <c r="X375" s="106"/>
      <c r="Y375" s="133"/>
      <c r="Z375" s="107" t="s">
        <v>633</v>
      </c>
      <c r="AA375" s="113" t="s">
        <v>633</v>
      </c>
      <c r="AB375" s="143">
        <v>1000</v>
      </c>
      <c r="AC375" s="126"/>
      <c r="AE375" s="1067"/>
    </row>
    <row r="376" spans="20:39" s="102" customFormat="1">
      <c r="X376" s="106"/>
      <c r="Y376" s="133"/>
      <c r="Z376" s="107" t="s">
        <v>634</v>
      </c>
      <c r="AA376" s="113" t="s">
        <v>634</v>
      </c>
      <c r="AB376" s="143">
        <v>100000</v>
      </c>
      <c r="AC376" s="126"/>
      <c r="AD376" s="1067"/>
      <c r="AE376" s="1067"/>
    </row>
    <row r="377" spans="20:39" s="102" customFormat="1">
      <c r="X377" s="106"/>
      <c r="Y377" s="130" t="s">
        <v>1000</v>
      </c>
      <c r="Z377" s="133"/>
      <c r="AA377" s="109"/>
      <c r="AB377" s="584"/>
      <c r="AC377" s="126"/>
      <c r="AE377" s="1067"/>
    </row>
    <row r="378" spans="20:39" s="102" customFormat="1">
      <c r="X378" s="106"/>
      <c r="Y378" s="107"/>
      <c r="Z378" s="107" t="s">
        <v>914</v>
      </c>
      <c r="AA378" s="109"/>
      <c r="AB378" s="143">
        <v>0.52</v>
      </c>
      <c r="AC378" s="126"/>
      <c r="AF378" s="1067"/>
    </row>
    <row r="379" spans="20:39" s="102" customFormat="1">
      <c r="X379" s="106"/>
      <c r="Y379" s="107"/>
      <c r="Z379" s="107" t="s">
        <v>142</v>
      </c>
      <c r="AA379" s="111" t="s">
        <v>998</v>
      </c>
      <c r="AB379" s="143">
        <v>0.5</v>
      </c>
      <c r="AC379" s="126"/>
      <c r="AE379" s="1067"/>
      <c r="AF379" s="1067"/>
    </row>
    <row r="380" spans="20:39" s="102" customFormat="1">
      <c r="X380" s="106"/>
      <c r="Y380" s="107"/>
      <c r="Z380" s="107" t="s">
        <v>959</v>
      </c>
      <c r="AA380" s="111" t="s">
        <v>54</v>
      </c>
      <c r="AB380" s="585">
        <v>392</v>
      </c>
      <c r="AC380" s="126"/>
      <c r="AE380" s="1067"/>
      <c r="AF380" s="1067"/>
    </row>
    <row r="381" spans="20:39" s="102" customFormat="1">
      <c r="X381" s="106"/>
      <c r="Y381" s="107"/>
      <c r="Z381" s="107" t="s">
        <v>578</v>
      </c>
      <c r="AA381" s="109"/>
      <c r="AB381" s="143">
        <v>0.84</v>
      </c>
      <c r="AC381" s="126"/>
      <c r="AE381" s="1067"/>
      <c r="AF381" s="1067"/>
    </row>
    <row r="382" spans="20:39" s="102" customFormat="1" ht="12.75">
      <c r="T382" s="127"/>
      <c r="X382" s="106"/>
      <c r="Y382" s="107"/>
      <c r="Z382" s="564" t="s">
        <v>440</v>
      </c>
      <c r="AA382" s="111" t="s">
        <v>877</v>
      </c>
      <c r="AB382" s="586">
        <v>0.66</v>
      </c>
      <c r="AC382" s="126"/>
      <c r="AE382" s="1067"/>
      <c r="AF382" s="1067"/>
    </row>
    <row r="383" spans="20:39" s="102" customFormat="1">
      <c r="X383" s="106"/>
      <c r="Y383" s="130" t="s">
        <v>933</v>
      </c>
      <c r="Z383" s="107"/>
      <c r="AA383" s="109"/>
      <c r="AB383" s="581"/>
      <c r="AC383" s="126"/>
      <c r="AE383" s="1067"/>
      <c r="AF383" s="1067"/>
    </row>
    <row r="384" spans="20:39" s="102" customFormat="1">
      <c r="X384" s="106"/>
      <c r="Y384" s="130"/>
      <c r="Z384" s="107" t="str">
        <f>NewConst!$C$276</f>
        <v>Assumed gas-electric total energy split (electrical energy/gas energy)</v>
      </c>
      <c r="AA384" s="111" t="str">
        <f>NewConst!$D$276</f>
        <v>%</v>
      </c>
      <c r="AB384" s="587">
        <f>NewConst!$F$276</f>
        <v>7.0000000000000007E-2</v>
      </c>
      <c r="AC384" s="126"/>
      <c r="AE384" s="1067"/>
      <c r="AF384" s="1067"/>
    </row>
    <row r="385" spans="20:39" s="102" customFormat="1">
      <c r="X385" s="120"/>
      <c r="Y385" s="136"/>
      <c r="Z385" s="567" t="s">
        <v>439</v>
      </c>
      <c r="AA385" s="46" t="s">
        <v>635</v>
      </c>
      <c r="AB385" s="582">
        <v>1025</v>
      </c>
      <c r="AC385" s="126"/>
      <c r="AE385" s="1067"/>
      <c r="AF385" s="1067"/>
    </row>
    <row r="386" spans="20:39" s="102" customFormat="1" ht="15.75">
      <c r="U386" s="127"/>
      <c r="V386" s="100"/>
      <c r="W386" s="127"/>
      <c r="X386" s="127"/>
      <c r="Y386" s="101"/>
      <c r="Z386" s="101"/>
      <c r="AA386" s="99"/>
      <c r="AB386" s="99"/>
      <c r="AC386" s="99"/>
      <c r="AD386" s="1067"/>
      <c r="AE386" s="1067">
        <f>418+139*2</f>
        <v>696</v>
      </c>
      <c r="AF386" s="1067"/>
      <c r="AG386" s="1067"/>
    </row>
    <row r="387" spans="20:39" s="102" customFormat="1" ht="15.75">
      <c r="U387" s="127"/>
      <c r="V387" s="100"/>
      <c r="W387" s="2306" t="s">
        <v>322</v>
      </c>
      <c r="X387" s="2307"/>
      <c r="Y387" s="2307"/>
      <c r="Z387" s="2307"/>
      <c r="AA387" s="574" t="s">
        <v>550</v>
      </c>
      <c r="AB387" s="574" t="s">
        <v>548</v>
      </c>
      <c r="AC387" s="575" t="s">
        <v>549</v>
      </c>
      <c r="AD387" s="153"/>
      <c r="AE387" s="153"/>
      <c r="AF387" s="153"/>
      <c r="AG387" s="1067"/>
    </row>
    <row r="388" spans="20:39" s="102" customFormat="1" ht="12.75">
      <c r="U388" s="127"/>
      <c r="V388" s="127"/>
      <c r="W388" s="127"/>
      <c r="X388" s="2300" t="s">
        <v>320</v>
      </c>
      <c r="Y388" s="2301"/>
      <c r="Z388" s="2301"/>
      <c r="AA388" s="2301"/>
      <c r="AB388" s="1065"/>
      <c r="AC388" s="1065"/>
      <c r="AD388" s="1334"/>
      <c r="AE388" s="1335"/>
      <c r="AF388" s="1352"/>
      <c r="AG388" s="1335"/>
      <c r="AH388" s="178"/>
      <c r="AI388" s="177"/>
      <c r="AJ388" s="1352"/>
      <c r="AK388" s="1335"/>
      <c r="AL388" s="1448"/>
    </row>
    <row r="389" spans="20:39" s="102" customFormat="1">
      <c r="X389" s="106"/>
      <c r="Y389" s="107"/>
      <c r="Z389" s="108" t="s">
        <v>459</v>
      </c>
      <c r="AA389" s="111" t="s">
        <v>4779</v>
      </c>
      <c r="AB389" s="111"/>
      <c r="AC389" s="111"/>
      <c r="AD389" s="1336" t="s">
        <v>1056</v>
      </c>
      <c r="AE389" s="1337" t="s">
        <v>1056</v>
      </c>
      <c r="AF389" s="1353" t="s">
        <v>48</v>
      </c>
      <c r="AG389" s="1337" t="s">
        <v>48</v>
      </c>
      <c r="AH389" s="182" t="s">
        <v>4745</v>
      </c>
      <c r="AI389" s="181" t="s">
        <v>4745</v>
      </c>
      <c r="AJ389" s="1353" t="s">
        <v>563</v>
      </c>
      <c r="AK389" s="1337" t="s">
        <v>563</v>
      </c>
      <c r="AL389" s="1449" t="s">
        <v>563</v>
      </c>
    </row>
    <row r="390" spans="20:39" s="102" customFormat="1" ht="33.75">
      <c r="U390" s="132"/>
      <c r="V390" s="132"/>
      <c r="W390" s="132"/>
      <c r="X390" s="429"/>
      <c r="Y390" s="108"/>
      <c r="Z390" s="108" t="s">
        <v>458</v>
      </c>
      <c r="AA390" s="430"/>
      <c r="AB390" s="430"/>
      <c r="AC390" s="430"/>
      <c r="AD390" s="1504" t="str">
        <f>"FollowsVar=" &amp; Z414 &amp; "=Cannot have electric and gas options selected."</f>
        <v>FollowsVar=ClothesDryerFuelType=Cannot have electric and gas options selected.</v>
      </c>
      <c r="AE390" s="1505" t="str">
        <f>"FollowsVar=" &amp; Z414 &amp; "=Cannot have electric and gas options selected."</f>
        <v>FollowsVar=ClothesDryerFuelType=Cannot have electric and gas options selected.</v>
      </c>
      <c r="AF390" s="1488" t="s">
        <v>739</v>
      </c>
      <c r="AG390" s="1489" t="s">
        <v>739</v>
      </c>
      <c r="AH390" s="206" t="s">
        <v>4771</v>
      </c>
      <c r="AI390" s="281" t="s">
        <v>4772</v>
      </c>
      <c r="AJ390" s="1354" t="s">
        <v>1151</v>
      </c>
      <c r="AK390" s="1338" t="s">
        <v>464</v>
      </c>
      <c r="AL390" s="1450" t="s">
        <v>997</v>
      </c>
    </row>
    <row r="391" spans="20:39" s="102" customFormat="1">
      <c r="X391" s="106"/>
      <c r="Y391" s="107"/>
      <c r="Z391" s="108" t="s">
        <v>645</v>
      </c>
      <c r="AA391" s="111" t="s">
        <v>756</v>
      </c>
      <c r="AB391" s="111"/>
      <c r="AC391" s="111"/>
      <c r="AD391" s="1506"/>
      <c r="AE391" s="1452"/>
      <c r="AF391" s="1451"/>
      <c r="AG391" s="1452"/>
      <c r="AH391" s="230">
        <f t="shared" ref="AH391:AK392" si="21">AH399</f>
        <v>5.7</v>
      </c>
      <c r="AI391" s="229">
        <f t="shared" si="21"/>
        <v>5.7</v>
      </c>
      <c r="AJ391" s="1451">
        <f t="shared" si="21"/>
        <v>5.7</v>
      </c>
      <c r="AK391" s="1452">
        <f t="shared" si="21"/>
        <v>5.7</v>
      </c>
      <c r="AL391" s="1449" t="s">
        <v>773</v>
      </c>
    </row>
    <row r="392" spans="20:39" s="101" customFormat="1" ht="12.75">
      <c r="T392" s="127"/>
      <c r="U392" s="102"/>
      <c r="V392" s="102"/>
      <c r="W392" s="102"/>
      <c r="X392" s="106"/>
      <c r="Y392" s="107"/>
      <c r="Z392" s="108" t="s">
        <v>1112</v>
      </c>
      <c r="AA392" s="111" t="s">
        <v>1169</v>
      </c>
      <c r="AB392" s="111"/>
      <c r="AC392" s="111"/>
      <c r="AD392" s="1506"/>
      <c r="AE392" s="1452"/>
      <c r="AF392" s="1451"/>
      <c r="AG392" s="1452"/>
      <c r="AH392" s="230">
        <f t="shared" si="21"/>
        <v>3.1</v>
      </c>
      <c r="AI392" s="229">
        <f t="shared" si="21"/>
        <v>2.75</v>
      </c>
      <c r="AJ392" s="1451">
        <f t="shared" si="21"/>
        <v>3.1</v>
      </c>
      <c r="AK392" s="1452">
        <f t="shared" si="21"/>
        <v>2.75</v>
      </c>
      <c r="AL392" s="1449" t="s">
        <v>773</v>
      </c>
      <c r="AM392" s="102"/>
    </row>
    <row r="393" spans="20:39" s="101" customFormat="1" ht="12.75">
      <c r="T393" s="127"/>
      <c r="U393" s="102"/>
      <c r="V393" s="102"/>
      <c r="W393" s="102"/>
      <c r="X393" s="106"/>
      <c r="Y393" s="107"/>
      <c r="Z393" s="108" t="s">
        <v>1113</v>
      </c>
      <c r="AA393" s="111" t="s">
        <v>1267</v>
      </c>
      <c r="AB393" s="111"/>
      <c r="AC393" s="111"/>
      <c r="AD393" s="1507"/>
      <c r="AE393" s="1454"/>
      <c r="AF393" s="1453"/>
      <c r="AG393" s="1454"/>
      <c r="AH393" s="198">
        <f>AH406</f>
        <v>2.258064516129032</v>
      </c>
      <c r="AI393" s="197">
        <f>AI406</f>
        <v>2.5454545454545454</v>
      </c>
      <c r="AJ393" s="1453">
        <f>AJ406</f>
        <v>2.258064516129032</v>
      </c>
      <c r="AK393" s="1454">
        <f>AK406</f>
        <v>2.5454545454545454</v>
      </c>
      <c r="AL393" s="1455" t="s">
        <v>773</v>
      </c>
      <c r="AM393" s="102"/>
    </row>
    <row r="394" spans="20:39" s="101" customFormat="1" ht="12.75">
      <c r="T394" s="127"/>
      <c r="U394" s="102"/>
      <c r="V394" s="102"/>
      <c r="W394" s="102"/>
      <c r="X394" s="106"/>
      <c r="Y394" s="130" t="s">
        <v>542</v>
      </c>
      <c r="Z394" s="108"/>
      <c r="AA394" s="111"/>
      <c r="AB394" s="111"/>
      <c r="AC394" s="111"/>
      <c r="AD394" s="1508"/>
      <c r="AE394" s="1457"/>
      <c r="AF394" s="1456"/>
      <c r="AG394" s="1457"/>
      <c r="AH394" s="192"/>
      <c r="AI394" s="191"/>
      <c r="AJ394" s="1456"/>
      <c r="AK394" s="1457"/>
      <c r="AL394" s="1458"/>
      <c r="AM394" s="102"/>
    </row>
    <row r="395" spans="20:39" s="101" customFormat="1" ht="12.75">
      <c r="T395" s="127"/>
      <c r="U395" s="132"/>
      <c r="V395" s="132"/>
      <c r="W395" s="132"/>
      <c r="X395" s="429"/>
      <c r="Y395" s="108"/>
      <c r="Z395" s="108" t="s">
        <v>486</v>
      </c>
      <c r="AA395" s="430"/>
      <c r="AB395" s="430"/>
      <c r="AC395" s="430"/>
      <c r="AD395" s="1509" t="s">
        <v>773</v>
      </c>
      <c r="AE395" s="1343" t="s">
        <v>773</v>
      </c>
      <c r="AF395" s="1459" t="s">
        <v>773</v>
      </c>
      <c r="AG395" s="1343" t="s">
        <v>773</v>
      </c>
      <c r="AH395" s="233" t="s">
        <v>773</v>
      </c>
      <c r="AI395" s="232" t="s">
        <v>773</v>
      </c>
      <c r="AJ395" s="1459" t="s">
        <v>57</v>
      </c>
      <c r="AK395" s="1343" t="s">
        <v>57</v>
      </c>
      <c r="AL395" s="1460" t="s">
        <v>15</v>
      </c>
      <c r="AM395" s="102"/>
    </row>
    <row r="396" spans="20:39" s="101" customFormat="1" ht="12.75">
      <c r="T396" s="102"/>
      <c r="U396" s="132"/>
      <c r="V396" s="132"/>
      <c r="W396" s="132"/>
      <c r="X396" s="429"/>
      <c r="Y396" s="108"/>
      <c r="Z396" s="108" t="s">
        <v>527</v>
      </c>
      <c r="AA396" s="430"/>
      <c r="AB396" s="430"/>
      <c r="AC396" s="430"/>
      <c r="AD396" s="1509" t="s">
        <v>773</v>
      </c>
      <c r="AE396" s="1343" t="s">
        <v>773</v>
      </c>
      <c r="AF396" s="1459" t="s">
        <v>773</v>
      </c>
      <c r="AG396" s="1343" t="s">
        <v>773</v>
      </c>
      <c r="AH396" s="233" t="s">
        <v>773</v>
      </c>
      <c r="AI396" s="232" t="s">
        <v>773</v>
      </c>
      <c r="AJ396" s="1459" t="s">
        <v>371</v>
      </c>
      <c r="AK396" s="1343" t="s">
        <v>372</v>
      </c>
      <c r="AL396" s="1460" t="s">
        <v>773</v>
      </c>
      <c r="AM396" s="102"/>
    </row>
    <row r="397" spans="20:39" s="127" customFormat="1" ht="12.75">
      <c r="T397" s="102"/>
      <c r="U397" s="132"/>
      <c r="V397" s="132"/>
      <c r="W397" s="132"/>
      <c r="X397" s="429"/>
      <c r="Y397" s="435" t="s">
        <v>7</v>
      </c>
      <c r="Z397" s="108"/>
      <c r="AA397" s="430"/>
      <c r="AB397" s="430"/>
      <c r="AC397" s="430"/>
      <c r="AD397" s="1510"/>
      <c r="AE397" s="1462"/>
      <c r="AF397" s="1461"/>
      <c r="AG397" s="1462"/>
      <c r="AH397" s="283"/>
      <c r="AI397" s="282"/>
      <c r="AJ397" s="1461"/>
      <c r="AK397" s="1462"/>
      <c r="AL397" s="1463"/>
      <c r="AM397" s="102"/>
    </row>
    <row r="398" spans="20:39" s="127" customFormat="1" ht="12.75">
      <c r="T398" s="102"/>
      <c r="U398" s="132"/>
      <c r="V398" s="132"/>
      <c r="W398" s="132"/>
      <c r="X398" s="429"/>
      <c r="Y398" s="108"/>
      <c r="Z398" s="428" t="s">
        <v>438</v>
      </c>
      <c r="AA398" s="430" t="s">
        <v>1065</v>
      </c>
      <c r="AB398" s="430"/>
      <c r="AC398" s="430"/>
      <c r="AD398" s="1509" t="s">
        <v>773</v>
      </c>
      <c r="AE398" s="1343" t="s">
        <v>773</v>
      </c>
      <c r="AF398" s="1459" t="s">
        <v>773</v>
      </c>
      <c r="AG398" s="1343" t="s">
        <v>773</v>
      </c>
      <c r="AH398" s="284" t="str">
        <f>NewConst!F274</f>
        <v>NO</v>
      </c>
      <c r="AI398" s="285" t="str">
        <f>NewConst!F274</f>
        <v>NO</v>
      </c>
      <c r="AJ398" s="1459" t="s">
        <v>671</v>
      </c>
      <c r="AK398" s="1343" t="s">
        <v>671</v>
      </c>
      <c r="AL398" s="1460" t="s">
        <v>671</v>
      </c>
      <c r="AM398" s="102"/>
    </row>
    <row r="399" spans="20:39" s="127" customFormat="1" ht="12.75">
      <c r="T399" s="102"/>
      <c r="U399" s="132"/>
      <c r="V399" s="132"/>
      <c r="W399" s="132"/>
      <c r="X399" s="429"/>
      <c r="Y399" s="108"/>
      <c r="Z399" s="108" t="s">
        <v>532</v>
      </c>
      <c r="AA399" s="430" t="s">
        <v>558</v>
      </c>
      <c r="AB399" s="430"/>
      <c r="AC399" s="430"/>
      <c r="AD399" s="1509" t="s">
        <v>773</v>
      </c>
      <c r="AE399" s="1343" t="s">
        <v>773</v>
      </c>
      <c r="AF399" s="1459" t="s">
        <v>773</v>
      </c>
      <c r="AG399" s="1343" t="s">
        <v>773</v>
      </c>
      <c r="AH399" s="284">
        <f>NewConst!F275</f>
        <v>5.7</v>
      </c>
      <c r="AI399" s="285">
        <f>NewConst!F275</f>
        <v>5.7</v>
      </c>
      <c r="AJ399" s="1459">
        <v>5.7</v>
      </c>
      <c r="AK399" s="1343">
        <v>5.7</v>
      </c>
      <c r="AL399" s="1460" t="s">
        <v>773</v>
      </c>
      <c r="AM399" s="102"/>
    </row>
    <row r="400" spans="20:39" s="127" customFormat="1" ht="12.75">
      <c r="T400" s="102"/>
      <c r="U400" s="132"/>
      <c r="V400" s="132"/>
      <c r="W400" s="132"/>
      <c r="X400" s="429"/>
      <c r="Y400" s="108"/>
      <c r="Z400" s="565" t="s">
        <v>435</v>
      </c>
      <c r="AA400" s="430" t="s">
        <v>1169</v>
      </c>
      <c r="AB400" s="430"/>
      <c r="AC400" s="430"/>
      <c r="AD400" s="1509" t="s">
        <v>773</v>
      </c>
      <c r="AE400" s="1343" t="s">
        <v>773</v>
      </c>
      <c r="AF400" s="1459" t="s">
        <v>773</v>
      </c>
      <c r="AG400" s="1343" t="s">
        <v>773</v>
      </c>
      <c r="AH400" s="218">
        <f>NewConst!F272</f>
        <v>3.1</v>
      </c>
      <c r="AI400" s="217">
        <f>NewConst!F273</f>
        <v>2.75</v>
      </c>
      <c r="AJ400" s="1459">
        <v>3.1</v>
      </c>
      <c r="AK400" s="1343">
        <v>2.75</v>
      </c>
      <c r="AL400" s="1460" t="s">
        <v>773</v>
      </c>
      <c r="AM400" s="102"/>
    </row>
    <row r="401" spans="20:39" s="102" customFormat="1">
      <c r="U401" s="132"/>
      <c r="V401" s="132"/>
      <c r="W401" s="132"/>
      <c r="X401" s="429"/>
      <c r="Y401" s="108"/>
      <c r="Z401" s="108" t="s">
        <v>352</v>
      </c>
      <c r="AA401" s="430"/>
      <c r="AB401" s="430"/>
      <c r="AC401" s="430"/>
      <c r="AD401" s="1509" t="s">
        <v>773</v>
      </c>
      <c r="AE401" s="1343" t="s">
        <v>773</v>
      </c>
      <c r="AF401" s="1459" t="s">
        <v>773</v>
      </c>
      <c r="AG401" s="1343" t="s">
        <v>773</v>
      </c>
      <c r="AH401" s="286" t="s">
        <v>773</v>
      </c>
      <c r="AI401" s="287" t="s">
        <v>773</v>
      </c>
      <c r="AJ401" s="1459">
        <v>2002</v>
      </c>
      <c r="AK401" s="1343">
        <v>2002</v>
      </c>
      <c r="AL401" s="1460" t="s">
        <v>773</v>
      </c>
    </row>
    <row r="402" spans="20:39" s="102" customFormat="1" ht="12.75">
      <c r="T402" s="127"/>
      <c r="U402" s="127"/>
      <c r="X402" s="2300" t="s">
        <v>324</v>
      </c>
      <c r="Y402" s="2301"/>
      <c r="Z402" s="2301"/>
      <c r="AA402" s="2301"/>
      <c r="AB402" s="1065"/>
      <c r="AC402" s="1065"/>
      <c r="AD402" s="1339"/>
      <c r="AE402" s="1340"/>
      <c r="AF402" s="1355"/>
      <c r="AG402" s="1340"/>
      <c r="AH402" s="186"/>
      <c r="AI402" s="185"/>
      <c r="AJ402" s="1355"/>
      <c r="AK402" s="1340"/>
      <c r="AL402" s="1464"/>
    </row>
    <row r="403" spans="20:39" s="102" customFormat="1">
      <c r="X403" s="445"/>
      <c r="Y403" s="432" t="s">
        <v>1001</v>
      </c>
      <c r="Z403" s="104"/>
      <c r="AA403" s="104"/>
      <c r="AB403" s="107"/>
      <c r="AC403" s="107"/>
      <c r="AD403" s="1339"/>
      <c r="AE403" s="1340"/>
      <c r="AF403" s="1355"/>
      <c r="AG403" s="1340"/>
      <c r="AH403" s="186"/>
      <c r="AI403" s="185"/>
      <c r="AJ403" s="1355"/>
      <c r="AK403" s="1340"/>
      <c r="AL403" s="1464"/>
    </row>
    <row r="404" spans="20:39" s="102" customFormat="1" ht="12.75">
      <c r="T404" s="127"/>
      <c r="X404" s="431"/>
      <c r="Y404" s="130"/>
      <c r="Z404" s="564" t="s">
        <v>441</v>
      </c>
      <c r="AA404" s="107"/>
      <c r="AB404" s="107"/>
      <c r="AC404" s="107"/>
      <c r="AD404" s="1509" t="s">
        <v>773</v>
      </c>
      <c r="AE404" s="1343" t="s">
        <v>773</v>
      </c>
      <c r="AF404" s="1459" t="s">
        <v>773</v>
      </c>
      <c r="AG404" s="1343" t="s">
        <v>773</v>
      </c>
      <c r="AH404" s="284">
        <f>IF(AH398="yes", 1.04, 1.18)</f>
        <v>1.18</v>
      </c>
      <c r="AI404" s="285">
        <f>IF(AI398="yes", 1.04, 1.18)</f>
        <v>1.18</v>
      </c>
      <c r="AJ404" s="1359">
        <f>IF(AJ398="yes", 1.04, 1.18)</f>
        <v>1.18</v>
      </c>
      <c r="AK404" s="1344">
        <f>IF(AK398="yes", 1.04, 1.18)</f>
        <v>1.18</v>
      </c>
      <c r="AL404" s="1465">
        <f>IF(AL398="yes", 1.04, 1.18)</f>
        <v>1.18</v>
      </c>
    </row>
    <row r="405" spans="20:39" s="102" customFormat="1">
      <c r="X405" s="431"/>
      <c r="Y405" s="130"/>
      <c r="Z405" s="564" t="s">
        <v>444</v>
      </c>
      <c r="AA405" s="113" t="s">
        <v>1178</v>
      </c>
      <c r="AB405" s="113"/>
      <c r="AC405" s="113"/>
      <c r="AD405" s="1509" t="s">
        <v>773</v>
      </c>
      <c r="AE405" s="1343" t="s">
        <v>773</v>
      </c>
      <c r="AF405" s="1459" t="s">
        <v>773</v>
      </c>
      <c r="AG405" s="1343" t="s">
        <v>773</v>
      </c>
      <c r="AH405" s="284">
        <f>IF(AH399&gt;4.4,7,3)</f>
        <v>7</v>
      </c>
      <c r="AI405" s="285">
        <f>IF(AI399&gt;4.4,7,3)</f>
        <v>7</v>
      </c>
      <c r="AJ405" s="1359">
        <f>IF(AJ399&gt;4.4,7,3)</f>
        <v>7</v>
      </c>
      <c r="AK405" s="1344">
        <f>IF(AK399&gt;4.4,7,3)</f>
        <v>7</v>
      </c>
      <c r="AL405" s="1465">
        <f>IF(AL399&gt;4.4,7,3)</f>
        <v>7</v>
      </c>
    </row>
    <row r="406" spans="20:39" s="102" customFormat="1">
      <c r="X406" s="431"/>
      <c r="Y406" s="130"/>
      <c r="Z406" s="564" t="s">
        <v>434</v>
      </c>
      <c r="AA406" s="113" t="s">
        <v>1267</v>
      </c>
      <c r="AB406" s="113"/>
      <c r="AC406" s="113"/>
      <c r="AD406" s="1511" t="s">
        <v>773</v>
      </c>
      <c r="AE406" s="1491" t="s">
        <v>773</v>
      </c>
      <c r="AF406" s="1490" t="s">
        <v>773</v>
      </c>
      <c r="AG406" s="1491" t="s">
        <v>773</v>
      </c>
      <c r="AH406" s="218">
        <f>AH405/AH400</f>
        <v>2.258064516129032</v>
      </c>
      <c r="AI406" s="217">
        <f>AI405/AI400</f>
        <v>2.5454545454545454</v>
      </c>
      <c r="AJ406" s="1466">
        <f>AJ405/AJ400</f>
        <v>2.258064516129032</v>
      </c>
      <c r="AK406" s="1467">
        <f>AK405/AK400</f>
        <v>2.5454545454545454</v>
      </c>
      <c r="AL406" s="1468" t="s">
        <v>773</v>
      </c>
    </row>
    <row r="407" spans="20:39" s="127" customFormat="1" ht="12.75">
      <c r="T407" s="102"/>
      <c r="U407" s="102"/>
      <c r="V407" s="102"/>
      <c r="W407" s="102"/>
      <c r="X407" s="431"/>
      <c r="Y407" s="133"/>
      <c r="Z407" s="568" t="s">
        <v>442</v>
      </c>
      <c r="AA407" s="113" t="s">
        <v>305</v>
      </c>
      <c r="AB407" s="113"/>
      <c r="AC407" s="113"/>
      <c r="AD407" s="1512" t="s">
        <v>773</v>
      </c>
      <c r="AE407" s="1493" t="s">
        <v>773</v>
      </c>
      <c r="AF407" s="1492" t="s">
        <v>773</v>
      </c>
      <c r="AG407" s="1493" t="s">
        <v>773</v>
      </c>
      <c r="AH407" s="244">
        <f>IF(AH414="Electric", 0,IF(AH414="Gas",AH406*(1-AH416)*$AB$374*$AB$375/($AB$382*$AB$385*100),"ERROR"))</f>
        <v>0</v>
      </c>
      <c r="AI407" s="243">
        <f>IF(AI414="Electric", 0,IF(AI414="Gas",AI406*(1-AI416)*$AB$374*$AB$375/($AB$382*$AB$385*100),"ERROR"))</f>
        <v>0.11939592824027412</v>
      </c>
      <c r="AJ407" s="1356">
        <f>IF(AJ414="Electric", 0,IF(AJ414="Gas",AJ406*(1-AJ416)*AJ404*$AB$374*$AB$375/($AB$382*$AB$385*100),"ERROR"))</f>
        <v>0</v>
      </c>
      <c r="AK407" s="1357">
        <f>IF(AK414="Electric", 0,IF(AK414="Gas",AK406*(1-AK416)*AK404*$AB$374*$AB$375/($AB$382*$AB$385*100),"ERROR"))</f>
        <v>0.14088719532352348</v>
      </c>
      <c r="AL407" s="1469" t="s">
        <v>773</v>
      </c>
      <c r="AM407" s="102"/>
    </row>
    <row r="408" spans="20:39" s="102" customFormat="1">
      <c r="X408" s="431"/>
      <c r="Y408" s="130"/>
      <c r="Z408" s="568" t="s">
        <v>443</v>
      </c>
      <c r="AA408" s="113" t="s">
        <v>306</v>
      </c>
      <c r="AB408" s="113"/>
      <c r="AC408" s="113"/>
      <c r="AD408" s="1513" t="s">
        <v>773</v>
      </c>
      <c r="AE408" s="1495" t="s">
        <v>773</v>
      </c>
      <c r="AF408" s="1494" t="s">
        <v>773</v>
      </c>
      <c r="AG408" s="1495" t="s">
        <v>773</v>
      </c>
      <c r="AH408" s="288">
        <f>IF(AH414="Electric",AH406/($AB$382*100),IF(AH414="Gas",AH406*$AB$384/($AB$382*100),"ERROR"))</f>
        <v>3.4213098729227759E-2</v>
      </c>
      <c r="AI408" s="289">
        <f>IF(AI414="Electric",AI406/($AB$382*100),IF(AI414="Gas",AI406*$AB$384/($AB$382*100),"ERROR"))</f>
        <v>2.6997245179063364E-3</v>
      </c>
      <c r="AJ408" s="1470">
        <f>IF(AJ414="Electric",AJ406*AJ404/($AB$382*100),IF(AJ414="Gas",AJ406*AJ404*$AB$384/($AB$382*100),"ERROR"))</f>
        <v>4.0371456500488755E-2</v>
      </c>
      <c r="AK408" s="1471">
        <f>IF(AK414="Electric",AK406*AK404/($AB$382*100),IF(AK414="Gas",AK406*AK404*$AB$384/($AB$382*100),"ERROR"))</f>
        <v>3.1856749311294768E-3</v>
      </c>
      <c r="AL408" s="1472" t="s">
        <v>773</v>
      </c>
    </row>
    <row r="409" spans="20:39" s="127" customFormat="1" ht="12.75">
      <c r="T409" s="102"/>
      <c r="U409" s="102"/>
      <c r="V409" s="102"/>
      <c r="W409" s="102"/>
      <c r="X409" s="431"/>
      <c r="Y409" s="130" t="s">
        <v>255</v>
      </c>
      <c r="Z409" s="107"/>
      <c r="AA409" s="113"/>
      <c r="AB409" s="113"/>
      <c r="AC409" s="113"/>
      <c r="AD409" s="1339"/>
      <c r="AE409" s="1340"/>
      <c r="AF409" s="1355"/>
      <c r="AG409" s="1340"/>
      <c r="AH409" s="186"/>
      <c r="AI409" s="185"/>
      <c r="AJ409" s="1355"/>
      <c r="AK409" s="1340"/>
      <c r="AL409" s="1464"/>
      <c r="AM409" s="102"/>
    </row>
    <row r="410" spans="20:39" s="102" customFormat="1">
      <c r="X410" s="431"/>
      <c r="Y410" s="130"/>
      <c r="Z410" s="107" t="s">
        <v>1018</v>
      </c>
      <c r="AA410" s="113" t="s">
        <v>1267</v>
      </c>
      <c r="AB410" s="113"/>
      <c r="AC410" s="113"/>
      <c r="AD410" s="1514">
        <f>IF(HomeType=2, IF(NewConst!F249="yes", IF(AD414="Electric", ($E$6/2.42)*Nunits, 0), IF(AD414="Electric", $E$6, $E$7)), IF(AD414="Electric", $E$6, $E$7))</f>
        <v>1076.4000000000001</v>
      </c>
      <c r="AE410" s="1474">
        <f>IF(HomeType=2, IF(NewConst!F249="yes", IF(AE414="Electric", (E6/2.42)*Nunits, 0.09*(E6/2.42)*Nunits), IF(AE414="Electric", $E$6, $E$7)), IF(AE414="Electric", $E$6, $E$7))</f>
        <v>85.9</v>
      </c>
      <c r="AF410" s="1496">
        <v>76.099999999999994</v>
      </c>
      <c r="AG410" s="1497">
        <v>76.099999999999994</v>
      </c>
      <c r="AH410" s="291">
        <f>AH408*100*($AF$318/AH405)*AB372</f>
        <v>984.61718489825773</v>
      </c>
      <c r="AI410" s="290">
        <f>AI408*100*($AF$318/AI405)*$AB$372</f>
        <v>77.69524695378982</v>
      </c>
      <c r="AJ410" s="1473" t="e">
        <f>AJ$408*100*($AB$373/AJ$405)*$AB$381*$AB$370</f>
        <v>#REF!</v>
      </c>
      <c r="AK410" s="1474" t="e">
        <f>AK$408*100*($AB$373/AK$405)*$AB$381*$AB$370</f>
        <v>#REF!</v>
      </c>
      <c r="AL410" s="1475">
        <v>0</v>
      </c>
    </row>
    <row r="411" spans="20:39" s="102" customFormat="1">
      <c r="X411" s="431"/>
      <c r="Y411" s="130"/>
      <c r="Z411" s="107" t="s">
        <v>151</v>
      </c>
      <c r="AA411" s="113" t="s">
        <v>1238</v>
      </c>
      <c r="AB411" s="113"/>
      <c r="AC411" s="113"/>
      <c r="AD411" s="1514">
        <f>IF(AD414="Electric", 0, $H$7)</f>
        <v>0</v>
      </c>
      <c r="AE411" s="1474">
        <f>IF(AE414="Electric", 0, IF(HomeType=2, IF(NewConst!F249="yes", (40.22/2.42)*Nunits, $H$7),  $H$7))</f>
        <v>39</v>
      </c>
      <c r="AF411" s="1496">
        <v>0</v>
      </c>
      <c r="AG411" s="1497">
        <v>52.9</v>
      </c>
      <c r="AH411" s="291">
        <f>IF(AH414="Electric",0,AB372*AH407*100*$AF$318*$AB$385/(AH405*$AB$376))</f>
        <v>0</v>
      </c>
      <c r="AI411" s="290">
        <f>IF(AI414="Electric",0,AB372*AI407*100*$AF$318*$AB$385/(AI405*$AB$376))</f>
        <v>35.219921403412513</v>
      </c>
      <c r="AJ411" s="1473">
        <f>IF(AJ$414="Electric", 0, IF(AJ414="Gas",$AB$370*$AB$381*AJ$407*100*$AB$373*$AB$385/(AJ$405*$AB$376),"Invalid Fuel Type"))</f>
        <v>0</v>
      </c>
      <c r="AK411" s="1474" t="e">
        <f>IF(AK$414="Electric", 0, IF(AK414="Gas",$AB$370*$AB$381*AK$407*100*$AB$373*$AB$385/(AK$405*$AB$376),"Invalid Fuel Type"))</f>
        <v>#REF!</v>
      </c>
      <c r="AL411" s="1475">
        <v>0</v>
      </c>
    </row>
    <row r="412" spans="20:39" s="102" customFormat="1" ht="12.75">
      <c r="U412" s="127"/>
      <c r="V412" s="127"/>
      <c r="W412" s="127"/>
      <c r="X412" s="2300" t="s">
        <v>491</v>
      </c>
      <c r="Y412" s="2301"/>
      <c r="Z412" s="2301"/>
      <c r="AA412" s="2301"/>
      <c r="AB412" s="1065"/>
      <c r="AC412" s="1065"/>
      <c r="AD412" s="1339"/>
      <c r="AE412" s="1340"/>
      <c r="AF412" s="1355"/>
      <c r="AG412" s="1340"/>
      <c r="AH412" s="186"/>
      <c r="AI412" s="185"/>
      <c r="AJ412" s="1355"/>
      <c r="AK412" s="1340"/>
      <c r="AL412" s="1464"/>
    </row>
    <row r="413" spans="20:39" s="102" customFormat="1" ht="12.75">
      <c r="U413" s="127"/>
      <c r="V413" s="127"/>
      <c r="W413" s="127"/>
      <c r="X413" s="569"/>
      <c r="Y413" s="570"/>
      <c r="Z413" s="104" t="s">
        <v>447</v>
      </c>
      <c r="AA413" s="123" t="s">
        <v>1065</v>
      </c>
      <c r="AB413" s="124" t="s">
        <v>1232</v>
      </c>
      <c r="AC413" s="113" t="s">
        <v>321</v>
      </c>
      <c r="AD413" s="1336" t="s">
        <v>567</v>
      </c>
      <c r="AE413" s="1337" t="s">
        <v>567</v>
      </c>
      <c r="AF413" s="1353" t="s">
        <v>567</v>
      </c>
      <c r="AG413" s="1337" t="s">
        <v>567</v>
      </c>
      <c r="AH413" s="182" t="s">
        <v>567</v>
      </c>
      <c r="AI413" s="181" t="s">
        <v>567</v>
      </c>
      <c r="AJ413" s="1353" t="s">
        <v>567</v>
      </c>
      <c r="AK413" s="1337" t="s">
        <v>567</v>
      </c>
      <c r="AL413" s="1449" t="s">
        <v>671</v>
      </c>
    </row>
    <row r="414" spans="20:39" s="102" customFormat="1">
      <c r="X414" s="431"/>
      <c r="Y414" s="130"/>
      <c r="Z414" s="107" t="s">
        <v>1301</v>
      </c>
      <c r="AA414" s="113" t="s">
        <v>446</v>
      </c>
      <c r="AB414" s="124" t="s">
        <v>1233</v>
      </c>
      <c r="AC414" s="113" t="s">
        <v>321</v>
      </c>
      <c r="AD414" s="1336" t="s">
        <v>1151</v>
      </c>
      <c r="AE414" s="1337" t="s">
        <v>464</v>
      </c>
      <c r="AF414" s="1353" t="s">
        <v>1151</v>
      </c>
      <c r="AG414" s="1337" t="s">
        <v>464</v>
      </c>
      <c r="AH414" s="182" t="s">
        <v>1151</v>
      </c>
      <c r="AI414" s="181" t="s">
        <v>464</v>
      </c>
      <c r="AJ414" s="1353" t="s">
        <v>1151</v>
      </c>
      <c r="AK414" s="1337" t="s">
        <v>464</v>
      </c>
      <c r="AL414" s="1449" t="s">
        <v>773</v>
      </c>
    </row>
    <row r="415" spans="20:39" s="102" customFormat="1">
      <c r="X415" s="106"/>
      <c r="Y415" s="107"/>
      <c r="Z415" s="109" t="s">
        <v>437</v>
      </c>
      <c r="AA415" s="430" t="s">
        <v>1065</v>
      </c>
      <c r="AB415" s="112" t="s">
        <v>1234</v>
      </c>
      <c r="AC415" s="430" t="s">
        <v>321</v>
      </c>
      <c r="AD415" s="1515" t="s">
        <v>773</v>
      </c>
      <c r="AE415" s="1499" t="s">
        <v>773</v>
      </c>
      <c r="AF415" s="1498" t="s">
        <v>773</v>
      </c>
      <c r="AG415" s="1499" t="s">
        <v>773</v>
      </c>
      <c r="AH415" s="223" t="str">
        <f>AH398</f>
        <v>NO</v>
      </c>
      <c r="AI415" s="222" t="str">
        <f>AI398</f>
        <v>NO</v>
      </c>
      <c r="AJ415" s="1476" t="str">
        <f>AJ398</f>
        <v>NO</v>
      </c>
      <c r="AK415" s="1477" t="str">
        <f>AK398</f>
        <v>NO</v>
      </c>
      <c r="AL415" s="1478" t="str">
        <f>AL398</f>
        <v>NO</v>
      </c>
    </row>
    <row r="416" spans="20:39" s="102" customFormat="1">
      <c r="X416" s="106"/>
      <c r="Y416" s="107"/>
      <c r="Z416" s="109" t="s">
        <v>436</v>
      </c>
      <c r="AA416" s="113" t="s">
        <v>877</v>
      </c>
      <c r="AB416" s="124" t="s">
        <v>1235</v>
      </c>
      <c r="AC416" s="113" t="s">
        <v>321</v>
      </c>
      <c r="AD416" s="1515" t="s">
        <v>773</v>
      </c>
      <c r="AE416" s="1499" t="s">
        <v>773</v>
      </c>
      <c r="AF416" s="1498" t="s">
        <v>773</v>
      </c>
      <c r="AG416" s="1499" t="s">
        <v>773</v>
      </c>
      <c r="AH416" s="205" t="s">
        <v>773</v>
      </c>
      <c r="AI416" s="566">
        <f>$AB$384</f>
        <v>7.0000000000000007E-2</v>
      </c>
      <c r="AJ416" s="1479" t="s">
        <v>773</v>
      </c>
      <c r="AK416" s="1480">
        <v>7.0000000000000007E-2</v>
      </c>
      <c r="AL416" s="1481" t="s">
        <v>773</v>
      </c>
    </row>
    <row r="417" spans="21:38" s="102" customFormat="1">
      <c r="X417" s="106"/>
      <c r="Y417" s="107"/>
      <c r="Z417" s="109" t="s">
        <v>445</v>
      </c>
      <c r="AA417" s="430" t="s">
        <v>1169</v>
      </c>
      <c r="AB417" s="112" t="s">
        <v>1236</v>
      </c>
      <c r="AC417" s="430" t="s">
        <v>321</v>
      </c>
      <c r="AD417" s="1515" t="s">
        <v>773</v>
      </c>
      <c r="AE417" s="1499" t="s">
        <v>773</v>
      </c>
      <c r="AF417" s="1498" t="s">
        <v>773</v>
      </c>
      <c r="AG417" s="1499" t="s">
        <v>773</v>
      </c>
      <c r="AH417" s="223">
        <f>AH400</f>
        <v>3.1</v>
      </c>
      <c r="AI417" s="222">
        <f>AI400</f>
        <v>2.75</v>
      </c>
      <c r="AJ417" s="1476">
        <f>AJ400</f>
        <v>3.1</v>
      </c>
      <c r="AK417" s="1477">
        <f>AK400</f>
        <v>2.75</v>
      </c>
      <c r="AL417" s="1478" t="str">
        <f>AL400</f>
        <v>NA</v>
      </c>
    </row>
    <row r="418" spans="21:38" s="102" customFormat="1">
      <c r="X418" s="120"/>
      <c r="Y418" s="121"/>
      <c r="Z418" s="125" t="s">
        <v>433</v>
      </c>
      <c r="AA418" s="347" t="s">
        <v>558</v>
      </c>
      <c r="AB418" s="124" t="s">
        <v>1237</v>
      </c>
      <c r="AC418" s="113" t="s">
        <v>321</v>
      </c>
      <c r="AD418" s="1515" t="s">
        <v>773</v>
      </c>
      <c r="AE418" s="1499" t="s">
        <v>773</v>
      </c>
      <c r="AF418" s="1498" t="s">
        <v>773</v>
      </c>
      <c r="AG418" s="1499" t="s">
        <v>773</v>
      </c>
      <c r="AH418" s="205" t="s">
        <v>773</v>
      </c>
      <c r="AI418" s="204" t="s">
        <v>773</v>
      </c>
      <c r="AJ418" s="1476">
        <f>AJ399</f>
        <v>5.7</v>
      </c>
      <c r="AK418" s="1477">
        <f>AK399</f>
        <v>5.7</v>
      </c>
      <c r="AL418" s="1478" t="str">
        <f>AL399</f>
        <v>NA</v>
      </c>
    </row>
    <row r="419" spans="21:38" s="102" customFormat="1" ht="12.75">
      <c r="U419" s="127"/>
      <c r="X419" s="2300" t="s">
        <v>479</v>
      </c>
      <c r="Y419" s="2301"/>
      <c r="Z419" s="2301"/>
      <c r="AA419" s="2301"/>
      <c r="AB419" s="1065"/>
      <c r="AC419" s="1065"/>
      <c r="AD419" s="1339"/>
      <c r="AE419" s="1340"/>
      <c r="AF419" s="1355"/>
      <c r="AG419" s="1340"/>
      <c r="AH419" s="186"/>
      <c r="AI419" s="185"/>
      <c r="AJ419" s="1355"/>
      <c r="AK419" s="1340"/>
      <c r="AL419" s="1464"/>
    </row>
    <row r="420" spans="21:38" s="102" customFormat="1">
      <c r="X420" s="445"/>
      <c r="Y420" s="432" t="s">
        <v>320</v>
      </c>
      <c r="Z420" s="104"/>
      <c r="AA420" s="104"/>
      <c r="AB420" s="107"/>
      <c r="AC420" s="107"/>
      <c r="AD420" s="1339"/>
      <c r="AE420" s="1340"/>
      <c r="AF420" s="1355"/>
      <c r="AG420" s="1340"/>
      <c r="AH420" s="186"/>
      <c r="AI420" s="185"/>
      <c r="AJ420" s="1355"/>
      <c r="AK420" s="1340"/>
      <c r="AL420" s="1464"/>
    </row>
    <row r="421" spans="21:38" s="102" customFormat="1">
      <c r="X421" s="106"/>
      <c r="Y421" s="107"/>
      <c r="Z421" s="107" t="s">
        <v>492</v>
      </c>
      <c r="AA421" s="113" t="s">
        <v>937</v>
      </c>
      <c r="AB421" s="113"/>
      <c r="AC421" s="113"/>
      <c r="AD421" s="1341"/>
      <c r="AE421" s="1345"/>
      <c r="AF421" s="1358"/>
      <c r="AG421" s="1345"/>
      <c r="AH421" s="236"/>
      <c r="AI421" s="235"/>
      <c r="AJ421" s="1360">
        <v>1</v>
      </c>
      <c r="AK421" s="1342">
        <v>1</v>
      </c>
      <c r="AL421" s="1482">
        <v>1</v>
      </c>
    </row>
    <row r="422" spans="21:38" s="102" customFormat="1">
      <c r="X422" s="431"/>
      <c r="Y422" s="130" t="s">
        <v>381</v>
      </c>
      <c r="Z422" s="107"/>
      <c r="AA422" s="107"/>
      <c r="AB422" s="107"/>
      <c r="AC422" s="107"/>
      <c r="AD422" s="1339"/>
      <c r="AE422" s="1340"/>
      <c r="AF422" s="1355"/>
      <c r="AG422" s="1340"/>
      <c r="AH422" s="186"/>
      <c r="AI422" s="185"/>
      <c r="AJ422" s="1355"/>
      <c r="AK422" s="1340"/>
      <c r="AL422" s="1464"/>
    </row>
    <row r="423" spans="21:38" s="102" customFormat="1" ht="21.75" customHeight="1">
      <c r="X423" s="106"/>
      <c r="Y423" s="107"/>
      <c r="Z423" s="109" t="s">
        <v>935</v>
      </c>
      <c r="AA423" s="113" t="s">
        <v>100</v>
      </c>
      <c r="AB423" s="113"/>
      <c r="AC423" s="113"/>
      <c r="AD423" s="1346"/>
      <c r="AE423" s="1347"/>
      <c r="AF423" s="1500"/>
      <c r="AG423" s="1347"/>
      <c r="AH423" s="249"/>
      <c r="AI423" s="250"/>
      <c r="AJ423" s="1361">
        <v>269</v>
      </c>
      <c r="AK423" s="1362">
        <v>319</v>
      </c>
      <c r="AL423" s="1483">
        <v>0.01</v>
      </c>
    </row>
    <row r="424" spans="21:38" s="102" customFormat="1">
      <c r="X424" s="106"/>
      <c r="Y424" s="107"/>
      <c r="Z424" s="107" t="s">
        <v>493</v>
      </c>
      <c r="AA424" s="113" t="s">
        <v>494</v>
      </c>
      <c r="AB424" s="113"/>
      <c r="AC424" s="113"/>
      <c r="AD424" s="1348"/>
      <c r="AE424" s="1349"/>
      <c r="AF424" s="1363"/>
      <c r="AG424" s="1349"/>
      <c r="AH424" s="225"/>
      <c r="AI424" s="224"/>
      <c r="AJ424" s="1363">
        <f>AJ423*AJ421*(1.02)^3</f>
        <v>285.46495199999998</v>
      </c>
      <c r="AK424" s="1349">
        <f>AK423*AK421*(1.02)^3</f>
        <v>338.525352</v>
      </c>
      <c r="AL424" s="1483">
        <v>0.01</v>
      </c>
    </row>
    <row r="425" spans="21:38" s="102" customFormat="1">
      <c r="X425" s="431"/>
      <c r="Y425" s="130" t="s">
        <v>147</v>
      </c>
      <c r="Z425" s="107"/>
      <c r="AA425" s="107"/>
      <c r="AB425" s="107"/>
      <c r="AC425" s="107"/>
      <c r="AD425" s="1339"/>
      <c r="AE425" s="1340"/>
      <c r="AF425" s="1355"/>
      <c r="AG425" s="1340"/>
      <c r="AH425" s="186"/>
      <c r="AI425" s="185"/>
      <c r="AJ425" s="1355"/>
      <c r="AK425" s="1340"/>
      <c r="AL425" s="1484"/>
    </row>
    <row r="426" spans="21:38" s="102" customFormat="1">
      <c r="X426" s="106"/>
      <c r="Y426" s="107"/>
      <c r="Z426" s="109" t="s">
        <v>935</v>
      </c>
      <c r="AA426" s="113" t="s">
        <v>100</v>
      </c>
      <c r="AB426" s="113"/>
      <c r="AC426" s="113"/>
      <c r="AD426" s="1346"/>
      <c r="AE426" s="1347"/>
      <c r="AF426" s="1500"/>
      <c r="AG426" s="1347"/>
      <c r="AH426" s="249"/>
      <c r="AI426" s="250"/>
      <c r="AJ426" s="1361">
        <v>319.02</v>
      </c>
      <c r="AK426" s="1362">
        <v>362.65</v>
      </c>
      <c r="AL426" s="1483">
        <v>0.01</v>
      </c>
    </row>
    <row r="427" spans="21:38" s="102" customFormat="1">
      <c r="X427" s="120"/>
      <c r="Y427" s="121"/>
      <c r="Z427" s="121" t="s">
        <v>493</v>
      </c>
      <c r="AA427" s="347" t="s">
        <v>494</v>
      </c>
      <c r="AB427" s="113"/>
      <c r="AC427" s="113"/>
      <c r="AD427" s="1348"/>
      <c r="AE427" s="1349"/>
      <c r="AF427" s="1363"/>
      <c r="AG427" s="1349"/>
      <c r="AH427" s="225"/>
      <c r="AI427" s="224"/>
      <c r="AJ427" s="1363">
        <f>IF(ISNUMBER(AJ426), AJ421*AJ426, "")</f>
        <v>319.02</v>
      </c>
      <c r="AK427" s="1349">
        <f>IF(ISNUMBER(AK426), AK421*AK426, "")</f>
        <v>362.65</v>
      </c>
      <c r="AL427" s="1483">
        <v>0.01</v>
      </c>
    </row>
    <row r="428" spans="21:38" s="102" customFormat="1" ht="12.75">
      <c r="U428" s="127"/>
      <c r="X428" s="2300" t="s">
        <v>480</v>
      </c>
      <c r="Y428" s="2301"/>
      <c r="Z428" s="2301"/>
      <c r="AA428" s="2301"/>
      <c r="AB428" s="1065"/>
      <c r="AC428" s="1065"/>
      <c r="AD428" s="1339"/>
      <c r="AE428" s="1340"/>
      <c r="AF428" s="1355"/>
      <c r="AG428" s="1340"/>
      <c r="AH428" s="186"/>
      <c r="AI428" s="185"/>
      <c r="AJ428" s="1355"/>
      <c r="AK428" s="1340"/>
      <c r="AL428" s="1464"/>
    </row>
    <row r="429" spans="21:38" s="102" customFormat="1">
      <c r="X429" s="445"/>
      <c r="Y429" s="432" t="s">
        <v>147</v>
      </c>
      <c r="Z429" s="104"/>
      <c r="AA429" s="104"/>
      <c r="AB429" s="107"/>
      <c r="AC429" s="107"/>
      <c r="AD429" s="1339"/>
      <c r="AE429" s="1340"/>
      <c r="AF429" s="1355"/>
      <c r="AG429" s="1340"/>
      <c r="AH429" s="186"/>
      <c r="AI429" s="185"/>
      <c r="AJ429" s="1355"/>
      <c r="AK429" s="1340"/>
      <c r="AL429" s="1464"/>
    </row>
    <row r="430" spans="21:38" s="102" customFormat="1">
      <c r="X430" s="106"/>
      <c r="Y430" s="107"/>
      <c r="Z430" s="109" t="s">
        <v>902</v>
      </c>
      <c r="AA430" s="113" t="s">
        <v>297</v>
      </c>
      <c r="AB430" s="113"/>
      <c r="AC430" s="113"/>
      <c r="AD430" s="1350"/>
      <c r="AE430" s="1344"/>
      <c r="AF430" s="1501"/>
      <c r="AG430" s="1344"/>
      <c r="AH430" s="221"/>
      <c r="AI430" s="193"/>
      <c r="AJ430" s="1364">
        <v>18</v>
      </c>
      <c r="AK430" s="1343">
        <v>18</v>
      </c>
      <c r="AL430" s="1485">
        <v>30</v>
      </c>
    </row>
    <row r="431" spans="21:38" s="102" customFormat="1">
      <c r="X431" s="431"/>
      <c r="Y431" s="130" t="s">
        <v>1031</v>
      </c>
      <c r="Z431" s="107"/>
      <c r="AA431" s="107"/>
      <c r="AB431" s="107"/>
      <c r="AC431" s="107"/>
      <c r="AD431" s="1339"/>
      <c r="AE431" s="1340"/>
      <c r="AF431" s="1355"/>
      <c r="AG431" s="1340"/>
      <c r="AH431" s="186"/>
      <c r="AI431" s="185"/>
      <c r="AJ431" s="1355"/>
      <c r="AK431" s="1340"/>
      <c r="AL431" s="1464"/>
    </row>
    <row r="432" spans="21:38" s="102" customFormat="1">
      <c r="X432" s="120"/>
      <c r="Y432" s="121"/>
      <c r="Z432" s="125" t="s">
        <v>902</v>
      </c>
      <c r="AA432" s="347" t="s">
        <v>297</v>
      </c>
      <c r="AB432" s="347"/>
      <c r="AC432" s="347"/>
      <c r="AD432" s="1351"/>
      <c r="AE432" s="1503"/>
      <c r="AF432" s="1502"/>
      <c r="AG432" s="1503"/>
      <c r="AH432" s="352"/>
      <c r="AI432" s="351"/>
      <c r="AJ432" s="1365">
        <v>13</v>
      </c>
      <c r="AK432" s="1486">
        <v>13</v>
      </c>
      <c r="AL432" s="1487">
        <v>30</v>
      </c>
    </row>
    <row r="433" spans="20:33" s="102" customFormat="1">
      <c r="X433" s="12" t="s">
        <v>731</v>
      </c>
      <c r="Y433" s="1067"/>
      <c r="AD433" s="1067"/>
      <c r="AE433" s="1067"/>
      <c r="AF433" s="1067"/>
      <c r="AG433" s="1067"/>
    </row>
    <row r="434" spans="20:33" s="102" customFormat="1">
      <c r="X434" s="12"/>
      <c r="Y434" s="1067"/>
      <c r="AD434" s="1067"/>
      <c r="AE434" s="1067"/>
      <c r="AF434" s="1067"/>
      <c r="AG434" s="1067"/>
    </row>
    <row r="435" spans="20:33" s="102" customFormat="1" ht="12.75">
      <c r="V435" s="127"/>
      <c r="W435" s="127"/>
      <c r="X435" s="127"/>
      <c r="Y435" s="127"/>
      <c r="Z435" s="127"/>
    </row>
    <row r="436" spans="20:33" s="102" customFormat="1"/>
    <row r="437" spans="20:33" s="102" customFormat="1"/>
    <row r="438" spans="20:33" s="102" customFormat="1"/>
    <row r="439" spans="20:33" s="102" customFormat="1"/>
    <row r="440" spans="20:33" s="102" customFormat="1"/>
    <row r="441" spans="20:33" s="102" customFormat="1"/>
    <row r="442" spans="20:33" s="102" customFormat="1"/>
    <row r="443" spans="20:33" s="102" customFormat="1"/>
    <row r="444" spans="20:33" s="102" customFormat="1"/>
    <row r="445" spans="20:33" s="102" customFormat="1" ht="12.75">
      <c r="V445" s="127"/>
      <c r="W445" s="127"/>
      <c r="X445" s="127"/>
      <c r="Y445" s="127"/>
      <c r="Z445" s="127"/>
    </row>
    <row r="446" spans="20:33" s="102" customFormat="1" ht="12.75">
      <c r="V446" s="127"/>
      <c r="W446" s="127"/>
      <c r="X446" s="127"/>
      <c r="Y446" s="127"/>
      <c r="Z446" s="127"/>
    </row>
    <row r="447" spans="20:33" s="127" customFormat="1" ht="12.75">
      <c r="T447" s="102"/>
      <c r="U447" s="102"/>
      <c r="V447" s="102"/>
      <c r="W447" s="102"/>
      <c r="X447" s="102"/>
      <c r="Y447" s="102"/>
      <c r="Z447" s="102"/>
    </row>
    <row r="448" spans="20:33" s="102" customFormat="1"/>
    <row r="449" spans="20:26" s="102" customFormat="1"/>
    <row r="450" spans="20:26" s="102" customFormat="1"/>
    <row r="451" spans="20:26" s="102" customFormat="1"/>
    <row r="452" spans="20:26" s="102" customFormat="1" ht="12.75">
      <c r="V452" s="127"/>
      <c r="W452" s="127"/>
      <c r="X452" s="127"/>
      <c r="Y452" s="127"/>
      <c r="Z452" s="127"/>
    </row>
    <row r="453" spans="20:26" s="132" customFormat="1">
      <c r="T453" s="102"/>
      <c r="U453" s="102"/>
      <c r="V453" s="102"/>
      <c r="W453" s="102"/>
      <c r="X453" s="102"/>
      <c r="Y453" s="102"/>
      <c r="Z453" s="102"/>
    </row>
    <row r="454" spans="20:26" s="102" customFormat="1"/>
    <row r="455" spans="20:26" s="102" customFormat="1"/>
    <row r="456" spans="20:26" s="132" customFormat="1">
      <c r="T456" s="102"/>
      <c r="U456" s="102"/>
      <c r="V456" s="102"/>
      <c r="W456" s="102"/>
      <c r="X456" s="102"/>
      <c r="Y456" s="102"/>
      <c r="Z456" s="102"/>
    </row>
    <row r="457" spans="20:26" s="132" customFormat="1">
      <c r="T457" s="102"/>
      <c r="U457" s="102"/>
      <c r="V457" s="102"/>
      <c r="W457" s="102"/>
      <c r="X457" s="102"/>
      <c r="Y457" s="102"/>
      <c r="Z457" s="102"/>
    </row>
    <row r="458" spans="20:26" s="132" customFormat="1">
      <c r="T458" s="102"/>
      <c r="U458" s="102"/>
      <c r="V458" s="102"/>
      <c r="W458" s="102"/>
      <c r="X458" s="102"/>
      <c r="Y458" s="102"/>
      <c r="Z458" s="102"/>
    </row>
    <row r="459" spans="20:26" s="132" customFormat="1">
      <c r="T459" s="102"/>
      <c r="U459" s="102"/>
      <c r="V459" s="102"/>
      <c r="W459" s="102"/>
      <c r="X459" s="102"/>
      <c r="Y459" s="102"/>
      <c r="Z459" s="102"/>
    </row>
    <row r="460" spans="20:26" s="132" customFormat="1">
      <c r="T460" s="102"/>
      <c r="U460" s="102"/>
      <c r="V460" s="102"/>
      <c r="W460" s="102"/>
      <c r="X460" s="102"/>
      <c r="Y460" s="102"/>
      <c r="Z460" s="102"/>
    </row>
    <row r="461" spans="20:26" s="132" customFormat="1" ht="12.75">
      <c r="T461" s="102"/>
      <c r="U461" s="102"/>
      <c r="V461" s="127"/>
      <c r="W461" s="127"/>
      <c r="X461" s="127"/>
      <c r="Y461" s="127"/>
      <c r="Z461" s="127"/>
    </row>
    <row r="462" spans="20:26" s="132" customFormat="1">
      <c r="T462" s="102"/>
      <c r="U462" s="102"/>
      <c r="V462" s="102"/>
      <c r="W462" s="102"/>
      <c r="X462" s="102"/>
      <c r="Y462" s="102"/>
      <c r="Z462" s="102"/>
    </row>
    <row r="463" spans="20:26" s="132" customFormat="1">
      <c r="T463" s="102"/>
      <c r="U463" s="102"/>
      <c r="V463" s="102"/>
      <c r="W463" s="102"/>
      <c r="X463" s="102"/>
      <c r="Y463" s="102"/>
      <c r="Z463" s="102"/>
    </row>
    <row r="464" spans="20:26" s="132" customFormat="1">
      <c r="T464" s="102"/>
      <c r="U464" s="102"/>
      <c r="V464" s="102"/>
      <c r="W464" s="102"/>
      <c r="X464" s="102"/>
      <c r="Y464" s="102"/>
      <c r="Z464" s="102"/>
    </row>
    <row r="465" spans="1:26" s="132" customFormat="1">
      <c r="T465" s="102"/>
      <c r="U465" s="102"/>
      <c r="V465" s="102"/>
      <c r="W465" s="102"/>
      <c r="X465" s="102"/>
      <c r="Y465" s="102"/>
      <c r="Z465" s="102"/>
    </row>
    <row r="466" spans="1:26" s="132" customFormat="1">
      <c r="T466" s="102"/>
      <c r="U466" s="102"/>
      <c r="V466" s="102"/>
      <c r="W466" s="102"/>
      <c r="X466" s="102"/>
      <c r="Y466" s="102"/>
      <c r="Z466" s="102"/>
    </row>
    <row r="467" spans="1:26" s="132" customFormat="1">
      <c r="T467" s="102"/>
      <c r="U467" s="102"/>
      <c r="V467" s="102"/>
      <c r="W467" s="102"/>
      <c r="X467" s="102"/>
      <c r="Y467" s="102"/>
      <c r="Z467" s="102"/>
    </row>
    <row r="468" spans="1:26" s="132" customFormat="1">
      <c r="A468" s="102"/>
      <c r="B468" s="102"/>
      <c r="C468" s="102"/>
      <c r="D468" s="12"/>
      <c r="E468" s="1067"/>
      <c r="F468" s="102"/>
      <c r="G468" s="102"/>
      <c r="H468" s="102"/>
      <c r="I468" s="102"/>
      <c r="J468" s="1067"/>
      <c r="K468" s="1067"/>
      <c r="L468" s="1067"/>
      <c r="M468" s="1067"/>
      <c r="N468" s="102"/>
      <c r="O468" s="102"/>
      <c r="P468" s="102"/>
      <c r="Q468" s="102"/>
      <c r="R468" s="102"/>
      <c r="S468" s="102"/>
      <c r="T468" s="102"/>
      <c r="U468" s="102"/>
      <c r="V468" s="102"/>
      <c r="W468" s="102"/>
      <c r="X468" s="102"/>
      <c r="Y468" s="102"/>
      <c r="Z468" s="102"/>
    </row>
    <row r="469" spans="1:26" s="102" customFormat="1" ht="12.75">
      <c r="A469" s="101"/>
      <c r="B469" s="101"/>
      <c r="C469" s="101"/>
      <c r="D469" s="101"/>
      <c r="E469" s="101"/>
      <c r="F469" s="101"/>
      <c r="G469" s="99"/>
      <c r="H469" s="99"/>
      <c r="I469" s="99"/>
      <c r="J469" s="1067"/>
      <c r="K469" s="1067"/>
      <c r="L469" s="1067"/>
      <c r="M469" s="1067"/>
      <c r="N469" s="116"/>
      <c r="O469" s="116"/>
      <c r="P469" s="116"/>
      <c r="Q469" s="116"/>
      <c r="R469" s="116"/>
      <c r="S469" s="101"/>
      <c r="T469" s="101"/>
      <c r="U469" s="101"/>
      <c r="V469" s="101"/>
      <c r="W469" s="101"/>
      <c r="X469" s="101"/>
    </row>
  </sheetData>
  <mergeCells count="126">
    <mergeCell ref="G39:G40"/>
    <mergeCell ref="H39:H40"/>
    <mergeCell ref="B39:B40"/>
    <mergeCell ref="C39:C40"/>
    <mergeCell ref="D39:D40"/>
    <mergeCell ref="E39:E40"/>
    <mergeCell ref="F39:F40"/>
    <mergeCell ref="AG357:AH357"/>
    <mergeCell ref="AE51:AF51"/>
    <mergeCell ref="W224:Z224"/>
    <mergeCell ref="X225:AA225"/>
    <mergeCell ref="X63:AA63"/>
    <mergeCell ref="V172:AA172"/>
    <mergeCell ref="G56:G57"/>
    <mergeCell ref="H56:H57"/>
    <mergeCell ref="I56:I57"/>
    <mergeCell ref="J56:J57"/>
    <mergeCell ref="C53:E53"/>
    <mergeCell ref="G54:G55"/>
    <mergeCell ref="H54:H55"/>
    <mergeCell ref="I54:I55"/>
    <mergeCell ref="J54:J55"/>
    <mergeCell ref="G62:G63"/>
    <mergeCell ref="H62:H63"/>
    <mergeCell ref="AG1:AH1"/>
    <mergeCell ref="AE357:AF357"/>
    <mergeCell ref="AG51:AH51"/>
    <mergeCell ref="AE172:AF172"/>
    <mergeCell ref="AE1:AF1"/>
    <mergeCell ref="AH175:AI175"/>
    <mergeCell ref="AG172:AO172"/>
    <mergeCell ref="AJ175:AK175"/>
    <mergeCell ref="AL175:AM175"/>
    <mergeCell ref="AN175:AO175"/>
    <mergeCell ref="AJ176:AJ177"/>
    <mergeCell ref="AK176:AK177"/>
    <mergeCell ref="AL176:AL177"/>
    <mergeCell ref="AM176:AM177"/>
    <mergeCell ref="AN176:AN177"/>
    <mergeCell ref="AO176:AO177"/>
    <mergeCell ref="X428:AA428"/>
    <mergeCell ref="V357:AA357"/>
    <mergeCell ref="W359:AA359"/>
    <mergeCell ref="X15:AA15"/>
    <mergeCell ref="W53:AA53"/>
    <mergeCell ref="X61:AA61"/>
    <mergeCell ref="X151:AA151"/>
    <mergeCell ref="X160:AA160"/>
    <mergeCell ref="X141:AA141"/>
    <mergeCell ref="X45:AA45"/>
    <mergeCell ref="X28:AA28"/>
    <mergeCell ref="X184:AA184"/>
    <mergeCell ref="X242:AA242"/>
    <mergeCell ref="X338:AA338"/>
    <mergeCell ref="X54:AA54"/>
    <mergeCell ref="X107:AA107"/>
    <mergeCell ref="X388:AA388"/>
    <mergeCell ref="X402:AA402"/>
    <mergeCell ref="X419:AA419"/>
    <mergeCell ref="X412:AA412"/>
    <mergeCell ref="X369:AA369"/>
    <mergeCell ref="X97:AA97"/>
    <mergeCell ref="X37:AA37"/>
    <mergeCell ref="W96:Z96"/>
    <mergeCell ref="X360:AA360"/>
    <mergeCell ref="X367:AA367"/>
    <mergeCell ref="W387:Z387"/>
    <mergeCell ref="W174:AA174"/>
    <mergeCell ref="X175:AA175"/>
    <mergeCell ref="X347:AA347"/>
    <mergeCell ref="X182:AA182"/>
    <mergeCell ref="M2:N2"/>
    <mergeCell ref="O2:P2"/>
    <mergeCell ref="W3:AA3"/>
    <mergeCell ref="V51:AA51"/>
    <mergeCell ref="M52:N52"/>
    <mergeCell ref="O52:P52"/>
    <mergeCell ref="M54:M55"/>
    <mergeCell ref="N54:N55"/>
    <mergeCell ref="M56:M57"/>
    <mergeCell ref="N56:N57"/>
    <mergeCell ref="O54:O55"/>
    <mergeCell ref="P54:P55"/>
    <mergeCell ref="O56:O57"/>
    <mergeCell ref="P56:P57"/>
    <mergeCell ref="O60:O61"/>
    <mergeCell ref="P60:P61"/>
    <mergeCell ref="V1:AA1"/>
    <mergeCell ref="W14:Z14"/>
    <mergeCell ref="X20:AA20"/>
    <mergeCell ref="X4:AA4"/>
    <mergeCell ref="X11:AA11"/>
    <mergeCell ref="Q2:R2"/>
    <mergeCell ref="C3:E3"/>
    <mergeCell ref="B14:J14"/>
    <mergeCell ref="B19:J19"/>
    <mergeCell ref="I2:I3"/>
    <mergeCell ref="J2:J3"/>
    <mergeCell ref="B1:K1"/>
    <mergeCell ref="F3:H3"/>
    <mergeCell ref="F2:H2"/>
    <mergeCell ref="C2:E2"/>
    <mergeCell ref="B31:K31"/>
    <mergeCell ref="B26:J26"/>
    <mergeCell ref="B27:J27"/>
    <mergeCell ref="B28:J28"/>
    <mergeCell ref="B29:J29"/>
    <mergeCell ref="H7:H8"/>
    <mergeCell ref="G7:G8"/>
    <mergeCell ref="F7:F8"/>
    <mergeCell ref="E7:E8"/>
    <mergeCell ref="D7:D8"/>
    <mergeCell ref="C7:C8"/>
    <mergeCell ref="B7:B8"/>
    <mergeCell ref="I62:I63"/>
    <mergeCell ref="J62:J63"/>
    <mergeCell ref="M62:M63"/>
    <mergeCell ref="N62:N63"/>
    <mergeCell ref="O62:O63"/>
    <mergeCell ref="P62:P63"/>
    <mergeCell ref="G60:G61"/>
    <mergeCell ref="H60:H61"/>
    <mergeCell ref="I60:I61"/>
    <mergeCell ref="J60:J61"/>
    <mergeCell ref="M60:M61"/>
    <mergeCell ref="N60:N61"/>
  </mergeCells>
  <hyperlinks>
    <hyperlink ref="AH174" r:id="rId1"/>
  </hyperlinks>
  <pageMargins left="0.7" right="0.7" top="0.75" bottom="0.75" header="0.3" footer="0.3"/>
  <pageSetup orientation="portrait" r:id="rId2"/>
  <legacyDrawing r:id="rId3"/>
</worksheet>
</file>

<file path=xl/worksheets/sheet10.xml><?xml version="1.0" encoding="utf-8"?>
<worksheet xmlns="http://schemas.openxmlformats.org/spreadsheetml/2006/main" xmlns:r="http://schemas.openxmlformats.org/officeDocument/2006/relationships">
  <sheetPr codeName="Sheet12">
    <tabColor theme="0" tint="-0.34998626667073579"/>
    <pageSetUpPr fitToPage="1"/>
  </sheetPr>
  <dimension ref="A1:CV369"/>
  <sheetViews>
    <sheetView workbookViewId="0"/>
  </sheetViews>
  <sheetFormatPr defaultRowHeight="12.75"/>
  <cols>
    <col min="1" max="2" width="9.140625" style="634"/>
    <col min="3" max="3" width="10.28515625" style="634" customWidth="1"/>
    <col min="4" max="4" width="11.85546875" style="634" customWidth="1"/>
    <col min="5" max="9" width="9.140625" style="634"/>
    <col min="10" max="10" width="10.28515625" style="634" customWidth="1"/>
    <col min="11" max="13" width="9.140625" style="634"/>
    <col min="14" max="14" width="10.28515625" style="634" customWidth="1"/>
    <col min="15" max="15" width="12.28515625" style="634" customWidth="1"/>
    <col min="16" max="16" width="15.42578125" style="634" customWidth="1"/>
    <col min="17" max="17" width="17.140625" style="634" customWidth="1"/>
    <col min="18" max="18" width="11.85546875" style="634" customWidth="1"/>
    <col min="19" max="19" width="11.5703125" style="638" customWidth="1"/>
    <col min="20" max="20" width="20" style="638" customWidth="1"/>
    <col min="21" max="21" width="15.7109375" style="638" customWidth="1"/>
    <col min="22" max="22" width="22.140625" style="638" customWidth="1"/>
    <col min="23" max="23" width="12.85546875" style="638" customWidth="1"/>
    <col min="24" max="24" width="10.85546875" style="634" customWidth="1"/>
    <col min="25" max="34" width="10.7109375" style="634" bestFit="1" customWidth="1"/>
    <col min="35" max="36" width="9.140625" style="634"/>
    <col min="37" max="37" width="17.140625" style="634" customWidth="1"/>
    <col min="38" max="53" width="9.140625" style="634"/>
    <col min="54" max="54" width="5.28515625" style="634" customWidth="1"/>
    <col min="55" max="73" width="9.140625" style="634"/>
    <col min="74" max="74" width="4" style="634" bestFit="1" customWidth="1"/>
    <col min="75" max="77" width="4.140625" style="634" bestFit="1" customWidth="1"/>
    <col min="78" max="78" width="4.5703125" style="634" bestFit="1" customWidth="1"/>
    <col min="79" max="79" width="4" style="634" bestFit="1" customWidth="1"/>
    <col min="80" max="80" width="3.28515625" style="634" bestFit="1" customWidth="1"/>
    <col min="81" max="81" width="4.5703125" style="634" bestFit="1" customWidth="1"/>
    <col min="82" max="82" width="4.28515625" style="634" bestFit="1" customWidth="1"/>
    <col min="83" max="83" width="4" style="634" bestFit="1" customWidth="1"/>
    <col min="84" max="85" width="4.28515625" style="634" bestFit="1" customWidth="1"/>
    <col min="86" max="16384" width="9.140625" style="634"/>
  </cols>
  <sheetData>
    <row r="1" spans="1:54" ht="23.25">
      <c r="A1" s="737" t="s">
        <v>2880</v>
      </c>
    </row>
    <row r="2" spans="1:54" ht="23.25">
      <c r="A2" s="737"/>
      <c r="S2" s="714"/>
      <c r="T2" s="714"/>
      <c r="U2" s="714"/>
      <c r="V2" s="714"/>
      <c r="W2" s="714"/>
    </row>
    <row r="3" spans="1:54" s="667" customFormat="1">
      <c r="A3" s="634"/>
      <c r="B3" s="634"/>
      <c r="C3" s="634"/>
      <c r="D3" s="634"/>
      <c r="E3" s="634"/>
      <c r="F3" s="634"/>
      <c r="G3" s="634"/>
      <c r="H3" s="634"/>
      <c r="I3" s="634"/>
      <c r="J3" s="635" t="s">
        <v>1486</v>
      </c>
      <c r="K3" s="634"/>
      <c r="L3" s="634"/>
      <c r="M3" s="634"/>
      <c r="N3" s="634"/>
      <c r="O3" s="634"/>
      <c r="P3" s="635" t="s">
        <v>1487</v>
      </c>
      <c r="Q3" s="635" t="s">
        <v>1487</v>
      </c>
      <c r="R3" s="634"/>
      <c r="S3" s="634" t="s">
        <v>1488</v>
      </c>
      <c r="T3" s="638"/>
      <c r="U3" s="638"/>
      <c r="V3" s="638"/>
      <c r="W3" s="638"/>
      <c r="X3" s="638"/>
      <c r="Y3" s="634"/>
      <c r="Z3" s="634"/>
      <c r="AA3" s="634"/>
      <c r="AB3" s="634"/>
      <c r="AC3" s="634"/>
      <c r="AD3" s="634"/>
      <c r="AE3" s="634"/>
      <c r="AF3" s="634"/>
      <c r="AG3" s="634"/>
      <c r="AH3" s="634"/>
      <c r="AI3" s="634"/>
      <c r="AJ3" s="634"/>
      <c r="AK3" s="634"/>
      <c r="AL3" s="634"/>
      <c r="AM3" s="634"/>
      <c r="AN3" s="634"/>
      <c r="AO3" s="634"/>
      <c r="AP3" s="634"/>
      <c r="AQ3" s="634"/>
      <c r="AR3" s="634"/>
      <c r="AS3" s="634"/>
      <c r="AT3" s="634"/>
      <c r="AU3" s="634"/>
      <c r="AV3" s="634"/>
      <c r="AW3" s="634"/>
      <c r="AX3" s="634"/>
      <c r="AY3" s="634"/>
      <c r="AZ3" s="634"/>
      <c r="BA3" s="634"/>
      <c r="BB3" s="634"/>
    </row>
    <row r="4" spans="1:54">
      <c r="A4" s="634" t="s">
        <v>1489</v>
      </c>
      <c r="J4" s="635" t="s">
        <v>1490</v>
      </c>
      <c r="K4" s="635" t="s">
        <v>1491</v>
      </c>
      <c r="L4" s="635" t="s">
        <v>1492</v>
      </c>
      <c r="M4" s="635" t="s">
        <v>1493</v>
      </c>
      <c r="O4" s="635" t="s">
        <v>1277</v>
      </c>
      <c r="P4" s="635" t="s">
        <v>1494</v>
      </c>
      <c r="Q4" s="635" t="s">
        <v>1495</v>
      </c>
      <c r="R4" s="635" t="s">
        <v>1496</v>
      </c>
      <c r="S4" s="686">
        <v>39254</v>
      </c>
      <c r="T4" s="638" t="s">
        <v>1497</v>
      </c>
      <c r="W4" s="638" t="s">
        <v>1498</v>
      </c>
      <c r="X4" s="638"/>
      <c r="Y4" s="638"/>
    </row>
    <row r="5" spans="1:54">
      <c r="A5" s="635" t="s">
        <v>1499</v>
      </c>
      <c r="I5" s="635" t="s">
        <v>1145</v>
      </c>
      <c r="J5" s="687">
        <v>9.7600000000000006E-2</v>
      </c>
      <c r="K5" s="687">
        <v>0.11360000000000001</v>
      </c>
      <c r="L5" s="687">
        <f>97/L18</f>
        <v>0.12796833773087071</v>
      </c>
      <c r="M5" s="687">
        <f>W$72*W$70/365</f>
        <v>0.11591771923020547</v>
      </c>
      <c r="O5" s="634">
        <v>1</v>
      </c>
      <c r="P5" s="634">
        <v>0.05</v>
      </c>
      <c r="Q5" s="634">
        <v>0.08</v>
      </c>
      <c r="R5" s="634">
        <f>AVERAGE(P5:Q5)</f>
        <v>6.5000000000000002E-2</v>
      </c>
      <c r="S5" s="661">
        <v>39254</v>
      </c>
      <c r="T5" s="638">
        <v>1</v>
      </c>
      <c r="U5" s="638">
        <f>SIN((T5+365/4+11)/365*2*PI())</f>
        <v>0.97874007996691526</v>
      </c>
      <c r="W5" s="638">
        <v>1</v>
      </c>
      <c r="X5" s="638">
        <f>SIN((T5-0.5+12/4+11/30)/12*2*PI())</f>
        <v>0.89879404629916693</v>
      </c>
      <c r="Y5" s="638"/>
    </row>
    <row r="6" spans="1:54">
      <c r="I6" s="635" t="s">
        <v>1146</v>
      </c>
      <c r="J6" s="687">
        <v>8.0100000000000005E-2</v>
      </c>
      <c r="K6" s="687">
        <v>0.11409999999999999</v>
      </c>
      <c r="L6" s="687">
        <f>77/L18</f>
        <v>0.10158311345646438</v>
      </c>
      <c r="M6" s="687">
        <f>X$72*X$70/365</f>
        <v>9.1738914940510063E-2</v>
      </c>
      <c r="O6" s="634">
        <f>1+O5</f>
        <v>2</v>
      </c>
      <c r="P6" s="634">
        <v>0.03</v>
      </c>
      <c r="Q6" s="634">
        <v>0.06</v>
      </c>
      <c r="R6" s="634">
        <f t="shared" ref="R6:R28" si="0">AVERAGE(P6:Q6)</f>
        <v>4.4999999999999998E-2</v>
      </c>
      <c r="S6" s="688">
        <f>S5-S11</f>
        <v>171</v>
      </c>
      <c r="T6" s="638">
        <v>2</v>
      </c>
      <c r="U6" s="638">
        <f t="shared" ref="U6:U69" si="1">SIN((T6+365/4+11)/365*2*PI())</f>
        <v>0.97506453225719469</v>
      </c>
      <c r="W6" s="638">
        <v>2</v>
      </c>
      <c r="X6" s="638">
        <f t="shared" ref="X6:X16" si="2">SIN((T6-0.5+12/4+11/30)/12*2*PI())</f>
        <v>0.55919290347074724</v>
      </c>
      <c r="Y6" s="638"/>
    </row>
    <row r="7" spans="1:54">
      <c r="A7" s="635" t="s">
        <v>1500</v>
      </c>
      <c r="I7" s="635" t="s">
        <v>1003</v>
      </c>
      <c r="J7" s="687">
        <v>8.7300000000000003E-2</v>
      </c>
      <c r="K7" s="687">
        <v>8.8900000000000007E-2</v>
      </c>
      <c r="L7" s="687">
        <f>66/L18</f>
        <v>8.7071240105540904E-2</v>
      </c>
      <c r="M7" s="687">
        <f>Y$72*Y$70/365</f>
        <v>8.5802989807230556E-2</v>
      </c>
      <c r="O7" s="634">
        <f t="shared" ref="O7:O28" si="3">1+O6</f>
        <v>3</v>
      </c>
      <c r="P7" s="634">
        <v>0.03</v>
      </c>
      <c r="Q7" s="634">
        <v>0.04</v>
      </c>
      <c r="R7" s="634">
        <f t="shared" si="0"/>
        <v>3.5000000000000003E-2</v>
      </c>
      <c r="S7" s="689" t="s">
        <v>1501</v>
      </c>
      <c r="T7" s="638">
        <v>3</v>
      </c>
      <c r="U7" s="638">
        <f t="shared" si="1"/>
        <v>0.97110005188295045</v>
      </c>
      <c r="W7" s="638">
        <v>3</v>
      </c>
      <c r="X7" s="638">
        <f t="shared" si="2"/>
        <v>6.9756473744125524E-2</v>
      </c>
      <c r="Y7" s="638"/>
    </row>
    <row r="8" spans="1:54">
      <c r="A8" s="635" t="s">
        <v>1502</v>
      </c>
      <c r="I8" s="635" t="s">
        <v>1004</v>
      </c>
      <c r="J8" s="687">
        <v>7.6899999999999996E-2</v>
      </c>
      <c r="K8" s="687">
        <v>8.0500000000000002E-2</v>
      </c>
      <c r="L8" s="687">
        <f>51/L18</f>
        <v>6.7282321899736153E-2</v>
      </c>
      <c r="M8" s="687">
        <f>Z$72*Z$70/365</f>
        <v>6.7960689257294551E-2</v>
      </c>
      <c r="O8" s="634">
        <f t="shared" si="3"/>
        <v>4</v>
      </c>
      <c r="P8" s="634">
        <v>0.02</v>
      </c>
      <c r="Q8" s="634">
        <v>0.04</v>
      </c>
      <c r="R8" s="634">
        <f t="shared" si="0"/>
        <v>0.03</v>
      </c>
      <c r="S8" s="686">
        <v>39438</v>
      </c>
      <c r="T8" s="638">
        <v>4</v>
      </c>
      <c r="U8" s="638">
        <f t="shared" si="1"/>
        <v>0.96684781360527761</v>
      </c>
      <c r="W8" s="638">
        <v>4</v>
      </c>
      <c r="X8" s="638">
        <f t="shared" si="2"/>
        <v>-0.43837114678907707</v>
      </c>
      <c r="Y8" s="638"/>
    </row>
    <row r="9" spans="1:54">
      <c r="I9" s="635" t="s">
        <v>1005</v>
      </c>
      <c r="J9" s="687">
        <v>7.4899999999999994E-2</v>
      </c>
      <c r="K9" s="687">
        <v>8.1000000000000003E-2</v>
      </c>
      <c r="L9" s="687">
        <f>41/L18</f>
        <v>5.4089709762532981E-2</v>
      </c>
      <c r="M9" s="687">
        <f>AA$72*AA$70/365</f>
        <v>6.1138912853048594E-2</v>
      </c>
      <c r="O9" s="634">
        <f t="shared" si="3"/>
        <v>5</v>
      </c>
      <c r="P9" s="634">
        <v>0.03</v>
      </c>
      <c r="Q9" s="634">
        <v>0.04</v>
      </c>
      <c r="R9" s="634">
        <f t="shared" si="0"/>
        <v>3.5000000000000003E-2</v>
      </c>
      <c r="S9" s="661">
        <v>39438</v>
      </c>
      <c r="T9" s="638">
        <v>5</v>
      </c>
      <c r="U9" s="638">
        <f t="shared" si="1"/>
        <v>0.96230907745414873</v>
      </c>
      <c r="W9" s="638">
        <v>5</v>
      </c>
      <c r="X9" s="638">
        <f t="shared" si="2"/>
        <v>-0.8290375725550414</v>
      </c>
      <c r="Y9" s="638"/>
    </row>
    <row r="10" spans="1:54">
      <c r="A10" s="635" t="s">
        <v>1503</v>
      </c>
      <c r="I10" s="635" t="s">
        <v>1006</v>
      </c>
      <c r="J10" s="687">
        <v>7.1800000000000003E-2</v>
      </c>
      <c r="K10" s="687">
        <v>7.0499999999999993E-2</v>
      </c>
      <c r="L10" s="687">
        <f>32/L18</f>
        <v>4.221635883905013E-2</v>
      </c>
      <c r="M10" s="687">
        <f>AB$72*AB$70/365</f>
        <v>5.533498570442362E-2</v>
      </c>
      <c r="O10" s="634">
        <f t="shared" si="3"/>
        <v>6</v>
      </c>
      <c r="P10" s="634">
        <v>0.05</v>
      </c>
      <c r="Q10" s="634">
        <v>0.04</v>
      </c>
      <c r="R10" s="634">
        <f t="shared" si="0"/>
        <v>4.4999999999999998E-2</v>
      </c>
      <c r="S10" s="688">
        <f>S9-S11</f>
        <v>355</v>
      </c>
      <c r="T10" s="638">
        <v>6</v>
      </c>
      <c r="U10" s="638">
        <f t="shared" si="1"/>
        <v>0.95748518835503926</v>
      </c>
      <c r="W10" s="638">
        <v>6</v>
      </c>
      <c r="X10" s="638">
        <f t="shared" si="2"/>
        <v>-0.9975640502598242</v>
      </c>
      <c r="Y10" s="638"/>
    </row>
    <row r="11" spans="1:54">
      <c r="A11" s="635" t="s">
        <v>1504</v>
      </c>
      <c r="I11" s="635" t="s">
        <v>1007</v>
      </c>
      <c r="J11" s="687">
        <v>6.9599999999999995E-2</v>
      </c>
      <c r="K11" s="687">
        <v>5.8900000000000001E-2</v>
      </c>
      <c r="L11" s="687">
        <f>34/L18</f>
        <v>4.4854881266490766E-2</v>
      </c>
      <c r="M11" s="687">
        <f>AC$72*AC$70/365</f>
        <v>5.824959230155409E-2</v>
      </c>
      <c r="O11" s="634">
        <f t="shared" si="3"/>
        <v>7</v>
      </c>
      <c r="P11" s="634">
        <v>0.09</v>
      </c>
      <c r="Q11" s="634">
        <v>0.05</v>
      </c>
      <c r="R11" s="634">
        <f t="shared" si="0"/>
        <v>7.0000000000000007E-2</v>
      </c>
      <c r="S11" s="690">
        <v>39083</v>
      </c>
      <c r="T11" s="638">
        <v>7</v>
      </c>
      <c r="U11" s="638">
        <f t="shared" si="1"/>
        <v>0.95237757573039739</v>
      </c>
      <c r="W11" s="638">
        <v>7</v>
      </c>
      <c r="X11" s="638">
        <f t="shared" si="2"/>
        <v>-0.89879404629916704</v>
      </c>
      <c r="Y11" s="638"/>
    </row>
    <row r="12" spans="1:54">
      <c r="I12" s="635" t="s">
        <v>1505</v>
      </c>
      <c r="J12" s="687">
        <v>7.3700000000000002E-2</v>
      </c>
      <c r="K12" s="687">
        <v>5.1400000000000001E-2</v>
      </c>
      <c r="L12" s="687">
        <f>41/L18</f>
        <v>5.4089709762532981E-2</v>
      </c>
      <c r="M12" s="687">
        <f>AD$72*AD$70/365</f>
        <v>6.5473480080343288E-2</v>
      </c>
      <c r="O12" s="634">
        <f t="shared" si="3"/>
        <v>8</v>
      </c>
      <c r="P12" s="634">
        <v>0.11</v>
      </c>
      <c r="Q12" s="634">
        <v>0.08</v>
      </c>
      <c r="R12" s="634">
        <f t="shared" si="0"/>
        <v>9.5000000000000001E-2</v>
      </c>
      <c r="S12" s="634"/>
      <c r="T12" s="638">
        <v>8</v>
      </c>
      <c r="U12" s="638">
        <f t="shared" si="1"/>
        <v>0.9469877530760753</v>
      </c>
      <c r="W12" s="638">
        <v>8</v>
      </c>
      <c r="X12" s="638">
        <f t="shared" si="2"/>
        <v>-0.55919290347074735</v>
      </c>
      <c r="Y12" s="638"/>
    </row>
    <row r="13" spans="1:54">
      <c r="I13" s="635" t="s">
        <v>482</v>
      </c>
      <c r="J13" s="687">
        <v>8.0100000000000005E-2</v>
      </c>
      <c r="K13" s="687">
        <v>5.67E-2</v>
      </c>
      <c r="L13" s="687">
        <f>52/L18</f>
        <v>6.860158311345646E-2</v>
      </c>
      <c r="M13" s="687">
        <f>AE$72*AE$70/365</f>
        <v>7.5633588935449761E-2</v>
      </c>
      <c r="O13" s="634">
        <f t="shared" si="3"/>
        <v>9</v>
      </c>
      <c r="P13" s="634">
        <v>0.13</v>
      </c>
      <c r="Q13" s="634">
        <v>0.08</v>
      </c>
      <c r="R13" s="634">
        <f t="shared" si="0"/>
        <v>0.10500000000000001</v>
      </c>
      <c r="S13" s="634"/>
      <c r="T13" s="638">
        <v>9</v>
      </c>
      <c r="U13" s="638">
        <f t="shared" si="1"/>
        <v>0.94131731751284708</v>
      </c>
      <c r="W13" s="638">
        <v>9</v>
      </c>
      <c r="X13" s="638">
        <f t="shared" si="2"/>
        <v>-6.9756473744125636E-2</v>
      </c>
      <c r="Y13" s="638"/>
    </row>
    <row r="14" spans="1:54">
      <c r="I14" s="635" t="s">
        <v>483</v>
      </c>
      <c r="J14" s="687">
        <v>9.2700000000000005E-2</v>
      </c>
      <c r="K14" s="687">
        <v>6.9199999999999998E-2</v>
      </c>
      <c r="L14" s="687">
        <f>75/L18</f>
        <v>9.894459102902374E-2</v>
      </c>
      <c r="M14" s="687">
        <f>AF$72*AF$70/365</f>
        <v>9.4449084525061053E-2</v>
      </c>
      <c r="O14" s="634">
        <f t="shared" si="3"/>
        <v>10</v>
      </c>
      <c r="P14" s="634">
        <v>0.16</v>
      </c>
      <c r="Q14" s="634">
        <v>0.08</v>
      </c>
      <c r="R14" s="634">
        <f t="shared" si="0"/>
        <v>0.12</v>
      </c>
      <c r="S14" s="634"/>
      <c r="T14" s="638">
        <v>10</v>
      </c>
      <c r="U14" s="638">
        <f t="shared" si="1"/>
        <v>0.93536794931314837</v>
      </c>
      <c r="W14" s="638">
        <v>10</v>
      </c>
      <c r="X14" s="638">
        <f t="shared" si="2"/>
        <v>0.43837114678907735</v>
      </c>
      <c r="Y14" s="638"/>
      <c r="AL14" s="634">
        <f>$O47+0.13/0.266*(1/1.5/SQRT(2*PI()))*EXP(-0.5*((ABS(6-12)-6)/1.5)^2)</f>
        <v>0.15998119411575501</v>
      </c>
    </row>
    <row r="15" spans="1:54">
      <c r="I15" s="635" t="s">
        <v>484</v>
      </c>
      <c r="J15" s="687">
        <v>9.7100000000000006E-2</v>
      </c>
      <c r="K15" s="687">
        <v>0.10879999999999999</v>
      </c>
      <c r="L15" s="687">
        <f>89/L18</f>
        <v>0.11741424802110818</v>
      </c>
      <c r="M15" s="687">
        <f>AG$72*AG$70/365</f>
        <v>0.10789130895095179</v>
      </c>
      <c r="O15" s="634">
        <f t="shared" si="3"/>
        <v>11</v>
      </c>
      <c r="P15" s="634">
        <v>0.17</v>
      </c>
      <c r="Q15" s="634">
        <v>0.08</v>
      </c>
      <c r="R15" s="634">
        <f t="shared" si="0"/>
        <v>0.125</v>
      </c>
      <c r="S15" s="634"/>
      <c r="T15" s="638">
        <v>11</v>
      </c>
      <c r="U15" s="638">
        <f t="shared" si="1"/>
        <v>0.92914141140317441</v>
      </c>
      <c r="W15" s="638">
        <v>11</v>
      </c>
      <c r="X15" s="638">
        <f t="shared" si="2"/>
        <v>0.82903757255504185</v>
      </c>
      <c r="Y15" s="638"/>
    </row>
    <row r="16" spans="1:54">
      <c r="I16" s="635" t="s">
        <v>485</v>
      </c>
      <c r="J16" s="687">
        <v>9.8199999999999996E-2</v>
      </c>
      <c r="K16" s="687">
        <v>0.10639999999999999</v>
      </c>
      <c r="L16" s="687">
        <f>105/L18</f>
        <v>0.13852242744063326</v>
      </c>
      <c r="M16" s="687">
        <f>AH$72*AH$70/365</f>
        <v>0.12040873341392722</v>
      </c>
      <c r="O16" s="634">
        <f t="shared" si="3"/>
        <v>12</v>
      </c>
      <c r="P16" s="634">
        <v>0.18</v>
      </c>
      <c r="Q16" s="634">
        <v>7.0000000000000007E-2</v>
      </c>
      <c r="R16" s="634">
        <f t="shared" si="0"/>
        <v>0.125</v>
      </c>
      <c r="S16" s="634"/>
      <c r="T16" s="638">
        <v>12</v>
      </c>
      <c r="U16" s="638">
        <f t="shared" si="1"/>
        <v>0.9226395488404876</v>
      </c>
      <c r="W16" s="638">
        <v>12</v>
      </c>
      <c r="X16" s="638">
        <f t="shared" si="2"/>
        <v>0.9975640502598242</v>
      </c>
      <c r="Y16" s="638"/>
    </row>
    <row r="17" spans="10:99">
      <c r="J17" s="691">
        <f>SUM(J5:J16)</f>
        <v>0.99999999999999989</v>
      </c>
      <c r="K17" s="691">
        <f>SUM(K5:K16)</f>
        <v>1</v>
      </c>
      <c r="L17" s="691">
        <f>SUM(L5:L16)</f>
        <v>1.0026385224274406</v>
      </c>
      <c r="M17" s="691">
        <f>SUM(M5:M16)</f>
        <v>1</v>
      </c>
      <c r="O17" s="634">
        <f t="shared" si="3"/>
        <v>13</v>
      </c>
      <c r="P17" s="634">
        <v>0.15</v>
      </c>
      <c r="Q17" s="634">
        <v>7.0000000000000007E-2</v>
      </c>
      <c r="R17" s="634">
        <f t="shared" si="0"/>
        <v>0.11</v>
      </c>
      <c r="S17" s="634"/>
      <c r="T17" s="638">
        <v>13</v>
      </c>
      <c r="U17" s="638">
        <f t="shared" si="1"/>
        <v>0.91586428826728716</v>
      </c>
      <c r="V17" s="638" t="s">
        <v>1506</v>
      </c>
      <c r="W17" s="638">
        <f>IF('Sunrise Calc'!$B$2&lt;51.49,LOOKUP(W19,'Sunrise Calc'!$E$2:$G$13),LOOKUP(W19,'Sunrise Calc'!$E$18:$G$29))</f>
        <v>7.3836552964700273</v>
      </c>
      <c r="X17" s="679">
        <f>IF('Sunrise Calc'!$B$2&lt;51.49,LOOKUP(X19,'Sunrise Calc'!$E$2:$G$13),LOOKUP(X19,'Sunrise Calc'!$E$18:$G$29))</f>
        <v>6.9917731953053037</v>
      </c>
      <c r="Y17" s="679">
        <f>IF('Sunrise Calc'!$B$2&lt;51.49,LOOKUP(Y19,'Sunrise Calc'!$E$2:$G$13),LOOKUP(Y19,'Sunrise Calc'!$E$18:$G$29))</f>
        <v>6.2671876260428778</v>
      </c>
      <c r="Z17" s="679">
        <f>IF('Sunrise Calc'!$B$2&lt;51.49,LOOKUP(Z19,'Sunrise Calc'!$E$2:$G$13),LOOKUP(Z19,'Sunrise Calc'!$E$18:$G$29))</f>
        <v>6.4506554332670714</v>
      </c>
      <c r="AA17" s="679">
        <f>IF('Sunrise Calc'!$B$2&lt;51.49,LOOKUP(AA19,'Sunrise Calc'!$E$2:$G$13),LOOKUP(AA19,'Sunrise Calc'!$E$18:$G$29))</f>
        <v>5.8118788368786358</v>
      </c>
      <c r="AB17" s="679">
        <f>IF('Sunrise Calc'!$B$2&lt;51.49,LOOKUP(AB19,'Sunrise Calc'!$E$2:$G$13),LOOKUP(AB19,'Sunrise Calc'!$E$18:$G$29))</f>
        <v>5.5723871601683106</v>
      </c>
      <c r="AC17" s="679">
        <f>IF('Sunrise Calc'!$B$2&lt;51.49,LOOKUP(AC19,'Sunrise Calc'!$E$2:$G$13),LOOKUP(AC19,'Sunrise Calc'!$E$18:$G$29))</f>
        <v>5.7804497233468162</v>
      </c>
      <c r="AD17" s="679">
        <f>IF('Sunrise Calc'!$B$2&lt;51.49,LOOKUP(AD19,'Sunrise Calc'!$E$2:$G$13),LOOKUP(AD19,'Sunrise Calc'!$E$18:$G$29))</f>
        <v>6.237924799934734</v>
      </c>
      <c r="AE17" s="679">
        <f>IF('Sunrise Calc'!$B$2&lt;51.49,LOOKUP(AE19,'Sunrise Calc'!$E$2:$G$13),LOOKUP(AE19,'Sunrise Calc'!$E$18:$G$29))</f>
        <v>6.7275971166147936</v>
      </c>
      <c r="AF17" s="679">
        <f>IF('Sunrise Calc'!$B$2&lt;51.49,LOOKUP(AF19,'Sunrise Calc'!$E$2:$G$13),LOOKUP(AF19,'Sunrise Calc'!$E$18:$G$29))</f>
        <v>7.2244097492547761</v>
      </c>
      <c r="AG17" s="679">
        <f>IF('Sunrise Calc'!$B$2&lt;51.49,LOOKUP(AG19,'Sunrise Calc'!$E$2:$G$13),LOOKUP(AG19,'Sunrise Calc'!$E$18:$G$29))</f>
        <v>6.7728620705623177</v>
      </c>
      <c r="AH17" s="679">
        <f>IF('Sunrise Calc'!$B$2&lt;51.49,LOOKUP(AH19,'Sunrise Calc'!$E$2:$G$13),LOOKUP(AH19,'Sunrise Calc'!$E$18:$G$29))</f>
        <v>7.2556071483876323</v>
      </c>
    </row>
    <row r="18" spans="10:99">
      <c r="L18" s="635">
        <v>758</v>
      </c>
      <c r="O18" s="634">
        <f t="shared" si="3"/>
        <v>14</v>
      </c>
      <c r="P18" s="634">
        <v>0.14000000000000001</v>
      </c>
      <c r="Q18" s="634">
        <v>7.0000000000000007E-2</v>
      </c>
      <c r="R18" s="634">
        <f t="shared" si="0"/>
        <v>0.10500000000000001</v>
      </c>
      <c r="S18" s="634"/>
      <c r="T18" s="638">
        <v>14</v>
      </c>
      <c r="U18" s="638">
        <f t="shared" si="1"/>
        <v>0.90881763733950294</v>
      </c>
      <c r="V18" s="638" t="s">
        <v>1507</v>
      </c>
      <c r="W18" s="638">
        <f>IF('Sunrise Calc'!$B$2&lt;51.49,LOOKUP(W19,'Sunrise Calc'!$E$2:$F$13),LOOKUP(W19,'Sunrise Calc'!$E$18:$F$29))</f>
        <v>16.857544678185238</v>
      </c>
      <c r="X18" s="679">
        <f>IF('Sunrise Calc'!$B$2&lt;51.49,LOOKUP(X19,'Sunrise Calc'!$E$2:$F$13),LOOKUP(X19,'Sunrise Calc'!$E$18:$F$29))</f>
        <v>17.437241741007117</v>
      </c>
      <c r="Y18" s="679">
        <f>IF('Sunrise Calc'!$B$2&lt;51.49,LOOKUP(Y19,'Sunrise Calc'!$E$2:$F$13),LOOKUP(Y19,'Sunrise Calc'!$E$18:$F$29))</f>
        <v>17.998079287185259</v>
      </c>
      <c r="Z18" s="679">
        <f>IF('Sunrise Calc'!$B$2&lt;51.49,LOOKUP(Z19,'Sunrise Calc'!$E$2:$F$13),LOOKUP(Z19,'Sunrise Calc'!$E$18:$F$29))</f>
        <v>19.510561799828615</v>
      </c>
      <c r="AA18" s="679">
        <f>IF('Sunrise Calc'!$B$2&lt;51.49,LOOKUP(AA19,'Sunrise Calc'!$E$2:$F$13),LOOKUP(AA19,'Sunrise Calc'!$E$18:$F$29))</f>
        <v>20.010180572514365</v>
      </c>
      <c r="AB18" s="679">
        <f>IF('Sunrise Calc'!$B$2&lt;51.49,LOOKUP(AB19,'Sunrise Calc'!$E$2:$F$13),LOOKUP(AB19,'Sunrise Calc'!$E$18:$F$29))</f>
        <v>20.374629931868736</v>
      </c>
      <c r="AC18" s="679">
        <f>IF('Sunrise Calc'!$B$2&lt;51.49,LOOKUP(AC19,'Sunrise Calc'!$E$2:$F$13),LOOKUP(AC19,'Sunrise Calc'!$E$18:$F$29))</f>
        <v>20.361643541494157</v>
      </c>
      <c r="AD18" s="679">
        <f>IF('Sunrise Calc'!$B$2&lt;51.49,LOOKUP(AD19,'Sunrise Calc'!$E$2:$F$13),LOOKUP(AD19,'Sunrise Calc'!$E$18:$F$29))</f>
        <v>19.890155264174677</v>
      </c>
      <c r="AE18" s="679">
        <f>IF('Sunrise Calc'!$B$2&lt;51.49,LOOKUP(AE19,'Sunrise Calc'!$E$2:$F$13),LOOKUP(AE19,'Sunrise Calc'!$E$18:$F$29))</f>
        <v>19.108462689420406</v>
      </c>
      <c r="AF18" s="679">
        <f>IF('Sunrise Calc'!$B$2&lt;51.49,LOOKUP(AF19,'Sunrise Calc'!$E$2:$F$13),LOOKUP(AF19,'Sunrise Calc'!$E$18:$F$29))</f>
        <v>18.27174714218971</v>
      </c>
      <c r="AG18" s="679">
        <f>IF('Sunrise Calc'!$B$2&lt;51.49,LOOKUP(AG19,'Sunrise Calc'!$E$2:$F$13),LOOKUP(AG19,'Sunrise Calc'!$E$18:$F$29))</f>
        <v>16.654504851910414</v>
      </c>
      <c r="AH18" s="679">
        <f>IF('Sunrise Calc'!$B$2&lt;51.49,LOOKUP(AH19,'Sunrise Calc'!$E$2:$F$13),LOOKUP(AH19,'Sunrise Calc'!$E$18:$F$29))</f>
        <v>16.474106943976963</v>
      </c>
      <c r="BU18" s="634" t="str">
        <f>Locations!A2</f>
        <v>Denver Intl Ap, CO</v>
      </c>
    </row>
    <row r="19" spans="10:99">
      <c r="O19" s="634">
        <f>1+O18</f>
        <v>15</v>
      </c>
      <c r="P19" s="634">
        <v>0.14000000000000001</v>
      </c>
      <c r="Q19" s="634">
        <v>7.0000000000000007E-2</v>
      </c>
      <c r="R19" s="634">
        <f t="shared" si="0"/>
        <v>0.10500000000000001</v>
      </c>
      <c r="T19" s="638">
        <v>15</v>
      </c>
      <c r="U19" s="638">
        <f t="shared" si="1"/>
        <v>0.90150168413188414</v>
      </c>
      <c r="W19" s="638">
        <v>1</v>
      </c>
      <c r="X19" s="638">
        <v>2</v>
      </c>
      <c r="Y19" s="638">
        <v>3</v>
      </c>
      <c r="Z19" s="638">
        <v>4</v>
      </c>
      <c r="AA19" s="638">
        <v>5</v>
      </c>
      <c r="AB19" s="638">
        <v>6</v>
      </c>
      <c r="AC19" s="638">
        <v>7</v>
      </c>
      <c r="AD19" s="638">
        <v>8</v>
      </c>
      <c r="AE19" s="638">
        <v>9</v>
      </c>
      <c r="AF19" s="638">
        <v>10</v>
      </c>
      <c r="AG19" s="638">
        <v>11</v>
      </c>
      <c r="AH19" s="638">
        <v>12</v>
      </c>
      <c r="AK19" s="635" t="s">
        <v>2889</v>
      </c>
      <c r="AZ19" s="635" t="s">
        <v>1508</v>
      </c>
      <c r="BA19" s="635"/>
      <c r="BB19" s="635"/>
      <c r="BC19" s="635"/>
      <c r="BF19" s="635" t="s">
        <v>2888</v>
      </c>
      <c r="BU19" s="685" t="s">
        <v>6380</v>
      </c>
      <c r="CI19" s="685" t="s">
        <v>6381</v>
      </c>
    </row>
    <row r="20" spans="10:99">
      <c r="O20" s="634">
        <f t="shared" si="3"/>
        <v>16</v>
      </c>
      <c r="P20" s="634">
        <v>0.17</v>
      </c>
      <c r="Q20" s="634">
        <v>0.08</v>
      </c>
      <c r="R20" s="634">
        <f t="shared" si="0"/>
        <v>0.125</v>
      </c>
      <c r="T20" s="638">
        <v>16</v>
      </c>
      <c r="U20" s="638">
        <f t="shared" si="1"/>
        <v>0.89391859651925709</v>
      </c>
      <c r="V20" s="692" t="s">
        <v>1277</v>
      </c>
      <c r="W20" s="692" t="str">
        <f>AU60&amp; "- 1/2 hr"</f>
        <v>Jan- 1/2 hr</v>
      </c>
      <c r="X20" s="692" t="str">
        <f t="shared" ref="X20:AH20" si="4">AV60&amp; "- 1/2 hr"</f>
        <v>Feb- 1/2 hr</v>
      </c>
      <c r="Y20" s="692" t="str">
        <f t="shared" si="4"/>
        <v>Mar- 1/2 hr</v>
      </c>
      <c r="Z20" s="692" t="str">
        <f t="shared" si="4"/>
        <v>Apr- 1/2 hr</v>
      </c>
      <c r="AA20" s="692" t="str">
        <f t="shared" si="4"/>
        <v>May- 1/2 hr</v>
      </c>
      <c r="AB20" s="692" t="str">
        <f t="shared" si="4"/>
        <v>Jun- 1/2 hr</v>
      </c>
      <c r="AC20" s="692" t="str">
        <f t="shared" si="4"/>
        <v>Jul- 1/2 hr</v>
      </c>
      <c r="AD20" s="692" t="str">
        <f t="shared" si="4"/>
        <v>Aug- 1/2 hr</v>
      </c>
      <c r="AE20" s="692" t="str">
        <f t="shared" si="4"/>
        <v>Sep- 1/2 hr</v>
      </c>
      <c r="AF20" s="692" t="str">
        <f t="shared" si="4"/>
        <v>Oct- 1/2 hr</v>
      </c>
      <c r="AG20" s="692" t="str">
        <f t="shared" si="4"/>
        <v>Nov- 1/2 hr</v>
      </c>
      <c r="AH20" s="692" t="str">
        <f t="shared" si="4"/>
        <v>Dec- 1/2 hr</v>
      </c>
      <c r="AI20" s="634" t="s">
        <v>1509</v>
      </c>
      <c r="AK20" s="634" t="s">
        <v>1510</v>
      </c>
      <c r="AL20" s="678" t="s">
        <v>1511</v>
      </c>
      <c r="AM20" s="692" t="s">
        <v>1145</v>
      </c>
      <c r="AN20" s="692" t="s">
        <v>1146</v>
      </c>
      <c r="AO20" s="692" t="s">
        <v>1003</v>
      </c>
      <c r="AP20" s="692" t="s">
        <v>1004</v>
      </c>
      <c r="AQ20" s="692" t="s">
        <v>1005</v>
      </c>
      <c r="AR20" s="692" t="s">
        <v>1006</v>
      </c>
      <c r="AS20" s="692" t="s">
        <v>1007</v>
      </c>
      <c r="AT20" s="692" t="s">
        <v>481</v>
      </c>
      <c r="AU20" s="692" t="s">
        <v>482</v>
      </c>
      <c r="AV20" s="692" t="s">
        <v>483</v>
      </c>
      <c r="AW20" s="692" t="s">
        <v>484</v>
      </c>
      <c r="AX20" s="692" t="s">
        <v>485</v>
      </c>
      <c r="AZ20" s="635" t="s">
        <v>1512</v>
      </c>
      <c r="BA20" s="635"/>
      <c r="BB20" s="635"/>
      <c r="BC20" s="635" t="s">
        <v>2887</v>
      </c>
      <c r="BF20" s="634" t="s">
        <v>1510</v>
      </c>
      <c r="BG20" s="634" t="s">
        <v>1511</v>
      </c>
      <c r="BH20" s="634" t="s">
        <v>1145</v>
      </c>
      <c r="BI20" s="634" t="s">
        <v>1146</v>
      </c>
      <c r="BJ20" s="634" t="s">
        <v>1003</v>
      </c>
      <c r="BK20" s="634" t="s">
        <v>1004</v>
      </c>
      <c r="BL20" s="634" t="s">
        <v>1005</v>
      </c>
      <c r="BM20" s="634" t="s">
        <v>1006</v>
      </c>
      <c r="BN20" s="634" t="s">
        <v>1007</v>
      </c>
      <c r="BO20" s="634" t="s">
        <v>481</v>
      </c>
      <c r="BP20" s="634" t="s">
        <v>482</v>
      </c>
      <c r="BQ20" s="634" t="s">
        <v>483</v>
      </c>
      <c r="BR20" s="634" t="s">
        <v>484</v>
      </c>
      <c r="BS20" s="634" t="s">
        <v>485</v>
      </c>
      <c r="BU20" s="634" t="str">
        <f>V20</f>
        <v>Hour</v>
      </c>
      <c r="BV20" s="634" t="str">
        <f>W20</f>
        <v>Jan- 1/2 hr</v>
      </c>
      <c r="BW20" s="634" t="str">
        <f t="shared" ref="BW20:CF20" si="5">X20</f>
        <v>Feb- 1/2 hr</v>
      </c>
      <c r="BX20" s="634" t="str">
        <f t="shared" si="5"/>
        <v>Mar- 1/2 hr</v>
      </c>
      <c r="BY20" s="634" t="str">
        <f t="shared" si="5"/>
        <v>Apr- 1/2 hr</v>
      </c>
      <c r="BZ20" s="634" t="str">
        <f t="shared" si="5"/>
        <v>May- 1/2 hr</v>
      </c>
      <c r="CA20" s="634" t="str">
        <f t="shared" si="5"/>
        <v>Jun- 1/2 hr</v>
      </c>
      <c r="CB20" s="634" t="str">
        <f t="shared" si="5"/>
        <v>Jul- 1/2 hr</v>
      </c>
      <c r="CC20" s="634" t="str">
        <f t="shared" si="5"/>
        <v>Aug- 1/2 hr</v>
      </c>
      <c r="CD20" s="634" t="str">
        <f t="shared" si="5"/>
        <v>Sep- 1/2 hr</v>
      </c>
      <c r="CE20" s="634" t="str">
        <f t="shared" si="5"/>
        <v>Oct- 1/2 hr</v>
      </c>
      <c r="CF20" s="634" t="str">
        <f t="shared" si="5"/>
        <v>Nov- 1/2 hr</v>
      </c>
      <c r="CG20" s="634" t="str">
        <f>AH20</f>
        <v>Dec- 1/2 hr</v>
      </c>
      <c r="CI20" s="634" t="str">
        <f>AK20</f>
        <v>Hrly Profile</v>
      </c>
      <c r="CJ20" s="634" t="str">
        <f>AM20</f>
        <v>Jan</v>
      </c>
      <c r="CK20" s="634" t="str">
        <f t="shared" ref="CK20:CU20" si="6">AN20</f>
        <v>Feb</v>
      </c>
      <c r="CL20" s="634" t="str">
        <f t="shared" si="6"/>
        <v>Mar</v>
      </c>
      <c r="CM20" s="634" t="str">
        <f t="shared" si="6"/>
        <v>Apr</v>
      </c>
      <c r="CN20" s="634" t="str">
        <f t="shared" si="6"/>
        <v>May</v>
      </c>
      <c r="CO20" s="634" t="str">
        <f t="shared" si="6"/>
        <v>Jun</v>
      </c>
      <c r="CP20" s="634" t="str">
        <f t="shared" si="6"/>
        <v>Jul</v>
      </c>
      <c r="CQ20" s="634" t="str">
        <f t="shared" si="6"/>
        <v>Aug</v>
      </c>
      <c r="CR20" s="634" t="str">
        <f t="shared" si="6"/>
        <v>Sep</v>
      </c>
      <c r="CS20" s="634" t="str">
        <f t="shared" si="6"/>
        <v>Oct</v>
      </c>
      <c r="CT20" s="634" t="str">
        <f t="shared" si="6"/>
        <v>Nov</v>
      </c>
      <c r="CU20" s="634" t="str">
        <f t="shared" si="6"/>
        <v>Dec</v>
      </c>
    </row>
    <row r="21" spans="10:99">
      <c r="O21" s="634">
        <f t="shared" si="3"/>
        <v>17</v>
      </c>
      <c r="P21" s="634">
        <v>0.24</v>
      </c>
      <c r="Q21" s="634">
        <v>0.09</v>
      </c>
      <c r="R21" s="634">
        <f t="shared" si="0"/>
        <v>0.16499999999999998</v>
      </c>
      <c r="T21" s="638">
        <v>17</v>
      </c>
      <c r="U21" s="638">
        <f t="shared" si="1"/>
        <v>0.88607062153413796</v>
      </c>
      <c r="V21" s="693">
        <v>0.5</v>
      </c>
      <c r="W21" s="694">
        <f>IF($V21&lt;6,$O33,IF($V21&lt;=8,$O$44+0.005*(W$17-3)^2.4*EXP(-1*($V21-8)^2/(2*(0.8)^2))/(0.8*SQRT(2*PI())),W$45+0.005*(W$17-3)^2.4*EXP(-1*($V21-8)^2/(2*(0.8)^2))/(0.8*SQRT(2*PI()))))</f>
        <v>0.06</v>
      </c>
      <c r="X21" s="694">
        <f t="shared" ref="X21:AH21" si="7">IF($V21&lt;6,$O33,IF($V21&lt;=8,$O$44+0.005*(X$17-3)^2.4*EXP(-1*($V21-8)^2/(2*(0.8)^2))/(0.8*SQRT(2*PI())),X$45+0.005*(X$17-3)^2.4*EXP(-1*($V21-8)^2/(2*(0.8)^2))/(0.8*SQRT(2*PI()))))</f>
        <v>0.06</v>
      </c>
      <c r="Y21" s="694">
        <f t="shared" si="7"/>
        <v>0.06</v>
      </c>
      <c r="Z21" s="694">
        <f t="shared" si="7"/>
        <v>0.06</v>
      </c>
      <c r="AA21" s="694">
        <f t="shared" si="7"/>
        <v>0.06</v>
      </c>
      <c r="AB21" s="694">
        <f t="shared" si="7"/>
        <v>0.06</v>
      </c>
      <c r="AC21" s="694">
        <f t="shared" si="7"/>
        <v>0.06</v>
      </c>
      <c r="AD21" s="694">
        <f t="shared" si="7"/>
        <v>0.06</v>
      </c>
      <c r="AE21" s="694">
        <f t="shared" si="7"/>
        <v>0.06</v>
      </c>
      <c r="AF21" s="694">
        <f t="shared" si="7"/>
        <v>0.06</v>
      </c>
      <c r="AG21" s="694">
        <f t="shared" si="7"/>
        <v>0.06</v>
      </c>
      <c r="AH21" s="694">
        <f t="shared" si="7"/>
        <v>0.06</v>
      </c>
      <c r="AI21" s="645">
        <f>SUMPRODUCT(W21:AH21,W$70:AH$70)/365</f>
        <v>0.06</v>
      </c>
      <c r="AJ21" s="695"/>
      <c r="AK21" s="634">
        <v>1</v>
      </c>
      <c r="AL21" s="678">
        <f>SUM(AI21:AI22)/SUM(AI$21:AI$68)</f>
        <v>3.1447397074939161E-2</v>
      </c>
      <c r="AM21" s="634">
        <f>SUM(W21:W22)/SUM(W$21:W$68)</f>
        <v>2.2958931029971312E-2</v>
      </c>
      <c r="AN21" s="634">
        <f t="shared" ref="AN21:AX21" si="8">SUM(X21:X22)/SUM(X$21:X$68)</f>
        <v>2.6195190778883642E-2</v>
      </c>
      <c r="AO21" s="634">
        <f t="shared" si="8"/>
        <v>3.1239455903513302E-2</v>
      </c>
      <c r="AP21" s="634">
        <f t="shared" si="8"/>
        <v>3.8111576244204547E-2</v>
      </c>
      <c r="AQ21" s="634">
        <f t="shared" si="8"/>
        <v>4.3720973085609134E-2</v>
      </c>
      <c r="AR21" s="634">
        <f t="shared" si="8"/>
        <v>4.6795012448272444E-2</v>
      </c>
      <c r="AS21" s="634">
        <f t="shared" si="8"/>
        <v>4.5987762031717699E-2</v>
      </c>
      <c r="AT21" s="634">
        <f t="shared" si="8"/>
        <v>4.1059124582624729E-2</v>
      </c>
      <c r="AU21" s="634">
        <f t="shared" si="8"/>
        <v>3.4259434721744648E-2</v>
      </c>
      <c r="AV21" s="634">
        <f t="shared" si="8"/>
        <v>2.8290361094131959E-2</v>
      </c>
      <c r="AW21" s="634">
        <f t="shared" si="8"/>
        <v>2.3890754548899936E-2</v>
      </c>
      <c r="AX21" s="634">
        <f t="shared" si="8"/>
        <v>2.2116829887083123E-2</v>
      </c>
      <c r="AZ21" s="635">
        <v>3.2619105570216002E-2</v>
      </c>
      <c r="BA21" s="635"/>
      <c r="BB21" s="635" t="s">
        <v>1145</v>
      </c>
      <c r="BC21" s="635">
        <v>0.11591771923020544</v>
      </c>
      <c r="BF21" s="634">
        <v>1</v>
      </c>
      <c r="BG21" s="634">
        <v>3.2619105570216002E-2</v>
      </c>
      <c r="BH21" s="634">
        <v>2.3899622995976207E-2</v>
      </c>
      <c r="BI21" s="634">
        <v>2.7276184291198248E-2</v>
      </c>
      <c r="BJ21" s="634">
        <v>3.2287800161502921E-2</v>
      </c>
      <c r="BK21" s="634">
        <v>3.9449605425336744E-2</v>
      </c>
      <c r="BL21" s="634">
        <v>4.5313036475053886E-2</v>
      </c>
      <c r="BM21" s="634">
        <v>4.8450764764901066E-2</v>
      </c>
      <c r="BN21" s="634">
        <v>4.7560672593435778E-2</v>
      </c>
      <c r="BO21" s="634">
        <v>4.2313159232650437E-2</v>
      </c>
      <c r="BP21" s="634">
        <v>3.5447509676188142E-2</v>
      </c>
      <c r="BQ21" s="634">
        <v>2.9332097839659191E-2</v>
      </c>
      <c r="BR21" s="634">
        <v>2.4849289546139488E-2</v>
      </c>
      <c r="BS21" s="634">
        <v>2.3008213022485718E-2</v>
      </c>
      <c r="BU21" s="634">
        <f t="shared" ref="BU21:BU68" si="9">V21</f>
        <v>0.5</v>
      </c>
      <c r="CI21" s="634">
        <f t="shared" ref="CI21:CI44" si="10">AK21</f>
        <v>1</v>
      </c>
    </row>
    <row r="22" spans="10:99">
      <c r="O22" s="634">
        <f t="shared" si="3"/>
        <v>18</v>
      </c>
      <c r="P22" s="634">
        <v>0.28999999999999998</v>
      </c>
      <c r="Q22" s="634">
        <v>0.11</v>
      </c>
      <c r="R22" s="634">
        <f t="shared" si="0"/>
        <v>0.19999999999999998</v>
      </c>
      <c r="T22" s="638">
        <v>18</v>
      </c>
      <c r="U22" s="638">
        <f t="shared" si="1"/>
        <v>0.87796008470088815</v>
      </c>
      <c r="V22" s="693">
        <v>1</v>
      </c>
      <c r="W22" s="694">
        <f t="shared" ref="W22:AH37" si="11">IF($V22&lt;6,$O34,IF($V22&lt;=8,$O$44+0.005*(W$17-3)^2.4*EXP(-1*($V22-8)^2/(2*(0.8)^2))/(0.8*SQRT(2*PI())),W$45+0.005*(W$17-3)^2.4*EXP(-1*($V22-8)^2/(2*(0.8)^2))/(0.8*SQRT(2*PI()))))</f>
        <v>0.04</v>
      </c>
      <c r="X22" s="694">
        <f t="shared" si="11"/>
        <v>0.04</v>
      </c>
      <c r="Y22" s="694">
        <f t="shared" si="11"/>
        <v>0.04</v>
      </c>
      <c r="Z22" s="694">
        <f t="shared" si="11"/>
        <v>0.04</v>
      </c>
      <c r="AA22" s="694">
        <f t="shared" si="11"/>
        <v>0.04</v>
      </c>
      <c r="AB22" s="694">
        <f t="shared" si="11"/>
        <v>0.04</v>
      </c>
      <c r="AC22" s="694">
        <f t="shared" si="11"/>
        <v>0.04</v>
      </c>
      <c r="AD22" s="694">
        <f t="shared" si="11"/>
        <v>0.04</v>
      </c>
      <c r="AE22" s="694">
        <f t="shared" si="11"/>
        <v>0.04</v>
      </c>
      <c r="AF22" s="694">
        <f t="shared" si="11"/>
        <v>0.04</v>
      </c>
      <c r="AG22" s="694">
        <f t="shared" si="11"/>
        <v>0.04</v>
      </c>
      <c r="AH22" s="694">
        <f t="shared" si="11"/>
        <v>0.04</v>
      </c>
      <c r="AI22" s="645">
        <f t="shared" ref="AI22:AI68" si="12">SUMPRODUCT(W22:AH22,W$70:AH$70)/365</f>
        <v>0.04</v>
      </c>
      <c r="AJ22" s="695"/>
      <c r="AK22" s="634">
        <v>2</v>
      </c>
      <c r="AL22" s="678">
        <f>SUM(AI23:AI24)/SUM(AI$21:AI$68)</f>
        <v>1.8868438244963499E-2</v>
      </c>
      <c r="AM22" s="634">
        <f>SUM(W23:W24)/SUM(W$21:W$68)</f>
        <v>1.3775358617982788E-2</v>
      </c>
      <c r="AN22" s="634">
        <f t="shared" ref="AN22:AX22" si="13">SUM(X23:X24)/SUM(X$21:X$68)</f>
        <v>1.5717114467330186E-2</v>
      </c>
      <c r="AO22" s="634">
        <f t="shared" si="13"/>
        <v>1.8743673542107982E-2</v>
      </c>
      <c r="AP22" s="634">
        <f t="shared" si="13"/>
        <v>2.2866945746522729E-2</v>
      </c>
      <c r="AQ22" s="634">
        <f t="shared" si="13"/>
        <v>2.6232583851365482E-2</v>
      </c>
      <c r="AR22" s="634">
        <f t="shared" si="13"/>
        <v>2.8077007468963466E-2</v>
      </c>
      <c r="AS22" s="634">
        <f t="shared" si="13"/>
        <v>2.759265721903062E-2</v>
      </c>
      <c r="AT22" s="634">
        <f t="shared" si="13"/>
        <v>2.4635474749574837E-2</v>
      </c>
      <c r="AU22" s="634">
        <f t="shared" si="13"/>
        <v>2.0555660833046788E-2</v>
      </c>
      <c r="AV22" s="634">
        <f t="shared" si="13"/>
        <v>1.6974216656479177E-2</v>
      </c>
      <c r="AW22" s="634">
        <f t="shared" si="13"/>
        <v>1.4334452729339961E-2</v>
      </c>
      <c r="AX22" s="634">
        <f t="shared" si="13"/>
        <v>1.3270097932249874E-2</v>
      </c>
      <c r="AZ22" s="635">
        <v>1.9571463342129603E-2</v>
      </c>
      <c r="BA22" s="635"/>
      <c r="BB22" s="635" t="s">
        <v>1146</v>
      </c>
      <c r="BC22" s="635">
        <v>9.173891494051005E-2</v>
      </c>
      <c r="BF22" s="634">
        <v>2</v>
      </c>
      <c r="BG22" s="634">
        <v>1.9571463342129603E-2</v>
      </c>
      <c r="BH22" s="634">
        <v>1.4339773797585725E-2</v>
      </c>
      <c r="BI22" s="634">
        <v>1.6365710574718948E-2</v>
      </c>
      <c r="BJ22" s="634">
        <v>1.937268009690175E-2</v>
      </c>
      <c r="BK22" s="634">
        <v>2.3669763255202047E-2</v>
      </c>
      <c r="BL22" s="634">
        <v>2.718782188503233E-2</v>
      </c>
      <c r="BM22" s="634">
        <v>2.9070458858940641E-2</v>
      </c>
      <c r="BN22" s="634">
        <v>2.8536403556061466E-2</v>
      </c>
      <c r="BO22" s="634">
        <v>2.5387895539590262E-2</v>
      </c>
      <c r="BP22" s="634">
        <v>2.1268505805712885E-2</v>
      </c>
      <c r="BQ22" s="634">
        <v>1.7599258703795514E-2</v>
      </c>
      <c r="BR22" s="634">
        <v>1.4909573727683693E-2</v>
      </c>
      <c r="BS22" s="634">
        <v>1.3804927813491432E-2</v>
      </c>
      <c r="BU22" s="634">
        <f t="shared" si="9"/>
        <v>1</v>
      </c>
      <c r="BV22" s="634">
        <f>IF(AND(W22&lt;W21,W22&lt;W23),1,0)</f>
        <v>0</v>
      </c>
      <c r="BW22" s="634">
        <f t="shared" ref="BW22:CG37" si="14">IF(AND(X22&lt;X21,X22&lt;X23),1,0)</f>
        <v>0</v>
      </c>
      <c r="BX22" s="634">
        <f t="shared" si="14"/>
        <v>0</v>
      </c>
      <c r="BY22" s="634">
        <f t="shared" si="14"/>
        <v>0</v>
      </c>
      <c r="BZ22" s="634">
        <f t="shared" si="14"/>
        <v>0</v>
      </c>
      <c r="CA22" s="634">
        <f t="shared" si="14"/>
        <v>0</v>
      </c>
      <c r="CB22" s="634">
        <f t="shared" si="14"/>
        <v>0</v>
      </c>
      <c r="CC22" s="634">
        <f t="shared" si="14"/>
        <v>0</v>
      </c>
      <c r="CD22" s="634">
        <f t="shared" si="14"/>
        <v>0</v>
      </c>
      <c r="CE22" s="634">
        <f t="shared" si="14"/>
        <v>0</v>
      </c>
      <c r="CF22" s="634">
        <f t="shared" si="14"/>
        <v>0</v>
      </c>
      <c r="CG22" s="634">
        <f t="shared" si="14"/>
        <v>0</v>
      </c>
      <c r="CI22" s="634">
        <f t="shared" si="10"/>
        <v>2</v>
      </c>
      <c r="CJ22" s="634">
        <f>IF(AND(AM22&lt;AM21,AM22&lt;AM23),1,0)</f>
        <v>0</v>
      </c>
      <c r="CK22" s="634">
        <f t="shared" ref="CK22:CU22" si="15">IF(AND(AN22&lt;AN21,AN22&lt;AN23),1,0)</f>
        <v>0</v>
      </c>
      <c r="CL22" s="634">
        <f t="shared" si="15"/>
        <v>0</v>
      </c>
      <c r="CM22" s="634">
        <f t="shared" si="15"/>
        <v>0</v>
      </c>
      <c r="CN22" s="634">
        <f t="shared" si="15"/>
        <v>0</v>
      </c>
      <c r="CO22" s="634">
        <f t="shared" si="15"/>
        <v>0</v>
      </c>
      <c r="CP22" s="634">
        <f t="shared" si="15"/>
        <v>0</v>
      </c>
      <c r="CQ22" s="634">
        <f t="shared" si="15"/>
        <v>0</v>
      </c>
      <c r="CR22" s="634">
        <f t="shared" si="15"/>
        <v>0</v>
      </c>
      <c r="CS22" s="634">
        <f t="shared" si="15"/>
        <v>0</v>
      </c>
      <c r="CT22" s="634">
        <f t="shared" si="15"/>
        <v>0</v>
      </c>
      <c r="CU22" s="634">
        <f t="shared" si="15"/>
        <v>0</v>
      </c>
    </row>
    <row r="23" spans="10:99">
      <c r="O23" s="634">
        <f t="shared" si="3"/>
        <v>19</v>
      </c>
      <c r="P23" s="634">
        <v>0.31</v>
      </c>
      <c r="Q23" s="634">
        <v>0.13</v>
      </c>
      <c r="R23" s="634">
        <f t="shared" si="0"/>
        <v>0.22</v>
      </c>
      <c r="T23" s="638">
        <v>19</v>
      </c>
      <c r="U23" s="638">
        <f t="shared" si="1"/>
        <v>0.86958938934661101</v>
      </c>
      <c r="V23" s="693">
        <v>1.5</v>
      </c>
      <c r="W23" s="694">
        <f t="shared" si="11"/>
        <v>3.5000000000000003E-2</v>
      </c>
      <c r="X23" s="694">
        <f t="shared" si="11"/>
        <v>3.5000000000000003E-2</v>
      </c>
      <c r="Y23" s="694">
        <f t="shared" si="11"/>
        <v>3.5000000000000003E-2</v>
      </c>
      <c r="Z23" s="694">
        <f t="shared" si="11"/>
        <v>3.5000000000000003E-2</v>
      </c>
      <c r="AA23" s="694">
        <f t="shared" si="11"/>
        <v>3.5000000000000003E-2</v>
      </c>
      <c r="AB23" s="694">
        <f t="shared" si="11"/>
        <v>3.5000000000000003E-2</v>
      </c>
      <c r="AC23" s="694">
        <f t="shared" si="11"/>
        <v>3.5000000000000003E-2</v>
      </c>
      <c r="AD23" s="694">
        <f t="shared" si="11"/>
        <v>3.5000000000000003E-2</v>
      </c>
      <c r="AE23" s="694">
        <f t="shared" si="11"/>
        <v>3.5000000000000003E-2</v>
      </c>
      <c r="AF23" s="694">
        <f t="shared" si="11"/>
        <v>3.5000000000000003E-2</v>
      </c>
      <c r="AG23" s="694">
        <f t="shared" si="11"/>
        <v>3.5000000000000003E-2</v>
      </c>
      <c r="AH23" s="694">
        <f t="shared" si="11"/>
        <v>3.5000000000000003E-2</v>
      </c>
      <c r="AI23" s="645">
        <f t="shared" si="12"/>
        <v>3.500000000000001E-2</v>
      </c>
      <c r="AJ23" s="695"/>
      <c r="AK23" s="634">
        <v>3</v>
      </c>
      <c r="AL23" s="678">
        <f>SUM(AI25:AI26)/SUM(AI$21:AI$68)</f>
        <v>1.2578958829975664E-2</v>
      </c>
      <c r="AM23" s="634">
        <f>SUM(W25:W26)/SUM(W$21:W$68)</f>
        <v>9.1835724119885241E-3</v>
      </c>
      <c r="AN23" s="634">
        <f t="shared" ref="AN23:AX23" si="16">SUM(X25:X26)/SUM(X$21:X$68)</f>
        <v>1.0478076311553456E-2</v>
      </c>
      <c r="AO23" s="634">
        <f t="shared" si="16"/>
        <v>1.2495782361405321E-2</v>
      </c>
      <c r="AP23" s="634">
        <f t="shared" si="16"/>
        <v>1.5244630497681818E-2</v>
      </c>
      <c r="AQ23" s="634">
        <f t="shared" si="16"/>
        <v>1.7488389234243652E-2</v>
      </c>
      <c r="AR23" s="634">
        <f t="shared" si="16"/>
        <v>1.8718004979308978E-2</v>
      </c>
      <c r="AS23" s="634">
        <f t="shared" si="16"/>
        <v>1.839510481268708E-2</v>
      </c>
      <c r="AT23" s="634">
        <f t="shared" si="16"/>
        <v>1.6423649833049891E-2</v>
      </c>
      <c r="AU23" s="634">
        <f t="shared" si="16"/>
        <v>1.3703773888697857E-2</v>
      </c>
      <c r="AV23" s="634">
        <f t="shared" si="16"/>
        <v>1.1316144437652784E-2</v>
      </c>
      <c r="AW23" s="634">
        <f t="shared" si="16"/>
        <v>9.5563018195599734E-3</v>
      </c>
      <c r="AX23" s="634">
        <f t="shared" si="16"/>
        <v>8.846731954833249E-3</v>
      </c>
      <c r="AZ23" s="635">
        <v>1.3047642228086399E-2</v>
      </c>
      <c r="BA23" s="635"/>
      <c r="BB23" s="635" t="s">
        <v>1003</v>
      </c>
      <c r="BC23" s="635">
        <v>8.5802989807230542E-2</v>
      </c>
      <c r="BF23" s="634">
        <v>3</v>
      </c>
      <c r="BG23" s="634">
        <v>1.3047642228086399E-2</v>
      </c>
      <c r="BH23" s="634">
        <v>9.5598491983904833E-3</v>
      </c>
      <c r="BI23" s="634">
        <v>1.0910473716479298E-2</v>
      </c>
      <c r="BJ23" s="634">
        <v>1.2915120064601167E-2</v>
      </c>
      <c r="BK23" s="634">
        <v>1.5779842170134697E-2</v>
      </c>
      <c r="BL23" s="634">
        <v>1.8125214590021553E-2</v>
      </c>
      <c r="BM23" s="634">
        <v>1.9380305905960425E-2</v>
      </c>
      <c r="BN23" s="634">
        <v>1.9024269037374312E-2</v>
      </c>
      <c r="BO23" s="634">
        <v>1.6925263693060175E-2</v>
      </c>
      <c r="BP23" s="634">
        <v>1.4179003870475257E-2</v>
      </c>
      <c r="BQ23" s="634">
        <v>1.1732839135863676E-2</v>
      </c>
      <c r="BR23" s="634">
        <v>9.9397158184557945E-3</v>
      </c>
      <c r="BS23" s="634">
        <v>9.2032852089942874E-3</v>
      </c>
      <c r="BU23" s="634">
        <f t="shared" si="9"/>
        <v>1.5</v>
      </c>
      <c r="BV23" s="634">
        <f t="shared" ref="BV23:BV67" si="17">IF(AND(W23&lt;W22,W23&lt;W24),1,0)</f>
        <v>0</v>
      </c>
      <c r="BW23" s="634">
        <f t="shared" si="14"/>
        <v>0</v>
      </c>
      <c r="BX23" s="634">
        <f t="shared" si="14"/>
        <v>0</v>
      </c>
      <c r="BY23" s="634">
        <f t="shared" si="14"/>
        <v>0</v>
      </c>
      <c r="BZ23" s="634">
        <f t="shared" si="14"/>
        <v>0</v>
      </c>
      <c r="CA23" s="634">
        <f t="shared" si="14"/>
        <v>0</v>
      </c>
      <c r="CB23" s="634">
        <f t="shared" si="14"/>
        <v>0</v>
      </c>
      <c r="CC23" s="634">
        <f t="shared" si="14"/>
        <v>0</v>
      </c>
      <c r="CD23" s="634">
        <f t="shared" si="14"/>
        <v>0</v>
      </c>
      <c r="CE23" s="634">
        <f t="shared" si="14"/>
        <v>0</v>
      </c>
      <c r="CF23" s="634">
        <f t="shared" si="14"/>
        <v>0</v>
      </c>
      <c r="CG23" s="634">
        <f t="shared" si="14"/>
        <v>0</v>
      </c>
      <c r="CI23" s="634">
        <f t="shared" si="10"/>
        <v>3</v>
      </c>
      <c r="CJ23" s="634">
        <f t="shared" ref="CJ23:CJ43" si="18">IF(AND(AM23&lt;AM22,AM23&lt;AM24),1,0)</f>
        <v>0</v>
      </c>
      <c r="CK23" s="634">
        <f t="shared" ref="CK23:CK43" si="19">IF(AND(AN23&lt;AN22,AN23&lt;AN24),1,0)</f>
        <v>0</v>
      </c>
      <c r="CL23" s="634">
        <f t="shared" ref="CL23:CL43" si="20">IF(AND(AO23&lt;AO22,AO23&lt;AO24),1,0)</f>
        <v>0</v>
      </c>
      <c r="CM23" s="634">
        <f t="shared" ref="CM23:CM43" si="21">IF(AND(AP23&lt;AP22,AP23&lt;AP24),1,0)</f>
        <v>0</v>
      </c>
      <c r="CN23" s="634">
        <f t="shared" ref="CN23:CN43" si="22">IF(AND(AQ23&lt;AQ22,AQ23&lt;AQ24),1,0)</f>
        <v>0</v>
      </c>
      <c r="CO23" s="634">
        <f t="shared" ref="CO23:CO43" si="23">IF(AND(AR23&lt;AR22,AR23&lt;AR24),1,0)</f>
        <v>0</v>
      </c>
      <c r="CP23" s="634">
        <f t="shared" ref="CP23:CP43" si="24">IF(AND(AS23&lt;AS22,AS23&lt;AS24),1,0)</f>
        <v>0</v>
      </c>
      <c r="CQ23" s="634">
        <f t="shared" ref="CQ23:CQ43" si="25">IF(AND(AT23&lt;AT22,AT23&lt;AT24),1,0)</f>
        <v>0</v>
      </c>
      <c r="CR23" s="634">
        <f t="shared" ref="CR23:CR43" si="26">IF(AND(AU23&lt;AU22,AU23&lt;AU24),1,0)</f>
        <v>0</v>
      </c>
      <c r="CS23" s="634">
        <f t="shared" ref="CS23:CS43" si="27">IF(AND(AV23&lt;AV22,AV23&lt;AV24),1,0)</f>
        <v>0</v>
      </c>
      <c r="CT23" s="634">
        <f t="shared" ref="CT23:CT43" si="28">IF(AND(AW23&lt;AW22,AW23&lt;AW24),1,0)</f>
        <v>0</v>
      </c>
      <c r="CU23" s="634">
        <f t="shared" ref="CU23:CU43" si="29">IF(AND(AX23&lt;AX22,AX23&lt;AX24),1,0)</f>
        <v>0</v>
      </c>
    </row>
    <row r="24" spans="10:99" ht="14.25" customHeight="1">
      <c r="O24" s="634">
        <f t="shared" si="3"/>
        <v>20</v>
      </c>
      <c r="P24" s="634">
        <v>0.3</v>
      </c>
      <c r="Q24" s="634">
        <v>0.17</v>
      </c>
      <c r="R24" s="634">
        <f t="shared" si="0"/>
        <v>0.23499999999999999</v>
      </c>
      <c r="T24" s="638">
        <v>20</v>
      </c>
      <c r="U24" s="638">
        <f t="shared" si="1"/>
        <v>0.86096101588899443</v>
      </c>
      <c r="V24" s="693">
        <v>2</v>
      </c>
      <c r="W24" s="694">
        <f t="shared" si="11"/>
        <v>2.5000000000000001E-2</v>
      </c>
      <c r="X24" s="694">
        <f t="shared" si="11"/>
        <v>2.5000000000000001E-2</v>
      </c>
      <c r="Y24" s="694">
        <f t="shared" si="11"/>
        <v>2.5000000000000001E-2</v>
      </c>
      <c r="Z24" s="694">
        <f t="shared" si="11"/>
        <v>2.5000000000000001E-2</v>
      </c>
      <c r="AA24" s="694">
        <f t="shared" si="11"/>
        <v>2.5000000000000001E-2</v>
      </c>
      <c r="AB24" s="694">
        <f t="shared" si="11"/>
        <v>2.5000000000000001E-2</v>
      </c>
      <c r="AC24" s="694">
        <f t="shared" si="11"/>
        <v>2.5000000000000001E-2</v>
      </c>
      <c r="AD24" s="694">
        <f t="shared" si="11"/>
        <v>2.5000000000000001E-2</v>
      </c>
      <c r="AE24" s="694">
        <f t="shared" si="11"/>
        <v>2.5000000000000001E-2</v>
      </c>
      <c r="AF24" s="694">
        <f t="shared" si="11"/>
        <v>2.5000000000000001E-2</v>
      </c>
      <c r="AG24" s="694">
        <f t="shared" si="11"/>
        <v>2.5000000000000001E-2</v>
      </c>
      <c r="AH24" s="694">
        <f t="shared" si="11"/>
        <v>2.5000000000000001E-2</v>
      </c>
      <c r="AI24" s="645">
        <f t="shared" si="12"/>
        <v>2.5000000000000005E-2</v>
      </c>
      <c r="AJ24" s="695"/>
      <c r="AK24" s="634">
        <v>4</v>
      </c>
      <c r="AL24" s="678">
        <f>SUM(AI27:AI28)/SUM(AI$21:AI$68)</f>
        <v>1.2578958829975664E-2</v>
      </c>
      <c r="AM24" s="634">
        <f>SUM(W27:W28)/SUM(W$21:W$68)</f>
        <v>9.1835724119885241E-3</v>
      </c>
      <c r="AN24" s="634">
        <f t="shared" ref="AN24:AX24" si="30">SUM(X27:X28)/SUM(X$21:X$68)</f>
        <v>1.0478076311553456E-2</v>
      </c>
      <c r="AO24" s="634">
        <f t="shared" si="30"/>
        <v>1.2495782361405321E-2</v>
      </c>
      <c r="AP24" s="634">
        <f t="shared" si="30"/>
        <v>1.5244630497681818E-2</v>
      </c>
      <c r="AQ24" s="634">
        <f t="shared" si="30"/>
        <v>1.7488389234243652E-2</v>
      </c>
      <c r="AR24" s="634">
        <f t="shared" si="30"/>
        <v>1.8718004979308978E-2</v>
      </c>
      <c r="AS24" s="634">
        <f t="shared" si="30"/>
        <v>1.839510481268708E-2</v>
      </c>
      <c r="AT24" s="634">
        <f t="shared" si="30"/>
        <v>1.6423649833049891E-2</v>
      </c>
      <c r="AU24" s="634">
        <f t="shared" si="30"/>
        <v>1.3703773888697857E-2</v>
      </c>
      <c r="AV24" s="634">
        <f t="shared" si="30"/>
        <v>1.1316144437652784E-2</v>
      </c>
      <c r="AW24" s="634">
        <f t="shared" si="30"/>
        <v>9.5563018195599734E-3</v>
      </c>
      <c r="AX24" s="634">
        <f t="shared" si="30"/>
        <v>8.846731954833249E-3</v>
      </c>
      <c r="AZ24" s="635">
        <v>1.3047642228086399E-2</v>
      </c>
      <c r="BA24" s="635"/>
      <c r="BB24" s="635" t="s">
        <v>1004</v>
      </c>
      <c r="BC24" s="635">
        <v>6.7960689257294551E-2</v>
      </c>
      <c r="BF24" s="634">
        <v>4</v>
      </c>
      <c r="BG24" s="634">
        <v>1.3047642228086399E-2</v>
      </c>
      <c r="BH24" s="634">
        <v>9.5598491983904833E-3</v>
      </c>
      <c r="BI24" s="634">
        <v>1.0910473716479298E-2</v>
      </c>
      <c r="BJ24" s="634">
        <v>1.2915120064601167E-2</v>
      </c>
      <c r="BK24" s="634">
        <v>1.5779842170134697E-2</v>
      </c>
      <c r="BL24" s="634">
        <v>1.8125214590021553E-2</v>
      </c>
      <c r="BM24" s="634">
        <v>1.9380305905960425E-2</v>
      </c>
      <c r="BN24" s="634">
        <v>1.9024269037374312E-2</v>
      </c>
      <c r="BO24" s="634">
        <v>1.6925263693060175E-2</v>
      </c>
      <c r="BP24" s="634">
        <v>1.4179003870475257E-2</v>
      </c>
      <c r="BQ24" s="634">
        <v>1.1732839135863676E-2</v>
      </c>
      <c r="BR24" s="634">
        <v>9.9397158184557945E-3</v>
      </c>
      <c r="BS24" s="634">
        <v>9.2032852089942874E-3</v>
      </c>
      <c r="BU24" s="634">
        <f t="shared" si="9"/>
        <v>2</v>
      </c>
      <c r="BV24" s="634">
        <f t="shared" si="17"/>
        <v>0</v>
      </c>
      <c r="BW24" s="634">
        <f t="shared" si="14"/>
        <v>0</v>
      </c>
      <c r="BX24" s="634">
        <f t="shared" si="14"/>
        <v>0</v>
      </c>
      <c r="BY24" s="634">
        <f t="shared" si="14"/>
        <v>0</v>
      </c>
      <c r="BZ24" s="634">
        <f t="shared" si="14"/>
        <v>0</v>
      </c>
      <c r="CA24" s="634">
        <f t="shared" si="14"/>
        <v>0</v>
      </c>
      <c r="CB24" s="634">
        <f t="shared" si="14"/>
        <v>0</v>
      </c>
      <c r="CC24" s="634">
        <f t="shared" si="14"/>
        <v>0</v>
      </c>
      <c r="CD24" s="634">
        <f t="shared" si="14"/>
        <v>0</v>
      </c>
      <c r="CE24" s="634">
        <f t="shared" si="14"/>
        <v>0</v>
      </c>
      <c r="CF24" s="634">
        <f t="shared" si="14"/>
        <v>0</v>
      </c>
      <c r="CG24" s="634">
        <f t="shared" si="14"/>
        <v>0</v>
      </c>
      <c r="CI24" s="634">
        <f t="shared" si="10"/>
        <v>4</v>
      </c>
      <c r="CJ24" s="634">
        <f t="shared" si="18"/>
        <v>0</v>
      </c>
      <c r="CK24" s="634">
        <f t="shared" si="19"/>
        <v>0</v>
      </c>
      <c r="CL24" s="634">
        <f t="shared" si="20"/>
        <v>0</v>
      </c>
      <c r="CM24" s="634">
        <f t="shared" si="21"/>
        <v>0</v>
      </c>
      <c r="CN24" s="634">
        <f t="shared" si="22"/>
        <v>0</v>
      </c>
      <c r="CO24" s="634">
        <f t="shared" si="23"/>
        <v>0</v>
      </c>
      <c r="CP24" s="634">
        <f t="shared" si="24"/>
        <v>0</v>
      </c>
      <c r="CQ24" s="634">
        <f t="shared" si="25"/>
        <v>0</v>
      </c>
      <c r="CR24" s="634">
        <f t="shared" si="26"/>
        <v>0</v>
      </c>
      <c r="CS24" s="634">
        <f t="shared" si="27"/>
        <v>0</v>
      </c>
      <c r="CT24" s="634">
        <f t="shared" si="28"/>
        <v>0</v>
      </c>
      <c r="CU24" s="634">
        <f t="shared" si="29"/>
        <v>0</v>
      </c>
    </row>
    <row r="25" spans="10:99" ht="15.75" customHeight="1">
      <c r="O25" s="634">
        <f t="shared" si="3"/>
        <v>21</v>
      </c>
      <c r="P25" s="634">
        <v>0.28999999999999998</v>
      </c>
      <c r="Q25" s="634">
        <v>0.23</v>
      </c>
      <c r="R25" s="634">
        <f t="shared" si="0"/>
        <v>0.26</v>
      </c>
      <c r="T25" s="638">
        <v>21</v>
      </c>
      <c r="U25" s="638">
        <f t="shared" si="1"/>
        <v>0.85207752110130941</v>
      </c>
      <c r="V25" s="693">
        <v>2.5</v>
      </c>
      <c r="W25" s="694">
        <f t="shared" si="11"/>
        <v>0.02</v>
      </c>
      <c r="X25" s="694">
        <f t="shared" si="11"/>
        <v>0.02</v>
      </c>
      <c r="Y25" s="694">
        <f t="shared" si="11"/>
        <v>0.02</v>
      </c>
      <c r="Z25" s="694">
        <f t="shared" si="11"/>
        <v>0.02</v>
      </c>
      <c r="AA25" s="694">
        <f t="shared" si="11"/>
        <v>0.02</v>
      </c>
      <c r="AB25" s="694">
        <f t="shared" si="11"/>
        <v>0.02</v>
      </c>
      <c r="AC25" s="694">
        <f t="shared" si="11"/>
        <v>0.02</v>
      </c>
      <c r="AD25" s="694">
        <f t="shared" si="11"/>
        <v>0.02</v>
      </c>
      <c r="AE25" s="694">
        <f t="shared" si="11"/>
        <v>0.02</v>
      </c>
      <c r="AF25" s="694">
        <f t="shared" si="11"/>
        <v>0.02</v>
      </c>
      <c r="AG25" s="694">
        <f t="shared" si="11"/>
        <v>0.02</v>
      </c>
      <c r="AH25" s="694">
        <f t="shared" si="11"/>
        <v>0.02</v>
      </c>
      <c r="AI25" s="645">
        <f t="shared" si="12"/>
        <v>0.02</v>
      </c>
      <c r="AJ25" s="695"/>
      <c r="AK25" s="634">
        <v>5</v>
      </c>
      <c r="AL25" s="678">
        <f>SUM(AI29:AI30)/SUM(AI$21:AI$68)</f>
        <v>1.2578958829975664E-2</v>
      </c>
      <c r="AM25" s="634">
        <f>SUM(W29:W30)/SUM(W$21:W$68)</f>
        <v>9.1835724119885241E-3</v>
      </c>
      <c r="AN25" s="634">
        <f t="shared" ref="AN25:AX25" si="31">SUM(X29:X30)/SUM(X$21:X$68)</f>
        <v>1.0478076311553456E-2</v>
      </c>
      <c r="AO25" s="634">
        <f t="shared" si="31"/>
        <v>1.2495782361405321E-2</v>
      </c>
      <c r="AP25" s="634">
        <f t="shared" si="31"/>
        <v>1.5244630497681818E-2</v>
      </c>
      <c r="AQ25" s="634">
        <f t="shared" si="31"/>
        <v>1.7488389234243652E-2</v>
      </c>
      <c r="AR25" s="634">
        <f t="shared" si="31"/>
        <v>1.8718004979308978E-2</v>
      </c>
      <c r="AS25" s="634">
        <f t="shared" si="31"/>
        <v>1.839510481268708E-2</v>
      </c>
      <c r="AT25" s="634">
        <f t="shared" si="31"/>
        <v>1.6423649833049891E-2</v>
      </c>
      <c r="AU25" s="634">
        <f t="shared" si="31"/>
        <v>1.3703773888697857E-2</v>
      </c>
      <c r="AV25" s="634">
        <f t="shared" si="31"/>
        <v>1.1316144437652784E-2</v>
      </c>
      <c r="AW25" s="634">
        <f t="shared" si="31"/>
        <v>9.5563018195599734E-3</v>
      </c>
      <c r="AX25" s="634">
        <f t="shared" si="31"/>
        <v>8.846731954833249E-3</v>
      </c>
      <c r="AZ25" s="635">
        <v>1.3047642228086399E-2</v>
      </c>
      <c r="BA25" s="635"/>
      <c r="BB25" s="635" t="s">
        <v>1005</v>
      </c>
      <c r="BC25" s="635">
        <v>6.1138912853048587E-2</v>
      </c>
      <c r="BF25" s="634">
        <v>5</v>
      </c>
      <c r="BG25" s="634">
        <v>1.3047642228086399E-2</v>
      </c>
      <c r="BH25" s="634">
        <v>9.5598491983904833E-3</v>
      </c>
      <c r="BI25" s="634">
        <v>1.0910473716479298E-2</v>
      </c>
      <c r="BJ25" s="634">
        <v>1.2915120064601167E-2</v>
      </c>
      <c r="BK25" s="634">
        <v>1.5779842170134697E-2</v>
      </c>
      <c r="BL25" s="634">
        <v>1.8125214590021553E-2</v>
      </c>
      <c r="BM25" s="634">
        <v>1.9380305905960425E-2</v>
      </c>
      <c r="BN25" s="634">
        <v>1.9024269037374312E-2</v>
      </c>
      <c r="BO25" s="634">
        <v>1.6925263693060175E-2</v>
      </c>
      <c r="BP25" s="634">
        <v>1.4179003870475257E-2</v>
      </c>
      <c r="BQ25" s="634">
        <v>1.1732839135863676E-2</v>
      </c>
      <c r="BR25" s="634">
        <v>9.9397158184557945E-3</v>
      </c>
      <c r="BS25" s="634">
        <v>9.2032852089942874E-3</v>
      </c>
      <c r="BU25" s="634">
        <f t="shared" si="9"/>
        <v>2.5</v>
      </c>
      <c r="BV25" s="634">
        <f t="shared" si="17"/>
        <v>0</v>
      </c>
      <c r="BW25" s="634">
        <f t="shared" si="14"/>
        <v>0</v>
      </c>
      <c r="BX25" s="634">
        <f t="shared" si="14"/>
        <v>0</v>
      </c>
      <c r="BY25" s="634">
        <f t="shared" si="14"/>
        <v>0</v>
      </c>
      <c r="BZ25" s="634">
        <f t="shared" si="14"/>
        <v>0</v>
      </c>
      <c r="CA25" s="634">
        <f t="shared" si="14"/>
        <v>0</v>
      </c>
      <c r="CB25" s="634">
        <f t="shared" si="14"/>
        <v>0</v>
      </c>
      <c r="CC25" s="634">
        <f t="shared" si="14"/>
        <v>0</v>
      </c>
      <c r="CD25" s="634">
        <f t="shared" si="14"/>
        <v>0</v>
      </c>
      <c r="CE25" s="634">
        <f t="shared" si="14"/>
        <v>0</v>
      </c>
      <c r="CF25" s="634">
        <f t="shared" si="14"/>
        <v>0</v>
      </c>
      <c r="CG25" s="634">
        <f t="shared" si="14"/>
        <v>0</v>
      </c>
      <c r="CI25" s="634">
        <f t="shared" si="10"/>
        <v>5</v>
      </c>
      <c r="CJ25" s="634">
        <f t="shared" si="18"/>
        <v>0</v>
      </c>
      <c r="CK25" s="634">
        <f t="shared" si="19"/>
        <v>0</v>
      </c>
      <c r="CL25" s="634">
        <f t="shared" si="20"/>
        <v>0</v>
      </c>
      <c r="CM25" s="634">
        <f t="shared" si="21"/>
        <v>0</v>
      </c>
      <c r="CN25" s="634">
        <f t="shared" si="22"/>
        <v>0</v>
      </c>
      <c r="CO25" s="634">
        <f t="shared" si="23"/>
        <v>0</v>
      </c>
      <c r="CP25" s="634">
        <f t="shared" si="24"/>
        <v>0</v>
      </c>
      <c r="CQ25" s="634">
        <f t="shared" si="25"/>
        <v>0</v>
      </c>
      <c r="CR25" s="634">
        <f t="shared" si="26"/>
        <v>0</v>
      </c>
      <c r="CS25" s="634">
        <f t="shared" si="27"/>
        <v>0</v>
      </c>
      <c r="CT25" s="634">
        <f t="shared" si="28"/>
        <v>0</v>
      </c>
      <c r="CU25" s="634">
        <f t="shared" si="29"/>
        <v>0</v>
      </c>
    </row>
    <row r="26" spans="10:99">
      <c r="O26" s="634">
        <f t="shared" si="3"/>
        <v>22</v>
      </c>
      <c r="P26" s="634">
        <v>0.25</v>
      </c>
      <c r="Q26" s="634">
        <v>0.26</v>
      </c>
      <c r="R26" s="634">
        <f t="shared" si="0"/>
        <v>0.255</v>
      </c>
      <c r="T26" s="638">
        <v>22</v>
      </c>
      <c r="U26" s="638">
        <f t="shared" si="1"/>
        <v>0.84294153735478283</v>
      </c>
      <c r="V26" s="693">
        <v>3</v>
      </c>
      <c r="W26" s="694">
        <f t="shared" si="11"/>
        <v>0.02</v>
      </c>
      <c r="X26" s="694">
        <f t="shared" si="11"/>
        <v>0.02</v>
      </c>
      <c r="Y26" s="694">
        <f t="shared" si="11"/>
        <v>0.02</v>
      </c>
      <c r="Z26" s="694">
        <f t="shared" si="11"/>
        <v>0.02</v>
      </c>
      <c r="AA26" s="694">
        <f t="shared" si="11"/>
        <v>0.02</v>
      </c>
      <c r="AB26" s="694">
        <f t="shared" si="11"/>
        <v>0.02</v>
      </c>
      <c r="AC26" s="694">
        <f t="shared" si="11"/>
        <v>0.02</v>
      </c>
      <c r="AD26" s="694">
        <f t="shared" si="11"/>
        <v>0.02</v>
      </c>
      <c r="AE26" s="694">
        <f t="shared" si="11"/>
        <v>0.02</v>
      </c>
      <c r="AF26" s="694">
        <f t="shared" si="11"/>
        <v>0.02</v>
      </c>
      <c r="AG26" s="694">
        <f t="shared" si="11"/>
        <v>0.02</v>
      </c>
      <c r="AH26" s="694">
        <f t="shared" si="11"/>
        <v>0.02</v>
      </c>
      <c r="AI26" s="645">
        <f t="shared" si="12"/>
        <v>0.02</v>
      </c>
      <c r="AJ26" s="695"/>
      <c r="AK26" s="634">
        <v>6</v>
      </c>
      <c r="AL26" s="678">
        <f>SUM(AI31:AI32)/SUM(AI$21:AI$68)</f>
        <v>1.3327366331788434E-2</v>
      </c>
      <c r="AM26" s="634">
        <f>SUM(W31:W32)/SUM(W$21:W$68)</f>
        <v>1.0056501252779244E-2</v>
      </c>
      <c r="AN26" s="634">
        <f t="shared" ref="AN26:AX26" si="32">SUM(X31:X32)/SUM(X$21:X$68)</f>
        <v>1.1273574969145769E-2</v>
      </c>
      <c r="AO26" s="634">
        <f t="shared" si="32"/>
        <v>1.3082381025789739E-2</v>
      </c>
      <c r="AP26" s="634">
        <f t="shared" si="32"/>
        <v>1.6060537322136074E-2</v>
      </c>
      <c r="AQ26" s="634">
        <f t="shared" si="32"/>
        <v>1.8061055359325381E-2</v>
      </c>
      <c r="AR26" s="634">
        <f t="shared" si="32"/>
        <v>1.9213029365548376E-2</v>
      </c>
      <c r="AS26" s="634">
        <f t="shared" si="32"/>
        <v>1.8981429545294651E-2</v>
      </c>
      <c r="AT26" s="634">
        <f t="shared" si="32"/>
        <v>1.7178168054488772E-2</v>
      </c>
      <c r="AU26" s="634">
        <f t="shared" si="32"/>
        <v>1.4586507251847092E-2</v>
      </c>
      <c r="AV26" s="634">
        <f t="shared" si="32"/>
        <v>1.2300374905524349E-2</v>
      </c>
      <c r="AW26" s="634">
        <f t="shared" si="32"/>
        <v>1.0189967114268252E-2</v>
      </c>
      <c r="AX26" s="634">
        <f t="shared" si="32"/>
        <v>9.6298917355566588E-3</v>
      </c>
      <c r="AZ26" s="635">
        <v>1.3844991759640518E-2</v>
      </c>
      <c r="BA26" s="635"/>
      <c r="BB26" s="635" t="s">
        <v>1006</v>
      </c>
      <c r="BC26" s="635">
        <v>5.5334985704423606E-2</v>
      </c>
      <c r="BF26" s="634">
        <v>6</v>
      </c>
      <c r="BG26" s="634">
        <v>1.3844991759640518E-2</v>
      </c>
      <c r="BH26" s="634">
        <v>1.046786451174443E-2</v>
      </c>
      <c r="BI26" s="634">
        <v>1.1747934907070776E-2</v>
      </c>
      <c r="BJ26" s="634">
        <v>1.3540695432430968E-2</v>
      </c>
      <c r="BK26" s="634">
        <v>1.6664961402907252E-2</v>
      </c>
      <c r="BL26" s="634">
        <v>1.8765663664446833E-2</v>
      </c>
      <c r="BM26" s="634">
        <v>1.9943599965884854E-2</v>
      </c>
      <c r="BN26" s="634">
        <v>1.9683500840876427E-2</v>
      </c>
      <c r="BO26" s="634">
        <v>1.7749518270534247E-2</v>
      </c>
      <c r="BP26" s="634">
        <v>1.5125141755857944E-2</v>
      </c>
      <c r="BQ26" s="634">
        <v>1.2770755063530531E-2</v>
      </c>
      <c r="BR26" s="634">
        <v>1.06017598741972E-2</v>
      </c>
      <c r="BS26" s="634">
        <v>1.0014898224714816E-2</v>
      </c>
      <c r="BU26" s="634">
        <f t="shared" si="9"/>
        <v>3</v>
      </c>
      <c r="BV26" s="634">
        <f t="shared" si="17"/>
        <v>0</v>
      </c>
      <c r="BW26" s="634">
        <f t="shared" si="14"/>
        <v>0</v>
      </c>
      <c r="BX26" s="634">
        <f t="shared" si="14"/>
        <v>0</v>
      </c>
      <c r="BY26" s="634">
        <f t="shared" si="14"/>
        <v>0</v>
      </c>
      <c r="BZ26" s="634">
        <f t="shared" si="14"/>
        <v>0</v>
      </c>
      <c r="CA26" s="634">
        <f t="shared" si="14"/>
        <v>0</v>
      </c>
      <c r="CB26" s="634">
        <f t="shared" si="14"/>
        <v>0</v>
      </c>
      <c r="CC26" s="634">
        <f t="shared" si="14"/>
        <v>0</v>
      </c>
      <c r="CD26" s="634">
        <f t="shared" si="14"/>
        <v>0</v>
      </c>
      <c r="CE26" s="634">
        <f t="shared" si="14"/>
        <v>0</v>
      </c>
      <c r="CF26" s="634">
        <f t="shared" si="14"/>
        <v>0</v>
      </c>
      <c r="CG26" s="634">
        <f t="shared" si="14"/>
        <v>0</v>
      </c>
      <c r="CI26" s="634">
        <f t="shared" si="10"/>
        <v>6</v>
      </c>
      <c r="CJ26" s="634">
        <f t="shared" si="18"/>
        <v>0</v>
      </c>
      <c r="CK26" s="634">
        <f t="shared" si="19"/>
        <v>0</v>
      </c>
      <c r="CL26" s="634">
        <f t="shared" si="20"/>
        <v>0</v>
      </c>
      <c r="CM26" s="634">
        <f t="shared" si="21"/>
        <v>0</v>
      </c>
      <c r="CN26" s="634">
        <f t="shared" si="22"/>
        <v>0</v>
      </c>
      <c r="CO26" s="634">
        <f t="shared" si="23"/>
        <v>0</v>
      </c>
      <c r="CP26" s="634">
        <f t="shared" si="24"/>
        <v>0</v>
      </c>
      <c r="CQ26" s="634">
        <f t="shared" si="25"/>
        <v>0</v>
      </c>
      <c r="CR26" s="634">
        <f t="shared" si="26"/>
        <v>0</v>
      </c>
      <c r="CS26" s="634">
        <f t="shared" si="27"/>
        <v>0</v>
      </c>
      <c r="CT26" s="634">
        <f t="shared" si="28"/>
        <v>0</v>
      </c>
      <c r="CU26" s="634">
        <f t="shared" si="29"/>
        <v>0</v>
      </c>
    </row>
    <row r="27" spans="10:99">
      <c r="O27" s="634">
        <f t="shared" si="3"/>
        <v>23</v>
      </c>
      <c r="P27" s="634">
        <v>0.18</v>
      </c>
      <c r="Q27" s="634">
        <v>0.22</v>
      </c>
      <c r="R27" s="634">
        <f t="shared" si="0"/>
        <v>0.2</v>
      </c>
      <c r="T27" s="638">
        <v>23</v>
      </c>
      <c r="U27" s="638">
        <f t="shared" si="1"/>
        <v>0.83355577183856988</v>
      </c>
      <c r="V27" s="693">
        <v>3.5</v>
      </c>
      <c r="W27" s="694">
        <f t="shared" si="11"/>
        <v>0.02</v>
      </c>
      <c r="X27" s="694">
        <f t="shared" si="11"/>
        <v>0.02</v>
      </c>
      <c r="Y27" s="694">
        <f t="shared" si="11"/>
        <v>0.02</v>
      </c>
      <c r="Z27" s="694">
        <f t="shared" si="11"/>
        <v>0.02</v>
      </c>
      <c r="AA27" s="694">
        <f t="shared" si="11"/>
        <v>0.02</v>
      </c>
      <c r="AB27" s="694">
        <f t="shared" si="11"/>
        <v>0.02</v>
      </c>
      <c r="AC27" s="694">
        <f t="shared" si="11"/>
        <v>0.02</v>
      </c>
      <c r="AD27" s="694">
        <f t="shared" si="11"/>
        <v>0.02</v>
      </c>
      <c r="AE27" s="694">
        <f t="shared" si="11"/>
        <v>0.02</v>
      </c>
      <c r="AF27" s="694">
        <f t="shared" si="11"/>
        <v>0.02</v>
      </c>
      <c r="AG27" s="694">
        <f t="shared" si="11"/>
        <v>0.02</v>
      </c>
      <c r="AH27" s="694">
        <f t="shared" si="11"/>
        <v>0.02</v>
      </c>
      <c r="AI27" s="645">
        <f t="shared" si="12"/>
        <v>0.02</v>
      </c>
      <c r="AJ27" s="695"/>
      <c r="AK27" s="634">
        <v>7</v>
      </c>
      <c r="AL27" s="678">
        <f>SUM(AI33:AI34)/SUM(AI$21:AI$68)</f>
        <v>2.3314518197176656E-2</v>
      </c>
      <c r="AM27" s="634">
        <f>SUM(W33:W34)/SUM(W$21:W$68)</f>
        <v>2.1705332777767396E-2</v>
      </c>
      <c r="AN27" s="634">
        <f t="shared" ref="AN27:AX27" si="33">SUM(X33:X34)/SUM(X$21:X$68)</f>
        <v>2.1889136521967379E-2</v>
      </c>
      <c r="AO27" s="634">
        <f t="shared" si="33"/>
        <v>2.0910268815598026E-2</v>
      </c>
      <c r="AP27" s="634">
        <f t="shared" si="33"/>
        <v>2.6948436420012642E-2</v>
      </c>
      <c r="AQ27" s="634">
        <f t="shared" si="33"/>
        <v>2.5703019857946163E-2</v>
      </c>
      <c r="AR27" s="634">
        <f t="shared" si="33"/>
        <v>2.5818900779809372E-2</v>
      </c>
      <c r="AS27" s="634">
        <f t="shared" si="33"/>
        <v>2.6805661842273856E-2</v>
      </c>
      <c r="AT27" s="634">
        <f t="shared" si="33"/>
        <v>2.7246864646199187E-2</v>
      </c>
      <c r="AU27" s="634">
        <f t="shared" si="33"/>
        <v>2.6366175591705357E-2</v>
      </c>
      <c r="AV27" s="634">
        <f t="shared" si="33"/>
        <v>2.543447515086706E-2</v>
      </c>
      <c r="AW27" s="634">
        <f t="shared" si="33"/>
        <v>1.8645937310650354E-2</v>
      </c>
      <c r="AX27" s="634">
        <f t="shared" si="33"/>
        <v>2.008079668507114E-2</v>
      </c>
      <c r="AZ27" s="635">
        <v>2.4485252369186514E-2</v>
      </c>
      <c r="BA27" s="635"/>
      <c r="BB27" s="635" t="s">
        <v>1007</v>
      </c>
      <c r="BC27" s="635">
        <v>5.8249592301554083E-2</v>
      </c>
      <c r="BF27" s="634">
        <v>7</v>
      </c>
      <c r="BG27" s="634">
        <v>2.4485252369186514E-2</v>
      </c>
      <c r="BH27" s="634">
        <v>2.2584908780539908E-2</v>
      </c>
      <c r="BI27" s="634">
        <v>2.2923467049048581E-2</v>
      </c>
      <c r="BJ27" s="634">
        <v>2.1888709297376616E-2</v>
      </c>
      <c r="BK27" s="634">
        <v>2.8476468069080219E-2</v>
      </c>
      <c r="BL27" s="634">
        <v>2.7312160262676785E-2</v>
      </c>
      <c r="BM27" s="634">
        <v>2.7460498590911923E-2</v>
      </c>
      <c r="BN27" s="634">
        <v>2.84806442689183E-2</v>
      </c>
      <c r="BO27" s="634">
        <v>2.8748814270421721E-2</v>
      </c>
      <c r="BP27" s="634">
        <v>2.7750914111194548E-2</v>
      </c>
      <c r="BQ27" s="634">
        <v>2.6621262932581023E-2</v>
      </c>
      <c r="BR27" s="634">
        <v>1.943643150730048E-2</v>
      </c>
      <c r="BS27" s="634">
        <v>2.0845498431544984E-2</v>
      </c>
      <c r="BU27" s="634">
        <f t="shared" si="9"/>
        <v>3.5</v>
      </c>
      <c r="BV27" s="634">
        <f t="shared" si="17"/>
        <v>0</v>
      </c>
      <c r="BW27" s="634">
        <f t="shared" si="14"/>
        <v>0</v>
      </c>
      <c r="BX27" s="634">
        <f t="shared" si="14"/>
        <v>0</v>
      </c>
      <c r="BY27" s="634">
        <f t="shared" si="14"/>
        <v>0</v>
      </c>
      <c r="BZ27" s="634">
        <f t="shared" si="14"/>
        <v>0</v>
      </c>
      <c r="CA27" s="634">
        <f t="shared" si="14"/>
        <v>0</v>
      </c>
      <c r="CB27" s="634">
        <f t="shared" si="14"/>
        <v>0</v>
      </c>
      <c r="CC27" s="634">
        <f t="shared" si="14"/>
        <v>0</v>
      </c>
      <c r="CD27" s="634">
        <f t="shared" si="14"/>
        <v>0</v>
      </c>
      <c r="CE27" s="634">
        <f t="shared" si="14"/>
        <v>0</v>
      </c>
      <c r="CF27" s="634">
        <f t="shared" si="14"/>
        <v>0</v>
      </c>
      <c r="CG27" s="634">
        <f t="shared" si="14"/>
        <v>0</v>
      </c>
      <c r="CI27" s="634">
        <f t="shared" si="10"/>
        <v>7</v>
      </c>
      <c r="CJ27" s="634">
        <f t="shared" si="18"/>
        <v>0</v>
      </c>
      <c r="CK27" s="634">
        <f t="shared" si="19"/>
        <v>0</v>
      </c>
      <c r="CL27" s="634">
        <f t="shared" si="20"/>
        <v>0</v>
      </c>
      <c r="CM27" s="634">
        <f t="shared" si="21"/>
        <v>0</v>
      </c>
      <c r="CN27" s="634">
        <f t="shared" si="22"/>
        <v>0</v>
      </c>
      <c r="CO27" s="634">
        <f t="shared" si="23"/>
        <v>0</v>
      </c>
      <c r="CP27" s="634">
        <f t="shared" si="24"/>
        <v>0</v>
      </c>
      <c r="CQ27" s="634">
        <f t="shared" si="25"/>
        <v>0</v>
      </c>
      <c r="CR27" s="634">
        <f t="shared" si="26"/>
        <v>0</v>
      </c>
      <c r="CS27" s="634">
        <f t="shared" si="27"/>
        <v>0</v>
      </c>
      <c r="CT27" s="634">
        <f t="shared" si="28"/>
        <v>0</v>
      </c>
      <c r="CU27" s="634">
        <f t="shared" si="29"/>
        <v>0</v>
      </c>
    </row>
    <row r="28" spans="10:99">
      <c r="O28" s="634">
        <f t="shared" si="3"/>
        <v>24</v>
      </c>
      <c r="P28" s="634">
        <v>0.1</v>
      </c>
      <c r="Q28" s="634">
        <v>0.15</v>
      </c>
      <c r="R28" s="634">
        <f t="shared" si="0"/>
        <v>0.125</v>
      </c>
      <c r="T28" s="638">
        <v>24</v>
      </c>
      <c r="U28" s="638">
        <f t="shared" si="1"/>
        <v>0.82392300575755428</v>
      </c>
      <c r="V28" s="693">
        <v>4</v>
      </c>
      <c r="W28" s="694">
        <f t="shared" si="11"/>
        <v>0.02</v>
      </c>
      <c r="X28" s="694">
        <f t="shared" si="11"/>
        <v>0.02</v>
      </c>
      <c r="Y28" s="694">
        <f t="shared" si="11"/>
        <v>0.02</v>
      </c>
      <c r="Z28" s="694">
        <f t="shared" si="11"/>
        <v>0.02</v>
      </c>
      <c r="AA28" s="694">
        <f t="shared" si="11"/>
        <v>0.02</v>
      </c>
      <c r="AB28" s="694">
        <f t="shared" si="11"/>
        <v>0.02</v>
      </c>
      <c r="AC28" s="694">
        <f t="shared" si="11"/>
        <v>0.02</v>
      </c>
      <c r="AD28" s="694">
        <f t="shared" si="11"/>
        <v>0.02</v>
      </c>
      <c r="AE28" s="694">
        <f t="shared" si="11"/>
        <v>0.02</v>
      </c>
      <c r="AF28" s="694">
        <f t="shared" si="11"/>
        <v>0.02</v>
      </c>
      <c r="AG28" s="694">
        <f t="shared" si="11"/>
        <v>0.02</v>
      </c>
      <c r="AH28" s="694">
        <f t="shared" si="11"/>
        <v>0.02</v>
      </c>
      <c r="AI28" s="645">
        <f t="shared" si="12"/>
        <v>0.02</v>
      </c>
      <c r="AJ28" s="695"/>
      <c r="AK28" s="634">
        <v>8</v>
      </c>
      <c r="AL28" s="678">
        <f>SUM(AI35:AI36)/SUM(AI$21:AI$68)</f>
        <v>4.3624154929143177E-2</v>
      </c>
      <c r="AM28" s="634">
        <f>SUM(W35:W36)/SUM(W$21:W$68)</f>
        <v>4.5394122115626587E-2</v>
      </c>
      <c r="AN28" s="634">
        <f t="shared" ref="AN28:AX28" si="34">SUM(X35:X36)/SUM(X$21:X$68)</f>
        <v>4.3476692388702609E-2</v>
      </c>
      <c r="AO28" s="634">
        <f t="shared" si="34"/>
        <v>3.6828876996632495E-2</v>
      </c>
      <c r="AP28" s="634">
        <f t="shared" si="34"/>
        <v>4.908981150198486E-2</v>
      </c>
      <c r="AQ28" s="634">
        <f t="shared" si="34"/>
        <v>4.1243538814452432E-2</v>
      </c>
      <c r="AR28" s="634">
        <f t="shared" si="34"/>
        <v>3.9252445250749245E-2</v>
      </c>
      <c r="AS28" s="634">
        <f t="shared" si="34"/>
        <v>4.2716836299216049E-2</v>
      </c>
      <c r="AT28" s="634">
        <f t="shared" si="34"/>
        <v>4.7722328812386562E-2</v>
      </c>
      <c r="AU28" s="634">
        <f t="shared" si="34"/>
        <v>5.032103159371417E-2</v>
      </c>
      <c r="AV28" s="634">
        <f t="shared" si="34"/>
        <v>5.2143671964885244E-2</v>
      </c>
      <c r="AW28" s="634">
        <f t="shared" si="34"/>
        <v>3.5841799075808402E-2</v>
      </c>
      <c r="AX28" s="634">
        <f t="shared" si="34"/>
        <v>4.1333510762699643E-2</v>
      </c>
      <c r="AZ28" s="635">
        <v>4.6123035655756331E-2</v>
      </c>
      <c r="BA28" s="635"/>
      <c r="BB28" s="635" t="s">
        <v>481</v>
      </c>
      <c r="BC28" s="635">
        <v>6.5473480080343274E-2</v>
      </c>
      <c r="BF28" s="634">
        <v>8</v>
      </c>
      <c r="BG28" s="634">
        <v>4.6123035655756331E-2</v>
      </c>
      <c r="BH28" s="634">
        <v>4.7225844522917025E-2</v>
      </c>
      <c r="BI28" s="634">
        <v>4.5649765912749912E-2</v>
      </c>
      <c r="BJ28" s="634">
        <v>3.8865033610421922E-2</v>
      </c>
      <c r="BK28" s="634">
        <v>5.249606974135828E-2</v>
      </c>
      <c r="BL28" s="634">
        <v>4.4692114385792604E-2</v>
      </c>
      <c r="BM28" s="634">
        <v>4.2746686533482472E-2</v>
      </c>
      <c r="BN28" s="634">
        <v>4.6370307879795188E-2</v>
      </c>
      <c r="BO28" s="634">
        <v>5.1116723467765593E-2</v>
      </c>
      <c r="BP28" s="634">
        <v>5.34263873045146E-2</v>
      </c>
      <c r="BQ28" s="634">
        <v>5.4787329411307248E-2</v>
      </c>
      <c r="BR28" s="634">
        <v>3.740241159181E-2</v>
      </c>
      <c r="BS28" s="634">
        <v>4.287035183867114E-2</v>
      </c>
      <c r="BU28" s="634">
        <f t="shared" si="9"/>
        <v>4</v>
      </c>
      <c r="BV28" s="634">
        <f t="shared" si="17"/>
        <v>0</v>
      </c>
      <c r="BW28" s="634">
        <f t="shared" si="14"/>
        <v>0</v>
      </c>
      <c r="BX28" s="634">
        <f t="shared" si="14"/>
        <v>0</v>
      </c>
      <c r="BY28" s="634">
        <f t="shared" si="14"/>
        <v>0</v>
      </c>
      <c r="BZ28" s="634">
        <f t="shared" si="14"/>
        <v>0</v>
      </c>
      <c r="CA28" s="634">
        <f t="shared" si="14"/>
        <v>0</v>
      </c>
      <c r="CB28" s="634">
        <f t="shared" si="14"/>
        <v>0</v>
      </c>
      <c r="CC28" s="634">
        <f t="shared" si="14"/>
        <v>0</v>
      </c>
      <c r="CD28" s="634">
        <f t="shared" si="14"/>
        <v>0</v>
      </c>
      <c r="CE28" s="634">
        <f t="shared" si="14"/>
        <v>0</v>
      </c>
      <c r="CF28" s="634">
        <f t="shared" si="14"/>
        <v>0</v>
      </c>
      <c r="CG28" s="634">
        <f t="shared" si="14"/>
        <v>0</v>
      </c>
      <c r="CI28" s="634">
        <f t="shared" si="10"/>
        <v>8</v>
      </c>
      <c r="CJ28" s="634">
        <f t="shared" si="18"/>
        <v>0</v>
      </c>
      <c r="CK28" s="634">
        <f t="shared" si="19"/>
        <v>0</v>
      </c>
      <c r="CL28" s="634">
        <f t="shared" si="20"/>
        <v>0</v>
      </c>
      <c r="CM28" s="634">
        <f t="shared" si="21"/>
        <v>0</v>
      </c>
      <c r="CN28" s="634">
        <f t="shared" si="22"/>
        <v>0</v>
      </c>
      <c r="CO28" s="634">
        <f t="shared" si="23"/>
        <v>0</v>
      </c>
      <c r="CP28" s="634">
        <f t="shared" si="24"/>
        <v>0</v>
      </c>
      <c r="CQ28" s="634">
        <f t="shared" si="25"/>
        <v>0</v>
      </c>
      <c r="CR28" s="634">
        <f t="shared" si="26"/>
        <v>0</v>
      </c>
      <c r="CS28" s="634">
        <f t="shared" si="27"/>
        <v>0</v>
      </c>
      <c r="CT28" s="634">
        <f t="shared" si="28"/>
        <v>0</v>
      </c>
      <c r="CU28" s="634">
        <f t="shared" si="29"/>
        <v>0</v>
      </c>
    </row>
    <row r="29" spans="10:99">
      <c r="R29" s="634" t="s">
        <v>1513</v>
      </c>
      <c r="T29" s="638">
        <v>25</v>
      </c>
      <c r="U29" s="638">
        <f t="shared" si="1"/>
        <v>0.81404609350821799</v>
      </c>
      <c r="V29" s="693">
        <v>4.5</v>
      </c>
      <c r="W29" s="694">
        <f t="shared" si="11"/>
        <v>0.02</v>
      </c>
      <c r="X29" s="694">
        <f t="shared" si="11"/>
        <v>0.02</v>
      </c>
      <c r="Y29" s="694">
        <f t="shared" si="11"/>
        <v>0.02</v>
      </c>
      <c r="Z29" s="694">
        <f t="shared" si="11"/>
        <v>0.02</v>
      </c>
      <c r="AA29" s="694">
        <f t="shared" si="11"/>
        <v>0.02</v>
      </c>
      <c r="AB29" s="694">
        <f t="shared" si="11"/>
        <v>0.02</v>
      </c>
      <c r="AC29" s="694">
        <f t="shared" si="11"/>
        <v>0.02</v>
      </c>
      <c r="AD29" s="694">
        <f t="shared" si="11"/>
        <v>0.02</v>
      </c>
      <c r="AE29" s="694">
        <f t="shared" si="11"/>
        <v>0.02</v>
      </c>
      <c r="AF29" s="694">
        <f t="shared" si="11"/>
        <v>0.02</v>
      </c>
      <c r="AG29" s="694">
        <f t="shared" si="11"/>
        <v>0.02</v>
      </c>
      <c r="AH29" s="694">
        <f t="shared" si="11"/>
        <v>0.02</v>
      </c>
      <c r="AI29" s="645">
        <f t="shared" si="12"/>
        <v>0.02</v>
      </c>
      <c r="AJ29" s="695"/>
      <c r="AK29" s="634">
        <v>9</v>
      </c>
      <c r="AL29" s="678">
        <f>SUM(AI37:AI38)/SUM(AI$21:AI$68)</f>
        <v>3.7783774718156089E-2</v>
      </c>
      <c r="AM29" s="634">
        <f>SUM(W37:W38)/SUM(W$21:W$68)</f>
        <v>4.3367632299515992E-2</v>
      </c>
      <c r="AN29" s="634">
        <f t="shared" ref="AN29:AX29" si="35">SUM(X37:X38)/SUM(X$21:X$68)</f>
        <v>3.8774107887683019E-2</v>
      </c>
      <c r="AO29" s="634">
        <f t="shared" si="35"/>
        <v>2.9657300856219388E-2</v>
      </c>
      <c r="AP29" s="634">
        <f t="shared" si="35"/>
        <v>3.8734295206579769E-2</v>
      </c>
      <c r="AQ29" s="634">
        <f t="shared" si="35"/>
        <v>3.0934413909181422E-2</v>
      </c>
      <c r="AR29" s="634">
        <f t="shared" si="35"/>
        <v>2.9126140749211816E-2</v>
      </c>
      <c r="AS29" s="634">
        <f t="shared" si="35"/>
        <v>3.1993551859968022E-2</v>
      </c>
      <c r="AT29" s="634">
        <f t="shared" si="35"/>
        <v>3.7055454529747178E-2</v>
      </c>
      <c r="AU29" s="634">
        <f t="shared" si="35"/>
        <v>4.169673085616836E-2</v>
      </c>
      <c r="AV29" s="634">
        <f t="shared" si="35"/>
        <v>4.6708329597991302E-2</v>
      </c>
      <c r="AW29" s="634">
        <f t="shared" si="35"/>
        <v>3.4554226629035546E-2</v>
      </c>
      <c r="AX29" s="634">
        <f t="shared" si="35"/>
        <v>4.0942437834119293E-2</v>
      </c>
      <c r="AZ29" s="635">
        <v>3.9956588261754224E-2</v>
      </c>
      <c r="BA29" s="635"/>
      <c r="BB29" s="635" t="s">
        <v>482</v>
      </c>
      <c r="BC29" s="635">
        <v>7.5633588935449747E-2</v>
      </c>
      <c r="BF29" s="634">
        <v>9</v>
      </c>
      <c r="BG29" s="634">
        <v>3.9956588261754224E-2</v>
      </c>
      <c r="BH29" s="634">
        <v>4.5119493768682795E-2</v>
      </c>
      <c r="BI29" s="634">
        <v>4.0730939199668373E-2</v>
      </c>
      <c r="BJ29" s="634">
        <v>3.1370516916852935E-2</v>
      </c>
      <c r="BK29" s="634">
        <v>4.164800661769371E-2</v>
      </c>
      <c r="BL29" s="634">
        <v>3.3673815186028105E-2</v>
      </c>
      <c r="BM29" s="634">
        <v>3.1829071428418822E-2</v>
      </c>
      <c r="BN29" s="634">
        <v>3.4895017356187205E-2</v>
      </c>
      <c r="BO29" s="634">
        <v>3.9921780545311848E-2</v>
      </c>
      <c r="BP29" s="634">
        <v>4.4427415355229052E-2</v>
      </c>
      <c r="BQ29" s="634">
        <v>4.9090118439820925E-2</v>
      </c>
      <c r="BR29" s="634">
        <v>3.6056453966279205E-2</v>
      </c>
      <c r="BS29" s="634">
        <v>4.2474794205498996E-2</v>
      </c>
      <c r="BU29" s="634">
        <f t="shared" si="9"/>
        <v>4.5</v>
      </c>
      <c r="BV29" s="634">
        <f t="shared" si="17"/>
        <v>0</v>
      </c>
      <c r="BW29" s="634">
        <f t="shared" si="14"/>
        <v>0</v>
      </c>
      <c r="BX29" s="634">
        <f t="shared" si="14"/>
        <v>0</v>
      </c>
      <c r="BY29" s="634">
        <f t="shared" si="14"/>
        <v>0</v>
      </c>
      <c r="BZ29" s="634">
        <f t="shared" si="14"/>
        <v>0</v>
      </c>
      <c r="CA29" s="634">
        <f t="shared" si="14"/>
        <v>0</v>
      </c>
      <c r="CB29" s="634">
        <f t="shared" si="14"/>
        <v>0</v>
      </c>
      <c r="CC29" s="634">
        <f t="shared" si="14"/>
        <v>0</v>
      </c>
      <c r="CD29" s="634">
        <f t="shared" si="14"/>
        <v>0</v>
      </c>
      <c r="CE29" s="634">
        <f t="shared" si="14"/>
        <v>0</v>
      </c>
      <c r="CF29" s="634">
        <f t="shared" si="14"/>
        <v>0</v>
      </c>
      <c r="CG29" s="634">
        <f t="shared" si="14"/>
        <v>0</v>
      </c>
      <c r="CI29" s="634">
        <f t="shared" si="10"/>
        <v>9</v>
      </c>
      <c r="CJ29" s="634">
        <f t="shared" si="18"/>
        <v>0</v>
      </c>
      <c r="CK29" s="634">
        <f t="shared" si="19"/>
        <v>0</v>
      </c>
      <c r="CL29" s="634">
        <f t="shared" si="20"/>
        <v>0</v>
      </c>
      <c r="CM29" s="634">
        <f t="shared" si="21"/>
        <v>0</v>
      </c>
      <c r="CN29" s="634">
        <f t="shared" si="22"/>
        <v>0</v>
      </c>
      <c r="CO29" s="634">
        <f t="shared" si="23"/>
        <v>0</v>
      </c>
      <c r="CP29" s="634">
        <f t="shared" si="24"/>
        <v>0</v>
      </c>
      <c r="CQ29" s="634">
        <f t="shared" si="25"/>
        <v>0</v>
      </c>
      <c r="CR29" s="634">
        <f t="shared" si="26"/>
        <v>0</v>
      </c>
      <c r="CS29" s="634">
        <f t="shared" si="27"/>
        <v>0</v>
      </c>
      <c r="CT29" s="634">
        <f t="shared" si="28"/>
        <v>0</v>
      </c>
      <c r="CU29" s="634">
        <f t="shared" si="29"/>
        <v>0</v>
      </c>
    </row>
    <row r="30" spans="10:99">
      <c r="L30" s="635" t="s">
        <v>1514</v>
      </c>
      <c r="M30" s="635" t="s">
        <v>1514</v>
      </c>
      <c r="N30" s="635" t="s">
        <v>1514</v>
      </c>
      <c r="O30" s="635" t="s">
        <v>1514</v>
      </c>
      <c r="P30" s="635" t="s">
        <v>1514</v>
      </c>
      <c r="Q30" s="635" t="s">
        <v>1514</v>
      </c>
      <c r="R30" s="635" t="s">
        <v>1514</v>
      </c>
      <c r="T30" s="638">
        <v>26</v>
      </c>
      <c r="U30" s="638">
        <f t="shared" si="1"/>
        <v>0.80392796183282123</v>
      </c>
      <c r="V30" s="693">
        <v>5</v>
      </c>
      <c r="W30" s="694">
        <f t="shared" si="11"/>
        <v>0.02</v>
      </c>
      <c r="X30" s="694">
        <f t="shared" si="11"/>
        <v>0.02</v>
      </c>
      <c r="Y30" s="694">
        <f t="shared" si="11"/>
        <v>0.02</v>
      </c>
      <c r="Z30" s="694">
        <f t="shared" si="11"/>
        <v>0.02</v>
      </c>
      <c r="AA30" s="694">
        <f t="shared" si="11"/>
        <v>0.02</v>
      </c>
      <c r="AB30" s="694">
        <f t="shared" si="11"/>
        <v>0.02</v>
      </c>
      <c r="AC30" s="694">
        <f t="shared" si="11"/>
        <v>0.02</v>
      </c>
      <c r="AD30" s="694">
        <f t="shared" si="11"/>
        <v>0.02</v>
      </c>
      <c r="AE30" s="694">
        <f t="shared" si="11"/>
        <v>0.02</v>
      </c>
      <c r="AF30" s="694">
        <f t="shared" si="11"/>
        <v>0.02</v>
      </c>
      <c r="AG30" s="694">
        <f t="shared" si="11"/>
        <v>0.02</v>
      </c>
      <c r="AH30" s="694">
        <f t="shared" si="11"/>
        <v>0.02</v>
      </c>
      <c r="AI30" s="645">
        <f t="shared" si="12"/>
        <v>0.02</v>
      </c>
      <c r="AJ30" s="695"/>
      <c r="AK30" s="634">
        <v>10</v>
      </c>
      <c r="AL30" s="678">
        <f>SUM(AI39:AI40)/SUM(AI$21:AI$68)</f>
        <v>1.9659051214452779E-2</v>
      </c>
      <c r="AM30" s="634">
        <f>SUM(W39:W40)/SUM(W$21:W$68)</f>
        <v>2.2227285844653537E-2</v>
      </c>
      <c r="AN30" s="634">
        <f t="shared" ref="AN30:AX30" si="36">SUM(X39:X40)/SUM(X$21:X$68)</f>
        <v>1.9508943947577486E-2</v>
      </c>
      <c r="AO30" s="634">
        <f t="shared" si="36"/>
        <v>1.5451218509560763E-2</v>
      </c>
      <c r="AP30" s="634">
        <f t="shared" si="36"/>
        <v>1.8974891990819972E-2</v>
      </c>
      <c r="AQ30" s="634">
        <f t="shared" si="36"/>
        <v>1.7065745901574818E-2</v>
      </c>
      <c r="AR30" s="634">
        <f t="shared" si="36"/>
        <v>1.7137778651761724E-2</v>
      </c>
      <c r="AS30" s="634">
        <f t="shared" si="36"/>
        <v>1.7794103516445614E-2</v>
      </c>
      <c r="AT30" s="634">
        <f t="shared" si="36"/>
        <v>1.878274332767943E-2</v>
      </c>
      <c r="AU30" s="634">
        <f t="shared" si="36"/>
        <v>2.0318941221749948E-2</v>
      </c>
      <c r="AV30" s="634">
        <f t="shared" si="36"/>
        <v>2.2872511476334564E-2</v>
      </c>
      <c r="AW30" s="634">
        <f t="shared" si="36"/>
        <v>1.9208297796599216E-2</v>
      </c>
      <c r="AX30" s="634">
        <f t="shared" si="36"/>
        <v>2.1976093362088861E-2</v>
      </c>
      <c r="AZ30" s="635">
        <v>2.0646600373843985E-2</v>
      </c>
      <c r="BA30" s="635"/>
      <c r="BB30" s="635" t="s">
        <v>483</v>
      </c>
      <c r="BC30" s="635">
        <v>9.4449084525061039E-2</v>
      </c>
      <c r="BF30" s="634">
        <v>10</v>
      </c>
      <c r="BG30" s="634">
        <v>2.0646600373843985E-2</v>
      </c>
      <c r="BH30" s="634">
        <v>2.3129432937109194E-2</v>
      </c>
      <c r="BI30" s="634">
        <v>2.0449538374867432E-2</v>
      </c>
      <c r="BJ30" s="634">
        <v>1.6220507670313872E-2</v>
      </c>
      <c r="BK30" s="634">
        <v>2.021243666021097E-2</v>
      </c>
      <c r="BL30" s="634">
        <v>1.8163598674242113E-2</v>
      </c>
      <c r="BM30" s="634">
        <v>1.8187373472853867E-2</v>
      </c>
      <c r="BN30" s="634">
        <v>1.8929925966292581E-2</v>
      </c>
      <c r="BO30" s="634">
        <v>1.9960213782293488E-2</v>
      </c>
      <c r="BP30" s="634">
        <v>2.1514112739470612E-2</v>
      </c>
      <c r="BQ30" s="634">
        <v>2.3954160871937406E-2</v>
      </c>
      <c r="BR30" s="634">
        <v>2.0023256238411932E-2</v>
      </c>
      <c r="BS30" s="634">
        <v>2.2819377248412605E-2</v>
      </c>
      <c r="BU30" s="634">
        <f t="shared" si="9"/>
        <v>5</v>
      </c>
      <c r="BV30" s="634">
        <f t="shared" si="17"/>
        <v>0</v>
      </c>
      <c r="BW30" s="634">
        <f t="shared" si="14"/>
        <v>0</v>
      </c>
      <c r="BX30" s="634">
        <f t="shared" si="14"/>
        <v>0</v>
      </c>
      <c r="BY30" s="634">
        <f t="shared" si="14"/>
        <v>0</v>
      </c>
      <c r="BZ30" s="634">
        <f t="shared" si="14"/>
        <v>0</v>
      </c>
      <c r="CA30" s="634">
        <f t="shared" si="14"/>
        <v>0</v>
      </c>
      <c r="CB30" s="634">
        <f t="shared" si="14"/>
        <v>0</v>
      </c>
      <c r="CC30" s="634">
        <f t="shared" si="14"/>
        <v>0</v>
      </c>
      <c r="CD30" s="634">
        <f t="shared" si="14"/>
        <v>0</v>
      </c>
      <c r="CE30" s="634">
        <f t="shared" si="14"/>
        <v>0</v>
      </c>
      <c r="CF30" s="634">
        <f t="shared" si="14"/>
        <v>0</v>
      </c>
      <c r="CG30" s="634">
        <f t="shared" si="14"/>
        <v>0</v>
      </c>
      <c r="CI30" s="634">
        <f t="shared" si="10"/>
        <v>10</v>
      </c>
      <c r="CJ30" s="634">
        <f t="shared" si="18"/>
        <v>0</v>
      </c>
      <c r="CK30" s="634">
        <f t="shared" si="19"/>
        <v>0</v>
      </c>
      <c r="CL30" s="634">
        <f t="shared" si="20"/>
        <v>0</v>
      </c>
      <c r="CM30" s="634">
        <f t="shared" si="21"/>
        <v>0</v>
      </c>
      <c r="CN30" s="634">
        <f t="shared" si="22"/>
        <v>0</v>
      </c>
      <c r="CO30" s="634">
        <f t="shared" si="23"/>
        <v>0</v>
      </c>
      <c r="CP30" s="634">
        <f t="shared" si="24"/>
        <v>0</v>
      </c>
      <c r="CQ30" s="634">
        <f t="shared" si="25"/>
        <v>0</v>
      </c>
      <c r="CR30" s="634">
        <f t="shared" si="26"/>
        <v>0</v>
      </c>
      <c r="CS30" s="634">
        <f t="shared" si="27"/>
        <v>0</v>
      </c>
      <c r="CT30" s="634">
        <f t="shared" si="28"/>
        <v>0</v>
      </c>
      <c r="CU30" s="634">
        <f t="shared" si="29"/>
        <v>0</v>
      </c>
    </row>
    <row r="31" spans="10:99">
      <c r="K31" s="635" t="s">
        <v>1277</v>
      </c>
      <c r="L31" s="635" t="s">
        <v>1515</v>
      </c>
      <c r="M31" s="635" t="s">
        <v>1516</v>
      </c>
      <c r="N31" s="635" t="s">
        <v>1517</v>
      </c>
      <c r="O31" s="635" t="s">
        <v>1518</v>
      </c>
      <c r="P31" s="635" t="s">
        <v>1519</v>
      </c>
      <c r="Q31" s="635" t="s">
        <v>1520</v>
      </c>
      <c r="R31" s="635" t="s">
        <v>1521</v>
      </c>
      <c r="T31" s="638">
        <v>27</v>
      </c>
      <c r="U31" s="638">
        <f t="shared" si="1"/>
        <v>0.7935716089521474</v>
      </c>
      <c r="V31" s="693">
        <v>5.5</v>
      </c>
      <c r="W31" s="694">
        <f t="shared" si="11"/>
        <v>0.02</v>
      </c>
      <c r="X31" s="694">
        <f t="shared" si="11"/>
        <v>0.02</v>
      </c>
      <c r="Y31" s="694">
        <f t="shared" si="11"/>
        <v>0.02</v>
      </c>
      <c r="Z31" s="694">
        <f t="shared" si="11"/>
        <v>0.02</v>
      </c>
      <c r="AA31" s="694">
        <f t="shared" si="11"/>
        <v>0.02</v>
      </c>
      <c r="AB31" s="694">
        <f t="shared" si="11"/>
        <v>0.02</v>
      </c>
      <c r="AC31" s="694">
        <f t="shared" si="11"/>
        <v>0.02</v>
      </c>
      <c r="AD31" s="694">
        <f t="shared" si="11"/>
        <v>0.02</v>
      </c>
      <c r="AE31" s="694">
        <f t="shared" si="11"/>
        <v>0.02</v>
      </c>
      <c r="AF31" s="694">
        <f t="shared" si="11"/>
        <v>0.02</v>
      </c>
      <c r="AG31" s="694">
        <f t="shared" si="11"/>
        <v>0.02</v>
      </c>
      <c r="AH31" s="694">
        <f t="shared" si="11"/>
        <v>0.02</v>
      </c>
      <c r="AI31" s="645">
        <f t="shared" si="12"/>
        <v>0.02</v>
      </c>
      <c r="AJ31" s="695"/>
      <c r="AK31" s="634">
        <v>11</v>
      </c>
      <c r="AL31" s="678">
        <f>SUM(AI41:AI42)/SUM(AI$21:AI$68)</f>
        <v>1.6117766044398671E-2</v>
      </c>
      <c r="AM31" s="634">
        <f>SUM(W41:W42)/SUM(W$21:W$68)</f>
        <v>1.8096795502270439E-2</v>
      </c>
      <c r="AN31" s="634">
        <f t="shared" ref="AN31:AX31" si="37">SUM(X41:X42)/SUM(X$21:X$68)</f>
        <v>1.574483469946579E-2</v>
      </c>
      <c r="AO31" s="634">
        <f t="shared" si="37"/>
        <v>1.2675574029880253E-2</v>
      </c>
      <c r="AP31" s="634">
        <f t="shared" si="37"/>
        <v>1.5114216181735633E-2</v>
      </c>
      <c r="AQ31" s="634">
        <f t="shared" si="37"/>
        <v>1.4356026863173695E-2</v>
      </c>
      <c r="AR31" s="634">
        <f t="shared" si="37"/>
        <v>1.4795441738304013E-2</v>
      </c>
      <c r="AS31" s="634">
        <f t="shared" si="37"/>
        <v>1.5019755216368592E-2</v>
      </c>
      <c r="AT31" s="634">
        <f t="shared" si="37"/>
        <v>1.5212543694932339E-2</v>
      </c>
      <c r="AU31" s="634">
        <f t="shared" si="37"/>
        <v>1.6142058226241953E-2</v>
      </c>
      <c r="AV31" s="634">
        <f t="shared" si="37"/>
        <v>1.8215368474231206E-2</v>
      </c>
      <c r="AW31" s="634">
        <f t="shared" si="37"/>
        <v>1.6209945287447354E-2</v>
      </c>
      <c r="AX31" s="634">
        <f t="shared" si="37"/>
        <v>1.8270368726056994E-2</v>
      </c>
      <c r="AZ31" s="635">
        <v>1.6873733233144762E-2</v>
      </c>
      <c r="BA31" s="635"/>
      <c r="BB31" s="635" t="s">
        <v>484</v>
      </c>
      <c r="BC31" s="635">
        <v>0.10789130895095178</v>
      </c>
      <c r="BF31" s="634">
        <v>11</v>
      </c>
      <c r="BG31" s="634">
        <v>1.6873733233144762E-2</v>
      </c>
      <c r="BH31" s="634">
        <v>1.8832921804372297E-2</v>
      </c>
      <c r="BI31" s="634">
        <v>1.6486872464178324E-2</v>
      </c>
      <c r="BJ31" s="634">
        <v>1.3260434758857352E-2</v>
      </c>
      <c r="BK31" s="634">
        <v>1.6024264300694369E-2</v>
      </c>
      <c r="BL31" s="634">
        <v>1.5133146943141577E-2</v>
      </c>
      <c r="BM31" s="634">
        <v>1.5522000803608518E-2</v>
      </c>
      <c r="BN31" s="634">
        <v>1.5810598856776093E-2</v>
      </c>
      <c r="BO31" s="634">
        <v>1.60600384039227E-2</v>
      </c>
      <c r="BP31" s="634">
        <v>1.7037214720388105E-2</v>
      </c>
      <c r="BQ31" s="634">
        <v>1.9042991123495848E-2</v>
      </c>
      <c r="BR31" s="634">
        <v>1.6890622224401148E-2</v>
      </c>
      <c r="BS31" s="634">
        <v>1.8979018714549285E-2</v>
      </c>
      <c r="BU31" s="634">
        <f t="shared" si="9"/>
        <v>5.5</v>
      </c>
      <c r="BV31" s="634">
        <f t="shared" si="17"/>
        <v>0</v>
      </c>
      <c r="BW31" s="634">
        <f t="shared" si="14"/>
        <v>0</v>
      </c>
      <c r="BX31" s="634">
        <f t="shared" si="14"/>
        <v>0</v>
      </c>
      <c r="BY31" s="634">
        <f t="shared" si="14"/>
        <v>0</v>
      </c>
      <c r="BZ31" s="634">
        <f t="shared" si="14"/>
        <v>0</v>
      </c>
      <c r="CA31" s="634">
        <f t="shared" si="14"/>
        <v>0</v>
      </c>
      <c r="CB31" s="634">
        <f t="shared" si="14"/>
        <v>0</v>
      </c>
      <c r="CC31" s="634">
        <f t="shared" si="14"/>
        <v>0</v>
      </c>
      <c r="CD31" s="634">
        <f t="shared" si="14"/>
        <v>0</v>
      </c>
      <c r="CE31" s="634">
        <f t="shared" si="14"/>
        <v>0</v>
      </c>
      <c r="CF31" s="634">
        <f t="shared" si="14"/>
        <v>0</v>
      </c>
      <c r="CG31" s="634">
        <f t="shared" si="14"/>
        <v>0</v>
      </c>
      <c r="CI31" s="634">
        <f t="shared" si="10"/>
        <v>11</v>
      </c>
      <c r="CJ31" s="634">
        <f t="shared" si="18"/>
        <v>0</v>
      </c>
      <c r="CK31" s="634">
        <f t="shared" si="19"/>
        <v>0</v>
      </c>
      <c r="CL31" s="634">
        <f t="shared" si="20"/>
        <v>0</v>
      </c>
      <c r="CM31" s="634">
        <f t="shared" si="21"/>
        <v>0</v>
      </c>
      <c r="CN31" s="634">
        <f t="shared" si="22"/>
        <v>0</v>
      </c>
      <c r="CO31" s="634">
        <f t="shared" si="23"/>
        <v>0</v>
      </c>
      <c r="CP31" s="634">
        <f t="shared" si="24"/>
        <v>0</v>
      </c>
      <c r="CQ31" s="634">
        <f t="shared" si="25"/>
        <v>0</v>
      </c>
      <c r="CR31" s="634">
        <f t="shared" si="26"/>
        <v>0</v>
      </c>
      <c r="CS31" s="634">
        <f t="shared" si="27"/>
        <v>0</v>
      </c>
      <c r="CT31" s="634">
        <f t="shared" si="28"/>
        <v>0</v>
      </c>
      <c r="CU31" s="634">
        <f t="shared" si="29"/>
        <v>0</v>
      </c>
    </row>
    <row r="32" spans="10:99">
      <c r="K32" s="635">
        <v>0</v>
      </c>
      <c r="L32" s="634">
        <v>0.08</v>
      </c>
      <c r="M32" s="634">
        <v>7.4999999999999997E-2</v>
      </c>
      <c r="N32" s="634">
        <v>0.1</v>
      </c>
      <c r="O32" s="634">
        <v>0.08</v>
      </c>
      <c r="P32" s="645">
        <f>N32/SUM(N$33:N55)</f>
        <v>7.3529411764705885E-2</v>
      </c>
      <c r="Q32" s="645">
        <f>O33/SUM(O$34:O$80)</f>
        <v>3.7499999999999985E-2</v>
      </c>
      <c r="R32" s="645">
        <f>AVERAGE(N32:O32)</f>
        <v>0.09</v>
      </c>
      <c r="T32" s="638">
        <v>28</v>
      </c>
      <c r="U32" s="638">
        <f t="shared" si="1"/>
        <v>0.78298010367706294</v>
      </c>
      <c r="V32" s="693">
        <v>6</v>
      </c>
      <c r="W32" s="694">
        <f t="shared" si="11"/>
        <v>2.3802131900876267E-2</v>
      </c>
      <c r="X32" s="694">
        <f t="shared" si="11"/>
        <v>2.3036811849576518E-2</v>
      </c>
      <c r="Y32" s="694">
        <f t="shared" si="11"/>
        <v>2.1877749299463466E-2</v>
      </c>
      <c r="Z32" s="694">
        <f t="shared" si="11"/>
        <v>2.2140837259593343E-2</v>
      </c>
      <c r="AA32" s="694">
        <f t="shared" si="11"/>
        <v>2.1309820172484277E-2</v>
      </c>
      <c r="AB32" s="694">
        <f t="shared" si="11"/>
        <v>2.105785715258993E-2</v>
      </c>
      <c r="AC32" s="694">
        <f t="shared" si="11"/>
        <v>2.1274958177358548E-2</v>
      </c>
      <c r="AD32" s="694">
        <f t="shared" si="11"/>
        <v>2.1837638354710993E-2</v>
      </c>
      <c r="AE32" s="694">
        <f t="shared" si="11"/>
        <v>2.2576613917651589E-2</v>
      </c>
      <c r="AF32" s="694">
        <f t="shared" si="11"/>
        <v>2.3479031125112487E-2</v>
      </c>
      <c r="AG32" s="694">
        <f t="shared" si="11"/>
        <v>2.2652345255196035E-2</v>
      </c>
      <c r="AH32" s="694">
        <f t="shared" si="11"/>
        <v>2.3541012815678428E-2</v>
      </c>
      <c r="AI32" s="645">
        <f t="shared" si="12"/>
        <v>2.2379871059055586E-2</v>
      </c>
      <c r="AJ32" s="695"/>
      <c r="AK32" s="634">
        <v>12</v>
      </c>
      <c r="AL32" s="678">
        <f>SUM(AI43:AI44)/SUM(AI$21:AI$68)</f>
        <v>1.5974921507439413E-2</v>
      </c>
      <c r="AM32" s="634">
        <f>SUM(W43:W44)/SUM(W$21:W$68)</f>
        <v>1.7930184243351865E-2</v>
      </c>
      <c r="AN32" s="634">
        <f t="shared" ref="AN32:AX32" si="38">SUM(X43:X44)/SUM(X$21:X$68)</f>
        <v>1.5593002125473352E-2</v>
      </c>
      <c r="AO32" s="634">
        <f t="shared" si="38"/>
        <v>1.2563613080274654E-2</v>
      </c>
      <c r="AP32" s="634">
        <f t="shared" si="38"/>
        <v>1.4958488410088813E-2</v>
      </c>
      <c r="AQ32" s="634">
        <f t="shared" si="38"/>
        <v>1.4246725142825606E-2</v>
      </c>
      <c r="AR32" s="634">
        <f t="shared" si="38"/>
        <v>1.4700959081376298E-2</v>
      </c>
      <c r="AS32" s="634">
        <f t="shared" si="38"/>
        <v>1.4907846550656098E-2</v>
      </c>
      <c r="AT32" s="634">
        <f t="shared" si="38"/>
        <v>1.5068532837601675E-2</v>
      </c>
      <c r="AU32" s="634">
        <f t="shared" si="38"/>
        <v>1.5973575630581011E-2</v>
      </c>
      <c r="AV32" s="634">
        <f t="shared" si="38"/>
        <v>1.8027513669056531E-2</v>
      </c>
      <c r="AW32" s="634">
        <f t="shared" si="38"/>
        <v>1.6089000981851124E-2</v>
      </c>
      <c r="AX32" s="634">
        <f t="shared" si="38"/>
        <v>1.8120891207497148E-2</v>
      </c>
      <c r="AZ32" s="635">
        <v>1.6721547392738768E-2</v>
      </c>
      <c r="BA32" s="635"/>
      <c r="BB32" s="635" t="s">
        <v>485</v>
      </c>
      <c r="BC32" s="635">
        <v>0.1204087334139272</v>
      </c>
      <c r="BF32" s="634">
        <v>12</v>
      </c>
      <c r="BG32" s="634">
        <v>1.6721547392738768E-2</v>
      </c>
      <c r="BH32" s="634">
        <v>1.8659613778098119E-2</v>
      </c>
      <c r="BI32" s="634">
        <v>1.6327030725951982E-2</v>
      </c>
      <c r="BJ32" s="634">
        <v>1.3141034534334859E-2</v>
      </c>
      <c r="BK32" s="634">
        <v>1.5855326326859421E-2</v>
      </c>
      <c r="BL32" s="634">
        <v>1.5010907853794303E-2</v>
      </c>
      <c r="BM32" s="634">
        <v>1.5414487879209833E-2</v>
      </c>
      <c r="BN32" s="634">
        <v>1.5684774808390711E-2</v>
      </c>
      <c r="BO32" s="634">
        <v>1.5902717341305554E-2</v>
      </c>
      <c r="BP32" s="634">
        <v>1.6856630442692141E-2</v>
      </c>
      <c r="BQ32" s="634">
        <v>1.8844889661750616E-2</v>
      </c>
      <c r="BR32" s="634">
        <v>1.6764261416472387E-2</v>
      </c>
      <c r="BS32" s="634">
        <v>1.8824110479209729E-2</v>
      </c>
      <c r="BU32" s="634">
        <f t="shared" si="9"/>
        <v>6</v>
      </c>
      <c r="BV32" s="634">
        <f t="shared" si="17"/>
        <v>0</v>
      </c>
      <c r="BW32" s="634">
        <f t="shared" si="14"/>
        <v>0</v>
      </c>
      <c r="BX32" s="634">
        <f t="shared" si="14"/>
        <v>0</v>
      </c>
      <c r="BY32" s="634">
        <f t="shared" si="14"/>
        <v>0</v>
      </c>
      <c r="BZ32" s="634">
        <f t="shared" si="14"/>
        <v>0</v>
      </c>
      <c r="CA32" s="634">
        <f t="shared" si="14"/>
        <v>0</v>
      </c>
      <c r="CB32" s="634">
        <f t="shared" si="14"/>
        <v>0</v>
      </c>
      <c r="CC32" s="634">
        <f t="shared" si="14"/>
        <v>0</v>
      </c>
      <c r="CD32" s="634">
        <f t="shared" si="14"/>
        <v>0</v>
      </c>
      <c r="CE32" s="634">
        <f t="shared" si="14"/>
        <v>0</v>
      </c>
      <c r="CF32" s="634">
        <f t="shared" si="14"/>
        <v>0</v>
      </c>
      <c r="CG32" s="634">
        <f t="shared" si="14"/>
        <v>0</v>
      </c>
      <c r="CI32" s="634">
        <f t="shared" si="10"/>
        <v>12</v>
      </c>
      <c r="CJ32" s="634">
        <f t="shared" si="18"/>
        <v>1</v>
      </c>
      <c r="CK32" s="634">
        <f t="shared" si="19"/>
        <v>1</v>
      </c>
      <c r="CL32" s="634">
        <f t="shared" si="20"/>
        <v>1</v>
      </c>
      <c r="CM32" s="634">
        <f t="shared" si="21"/>
        <v>0</v>
      </c>
      <c r="CN32" s="634">
        <f t="shared" si="22"/>
        <v>0</v>
      </c>
      <c r="CO32" s="634">
        <f t="shared" si="23"/>
        <v>0</v>
      </c>
      <c r="CP32" s="634">
        <f t="shared" si="24"/>
        <v>0</v>
      </c>
      <c r="CQ32" s="634">
        <f t="shared" si="25"/>
        <v>0</v>
      </c>
      <c r="CR32" s="634">
        <f t="shared" si="26"/>
        <v>0</v>
      </c>
      <c r="CS32" s="634">
        <f t="shared" si="27"/>
        <v>1</v>
      </c>
      <c r="CT32" s="634">
        <f t="shared" si="28"/>
        <v>1</v>
      </c>
      <c r="CU32" s="634">
        <f t="shared" si="29"/>
        <v>1</v>
      </c>
    </row>
    <row r="33" spans="11:100">
      <c r="K33" s="634">
        <v>0.5</v>
      </c>
      <c r="L33" s="634">
        <v>0.06</v>
      </c>
      <c r="M33" s="634">
        <v>0.06</v>
      </c>
      <c r="N33" s="634">
        <v>7.4999999999999997E-2</v>
      </c>
      <c r="O33" s="635">
        <v>0.06</v>
      </c>
      <c r="P33" s="645">
        <f>N33/SUM(N$33:N56)</f>
        <v>5.3380782918149461E-2</v>
      </c>
      <c r="Q33" s="645">
        <f>O34/SUM(O$34:O$80)</f>
        <v>2.4999999999999991E-2</v>
      </c>
      <c r="R33" s="645">
        <f>AVERAGE(N33:O33)</f>
        <v>6.7500000000000004E-2</v>
      </c>
      <c r="T33" s="638">
        <v>29</v>
      </c>
      <c r="U33" s="638">
        <f t="shared" si="1"/>
        <v>0.77215658449916436</v>
      </c>
      <c r="V33" s="693">
        <v>6.5</v>
      </c>
      <c r="W33" s="694">
        <f t="shared" si="11"/>
        <v>3.4920698886871618E-2</v>
      </c>
      <c r="X33" s="694">
        <f t="shared" si="11"/>
        <v>3.1917354885340005E-2</v>
      </c>
      <c r="Y33" s="694">
        <f t="shared" si="11"/>
        <v>2.7368847954977949E-2</v>
      </c>
      <c r="Z33" s="694">
        <f t="shared" si="11"/>
        <v>2.8401283529597143E-2</v>
      </c>
      <c r="AA33" s="694">
        <f t="shared" si="11"/>
        <v>2.5140124777124125E-2</v>
      </c>
      <c r="AB33" s="694">
        <f t="shared" si="11"/>
        <v>2.4151346784018732E-2</v>
      </c>
      <c r="AC33" s="694">
        <f t="shared" si="11"/>
        <v>2.5003315916877402E-2</v>
      </c>
      <c r="AD33" s="694">
        <f t="shared" si="11"/>
        <v>2.7211440651832661E-2</v>
      </c>
      <c r="AE33" s="694">
        <f t="shared" si="11"/>
        <v>3.0111401028497124E-2</v>
      </c>
      <c r="AF33" s="694">
        <f t="shared" si="11"/>
        <v>3.3652755135584356E-2</v>
      </c>
      <c r="AG33" s="694">
        <f t="shared" si="11"/>
        <v>3.0408593370388329E-2</v>
      </c>
      <c r="AH33" s="694">
        <f t="shared" si="11"/>
        <v>3.3895989764351583E-2</v>
      </c>
      <c r="AI33" s="645">
        <f t="shared" si="12"/>
        <v>2.9339323407892526E-2</v>
      </c>
      <c r="AJ33" s="695"/>
      <c r="AK33" s="634">
        <v>13</v>
      </c>
      <c r="AL33" s="678">
        <f>SUM(AI45:AI46)/SUM(AI$21:AI$68)</f>
        <v>1.5989937456745464E-2</v>
      </c>
      <c r="AM33" s="634">
        <f>SUM(W45:W46)/SUM(W$21:W$68)</f>
        <v>1.794860437380736E-2</v>
      </c>
      <c r="AN33" s="634">
        <f t="shared" ref="AN33:AX33" si="39">SUM(X45:X46)/SUM(X$21:X$68)</f>
        <v>1.5601516492816382E-2</v>
      </c>
      <c r="AO33" s="634">
        <f t="shared" si="39"/>
        <v>1.2568449028167838E-2</v>
      </c>
      <c r="AP33" s="634">
        <f t="shared" si="39"/>
        <v>1.4957442947170732E-2</v>
      </c>
      <c r="AQ33" s="634">
        <f t="shared" si="39"/>
        <v>1.4246048069974822E-2</v>
      </c>
      <c r="AR33" s="634">
        <f t="shared" si="39"/>
        <v>1.4700497554475549E-2</v>
      </c>
      <c r="AS33" s="634">
        <f t="shared" si="39"/>
        <v>1.4907237960308621E-2</v>
      </c>
      <c r="AT33" s="634">
        <f t="shared" si="39"/>
        <v>1.5067633413133743E-2</v>
      </c>
      <c r="AU33" s="634">
        <f t="shared" si="39"/>
        <v>1.5972952096993613E-2</v>
      </c>
      <c r="AV33" s="634">
        <f t="shared" si="39"/>
        <v>1.8028482896186786E-2</v>
      </c>
      <c r="AW33" s="634">
        <f t="shared" si="39"/>
        <v>1.6145857338623823E-2</v>
      </c>
      <c r="AX33" s="634">
        <f t="shared" si="39"/>
        <v>1.8168186054587903E-2</v>
      </c>
      <c r="AZ33" s="635">
        <v>1.6725584413917419E-2</v>
      </c>
      <c r="BA33" s="635"/>
      <c r="BB33" s="635"/>
      <c r="BC33" s="635"/>
      <c r="BF33" s="634">
        <v>13</v>
      </c>
      <c r="BG33" s="634">
        <v>1.6725584413917419E-2</v>
      </c>
      <c r="BH33" s="634">
        <v>1.8664031157895226E-2</v>
      </c>
      <c r="BI33" s="634">
        <v>1.6328453996544541E-2</v>
      </c>
      <c r="BJ33" s="634">
        <v>1.3141631941761293E-2</v>
      </c>
      <c r="BK33" s="634">
        <v>1.5853912626447912E-2</v>
      </c>
      <c r="BL33" s="634">
        <v>1.5009898099194783E-2</v>
      </c>
      <c r="BM33" s="634">
        <v>1.5413631346221802E-2</v>
      </c>
      <c r="BN33" s="634">
        <v>1.5683758207973249E-2</v>
      </c>
      <c r="BO33" s="634">
        <v>1.590141807163626E-2</v>
      </c>
      <c r="BP33" s="634">
        <v>1.6855244219998174E-2</v>
      </c>
      <c r="BQ33" s="634">
        <v>1.88438065240553E-2</v>
      </c>
      <c r="BR33" s="634">
        <v>1.6783798971952479E-2</v>
      </c>
      <c r="BS33" s="634">
        <v>1.8838991839394189E-2</v>
      </c>
      <c r="BU33" s="634">
        <f t="shared" si="9"/>
        <v>6.5</v>
      </c>
      <c r="BV33" s="634">
        <f t="shared" si="17"/>
        <v>0</v>
      </c>
      <c r="BW33" s="634">
        <f t="shared" si="14"/>
        <v>0</v>
      </c>
      <c r="BX33" s="634">
        <f t="shared" si="14"/>
        <v>0</v>
      </c>
      <c r="BY33" s="634">
        <f t="shared" si="14"/>
        <v>0</v>
      </c>
      <c r="BZ33" s="634">
        <f t="shared" si="14"/>
        <v>0</v>
      </c>
      <c r="CA33" s="634">
        <f t="shared" si="14"/>
        <v>0</v>
      </c>
      <c r="CB33" s="634">
        <f t="shared" si="14"/>
        <v>0</v>
      </c>
      <c r="CC33" s="634">
        <f t="shared" si="14"/>
        <v>0</v>
      </c>
      <c r="CD33" s="634">
        <f t="shared" si="14"/>
        <v>0</v>
      </c>
      <c r="CE33" s="634">
        <f t="shared" si="14"/>
        <v>0</v>
      </c>
      <c r="CF33" s="634">
        <f t="shared" si="14"/>
        <v>0</v>
      </c>
      <c r="CG33" s="634">
        <f t="shared" si="14"/>
        <v>0</v>
      </c>
      <c r="CI33" s="634">
        <f t="shared" si="10"/>
        <v>13</v>
      </c>
      <c r="CJ33" s="634">
        <f t="shared" si="18"/>
        <v>0</v>
      </c>
      <c r="CK33" s="634">
        <f t="shared" si="19"/>
        <v>0</v>
      </c>
      <c r="CL33" s="634">
        <f t="shared" si="20"/>
        <v>0</v>
      </c>
      <c r="CM33" s="634">
        <f t="shared" si="21"/>
        <v>1</v>
      </c>
      <c r="CN33" s="634">
        <f t="shared" si="22"/>
        <v>1</v>
      </c>
      <c r="CO33" s="634">
        <f t="shared" si="23"/>
        <v>1</v>
      </c>
      <c r="CP33" s="634">
        <f t="shared" si="24"/>
        <v>1</v>
      </c>
      <c r="CQ33" s="634">
        <f t="shared" si="25"/>
        <v>1</v>
      </c>
      <c r="CR33" s="634">
        <f t="shared" si="26"/>
        <v>1</v>
      </c>
      <c r="CS33" s="634">
        <f t="shared" si="27"/>
        <v>0</v>
      </c>
      <c r="CT33" s="634">
        <f t="shared" si="28"/>
        <v>0</v>
      </c>
      <c r="CU33" s="634">
        <f t="shared" si="29"/>
        <v>0</v>
      </c>
    </row>
    <row r="34" spans="11:100">
      <c r="K34" s="634">
        <v>1</v>
      </c>
      <c r="L34" s="634">
        <v>0.04</v>
      </c>
      <c r="M34" s="634">
        <v>4.4999999999999998E-2</v>
      </c>
      <c r="N34" s="634">
        <v>5.5E-2</v>
      </c>
      <c r="O34" s="634">
        <v>0.04</v>
      </c>
      <c r="P34" s="645">
        <f>N34/SUM(N$33:N57)</f>
        <v>3.793103448275862E-2</v>
      </c>
      <c r="Q34" s="645">
        <f t="shared" ref="Q34:Q80" si="40">O35/SUM(O$34:O$80)</f>
        <v>2.1874999999999995E-2</v>
      </c>
      <c r="R34" s="645">
        <f t="shared" ref="R34:R56" si="41">AVERAGE(N34:O34)</f>
        <v>4.7500000000000001E-2</v>
      </c>
      <c r="T34" s="638">
        <v>30</v>
      </c>
      <c r="U34" s="638">
        <f t="shared" si="1"/>
        <v>0.7611042586607748</v>
      </c>
      <c r="V34" s="693">
        <v>7</v>
      </c>
      <c r="W34" s="694">
        <f t="shared" si="11"/>
        <v>5.9619124197367687E-2</v>
      </c>
      <c r="X34" s="694">
        <f t="shared" si="11"/>
        <v>5.1644306133798515E-2</v>
      </c>
      <c r="Y34" s="694">
        <f t="shared" si="11"/>
        <v>3.9566597016220742E-2</v>
      </c>
      <c r="Z34" s="694">
        <f t="shared" si="11"/>
        <v>4.2308036513576272E-2</v>
      </c>
      <c r="AA34" s="694">
        <f t="shared" si="11"/>
        <v>3.3648639616608855E-2</v>
      </c>
      <c r="AB34" s="694">
        <f t="shared" si="11"/>
        <v>3.1023124658530365E-2</v>
      </c>
      <c r="AC34" s="694">
        <f t="shared" si="11"/>
        <v>3.32853692854728E-2</v>
      </c>
      <c r="AD34" s="694">
        <f t="shared" si="11"/>
        <v>3.9148631373983084E-2</v>
      </c>
      <c r="AE34" s="694">
        <f t="shared" si="11"/>
        <v>4.6848933565029047E-2</v>
      </c>
      <c r="AF34" s="694">
        <f t="shared" si="11"/>
        <v>5.6252336800985972E-2</v>
      </c>
      <c r="AG34" s="694">
        <f t="shared" si="11"/>
        <v>4.7638072223557593E-2</v>
      </c>
      <c r="AH34" s="694">
        <f t="shared" si="11"/>
        <v>5.6898200847924699E-2</v>
      </c>
      <c r="AI34" s="645">
        <f t="shared" si="12"/>
        <v>4.4798825900993523E-2</v>
      </c>
      <c r="AJ34" s="695"/>
      <c r="AK34" s="634">
        <v>14</v>
      </c>
      <c r="AL34" s="678">
        <f>SUM(AI47:AI48)/SUM(AI$21:AI$68)</f>
        <v>1.6166214905290927E-2</v>
      </c>
      <c r="AM34" s="634">
        <f>SUM(W47:W48)/SUM(W$21:W$68)</f>
        <v>1.819451331049126E-2</v>
      </c>
      <c r="AN34" s="634">
        <f t="shared" ref="AN34:AX34" si="42">SUM(X47:X48)/SUM(X$21:X$68)</f>
        <v>1.5727286556300995E-2</v>
      </c>
      <c r="AO34" s="634">
        <f t="shared" si="42"/>
        <v>1.2642825872089224E-2</v>
      </c>
      <c r="AP34" s="634">
        <f t="shared" si="42"/>
        <v>1.4962720815938427E-2</v>
      </c>
      <c r="AQ34" s="634">
        <f t="shared" si="42"/>
        <v>1.4250322900245983E-2</v>
      </c>
      <c r="AR34" s="634">
        <f t="shared" si="42"/>
        <v>1.4705397476779701E-2</v>
      </c>
      <c r="AS34" s="634">
        <f t="shared" si="42"/>
        <v>1.4912197875032524E-2</v>
      </c>
      <c r="AT34" s="634">
        <f t="shared" si="42"/>
        <v>1.5072979905924653E-2</v>
      </c>
      <c r="AU34" s="634">
        <f t="shared" si="42"/>
        <v>1.5985488160429832E-2</v>
      </c>
      <c r="AV34" s="634">
        <f t="shared" si="42"/>
        <v>1.8064976620279893E-2</v>
      </c>
      <c r="AW34" s="634">
        <f t="shared" si="42"/>
        <v>1.670935915289613E-2</v>
      </c>
      <c r="AX34" s="634">
        <f t="shared" si="42"/>
        <v>1.8688607482635292E-2</v>
      </c>
      <c r="AZ34" s="635">
        <v>1.6802081413190215E-2</v>
      </c>
      <c r="BA34" s="635"/>
      <c r="BB34" s="635"/>
      <c r="BC34" s="635"/>
      <c r="BF34" s="634">
        <v>14</v>
      </c>
      <c r="BG34" s="634">
        <v>1.6802081413190215E-2</v>
      </c>
      <c r="BH34" s="634">
        <v>1.876330294789583E-2</v>
      </c>
      <c r="BI34" s="634">
        <v>1.6376895372817564E-2</v>
      </c>
      <c r="BJ34" s="634">
        <v>1.3169544780238384E-2</v>
      </c>
      <c r="BK34" s="634">
        <v>1.5855410967785054E-2</v>
      </c>
      <c r="BL34" s="634">
        <v>1.5011146584358528E-2</v>
      </c>
      <c r="BM34" s="634">
        <v>1.5415130109337233E-2</v>
      </c>
      <c r="BN34" s="634">
        <v>1.5685260828250301E-2</v>
      </c>
      <c r="BO34" s="634">
        <v>1.5902978936481186E-2</v>
      </c>
      <c r="BP34" s="634">
        <v>1.6859119266201948E-2</v>
      </c>
      <c r="BQ34" s="634">
        <v>1.8856086658154657E-2</v>
      </c>
      <c r="BR34" s="634">
        <v>1.7046461596662274E-2</v>
      </c>
      <c r="BS34" s="634">
        <v>1.9070768335975468E-2</v>
      </c>
      <c r="BU34" s="634">
        <f t="shared" si="9"/>
        <v>7</v>
      </c>
      <c r="BV34" s="634">
        <f t="shared" si="17"/>
        <v>0</v>
      </c>
      <c r="BW34" s="634">
        <f t="shared" si="14"/>
        <v>0</v>
      </c>
      <c r="BX34" s="634">
        <f t="shared" si="14"/>
        <v>0</v>
      </c>
      <c r="BY34" s="634">
        <f t="shared" si="14"/>
        <v>0</v>
      </c>
      <c r="BZ34" s="634">
        <f t="shared" si="14"/>
        <v>0</v>
      </c>
      <c r="CA34" s="634">
        <f t="shared" si="14"/>
        <v>0</v>
      </c>
      <c r="CB34" s="634">
        <f t="shared" si="14"/>
        <v>0</v>
      </c>
      <c r="CC34" s="634">
        <f t="shared" si="14"/>
        <v>0</v>
      </c>
      <c r="CD34" s="634">
        <f t="shared" si="14"/>
        <v>0</v>
      </c>
      <c r="CE34" s="634">
        <f t="shared" si="14"/>
        <v>0</v>
      </c>
      <c r="CF34" s="634">
        <f t="shared" si="14"/>
        <v>0</v>
      </c>
      <c r="CG34" s="634">
        <f t="shared" si="14"/>
        <v>0</v>
      </c>
      <c r="CI34" s="634">
        <f t="shared" si="10"/>
        <v>14</v>
      </c>
      <c r="CJ34" s="634">
        <f t="shared" si="18"/>
        <v>0</v>
      </c>
      <c r="CK34" s="634">
        <f t="shared" si="19"/>
        <v>0</v>
      </c>
      <c r="CL34" s="634">
        <f t="shared" si="20"/>
        <v>0</v>
      </c>
      <c r="CM34" s="634">
        <f t="shared" si="21"/>
        <v>0</v>
      </c>
      <c r="CN34" s="634">
        <f t="shared" si="22"/>
        <v>0</v>
      </c>
      <c r="CO34" s="634">
        <f t="shared" si="23"/>
        <v>0</v>
      </c>
      <c r="CP34" s="634">
        <f t="shared" si="24"/>
        <v>0</v>
      </c>
      <c r="CQ34" s="634">
        <f t="shared" si="25"/>
        <v>0</v>
      </c>
      <c r="CR34" s="634">
        <f t="shared" si="26"/>
        <v>0</v>
      </c>
      <c r="CS34" s="634">
        <f t="shared" si="27"/>
        <v>0</v>
      </c>
      <c r="CT34" s="634">
        <f t="shared" si="28"/>
        <v>0</v>
      </c>
      <c r="CU34" s="634">
        <f t="shared" si="29"/>
        <v>0</v>
      </c>
    </row>
    <row r="35" spans="11:100">
      <c r="K35" s="634">
        <v>1.5</v>
      </c>
      <c r="L35" s="634">
        <v>0.03</v>
      </c>
      <c r="M35" s="634">
        <v>3.5000000000000003E-2</v>
      </c>
      <c r="N35" s="634">
        <v>0.04</v>
      </c>
      <c r="O35" s="634">
        <v>3.5000000000000003E-2</v>
      </c>
      <c r="P35" s="645">
        <f>N35/SUM(N$33:N58)</f>
        <v>2.6755852842809368E-2</v>
      </c>
      <c r="Q35" s="645">
        <f t="shared" si="40"/>
        <v>1.5624999999999997E-2</v>
      </c>
      <c r="R35" s="645">
        <f t="shared" si="41"/>
        <v>3.7500000000000006E-2</v>
      </c>
      <c r="T35" s="638">
        <v>31</v>
      </c>
      <c r="U35" s="638">
        <f t="shared" si="1"/>
        <v>0.74982640120456845</v>
      </c>
      <c r="V35" s="693">
        <v>7.5</v>
      </c>
      <c r="W35" s="694">
        <f t="shared" si="11"/>
        <v>9.1182673277745485E-2</v>
      </c>
      <c r="X35" s="694">
        <f t="shared" si="11"/>
        <v>7.6854520392775239E-2</v>
      </c>
      <c r="Y35" s="694">
        <f t="shared" si="11"/>
        <v>5.515480745168741E-2</v>
      </c>
      <c r="Z35" s="694">
        <f t="shared" si="11"/>
        <v>6.0080282105766991E-2</v>
      </c>
      <c r="AA35" s="694">
        <f t="shared" si="11"/>
        <v>4.4522163833679879E-2</v>
      </c>
      <c r="AB35" s="694">
        <f t="shared" si="11"/>
        <v>3.9804967852372655E-2</v>
      </c>
      <c r="AC35" s="694">
        <f t="shared" si="11"/>
        <v>4.3869485264513675E-2</v>
      </c>
      <c r="AD35" s="694">
        <f t="shared" si="11"/>
        <v>5.4403859207488137E-2</v>
      </c>
      <c r="AE35" s="694">
        <f t="shared" si="11"/>
        <v>6.8238796402832549E-2</v>
      </c>
      <c r="AF35" s="694">
        <f t="shared" si="11"/>
        <v>8.5133651950610886E-2</v>
      </c>
      <c r="AG35" s="694">
        <f t="shared" si="11"/>
        <v>6.9656621769719596E-2</v>
      </c>
      <c r="AH35" s="694">
        <f t="shared" si="11"/>
        <v>8.6294059465074235E-2</v>
      </c>
      <c r="AI35" s="645">
        <f t="shared" si="12"/>
        <v>6.4555420079159584E-2</v>
      </c>
      <c r="AJ35" s="695"/>
      <c r="AK35" s="634">
        <v>15</v>
      </c>
      <c r="AL35" s="678">
        <f>SUM(AI49:AI50)/SUM(AI$21:AI$68)</f>
        <v>1.7202577683960607E-2</v>
      </c>
      <c r="AM35" s="634">
        <f>SUM(W49:W50)/SUM(W$21:W$68)</f>
        <v>1.9820666841575029E-2</v>
      </c>
      <c r="AN35" s="634">
        <f t="shared" ref="AN35:AX35" si="43">SUM(X49:X50)/SUM(X$21:X$68)</f>
        <v>1.6617283432253698E-2</v>
      </c>
      <c r="AO35" s="634">
        <f t="shared" si="43"/>
        <v>1.3185701910018314E-2</v>
      </c>
      <c r="AP35" s="634">
        <f t="shared" si="43"/>
        <v>1.5015397596374741E-2</v>
      </c>
      <c r="AQ35" s="634">
        <f t="shared" si="43"/>
        <v>1.4290358098614085E-2</v>
      </c>
      <c r="AR35" s="634">
        <f t="shared" si="43"/>
        <v>1.474620156654716E-2</v>
      </c>
      <c r="AS35" s="634">
        <f t="shared" si="43"/>
        <v>1.4953357281752861E-2</v>
      </c>
      <c r="AT35" s="634">
        <f t="shared" si="43"/>
        <v>1.5121313762620566E-2</v>
      </c>
      <c r="AU35" s="634">
        <f t="shared" si="43"/>
        <v>1.6095414277396199E-2</v>
      </c>
      <c r="AV35" s="634">
        <f t="shared" si="43"/>
        <v>1.8358619210167182E-2</v>
      </c>
      <c r="AW35" s="634">
        <f t="shared" si="43"/>
        <v>1.9633765206504249E-2</v>
      </c>
      <c r="AX35" s="634">
        <f t="shared" si="43"/>
        <v>2.1608394832259906E-2</v>
      </c>
      <c r="AZ35" s="635">
        <v>1.7387205190656962E-2</v>
      </c>
      <c r="BA35" s="635"/>
      <c r="BB35" s="635"/>
      <c r="BC35" s="635"/>
      <c r="BF35" s="634">
        <v>15</v>
      </c>
      <c r="BG35" s="634">
        <v>1.7387205190656962E-2</v>
      </c>
      <c r="BH35" s="634">
        <v>1.9640071385896515E-2</v>
      </c>
      <c r="BI35" s="634">
        <v>1.6832198192493583E-2</v>
      </c>
      <c r="BJ35" s="634">
        <v>1.3437636443270166E-2</v>
      </c>
      <c r="BK35" s="634">
        <v>1.5875498871840314E-2</v>
      </c>
      <c r="BL35" s="634">
        <v>1.5026624733937814E-2</v>
      </c>
      <c r="BM35" s="634">
        <v>1.5431392676517977E-2</v>
      </c>
      <c r="BN35" s="634">
        <v>1.5701525219736771E-2</v>
      </c>
      <c r="BO35" s="634">
        <v>1.592165715234448E-2</v>
      </c>
      <c r="BP35" s="634">
        <v>1.690437197247617E-2</v>
      </c>
      <c r="BQ35" s="634">
        <v>1.8988016617825728E-2</v>
      </c>
      <c r="BR35" s="634">
        <v>1.8815534380760959E-2</v>
      </c>
      <c r="BS35" s="634">
        <v>2.0786475646983254E-2</v>
      </c>
      <c r="BU35" s="634">
        <f t="shared" si="9"/>
        <v>7.5</v>
      </c>
      <c r="BV35" s="634">
        <f t="shared" si="17"/>
        <v>0</v>
      </c>
      <c r="BW35" s="634">
        <f t="shared" si="14"/>
        <v>0</v>
      </c>
      <c r="BX35" s="634">
        <f t="shared" si="14"/>
        <v>0</v>
      </c>
      <c r="BY35" s="634">
        <f t="shared" si="14"/>
        <v>0</v>
      </c>
      <c r="BZ35" s="634">
        <f t="shared" si="14"/>
        <v>0</v>
      </c>
      <c r="CA35" s="634">
        <f t="shared" si="14"/>
        <v>0</v>
      </c>
      <c r="CB35" s="634">
        <f t="shared" si="14"/>
        <v>0</v>
      </c>
      <c r="CC35" s="634">
        <f t="shared" si="14"/>
        <v>0</v>
      </c>
      <c r="CD35" s="634">
        <f t="shared" si="14"/>
        <v>0</v>
      </c>
      <c r="CE35" s="634">
        <f t="shared" si="14"/>
        <v>0</v>
      </c>
      <c r="CF35" s="634">
        <f t="shared" si="14"/>
        <v>0</v>
      </c>
      <c r="CG35" s="634">
        <f t="shared" si="14"/>
        <v>0</v>
      </c>
      <c r="CI35" s="634">
        <f t="shared" si="10"/>
        <v>15</v>
      </c>
      <c r="CJ35" s="634">
        <f t="shared" si="18"/>
        <v>0</v>
      </c>
      <c r="CK35" s="634">
        <f t="shared" si="19"/>
        <v>0</v>
      </c>
      <c r="CL35" s="634">
        <f t="shared" si="20"/>
        <v>0</v>
      </c>
      <c r="CM35" s="634">
        <f t="shared" si="21"/>
        <v>0</v>
      </c>
      <c r="CN35" s="634">
        <f t="shared" si="22"/>
        <v>0</v>
      </c>
      <c r="CO35" s="634">
        <f t="shared" si="23"/>
        <v>0</v>
      </c>
      <c r="CP35" s="634">
        <f t="shared" si="24"/>
        <v>0</v>
      </c>
      <c r="CQ35" s="634">
        <f t="shared" si="25"/>
        <v>0</v>
      </c>
      <c r="CR35" s="634">
        <f t="shared" si="26"/>
        <v>0</v>
      </c>
      <c r="CS35" s="634">
        <f t="shared" si="27"/>
        <v>0</v>
      </c>
      <c r="CT35" s="634">
        <f t="shared" si="28"/>
        <v>0</v>
      </c>
      <c r="CU35" s="634">
        <f t="shared" si="29"/>
        <v>0</v>
      </c>
    </row>
    <row r="36" spans="11:100">
      <c r="K36" s="634">
        <v>2</v>
      </c>
      <c r="L36" s="634">
        <v>2.5000000000000001E-2</v>
      </c>
      <c r="M36" s="634">
        <v>0.03</v>
      </c>
      <c r="N36" s="634">
        <v>3.5000000000000003E-2</v>
      </c>
      <c r="O36" s="634">
        <v>2.5000000000000001E-2</v>
      </c>
      <c r="P36" s="645">
        <f>N36/SUM(N$33:N59)</f>
        <v>2.2727272727272731E-2</v>
      </c>
      <c r="Q36" s="645">
        <f t="shared" si="40"/>
        <v>1.2499999999999995E-2</v>
      </c>
      <c r="R36" s="645">
        <f t="shared" si="41"/>
        <v>3.0000000000000002E-2</v>
      </c>
      <c r="T36" s="638">
        <v>32</v>
      </c>
      <c r="U36" s="638">
        <f t="shared" si="1"/>
        <v>0.73832635400310653</v>
      </c>
      <c r="V36" s="693">
        <v>8</v>
      </c>
      <c r="W36" s="694">
        <f t="shared" si="11"/>
        <v>0.10653612319569516</v>
      </c>
      <c r="X36" s="694">
        <f t="shared" si="11"/>
        <v>8.9117519115140334E-2</v>
      </c>
      <c r="Y36" s="694">
        <f t="shared" si="11"/>
        <v>6.2737377067731789E-2</v>
      </c>
      <c r="Z36" s="694">
        <f t="shared" si="11"/>
        <v>6.8725231440657703E-2</v>
      </c>
      <c r="AA36" s="694">
        <f t="shared" si="11"/>
        <v>4.9811369717127227E-2</v>
      </c>
      <c r="AB36" s="694">
        <f t="shared" si="11"/>
        <v>4.4076717816883652E-2</v>
      </c>
      <c r="AC36" s="694">
        <f t="shared" si="11"/>
        <v>4.9017914365314594E-2</v>
      </c>
      <c r="AD36" s="694">
        <f t="shared" si="11"/>
        <v>6.182445617306323E-2</v>
      </c>
      <c r="AE36" s="694">
        <f t="shared" si="11"/>
        <v>7.8643462462271094E-2</v>
      </c>
      <c r="AF36" s="694">
        <f t="shared" si="11"/>
        <v>9.9182383434674407E-2</v>
      </c>
      <c r="AG36" s="694">
        <f t="shared" si="11"/>
        <v>8.0367099760075097E-2</v>
      </c>
      <c r="AH36" s="694">
        <f t="shared" si="11"/>
        <v>0.10059308020967465</v>
      </c>
      <c r="AI36" s="645">
        <f t="shared" si="12"/>
        <v>7.4165615640225377E-2</v>
      </c>
      <c r="AJ36" s="695"/>
      <c r="AK36" s="634">
        <v>16</v>
      </c>
      <c r="AL36" s="678">
        <f>SUM(AI51:AI52)/SUM(AI$21:AI$68)</f>
        <v>2.1476236989729228E-2</v>
      </c>
      <c r="AM36" s="634">
        <f>SUM(W51:W52)/SUM(W$21:W$68)</f>
        <v>2.7055276508471848E-2</v>
      </c>
      <c r="AN36" s="634">
        <f t="shared" ref="AN36:AX36" si="44">SUM(X51:X52)/SUM(X$21:X$68)</f>
        <v>2.1003993007894385E-2</v>
      </c>
      <c r="AO36" s="634">
        <f t="shared" si="44"/>
        <v>1.6037325404124208E-2</v>
      </c>
      <c r="AP36" s="634">
        <f t="shared" si="44"/>
        <v>1.5404447874753414E-2</v>
      </c>
      <c r="AQ36" s="634">
        <f t="shared" si="44"/>
        <v>1.4576102569874981E-2</v>
      </c>
      <c r="AR36" s="634">
        <f t="shared" si="44"/>
        <v>1.5012910285142388E-2</v>
      </c>
      <c r="AS36" s="634">
        <f t="shared" si="44"/>
        <v>1.5221466099055272E-2</v>
      </c>
      <c r="AT36" s="634">
        <f t="shared" si="44"/>
        <v>1.5454470779700583E-2</v>
      </c>
      <c r="AU36" s="634">
        <f t="shared" si="44"/>
        <v>1.6809602812864307E-2</v>
      </c>
      <c r="AV36" s="634">
        <f t="shared" si="44"/>
        <v>2.0057729161237232E-2</v>
      </c>
      <c r="AW36" s="634">
        <f t="shared" si="44"/>
        <v>3.0211801103251529E-2</v>
      </c>
      <c r="AX36" s="634">
        <f t="shared" si="44"/>
        <v>3.2619371115137422E-2</v>
      </c>
      <c r="AZ36" s="635">
        <v>2.0369704214756798E-2</v>
      </c>
      <c r="BA36" s="635"/>
      <c r="BB36" s="635"/>
      <c r="BC36" s="635"/>
      <c r="BF36" s="634">
        <v>16</v>
      </c>
      <c r="BG36" s="634">
        <v>2.0369704214756798E-2</v>
      </c>
      <c r="BH36" s="634">
        <v>2.4591169112131557E-2</v>
      </c>
      <c r="BI36" s="634">
        <v>1.9673333443736112E-2</v>
      </c>
      <c r="BJ36" s="634">
        <v>1.5208891057091367E-2</v>
      </c>
      <c r="BK36" s="634">
        <v>1.6066872193603088E-2</v>
      </c>
      <c r="BL36" s="634">
        <v>1.5167384936649191E-2</v>
      </c>
      <c r="BM36" s="634">
        <v>1.5564945568781758E-2</v>
      </c>
      <c r="BN36" s="634">
        <v>1.5834768506862263E-2</v>
      </c>
      <c r="BO36" s="634">
        <v>1.6085651096903367E-2</v>
      </c>
      <c r="BP36" s="634">
        <v>1.7280080494772525E-2</v>
      </c>
      <c r="BQ36" s="634">
        <v>1.9962902670983006E-2</v>
      </c>
      <c r="BR36" s="634">
        <v>2.671294475571798E-2</v>
      </c>
      <c r="BS36" s="634">
        <v>2.8891383441698427E-2</v>
      </c>
      <c r="BU36" s="634">
        <f t="shared" si="9"/>
        <v>8</v>
      </c>
      <c r="BV36" s="634">
        <f t="shared" si="17"/>
        <v>0</v>
      </c>
      <c r="BW36" s="634">
        <f t="shared" si="14"/>
        <v>0</v>
      </c>
      <c r="BX36" s="634">
        <f t="shared" si="14"/>
        <v>0</v>
      </c>
      <c r="BY36" s="634">
        <f t="shared" si="14"/>
        <v>0</v>
      </c>
      <c r="BZ36" s="634">
        <f t="shared" si="14"/>
        <v>0</v>
      </c>
      <c r="CA36" s="634">
        <f t="shared" si="14"/>
        <v>0</v>
      </c>
      <c r="CB36" s="634">
        <f t="shared" si="14"/>
        <v>0</v>
      </c>
      <c r="CC36" s="634">
        <f t="shared" si="14"/>
        <v>0</v>
      </c>
      <c r="CD36" s="634">
        <f t="shared" si="14"/>
        <v>0</v>
      </c>
      <c r="CE36" s="634">
        <f t="shared" si="14"/>
        <v>0</v>
      </c>
      <c r="CF36" s="634">
        <f t="shared" si="14"/>
        <v>0</v>
      </c>
      <c r="CG36" s="634">
        <f t="shared" si="14"/>
        <v>0</v>
      </c>
      <c r="CI36" s="634">
        <f t="shared" si="10"/>
        <v>16</v>
      </c>
      <c r="CJ36" s="634">
        <f t="shared" si="18"/>
        <v>0</v>
      </c>
      <c r="CK36" s="634">
        <f t="shared" si="19"/>
        <v>0</v>
      </c>
      <c r="CL36" s="634">
        <f t="shared" si="20"/>
        <v>0</v>
      </c>
      <c r="CM36" s="634">
        <f t="shared" si="21"/>
        <v>0</v>
      </c>
      <c r="CN36" s="634">
        <f t="shared" si="22"/>
        <v>0</v>
      </c>
      <c r="CO36" s="634">
        <f t="shared" si="23"/>
        <v>0</v>
      </c>
      <c r="CP36" s="634">
        <f t="shared" si="24"/>
        <v>0</v>
      </c>
      <c r="CQ36" s="634">
        <f t="shared" si="25"/>
        <v>0</v>
      </c>
      <c r="CR36" s="634">
        <f t="shared" si="26"/>
        <v>0</v>
      </c>
      <c r="CS36" s="634">
        <f t="shared" si="27"/>
        <v>0</v>
      </c>
      <c r="CT36" s="634">
        <f t="shared" si="28"/>
        <v>0</v>
      </c>
      <c r="CU36" s="634">
        <f t="shared" si="29"/>
        <v>0</v>
      </c>
    </row>
    <row r="37" spans="11:100">
      <c r="K37" s="634">
        <v>2.5</v>
      </c>
      <c r="L37" s="634">
        <v>0.02</v>
      </c>
      <c r="M37" s="634">
        <v>2.5000000000000001E-2</v>
      </c>
      <c r="N37" s="634">
        <v>0.03</v>
      </c>
      <c r="O37" s="634">
        <v>0.02</v>
      </c>
      <c r="P37" s="645">
        <f>N37/SUM(N$33:N60)</f>
        <v>1.8927444794952685E-2</v>
      </c>
      <c r="Q37" s="645">
        <f t="shared" si="40"/>
        <v>1.2499999999999995E-2</v>
      </c>
      <c r="R37" s="645">
        <f t="shared" si="41"/>
        <v>2.5000000000000001E-2</v>
      </c>
      <c r="T37" s="638">
        <v>33</v>
      </c>
      <c r="U37" s="638">
        <f t="shared" si="1"/>
        <v>0.7266075247685656</v>
      </c>
      <c r="V37" s="693">
        <v>8.5</v>
      </c>
      <c r="W37" s="694">
        <f t="shared" si="11"/>
        <v>0.11022787972449063</v>
      </c>
      <c r="X37" s="694">
        <f t="shared" si="11"/>
        <v>8.6615081355252449E-2</v>
      </c>
      <c r="Y37" s="694">
        <f t="shared" si="11"/>
        <v>5.52618027151216E-2</v>
      </c>
      <c r="Z37" s="694">
        <f t="shared" si="11"/>
        <v>5.9703091055798227E-2</v>
      </c>
      <c r="AA37" s="694">
        <f t="shared" si="11"/>
        <v>4.081384972345363E-2</v>
      </c>
      <c r="AB37" s="694">
        <f t="shared" si="11"/>
        <v>3.5511909951618209E-2</v>
      </c>
      <c r="AC37" s="694">
        <f t="shared" si="11"/>
        <v>4.0076912096904609E-2</v>
      </c>
      <c r="AD37" s="694">
        <f t="shared" si="11"/>
        <v>5.275212023103009E-2</v>
      </c>
      <c r="AE37" s="694">
        <f t="shared" si="11"/>
        <v>7.1549308023229119E-2</v>
      </c>
      <c r="AF37" s="694">
        <f t="shared" si="11"/>
        <v>9.6992324982973666E-2</v>
      </c>
      <c r="AG37" s="694">
        <f t="shared" si="11"/>
        <v>8.3326426913063578E-2</v>
      </c>
      <c r="AH37" s="694">
        <f t="shared" si="11"/>
        <v>0.10725739204159257</v>
      </c>
      <c r="AI37" s="645">
        <f t="shared" si="12"/>
        <v>6.9952863241755925E-2</v>
      </c>
      <c r="AJ37" s="695"/>
      <c r="AK37" s="634">
        <v>17</v>
      </c>
      <c r="AL37" s="678">
        <f>SUM(AI53:AI54)/SUM(AI$21:AI$68)</f>
        <v>3.342566752776728E-2</v>
      </c>
      <c r="AM37" s="634">
        <f>SUM(W53:W54)/SUM(W$21:W$68)</f>
        <v>4.7783179391746228E-2</v>
      </c>
      <c r="AN37" s="634">
        <f t="shared" ref="AN37:AX37" si="45">SUM(X53:X54)/SUM(X$21:X$68)</f>
        <v>3.5532044314113352E-2</v>
      </c>
      <c r="AO37" s="634">
        <f t="shared" si="45"/>
        <v>2.6476830301252099E-2</v>
      </c>
      <c r="AP37" s="634">
        <f t="shared" si="45"/>
        <v>1.7489702210209731E-2</v>
      </c>
      <c r="AQ37" s="634">
        <f t="shared" si="45"/>
        <v>1.6098414055920655E-2</v>
      </c>
      <c r="AR37" s="634">
        <f t="shared" si="45"/>
        <v>1.6348462120007179E-2</v>
      </c>
      <c r="AS37" s="634">
        <f t="shared" si="45"/>
        <v>1.6559350999131979E-2</v>
      </c>
      <c r="AT37" s="634">
        <f t="shared" si="45"/>
        <v>1.7167528284221814E-2</v>
      </c>
      <c r="AU37" s="634">
        <f t="shared" si="45"/>
        <v>2.0167816782794456E-2</v>
      </c>
      <c r="AV37" s="634">
        <f t="shared" si="45"/>
        <v>2.6933927962713815E-2</v>
      </c>
      <c r="AW37" s="634">
        <f t="shared" si="45"/>
        <v>5.5378838096215209E-2</v>
      </c>
      <c r="AX37" s="634">
        <f t="shared" si="45"/>
        <v>5.89931805366887E-2</v>
      </c>
      <c r="AZ37" s="635">
        <v>3.0256497911281623E-2</v>
      </c>
      <c r="BA37" s="635"/>
      <c r="BB37" s="635"/>
      <c r="BC37" s="635"/>
      <c r="BF37" s="634">
        <v>17</v>
      </c>
      <c r="BG37" s="634">
        <v>3.0256497911281623E-2</v>
      </c>
      <c r="BH37" s="634">
        <v>4.1885450185072212E-2</v>
      </c>
      <c r="BI37" s="634">
        <v>3.113326913158591E-2</v>
      </c>
      <c r="BJ37" s="634">
        <v>2.3071798144044975E-2</v>
      </c>
      <c r="BK37" s="634">
        <v>1.7345029995198602E-2</v>
      </c>
      <c r="BL37" s="634">
        <v>1.609296385157508E-2</v>
      </c>
      <c r="BM37" s="634">
        <v>1.6381125018333748E-2</v>
      </c>
      <c r="BN37" s="634">
        <v>1.6647049089736368E-2</v>
      </c>
      <c r="BO37" s="634">
        <v>1.7126205674404437E-2</v>
      </c>
      <c r="BP37" s="634">
        <v>1.9461503632001272E-2</v>
      </c>
      <c r="BQ37" s="634">
        <v>2.481986223720406E-2</v>
      </c>
      <c r="BR37" s="634">
        <v>4.9065252325709248E-2</v>
      </c>
      <c r="BS37" s="634">
        <v>5.2284144378683797E-2</v>
      </c>
      <c r="BU37" s="634">
        <f t="shared" si="9"/>
        <v>8.5</v>
      </c>
      <c r="BV37" s="634">
        <f t="shared" si="17"/>
        <v>0</v>
      </c>
      <c r="BW37" s="634">
        <f t="shared" si="14"/>
        <v>0</v>
      </c>
      <c r="BX37" s="634">
        <f t="shared" si="14"/>
        <v>0</v>
      </c>
      <c r="BY37" s="634">
        <f t="shared" si="14"/>
        <v>0</v>
      </c>
      <c r="BZ37" s="634">
        <f t="shared" si="14"/>
        <v>0</v>
      </c>
      <c r="CA37" s="634">
        <f t="shared" si="14"/>
        <v>0</v>
      </c>
      <c r="CB37" s="634">
        <f t="shared" si="14"/>
        <v>0</v>
      </c>
      <c r="CC37" s="634">
        <f t="shared" si="14"/>
        <v>0</v>
      </c>
      <c r="CD37" s="634">
        <f t="shared" si="14"/>
        <v>0</v>
      </c>
      <c r="CE37" s="634">
        <f t="shared" si="14"/>
        <v>0</v>
      </c>
      <c r="CF37" s="634">
        <f t="shared" si="14"/>
        <v>0</v>
      </c>
      <c r="CG37" s="634">
        <f t="shared" si="14"/>
        <v>0</v>
      </c>
      <c r="CI37" s="634">
        <f t="shared" si="10"/>
        <v>17</v>
      </c>
      <c r="CJ37" s="634">
        <f t="shared" si="18"/>
        <v>0</v>
      </c>
      <c r="CK37" s="634">
        <f t="shared" si="19"/>
        <v>0</v>
      </c>
      <c r="CL37" s="634">
        <f t="shared" si="20"/>
        <v>0</v>
      </c>
      <c r="CM37" s="634">
        <f t="shared" si="21"/>
        <v>0</v>
      </c>
      <c r="CN37" s="634">
        <f t="shared" si="22"/>
        <v>0</v>
      </c>
      <c r="CO37" s="634">
        <f t="shared" si="23"/>
        <v>0</v>
      </c>
      <c r="CP37" s="634">
        <f t="shared" si="24"/>
        <v>0</v>
      </c>
      <c r="CQ37" s="634">
        <f t="shared" si="25"/>
        <v>0</v>
      </c>
      <c r="CR37" s="634">
        <f t="shared" si="26"/>
        <v>0</v>
      </c>
      <c r="CS37" s="634">
        <f t="shared" si="27"/>
        <v>0</v>
      </c>
      <c r="CT37" s="634">
        <f t="shared" si="28"/>
        <v>0</v>
      </c>
      <c r="CU37" s="634">
        <f t="shared" si="29"/>
        <v>0</v>
      </c>
    </row>
    <row r="38" spans="11:100">
      <c r="K38" s="634">
        <v>3</v>
      </c>
      <c r="L38" s="634">
        <v>0.02</v>
      </c>
      <c r="M38" s="634">
        <v>2.5000000000000001E-2</v>
      </c>
      <c r="N38" s="634">
        <v>2.5000000000000001E-2</v>
      </c>
      <c r="O38" s="634">
        <v>0.02</v>
      </c>
      <c r="P38" s="645">
        <f>N38/SUM(N$33:N61)</f>
        <v>1.5290519877675844E-2</v>
      </c>
      <c r="Q38" s="645">
        <f t="shared" si="40"/>
        <v>1.2499999999999995E-2</v>
      </c>
      <c r="R38" s="645">
        <f t="shared" si="41"/>
        <v>2.2499999999999999E-2</v>
      </c>
      <c r="T38" s="638">
        <v>34</v>
      </c>
      <c r="U38" s="638">
        <f t="shared" si="1"/>
        <v>0.71467338604296105</v>
      </c>
      <c r="V38" s="693">
        <v>9</v>
      </c>
      <c r="W38" s="694">
        <f t="shared" ref="W38:AH44" si="46">IF($V38&lt;6,$O50,IF($V38&lt;=8,$O$44+0.005*(W$17-3)^2.4*EXP(-1*($V38-8)^2/(2*(0.8)^2))/(0.8*SQRT(2*PI())),W$45+0.005*(W$17-3)^2.4*EXP(-1*($V38-8)^2/(2*(0.8)^2))/(0.8*SQRT(2*PI()))))</f>
        <v>7.8664330644112851E-2</v>
      </c>
      <c r="X38" s="694">
        <f t="shared" si="46"/>
        <v>6.1404867096275718E-2</v>
      </c>
      <c r="Y38" s="694">
        <f t="shared" si="46"/>
        <v>3.9673592279654932E-2</v>
      </c>
      <c r="Z38" s="694">
        <f t="shared" si="46"/>
        <v>4.1930845463607515E-2</v>
      </c>
      <c r="AA38" s="694">
        <f t="shared" si="46"/>
        <v>2.9940325506382606E-2</v>
      </c>
      <c r="AB38" s="694">
        <f t="shared" si="46"/>
        <v>2.6730066757775919E-2</v>
      </c>
      <c r="AC38" s="694">
        <f t="shared" si="46"/>
        <v>2.9492796117863734E-2</v>
      </c>
      <c r="AD38" s="694">
        <f t="shared" si="46"/>
        <v>3.7496892397525045E-2</v>
      </c>
      <c r="AE38" s="694">
        <f t="shared" si="46"/>
        <v>5.0159445185425616E-2</v>
      </c>
      <c r="AF38" s="694">
        <f t="shared" si="46"/>
        <v>6.8111009833348751E-2</v>
      </c>
      <c r="AG38" s="694">
        <f t="shared" si="46"/>
        <v>6.1307877366901575E-2</v>
      </c>
      <c r="AH38" s="694">
        <f t="shared" si="46"/>
        <v>7.7861533424443047E-2</v>
      </c>
      <c r="AI38" s="645">
        <f t="shared" si="12"/>
        <v>5.0196269063589857E-2</v>
      </c>
      <c r="AJ38" s="695"/>
      <c r="AK38" s="634">
        <v>18</v>
      </c>
      <c r="AL38" s="678">
        <f>SUM(AI55:AI56)/SUM(AI$21:AI$68)</f>
        <v>5.5874364453370046E-2</v>
      </c>
      <c r="AM38" s="634">
        <f>SUM(W55:W56)/SUM(W$21:W$68)</f>
        <v>8.4187280463387332E-2</v>
      </c>
      <c r="AN38" s="634">
        <f t="shared" ref="AN38:AX38" si="47">SUM(X55:X56)/SUM(X$21:X$68)</f>
        <v>6.6904219690388095E-2</v>
      </c>
      <c r="AO38" s="634">
        <f t="shared" si="47"/>
        <v>5.2586365910286939E-2</v>
      </c>
      <c r="AP38" s="634">
        <f t="shared" si="47"/>
        <v>2.5535851497704896E-2</v>
      </c>
      <c r="AQ38" s="634">
        <f t="shared" si="47"/>
        <v>2.2113742908472799E-2</v>
      </c>
      <c r="AR38" s="634">
        <f t="shared" si="47"/>
        <v>2.1444161842061316E-2</v>
      </c>
      <c r="AS38" s="634">
        <f t="shared" si="47"/>
        <v>2.1645711935460003E-2</v>
      </c>
      <c r="AT38" s="634">
        <f t="shared" si="47"/>
        <v>2.3694162451726623E-2</v>
      </c>
      <c r="AU38" s="634">
        <f t="shared" si="47"/>
        <v>3.1481929402994234E-2</v>
      </c>
      <c r="AV38" s="634">
        <f t="shared" si="47"/>
        <v>4.6076964265967399E-2</v>
      </c>
      <c r="AW38" s="634">
        <f t="shared" si="47"/>
        <v>9.2452438147088964E-2</v>
      </c>
      <c r="AX38" s="634">
        <f t="shared" si="47"/>
        <v>9.6304900655428086E-2</v>
      </c>
      <c r="AZ38" s="635">
        <v>5.1372480997497284E-2</v>
      </c>
      <c r="BA38" s="635"/>
      <c r="BB38" s="635"/>
      <c r="BC38" s="635"/>
      <c r="BF38" s="634">
        <v>18</v>
      </c>
      <c r="BG38" s="634">
        <v>5.1372480997497284E-2</v>
      </c>
      <c r="BH38" s="634">
        <v>7.762566664481528E-2</v>
      </c>
      <c r="BI38" s="634">
        <v>6.0193624032716879E-2</v>
      </c>
      <c r="BJ38" s="634">
        <v>4.6086115793757376E-2</v>
      </c>
      <c r="BK38" s="634">
        <v>2.3284326694436915E-2</v>
      </c>
      <c r="BL38" s="634">
        <v>2.0466842805204843E-2</v>
      </c>
      <c r="BM38" s="634">
        <v>2.0073298596170158E-2</v>
      </c>
      <c r="BN38" s="634">
        <v>2.0312325251772619E-2</v>
      </c>
      <c r="BO38" s="634">
        <v>2.1866862575866203E-2</v>
      </c>
      <c r="BP38" s="634">
        <v>2.8235005368752505E-2</v>
      </c>
      <c r="BQ38" s="634">
        <v>4.0883932693467198E-2</v>
      </c>
      <c r="BR38" s="634">
        <v>8.7031058919219167E-2</v>
      </c>
      <c r="BS38" s="634">
        <v>9.0953763485702888E-2</v>
      </c>
      <c r="BU38" s="634">
        <f t="shared" si="9"/>
        <v>9</v>
      </c>
      <c r="BV38" s="634">
        <f t="shared" si="17"/>
        <v>0</v>
      </c>
      <c r="BW38" s="634">
        <f t="shared" ref="BW38:BW67" si="48">IF(AND(X38&lt;X37,X38&lt;X39),1,0)</f>
        <v>0</v>
      </c>
      <c r="BX38" s="634">
        <f t="shared" ref="BX38:BX67" si="49">IF(AND(Y38&lt;Y37,Y38&lt;Y39),1,0)</f>
        <v>0</v>
      </c>
      <c r="BY38" s="634">
        <f t="shared" ref="BY38:BY67" si="50">IF(AND(Z38&lt;Z37,Z38&lt;Z39),1,0)</f>
        <v>0</v>
      </c>
      <c r="BZ38" s="634">
        <f t="shared" ref="BZ38:BZ67" si="51">IF(AND(AA38&lt;AA37,AA38&lt;AA39),1,0)</f>
        <v>0</v>
      </c>
      <c r="CA38" s="634">
        <f t="shared" ref="CA38:CA67" si="52">IF(AND(AB38&lt;AB37,AB38&lt;AB39),1,0)</f>
        <v>0</v>
      </c>
      <c r="CB38" s="634">
        <f t="shared" ref="CB38:CB67" si="53">IF(AND(AC38&lt;AC37,AC38&lt;AC39),1,0)</f>
        <v>0</v>
      </c>
      <c r="CC38" s="634">
        <f t="shared" ref="CC38:CC67" si="54">IF(AND(AD38&lt;AD37,AD38&lt;AD39),1,0)</f>
        <v>0</v>
      </c>
      <c r="CD38" s="634">
        <f t="shared" ref="CD38:CD67" si="55">IF(AND(AE38&lt;AE37,AE38&lt;AE39),1,0)</f>
        <v>0</v>
      </c>
      <c r="CE38" s="634">
        <f t="shared" ref="CE38:CE67" si="56">IF(AND(AF38&lt;AF37,AF38&lt;AF39),1,0)</f>
        <v>0</v>
      </c>
      <c r="CF38" s="634">
        <f t="shared" ref="CF38:CF67" si="57">IF(AND(AG38&lt;AG37,AG38&lt;AG39),1,0)</f>
        <v>0</v>
      </c>
      <c r="CG38" s="634">
        <f t="shared" ref="CG38:CG67" si="58">IF(AND(AH38&lt;AH37,AH38&lt;AH39),1,0)</f>
        <v>0</v>
      </c>
      <c r="CI38" s="634">
        <f t="shared" si="10"/>
        <v>18</v>
      </c>
      <c r="CJ38" s="634">
        <f t="shared" si="18"/>
        <v>0</v>
      </c>
      <c r="CK38" s="634">
        <f t="shared" si="19"/>
        <v>0</v>
      </c>
      <c r="CL38" s="634">
        <f t="shared" si="20"/>
        <v>0</v>
      </c>
      <c r="CM38" s="634">
        <f t="shared" si="21"/>
        <v>0</v>
      </c>
      <c r="CN38" s="634">
        <f t="shared" si="22"/>
        <v>0</v>
      </c>
      <c r="CO38" s="634">
        <f t="shared" si="23"/>
        <v>0</v>
      </c>
      <c r="CP38" s="634">
        <f t="shared" si="24"/>
        <v>0</v>
      </c>
      <c r="CQ38" s="634">
        <f t="shared" si="25"/>
        <v>0</v>
      </c>
      <c r="CR38" s="634">
        <f t="shared" si="26"/>
        <v>0</v>
      </c>
      <c r="CS38" s="634">
        <f t="shared" si="27"/>
        <v>0</v>
      </c>
      <c r="CT38" s="634">
        <f t="shared" si="28"/>
        <v>0</v>
      </c>
      <c r="CU38" s="634">
        <f t="shared" si="29"/>
        <v>0</v>
      </c>
    </row>
    <row r="39" spans="11:100">
      <c r="K39" s="634">
        <v>3.5</v>
      </c>
      <c r="L39" s="634">
        <v>0.02</v>
      </c>
      <c r="M39" s="634">
        <v>2.5000000000000001E-2</v>
      </c>
      <c r="N39" s="634">
        <v>2.5000000000000001E-2</v>
      </c>
      <c r="O39" s="634">
        <v>0.02</v>
      </c>
      <c r="P39" s="645">
        <f>N39/SUM(N$33:N62)</f>
        <v>1.4749262536873158E-2</v>
      </c>
      <c r="Q39" s="645">
        <f t="shared" si="40"/>
        <v>1.2499999999999995E-2</v>
      </c>
      <c r="R39" s="645">
        <f t="shared" si="41"/>
        <v>2.2499999999999999E-2</v>
      </c>
      <c r="T39" s="638">
        <v>35</v>
      </c>
      <c r="U39" s="638">
        <f t="shared" si="1"/>
        <v>0.70252747416915717</v>
      </c>
      <c r="V39" s="693">
        <v>9.5</v>
      </c>
      <c r="W39" s="694">
        <f t="shared" si="46"/>
        <v>5.3965905333616768E-2</v>
      </c>
      <c r="X39" s="694">
        <f t="shared" si="46"/>
        <v>4.1677915847817208E-2</v>
      </c>
      <c r="Y39" s="694">
        <f t="shared" si="46"/>
        <v>2.7475843218412142E-2</v>
      </c>
      <c r="Z39" s="694">
        <f t="shared" si="46"/>
        <v>2.8024092479628386E-2</v>
      </c>
      <c r="AA39" s="694">
        <f t="shared" si="46"/>
        <v>2.1431810666897876E-2</v>
      </c>
      <c r="AB39" s="694">
        <f t="shared" si="46"/>
        <v>1.9858288883264286E-2</v>
      </c>
      <c r="AC39" s="694">
        <f t="shared" si="46"/>
        <v>2.1210742749268336E-2</v>
      </c>
      <c r="AD39" s="694">
        <f t="shared" si="46"/>
        <v>2.5559701675374615E-2</v>
      </c>
      <c r="AE39" s="694">
        <f t="shared" si="46"/>
        <v>3.3421912648893694E-2</v>
      </c>
      <c r="AF39" s="694">
        <f t="shared" si="46"/>
        <v>4.5511428167947135E-2</v>
      </c>
      <c r="AG39" s="694">
        <f t="shared" si="46"/>
        <v>4.4078398513732304E-2</v>
      </c>
      <c r="AH39" s="694">
        <f t="shared" si="46"/>
        <v>5.4859322340869918E-2</v>
      </c>
      <c r="AI39" s="645">
        <f t="shared" si="12"/>
        <v>3.4736766570488853E-2</v>
      </c>
      <c r="AJ39" s="695"/>
      <c r="AK39" s="634">
        <v>19</v>
      </c>
      <c r="AL39" s="678">
        <f>SUM(AI57:AI58)/SUM(AI$21:AI$68)</f>
        <v>8.3744847942743728E-2</v>
      </c>
      <c r="AM39" s="634">
        <f>SUM(W57:W58)/SUM(W$21:W$68)</f>
        <v>0.11773734557773614</v>
      </c>
      <c r="AN39" s="634">
        <f t="shared" ref="AN39:AX39" si="59">SUM(X57:X58)/SUM(X$21:X$68)</f>
        <v>0.10784945819448277</v>
      </c>
      <c r="AO39" s="634">
        <f t="shared" si="59"/>
        <v>9.5284735139678084E-2</v>
      </c>
      <c r="AP39" s="634">
        <f t="shared" si="59"/>
        <v>4.7567539508267913E-2</v>
      </c>
      <c r="AQ39" s="634">
        <f t="shared" si="59"/>
        <v>3.9553892938662003E-2</v>
      </c>
      <c r="AR39" s="634">
        <f t="shared" si="59"/>
        <v>3.6125706193047176E-2</v>
      </c>
      <c r="AS39" s="634">
        <f t="shared" si="59"/>
        <v>3.6245773682684945E-2</v>
      </c>
      <c r="AT39" s="634">
        <f t="shared" si="59"/>
        <v>4.1906692963341027E-2</v>
      </c>
      <c r="AU39" s="634">
        <f t="shared" si="59"/>
        <v>5.8288052797964028E-2</v>
      </c>
      <c r="AV39" s="634">
        <f t="shared" si="59"/>
        <v>8.1490187135324008E-2</v>
      </c>
      <c r="AW39" s="634">
        <f t="shared" si="59"/>
        <v>0.11980748321655216</v>
      </c>
      <c r="AX39" s="634">
        <f t="shared" si="59"/>
        <v>0.1196377248016227</v>
      </c>
      <c r="AZ39" s="635">
        <v>7.9971913622316398E-2</v>
      </c>
      <c r="BA39" s="635"/>
      <c r="BB39" s="635"/>
      <c r="BC39" s="635"/>
      <c r="BF39" s="634">
        <v>19</v>
      </c>
      <c r="BG39" s="634">
        <v>7.9971913622316398E-2</v>
      </c>
      <c r="BH39" s="634">
        <v>0.1157944395695156</v>
      </c>
      <c r="BI39" s="634">
        <v>0.10341524109618247</v>
      </c>
      <c r="BJ39" s="634">
        <v>8.8695204464781102E-2</v>
      </c>
      <c r="BK39" s="634">
        <v>4.2221698596689221E-2</v>
      </c>
      <c r="BL39" s="634">
        <v>3.5164694113811089E-2</v>
      </c>
      <c r="BM39" s="634">
        <v>3.2328026949494729E-2</v>
      </c>
      <c r="BN39" s="634">
        <v>3.244596096533979E-2</v>
      </c>
      <c r="BO39" s="634">
        <v>3.7201010723610456E-2</v>
      </c>
      <c r="BP39" s="634">
        <v>5.2244032531885823E-2</v>
      </c>
      <c r="BQ39" s="634">
        <v>7.5028670101379286E-2</v>
      </c>
      <c r="BR39" s="634">
        <v>0.11922643714261331</v>
      </c>
      <c r="BS39" s="634">
        <v>0.11973068272674137</v>
      </c>
      <c r="BU39" s="634">
        <f t="shared" si="9"/>
        <v>9.5</v>
      </c>
      <c r="BV39" s="634">
        <f t="shared" si="17"/>
        <v>0</v>
      </c>
      <c r="BW39" s="634">
        <f t="shared" si="48"/>
        <v>0</v>
      </c>
      <c r="BX39" s="634">
        <f t="shared" si="49"/>
        <v>0</v>
      </c>
      <c r="BY39" s="634">
        <f t="shared" si="50"/>
        <v>0</v>
      </c>
      <c r="BZ39" s="634">
        <f t="shared" si="51"/>
        <v>0</v>
      </c>
      <c r="CA39" s="634">
        <f t="shared" si="52"/>
        <v>0</v>
      </c>
      <c r="CB39" s="634">
        <f t="shared" si="53"/>
        <v>0</v>
      </c>
      <c r="CC39" s="634">
        <f t="shared" si="54"/>
        <v>0</v>
      </c>
      <c r="CD39" s="634">
        <f t="shared" si="55"/>
        <v>0</v>
      </c>
      <c r="CE39" s="634">
        <f t="shared" si="56"/>
        <v>0</v>
      </c>
      <c r="CF39" s="634">
        <f t="shared" si="57"/>
        <v>0</v>
      </c>
      <c r="CG39" s="634">
        <f t="shared" si="58"/>
        <v>0</v>
      </c>
      <c r="CI39" s="634">
        <f t="shared" si="10"/>
        <v>19</v>
      </c>
      <c r="CJ39" s="634">
        <f t="shared" si="18"/>
        <v>0</v>
      </c>
      <c r="CK39" s="634">
        <f t="shared" si="19"/>
        <v>0</v>
      </c>
      <c r="CL39" s="634">
        <f t="shared" si="20"/>
        <v>0</v>
      </c>
      <c r="CM39" s="634">
        <f t="shared" si="21"/>
        <v>0</v>
      </c>
      <c r="CN39" s="634">
        <f t="shared" si="22"/>
        <v>0</v>
      </c>
      <c r="CO39" s="634">
        <f t="shared" si="23"/>
        <v>0</v>
      </c>
      <c r="CP39" s="634">
        <f t="shared" si="24"/>
        <v>0</v>
      </c>
      <c r="CQ39" s="634">
        <f t="shared" si="25"/>
        <v>0</v>
      </c>
      <c r="CR39" s="634">
        <f t="shared" si="26"/>
        <v>0</v>
      </c>
      <c r="CS39" s="634">
        <f t="shared" si="27"/>
        <v>0</v>
      </c>
      <c r="CT39" s="634">
        <f t="shared" si="28"/>
        <v>0</v>
      </c>
      <c r="CU39" s="634">
        <f t="shared" si="29"/>
        <v>0</v>
      </c>
    </row>
    <row r="40" spans="11:100">
      <c r="K40" s="634">
        <v>4</v>
      </c>
      <c r="L40" s="634">
        <v>0.02</v>
      </c>
      <c r="M40" s="634">
        <v>2.5000000000000001E-2</v>
      </c>
      <c r="N40" s="634">
        <v>2.5000000000000001E-2</v>
      </c>
      <c r="O40" s="634">
        <v>0.02</v>
      </c>
      <c r="P40" s="645">
        <f>N40/SUM(N$33:N63)</f>
        <v>1.4084507042253523E-2</v>
      </c>
      <c r="Q40" s="645">
        <f t="shared" si="40"/>
        <v>1.2499999999999995E-2</v>
      </c>
      <c r="R40" s="645">
        <f t="shared" si="41"/>
        <v>2.2499999999999999E-2</v>
      </c>
      <c r="T40" s="638">
        <v>36</v>
      </c>
      <c r="U40" s="638">
        <f t="shared" si="1"/>
        <v>0.69017338824297192</v>
      </c>
      <c r="V40" s="693">
        <v>10</v>
      </c>
      <c r="W40" s="694">
        <f t="shared" si="46"/>
        <v>4.2847338347621423E-2</v>
      </c>
      <c r="X40" s="694">
        <f t="shared" si="46"/>
        <v>3.2797372812053721E-2</v>
      </c>
      <c r="Y40" s="694">
        <f t="shared" si="46"/>
        <v>2.198474456289766E-2</v>
      </c>
      <c r="Z40" s="694">
        <f t="shared" si="46"/>
        <v>2.1763646209624583E-2</v>
      </c>
      <c r="AA40" s="694">
        <f t="shared" si="46"/>
        <v>1.7601506062258028E-2</v>
      </c>
      <c r="AB40" s="694">
        <f t="shared" si="46"/>
        <v>1.6764799251835483E-2</v>
      </c>
      <c r="AC40" s="694">
        <f t="shared" si="46"/>
        <v>1.7482385009749482E-2</v>
      </c>
      <c r="AD40" s="694">
        <f t="shared" si="46"/>
        <v>2.018589937825295E-2</v>
      </c>
      <c r="AE40" s="694">
        <f t="shared" si="46"/>
        <v>2.5887125538048165E-2</v>
      </c>
      <c r="AF40" s="694">
        <f t="shared" si="46"/>
        <v>3.533770415747526E-2</v>
      </c>
      <c r="AG40" s="694">
        <f t="shared" si="46"/>
        <v>3.6322150398540011E-2</v>
      </c>
      <c r="AH40" s="694">
        <f t="shared" si="46"/>
        <v>4.4504345392196762E-2</v>
      </c>
      <c r="AI40" s="645">
        <f t="shared" si="12"/>
        <v>2.777731422165192E-2</v>
      </c>
      <c r="AJ40" s="695"/>
      <c r="AK40" s="634">
        <v>20</v>
      </c>
      <c r="AL40" s="678">
        <f>SUM(AI59:AI60)/SUM(AI$21:AI$68)</f>
        <v>0.10576505643901661</v>
      </c>
      <c r="AM40" s="634">
        <f>SUM(W59:W60)/SUM(W$21:W$68)</f>
        <v>0.11999318647125856</v>
      </c>
      <c r="AN40" s="634">
        <f t="shared" ref="AN40:AX40" si="60">SUM(X59:X60)/SUM(X$21:X$68)</f>
        <v>0.13151430539915016</v>
      </c>
      <c r="AO40" s="634">
        <f t="shared" si="60"/>
        <v>0.1354371160380459</v>
      </c>
      <c r="AP40" s="634">
        <f t="shared" si="60"/>
        <v>8.9162326462543046E-2</v>
      </c>
      <c r="AQ40" s="634">
        <f t="shared" si="60"/>
        <v>7.5914360473199965E-2</v>
      </c>
      <c r="AR40" s="634">
        <f t="shared" si="60"/>
        <v>6.7562087250796876E-2</v>
      </c>
      <c r="AS40" s="634">
        <f t="shared" si="60"/>
        <v>6.738245740769036E-2</v>
      </c>
      <c r="AT40" s="634">
        <f t="shared" si="60"/>
        <v>7.8324139487000302E-2</v>
      </c>
      <c r="AU40" s="634">
        <f t="shared" si="60"/>
        <v>0.10120183680223285</v>
      </c>
      <c r="AV40" s="634">
        <f t="shared" si="60"/>
        <v>0.12121270952568716</v>
      </c>
      <c r="AW40" s="634">
        <f t="shared" si="60"/>
        <v>0.11546296644051569</v>
      </c>
      <c r="AX40" s="634">
        <f t="shared" si="60"/>
        <v>0.10863968716024415</v>
      </c>
      <c r="AZ40" s="635">
        <v>0.10393975481875536</v>
      </c>
      <c r="BA40" s="635"/>
      <c r="BB40" s="635"/>
      <c r="BC40" s="635"/>
      <c r="BF40" s="634">
        <v>20</v>
      </c>
      <c r="BG40" s="634">
        <v>0.10393975481875536</v>
      </c>
      <c r="BH40" s="634">
        <v>0.12251923909611673</v>
      </c>
      <c r="BI40" s="634">
        <v>0.1322295716408029</v>
      </c>
      <c r="BJ40" s="634">
        <v>0.13296665934794538</v>
      </c>
      <c r="BK40" s="634">
        <v>8.251340000084223E-2</v>
      </c>
      <c r="BL40" s="634">
        <v>6.9595425707041428E-2</v>
      </c>
      <c r="BM40" s="634">
        <v>6.1701206356899317E-2</v>
      </c>
      <c r="BN40" s="634">
        <v>6.1447616824084186E-2</v>
      </c>
      <c r="BO40" s="634">
        <v>7.1668980273370417E-2</v>
      </c>
      <c r="BP40" s="634">
        <v>9.5266175226541183E-2</v>
      </c>
      <c r="BQ40" s="634">
        <v>0.11788418075629312</v>
      </c>
      <c r="BR40" s="634">
        <v>0.11876590936508105</v>
      </c>
      <c r="BS40" s="634">
        <v>0.11208719227278781</v>
      </c>
      <c r="BU40" s="634">
        <f t="shared" si="9"/>
        <v>10</v>
      </c>
      <c r="BV40" s="634">
        <f t="shared" si="17"/>
        <v>0</v>
      </c>
      <c r="BW40" s="634">
        <f t="shared" si="48"/>
        <v>0</v>
      </c>
      <c r="BX40" s="634">
        <f t="shared" si="49"/>
        <v>0</v>
      </c>
      <c r="BY40" s="634">
        <f t="shared" si="50"/>
        <v>0</v>
      </c>
      <c r="BZ40" s="634">
        <f t="shared" si="51"/>
        <v>0</v>
      </c>
      <c r="CA40" s="634">
        <f t="shared" si="52"/>
        <v>0</v>
      </c>
      <c r="CB40" s="634">
        <f t="shared" si="53"/>
        <v>0</v>
      </c>
      <c r="CC40" s="634">
        <f t="shared" si="54"/>
        <v>0</v>
      </c>
      <c r="CD40" s="634">
        <f t="shared" si="55"/>
        <v>0</v>
      </c>
      <c r="CE40" s="634">
        <f t="shared" si="56"/>
        <v>0</v>
      </c>
      <c r="CF40" s="634">
        <f t="shared" si="57"/>
        <v>0</v>
      </c>
      <c r="CG40" s="634">
        <f t="shared" si="58"/>
        <v>0</v>
      </c>
      <c r="CI40" s="634">
        <f t="shared" si="10"/>
        <v>20</v>
      </c>
      <c r="CJ40" s="634">
        <f t="shared" si="18"/>
        <v>0</v>
      </c>
      <c r="CK40" s="634">
        <f t="shared" si="19"/>
        <v>0</v>
      </c>
      <c r="CL40" s="634">
        <f t="shared" si="20"/>
        <v>0</v>
      </c>
      <c r="CM40" s="634">
        <f t="shared" si="21"/>
        <v>0</v>
      </c>
      <c r="CN40" s="634">
        <f t="shared" si="22"/>
        <v>0</v>
      </c>
      <c r="CO40" s="634">
        <f t="shared" si="23"/>
        <v>0</v>
      </c>
      <c r="CP40" s="634">
        <f t="shared" si="24"/>
        <v>0</v>
      </c>
      <c r="CQ40" s="634">
        <f t="shared" si="25"/>
        <v>0</v>
      </c>
      <c r="CR40" s="634">
        <f t="shared" si="26"/>
        <v>0</v>
      </c>
      <c r="CS40" s="634">
        <f t="shared" si="27"/>
        <v>0</v>
      </c>
      <c r="CT40" s="634">
        <f t="shared" si="28"/>
        <v>0</v>
      </c>
      <c r="CU40" s="634">
        <f t="shared" si="29"/>
        <v>0</v>
      </c>
    </row>
    <row r="41" spans="11:100">
      <c r="K41" s="634">
        <v>4.5</v>
      </c>
      <c r="L41" s="634">
        <v>0.02</v>
      </c>
      <c r="M41" s="634">
        <v>2.5000000000000001E-2</v>
      </c>
      <c r="N41" s="634">
        <v>2.5000000000000001E-2</v>
      </c>
      <c r="O41" s="634">
        <v>0.02</v>
      </c>
      <c r="P41" s="645">
        <f>N41/SUM(N$33:N64)</f>
        <v>1.3123359580052495E-2</v>
      </c>
      <c r="Q41" s="645">
        <f t="shared" si="40"/>
        <v>1.2499999999999995E-2</v>
      </c>
      <c r="R41" s="645">
        <f t="shared" si="41"/>
        <v>2.2499999999999999E-2</v>
      </c>
      <c r="T41" s="638">
        <v>37</v>
      </c>
      <c r="U41" s="638">
        <f t="shared" si="1"/>
        <v>0.67761478904668893</v>
      </c>
      <c r="V41" s="693">
        <v>10.5</v>
      </c>
      <c r="W41" s="694">
        <f t="shared" si="46"/>
        <v>3.9700776203352481E-2</v>
      </c>
      <c r="X41" s="694">
        <f t="shared" si="46"/>
        <v>3.0284172993040981E-2</v>
      </c>
      <c r="Y41" s="694">
        <f t="shared" si="46"/>
        <v>2.0430759846913043E-2</v>
      </c>
      <c r="Z41" s="694">
        <f t="shared" si="46"/>
        <v>1.9991935586822576E-2</v>
      </c>
      <c r="AA41" s="694">
        <f t="shared" si="46"/>
        <v>1.6517527210922287E-2</v>
      </c>
      <c r="AB41" s="694">
        <f t="shared" si="46"/>
        <v>1.5889339547342732E-2</v>
      </c>
      <c r="AC41" s="694">
        <f t="shared" si="46"/>
        <v>1.6427257191727714E-2</v>
      </c>
      <c r="AD41" s="694">
        <f t="shared" si="46"/>
        <v>1.8665109612790672E-2</v>
      </c>
      <c r="AE41" s="694">
        <f t="shared" si="46"/>
        <v>2.3754775576225306E-2</v>
      </c>
      <c r="AF41" s="694">
        <f t="shared" si="46"/>
        <v>3.245853322853158E-2</v>
      </c>
      <c r="AG41" s="694">
        <f t="shared" si="46"/>
        <v>3.4127126819371773E-2</v>
      </c>
      <c r="AH41" s="694">
        <f t="shared" si="46"/>
        <v>4.1573879756426201E-2</v>
      </c>
      <c r="AI41" s="645">
        <f t="shared" si="12"/>
        <v>2.5807784395256442E-2</v>
      </c>
      <c r="AJ41" s="695"/>
      <c r="AK41" s="634">
        <v>21</v>
      </c>
      <c r="AL41" s="678">
        <f>SUM(AI61:AI62)/SUM(AI$21:AI$68)</f>
        <v>0.12020021292875219</v>
      </c>
      <c r="AM41" s="634">
        <f>SUM(W61:W62)/SUM(W$21:W$68)</f>
        <v>0.10319840540118846</v>
      </c>
      <c r="AN41" s="634">
        <f t="shared" ref="AN41:AX41" si="61">SUM(X61:X62)/SUM(X$21:X$68)</f>
        <v>0.12028906511728614</v>
      </c>
      <c r="AO41" s="634">
        <f t="shared" si="61"/>
        <v>0.14041864713277744</v>
      </c>
      <c r="AP41" s="634">
        <f t="shared" si="61"/>
        <v>0.13962265300436791</v>
      </c>
      <c r="AQ41" s="634">
        <f t="shared" si="61"/>
        <v>0.12809747653899098</v>
      </c>
      <c r="AR41" s="634">
        <f t="shared" si="61"/>
        <v>0.11599809010774424</v>
      </c>
      <c r="AS41" s="634">
        <f t="shared" si="61"/>
        <v>0.11513503038478512</v>
      </c>
      <c r="AT41" s="634">
        <f t="shared" si="61"/>
        <v>0.12802610429743469</v>
      </c>
      <c r="AU41" s="634">
        <f t="shared" si="61"/>
        <v>0.14270436212569823</v>
      </c>
      <c r="AV41" s="634">
        <f t="shared" si="61"/>
        <v>0.12716272152771424</v>
      </c>
      <c r="AW41" s="634">
        <f t="shared" si="61"/>
        <v>0.10738687136866859</v>
      </c>
      <c r="AX41" s="634">
        <f t="shared" si="61"/>
        <v>9.9413233738834803E-2</v>
      </c>
      <c r="AZ41" s="635">
        <v>0.12026121861334653</v>
      </c>
      <c r="BA41" s="635"/>
      <c r="BB41" s="635"/>
      <c r="BC41" s="635"/>
      <c r="BF41" s="634">
        <v>21</v>
      </c>
      <c r="BG41" s="634">
        <v>0.12026121861334653</v>
      </c>
      <c r="BH41" s="634">
        <v>0.10571329609521296</v>
      </c>
      <c r="BI41" s="634">
        <v>0.12274465897573474</v>
      </c>
      <c r="BJ41" s="634">
        <v>0.14281605108627382</v>
      </c>
      <c r="BK41" s="634">
        <v>0.13594269490706479</v>
      </c>
      <c r="BL41" s="634">
        <v>0.12343961026325907</v>
      </c>
      <c r="BM41" s="634">
        <v>0.11092550583600207</v>
      </c>
      <c r="BN41" s="634">
        <v>0.10989434569554628</v>
      </c>
      <c r="BO41" s="634">
        <v>0.12299731154114305</v>
      </c>
      <c r="BP41" s="634">
        <v>0.14210195291561115</v>
      </c>
      <c r="BQ41" s="634">
        <v>0.12974232876140787</v>
      </c>
      <c r="BR41" s="634">
        <v>0.10991388039840605</v>
      </c>
      <c r="BS41" s="634">
        <v>0.10177039346090398</v>
      </c>
      <c r="BU41" s="634">
        <f t="shared" si="9"/>
        <v>10.5</v>
      </c>
      <c r="BV41" s="634">
        <f t="shared" si="17"/>
        <v>0</v>
      </c>
      <c r="BW41" s="634">
        <f t="shared" si="48"/>
        <v>0</v>
      </c>
      <c r="BX41" s="634">
        <f t="shared" si="49"/>
        <v>0</v>
      </c>
      <c r="BY41" s="634">
        <f t="shared" si="50"/>
        <v>0</v>
      </c>
      <c r="BZ41" s="634">
        <f t="shared" si="51"/>
        <v>0</v>
      </c>
      <c r="CA41" s="634">
        <f t="shared" si="52"/>
        <v>0</v>
      </c>
      <c r="CB41" s="634">
        <f t="shared" si="53"/>
        <v>0</v>
      </c>
      <c r="CC41" s="634">
        <f t="shared" si="54"/>
        <v>0</v>
      </c>
      <c r="CD41" s="634">
        <f t="shared" si="55"/>
        <v>0</v>
      </c>
      <c r="CE41" s="634">
        <f t="shared" si="56"/>
        <v>0</v>
      </c>
      <c r="CF41" s="634">
        <f t="shared" si="57"/>
        <v>0</v>
      </c>
      <c r="CG41" s="634">
        <f t="shared" si="58"/>
        <v>0</v>
      </c>
      <c r="CI41" s="634">
        <f t="shared" si="10"/>
        <v>21</v>
      </c>
      <c r="CJ41" s="634">
        <f t="shared" si="18"/>
        <v>0</v>
      </c>
      <c r="CK41" s="634">
        <f t="shared" si="19"/>
        <v>0</v>
      </c>
      <c r="CL41" s="634">
        <f t="shared" si="20"/>
        <v>0</v>
      </c>
      <c r="CM41" s="634">
        <f t="shared" si="21"/>
        <v>0</v>
      </c>
      <c r="CN41" s="634">
        <f t="shared" si="22"/>
        <v>0</v>
      </c>
      <c r="CO41" s="634">
        <f t="shared" si="23"/>
        <v>0</v>
      </c>
      <c r="CP41" s="634">
        <f t="shared" si="24"/>
        <v>0</v>
      </c>
      <c r="CQ41" s="634">
        <f t="shared" si="25"/>
        <v>0</v>
      </c>
      <c r="CR41" s="634">
        <f t="shared" si="26"/>
        <v>0</v>
      </c>
      <c r="CS41" s="634">
        <f t="shared" si="27"/>
        <v>0</v>
      </c>
      <c r="CT41" s="634">
        <f t="shared" si="28"/>
        <v>0</v>
      </c>
      <c r="CU41" s="634">
        <f t="shared" si="29"/>
        <v>0</v>
      </c>
    </row>
    <row r="42" spans="11:100">
      <c r="K42" s="634">
        <v>5</v>
      </c>
      <c r="L42" s="634">
        <v>0.02</v>
      </c>
      <c r="M42" s="634">
        <v>2.5000000000000001E-2</v>
      </c>
      <c r="N42" s="634">
        <v>2.5000000000000001E-2</v>
      </c>
      <c r="O42" s="634">
        <v>0.02</v>
      </c>
      <c r="P42" s="645">
        <f>N42/SUM(N$33:N65)</f>
        <v>1.1933174224343677E-2</v>
      </c>
      <c r="Q42" s="645">
        <f t="shared" si="40"/>
        <v>1.2499999999999995E-2</v>
      </c>
      <c r="R42" s="645">
        <f t="shared" si="41"/>
        <v>2.2499999999999999E-2</v>
      </c>
      <c r="T42" s="638">
        <v>38</v>
      </c>
      <c r="U42" s="638">
        <f t="shared" si="1"/>
        <v>0.66485539796428661</v>
      </c>
      <c r="V42" s="693">
        <v>11</v>
      </c>
      <c r="W42" s="694">
        <f t="shared" si="46"/>
        <v>3.9121689348925681E-2</v>
      </c>
      <c r="X42" s="694">
        <f t="shared" si="46"/>
        <v>2.9821648844141256E-2</v>
      </c>
      <c r="Y42" s="694">
        <f t="shared" si="46"/>
        <v>2.0144767681576057E-2</v>
      </c>
      <c r="Z42" s="694">
        <f t="shared" si="46"/>
        <v>1.9665873591389993E-2</v>
      </c>
      <c r="AA42" s="694">
        <f t="shared" si="46"/>
        <v>1.6318033962575515E-2</v>
      </c>
      <c r="AB42" s="694">
        <f t="shared" si="46"/>
        <v>1.5728221735836767E-2</v>
      </c>
      <c r="AC42" s="694">
        <f t="shared" si="46"/>
        <v>1.6233073628479387E-2</v>
      </c>
      <c r="AD42" s="694">
        <f t="shared" si="46"/>
        <v>1.8385226578180962E-2</v>
      </c>
      <c r="AE42" s="694">
        <f t="shared" si="46"/>
        <v>2.3362342255250485E-2</v>
      </c>
      <c r="AF42" s="694">
        <f t="shared" si="46"/>
        <v>3.1928656505888157E-2</v>
      </c>
      <c r="AG42" s="694">
        <f t="shared" si="46"/>
        <v>3.3723159174185308E-2</v>
      </c>
      <c r="AH42" s="694">
        <f t="shared" si="46"/>
        <v>4.1034562860964574E-2</v>
      </c>
      <c r="AI42" s="645">
        <f t="shared" si="12"/>
        <v>2.54453161586305E-2</v>
      </c>
      <c r="AJ42" s="695"/>
      <c r="AK42" s="634">
        <v>22</v>
      </c>
      <c r="AL42" s="678">
        <f>SUM(AI63:AI64)/SUM(AI$21:AI$68)</f>
        <v>0.11779248000936876</v>
      </c>
      <c r="AM42" s="634">
        <f>SUM(W63:W64)/SUM(W$21:W$68)</f>
        <v>8.8216285795950117E-2</v>
      </c>
      <c r="AN42" s="634">
        <f t="shared" ref="AN42:AX42" si="62">SUM(X63:X64)/SUM(X$21:X$68)</f>
        <v>0.10065113367921137</v>
      </c>
      <c r="AO42" s="634">
        <f t="shared" si="62"/>
        <v>0.11323581628024801</v>
      </c>
      <c r="AP42" s="634">
        <f t="shared" si="62"/>
        <v>0.14643807665539613</v>
      </c>
      <c r="AQ42" s="634">
        <f t="shared" si="62"/>
        <v>0.16201905099878697</v>
      </c>
      <c r="AR42" s="634">
        <f t="shared" si="62"/>
        <v>0.16237132798623327</v>
      </c>
      <c r="AS42" s="634">
        <f t="shared" si="62"/>
        <v>0.16010427367408481</v>
      </c>
      <c r="AT42" s="634">
        <f t="shared" si="62"/>
        <v>0.15520007069248687</v>
      </c>
      <c r="AU42" s="634">
        <f t="shared" si="62"/>
        <v>0.13163679444290308</v>
      </c>
      <c r="AV42" s="634">
        <f t="shared" si="62"/>
        <v>0.10870151473048313</v>
      </c>
      <c r="AW42" s="634">
        <f t="shared" si="62"/>
        <v>9.1796679401814713E-2</v>
      </c>
      <c r="AX42" s="634">
        <f t="shared" si="62"/>
        <v>8.4980637106856355E-2</v>
      </c>
      <c r="AZ42" s="635">
        <v>0.11886589949813355</v>
      </c>
      <c r="BA42" s="635"/>
      <c r="BB42" s="635"/>
      <c r="BC42" s="635"/>
      <c r="BF42" s="634">
        <v>22</v>
      </c>
      <c r="BG42" s="634">
        <v>0.11886589949813355</v>
      </c>
      <c r="BH42" s="634">
        <v>8.8984646798258862E-2</v>
      </c>
      <c r="BI42" s="634">
        <v>0.10155648168864986</v>
      </c>
      <c r="BJ42" s="634">
        <v>0.12021605921347911</v>
      </c>
      <c r="BK42" s="634">
        <v>0.14688136317862785</v>
      </c>
      <c r="BL42" s="634">
        <v>0.16138072365325679</v>
      </c>
      <c r="BM42" s="634">
        <v>0.16116338181338788</v>
      </c>
      <c r="BN42" s="634">
        <v>0.15869021070326275</v>
      </c>
      <c r="BO42" s="634">
        <v>0.15754313487998561</v>
      </c>
      <c r="BP42" s="634">
        <v>0.13198049730510508</v>
      </c>
      <c r="BQ42" s="634">
        <v>0.1092111941076848</v>
      </c>
      <c r="BR42" s="634">
        <v>9.2520507701028251E-2</v>
      </c>
      <c r="BS42" s="634">
        <v>8.5665690609834838E-2</v>
      </c>
      <c r="BU42" s="634">
        <f t="shared" si="9"/>
        <v>11</v>
      </c>
      <c r="BV42" s="634">
        <f t="shared" si="17"/>
        <v>0</v>
      </c>
      <c r="BW42" s="634">
        <f t="shared" si="48"/>
        <v>0</v>
      </c>
      <c r="BX42" s="634">
        <f t="shared" si="49"/>
        <v>0</v>
      </c>
      <c r="BY42" s="634">
        <f t="shared" si="50"/>
        <v>0</v>
      </c>
      <c r="BZ42" s="634">
        <f t="shared" si="51"/>
        <v>0</v>
      </c>
      <c r="CA42" s="634">
        <f t="shared" si="52"/>
        <v>0</v>
      </c>
      <c r="CB42" s="634">
        <f t="shared" si="53"/>
        <v>0</v>
      </c>
      <c r="CC42" s="634">
        <f t="shared" si="54"/>
        <v>0</v>
      </c>
      <c r="CD42" s="634">
        <f t="shared" si="55"/>
        <v>0</v>
      </c>
      <c r="CE42" s="634">
        <f t="shared" si="56"/>
        <v>0</v>
      </c>
      <c r="CF42" s="634">
        <f t="shared" si="57"/>
        <v>0</v>
      </c>
      <c r="CG42" s="634">
        <f t="shared" si="58"/>
        <v>0</v>
      </c>
      <c r="CI42" s="634">
        <f t="shared" si="10"/>
        <v>22</v>
      </c>
      <c r="CJ42" s="634">
        <f t="shared" si="18"/>
        <v>0</v>
      </c>
      <c r="CK42" s="634">
        <f t="shared" si="19"/>
        <v>0</v>
      </c>
      <c r="CL42" s="634">
        <f t="shared" si="20"/>
        <v>0</v>
      </c>
      <c r="CM42" s="634">
        <f t="shared" si="21"/>
        <v>0</v>
      </c>
      <c r="CN42" s="634">
        <f t="shared" si="22"/>
        <v>0</v>
      </c>
      <c r="CO42" s="634">
        <f t="shared" si="23"/>
        <v>0</v>
      </c>
      <c r="CP42" s="634">
        <f t="shared" si="24"/>
        <v>0</v>
      </c>
      <c r="CQ42" s="634">
        <f t="shared" si="25"/>
        <v>0</v>
      </c>
      <c r="CR42" s="634">
        <f t="shared" si="26"/>
        <v>0</v>
      </c>
      <c r="CS42" s="634">
        <f t="shared" si="27"/>
        <v>0</v>
      </c>
      <c r="CT42" s="634">
        <f t="shared" si="28"/>
        <v>0</v>
      </c>
      <c r="CU42" s="634">
        <f t="shared" si="29"/>
        <v>0</v>
      </c>
    </row>
    <row r="43" spans="11:100">
      <c r="K43" s="634">
        <v>5.5</v>
      </c>
      <c r="L43" s="634">
        <v>0.02</v>
      </c>
      <c r="M43" s="634">
        <v>0.03</v>
      </c>
      <c r="N43" s="634">
        <v>2.5000000000000001E-2</v>
      </c>
      <c r="O43" s="634">
        <v>0.02</v>
      </c>
      <c r="P43" s="645">
        <f>N43/SUM(N$33:N66)</f>
        <v>1.0752688172043013E-2</v>
      </c>
      <c r="Q43" s="645">
        <f t="shared" si="40"/>
        <v>1.2499999999999995E-2</v>
      </c>
      <c r="R43" s="645">
        <f t="shared" si="41"/>
        <v>2.2499999999999999E-2</v>
      </c>
      <c r="T43" s="638">
        <v>39</v>
      </c>
      <c r="U43" s="638">
        <f t="shared" si="1"/>
        <v>0.65189899587871269</v>
      </c>
      <c r="V43" s="693">
        <v>11.5</v>
      </c>
      <c r="W43" s="694">
        <f t="shared" si="46"/>
        <v>3.90512440354727E-2</v>
      </c>
      <c r="X43" s="694">
        <f t="shared" si="46"/>
        <v>2.9765383262562707E-2</v>
      </c>
      <c r="Y43" s="694">
        <f t="shared" si="46"/>
        <v>2.0109977032162676E-2</v>
      </c>
      <c r="Z43" s="694">
        <f t="shared" si="46"/>
        <v>1.962620848882763E-2</v>
      </c>
      <c r="AA43" s="694">
        <f t="shared" si="46"/>
        <v>1.629376581643455E-2</v>
      </c>
      <c r="AB43" s="694">
        <f t="shared" si="46"/>
        <v>1.5708621921667904E-2</v>
      </c>
      <c r="AC43" s="694">
        <f t="shared" si="46"/>
        <v>1.6209451400007312E-2</v>
      </c>
      <c r="AD43" s="694">
        <f t="shared" si="46"/>
        <v>1.8351179098165606E-2</v>
      </c>
      <c r="AE43" s="694">
        <f t="shared" si="46"/>
        <v>2.3314603149977877E-2</v>
      </c>
      <c r="AF43" s="694">
        <f t="shared" si="46"/>
        <v>3.1864197553776383E-2</v>
      </c>
      <c r="AG43" s="694">
        <f t="shared" si="46"/>
        <v>3.3674016930370788E-2</v>
      </c>
      <c r="AH43" s="694">
        <f t="shared" si="46"/>
        <v>4.0968955521649489E-2</v>
      </c>
      <c r="AI43" s="645">
        <f t="shared" si="12"/>
        <v>2.5401222274698119E-2</v>
      </c>
      <c r="AJ43" s="695"/>
      <c r="AK43" s="634">
        <v>23</v>
      </c>
      <c r="AL43" s="678">
        <f>SUM(AI65:AI66)/SUM(AI$21:AI$68)</f>
        <v>9.1175421603127207E-2</v>
      </c>
      <c r="AM43" s="634">
        <f>SUM(W65:W66)/SUM(W$21:W$68)</f>
        <v>6.6564816516497149E-2</v>
      </c>
      <c r="AN43" s="634">
        <f t="shared" ref="AN43:AX43" si="63">SUM(X65:X66)/SUM(X$21:X$68)</f>
        <v>7.5947702684187476E-2</v>
      </c>
      <c r="AO43" s="634">
        <f t="shared" si="63"/>
        <v>9.0572537875478115E-2</v>
      </c>
      <c r="AP43" s="634">
        <f t="shared" si="63"/>
        <v>0.11049687272191509</v>
      </c>
      <c r="AQ43" s="634">
        <f t="shared" si="63"/>
        <v>0.12676019399888927</v>
      </c>
      <c r="AR43" s="634">
        <f t="shared" si="63"/>
        <v>0.13567275468706119</v>
      </c>
      <c r="AS43" s="634">
        <f t="shared" si="63"/>
        <v>0.13333229398396113</v>
      </c>
      <c r="AT43" s="634">
        <f t="shared" si="63"/>
        <v>0.1190426980508172</v>
      </c>
      <c r="AU43" s="634">
        <f t="shared" si="63"/>
        <v>9.9328360855949371E-2</v>
      </c>
      <c r="AV43" s="634">
        <f t="shared" si="63"/>
        <v>8.2022228864141344E-2</v>
      </c>
      <c r="AW43" s="634">
        <f t="shared" si="63"/>
        <v>6.9266451949012223E-2</v>
      </c>
      <c r="AX43" s="634">
        <f t="shared" si="63"/>
        <v>6.4123313121086017E-2</v>
      </c>
      <c r="AZ43" s="635">
        <v>9.0888379220282312E-2</v>
      </c>
      <c r="BA43" s="635"/>
      <c r="BB43" s="635"/>
      <c r="BC43" s="635"/>
      <c r="BF43" s="634">
        <v>23</v>
      </c>
      <c r="BG43" s="634">
        <v>9.0888379220282312E-2</v>
      </c>
      <c r="BH43" s="634">
        <v>6.6592813018866645E-2</v>
      </c>
      <c r="BI43" s="634">
        <v>7.6001108497725053E-2</v>
      </c>
      <c r="BJ43" s="634">
        <v>8.996524502949263E-2</v>
      </c>
      <c r="BK43" s="634">
        <v>0.10992057063828223</v>
      </c>
      <c r="BL43" s="634">
        <v>0.12625816590531089</v>
      </c>
      <c r="BM43" s="634">
        <v>0.13500098805547539</v>
      </c>
      <c r="BN43" s="634">
        <v>0.13252087606567856</v>
      </c>
      <c r="BO43" s="634">
        <v>0.11789944558923897</v>
      </c>
      <c r="BP43" s="634">
        <v>9.8769314656063423E-2</v>
      </c>
      <c r="BQ43" s="634">
        <v>8.1729611685355447E-2</v>
      </c>
      <c r="BR43" s="634">
        <v>6.9238920324238909E-2</v>
      </c>
      <c r="BS43" s="634">
        <v>6.4109029165966572E-2</v>
      </c>
      <c r="BU43" s="634">
        <f t="shared" si="9"/>
        <v>11.5</v>
      </c>
      <c r="BV43" s="634">
        <f t="shared" si="17"/>
        <v>0</v>
      </c>
      <c r="BW43" s="634">
        <f t="shared" si="48"/>
        <v>0</v>
      </c>
      <c r="BX43" s="634">
        <f t="shared" si="49"/>
        <v>0</v>
      </c>
      <c r="BY43" s="634">
        <f t="shared" si="50"/>
        <v>0</v>
      </c>
      <c r="BZ43" s="634">
        <f t="shared" si="51"/>
        <v>0</v>
      </c>
      <c r="CA43" s="634">
        <f t="shared" si="52"/>
        <v>0</v>
      </c>
      <c r="CB43" s="634">
        <f t="shared" si="53"/>
        <v>0</v>
      </c>
      <c r="CC43" s="634">
        <f t="shared" si="54"/>
        <v>0</v>
      </c>
      <c r="CD43" s="634">
        <f t="shared" si="55"/>
        <v>0</v>
      </c>
      <c r="CE43" s="634">
        <f t="shared" si="56"/>
        <v>0</v>
      </c>
      <c r="CF43" s="634">
        <f t="shared" si="57"/>
        <v>0</v>
      </c>
      <c r="CG43" s="634">
        <f t="shared" si="58"/>
        <v>0</v>
      </c>
      <c r="CI43" s="634">
        <f t="shared" si="10"/>
        <v>23</v>
      </c>
      <c r="CJ43" s="634">
        <f t="shared" si="18"/>
        <v>0</v>
      </c>
      <c r="CK43" s="634">
        <f t="shared" si="19"/>
        <v>0</v>
      </c>
      <c r="CL43" s="634">
        <f t="shared" si="20"/>
        <v>0</v>
      </c>
      <c r="CM43" s="634">
        <f t="shared" si="21"/>
        <v>0</v>
      </c>
      <c r="CN43" s="634">
        <f t="shared" si="22"/>
        <v>0</v>
      </c>
      <c r="CO43" s="634">
        <f t="shared" si="23"/>
        <v>0</v>
      </c>
      <c r="CP43" s="634">
        <f t="shared" si="24"/>
        <v>0</v>
      </c>
      <c r="CQ43" s="634">
        <f t="shared" si="25"/>
        <v>0</v>
      </c>
      <c r="CR43" s="634">
        <f t="shared" si="26"/>
        <v>0</v>
      </c>
      <c r="CS43" s="634">
        <f t="shared" si="27"/>
        <v>0</v>
      </c>
      <c r="CT43" s="634">
        <f t="shared" si="28"/>
        <v>0</v>
      </c>
      <c r="CU43" s="634">
        <f t="shared" si="29"/>
        <v>0</v>
      </c>
    </row>
    <row r="44" spans="11:100">
      <c r="K44" s="634">
        <v>6</v>
      </c>
      <c r="L44" s="634">
        <v>2.5000000000000001E-2</v>
      </c>
      <c r="M44" s="634">
        <v>3.5000000000000003E-2</v>
      </c>
      <c r="N44" s="634">
        <v>0.03</v>
      </c>
      <c r="O44" s="634">
        <v>0.02</v>
      </c>
      <c r="P44" s="645">
        <f>N44/SUM(N$33:N67)</f>
        <v>1.1650485436893204E-2</v>
      </c>
      <c r="Q44" s="645">
        <f t="shared" si="40"/>
        <v>1.2499999999999995E-2</v>
      </c>
      <c r="R44" s="645">
        <f t="shared" si="41"/>
        <v>2.5000000000000001E-2</v>
      </c>
      <c r="T44" s="638">
        <v>40</v>
      </c>
      <c r="U44" s="638">
        <f t="shared" si="1"/>
        <v>0.6387494220515274</v>
      </c>
      <c r="V44" s="693">
        <v>12</v>
      </c>
      <c r="W44" s="694">
        <f t="shared" si="46"/>
        <v>3.9045528936863159E-2</v>
      </c>
      <c r="X44" s="694">
        <f t="shared" si="46"/>
        <v>2.9760818539499065E-2</v>
      </c>
      <c r="Y44" s="694">
        <f t="shared" si="46"/>
        <v>2.0107154530816008E-2</v>
      </c>
      <c r="Z44" s="694">
        <f t="shared" si="46"/>
        <v>1.9622990532069548E-2</v>
      </c>
      <c r="AA44" s="694">
        <f t="shared" si="46"/>
        <v>1.6291796986409271E-2</v>
      </c>
      <c r="AB44" s="694">
        <f t="shared" si="46"/>
        <v>1.570703182482238E-2</v>
      </c>
      <c r="AC44" s="694">
        <f t="shared" si="46"/>
        <v>1.6207534972093551E-2</v>
      </c>
      <c r="AD44" s="694">
        <f t="shared" si="46"/>
        <v>1.8348416888784226E-2</v>
      </c>
      <c r="AE44" s="694">
        <f t="shared" si="46"/>
        <v>2.3310730164241979E-2</v>
      </c>
      <c r="AF44" s="694">
        <f t="shared" si="46"/>
        <v>3.1858968117643174E-2</v>
      </c>
      <c r="AG44" s="694">
        <f t="shared" si="46"/>
        <v>3.3670030110587792E-2</v>
      </c>
      <c r="AH44" s="694">
        <f t="shared" si="46"/>
        <v>4.0963632918976346E-2</v>
      </c>
      <c r="AI44" s="645">
        <f t="shared" si="12"/>
        <v>2.5397645019059677E-2</v>
      </c>
      <c r="AJ44" s="695"/>
      <c r="AK44" s="634">
        <v>24</v>
      </c>
      <c r="AL44" s="678">
        <f>SUM(AI67:AI68)/SUM(AI$21:AI$68)</f>
        <v>6.3332717307743105E-2</v>
      </c>
      <c r="AM44" s="634">
        <f>SUM(W67:W68)/SUM(W$21:W$68)</f>
        <v>4.6237578428005952E-2</v>
      </c>
      <c r="AN44" s="634">
        <f t="shared" ref="AN44:AX44" si="64">SUM(X67:X68)/SUM(X$21:X$68)</f>
        <v>5.2755164711025489E-2</v>
      </c>
      <c r="AO44" s="634">
        <f t="shared" si="64"/>
        <v>6.291393926404136E-2</v>
      </c>
      <c r="AP44" s="634">
        <f t="shared" si="64"/>
        <v>7.675387818822757E-2</v>
      </c>
      <c r="AQ44" s="634">
        <f t="shared" si="64"/>
        <v>8.8050785960182204E-2</v>
      </c>
      <c r="AR44" s="634">
        <f t="shared" si="64"/>
        <v>9.424167245818045E-2</v>
      </c>
      <c r="AS44" s="634">
        <f t="shared" si="64"/>
        <v>9.261593019702008E-2</v>
      </c>
      <c r="AT44" s="634">
        <f t="shared" si="64"/>
        <v>8.2690021177207668E-2</v>
      </c>
      <c r="AU44" s="634">
        <f t="shared" si="64"/>
        <v>6.8995951848887002E-2</v>
      </c>
      <c r="AV44" s="634">
        <f t="shared" si="64"/>
        <v>5.697468179763808E-2</v>
      </c>
      <c r="AW44" s="634">
        <f t="shared" si="64"/>
        <v>4.8114201646276777E-2</v>
      </c>
      <c r="AX44" s="634">
        <f t="shared" si="64"/>
        <v>4.4541649397696267E-2</v>
      </c>
      <c r="AZ44" s="635">
        <v>6.3174035443195498E-2</v>
      </c>
      <c r="BA44" s="635"/>
      <c r="BB44" s="635"/>
      <c r="BC44" s="635"/>
      <c r="BF44" s="634">
        <v>24</v>
      </c>
      <c r="BG44" s="634">
        <v>6.3174035443195498E-2</v>
      </c>
      <c r="BH44" s="634">
        <v>4.6286849496125312E-2</v>
      </c>
      <c r="BI44" s="634">
        <v>5.2826299282119758E-2</v>
      </c>
      <c r="BJ44" s="634">
        <v>6.2532390025067483E-2</v>
      </c>
      <c r="BK44" s="634">
        <v>7.6402793019434631E-2</v>
      </c>
      <c r="BL44" s="634">
        <v>8.775861024612723E-2</v>
      </c>
      <c r="BM44" s="634">
        <v>9.3835507657284864E-2</v>
      </c>
      <c r="BN44" s="634">
        <v>9.2111649402900286E-2</v>
      </c>
      <c r="BO44" s="634">
        <v>8.1948691552039141E-2</v>
      </c>
      <c r="BP44" s="634">
        <v>6.8651858887916639E-2</v>
      </c>
      <c r="BQ44" s="634">
        <v>5.6808025730720149E-2</v>
      </c>
      <c r="BR44" s="634">
        <v>4.812608657054749E-2</v>
      </c>
      <c r="BS44" s="634">
        <v>4.4560439029765822E-2</v>
      </c>
      <c r="BU44" s="634">
        <f t="shared" si="9"/>
        <v>12</v>
      </c>
      <c r="BV44" s="634">
        <f t="shared" si="17"/>
        <v>0</v>
      </c>
      <c r="BW44" s="634">
        <f t="shared" si="48"/>
        <v>0</v>
      </c>
      <c r="BX44" s="634">
        <f t="shared" si="49"/>
        <v>0</v>
      </c>
      <c r="BY44" s="634">
        <f t="shared" si="50"/>
        <v>0</v>
      </c>
      <c r="BZ44" s="634">
        <f t="shared" si="51"/>
        <v>0</v>
      </c>
      <c r="CA44" s="634">
        <f t="shared" si="52"/>
        <v>0</v>
      </c>
      <c r="CB44" s="634">
        <f t="shared" si="53"/>
        <v>0</v>
      </c>
      <c r="CC44" s="634">
        <f t="shared" si="54"/>
        <v>0</v>
      </c>
      <c r="CD44" s="634">
        <f t="shared" si="55"/>
        <v>0</v>
      </c>
      <c r="CE44" s="634">
        <f t="shared" si="56"/>
        <v>0</v>
      </c>
      <c r="CF44" s="634">
        <f t="shared" si="57"/>
        <v>0</v>
      </c>
      <c r="CG44" s="634">
        <f t="shared" si="58"/>
        <v>0</v>
      </c>
      <c r="CI44" s="634">
        <f t="shared" si="10"/>
        <v>24</v>
      </c>
      <c r="CJ44" s="634">
        <f>IF(AND(AM44&lt;AM43,AM44&lt;AM21),1,0)</f>
        <v>0</v>
      </c>
      <c r="CK44" s="634">
        <f t="shared" ref="CK44:CU44" si="65">IF(AND(AN44&lt;AN43,AN44&lt;AN21),1,0)</f>
        <v>0</v>
      </c>
      <c r="CL44" s="634">
        <f t="shared" si="65"/>
        <v>0</v>
      </c>
      <c r="CM44" s="634">
        <f t="shared" si="65"/>
        <v>0</v>
      </c>
      <c r="CN44" s="634">
        <f t="shared" si="65"/>
        <v>0</v>
      </c>
      <c r="CO44" s="634">
        <f t="shared" si="65"/>
        <v>0</v>
      </c>
      <c r="CP44" s="634">
        <f t="shared" si="65"/>
        <v>0</v>
      </c>
      <c r="CQ44" s="634">
        <f t="shared" si="65"/>
        <v>0</v>
      </c>
      <c r="CR44" s="634">
        <f t="shared" si="65"/>
        <v>0</v>
      </c>
      <c r="CS44" s="634">
        <f t="shared" si="65"/>
        <v>0</v>
      </c>
      <c r="CT44" s="634">
        <f t="shared" si="65"/>
        <v>0</v>
      </c>
      <c r="CU44" s="634">
        <f t="shared" si="65"/>
        <v>0</v>
      </c>
    </row>
    <row r="45" spans="11:100">
      <c r="K45" s="634">
        <v>6.5</v>
      </c>
      <c r="L45" s="634">
        <v>3.5000000000000003E-2</v>
      </c>
      <c r="M45" s="634">
        <v>0.04</v>
      </c>
      <c r="N45" s="634">
        <v>4.4999999999999998E-2</v>
      </c>
      <c r="O45" s="634">
        <v>0.02</v>
      </c>
      <c r="P45" s="645">
        <f>N45/SUM(N$33:N68)</f>
        <v>1.5873015873015872E-2</v>
      </c>
      <c r="Q45" s="645">
        <f t="shared" si="40"/>
        <v>1.5624999999999997E-2</v>
      </c>
      <c r="R45" s="645">
        <f t="shared" si="41"/>
        <v>3.2500000000000001E-2</v>
      </c>
      <c r="T45" s="638">
        <v>41</v>
      </c>
      <c r="U45" s="638">
        <f t="shared" si="1"/>
        <v>0.62541057298524627</v>
      </c>
      <c r="V45" s="693">
        <v>12.5</v>
      </c>
      <c r="W45" s="694">
        <f>IF($V45&lt;6,$O57,$O57+($N57-$O57)/2/0.266*(1/1.5/SQRT(2*PI()))*EXP(-0.5*((ABS(6-W$19)-6)/1.5)^2)+($N57-$O57)/2/0.399*(1/1/SQRT(2*PI()))*EXP(-0.5*((ABS(4.847-W$17)-3.2)/1)^2))</f>
        <v>3.9045206446745154E-2</v>
      </c>
      <c r="X45" s="694">
        <f t="shared" ref="X45:AH45" si="66">IF($V45&lt;6,$O57,$O57+($N57-$O57)/2/0.266*(1/1.5/SQRT(2*PI()))*EXP(-0.5*((ABS(6-X$19)-6)/1.5)^2)+($N57-$O57)/2/0.399*(1/1/SQRT(2*PI()))*EXP(-0.5*((ABS(4.847-X$17)-3.2)/1)^2))</f>
        <v>2.9760560962477207E-2</v>
      </c>
      <c r="Y45" s="694">
        <f t="shared" si="66"/>
        <v>2.0106995263434194E-2</v>
      </c>
      <c r="Z45" s="694">
        <f t="shared" si="66"/>
        <v>1.962280895003124E-2</v>
      </c>
      <c r="AA45" s="694">
        <f t="shared" si="66"/>
        <v>1.6291685889773751E-2</v>
      </c>
      <c r="AB45" s="694">
        <f t="shared" si="66"/>
        <v>1.5706942099245554E-2</v>
      </c>
      <c r="AC45" s="694">
        <f t="shared" si="66"/>
        <v>1.6207426832390934E-2</v>
      </c>
      <c r="AD45" s="694">
        <f t="shared" si="66"/>
        <v>1.8348261023541958E-2</v>
      </c>
      <c r="AE45" s="694">
        <f t="shared" si="66"/>
        <v>2.3310511620396573E-2</v>
      </c>
      <c r="AF45" s="694">
        <f t="shared" si="66"/>
        <v>3.1858673032362776E-2</v>
      </c>
      <c r="AG45" s="694">
        <f t="shared" si="66"/>
        <v>3.366980514334398E-2</v>
      </c>
      <c r="AH45" s="694">
        <f t="shared" si="66"/>
        <v>4.0963332576518338E-2</v>
      </c>
      <c r="AI45" s="645">
        <f t="shared" si="12"/>
        <v>2.5397443162596334E-2</v>
      </c>
      <c r="AJ45" s="695"/>
      <c r="AZ45" s="635"/>
      <c r="BA45" s="635"/>
      <c r="BB45" s="635"/>
      <c r="BC45" s="635"/>
      <c r="BU45" s="634">
        <f t="shared" si="9"/>
        <v>12.5</v>
      </c>
      <c r="BV45" s="634">
        <f t="shared" si="17"/>
        <v>1</v>
      </c>
      <c r="BW45" s="634">
        <f t="shared" si="48"/>
        <v>1</v>
      </c>
      <c r="BX45" s="634">
        <f t="shared" si="49"/>
        <v>1</v>
      </c>
      <c r="BY45" s="634">
        <f t="shared" si="50"/>
        <v>1</v>
      </c>
      <c r="BZ45" s="634">
        <f t="shared" si="51"/>
        <v>1</v>
      </c>
      <c r="CA45" s="634">
        <f t="shared" si="52"/>
        <v>1</v>
      </c>
      <c r="CB45" s="634">
        <f t="shared" si="53"/>
        <v>1</v>
      </c>
      <c r="CC45" s="634">
        <f t="shared" si="54"/>
        <v>1</v>
      </c>
      <c r="CD45" s="634">
        <f t="shared" si="55"/>
        <v>1</v>
      </c>
      <c r="CE45" s="634">
        <f t="shared" si="56"/>
        <v>1</v>
      </c>
      <c r="CF45" s="634">
        <f t="shared" si="57"/>
        <v>1</v>
      </c>
      <c r="CG45" s="634">
        <f t="shared" si="58"/>
        <v>1</v>
      </c>
      <c r="CV45" s="685">
        <f>SUM(CJ41:CU44)</f>
        <v>0</v>
      </c>
    </row>
    <row r="46" spans="11:100">
      <c r="K46" s="634">
        <v>7</v>
      </c>
      <c r="L46" s="634">
        <v>0.05</v>
      </c>
      <c r="M46" s="634">
        <v>5.5E-2</v>
      </c>
      <c r="N46" s="634">
        <v>7.4999999999999997E-2</v>
      </c>
      <c r="O46" s="634">
        <v>2.5000000000000001E-2</v>
      </c>
      <c r="P46" s="645">
        <f>N46/SUM(N$33:N69)</f>
        <v>2.4232633279483037E-2</v>
      </c>
      <c r="Q46" s="645">
        <f t="shared" si="40"/>
        <v>1.8749999999999992E-2</v>
      </c>
      <c r="R46" s="645">
        <f t="shared" si="41"/>
        <v>0.05</v>
      </c>
      <c r="T46" s="638">
        <v>42</v>
      </c>
      <c r="U46" s="638">
        <f t="shared" si="1"/>
        <v>0.6118864012687244</v>
      </c>
      <c r="V46" s="693">
        <v>13</v>
      </c>
      <c r="W46" s="696">
        <f>IF($V46&gt;19.1,IF($V46&lt;22.2,IF($AN$54&lt;W$18+$AN$51,IF(W$45+$AL$51*EXP((-1*($V46-(W$18+$AN$51))^2)/(2*((25.5/(ABS(6.5-W$19)+20))*$AP$51)^2))/((25.5/(ABS(6.5-W$19)+20))*$AP$51*SQRT(2*PI()))&lt;0.04+$AL$54*EXP((-1*($V46-($AN$54))^2)/(2*($AP$54)^2))/($AP$54*SQRT(2*PI())),W$45+$AL$51*EXP((-1*($V46-(W$18+$AN$51))^2)/(2*((25.5/(ABS(6.5-W$19)+20))*$AP$51)^2))/((25.5/(ABS(6.5-W$19)+20))*$AP$51*SQRT(2*PI())),0.04+$AL$54*EXP((-1*($V46-($AN$54))^2)/(2*($AP$54)^2))/($AP$54*SQRT(2*PI()))),IF(0.04+$AL$54*EXP((-1*($V46-($AN$54))^2)/(2*(($AP$54)^2)))/($AP$54*SQRT(2*PI()))&lt;W$45+$AL$51*EXP((-1*($V46-(W$18+$AN$51))^2)/(2*((25.5/(ABS(6.5-W$19)+20))*$AP$51)^2))/((25.5/(ABS(6.5-W$19)+20))*$AP$51*SQRT(2*PI())),W$45+$AL$51*EXP((-1*($V46-(W$18+$AN$51))^2)/(2*((25.5/(ABS(6.5-W$19)+20))*$AP$51)^2))/((25.5/(ABS(6.5-W$19)+20))*$AP$51*SQRT(2*PI())),0.04+$AL$54*EXP((-1*($V46-($AN$54))^2)/(2*($AP$54)^2))/($AP$54*SQRT(2*PI())))),0.04+$AL$54*EXP((-1*($V46-($AN$54))^2)/(2*($AP$54)^2))/($AP$54*SQRT(2*PI()))),W$45+$AL$51*EXP((-1*($V46-(W$18+$AN$51))^2)/(2*((25.5/(ABS(6.5-W$19)+20))*$AP$51)^2))/((25.5/(ABS(6.5-W$19)+20))*$AP$51*SQRT(2*PI())))</f>
        <v>3.9131797309991986E-2</v>
      </c>
      <c r="X46" s="696">
        <f t="shared" ref="X46:AH46" si="67">IF($V46&gt;19.1,IF($V46&lt;22.2,IF($AN$54&lt;X$18+$AN$51,IF(X$45+$AL$51*EXP((-1*($V46-(X$18+$AN$51))^2)/(2*((25.5/(ABS(6.5-X$19)+20))*$AP$51)^2))/((25.5/(ABS(6.5-X$19)+20))*$AP$51*SQRT(2*PI()))&lt;0.04+$AL$54*EXP((-1*($V46-($AN$54))^2)/(2*($AP$54)^2))/($AP$54*SQRT(2*PI())),X$45+$AL$51*EXP((-1*($V46-(X$18+$AN$51))^2)/(2*((25.5/(ABS(6.5-X$19)+20))*$AP$51)^2))/((25.5/(ABS(6.5-X$19)+20))*$AP$51*SQRT(2*PI())),0.04+$AL$54*EXP((-1*($V46-($AN$54))^2)/(2*($AP$54)^2))/($AP$54*SQRT(2*PI()))),IF(0.04+$AL$54*EXP((-1*($V46-($AN$54))^2)/(2*(($AP$54)^2)))/($AP$54*SQRT(2*PI()))&lt;X$45+$AL$51*EXP((-1*($V46-(X$18+$AN$51))^2)/(2*((25.5/(ABS(6.5-X$19)+20))*$AP$51)^2))/((25.5/(ABS(6.5-X$19)+20))*$AP$51*SQRT(2*PI())),X$45+$AL$51*EXP((-1*($V46-(X$18+$AN$51))^2)/(2*((25.5/(ABS(6.5-X$19)+20))*$AP$51)^2))/((25.5/(ABS(6.5-X$19)+20))*$AP$51*SQRT(2*PI())),0.04+$AL$54*EXP((-1*($V46-($AN$54))^2)/(2*($AP$54)^2))/($AP$54*SQRT(2*PI())))),0.04+$AL$54*EXP((-1*($V46-($AN$54))^2)/(2*($AP$54)^2))/($AP$54*SQRT(2*PI()))),X$45+$AL$51*EXP((-1*($V46-(X$18+$AN$51))^2)/(2*((25.5/(ABS(6.5-X$19)+20))*$AP$51)^2))/((25.5/(ABS(6.5-X$19)+20))*$AP$51*SQRT(2*PI())))</f>
        <v>2.9798144391152106E-2</v>
      </c>
      <c r="Y46" s="696">
        <f t="shared" si="67"/>
        <v>2.0125616556012842E-2</v>
      </c>
      <c r="Z46" s="696">
        <f t="shared" si="67"/>
        <v>1.9623646907184166E-2</v>
      </c>
      <c r="AA46" s="696">
        <f t="shared" si="67"/>
        <v>1.6292328290514347E-2</v>
      </c>
      <c r="AB46" s="696">
        <f t="shared" si="67"/>
        <v>1.5707725373544611E-2</v>
      </c>
      <c r="AC46" s="696">
        <f t="shared" si="67"/>
        <v>1.6208236165141145E-2</v>
      </c>
      <c r="AD46" s="696">
        <f t="shared" si="67"/>
        <v>1.8349144404117883E-2</v>
      </c>
      <c r="AE46" s="696">
        <f t="shared" si="67"/>
        <v>2.3313001659159949E-2</v>
      </c>
      <c r="AF46" s="696">
        <f t="shared" si="67"/>
        <v>3.1867918636791587E-2</v>
      </c>
      <c r="AG46" s="696">
        <f t="shared" si="67"/>
        <v>3.3912226665556197E-2</v>
      </c>
      <c r="AH46" s="696">
        <f t="shared" si="67"/>
        <v>4.1183096850054494E-2</v>
      </c>
      <c r="AI46" s="645">
        <f t="shared" si="12"/>
        <v>2.5449173549882079E-2</v>
      </c>
      <c r="AJ46" s="695"/>
      <c r="BU46" s="634">
        <f t="shared" si="9"/>
        <v>13</v>
      </c>
      <c r="BV46" s="634">
        <f t="shared" si="17"/>
        <v>0</v>
      </c>
      <c r="BW46" s="634">
        <f t="shared" si="48"/>
        <v>0</v>
      </c>
      <c r="BX46" s="634">
        <f t="shared" si="49"/>
        <v>0</v>
      </c>
      <c r="BY46" s="634">
        <f t="shared" si="50"/>
        <v>0</v>
      </c>
      <c r="BZ46" s="634">
        <f t="shared" si="51"/>
        <v>0</v>
      </c>
      <c r="CA46" s="634">
        <f t="shared" si="52"/>
        <v>0</v>
      </c>
      <c r="CB46" s="634">
        <f t="shared" si="53"/>
        <v>0</v>
      </c>
      <c r="CC46" s="634">
        <f t="shared" si="54"/>
        <v>0</v>
      </c>
      <c r="CD46" s="634">
        <f t="shared" si="55"/>
        <v>0</v>
      </c>
      <c r="CE46" s="634">
        <f t="shared" si="56"/>
        <v>0</v>
      </c>
      <c r="CF46" s="634">
        <f t="shared" si="57"/>
        <v>0</v>
      </c>
      <c r="CG46" s="634">
        <f t="shared" si="58"/>
        <v>0</v>
      </c>
    </row>
    <row r="47" spans="11:100">
      <c r="K47" s="634">
        <v>7.5</v>
      </c>
      <c r="L47" s="634">
        <v>6.5000000000000002E-2</v>
      </c>
      <c r="M47" s="634">
        <v>6.5000000000000002E-2</v>
      </c>
      <c r="N47" s="634">
        <v>0.13</v>
      </c>
      <c r="O47" s="634">
        <v>0.03</v>
      </c>
      <c r="P47" s="645">
        <f>N47/SUM(N$33:N70)</f>
        <v>3.8863976083707029E-2</v>
      </c>
      <c r="Q47" s="645">
        <f t="shared" si="40"/>
        <v>1.8749999999999992E-2</v>
      </c>
      <c r="R47" s="645">
        <f t="shared" si="41"/>
        <v>0.08</v>
      </c>
      <c r="T47" s="638">
        <v>43</v>
      </c>
      <c r="U47" s="638">
        <f t="shared" si="1"/>
        <v>0.59818091440591648</v>
      </c>
      <c r="V47" s="693">
        <v>13.5</v>
      </c>
      <c r="W47" s="696">
        <f t="shared" ref="W47:AH68" si="68">IF($V47&gt;19.1,IF($V47&lt;22.2,IF($AN$54&lt;W$18+$AN$51,IF(W$45+$AL$51*EXP((-1*($V47-(W$18+$AN$51))^2)/(2*((25.5/(ABS(6.5-W$19)+20))*$AP$51)^2))/((25.5/(ABS(6.5-W$19)+20))*$AP$51*SQRT(2*PI()))&lt;0.04+$AL$54*EXP((-1*($V47-($AN$54))^2)/(2*($AP$54)^2))/($AP$54*SQRT(2*PI())),W$45+$AL$51*EXP((-1*($V47-(W$18+$AN$51))^2)/(2*((25.5/(ABS(6.5-W$19)+20))*$AP$51)^2))/((25.5/(ABS(6.5-W$19)+20))*$AP$51*SQRT(2*PI())),0.04+$AL$54*EXP((-1*($V47-($AN$54))^2)/(2*($AP$54)^2))/($AP$54*SQRT(2*PI()))),IF(0.04+$AL$54*EXP((-1*($V47-($AN$54))^2)/(2*(($AP$54)^2)))/($AP$54*SQRT(2*PI()))&lt;W$45+$AL$51*EXP((-1*($V47-(W$18+$AN$51))^2)/(2*((25.5/(ABS(6.5-W$19)+20))*$AP$51)^2))/((25.5/(ABS(6.5-W$19)+20))*$AP$51*SQRT(2*PI())),W$45+$AL$51*EXP((-1*($V47-(W$18+$AN$51))^2)/(2*((25.5/(ABS(6.5-W$19)+20))*$AP$51)^2))/((25.5/(ABS(6.5-W$19)+20))*$AP$51*SQRT(2*PI())),0.04+$AL$54*EXP((-1*($V47-($AN$54))^2)/(2*($AP$54)^2))/($AP$54*SQRT(2*PI())))),0.04+$AL$54*EXP((-1*($V47-($AN$54))^2)/(2*($AP$54)^2))/($AP$54*SQRT(2*PI()))),W$45+$AL$51*EXP((-1*($V47-(W$18+$AN$51))^2)/(2*((25.5/(ABS(6.5-W$19)+20))*$AP$51)^2))/((25.5/(ABS(6.5-W$19)+20))*$AP$51*SQRT(2*PI())))</f>
        <v>3.933353748023577E-2</v>
      </c>
      <c r="X47" s="696">
        <f t="shared" si="68"/>
        <v>2.9887441273207617E-2</v>
      </c>
      <c r="Y47" s="696">
        <f t="shared" si="68"/>
        <v>2.0169689971252406E-2</v>
      </c>
      <c r="Z47" s="696">
        <f t="shared" si="68"/>
        <v>1.9626030605492829E-2</v>
      </c>
      <c r="AA47" s="696">
        <f t="shared" si="68"/>
        <v>1.6294043441457531E-2</v>
      </c>
      <c r="AB47" s="696">
        <f t="shared" si="68"/>
        <v>1.5709618663084034E-2</v>
      </c>
      <c r="AC47" s="696">
        <f t="shared" si="68"/>
        <v>1.6210187836357977E-2</v>
      </c>
      <c r="AD47" s="696">
        <f t="shared" si="68"/>
        <v>1.8351448483124113E-2</v>
      </c>
      <c r="AE47" s="696">
        <f t="shared" si="68"/>
        <v>2.3319507954278347E-2</v>
      </c>
      <c r="AF47" s="696">
        <f t="shared" si="68"/>
        <v>3.189127175864942E-2</v>
      </c>
      <c r="AG47" s="696">
        <f t="shared" si="68"/>
        <v>3.4378821120814029E-2</v>
      </c>
      <c r="AH47" s="696">
        <f t="shared" si="68"/>
        <v>4.164145572856804E-2</v>
      </c>
      <c r="AI47" s="645">
        <f t="shared" si="12"/>
        <v>2.5557557209996969E-2</v>
      </c>
      <c r="AJ47" s="695"/>
      <c r="BU47" s="634">
        <f t="shared" si="9"/>
        <v>13.5</v>
      </c>
      <c r="BV47" s="634">
        <f t="shared" si="17"/>
        <v>0</v>
      </c>
      <c r="BW47" s="634">
        <f t="shared" si="48"/>
        <v>0</v>
      </c>
      <c r="BX47" s="634">
        <f t="shared" si="49"/>
        <v>0</v>
      </c>
      <c r="BY47" s="634">
        <f t="shared" si="50"/>
        <v>0</v>
      </c>
      <c r="BZ47" s="634">
        <f t="shared" si="51"/>
        <v>0</v>
      </c>
      <c r="CA47" s="634">
        <f t="shared" si="52"/>
        <v>0</v>
      </c>
      <c r="CB47" s="634">
        <f t="shared" si="53"/>
        <v>0</v>
      </c>
      <c r="CC47" s="634">
        <f t="shared" si="54"/>
        <v>0</v>
      </c>
      <c r="CD47" s="634">
        <f t="shared" si="55"/>
        <v>0</v>
      </c>
      <c r="CE47" s="634">
        <f t="shared" si="56"/>
        <v>0</v>
      </c>
      <c r="CF47" s="634">
        <f t="shared" si="57"/>
        <v>0</v>
      </c>
      <c r="CG47" s="634">
        <f t="shared" si="58"/>
        <v>0</v>
      </c>
    </row>
    <row r="48" spans="11:100">
      <c r="K48" s="634">
        <v>8</v>
      </c>
      <c r="L48" s="634">
        <v>0.06</v>
      </c>
      <c r="M48" s="634">
        <v>5.5E-2</v>
      </c>
      <c r="N48" s="634">
        <v>0.16</v>
      </c>
      <c r="O48" s="634">
        <v>0.03</v>
      </c>
      <c r="P48" s="645">
        <f>N48/SUM(N$33:N71)</f>
        <v>4.4630404463040445E-2</v>
      </c>
      <c r="Q48" s="645">
        <f t="shared" si="40"/>
        <v>1.5624999999999997E-2</v>
      </c>
      <c r="R48" s="645">
        <f t="shared" si="41"/>
        <v>9.5000000000000001E-2</v>
      </c>
      <c r="T48" s="638">
        <v>44</v>
      </c>
      <c r="U48" s="638">
        <f t="shared" si="1"/>
        <v>0.58429817362836867</v>
      </c>
      <c r="V48" s="693">
        <v>14</v>
      </c>
      <c r="W48" s="696">
        <f t="shared" si="68"/>
        <v>3.9914548098049951E-2</v>
      </c>
      <c r="X48" s="696">
        <f t="shared" si="68"/>
        <v>3.0151390621763766E-2</v>
      </c>
      <c r="Y48" s="696">
        <f t="shared" si="68"/>
        <v>2.0301008081678049E-2</v>
      </c>
      <c r="Z48" s="696">
        <f t="shared" si="68"/>
        <v>1.9634273717957292E-2</v>
      </c>
      <c r="AA48" s="696">
        <f t="shared" si="68"/>
        <v>1.6299748266569467E-2</v>
      </c>
      <c r="AB48" s="696">
        <f t="shared" si="68"/>
        <v>1.5715519845074629E-2</v>
      </c>
      <c r="AC48" s="696">
        <f t="shared" si="68"/>
        <v>1.6216260453836277E-2</v>
      </c>
      <c r="AD48" s="696">
        <f t="shared" si="68"/>
        <v>1.8358978393105956E-2</v>
      </c>
      <c r="AE48" s="696">
        <f t="shared" si="68"/>
        <v>2.334059689060328E-2</v>
      </c>
      <c r="AF48" s="696">
        <f t="shared" si="68"/>
        <v>3.1964316935221899E-2</v>
      </c>
      <c r="AG48" s="696">
        <f t="shared" si="68"/>
        <v>3.5561871286766376E-2</v>
      </c>
      <c r="AH48" s="696">
        <f t="shared" si="68"/>
        <v>4.2858029857971595E-2</v>
      </c>
      <c r="AI48" s="645">
        <f t="shared" si="12"/>
        <v>2.5849606526851681E-2</v>
      </c>
      <c r="AJ48" s="695"/>
      <c r="BU48" s="634">
        <f t="shared" si="9"/>
        <v>14</v>
      </c>
      <c r="BV48" s="634">
        <f t="shared" si="17"/>
        <v>0</v>
      </c>
      <c r="BW48" s="634">
        <f t="shared" si="48"/>
        <v>0</v>
      </c>
      <c r="BX48" s="634">
        <f t="shared" si="49"/>
        <v>0</v>
      </c>
      <c r="BY48" s="634">
        <f t="shared" si="50"/>
        <v>0</v>
      </c>
      <c r="BZ48" s="634">
        <f t="shared" si="51"/>
        <v>0</v>
      </c>
      <c r="CA48" s="634">
        <f t="shared" si="52"/>
        <v>0</v>
      </c>
      <c r="CB48" s="634">
        <f t="shared" si="53"/>
        <v>0</v>
      </c>
      <c r="CC48" s="634">
        <f t="shared" si="54"/>
        <v>0</v>
      </c>
      <c r="CD48" s="634">
        <f t="shared" si="55"/>
        <v>0</v>
      </c>
      <c r="CE48" s="634">
        <f t="shared" si="56"/>
        <v>0</v>
      </c>
      <c r="CF48" s="634">
        <f t="shared" si="57"/>
        <v>0</v>
      </c>
      <c r="CG48" s="634">
        <f t="shared" si="58"/>
        <v>0</v>
      </c>
    </row>
    <row r="49" spans="11:85">
      <c r="K49" s="634">
        <v>8.5</v>
      </c>
      <c r="L49" s="634">
        <v>4.4999999999999998E-2</v>
      </c>
      <c r="M49" s="634">
        <v>3.5000000000000003E-2</v>
      </c>
      <c r="N49" s="634">
        <v>0.14000000000000001</v>
      </c>
      <c r="O49" s="634">
        <v>2.5000000000000001E-2</v>
      </c>
      <c r="P49" s="645">
        <f>N49/SUM(N$33:N72)</f>
        <v>3.6745406824146988E-2</v>
      </c>
      <c r="Q49" s="645">
        <f t="shared" si="40"/>
        <v>1.2499999999999995E-2</v>
      </c>
      <c r="R49" s="645">
        <f t="shared" si="41"/>
        <v>8.2500000000000004E-2</v>
      </c>
      <c r="T49" s="638">
        <v>45</v>
      </c>
      <c r="U49" s="638">
        <f t="shared" si="1"/>
        <v>0.57024229269178728</v>
      </c>
      <c r="V49" s="693">
        <v>14.5</v>
      </c>
      <c r="W49" s="696">
        <f t="shared" si="68"/>
        <v>4.1418597858603301E-2</v>
      </c>
      <c r="X49" s="696">
        <f t="shared" si="68"/>
        <v>3.0859000708324771E-2</v>
      </c>
      <c r="Y49" s="696">
        <f t="shared" si="68"/>
        <v>2.0658829255143483E-2</v>
      </c>
      <c r="Z49" s="696">
        <f t="shared" si="68"/>
        <v>1.9660573154213625E-2</v>
      </c>
      <c r="AA49" s="696">
        <f t="shared" si="68"/>
        <v>1.6317378701767436E-2</v>
      </c>
      <c r="AB49" s="696">
        <f t="shared" si="68"/>
        <v>1.573272314787854E-2</v>
      </c>
      <c r="AC49" s="696">
        <f t="shared" si="68"/>
        <v>1.6233932721411215E-2</v>
      </c>
      <c r="AD49" s="696">
        <f t="shared" si="68"/>
        <v>1.8381840846799568E-2</v>
      </c>
      <c r="AE49" s="696">
        <f t="shared" si="68"/>
        <v>2.3403637665997314E-2</v>
      </c>
      <c r="AF49" s="696">
        <f t="shared" si="68"/>
        <v>3.2173351281874978E-2</v>
      </c>
      <c r="AG49" s="696">
        <f t="shared" si="68"/>
        <v>3.8276739790795919E-2</v>
      </c>
      <c r="AH49" s="696">
        <f t="shared" si="68"/>
        <v>4.5756812046052718E-2</v>
      </c>
      <c r="AI49" s="645">
        <f t="shared" si="12"/>
        <v>2.6562808922358603E-2</v>
      </c>
      <c r="AJ49" s="695"/>
      <c r="AL49" s="635" t="s">
        <v>1522</v>
      </c>
      <c r="AM49" s="635"/>
      <c r="AN49" s="635"/>
      <c r="AO49" s="635"/>
      <c r="AP49" s="635"/>
      <c r="AQ49" s="635"/>
      <c r="BU49" s="634">
        <f t="shared" si="9"/>
        <v>14.5</v>
      </c>
      <c r="BV49" s="634">
        <f t="shared" si="17"/>
        <v>0</v>
      </c>
      <c r="BW49" s="634">
        <f t="shared" si="48"/>
        <v>0</v>
      </c>
      <c r="BX49" s="634">
        <f t="shared" si="49"/>
        <v>0</v>
      </c>
      <c r="BY49" s="634">
        <f t="shared" si="50"/>
        <v>0</v>
      </c>
      <c r="BZ49" s="634">
        <f t="shared" si="51"/>
        <v>0</v>
      </c>
      <c r="CA49" s="634">
        <f t="shared" si="52"/>
        <v>0</v>
      </c>
      <c r="CB49" s="634">
        <f t="shared" si="53"/>
        <v>0</v>
      </c>
      <c r="CC49" s="634">
        <f t="shared" si="54"/>
        <v>0</v>
      </c>
      <c r="CD49" s="634">
        <f t="shared" si="55"/>
        <v>0</v>
      </c>
      <c r="CE49" s="634">
        <f t="shared" si="56"/>
        <v>0</v>
      </c>
      <c r="CF49" s="634">
        <f t="shared" si="57"/>
        <v>0</v>
      </c>
      <c r="CG49" s="634">
        <f t="shared" si="58"/>
        <v>0</v>
      </c>
    </row>
    <row r="50" spans="11:85">
      <c r="K50" s="634">
        <v>9</v>
      </c>
      <c r="L50" s="634">
        <v>2.5000000000000001E-2</v>
      </c>
      <c r="M50" s="634">
        <v>2.5000000000000001E-2</v>
      </c>
      <c r="N50" s="634">
        <v>0.1</v>
      </c>
      <c r="O50" s="634">
        <v>0.02</v>
      </c>
      <c r="P50" s="645">
        <f>N50/SUM(N$33:N73)</f>
        <v>2.4783147459727387E-2</v>
      </c>
      <c r="Q50" s="645">
        <f t="shared" si="40"/>
        <v>9.3749999999999962E-3</v>
      </c>
      <c r="R50" s="645">
        <f t="shared" si="41"/>
        <v>6.0000000000000005E-2</v>
      </c>
      <c r="T50" s="638">
        <v>46</v>
      </c>
      <c r="U50" s="638">
        <f t="shared" si="1"/>
        <v>0.55601743665704451</v>
      </c>
      <c r="V50" s="693">
        <v>15</v>
      </c>
      <c r="W50" s="696">
        <f t="shared" si="68"/>
        <v>4.4912367706389719E-2</v>
      </c>
      <c r="X50" s="696">
        <f t="shared" si="68"/>
        <v>3.2577389476888756E-2</v>
      </c>
      <c r="Y50" s="696">
        <f t="shared" si="68"/>
        <v>2.1549658468662882E-2</v>
      </c>
      <c r="Z50" s="696">
        <f t="shared" si="68"/>
        <v>1.9737948439754991E-2</v>
      </c>
      <c r="AA50" s="696">
        <f t="shared" si="68"/>
        <v>1.6367982785115372E-2</v>
      </c>
      <c r="AB50" s="696">
        <f t="shared" si="68"/>
        <v>1.5779612879059639E-2</v>
      </c>
      <c r="AC50" s="696">
        <f t="shared" si="68"/>
        <v>1.6282016350951889E-2</v>
      </c>
      <c r="AD50" s="696">
        <f t="shared" si="68"/>
        <v>1.8446303728449256E-2</v>
      </c>
      <c r="AE50" s="696">
        <f t="shared" si="68"/>
        <v>2.3577330958042333E-2</v>
      </c>
      <c r="AF50" s="696">
        <f t="shared" si="68"/>
        <v>3.2720197263092742E-2</v>
      </c>
      <c r="AG50" s="696">
        <f t="shared" si="68"/>
        <v>4.3904696405861574E-2</v>
      </c>
      <c r="AH50" s="696">
        <f t="shared" si="68"/>
        <v>5.1944327505053768E-2</v>
      </c>
      <c r="AI50" s="645">
        <f t="shared" si="12"/>
        <v>2.8139898722941439E-2</v>
      </c>
      <c r="AJ50" s="695"/>
      <c r="AL50" s="697" t="s">
        <v>1523</v>
      </c>
      <c r="AM50" s="697" t="s">
        <v>1524</v>
      </c>
      <c r="AN50" s="697" t="s">
        <v>1525</v>
      </c>
      <c r="AO50" s="697" t="s">
        <v>1526</v>
      </c>
      <c r="AP50" s="697" t="s">
        <v>1527</v>
      </c>
      <c r="AQ50" s="697" t="s">
        <v>1528</v>
      </c>
      <c r="AR50" s="1299"/>
      <c r="AS50" s="1300">
        <v>1</v>
      </c>
      <c r="AT50" s="1300"/>
      <c r="AU50" s="1300">
        <v>2</v>
      </c>
      <c r="AV50" s="1300"/>
      <c r="AW50" s="1300">
        <v>3</v>
      </c>
      <c r="AX50" s="1300"/>
      <c r="AY50" s="1300">
        <v>4</v>
      </c>
      <c r="AZ50" s="1300"/>
      <c r="BA50" s="1300">
        <v>5</v>
      </c>
      <c r="BB50" s="1300"/>
      <c r="BC50" s="1301">
        <v>6</v>
      </c>
      <c r="BU50" s="634">
        <f t="shared" si="9"/>
        <v>15</v>
      </c>
      <c r="BV50" s="634">
        <f t="shared" si="17"/>
        <v>0</v>
      </c>
      <c r="BW50" s="634">
        <f t="shared" si="48"/>
        <v>0</v>
      </c>
      <c r="BX50" s="634">
        <f t="shared" si="49"/>
        <v>0</v>
      </c>
      <c r="BY50" s="634">
        <f t="shared" si="50"/>
        <v>0</v>
      </c>
      <c r="BZ50" s="634">
        <f t="shared" si="51"/>
        <v>0</v>
      </c>
      <c r="CA50" s="634">
        <f t="shared" si="52"/>
        <v>0</v>
      </c>
      <c r="CB50" s="634">
        <f t="shared" si="53"/>
        <v>0</v>
      </c>
      <c r="CC50" s="634">
        <f t="shared" si="54"/>
        <v>0</v>
      </c>
      <c r="CD50" s="634">
        <f t="shared" si="55"/>
        <v>0</v>
      </c>
      <c r="CE50" s="634">
        <f t="shared" si="56"/>
        <v>0</v>
      </c>
      <c r="CF50" s="634">
        <f t="shared" si="57"/>
        <v>0</v>
      </c>
      <c r="CG50" s="634">
        <f t="shared" si="58"/>
        <v>0</v>
      </c>
    </row>
    <row r="51" spans="11:85">
      <c r="K51" s="634">
        <v>9.5</v>
      </c>
      <c r="L51" s="634">
        <v>0.02</v>
      </c>
      <c r="M51" s="634">
        <v>0.02</v>
      </c>
      <c r="N51" s="634">
        <v>7.4999999999999997E-2</v>
      </c>
      <c r="O51" s="634">
        <v>1.4999999999999999E-2</v>
      </c>
      <c r="P51" s="645">
        <f>N51/SUM(N$33:N74)</f>
        <v>1.7626321974148061E-2</v>
      </c>
      <c r="Q51" s="645">
        <f t="shared" si="40"/>
        <v>9.3749999999999962E-3</v>
      </c>
      <c r="R51" s="645">
        <f t="shared" si="41"/>
        <v>4.4999999999999998E-2</v>
      </c>
      <c r="T51" s="638">
        <v>47</v>
      </c>
      <c r="U51" s="638">
        <f t="shared" si="1"/>
        <v>0.54162782065598136</v>
      </c>
      <c r="V51" s="693">
        <v>15.5</v>
      </c>
      <c r="W51" s="696">
        <f t="shared" si="68"/>
        <v>5.2178282619188526E-2</v>
      </c>
      <c r="X51" s="696">
        <f t="shared" si="68"/>
        <v>3.6351389633354173E-2</v>
      </c>
      <c r="Y51" s="696">
        <f t="shared" si="68"/>
        <v>2.3573565028558525E-2</v>
      </c>
      <c r="Z51" s="696">
        <f t="shared" si="68"/>
        <v>1.9947744447249487E-2</v>
      </c>
      <c r="AA51" s="696">
        <f t="shared" si="68"/>
        <v>1.6502815318422102E-2</v>
      </c>
      <c r="AB51" s="696">
        <f t="shared" si="68"/>
        <v>1.5899052510003658E-2</v>
      </c>
      <c r="AC51" s="696">
        <f t="shared" si="68"/>
        <v>1.640428120700332E-2</v>
      </c>
      <c r="AD51" s="696">
        <f t="shared" si="68"/>
        <v>1.861500759269492E-2</v>
      </c>
      <c r="AE51" s="696">
        <f t="shared" si="68"/>
        <v>2.4018118971080121E-2</v>
      </c>
      <c r="AF51" s="696">
        <f t="shared" si="68"/>
        <v>3.4026610495921997E-2</v>
      </c>
      <c r="AG51" s="696">
        <f t="shared" si="68"/>
        <v>5.4416544883495975E-2</v>
      </c>
      <c r="AH51" s="696">
        <f t="shared" si="68"/>
        <v>6.3741159570895795E-2</v>
      </c>
      <c r="AI51" s="645">
        <f t="shared" si="12"/>
        <v>3.1294729070964478E-2</v>
      </c>
      <c r="AJ51" s="695"/>
      <c r="AK51" s="635"/>
      <c r="AL51" s="1305">
        <v>0.92970790791709812</v>
      </c>
      <c r="AM51" s="1305"/>
      <c r="AN51" s="1305">
        <v>2.4501623061526918</v>
      </c>
      <c r="AO51" s="1305"/>
      <c r="AP51" s="1305">
        <v>1.5867981098344419</v>
      </c>
      <c r="AQ51" s="635"/>
      <c r="AR51" s="1302" t="s">
        <v>6389</v>
      </c>
      <c r="AS51" s="1303">
        <v>0.87959121975405419</v>
      </c>
      <c r="AT51" s="1303"/>
      <c r="AU51" s="1303">
        <v>2.343798244773494</v>
      </c>
      <c r="AV51" s="1303"/>
      <c r="AW51" s="1303">
        <v>1.5283762577910061</v>
      </c>
      <c r="AX51" s="693"/>
      <c r="AY51" s="1303">
        <v>1.1830166481125874</v>
      </c>
      <c r="AZ51" s="1303"/>
      <c r="BA51" s="1303">
        <v>20.04984823554901</v>
      </c>
      <c r="BB51" s="1303"/>
      <c r="BC51" s="1304">
        <v>2.4366376963438809</v>
      </c>
      <c r="BH51" s="635">
        <v>0.87959121975405419</v>
      </c>
      <c r="BI51" s="635">
        <v>2.343798244773494</v>
      </c>
      <c r="BJ51" s="635">
        <v>1.5283762577910061</v>
      </c>
      <c r="BK51" s="635">
        <v>1.1830166481125874</v>
      </c>
      <c r="BL51" s="635">
        <v>20.04984823554901</v>
      </c>
      <c r="BM51" s="635">
        <v>2.4366376963438809</v>
      </c>
      <c r="BU51" s="634">
        <f t="shared" si="9"/>
        <v>15.5</v>
      </c>
      <c r="BV51" s="634">
        <f t="shared" si="17"/>
        <v>0</v>
      </c>
      <c r="BW51" s="634">
        <f t="shared" si="48"/>
        <v>0</v>
      </c>
      <c r="BX51" s="634">
        <f t="shared" si="49"/>
        <v>0</v>
      </c>
      <c r="BY51" s="634">
        <f t="shared" si="50"/>
        <v>0</v>
      </c>
      <c r="BZ51" s="634">
        <f t="shared" si="51"/>
        <v>0</v>
      </c>
      <c r="CA51" s="634">
        <f t="shared" si="52"/>
        <v>0</v>
      </c>
      <c r="CB51" s="634">
        <f t="shared" si="53"/>
        <v>0</v>
      </c>
      <c r="CC51" s="634">
        <f t="shared" si="54"/>
        <v>0</v>
      </c>
      <c r="CD51" s="634">
        <f t="shared" si="55"/>
        <v>0</v>
      </c>
      <c r="CE51" s="634">
        <f t="shared" si="56"/>
        <v>0</v>
      </c>
      <c r="CF51" s="634">
        <f t="shared" si="57"/>
        <v>0</v>
      </c>
      <c r="CG51" s="634">
        <f t="shared" si="58"/>
        <v>0</v>
      </c>
    </row>
    <row r="52" spans="11:85">
      <c r="K52" s="634">
        <v>10</v>
      </c>
      <c r="L52" s="634">
        <v>0.02</v>
      </c>
      <c r="M52" s="634">
        <v>0.02</v>
      </c>
      <c r="N52" s="634">
        <v>6.5000000000000002E-2</v>
      </c>
      <c r="O52" s="634">
        <v>1.4999999999999999E-2</v>
      </c>
      <c r="P52" s="645">
        <f>N52/SUM(N$33:N75)</f>
        <v>1.4557670772676373E-2</v>
      </c>
      <c r="Q52" s="645">
        <f t="shared" si="40"/>
        <v>9.3749999999999962E-3</v>
      </c>
      <c r="R52" s="645">
        <f t="shared" si="41"/>
        <v>0.04</v>
      </c>
      <c r="T52" s="638">
        <v>48</v>
      </c>
      <c r="U52" s="638">
        <f t="shared" si="1"/>
        <v>0.52707770864237224</v>
      </c>
      <c r="V52" s="693">
        <v>16</v>
      </c>
      <c r="W52" s="696">
        <f t="shared" si="68"/>
        <v>6.5663774021658725E-2</v>
      </c>
      <c r="X52" s="696">
        <f t="shared" si="68"/>
        <v>4.3831240778431334E-2</v>
      </c>
      <c r="Y52" s="696">
        <f t="shared" si="68"/>
        <v>2.776319785763692E-2</v>
      </c>
      <c r="Z52" s="696">
        <f t="shared" si="68"/>
        <v>2.0471596322199533E-2</v>
      </c>
      <c r="AA52" s="696">
        <f t="shared" si="68"/>
        <v>1.6836110010009668E-2</v>
      </c>
      <c r="AB52" s="696">
        <f t="shared" si="68"/>
        <v>1.6183234681901189E-2</v>
      </c>
      <c r="AC52" s="696">
        <f t="shared" si="68"/>
        <v>1.6694668223406119E-2</v>
      </c>
      <c r="AD52" s="696">
        <f t="shared" si="68"/>
        <v>1.9024544971561551E-2</v>
      </c>
      <c r="AE52" s="696">
        <f t="shared" si="68"/>
        <v>2.5047497404064457E-2</v>
      </c>
      <c r="AF52" s="696">
        <f t="shared" si="68"/>
        <v>3.6872905754500293E-2</v>
      </c>
      <c r="AG52" s="696">
        <f t="shared" si="68"/>
        <v>7.2041583684245944E-2</v>
      </c>
      <c r="AH52" s="696">
        <f t="shared" si="68"/>
        <v>8.3745488749296298E-2</v>
      </c>
      <c r="AI52" s="645">
        <f t="shared" si="12"/>
        <v>3.699784515561251E-2</v>
      </c>
      <c r="AJ52" s="695"/>
      <c r="AK52" s="635"/>
      <c r="AL52" s="635"/>
      <c r="AM52" s="635"/>
      <c r="AN52" s="635"/>
      <c r="AO52" s="635"/>
      <c r="AP52" s="635"/>
      <c r="AQ52" s="635"/>
      <c r="AR52" s="1302" t="s">
        <v>6390</v>
      </c>
      <c r="AS52" s="1303">
        <v>0.92970727000324171</v>
      </c>
      <c r="AT52" s="1303"/>
      <c r="AU52" s="1303">
        <v>2.4501579454288613</v>
      </c>
      <c r="AV52" s="1303"/>
      <c r="AW52" s="1303">
        <v>1.5867985925285406</v>
      </c>
      <c r="AX52" s="693"/>
      <c r="AY52" s="1303">
        <v>1.1830166481125874</v>
      </c>
      <c r="AZ52" s="1303"/>
      <c r="BA52" s="1303">
        <v>20.04984823554901</v>
      </c>
      <c r="BB52" s="1303"/>
      <c r="BC52" s="1304">
        <v>2.4366376963438809</v>
      </c>
      <c r="BH52" s="635">
        <v>0.92970790791709812</v>
      </c>
      <c r="BI52" s="635">
        <v>2.4501623061526918</v>
      </c>
      <c r="BJ52" s="635">
        <v>1.5867981098344419</v>
      </c>
      <c r="BK52" s="635">
        <v>1.1372291802272965</v>
      </c>
      <c r="BL52" s="635">
        <v>20.150196585907324</v>
      </c>
      <c r="BM52" s="635">
        <v>2.3656766327995449</v>
      </c>
      <c r="BU52" s="634">
        <f t="shared" si="9"/>
        <v>16</v>
      </c>
      <c r="BV52" s="634">
        <f t="shared" si="17"/>
        <v>0</v>
      </c>
      <c r="BW52" s="634">
        <f t="shared" si="48"/>
        <v>0</v>
      </c>
      <c r="BX52" s="634">
        <f t="shared" si="49"/>
        <v>0</v>
      </c>
      <c r="BY52" s="634">
        <f t="shared" si="50"/>
        <v>0</v>
      </c>
      <c r="BZ52" s="634">
        <f t="shared" si="51"/>
        <v>0</v>
      </c>
      <c r="CA52" s="634">
        <f t="shared" si="52"/>
        <v>0</v>
      </c>
      <c r="CB52" s="634">
        <f t="shared" si="53"/>
        <v>0</v>
      </c>
      <c r="CC52" s="634">
        <f t="shared" si="54"/>
        <v>0</v>
      </c>
      <c r="CD52" s="634">
        <f t="shared" si="55"/>
        <v>0</v>
      </c>
      <c r="CE52" s="634">
        <f t="shared" si="56"/>
        <v>0</v>
      </c>
      <c r="CF52" s="634">
        <f t="shared" si="57"/>
        <v>0</v>
      </c>
      <c r="CG52" s="634">
        <f t="shared" si="58"/>
        <v>0</v>
      </c>
    </row>
    <row r="53" spans="11:85">
      <c r="K53" s="634">
        <v>10.5</v>
      </c>
      <c r="L53" s="634">
        <v>0.02</v>
      </c>
      <c r="M53" s="634">
        <v>0.02</v>
      </c>
      <c r="N53" s="634">
        <v>0.06</v>
      </c>
      <c r="O53" s="634">
        <v>1.4999999999999999E-2</v>
      </c>
      <c r="P53" s="645">
        <f>N53/SUM(N$33:N76)</f>
        <v>1.2861736334405145E-2</v>
      </c>
      <c r="Q53" s="645">
        <f t="shared" si="40"/>
        <v>9.3749999999999962E-3</v>
      </c>
      <c r="R53" s="645">
        <f t="shared" si="41"/>
        <v>3.7499999999999999E-2</v>
      </c>
      <c r="T53" s="638">
        <v>49</v>
      </c>
      <c r="U53" s="638">
        <f t="shared" si="1"/>
        <v>0.51237141212842374</v>
      </c>
      <c r="V53" s="693">
        <v>16.5</v>
      </c>
      <c r="W53" s="696">
        <f t="shared" si="68"/>
        <v>8.7897243592358315E-2</v>
      </c>
      <c r="X53" s="696">
        <f t="shared" si="68"/>
        <v>5.7169080847751158E-2</v>
      </c>
      <c r="Y53" s="696">
        <f t="shared" si="68"/>
        <v>3.5648940407047004E-2</v>
      </c>
      <c r="Z53" s="696">
        <f t="shared" si="68"/>
        <v>2.1675055601494769E-2</v>
      </c>
      <c r="AA53" s="696">
        <f t="shared" si="68"/>
        <v>1.7599881305114973E-2</v>
      </c>
      <c r="AB53" s="696">
        <f t="shared" si="68"/>
        <v>1.6814403436811589E-2</v>
      </c>
      <c r="AC53" s="696">
        <f t="shared" si="68"/>
        <v>1.7338459414536527E-2</v>
      </c>
      <c r="AD53" s="696">
        <f t="shared" si="68"/>
        <v>1.9946000609688482E-2</v>
      </c>
      <c r="AE53" s="696">
        <f t="shared" si="68"/>
        <v>2.7257165916976536E-2</v>
      </c>
      <c r="AF53" s="696">
        <f t="shared" si="68"/>
        <v>4.2518268062623578E-2</v>
      </c>
      <c r="AG53" s="696">
        <f t="shared" si="68"/>
        <v>9.8424229077204411E-2</v>
      </c>
      <c r="AH53" s="696">
        <f t="shared" si="68"/>
        <v>0.11372335549259754</v>
      </c>
      <c r="AI53" s="645">
        <f t="shared" si="12"/>
        <v>4.630327808250579E-2</v>
      </c>
      <c r="AJ53" s="695"/>
      <c r="AL53" s="697" t="s">
        <v>1523</v>
      </c>
      <c r="AM53" s="697" t="s">
        <v>1524</v>
      </c>
      <c r="AN53" s="697" t="s">
        <v>1525</v>
      </c>
      <c r="AO53" s="697" t="s">
        <v>1526</v>
      </c>
      <c r="AP53" s="697" t="s">
        <v>1527</v>
      </c>
      <c r="AQ53" s="697" t="s">
        <v>1528</v>
      </c>
      <c r="AR53" s="1307" t="s">
        <v>6391</v>
      </c>
      <c r="AS53" s="1305">
        <v>0.92970790791709812</v>
      </c>
      <c r="AT53" s="1305"/>
      <c r="AU53" s="1305">
        <v>2.4501623061526918</v>
      </c>
      <c r="AV53" s="1305"/>
      <c r="AW53" s="1305">
        <v>1.5867981098344419</v>
      </c>
      <c r="AX53" s="1305"/>
      <c r="AY53" s="1305">
        <v>1.1372291802272965</v>
      </c>
      <c r="AZ53" s="1305"/>
      <c r="BA53" s="1305">
        <v>20.150196585907324</v>
      </c>
      <c r="BB53" s="1305"/>
      <c r="BC53" s="1306">
        <v>2.3656766327995449</v>
      </c>
      <c r="BU53" s="634">
        <f t="shared" si="9"/>
        <v>16.5</v>
      </c>
      <c r="BV53" s="634">
        <f t="shared" si="17"/>
        <v>0</v>
      </c>
      <c r="BW53" s="634">
        <f t="shared" si="48"/>
        <v>0</v>
      </c>
      <c r="BX53" s="634">
        <f t="shared" si="49"/>
        <v>0</v>
      </c>
      <c r="BY53" s="634">
        <f t="shared" si="50"/>
        <v>0</v>
      </c>
      <c r="BZ53" s="634">
        <f t="shared" si="51"/>
        <v>0</v>
      </c>
      <c r="CA53" s="634">
        <f t="shared" si="52"/>
        <v>0</v>
      </c>
      <c r="CB53" s="634">
        <f t="shared" si="53"/>
        <v>0</v>
      </c>
      <c r="CC53" s="634">
        <f t="shared" si="54"/>
        <v>0</v>
      </c>
      <c r="CD53" s="634">
        <f t="shared" si="55"/>
        <v>0</v>
      </c>
      <c r="CE53" s="634">
        <f t="shared" si="56"/>
        <v>0</v>
      </c>
      <c r="CF53" s="634">
        <f t="shared" si="57"/>
        <v>0</v>
      </c>
      <c r="CG53" s="634">
        <f t="shared" si="58"/>
        <v>0</v>
      </c>
    </row>
    <row r="54" spans="11:85">
      <c r="K54" s="634">
        <v>11</v>
      </c>
      <c r="L54" s="634">
        <v>0.02</v>
      </c>
      <c r="M54" s="634">
        <v>0.02</v>
      </c>
      <c r="N54" s="634">
        <v>0.05</v>
      </c>
      <c r="O54" s="634">
        <v>1.4999999999999999E-2</v>
      </c>
      <c r="P54" s="645">
        <f>N54/SUM(N$33:N77)</f>
        <v>1.0319917440660476E-2</v>
      </c>
      <c r="Q54" s="645">
        <f t="shared" si="40"/>
        <v>9.3749999999999962E-3</v>
      </c>
      <c r="R54" s="645">
        <f t="shared" si="41"/>
        <v>3.2500000000000001E-2</v>
      </c>
      <c r="T54" s="638">
        <v>50</v>
      </c>
      <c r="U54" s="638">
        <f t="shared" si="1"/>
        <v>0.49751328890718088</v>
      </c>
      <c r="V54" s="693">
        <v>17</v>
      </c>
      <c r="W54" s="696">
        <f t="shared" si="68"/>
        <v>0.12022733907818749</v>
      </c>
      <c r="X54" s="696">
        <f t="shared" si="68"/>
        <v>7.8474307337672175E-2</v>
      </c>
      <c r="Y54" s="696">
        <f t="shared" si="68"/>
        <v>4.9105513649479703E-2</v>
      </c>
      <c r="Z54" s="696">
        <f t="shared" si="68"/>
        <v>2.421573122438286E-2</v>
      </c>
      <c r="AA54" s="696">
        <f t="shared" si="68"/>
        <v>1.9220923264807763E-2</v>
      </c>
      <c r="AB54" s="696">
        <f t="shared" si="68"/>
        <v>1.8121931152433129E-2</v>
      </c>
      <c r="AC54" s="696">
        <f t="shared" si="68"/>
        <v>1.8669709427667661E-2</v>
      </c>
      <c r="AD54" s="696">
        <f t="shared" si="68"/>
        <v>2.1865724454432141E-2</v>
      </c>
      <c r="AE54" s="696">
        <f t="shared" si="68"/>
        <v>3.1610754545219055E-2</v>
      </c>
      <c r="AF54" s="696">
        <f t="shared" si="68"/>
        <v>5.2687048946569726E-2</v>
      </c>
      <c r="AG54" s="696">
        <f t="shared" si="68"/>
        <v>0.13337605995454224</v>
      </c>
      <c r="AH54" s="696">
        <f t="shared" si="68"/>
        <v>0.15301098590206341</v>
      </c>
      <c r="AI54" s="645">
        <f t="shared" si="12"/>
        <v>5.9987450679922151E-2</v>
      </c>
      <c r="AJ54" s="695"/>
      <c r="AL54" s="1305">
        <v>1.1372291802272965</v>
      </c>
      <c r="AM54" s="1305"/>
      <c r="AN54" s="1305">
        <v>20.150196585907324</v>
      </c>
      <c r="AO54" s="1305"/>
      <c r="AP54" s="1306">
        <v>2.3656766327995449</v>
      </c>
      <c r="AQ54" s="635"/>
      <c r="BU54" s="634">
        <f t="shared" si="9"/>
        <v>17</v>
      </c>
      <c r="BV54" s="634">
        <f t="shared" si="17"/>
        <v>0</v>
      </c>
      <c r="BW54" s="634">
        <f t="shared" si="48"/>
        <v>0</v>
      </c>
      <c r="BX54" s="634">
        <f t="shared" si="49"/>
        <v>0</v>
      </c>
      <c r="BY54" s="634">
        <f t="shared" si="50"/>
        <v>0</v>
      </c>
      <c r="BZ54" s="634">
        <f t="shared" si="51"/>
        <v>0</v>
      </c>
      <c r="CA54" s="634">
        <f t="shared" si="52"/>
        <v>0</v>
      </c>
      <c r="CB54" s="634">
        <f t="shared" si="53"/>
        <v>0</v>
      </c>
      <c r="CC54" s="634">
        <f t="shared" si="54"/>
        <v>0</v>
      </c>
      <c r="CD54" s="634">
        <f t="shared" si="55"/>
        <v>0</v>
      </c>
      <c r="CE54" s="634">
        <f t="shared" si="56"/>
        <v>0</v>
      </c>
      <c r="CF54" s="634">
        <f t="shared" si="57"/>
        <v>0</v>
      </c>
      <c r="CG54" s="634">
        <f t="shared" si="58"/>
        <v>0</v>
      </c>
    </row>
    <row r="55" spans="11:85">
      <c r="K55" s="634">
        <v>11.5</v>
      </c>
      <c r="L55" s="634">
        <v>0.02</v>
      </c>
      <c r="M55" s="634">
        <v>0.02</v>
      </c>
      <c r="N55" s="634">
        <v>4.4999999999999998E-2</v>
      </c>
      <c r="O55" s="634">
        <v>1.4999999999999999E-2</v>
      </c>
      <c r="P55" s="645">
        <f>N55/SUM(N$33:N78)</f>
        <v>8.9999999999999993E-3</v>
      </c>
      <c r="Q55" s="645">
        <f t="shared" si="40"/>
        <v>9.3749999999999962E-3</v>
      </c>
      <c r="R55" s="645">
        <f t="shared" si="41"/>
        <v>0.03</v>
      </c>
      <c r="T55" s="638">
        <v>51</v>
      </c>
      <c r="U55" s="638">
        <f t="shared" si="1"/>
        <v>0.4825077417612183</v>
      </c>
      <c r="V55" s="693">
        <v>17.5</v>
      </c>
      <c r="W55" s="696">
        <f t="shared" si="68"/>
        <v>0.16120210922601835</v>
      </c>
      <c r="X55" s="696">
        <f t="shared" si="68"/>
        <v>0.10875798362356792</v>
      </c>
      <c r="Y55" s="696">
        <f t="shared" si="68"/>
        <v>6.9837713229945864E-2</v>
      </c>
      <c r="Z55" s="696">
        <f t="shared" si="68"/>
        <v>2.9137124047672103E-2</v>
      </c>
      <c r="AA55" s="696">
        <f t="shared" si="68"/>
        <v>2.2403683700842288E-2</v>
      </c>
      <c r="AB55" s="696">
        <f t="shared" si="68"/>
        <v>2.0645880357285953E-2</v>
      </c>
      <c r="AC55" s="696">
        <f t="shared" si="68"/>
        <v>2.1234700323859879E-2</v>
      </c>
      <c r="AD55" s="696">
        <f t="shared" si="68"/>
        <v>2.5564316538601375E-2</v>
      </c>
      <c r="AE55" s="696">
        <f t="shared" si="68"/>
        <v>3.946828133200983E-2</v>
      </c>
      <c r="AF55" s="696">
        <f t="shared" si="68"/>
        <v>6.926530368814221E-2</v>
      </c>
      <c r="AG55" s="696">
        <f t="shared" si="68"/>
        <v>0.17374808733968303</v>
      </c>
      <c r="AH55" s="696">
        <f t="shared" si="68"/>
        <v>0.19720342354008924</v>
      </c>
      <c r="AI55" s="645">
        <f t="shared" si="12"/>
        <v>7.8091105455977819E-2</v>
      </c>
      <c r="AJ55" s="695"/>
      <c r="AL55" s="635"/>
      <c r="AM55" s="635"/>
      <c r="AN55" s="635"/>
      <c r="AO55" s="635"/>
      <c r="AP55" s="635"/>
      <c r="AQ55" s="635"/>
      <c r="BU55" s="634">
        <f t="shared" si="9"/>
        <v>17.5</v>
      </c>
      <c r="BV55" s="634">
        <f t="shared" si="17"/>
        <v>0</v>
      </c>
      <c r="BW55" s="634">
        <f t="shared" si="48"/>
        <v>0</v>
      </c>
      <c r="BX55" s="634">
        <f t="shared" si="49"/>
        <v>0</v>
      </c>
      <c r="BY55" s="634">
        <f t="shared" si="50"/>
        <v>0</v>
      </c>
      <c r="BZ55" s="634">
        <f t="shared" si="51"/>
        <v>0</v>
      </c>
      <c r="CA55" s="634">
        <f t="shared" si="52"/>
        <v>0</v>
      </c>
      <c r="CB55" s="634">
        <f t="shared" si="53"/>
        <v>0</v>
      </c>
      <c r="CC55" s="634">
        <f t="shared" si="54"/>
        <v>0</v>
      </c>
      <c r="CD55" s="634">
        <f t="shared" si="55"/>
        <v>0</v>
      </c>
      <c r="CE55" s="634">
        <f t="shared" si="56"/>
        <v>0</v>
      </c>
      <c r="CF55" s="634">
        <f t="shared" si="57"/>
        <v>0</v>
      </c>
      <c r="CG55" s="634">
        <f t="shared" si="58"/>
        <v>0</v>
      </c>
    </row>
    <row r="56" spans="11:85">
      <c r="K56" s="634">
        <v>12</v>
      </c>
      <c r="L56" s="634">
        <v>0.02</v>
      </c>
      <c r="M56" s="634">
        <v>0.02</v>
      </c>
      <c r="N56" s="634">
        <v>4.4999999999999998E-2</v>
      </c>
      <c r="O56" s="634">
        <v>1.4999999999999999E-2</v>
      </c>
      <c r="P56" s="645">
        <f>N56/SUM(N$33:N79)</f>
        <v>8.7804878048780479E-3</v>
      </c>
      <c r="Q56" s="645">
        <f t="shared" si="40"/>
        <v>9.3749999999999962E-3</v>
      </c>
      <c r="R56" s="645">
        <f t="shared" si="41"/>
        <v>0.03</v>
      </c>
      <c r="T56" s="638">
        <v>52</v>
      </c>
      <c r="U56" s="638">
        <f t="shared" si="1"/>
        <v>0.46735921715800227</v>
      </c>
      <c r="V56" s="693">
        <v>18</v>
      </c>
      <c r="W56" s="696">
        <f t="shared" si="68"/>
        <v>0.20548430293091791</v>
      </c>
      <c r="X56" s="696">
        <f t="shared" si="68"/>
        <v>0.14664851543625435</v>
      </c>
      <c r="Y56" s="696">
        <f t="shared" si="68"/>
        <v>9.8495455160393777E-2</v>
      </c>
      <c r="Z56" s="696">
        <f t="shared" si="68"/>
        <v>3.7865750181619362E-2</v>
      </c>
      <c r="AA56" s="696">
        <f t="shared" si="68"/>
        <v>2.8175572312449864E-2</v>
      </c>
      <c r="AB56" s="696">
        <f t="shared" si="68"/>
        <v>2.5179862003111654E-2</v>
      </c>
      <c r="AC56" s="696">
        <f t="shared" si="68"/>
        <v>2.5833717401123099E-2</v>
      </c>
      <c r="AD56" s="696">
        <f t="shared" si="68"/>
        <v>3.214310584943815E-2</v>
      </c>
      <c r="AE56" s="696">
        <f t="shared" si="68"/>
        <v>5.2424447367954645E-2</v>
      </c>
      <c r="AF56" s="696">
        <f t="shared" si="68"/>
        <v>9.3606298101079122E-2</v>
      </c>
      <c r="AG56" s="696">
        <f t="shared" si="68"/>
        <v>0.21323189672844681</v>
      </c>
      <c r="AH56" s="696">
        <f t="shared" si="68"/>
        <v>0.23823375776984607</v>
      </c>
      <c r="AI56" s="645">
        <f t="shared" si="12"/>
        <v>9.9584535934059665E-2</v>
      </c>
      <c r="AJ56" s="695"/>
      <c r="BU56" s="634">
        <f t="shared" si="9"/>
        <v>18</v>
      </c>
      <c r="BV56" s="634">
        <f t="shared" si="17"/>
        <v>0</v>
      </c>
      <c r="BW56" s="634">
        <f t="shared" si="48"/>
        <v>0</v>
      </c>
      <c r="BX56" s="634">
        <f t="shared" si="49"/>
        <v>0</v>
      </c>
      <c r="BY56" s="634">
        <f t="shared" si="50"/>
        <v>0</v>
      </c>
      <c r="BZ56" s="634">
        <f t="shared" si="51"/>
        <v>0</v>
      </c>
      <c r="CA56" s="634">
        <f t="shared" si="52"/>
        <v>0</v>
      </c>
      <c r="CB56" s="634">
        <f t="shared" si="53"/>
        <v>0</v>
      </c>
      <c r="CC56" s="634">
        <f t="shared" si="54"/>
        <v>0</v>
      </c>
      <c r="CD56" s="634">
        <f t="shared" si="55"/>
        <v>0</v>
      </c>
      <c r="CE56" s="634">
        <f t="shared" si="56"/>
        <v>0</v>
      </c>
      <c r="CF56" s="634">
        <f t="shared" si="57"/>
        <v>0</v>
      </c>
      <c r="CG56" s="634">
        <f t="shared" si="58"/>
        <v>0</v>
      </c>
    </row>
    <row r="57" spans="11:85">
      <c r="K57" s="634">
        <v>12.5</v>
      </c>
      <c r="L57" s="634">
        <v>0.02</v>
      </c>
      <c r="M57" s="634">
        <v>0.02</v>
      </c>
      <c r="N57" s="634">
        <v>4.4999999999999998E-2</v>
      </c>
      <c r="O57" s="634">
        <v>1.4999999999999999E-2</v>
      </c>
      <c r="P57" s="645">
        <f>N57/SUM(N$33:N80)</f>
        <v>8.6124401913875593E-3</v>
      </c>
      <c r="Q57" s="645">
        <f t="shared" si="40"/>
        <v>9.3749999999999962E-3</v>
      </c>
      <c r="R57" s="645">
        <f>AVERAGE(N57:O57)</f>
        <v>0.03</v>
      </c>
      <c r="T57" s="638">
        <v>53</v>
      </c>
      <c r="U57" s="638">
        <f t="shared" si="1"/>
        <v>0.45207220393230441</v>
      </c>
      <c r="V57" s="693">
        <v>18.5</v>
      </c>
      <c r="W57" s="696">
        <f t="shared" si="68"/>
        <v>0.24438469024567766</v>
      </c>
      <c r="X57" s="696">
        <f t="shared" si="68"/>
        <v>0.18756602594800451</v>
      </c>
      <c r="Y57" s="696">
        <f t="shared" si="68"/>
        <v>0.13367552861743526</v>
      </c>
      <c r="Z57" s="696">
        <f t="shared" si="68"/>
        <v>5.2000142695468154E-2</v>
      </c>
      <c r="AA57" s="696">
        <f t="shared" si="68"/>
        <v>3.7823492681545084E-2</v>
      </c>
      <c r="AB57" s="696">
        <f t="shared" si="68"/>
        <v>3.2746800089917594E-2</v>
      </c>
      <c r="AC57" s="696">
        <f t="shared" si="68"/>
        <v>3.3494332369029357E-2</v>
      </c>
      <c r="AD57" s="696">
        <f t="shared" si="68"/>
        <v>4.2922521241067282E-2</v>
      </c>
      <c r="AE57" s="696">
        <f t="shared" si="68"/>
        <v>7.1867228944097042E-2</v>
      </c>
      <c r="AF57" s="696">
        <f t="shared" si="68"/>
        <v>0.12554374785995032</v>
      </c>
      <c r="AG57" s="696">
        <f t="shared" si="68"/>
        <v>0.24368656227116786</v>
      </c>
      <c r="AH57" s="696">
        <f t="shared" si="68"/>
        <v>0.26649693550230541</v>
      </c>
      <c r="AI57" s="645">
        <f t="shared" si="12"/>
        <v>0.12239849164545473</v>
      </c>
      <c r="AJ57" s="695"/>
      <c r="BU57" s="634">
        <f t="shared" si="9"/>
        <v>18.5</v>
      </c>
      <c r="BV57" s="634">
        <f t="shared" si="17"/>
        <v>0</v>
      </c>
      <c r="BW57" s="634">
        <f t="shared" si="48"/>
        <v>0</v>
      </c>
      <c r="BX57" s="634">
        <f t="shared" si="49"/>
        <v>0</v>
      </c>
      <c r="BY57" s="634">
        <f t="shared" si="50"/>
        <v>0</v>
      </c>
      <c r="BZ57" s="634">
        <f t="shared" si="51"/>
        <v>0</v>
      </c>
      <c r="CA57" s="634">
        <f t="shared" si="52"/>
        <v>0</v>
      </c>
      <c r="CB57" s="634">
        <f t="shared" si="53"/>
        <v>0</v>
      </c>
      <c r="CC57" s="634">
        <f t="shared" si="54"/>
        <v>0</v>
      </c>
      <c r="CD57" s="634">
        <f t="shared" si="55"/>
        <v>0</v>
      </c>
      <c r="CE57" s="634">
        <f t="shared" si="56"/>
        <v>0</v>
      </c>
      <c r="CF57" s="634">
        <f t="shared" si="57"/>
        <v>0</v>
      </c>
      <c r="CG57" s="634">
        <f t="shared" si="58"/>
        <v>0</v>
      </c>
    </row>
    <row r="58" spans="11:85">
      <c r="K58" s="634">
        <v>13</v>
      </c>
      <c r="L58" s="634">
        <v>0.02</v>
      </c>
      <c r="M58" s="634">
        <v>0.02</v>
      </c>
      <c r="N58" s="634">
        <v>4.4999999999999998E-2</v>
      </c>
      <c r="O58" s="634">
        <v>1.4999999999999999E-2</v>
      </c>
      <c r="P58" s="645">
        <f>N58/SUM(N$33:N81)</f>
        <v>8.6124401913875593E-3</v>
      </c>
      <c r="Q58" s="645">
        <f t="shared" si="40"/>
        <v>9.3749999999999962E-3</v>
      </c>
      <c r="R58" s="645">
        <f t="shared" ref="R58:R80" si="69">AVERAGE(N58:O58)</f>
        <v>0.03</v>
      </c>
      <c r="T58" s="638">
        <v>54</v>
      </c>
      <c r="U58" s="638">
        <f t="shared" si="1"/>
        <v>0.43665123195606409</v>
      </c>
      <c r="V58" s="693">
        <v>19</v>
      </c>
      <c r="W58" s="696">
        <f t="shared" si="68"/>
        <v>0.26843250243649952</v>
      </c>
      <c r="X58" s="696">
        <f t="shared" si="68"/>
        <v>0.22414870102173354</v>
      </c>
      <c r="Y58" s="696">
        <f t="shared" si="68"/>
        <v>0.17133853895780066</v>
      </c>
      <c r="Z58" s="696">
        <f t="shared" si="68"/>
        <v>7.2811119907456312E-2</v>
      </c>
      <c r="AA58" s="696">
        <f t="shared" si="68"/>
        <v>5.2645429090192125E-2</v>
      </c>
      <c r="AB58" s="696">
        <f t="shared" si="68"/>
        <v>4.4453107128786119E-2</v>
      </c>
      <c r="AC58" s="696">
        <f t="shared" si="68"/>
        <v>4.5321796273382696E-2</v>
      </c>
      <c r="AD58" s="696">
        <f t="shared" si="68"/>
        <v>5.9141741914399422E-2</v>
      </c>
      <c r="AE58" s="696">
        <f t="shared" si="68"/>
        <v>9.8269999738687663E-2</v>
      </c>
      <c r="AF58" s="696">
        <f t="shared" si="68"/>
        <v>0.16250555226802463</v>
      </c>
      <c r="AG58" s="696">
        <f t="shared" si="68"/>
        <v>0.25779397059073278</v>
      </c>
      <c r="AH58" s="696">
        <f t="shared" si="68"/>
        <v>0.27443829532611747</v>
      </c>
      <c r="AI58" s="645">
        <f t="shared" si="12"/>
        <v>0.14390287422969134</v>
      </c>
      <c r="AJ58" s="695"/>
      <c r="BU58" s="634">
        <f>V58</f>
        <v>19</v>
      </c>
      <c r="BV58" s="634">
        <f t="shared" si="17"/>
        <v>0</v>
      </c>
      <c r="BW58" s="634">
        <f t="shared" si="48"/>
        <v>0</v>
      </c>
      <c r="BX58" s="634">
        <f t="shared" si="49"/>
        <v>0</v>
      </c>
      <c r="BY58" s="634">
        <f t="shared" si="50"/>
        <v>0</v>
      </c>
      <c r="BZ58" s="634">
        <f t="shared" si="51"/>
        <v>0</v>
      </c>
      <c r="CA58" s="634">
        <f t="shared" si="52"/>
        <v>0</v>
      </c>
      <c r="CB58" s="634">
        <f t="shared" si="53"/>
        <v>0</v>
      </c>
      <c r="CC58" s="634">
        <f t="shared" si="54"/>
        <v>0</v>
      </c>
      <c r="CD58" s="634">
        <f t="shared" si="55"/>
        <v>0</v>
      </c>
      <c r="CE58" s="634">
        <f t="shared" si="56"/>
        <v>0</v>
      </c>
      <c r="CF58" s="634">
        <f t="shared" si="57"/>
        <v>0</v>
      </c>
      <c r="CG58" s="634">
        <f t="shared" si="58"/>
        <v>0</v>
      </c>
    </row>
    <row r="59" spans="11:85">
      <c r="K59" s="634">
        <v>13.5</v>
      </c>
      <c r="L59" s="634">
        <v>0.02</v>
      </c>
      <c r="M59" s="634">
        <v>0.02</v>
      </c>
      <c r="N59" s="634">
        <v>4.4999999999999998E-2</v>
      </c>
      <c r="O59" s="634">
        <v>1.4999999999999999E-2</v>
      </c>
      <c r="P59" s="645">
        <f>N59/SUM(N$33:N82)</f>
        <v>8.6124401913875593E-3</v>
      </c>
      <c r="Q59" s="645">
        <f t="shared" si="40"/>
        <v>9.3749999999999962E-3</v>
      </c>
      <c r="R59" s="645">
        <f t="shared" si="69"/>
        <v>0.03</v>
      </c>
      <c r="T59" s="638">
        <v>55</v>
      </c>
      <c r="U59" s="638">
        <f t="shared" si="1"/>
        <v>0.42110087079608982</v>
      </c>
      <c r="V59" s="693">
        <v>19.5</v>
      </c>
      <c r="W59" s="696">
        <f t="shared" si="68"/>
        <v>0.27107622033249568</v>
      </c>
      <c r="X59" s="696">
        <f t="shared" si="68"/>
        <v>0.24824118820587049</v>
      </c>
      <c r="Y59" s="696">
        <f t="shared" si="68"/>
        <v>0.20520649110395983</v>
      </c>
      <c r="Z59" s="696">
        <f t="shared" si="68"/>
        <v>0.10049891079612205</v>
      </c>
      <c r="AA59" s="696">
        <f t="shared" si="68"/>
        <v>7.3487530184420127E-2</v>
      </c>
      <c r="AB59" s="696">
        <f t="shared" si="68"/>
        <v>6.1187490797078636E-2</v>
      </c>
      <c r="AC59" s="696">
        <f t="shared" si="68"/>
        <v>6.2193820839878733E-2</v>
      </c>
      <c r="AD59" s="696">
        <f t="shared" si="68"/>
        <v>8.1450934094940169E-2</v>
      </c>
      <c r="AE59" s="696">
        <f t="shared" si="68"/>
        <v>0.13042119742855376</v>
      </c>
      <c r="AF59" s="696">
        <f t="shared" si="68"/>
        <v>0.1993167713630597</v>
      </c>
      <c r="AG59" s="696">
        <f t="shared" si="68"/>
        <v>0.25190202336409734</v>
      </c>
      <c r="AH59" s="696">
        <f t="shared" si="68"/>
        <v>0.2598146429993799</v>
      </c>
      <c r="AI59" s="645">
        <f t="shared" si="12"/>
        <v>0.16164378268438931</v>
      </c>
      <c r="AJ59" s="695"/>
      <c r="BU59" s="634">
        <f t="shared" si="9"/>
        <v>19.5</v>
      </c>
      <c r="BV59" s="634">
        <f t="shared" si="17"/>
        <v>0</v>
      </c>
      <c r="BW59" s="634">
        <f t="shared" si="48"/>
        <v>0</v>
      </c>
      <c r="BX59" s="634">
        <f t="shared" si="49"/>
        <v>0</v>
      </c>
      <c r="BY59" s="634">
        <f t="shared" si="50"/>
        <v>0</v>
      </c>
      <c r="BZ59" s="634">
        <f t="shared" si="51"/>
        <v>0</v>
      </c>
      <c r="CA59" s="634">
        <f t="shared" si="52"/>
        <v>0</v>
      </c>
      <c r="CB59" s="634">
        <f t="shared" si="53"/>
        <v>0</v>
      </c>
      <c r="CC59" s="634">
        <f t="shared" si="54"/>
        <v>0</v>
      </c>
      <c r="CD59" s="634">
        <f t="shared" si="55"/>
        <v>0</v>
      </c>
      <c r="CE59" s="634">
        <f t="shared" si="56"/>
        <v>0</v>
      </c>
      <c r="CF59" s="634">
        <f t="shared" si="57"/>
        <v>0</v>
      </c>
      <c r="CG59" s="634">
        <f t="shared" si="58"/>
        <v>0</v>
      </c>
    </row>
    <row r="60" spans="11:85">
      <c r="K60" s="634">
        <v>14</v>
      </c>
      <c r="L60" s="634">
        <v>0.02</v>
      </c>
      <c r="M60" s="634">
        <v>0.02</v>
      </c>
      <c r="N60" s="634">
        <v>4.4999999999999998E-2</v>
      </c>
      <c r="O60" s="634">
        <v>1.4999999999999999E-2</v>
      </c>
      <c r="P60" s="645">
        <f>N60/SUM(N$33:N83)</f>
        <v>8.6124401913875593E-3</v>
      </c>
      <c r="Q60" s="645">
        <f t="shared" si="40"/>
        <v>9.3749999999999962E-3</v>
      </c>
      <c r="R60" s="645">
        <f t="shared" si="69"/>
        <v>0.03</v>
      </c>
      <c r="T60" s="638">
        <v>56</v>
      </c>
      <c r="U60" s="638">
        <f t="shared" si="1"/>
        <v>0.40542572835999718</v>
      </c>
      <c r="V60" s="693">
        <v>20</v>
      </c>
      <c r="W60" s="696">
        <f t="shared" si="68"/>
        <v>0.25156652080652198</v>
      </c>
      <c r="X60" s="696">
        <f t="shared" si="68"/>
        <v>0.25381396576982007</v>
      </c>
      <c r="Y60" s="696">
        <f t="shared" si="68"/>
        <v>0.22833856312604728</v>
      </c>
      <c r="Z60" s="696">
        <f t="shared" si="68"/>
        <v>0.13345186020118499</v>
      </c>
      <c r="AA60" s="696">
        <f t="shared" si="68"/>
        <v>0.10014620922150214</v>
      </c>
      <c r="AB60" s="696">
        <f t="shared" si="68"/>
        <v>8.3191330184068685E-2</v>
      </c>
      <c r="AC60" s="696">
        <f t="shared" si="68"/>
        <v>8.4328763497269005E-2</v>
      </c>
      <c r="AD60" s="696">
        <f t="shared" si="68"/>
        <v>0.10930846538856773</v>
      </c>
      <c r="AE60" s="696">
        <f t="shared" si="68"/>
        <v>0.16497724572789302</v>
      </c>
      <c r="AF60" s="696">
        <f t="shared" si="68"/>
        <v>0.22914262200548002</v>
      </c>
      <c r="AG60" s="696">
        <f t="shared" si="68"/>
        <v>0.23139358039837257</v>
      </c>
      <c r="AH60" s="696">
        <f t="shared" si="68"/>
        <v>0.23139358039837257</v>
      </c>
      <c r="AI60" s="645">
        <f t="shared" si="12"/>
        <v>0.17467993971138937</v>
      </c>
      <c r="AJ60" s="695"/>
      <c r="AU60" s="692" t="s">
        <v>1145</v>
      </c>
      <c r="AV60" s="692" t="s">
        <v>1146</v>
      </c>
      <c r="AW60" s="692" t="s">
        <v>1003</v>
      </c>
      <c r="AX60" s="692" t="s">
        <v>1004</v>
      </c>
      <c r="AY60" s="692" t="s">
        <v>1005</v>
      </c>
      <c r="AZ60" s="692" t="s">
        <v>1006</v>
      </c>
      <c r="BA60" s="692" t="s">
        <v>1007</v>
      </c>
      <c r="BB60" s="692" t="s">
        <v>481</v>
      </c>
      <c r="BC60" s="692" t="s">
        <v>482</v>
      </c>
      <c r="BD60" s="692" t="s">
        <v>483</v>
      </c>
      <c r="BE60" s="692" t="s">
        <v>484</v>
      </c>
      <c r="BF60" s="692" t="s">
        <v>485</v>
      </c>
      <c r="BU60" s="634">
        <f t="shared" si="9"/>
        <v>20</v>
      </c>
      <c r="BV60" s="634">
        <f t="shared" si="17"/>
        <v>0</v>
      </c>
      <c r="BW60" s="634">
        <f t="shared" si="48"/>
        <v>0</v>
      </c>
      <c r="BX60" s="634">
        <f t="shared" si="49"/>
        <v>0</v>
      </c>
      <c r="BY60" s="634">
        <f t="shared" si="50"/>
        <v>0</v>
      </c>
      <c r="BZ60" s="634">
        <f t="shared" si="51"/>
        <v>0</v>
      </c>
      <c r="CA60" s="634">
        <f t="shared" si="52"/>
        <v>0</v>
      </c>
      <c r="CB60" s="634">
        <f t="shared" si="53"/>
        <v>0</v>
      </c>
      <c r="CC60" s="634">
        <f t="shared" si="54"/>
        <v>0</v>
      </c>
      <c r="CD60" s="634">
        <f t="shared" si="55"/>
        <v>0</v>
      </c>
      <c r="CE60" s="634">
        <f t="shared" si="56"/>
        <v>0</v>
      </c>
      <c r="CF60" s="634">
        <f t="shared" si="57"/>
        <v>0</v>
      </c>
      <c r="CG60" s="634">
        <f t="shared" si="58"/>
        <v>0</v>
      </c>
    </row>
    <row r="61" spans="11:85">
      <c r="K61" s="634">
        <v>14.5</v>
      </c>
      <c r="L61" s="634">
        <v>0.02</v>
      </c>
      <c r="M61" s="634">
        <v>0.02</v>
      </c>
      <c r="N61" s="634">
        <v>0.05</v>
      </c>
      <c r="O61" s="634">
        <v>1.4999999999999999E-2</v>
      </c>
      <c r="P61" s="645">
        <f>N61/SUM(N$33:N84)</f>
        <v>9.5689659296968078E-3</v>
      </c>
      <c r="Q61" s="645">
        <f t="shared" si="40"/>
        <v>9.3749999999999962E-3</v>
      </c>
      <c r="R61" s="645">
        <f t="shared" si="69"/>
        <v>3.2500000000000001E-2</v>
      </c>
      <c r="T61" s="638">
        <v>57</v>
      </c>
      <c r="U61" s="638">
        <f t="shared" si="1"/>
        <v>0.38963044953078801</v>
      </c>
      <c r="V61" s="693">
        <v>20.5</v>
      </c>
      <c r="W61" s="696">
        <f t="shared" si="68"/>
        <v>0.22969456541566022</v>
      </c>
      <c r="X61" s="696">
        <f t="shared" si="68"/>
        <v>0.2394060907658645</v>
      </c>
      <c r="Y61" s="696">
        <f t="shared" si="68"/>
        <v>0.22969456541566022</v>
      </c>
      <c r="Z61" s="696">
        <f t="shared" si="68"/>
        <v>0.16791385062346142</v>
      </c>
      <c r="AA61" s="696">
        <f t="shared" si="68"/>
        <v>0.13085226309337258</v>
      </c>
      <c r="AB61" s="696">
        <f t="shared" si="68"/>
        <v>0.10961714320969329</v>
      </c>
      <c r="AC61" s="696">
        <f t="shared" si="68"/>
        <v>0.11084613504437482</v>
      </c>
      <c r="AD61" s="696">
        <f t="shared" si="68"/>
        <v>0.14052872709077083</v>
      </c>
      <c r="AE61" s="696">
        <f t="shared" si="68"/>
        <v>0.19674356029565787</v>
      </c>
      <c r="AF61" s="696">
        <f t="shared" si="68"/>
        <v>0.22969456541566022</v>
      </c>
      <c r="AG61" s="696">
        <f t="shared" si="68"/>
        <v>0.22969456541566022</v>
      </c>
      <c r="AH61" s="696">
        <f t="shared" si="68"/>
        <v>0.22969456541566022</v>
      </c>
      <c r="AI61" s="645">
        <f t="shared" si="12"/>
        <v>0.18672222225042276</v>
      </c>
      <c r="AJ61" s="695"/>
      <c r="AS61" s="635" t="s">
        <v>2889</v>
      </c>
      <c r="BU61" s="634">
        <f t="shared" si="9"/>
        <v>20.5</v>
      </c>
      <c r="BV61" s="634">
        <f t="shared" si="17"/>
        <v>0</v>
      </c>
      <c r="BW61" s="634">
        <f t="shared" si="48"/>
        <v>0</v>
      </c>
      <c r="BX61" s="634">
        <f t="shared" si="49"/>
        <v>0</v>
      </c>
      <c r="BY61" s="634">
        <f t="shared" si="50"/>
        <v>0</v>
      </c>
      <c r="BZ61" s="634">
        <f t="shared" si="51"/>
        <v>0</v>
      </c>
      <c r="CA61" s="634">
        <f t="shared" si="52"/>
        <v>0</v>
      </c>
      <c r="CB61" s="634">
        <f t="shared" si="53"/>
        <v>0</v>
      </c>
      <c r="CC61" s="634">
        <f t="shared" si="54"/>
        <v>0</v>
      </c>
      <c r="CD61" s="634">
        <f t="shared" si="55"/>
        <v>0</v>
      </c>
      <c r="CE61" s="634">
        <f t="shared" si="56"/>
        <v>0</v>
      </c>
      <c r="CF61" s="634">
        <f t="shared" si="57"/>
        <v>0</v>
      </c>
      <c r="CG61" s="634">
        <f t="shared" si="58"/>
        <v>0</v>
      </c>
    </row>
    <row r="62" spans="11:85">
      <c r="K62" s="634">
        <v>15</v>
      </c>
      <c r="L62" s="634">
        <v>0.02</v>
      </c>
      <c r="M62" s="634">
        <v>0.02</v>
      </c>
      <c r="N62" s="634">
        <v>0.06</v>
      </c>
      <c r="O62" s="634">
        <v>1.4999999999999999E-2</v>
      </c>
      <c r="P62" s="645">
        <f>N62/SUM(N$33:N85)</f>
        <v>1.1482264685338103E-2</v>
      </c>
      <c r="Q62" s="645">
        <f t="shared" si="40"/>
        <v>9.3749999999999962E-3</v>
      </c>
      <c r="R62" s="645">
        <f t="shared" si="69"/>
        <v>3.7499999999999999E-2</v>
      </c>
      <c r="T62" s="638">
        <v>58</v>
      </c>
      <c r="U62" s="638">
        <f t="shared" si="1"/>
        <v>0.37371971479046912</v>
      </c>
      <c r="V62" s="693">
        <v>21</v>
      </c>
      <c r="W62" s="696">
        <f t="shared" si="68"/>
        <v>0.21979676876915014</v>
      </c>
      <c r="X62" s="696">
        <f t="shared" si="68"/>
        <v>0.21979676876915014</v>
      </c>
      <c r="Y62" s="696">
        <f t="shared" si="68"/>
        <v>0.21979676876915014</v>
      </c>
      <c r="Z62" s="696">
        <f t="shared" si="68"/>
        <v>0.19843849363466853</v>
      </c>
      <c r="AA62" s="696">
        <f t="shared" si="68"/>
        <v>0.16213635883909439</v>
      </c>
      <c r="AB62" s="696">
        <f t="shared" si="68"/>
        <v>0.13826844125503873</v>
      </c>
      <c r="AC62" s="696">
        <f t="shared" si="68"/>
        <v>0.13951401578309242</v>
      </c>
      <c r="AD62" s="696">
        <f t="shared" si="68"/>
        <v>0.17128041545391068</v>
      </c>
      <c r="AE62" s="696">
        <f t="shared" si="68"/>
        <v>0.21979676876915014</v>
      </c>
      <c r="AF62" s="696">
        <f t="shared" si="68"/>
        <v>0.21979676876915014</v>
      </c>
      <c r="AG62" s="696">
        <f t="shared" si="68"/>
        <v>0.21979676876915014</v>
      </c>
      <c r="AH62" s="696">
        <f t="shared" si="68"/>
        <v>0.21979676876915014</v>
      </c>
      <c r="AI62" s="645">
        <f t="shared" si="12"/>
        <v>0.1955040479948221</v>
      </c>
      <c r="AJ62" s="695"/>
      <c r="AS62" s="634" t="s">
        <v>1510</v>
      </c>
      <c r="AT62" s="678" t="s">
        <v>1511</v>
      </c>
      <c r="AU62" s="692" t="str">
        <f>AU60&amp;"- 1 hr"</f>
        <v>Jan- 1 hr</v>
      </c>
      <c r="AV62" s="692" t="str">
        <f t="shared" ref="AV62:BF62" si="70">AV60&amp;"- 1 hr"</f>
        <v>Feb- 1 hr</v>
      </c>
      <c r="AW62" s="692" t="str">
        <f t="shared" si="70"/>
        <v>Mar- 1 hr</v>
      </c>
      <c r="AX62" s="692" t="str">
        <f t="shared" si="70"/>
        <v>Apr- 1 hr</v>
      </c>
      <c r="AY62" s="692" t="str">
        <f t="shared" si="70"/>
        <v>May- 1 hr</v>
      </c>
      <c r="AZ62" s="692" t="str">
        <f t="shared" si="70"/>
        <v>Jun- 1 hr</v>
      </c>
      <c r="BA62" s="692" t="str">
        <f t="shared" si="70"/>
        <v>Jul- 1 hr</v>
      </c>
      <c r="BB62" s="692" t="str">
        <f t="shared" si="70"/>
        <v>Aug- 1 hr</v>
      </c>
      <c r="BC62" s="692" t="str">
        <f t="shared" si="70"/>
        <v>Sep- 1 hr</v>
      </c>
      <c r="BD62" s="692" t="str">
        <f t="shared" si="70"/>
        <v>Oct- 1 hr</v>
      </c>
      <c r="BE62" s="692" t="str">
        <f t="shared" si="70"/>
        <v>Nov- 1 hr</v>
      </c>
      <c r="BF62" s="692" t="str">
        <f t="shared" si="70"/>
        <v>Dec- 1 hr</v>
      </c>
      <c r="BU62" s="634">
        <f>V62</f>
        <v>21</v>
      </c>
      <c r="BV62" s="634">
        <f t="shared" si="17"/>
        <v>0</v>
      </c>
      <c r="BW62" s="634">
        <f t="shared" si="48"/>
        <v>0</v>
      </c>
      <c r="BX62" s="634">
        <f t="shared" si="49"/>
        <v>0</v>
      </c>
      <c r="BY62" s="634">
        <f t="shared" si="50"/>
        <v>0</v>
      </c>
      <c r="BZ62" s="634">
        <f t="shared" si="51"/>
        <v>0</v>
      </c>
      <c r="CA62" s="634">
        <f t="shared" si="52"/>
        <v>0</v>
      </c>
      <c r="CB62" s="634">
        <f t="shared" si="53"/>
        <v>0</v>
      </c>
      <c r="CC62" s="634">
        <f t="shared" si="54"/>
        <v>0</v>
      </c>
      <c r="CD62" s="634">
        <f t="shared" si="55"/>
        <v>0</v>
      </c>
      <c r="CE62" s="634">
        <f t="shared" si="56"/>
        <v>0</v>
      </c>
      <c r="CF62" s="634">
        <f t="shared" si="57"/>
        <v>0</v>
      </c>
      <c r="CG62" s="634">
        <f t="shared" si="58"/>
        <v>0</v>
      </c>
    </row>
    <row r="63" spans="11:85">
      <c r="K63" s="634">
        <v>15.5</v>
      </c>
      <c r="L63" s="634">
        <v>0.02</v>
      </c>
      <c r="M63" s="634">
        <v>0.02</v>
      </c>
      <c r="N63" s="634">
        <v>0.08</v>
      </c>
      <c r="O63" s="634">
        <v>1.4999999999999999E-2</v>
      </c>
      <c r="P63" s="645">
        <f>N63/SUM(N$33:N86)</f>
        <v>1.5309613001688841E-2</v>
      </c>
      <c r="Q63" s="645">
        <f t="shared" si="40"/>
        <v>9.3749999999999962E-3</v>
      </c>
      <c r="R63" s="645">
        <f t="shared" si="69"/>
        <v>4.7500000000000001E-2</v>
      </c>
      <c r="T63" s="638">
        <v>59</v>
      </c>
      <c r="U63" s="638">
        <f t="shared" si="1"/>
        <v>0.35769823883312574</v>
      </c>
      <c r="V63" s="693">
        <v>21.5</v>
      </c>
      <c r="W63" s="696">
        <f t="shared" si="68"/>
        <v>0.20297025596799903</v>
      </c>
      <c r="X63" s="696">
        <f t="shared" si="68"/>
        <v>0.20297025596799903</v>
      </c>
      <c r="Y63" s="696">
        <f t="shared" si="68"/>
        <v>0.19885510785024457</v>
      </c>
      <c r="Z63" s="696">
        <f t="shared" si="68"/>
        <v>0.20297025596799903</v>
      </c>
      <c r="AA63" s="696">
        <f t="shared" si="68"/>
        <v>0.18931021991206154</v>
      </c>
      <c r="AB63" s="696">
        <f t="shared" si="68"/>
        <v>0.16571935484051187</v>
      </c>
      <c r="AC63" s="696">
        <f t="shared" si="68"/>
        <v>0.16688048457178908</v>
      </c>
      <c r="AD63" s="696">
        <f t="shared" si="68"/>
        <v>0.19672676413293932</v>
      </c>
      <c r="AE63" s="696">
        <f t="shared" si="68"/>
        <v>0.20297025596799903</v>
      </c>
      <c r="AF63" s="696">
        <f t="shared" si="68"/>
        <v>0.20297025596799903</v>
      </c>
      <c r="AG63" s="696">
        <f t="shared" si="68"/>
        <v>0.20297025596799903</v>
      </c>
      <c r="AH63" s="696">
        <f t="shared" si="68"/>
        <v>0.20297025596799903</v>
      </c>
      <c r="AI63" s="645">
        <f t="shared" si="12"/>
        <v>0.19480343705463343</v>
      </c>
      <c r="AJ63" s="695"/>
      <c r="AS63" s="634">
        <v>1</v>
      </c>
      <c r="AT63" s="678">
        <f>SUM(AI21:AI22)/SUM(AI$21:AI$68)</f>
        <v>3.1447397074939161E-2</v>
      </c>
      <c r="AU63" s="634">
        <f t="shared" ref="AU63:AU86" si="71">AM21*SUM(W$21:W$68)/2</f>
        <v>0.05</v>
      </c>
      <c r="AV63" s="634">
        <f t="shared" ref="AV63:AV86" si="72">AN21*SUM(X$21:X$68)/2</f>
        <v>0.05</v>
      </c>
      <c r="AW63" s="634">
        <f t="shared" ref="AW63:BF63" si="73">AO21*SUM(Y$21:Y$68)/2</f>
        <v>0.05</v>
      </c>
      <c r="AX63" s="634">
        <f t="shared" si="73"/>
        <v>0.05</v>
      </c>
      <c r="AY63" s="634">
        <f t="shared" si="73"/>
        <v>0.05</v>
      </c>
      <c r="AZ63" s="634">
        <f t="shared" si="73"/>
        <v>0.05</v>
      </c>
      <c r="BA63" s="634">
        <f t="shared" si="73"/>
        <v>0.05</v>
      </c>
      <c r="BB63" s="634">
        <f t="shared" si="73"/>
        <v>0.05</v>
      </c>
      <c r="BC63" s="634">
        <f t="shared" si="73"/>
        <v>5.000000000000001E-2</v>
      </c>
      <c r="BD63" s="634">
        <f t="shared" si="73"/>
        <v>0.05</v>
      </c>
      <c r="BE63" s="634">
        <f t="shared" si="73"/>
        <v>0.05</v>
      </c>
      <c r="BF63" s="634">
        <f t="shared" si="73"/>
        <v>0.05</v>
      </c>
      <c r="BU63" s="634">
        <f t="shared" si="9"/>
        <v>21.5</v>
      </c>
      <c r="BV63" s="634">
        <f t="shared" si="17"/>
        <v>0</v>
      </c>
      <c r="BW63" s="634">
        <f t="shared" si="48"/>
        <v>0</v>
      </c>
      <c r="BX63" s="634">
        <f t="shared" si="49"/>
        <v>0</v>
      </c>
      <c r="BY63" s="634">
        <f t="shared" si="50"/>
        <v>0</v>
      </c>
      <c r="BZ63" s="634">
        <f t="shared" si="51"/>
        <v>0</v>
      </c>
      <c r="CA63" s="634">
        <f t="shared" si="52"/>
        <v>0</v>
      </c>
      <c r="CB63" s="634">
        <f t="shared" si="53"/>
        <v>0</v>
      </c>
      <c r="CC63" s="634">
        <f t="shared" si="54"/>
        <v>0</v>
      </c>
      <c r="CD63" s="634">
        <f t="shared" si="55"/>
        <v>0</v>
      </c>
      <c r="CE63" s="634">
        <f t="shared" si="56"/>
        <v>0</v>
      </c>
      <c r="CF63" s="634">
        <f t="shared" si="57"/>
        <v>0</v>
      </c>
      <c r="CG63" s="634">
        <f t="shared" si="58"/>
        <v>0</v>
      </c>
    </row>
    <row r="64" spans="11:85">
      <c r="K64" s="634">
        <v>16</v>
      </c>
      <c r="L64" s="634">
        <v>2.5000000000000001E-2</v>
      </c>
      <c r="M64" s="634">
        <v>2.5000000000000001E-2</v>
      </c>
      <c r="N64" s="634">
        <v>0.13</v>
      </c>
      <c r="O64" s="634">
        <v>1.4999999999999999E-2</v>
      </c>
      <c r="P64" s="645">
        <f>N64/SUM(N$33:N87)</f>
        <v>2.487764504384685E-2</v>
      </c>
      <c r="Q64" s="645">
        <f t="shared" si="40"/>
        <v>1.2499999999999995E-2</v>
      </c>
      <c r="R64" s="645">
        <f t="shared" si="69"/>
        <v>7.2500000000000009E-2</v>
      </c>
      <c r="T64" s="638">
        <v>60</v>
      </c>
      <c r="U64" s="638">
        <f t="shared" si="1"/>
        <v>0.34157076916785584</v>
      </c>
      <c r="V64" s="693">
        <v>22</v>
      </c>
      <c r="W64" s="696">
        <f t="shared" si="68"/>
        <v>0.18126490585547528</v>
      </c>
      <c r="X64" s="696">
        <f t="shared" si="68"/>
        <v>0.18126490585547528</v>
      </c>
      <c r="Y64" s="696">
        <f t="shared" si="68"/>
        <v>0.16362180797693893</v>
      </c>
      <c r="Z64" s="696">
        <f t="shared" si="68"/>
        <v>0.18126490585547528</v>
      </c>
      <c r="AA64" s="696">
        <f t="shared" si="68"/>
        <v>0.18126490585547528</v>
      </c>
      <c r="AB64" s="696">
        <f t="shared" si="68"/>
        <v>0.18126490585547528</v>
      </c>
      <c r="AC64" s="696">
        <f t="shared" si="68"/>
        <v>0.18126490585547528</v>
      </c>
      <c r="AD64" s="696">
        <f t="shared" si="68"/>
        <v>0.18126490585547528</v>
      </c>
      <c r="AE64" s="696">
        <f t="shared" si="68"/>
        <v>0.18126490585547528</v>
      </c>
      <c r="AF64" s="696">
        <f t="shared" si="68"/>
        <v>0.18126490585547528</v>
      </c>
      <c r="AG64" s="696">
        <f t="shared" si="68"/>
        <v>0.18126490585547528</v>
      </c>
      <c r="AH64" s="696">
        <f t="shared" si="68"/>
        <v>0.18126490585547528</v>
      </c>
      <c r="AI64" s="645">
        <f t="shared" si="12"/>
        <v>0.17976645096716123</v>
      </c>
      <c r="AJ64" s="695"/>
      <c r="AS64" s="634">
        <v>2</v>
      </c>
      <c r="AT64" s="678">
        <f t="shared" ref="AT64:AT86" si="74">SUM(AI22:AI23)/SUM(AI$21:AI$68)</f>
        <v>2.3585547806204376E-2</v>
      </c>
      <c r="AU64" s="634">
        <f t="shared" si="71"/>
        <v>3.0000000000000002E-2</v>
      </c>
      <c r="AV64" s="634">
        <f t="shared" si="72"/>
        <v>3.0000000000000002E-2</v>
      </c>
      <c r="AW64" s="634">
        <f t="shared" ref="AW64:AW86" si="75">AO22*SUM(Y$21:Y$68)/2</f>
        <v>3.0000000000000002E-2</v>
      </c>
      <c r="AX64" s="634">
        <f t="shared" ref="AX64:AX86" si="76">AP22*SUM(Z$21:Z$68)/2</f>
        <v>3.0000000000000002E-2</v>
      </c>
      <c r="AY64" s="634">
        <f t="shared" ref="AY64:AY86" si="77">AQ22*SUM(AA$21:AA$68)/2</f>
        <v>3.0000000000000006E-2</v>
      </c>
      <c r="AZ64" s="634">
        <f t="shared" ref="AZ64:AZ86" si="78">AR22*SUM(AB$21:AB$68)/2</f>
        <v>3.0000000000000002E-2</v>
      </c>
      <c r="BA64" s="634">
        <f t="shared" ref="BA64:BA86" si="79">AS22*SUM(AC$21:AC$68)/2</f>
        <v>3.0000000000000002E-2</v>
      </c>
      <c r="BB64" s="634">
        <f t="shared" ref="BB64:BB86" si="80">AT22*SUM(AD$21:AD$68)/2</f>
        <v>3.0000000000000002E-2</v>
      </c>
      <c r="BC64" s="634">
        <f t="shared" ref="BC64:BC86" si="81">AU22*SUM(AE$21:AE$68)/2</f>
        <v>3.0000000000000002E-2</v>
      </c>
      <c r="BD64" s="634">
        <f t="shared" ref="BD64:BD86" si="82">AV22*SUM(AF$21:AF$68)/2</f>
        <v>3.0000000000000006E-2</v>
      </c>
      <c r="BE64" s="634">
        <f t="shared" ref="BE64:BE86" si="83">AW22*SUM(AG$21:AG$68)/2</f>
        <v>0.03</v>
      </c>
      <c r="BF64" s="634">
        <f t="shared" ref="BF64:BF86" si="84">AX22*SUM(AH$21:AH$68)/2</f>
        <v>3.0000000000000002E-2</v>
      </c>
      <c r="BU64" s="634">
        <f t="shared" si="9"/>
        <v>22</v>
      </c>
      <c r="BV64" s="634">
        <f t="shared" si="17"/>
        <v>0</v>
      </c>
      <c r="BW64" s="634">
        <f t="shared" si="48"/>
        <v>0</v>
      </c>
      <c r="BX64" s="634">
        <f t="shared" si="49"/>
        <v>0</v>
      </c>
      <c r="BY64" s="634">
        <f t="shared" si="50"/>
        <v>0</v>
      </c>
      <c r="BZ64" s="634">
        <f t="shared" si="51"/>
        <v>0</v>
      </c>
      <c r="CA64" s="634">
        <f t="shared" si="52"/>
        <v>0</v>
      </c>
      <c r="CB64" s="634">
        <f t="shared" si="53"/>
        <v>0</v>
      </c>
      <c r="CC64" s="634">
        <f t="shared" si="54"/>
        <v>0</v>
      </c>
      <c r="CD64" s="634">
        <f t="shared" si="55"/>
        <v>0</v>
      </c>
      <c r="CE64" s="634">
        <f t="shared" si="56"/>
        <v>0</v>
      </c>
      <c r="CF64" s="634">
        <f t="shared" si="57"/>
        <v>0</v>
      </c>
      <c r="CG64" s="634">
        <f t="shared" si="58"/>
        <v>0</v>
      </c>
    </row>
    <row r="65" spans="11:86">
      <c r="K65" s="634">
        <v>16.5</v>
      </c>
      <c r="L65" s="634">
        <v>3.5000000000000003E-2</v>
      </c>
      <c r="M65" s="634">
        <v>0.03</v>
      </c>
      <c r="N65" s="634">
        <v>0.19</v>
      </c>
      <c r="O65" s="634">
        <v>0.02</v>
      </c>
      <c r="P65" s="645">
        <f>N65/SUM(N$33:N88)</f>
        <v>3.6358939275787337E-2</v>
      </c>
      <c r="Q65" s="645">
        <f t="shared" si="40"/>
        <v>1.2499999999999995E-2</v>
      </c>
      <c r="R65" s="645">
        <f t="shared" si="69"/>
        <v>0.105</v>
      </c>
      <c r="T65" s="638">
        <v>61</v>
      </c>
      <c r="U65" s="638">
        <f t="shared" si="1"/>
        <v>0.32534208471198017</v>
      </c>
      <c r="V65" s="693">
        <v>22.5</v>
      </c>
      <c r="W65" s="696">
        <f t="shared" si="68"/>
        <v>0.15710075431902629</v>
      </c>
      <c r="X65" s="696">
        <f t="shared" si="68"/>
        <v>0.15710075431902629</v>
      </c>
      <c r="Y65" s="696">
        <f t="shared" si="68"/>
        <v>0.15710075431902629</v>
      </c>
      <c r="Z65" s="696">
        <f t="shared" si="68"/>
        <v>0.15710075431902629</v>
      </c>
      <c r="AA65" s="696">
        <f t="shared" si="68"/>
        <v>0.15710075431902629</v>
      </c>
      <c r="AB65" s="696">
        <f t="shared" si="68"/>
        <v>0.15710075431902629</v>
      </c>
      <c r="AC65" s="696">
        <f t="shared" si="68"/>
        <v>0.15710075431902629</v>
      </c>
      <c r="AD65" s="696">
        <f t="shared" si="68"/>
        <v>0.15710075431902629</v>
      </c>
      <c r="AE65" s="696">
        <f t="shared" si="68"/>
        <v>0.15710075431902629</v>
      </c>
      <c r="AF65" s="696">
        <f t="shared" si="68"/>
        <v>0.15710075431902629</v>
      </c>
      <c r="AG65" s="696">
        <f t="shared" si="68"/>
        <v>0.15710075431902629</v>
      </c>
      <c r="AH65" s="696">
        <f t="shared" si="68"/>
        <v>0.15710075431902629</v>
      </c>
      <c r="AI65" s="645">
        <f t="shared" si="12"/>
        <v>0.15710075431902626</v>
      </c>
      <c r="AJ65" s="695"/>
      <c r="AS65" s="634">
        <v>3</v>
      </c>
      <c r="AT65" s="678">
        <f t="shared" si="74"/>
        <v>1.8868438244963499E-2</v>
      </c>
      <c r="AU65" s="634">
        <f t="shared" si="71"/>
        <v>0.02</v>
      </c>
      <c r="AV65" s="634">
        <f t="shared" si="72"/>
        <v>0.02</v>
      </c>
      <c r="AW65" s="634">
        <f t="shared" si="75"/>
        <v>0.02</v>
      </c>
      <c r="AX65" s="634">
        <f t="shared" si="76"/>
        <v>0.02</v>
      </c>
      <c r="AY65" s="634">
        <f t="shared" si="77"/>
        <v>0.02</v>
      </c>
      <c r="AZ65" s="634">
        <f t="shared" si="78"/>
        <v>0.02</v>
      </c>
      <c r="BA65" s="634">
        <f t="shared" si="79"/>
        <v>0.02</v>
      </c>
      <c r="BB65" s="634">
        <f t="shared" si="80"/>
        <v>0.02</v>
      </c>
      <c r="BC65" s="634">
        <f t="shared" si="81"/>
        <v>0.02</v>
      </c>
      <c r="BD65" s="634">
        <f t="shared" si="82"/>
        <v>0.02</v>
      </c>
      <c r="BE65" s="634">
        <f t="shared" si="83"/>
        <v>0.02</v>
      </c>
      <c r="BF65" s="634">
        <f t="shared" si="84"/>
        <v>0.02</v>
      </c>
      <c r="BU65" s="634">
        <f t="shared" si="9"/>
        <v>22.5</v>
      </c>
      <c r="BV65" s="634">
        <f t="shared" si="17"/>
        <v>0</v>
      </c>
      <c r="BW65" s="634">
        <f t="shared" si="48"/>
        <v>0</v>
      </c>
      <c r="BX65" s="634">
        <f t="shared" si="49"/>
        <v>0</v>
      </c>
      <c r="BY65" s="634">
        <f t="shared" si="50"/>
        <v>0</v>
      </c>
      <c r="BZ65" s="634">
        <f t="shared" si="51"/>
        <v>0</v>
      </c>
      <c r="CA65" s="634">
        <f t="shared" si="52"/>
        <v>0</v>
      </c>
      <c r="CB65" s="634">
        <f t="shared" si="53"/>
        <v>0</v>
      </c>
      <c r="CC65" s="634">
        <f t="shared" si="54"/>
        <v>0</v>
      </c>
      <c r="CD65" s="634">
        <f t="shared" si="55"/>
        <v>0</v>
      </c>
      <c r="CE65" s="634">
        <f t="shared" si="56"/>
        <v>0</v>
      </c>
      <c r="CF65" s="634">
        <f t="shared" si="57"/>
        <v>0</v>
      </c>
      <c r="CG65" s="634">
        <f t="shared" si="58"/>
        <v>0</v>
      </c>
    </row>
    <row r="66" spans="11:86">
      <c r="K66" s="634">
        <v>17</v>
      </c>
      <c r="L66" s="634">
        <v>0.05</v>
      </c>
      <c r="M66" s="634">
        <v>3.5000000000000003E-2</v>
      </c>
      <c r="N66" s="634">
        <v>0.23</v>
      </c>
      <c r="O66" s="634">
        <v>0.02</v>
      </c>
      <c r="P66" s="645">
        <f>N66/SUM(N$33:N89)</f>
        <v>4.4013242245058079E-2</v>
      </c>
      <c r="Q66" s="645">
        <f t="shared" si="40"/>
        <v>1.2499999999999995E-2</v>
      </c>
      <c r="R66" s="645">
        <f t="shared" si="69"/>
        <v>0.125</v>
      </c>
      <c r="T66" s="638">
        <v>62</v>
      </c>
      <c r="U66" s="638">
        <f t="shared" si="1"/>
        <v>0.30901699437494751</v>
      </c>
      <c r="V66" s="693">
        <v>23</v>
      </c>
      <c r="W66" s="696">
        <f t="shared" si="68"/>
        <v>0.13282919246116717</v>
      </c>
      <c r="X66" s="696">
        <f t="shared" si="68"/>
        <v>0.13282919246116717</v>
      </c>
      <c r="Y66" s="696">
        <f t="shared" si="68"/>
        <v>0.13282919246116717</v>
      </c>
      <c r="Z66" s="696">
        <f t="shared" si="68"/>
        <v>0.13282919246116717</v>
      </c>
      <c r="AA66" s="696">
        <f t="shared" si="68"/>
        <v>0.13282919246116717</v>
      </c>
      <c r="AB66" s="696">
        <f t="shared" si="68"/>
        <v>0.13282919246116717</v>
      </c>
      <c r="AC66" s="696">
        <f t="shared" si="68"/>
        <v>0.13282919246116717</v>
      </c>
      <c r="AD66" s="696">
        <f t="shared" si="68"/>
        <v>0.13282919246116717</v>
      </c>
      <c r="AE66" s="696">
        <f t="shared" si="68"/>
        <v>0.13282919246116717</v>
      </c>
      <c r="AF66" s="696">
        <f t="shared" si="68"/>
        <v>0.13282919246116717</v>
      </c>
      <c r="AG66" s="696">
        <f t="shared" si="68"/>
        <v>0.13282919246116717</v>
      </c>
      <c r="AH66" s="696">
        <f t="shared" si="68"/>
        <v>0.13282919246116717</v>
      </c>
      <c r="AI66" s="645">
        <f t="shared" si="12"/>
        <v>0.13282919246116714</v>
      </c>
      <c r="AJ66" s="695"/>
      <c r="AK66" s="698" t="s">
        <v>1529</v>
      </c>
      <c r="AS66" s="634">
        <v>4</v>
      </c>
      <c r="AT66" s="678">
        <f t="shared" si="74"/>
        <v>1.4151328683722625E-2</v>
      </c>
      <c r="AU66" s="634">
        <f t="shared" si="71"/>
        <v>0.02</v>
      </c>
      <c r="AV66" s="634">
        <f t="shared" si="72"/>
        <v>0.02</v>
      </c>
      <c r="AW66" s="634">
        <f t="shared" si="75"/>
        <v>0.02</v>
      </c>
      <c r="AX66" s="634">
        <f t="shared" si="76"/>
        <v>0.02</v>
      </c>
      <c r="AY66" s="634">
        <f t="shared" si="77"/>
        <v>0.02</v>
      </c>
      <c r="AZ66" s="634">
        <f t="shared" si="78"/>
        <v>0.02</v>
      </c>
      <c r="BA66" s="634">
        <f t="shared" si="79"/>
        <v>0.02</v>
      </c>
      <c r="BB66" s="634">
        <f t="shared" si="80"/>
        <v>0.02</v>
      </c>
      <c r="BC66" s="634">
        <f t="shared" si="81"/>
        <v>0.02</v>
      </c>
      <c r="BD66" s="634">
        <f t="shared" si="82"/>
        <v>0.02</v>
      </c>
      <c r="BE66" s="634">
        <f t="shared" si="83"/>
        <v>0.02</v>
      </c>
      <c r="BF66" s="634">
        <f t="shared" si="84"/>
        <v>0.02</v>
      </c>
      <c r="BU66" s="634">
        <f>V66</f>
        <v>23</v>
      </c>
      <c r="BV66" s="634">
        <f t="shared" si="17"/>
        <v>0</v>
      </c>
      <c r="BW66" s="634">
        <f t="shared" si="48"/>
        <v>0</v>
      </c>
      <c r="BX66" s="634">
        <f t="shared" si="49"/>
        <v>0</v>
      </c>
      <c r="BY66" s="634">
        <f t="shared" si="50"/>
        <v>0</v>
      </c>
      <c r="BZ66" s="634">
        <f t="shared" si="51"/>
        <v>0</v>
      </c>
      <c r="CA66" s="634">
        <f t="shared" si="52"/>
        <v>0</v>
      </c>
      <c r="CB66" s="634">
        <f t="shared" si="53"/>
        <v>0</v>
      </c>
      <c r="CC66" s="634">
        <f t="shared" si="54"/>
        <v>0</v>
      </c>
      <c r="CD66" s="634">
        <f t="shared" si="55"/>
        <v>0</v>
      </c>
      <c r="CE66" s="634">
        <f t="shared" si="56"/>
        <v>0</v>
      </c>
      <c r="CF66" s="634">
        <f t="shared" si="57"/>
        <v>0</v>
      </c>
      <c r="CG66" s="634">
        <f t="shared" si="58"/>
        <v>0</v>
      </c>
    </row>
    <row r="67" spans="11:86">
      <c r="K67" s="634">
        <v>17.5</v>
      </c>
      <c r="L67" s="634">
        <v>7.4999999999999997E-2</v>
      </c>
      <c r="M67" s="634">
        <v>0.04</v>
      </c>
      <c r="N67" s="634">
        <v>0.25</v>
      </c>
      <c r="O67" s="634">
        <v>0.02</v>
      </c>
      <c r="P67" s="645">
        <f>N67/SUM(N$33:N90)</f>
        <v>4.7840251831085638E-2</v>
      </c>
      <c r="Q67" s="645">
        <f t="shared" si="40"/>
        <v>1.5624999999999997E-2</v>
      </c>
      <c r="R67" s="645">
        <f t="shared" si="69"/>
        <v>0.13500000000000001</v>
      </c>
      <c r="T67" s="638">
        <v>63</v>
      </c>
      <c r="U67" s="638">
        <f t="shared" si="1"/>
        <v>0.29260033563334864</v>
      </c>
      <c r="V67" s="693">
        <v>23.5</v>
      </c>
      <c r="W67" s="696">
        <f t="shared" si="68"/>
        <v>0.11037346318242089</v>
      </c>
      <c r="X67" s="696">
        <f t="shared" si="68"/>
        <v>0.11037346318242089</v>
      </c>
      <c r="Y67" s="696">
        <f t="shared" si="68"/>
        <v>0.11037346318242089</v>
      </c>
      <c r="Z67" s="696">
        <f t="shared" si="68"/>
        <v>0.11037346318242089</v>
      </c>
      <c r="AA67" s="696">
        <f t="shared" si="68"/>
        <v>0.11037346318242089</v>
      </c>
      <c r="AB67" s="696">
        <f t="shared" si="68"/>
        <v>0.11037346318242089</v>
      </c>
      <c r="AC67" s="696">
        <f t="shared" si="68"/>
        <v>0.11037346318242089</v>
      </c>
      <c r="AD67" s="696">
        <f t="shared" si="68"/>
        <v>0.11037346318242089</v>
      </c>
      <c r="AE67" s="696">
        <f t="shared" si="68"/>
        <v>0.11037346318242089</v>
      </c>
      <c r="AF67" s="696">
        <f t="shared" si="68"/>
        <v>0.11037346318242089</v>
      </c>
      <c r="AG67" s="696">
        <f t="shared" si="68"/>
        <v>0.11037346318242089</v>
      </c>
      <c r="AH67" s="696">
        <f t="shared" si="68"/>
        <v>0.11037346318242089</v>
      </c>
      <c r="AI67" s="645">
        <f t="shared" si="12"/>
        <v>0.11037346318242088</v>
      </c>
      <c r="AJ67" s="695"/>
      <c r="AK67" s="698">
        <v>1.5720000000000001</v>
      </c>
      <c r="AS67" s="634">
        <v>5</v>
      </c>
      <c r="AT67" s="678">
        <f t="shared" si="74"/>
        <v>1.2578958829975664E-2</v>
      </c>
      <c r="AU67" s="634">
        <f t="shared" si="71"/>
        <v>0.02</v>
      </c>
      <c r="AV67" s="634">
        <f t="shared" si="72"/>
        <v>0.02</v>
      </c>
      <c r="AW67" s="634">
        <f t="shared" si="75"/>
        <v>0.02</v>
      </c>
      <c r="AX67" s="634">
        <f t="shared" si="76"/>
        <v>0.02</v>
      </c>
      <c r="AY67" s="634">
        <f t="shared" si="77"/>
        <v>0.02</v>
      </c>
      <c r="AZ67" s="634">
        <f t="shared" si="78"/>
        <v>0.02</v>
      </c>
      <c r="BA67" s="634">
        <f t="shared" si="79"/>
        <v>0.02</v>
      </c>
      <c r="BB67" s="634">
        <f t="shared" si="80"/>
        <v>0.02</v>
      </c>
      <c r="BC67" s="634">
        <f t="shared" si="81"/>
        <v>0.02</v>
      </c>
      <c r="BD67" s="634">
        <f t="shared" si="82"/>
        <v>0.02</v>
      </c>
      <c r="BE67" s="634">
        <f t="shared" si="83"/>
        <v>0.02</v>
      </c>
      <c r="BF67" s="634">
        <f t="shared" si="84"/>
        <v>0.02</v>
      </c>
      <c r="BU67" s="634">
        <f t="shared" si="9"/>
        <v>23.5</v>
      </c>
      <c r="BV67" s="634">
        <f t="shared" si="17"/>
        <v>0</v>
      </c>
      <c r="BW67" s="634">
        <f t="shared" si="48"/>
        <v>0</v>
      </c>
      <c r="BX67" s="634">
        <f t="shared" si="49"/>
        <v>0</v>
      </c>
      <c r="BY67" s="634">
        <f t="shared" si="50"/>
        <v>0</v>
      </c>
      <c r="BZ67" s="634">
        <f t="shared" si="51"/>
        <v>0</v>
      </c>
      <c r="CA67" s="634">
        <f t="shared" si="52"/>
        <v>0</v>
      </c>
      <c r="CB67" s="634">
        <f t="shared" si="53"/>
        <v>0</v>
      </c>
      <c r="CC67" s="634">
        <f t="shared" si="54"/>
        <v>0</v>
      </c>
      <c r="CD67" s="634">
        <f t="shared" si="55"/>
        <v>0</v>
      </c>
      <c r="CE67" s="634">
        <f t="shared" si="56"/>
        <v>0</v>
      </c>
      <c r="CF67" s="634">
        <f t="shared" si="57"/>
        <v>0</v>
      </c>
      <c r="CG67" s="634">
        <f t="shared" si="58"/>
        <v>0</v>
      </c>
    </row>
    <row r="68" spans="11:86">
      <c r="K68" s="634">
        <v>18</v>
      </c>
      <c r="L68" s="634">
        <v>0.12</v>
      </c>
      <c r="M68" s="634">
        <v>0.05</v>
      </c>
      <c r="N68" s="634">
        <v>0.26</v>
      </c>
      <c r="O68" s="634">
        <v>2.5000000000000001E-2</v>
      </c>
      <c r="P68" s="645">
        <f>N68/SUM(N$33:N91)</f>
        <v>4.975362388173947E-2</v>
      </c>
      <c r="Q68" s="645">
        <f t="shared" si="40"/>
        <v>1.5624999999999997E-2</v>
      </c>
      <c r="R68" s="645">
        <f t="shared" si="69"/>
        <v>0.14250000000000002</v>
      </c>
      <c r="T68" s="638">
        <v>64</v>
      </c>
      <c r="U68" s="638">
        <f t="shared" si="1"/>
        <v>0.27609697309746911</v>
      </c>
      <c r="V68" s="693">
        <v>24</v>
      </c>
      <c r="W68" s="696">
        <f t="shared" si="68"/>
        <v>9.1019094544443471E-2</v>
      </c>
      <c r="X68" s="696">
        <f t="shared" si="68"/>
        <v>9.1019094544443471E-2</v>
      </c>
      <c r="Y68" s="696">
        <f t="shared" si="68"/>
        <v>9.1019094544443471E-2</v>
      </c>
      <c r="Z68" s="696">
        <f t="shared" ref="Z68:AH68" si="85">IF($V68&gt;19.1,IF($V68&lt;22.2,IF($AN$54&lt;Z$18+$AN$51,IF(Z$45+$AL$51*EXP((-1*($V68-(Z$18+$AN$51))^2)/(2*((25.5/(ABS(6.5-Z$19)+20))*$AP$51)^2))/((25.5/(ABS(6.5-Z$19)+20))*$AP$51*SQRT(2*PI()))&lt;0.04+$AL$54*EXP((-1*($V68-($AN$54))^2)/(2*($AP$54)^2))/($AP$54*SQRT(2*PI())),Z$45+$AL$51*EXP((-1*($V68-(Z$18+$AN$51))^2)/(2*((25.5/(ABS(6.5-Z$19)+20))*$AP$51)^2))/((25.5/(ABS(6.5-Z$19)+20))*$AP$51*SQRT(2*PI())),0.04+$AL$54*EXP((-1*($V68-($AN$54))^2)/(2*($AP$54)^2))/($AP$54*SQRT(2*PI()))),IF(0.04+$AL$54*EXP((-1*($V68-($AN$54))^2)/(2*(($AP$54)^2)))/($AP$54*SQRT(2*PI()))&lt;Z$45+$AL$51*EXP((-1*($V68-(Z$18+$AN$51))^2)/(2*((25.5/(ABS(6.5-Z$19)+20))*$AP$51)^2))/((25.5/(ABS(6.5-Z$19)+20))*$AP$51*SQRT(2*PI())),Z$45+$AL$51*EXP((-1*($V68-(Z$18+$AN$51))^2)/(2*((25.5/(ABS(6.5-Z$19)+20))*$AP$51)^2))/((25.5/(ABS(6.5-Z$19)+20))*$AP$51*SQRT(2*PI())),0.04+$AL$54*EXP((-1*($V68-($AN$54))^2)/(2*($AP$54)^2))/($AP$54*SQRT(2*PI())))),0.04+$AL$54*EXP((-1*($V68-($AN$54))^2)/(2*($AP$54)^2))/($AP$54*SQRT(2*PI()))),Z$45+$AL$51*EXP((-1*($V68-(Z$18+$AN$51))^2)/(2*((25.5/(ABS(6.5-Z$19)+20))*$AP$51)^2))/((25.5/(ABS(6.5-Z$19)+20))*$AP$51*SQRT(2*PI())))</f>
        <v>9.1019094544443471E-2</v>
      </c>
      <c r="AA68" s="696">
        <f t="shared" si="85"/>
        <v>9.1019094544443471E-2</v>
      </c>
      <c r="AB68" s="696">
        <f t="shared" si="85"/>
        <v>9.1019094544443471E-2</v>
      </c>
      <c r="AC68" s="696">
        <f t="shared" si="85"/>
        <v>9.1019094544443471E-2</v>
      </c>
      <c r="AD68" s="696">
        <f t="shared" si="85"/>
        <v>9.1019094544443471E-2</v>
      </c>
      <c r="AE68" s="696">
        <f t="shared" si="85"/>
        <v>9.1019094544443471E-2</v>
      </c>
      <c r="AF68" s="696">
        <f t="shared" si="85"/>
        <v>9.1019094544443471E-2</v>
      </c>
      <c r="AG68" s="696">
        <f t="shared" si="85"/>
        <v>9.1019094544443471E-2</v>
      </c>
      <c r="AH68" s="696">
        <f t="shared" si="85"/>
        <v>9.1019094544443471E-2</v>
      </c>
      <c r="AI68" s="645">
        <f t="shared" si="12"/>
        <v>9.1019094544443485E-2</v>
      </c>
      <c r="AJ68" s="695"/>
      <c r="AK68" s="699" t="s">
        <v>1530</v>
      </c>
      <c r="AS68" s="634">
        <v>6</v>
      </c>
      <c r="AT68" s="678">
        <f t="shared" si="74"/>
        <v>1.2578958829975664E-2</v>
      </c>
      <c r="AU68" s="634">
        <f t="shared" si="71"/>
        <v>2.1901065950438135E-2</v>
      </c>
      <c r="AV68" s="634">
        <f t="shared" si="72"/>
        <v>2.1518405924788257E-2</v>
      </c>
      <c r="AW68" s="634">
        <f t="shared" si="75"/>
        <v>2.0938874649731733E-2</v>
      </c>
      <c r="AX68" s="634">
        <f t="shared" si="76"/>
        <v>2.107041862979667E-2</v>
      </c>
      <c r="AY68" s="634">
        <f t="shared" si="77"/>
        <v>2.0654910086242137E-2</v>
      </c>
      <c r="AZ68" s="634">
        <f t="shared" si="78"/>
        <v>2.0528928576294968E-2</v>
      </c>
      <c r="BA68" s="634">
        <f t="shared" si="79"/>
        <v>2.0637479088679272E-2</v>
      </c>
      <c r="BB68" s="634">
        <f t="shared" si="80"/>
        <v>2.0918819177355497E-2</v>
      </c>
      <c r="BC68" s="634">
        <f t="shared" si="81"/>
        <v>2.1288306958825796E-2</v>
      </c>
      <c r="BD68" s="634">
        <f t="shared" si="82"/>
        <v>2.1739515562556246E-2</v>
      </c>
      <c r="BE68" s="634">
        <f t="shared" si="83"/>
        <v>2.132617262759802E-2</v>
      </c>
      <c r="BF68" s="634">
        <f t="shared" si="84"/>
        <v>2.1770506407839212E-2</v>
      </c>
      <c r="BU68" s="634">
        <f t="shared" si="9"/>
        <v>24</v>
      </c>
      <c r="BV68" s="634">
        <f>IF(AND(W68&lt;W67,W68&lt;W21),1,0)</f>
        <v>0</v>
      </c>
      <c r="BW68" s="634">
        <f t="shared" ref="BW68:CG68" si="86">IF(AND(X68&lt;X67,X68&lt;X21),1,0)</f>
        <v>0</v>
      </c>
      <c r="BX68" s="634">
        <f t="shared" si="86"/>
        <v>0</v>
      </c>
      <c r="BY68" s="634">
        <f t="shared" si="86"/>
        <v>0</v>
      </c>
      <c r="BZ68" s="634">
        <f t="shared" si="86"/>
        <v>0</v>
      </c>
      <c r="CA68" s="634">
        <f t="shared" si="86"/>
        <v>0</v>
      </c>
      <c r="CB68" s="634">
        <f t="shared" si="86"/>
        <v>0</v>
      </c>
      <c r="CC68" s="634">
        <f t="shared" si="86"/>
        <v>0</v>
      </c>
      <c r="CD68" s="634">
        <f t="shared" si="86"/>
        <v>0</v>
      </c>
      <c r="CE68" s="634">
        <f t="shared" si="86"/>
        <v>0</v>
      </c>
      <c r="CF68" s="634">
        <f t="shared" si="86"/>
        <v>0</v>
      </c>
      <c r="CG68" s="634">
        <f t="shared" si="86"/>
        <v>0</v>
      </c>
    </row>
    <row r="69" spans="11:86">
      <c r="K69" s="634">
        <v>18.5</v>
      </c>
      <c r="L69" s="634">
        <v>0.18</v>
      </c>
      <c r="M69" s="634">
        <v>0.06</v>
      </c>
      <c r="N69" s="634">
        <v>0.26</v>
      </c>
      <c r="O69" s="634">
        <v>2.5000000000000001E-2</v>
      </c>
      <c r="P69" s="645">
        <f>N69/SUM(N$33:N92)</f>
        <v>4.975338586142726E-2</v>
      </c>
      <c r="Q69" s="645">
        <f t="shared" si="40"/>
        <v>1.8749999999999992E-2</v>
      </c>
      <c r="R69" s="645">
        <f t="shared" si="69"/>
        <v>0.14250000000000002</v>
      </c>
      <c r="T69" s="638">
        <v>65</v>
      </c>
      <c r="U69" s="638">
        <f t="shared" si="1"/>
        <v>0.25951179706980015</v>
      </c>
      <c r="V69" s="638" t="s">
        <v>1531</v>
      </c>
      <c r="W69" s="695">
        <f>SUM(W21:W68)/2</f>
        <v>2.1778017423689469</v>
      </c>
      <c r="X69" s="695">
        <f t="shared" ref="X69:AH69" si="87">SUM(X21:X68)/2</f>
        <v>1.9087473125145473</v>
      </c>
      <c r="Y69" s="695">
        <f t="shared" si="87"/>
        <v>1.6005400399555878</v>
      </c>
      <c r="Z69" s="695">
        <f t="shared" si="87"/>
        <v>1.3119373410225528</v>
      </c>
      <c r="AA69" s="695">
        <f t="shared" si="87"/>
        <v>1.1436159003619621</v>
      </c>
      <c r="AB69" s="695">
        <f t="shared" si="87"/>
        <v>1.0684899390778104</v>
      </c>
      <c r="AC69" s="695">
        <f t="shared" si="87"/>
        <v>1.087245775637333</v>
      </c>
      <c r="AD69" s="695">
        <f t="shared" si="87"/>
        <v>1.2177561140979329</v>
      </c>
      <c r="AE69" s="695">
        <f t="shared" si="87"/>
        <v>1.4594519847189638</v>
      </c>
      <c r="AF69" s="695">
        <f t="shared" si="87"/>
        <v>1.7673864194816198</v>
      </c>
      <c r="AG69" s="695">
        <f t="shared" si="87"/>
        <v>2.0928598089130794</v>
      </c>
      <c r="AH69" s="695">
        <f t="shared" si="87"/>
        <v>2.2607218238451736</v>
      </c>
      <c r="AI69" s="695">
        <f>SUMPRODUCT(W69:AH69,W70:AH70)/365</f>
        <v>1.5899567102755747</v>
      </c>
      <c r="AJ69" s="695"/>
      <c r="AK69" s="700">
        <f>AI69/AK67</f>
        <v>1.0114228436867523</v>
      </c>
      <c r="AS69" s="634">
        <v>7</v>
      </c>
      <c r="AT69" s="678">
        <f t="shared" si="74"/>
        <v>1.2578958829975664E-2</v>
      </c>
      <c r="AU69" s="634">
        <f t="shared" si="71"/>
        <v>4.7269911542119653E-2</v>
      </c>
      <c r="AV69" s="634">
        <f t="shared" si="72"/>
        <v>4.178083050956926E-2</v>
      </c>
      <c r="AW69" s="634">
        <f t="shared" si="75"/>
        <v>3.3467722485599344E-2</v>
      </c>
      <c r="AX69" s="634">
        <f t="shared" si="76"/>
        <v>3.5354660021586708E-2</v>
      </c>
      <c r="AY69" s="634">
        <f t="shared" si="77"/>
        <v>2.9394382196866492E-2</v>
      </c>
      <c r="AZ69" s="634">
        <f t="shared" si="78"/>
        <v>2.7587235721274549E-2</v>
      </c>
      <c r="BA69" s="634">
        <f t="shared" si="79"/>
        <v>2.9144342601175099E-2</v>
      </c>
      <c r="BB69" s="634">
        <f t="shared" si="80"/>
        <v>3.3180036012907872E-2</v>
      </c>
      <c r="BC69" s="634">
        <f t="shared" si="81"/>
        <v>3.8480167296763082E-2</v>
      </c>
      <c r="BD69" s="634">
        <f t="shared" si="82"/>
        <v>4.4952545968285164E-2</v>
      </c>
      <c r="BE69" s="634">
        <f t="shared" si="83"/>
        <v>3.9023332796972961E-2</v>
      </c>
      <c r="BF69" s="634">
        <f t="shared" si="84"/>
        <v>4.5397095306138141E-2</v>
      </c>
      <c r="CH69" s="685">
        <f>SUM(BV62:CG68)</f>
        <v>0</v>
      </c>
    </row>
    <row r="70" spans="11:86">
      <c r="K70" s="634">
        <v>19</v>
      </c>
      <c r="L70" s="634">
        <v>0.22</v>
      </c>
      <c r="M70" s="634">
        <v>0.09</v>
      </c>
      <c r="N70" s="634">
        <v>0.25</v>
      </c>
      <c r="O70" s="634">
        <v>0.03</v>
      </c>
      <c r="P70" s="645">
        <f>N70/SUM(N$33:N93)</f>
        <v>4.7839565234031156E-2</v>
      </c>
      <c r="Q70" s="645">
        <f t="shared" si="40"/>
        <v>1.8749999999999992E-2</v>
      </c>
      <c r="R70" s="645">
        <f t="shared" si="69"/>
        <v>0.14000000000000001</v>
      </c>
      <c r="T70" s="638">
        <v>66</v>
      </c>
      <c r="U70" s="638">
        <f t="shared" ref="U70:U133" si="88">SIN((T70+365/4+11)/365*2*PI())</f>
        <v>0.24284972209593567</v>
      </c>
      <c r="V70" s="638" t="s">
        <v>1532</v>
      </c>
      <c r="W70" s="695">
        <v>31</v>
      </c>
      <c r="X70" s="695">
        <v>28</v>
      </c>
      <c r="Y70" s="695">
        <v>31</v>
      </c>
      <c r="Z70" s="695">
        <v>30</v>
      </c>
      <c r="AA70" s="695">
        <v>31</v>
      </c>
      <c r="AB70" s="695">
        <v>30</v>
      </c>
      <c r="AC70" s="695">
        <v>31</v>
      </c>
      <c r="AD70" s="695">
        <v>31</v>
      </c>
      <c r="AE70" s="695">
        <v>30</v>
      </c>
      <c r="AF70" s="695">
        <v>31</v>
      </c>
      <c r="AG70" s="695">
        <v>30</v>
      </c>
      <c r="AH70" s="695">
        <v>31</v>
      </c>
      <c r="AI70" s="695">
        <f>SUMPRODUCT(W70:AH70,W71:AH71)/365</f>
        <v>1</v>
      </c>
      <c r="AJ70" s="695"/>
      <c r="AS70" s="634">
        <v>8</v>
      </c>
      <c r="AT70" s="678">
        <f t="shared" si="74"/>
        <v>1.2578958829975664E-2</v>
      </c>
      <c r="AU70" s="634">
        <f t="shared" si="71"/>
        <v>9.8859398236720325E-2</v>
      </c>
      <c r="AV70" s="634">
        <f t="shared" si="72"/>
        <v>8.2986019753957779E-2</v>
      </c>
      <c r="AW70" s="634">
        <f t="shared" si="75"/>
        <v>5.89460922597096E-2</v>
      </c>
      <c r="AX70" s="634">
        <f t="shared" si="76"/>
        <v>6.4402756773212347E-2</v>
      </c>
      <c r="AY70" s="634">
        <f t="shared" si="77"/>
        <v>4.7166766775403553E-2</v>
      </c>
      <c r="AZ70" s="634">
        <f t="shared" si="78"/>
        <v>4.194084283462815E-2</v>
      </c>
      <c r="BA70" s="634">
        <f t="shared" si="79"/>
        <v>4.6443699814914134E-2</v>
      </c>
      <c r="BB70" s="634">
        <f t="shared" si="80"/>
        <v>5.8114157690275683E-2</v>
      </c>
      <c r="BC70" s="634">
        <f t="shared" si="81"/>
        <v>7.3441129432551822E-2</v>
      </c>
      <c r="BD70" s="634">
        <f t="shared" si="82"/>
        <v>9.2158017692642646E-2</v>
      </c>
      <c r="BE70" s="634">
        <f t="shared" si="83"/>
        <v>7.5011860764897353E-2</v>
      </c>
      <c r="BF70" s="634">
        <f t="shared" si="84"/>
        <v>9.3443569837374452E-2</v>
      </c>
    </row>
    <row r="71" spans="11:86">
      <c r="K71" s="634">
        <v>19.5</v>
      </c>
      <c r="L71" s="634">
        <v>0.23</v>
      </c>
      <c r="M71" s="634">
        <v>0.125</v>
      </c>
      <c r="N71" s="634">
        <v>0.24</v>
      </c>
      <c r="O71" s="634">
        <v>0.03</v>
      </c>
      <c r="P71" s="645">
        <f>N71/SUM(N$33:N94)</f>
        <v>4.5925762917816804E-2</v>
      </c>
      <c r="Q71" s="645">
        <f t="shared" si="40"/>
        <v>2.1874999999999995E-2</v>
      </c>
      <c r="R71" s="645">
        <f t="shared" si="69"/>
        <v>0.13500000000000001</v>
      </c>
      <c r="T71" s="638">
        <v>67</v>
      </c>
      <c r="U71" s="638">
        <f t="shared" si="88"/>
        <v>0.22611568550828834</v>
      </c>
      <c r="V71" s="701" t="s">
        <v>1533</v>
      </c>
      <c r="W71" s="674">
        <f>W69/$AI$69</f>
        <v>1.3697239228554126</v>
      </c>
      <c r="X71" s="674">
        <f t="shared" ref="X71:AH71" si="89">X69/$AI$69</f>
        <v>1.2005026930473592</v>
      </c>
      <c r="Y71" s="674">
        <f t="shared" si="89"/>
        <v>1.0066563634164472</v>
      </c>
      <c r="Z71" s="674">
        <f t="shared" si="89"/>
        <v>0.82514029001152178</v>
      </c>
      <c r="AA71" s="674">
        <f t="shared" si="89"/>
        <v>0.7192748663979337</v>
      </c>
      <c r="AB71" s="674">
        <f t="shared" si="89"/>
        <v>0.67202454769514919</v>
      </c>
      <c r="AC71" s="674">
        <f t="shared" si="89"/>
        <v>0.68382099249034856</v>
      </c>
      <c r="AD71" s="674">
        <f t="shared" si="89"/>
        <v>0.76590520120945227</v>
      </c>
      <c r="AE71" s="674">
        <f t="shared" si="89"/>
        <v>0.91791932150530586</v>
      </c>
      <c r="AF71" s="674">
        <f t="shared" si="89"/>
        <v>1.1115940503658697</v>
      </c>
      <c r="AG71" s="674">
        <f t="shared" si="89"/>
        <v>1.316299868661418</v>
      </c>
      <c r="AH71" s="674">
        <f t="shared" si="89"/>
        <v>1.4218763374087968</v>
      </c>
      <c r="AS71" s="634">
        <v>9</v>
      </c>
      <c r="AT71" s="678">
        <f t="shared" si="74"/>
        <v>1.2578958829975664E-2</v>
      </c>
      <c r="AU71" s="634">
        <f t="shared" si="71"/>
        <v>9.4446105184301743E-2</v>
      </c>
      <c r="AV71" s="634">
        <f t="shared" si="72"/>
        <v>7.400997422576408E-2</v>
      </c>
      <c r="AW71" s="634">
        <f t="shared" si="75"/>
        <v>4.7467697497388266E-2</v>
      </c>
      <c r="AX71" s="634">
        <f t="shared" si="76"/>
        <v>5.0816968259702874E-2</v>
      </c>
      <c r="AY71" s="634">
        <f t="shared" si="77"/>
        <v>3.5377087614918118E-2</v>
      </c>
      <c r="AZ71" s="634">
        <f t="shared" si="78"/>
        <v>3.1120988354697066E-2</v>
      </c>
      <c r="BA71" s="634">
        <f t="shared" si="79"/>
        <v>3.4784854107384175E-2</v>
      </c>
      <c r="BB71" s="634">
        <f t="shared" si="80"/>
        <v>4.5124506314277571E-2</v>
      </c>
      <c r="BC71" s="634">
        <f t="shared" si="81"/>
        <v>6.0854376604327368E-2</v>
      </c>
      <c r="BD71" s="634">
        <f t="shared" si="82"/>
        <v>8.2551667408161208E-2</v>
      </c>
      <c r="BE71" s="634">
        <f t="shared" si="83"/>
        <v>7.2317152139982577E-2</v>
      </c>
      <c r="BF71" s="634">
        <f t="shared" si="84"/>
        <v>9.2559462733017808E-2</v>
      </c>
    </row>
    <row r="72" spans="11:86">
      <c r="K72" s="634">
        <v>20</v>
      </c>
      <c r="L72" s="634">
        <v>0.22500000000000001</v>
      </c>
      <c r="M72" s="634">
        <v>0.155</v>
      </c>
      <c r="N72" s="634">
        <v>0.22500000000000001</v>
      </c>
      <c r="O72" s="634">
        <v>3.5000000000000003E-2</v>
      </c>
      <c r="P72" s="645">
        <f>N72/SUM(N$33:N95)</f>
        <v>4.3055059020701072E-2</v>
      </c>
      <c r="Q72" s="645">
        <f t="shared" si="40"/>
        <v>2.812499999999999E-2</v>
      </c>
      <c r="R72" s="645">
        <f t="shared" si="69"/>
        <v>0.13</v>
      </c>
      <c r="T72" s="638">
        <v>68</v>
      </c>
      <c r="U72" s="638">
        <f t="shared" si="88"/>
        <v>0.20931464596304875</v>
      </c>
      <c r="V72" s="701" t="s">
        <v>1534</v>
      </c>
      <c r="W72" s="674">
        <v>1.3648376619040321</v>
      </c>
      <c r="X72" s="678">
        <v>1.1958822840459347</v>
      </c>
      <c r="Y72" s="678">
        <v>1.0102610090206179</v>
      </c>
      <c r="Z72" s="678">
        <v>0.82685505263041714</v>
      </c>
      <c r="AA72" s="678">
        <v>0.71986139326976573</v>
      </c>
      <c r="AB72" s="678">
        <v>0.6732423260704874</v>
      </c>
      <c r="AC72" s="678">
        <v>0.68584197387313695</v>
      </c>
      <c r="AD72" s="678">
        <v>0.770897426752429</v>
      </c>
      <c r="AE72" s="678">
        <v>0.92020866538130552</v>
      </c>
      <c r="AF72" s="678">
        <v>1.1120618016660415</v>
      </c>
      <c r="AG72" s="678">
        <v>1.3126775922365801</v>
      </c>
      <c r="AH72" s="678">
        <v>1.4177157321317237</v>
      </c>
      <c r="AI72" s="678"/>
      <c r="AS72" s="634">
        <v>10</v>
      </c>
      <c r="AT72" s="678">
        <f t="shared" si="74"/>
        <v>1.2578958829975664E-2</v>
      </c>
      <c r="AU72" s="634">
        <f t="shared" si="71"/>
        <v>4.8406621840619106E-2</v>
      </c>
      <c r="AV72" s="634">
        <f t="shared" si="72"/>
        <v>3.7237644329935468E-2</v>
      </c>
      <c r="AW72" s="634">
        <f t="shared" si="75"/>
        <v>2.4730293890654901E-2</v>
      </c>
      <c r="AX72" s="634">
        <f t="shared" si="76"/>
        <v>2.4893869344626486E-2</v>
      </c>
      <c r="AY72" s="634">
        <f t="shared" si="77"/>
        <v>1.951665836457795E-2</v>
      </c>
      <c r="AZ72" s="634">
        <f t="shared" si="78"/>
        <v>1.8311544067549885E-2</v>
      </c>
      <c r="BA72" s="634">
        <f t="shared" si="79"/>
        <v>1.9346563879508907E-2</v>
      </c>
      <c r="BB72" s="634">
        <f t="shared" si="80"/>
        <v>2.2872800526813779E-2</v>
      </c>
      <c r="BC72" s="634">
        <f t="shared" si="81"/>
        <v>2.965451909347093E-2</v>
      </c>
      <c r="BD72" s="634">
        <f t="shared" si="82"/>
        <v>4.0424566162711201E-2</v>
      </c>
      <c r="BE72" s="634">
        <f t="shared" si="83"/>
        <v>4.0200274456136158E-2</v>
      </c>
      <c r="BF72" s="634">
        <f t="shared" si="84"/>
        <v>4.968183386653334E-2</v>
      </c>
    </row>
    <row r="73" spans="11:86">
      <c r="K73" s="634">
        <v>20.5</v>
      </c>
      <c r="L73" s="634">
        <v>0.22</v>
      </c>
      <c r="M73" s="634">
        <v>0.185</v>
      </c>
      <c r="N73" s="634">
        <v>0.22500000000000001</v>
      </c>
      <c r="O73" s="634">
        <v>4.4999999999999998E-2</v>
      </c>
      <c r="P73" s="645">
        <f>N73/SUM(N$33:N96)</f>
        <v>4.3054043204067437E-2</v>
      </c>
      <c r="Q73" s="645">
        <f t="shared" si="40"/>
        <v>3.7499999999999985E-2</v>
      </c>
      <c r="R73" s="645">
        <f t="shared" si="69"/>
        <v>0.13500000000000001</v>
      </c>
      <c r="T73" s="638">
        <v>69</v>
      </c>
      <c r="U73" s="638">
        <f t="shared" si="88"/>
        <v>0.19245158197083026</v>
      </c>
      <c r="V73" s="701" t="s">
        <v>2887</v>
      </c>
      <c r="W73" s="815">
        <f>W72*W70/SUMPRODUCT($W72:$AH72,$W70:$AH70)</f>
        <v>0.11591771923020544</v>
      </c>
      <c r="X73" s="815">
        <f t="shared" ref="X73:AH73" si="90">X72*X70/SUMPRODUCT($W72:$AH72,$W70:$AH70)</f>
        <v>9.173891494051005E-2</v>
      </c>
      <c r="Y73" s="815">
        <f t="shared" si="90"/>
        <v>8.5802989807230542E-2</v>
      </c>
      <c r="Z73" s="815">
        <f t="shared" si="90"/>
        <v>6.7960689257294551E-2</v>
      </c>
      <c r="AA73" s="815">
        <f t="shared" si="90"/>
        <v>6.1138912853048587E-2</v>
      </c>
      <c r="AB73" s="815">
        <f t="shared" si="90"/>
        <v>5.5334985704423606E-2</v>
      </c>
      <c r="AC73" s="815">
        <f t="shared" si="90"/>
        <v>5.8249592301554083E-2</v>
      </c>
      <c r="AD73" s="815">
        <f t="shared" si="90"/>
        <v>6.5473480080343274E-2</v>
      </c>
      <c r="AE73" s="815">
        <f t="shared" si="90"/>
        <v>7.5633588935449747E-2</v>
      </c>
      <c r="AF73" s="815">
        <f t="shared" si="90"/>
        <v>9.4449084525061039E-2</v>
      </c>
      <c r="AG73" s="815">
        <f t="shared" si="90"/>
        <v>0.10789130895095178</v>
      </c>
      <c r="AH73" s="815">
        <f t="shared" si="90"/>
        <v>0.1204087334139272</v>
      </c>
      <c r="AI73" s="678"/>
      <c r="AS73" s="634">
        <v>11</v>
      </c>
      <c r="AT73" s="678">
        <f t="shared" si="74"/>
        <v>1.3327366331788434E-2</v>
      </c>
      <c r="AU73" s="634">
        <f t="shared" si="71"/>
        <v>3.9411232776139081E-2</v>
      </c>
      <c r="AV73" s="634">
        <f t="shared" si="72"/>
        <v>3.0052910918591118E-2</v>
      </c>
      <c r="AW73" s="634">
        <f t="shared" si="75"/>
        <v>2.028776376424455E-2</v>
      </c>
      <c r="AX73" s="634">
        <f t="shared" si="76"/>
        <v>1.9828904589106286E-2</v>
      </c>
      <c r="AY73" s="634">
        <f t="shared" si="77"/>
        <v>1.6417780586748899E-2</v>
      </c>
      <c r="AZ73" s="634">
        <f t="shared" si="78"/>
        <v>1.5808780641589748E-2</v>
      </c>
      <c r="BA73" s="634">
        <f t="shared" si="79"/>
        <v>1.6330165410103549E-2</v>
      </c>
      <c r="BB73" s="634">
        <f t="shared" si="80"/>
        <v>1.8525168095485815E-2</v>
      </c>
      <c r="BC73" s="634">
        <f t="shared" si="81"/>
        <v>2.3558558915737896E-2</v>
      </c>
      <c r="BD73" s="634">
        <f t="shared" si="82"/>
        <v>3.2193594867209865E-2</v>
      </c>
      <c r="BE73" s="634">
        <f t="shared" si="83"/>
        <v>3.392514299677854E-2</v>
      </c>
      <c r="BF73" s="634">
        <f t="shared" si="84"/>
        <v>4.1304221308695391E-2</v>
      </c>
    </row>
    <row r="74" spans="11:86">
      <c r="K74" s="634">
        <v>21</v>
      </c>
      <c r="L74" s="634">
        <v>0.215</v>
      </c>
      <c r="M74" s="634">
        <v>0.19500000000000001</v>
      </c>
      <c r="N74" s="634">
        <v>0.22</v>
      </c>
      <c r="O74" s="634">
        <v>0.06</v>
      </c>
      <c r="P74" s="645">
        <f>N74/SUM(N$33:N97)</f>
        <v>4.2094647309262705E-2</v>
      </c>
      <c r="Q74" s="645">
        <f t="shared" si="40"/>
        <v>5.3124999999999985E-2</v>
      </c>
      <c r="R74" s="645">
        <f t="shared" si="69"/>
        <v>0.14000000000000001</v>
      </c>
      <c r="T74" s="638">
        <v>70</v>
      </c>
      <c r="U74" s="638">
        <f t="shared" si="88"/>
        <v>0.17553149042142849</v>
      </c>
      <c r="V74" s="702" t="s">
        <v>1535</v>
      </c>
      <c r="Y74" s="645">
        <f>SUM(Y21:Y68)/2</f>
        <v>1.6005400399555878</v>
      </c>
      <c r="AB74" s="645">
        <f>SUM(AB21:AB68)/2</f>
        <v>1.0684899390778104</v>
      </c>
      <c r="AE74" s="645">
        <f>SUM(AE21:AE68)/2</f>
        <v>1.4594519847189638</v>
      </c>
      <c r="AH74" s="645">
        <f>SUM(AH21:AH68)/2</f>
        <v>2.2607218238451736</v>
      </c>
      <c r="AS74" s="634">
        <v>12</v>
      </c>
      <c r="AT74" s="678">
        <f t="shared" si="74"/>
        <v>1.6264340447981137E-2</v>
      </c>
      <c r="AU74" s="634">
        <f t="shared" si="71"/>
        <v>3.904838648616793E-2</v>
      </c>
      <c r="AV74" s="634">
        <f t="shared" si="72"/>
        <v>2.9763100901030886E-2</v>
      </c>
      <c r="AW74" s="634">
        <f t="shared" si="75"/>
        <v>2.010856578148934E-2</v>
      </c>
      <c r="AX74" s="634">
        <f t="shared" si="76"/>
        <v>1.9624599510448589E-2</v>
      </c>
      <c r="AY74" s="634">
        <f t="shared" si="77"/>
        <v>1.6292781401421909E-2</v>
      </c>
      <c r="AZ74" s="634">
        <f t="shared" si="78"/>
        <v>1.5707826873245144E-2</v>
      </c>
      <c r="BA74" s="634">
        <f t="shared" si="79"/>
        <v>1.6208493186050429E-2</v>
      </c>
      <c r="BB74" s="634">
        <f t="shared" si="80"/>
        <v>1.8349797993474914E-2</v>
      </c>
      <c r="BC74" s="634">
        <f t="shared" si="81"/>
        <v>2.3312666657109932E-2</v>
      </c>
      <c r="BD74" s="634">
        <f t="shared" si="82"/>
        <v>3.1861582835709779E-2</v>
      </c>
      <c r="BE74" s="634">
        <f t="shared" si="83"/>
        <v>3.3672023520479287E-2</v>
      </c>
      <c r="BF74" s="634">
        <f t="shared" si="84"/>
        <v>4.0966294220312921E-2</v>
      </c>
    </row>
    <row r="75" spans="11:86">
      <c r="K75" s="634">
        <v>21.5</v>
      </c>
      <c r="L75" s="634">
        <v>0.2</v>
      </c>
      <c r="M75" s="634">
        <v>0.185</v>
      </c>
      <c r="N75" s="634">
        <v>0.21</v>
      </c>
      <c r="O75" s="634">
        <v>8.5000000000000006E-2</v>
      </c>
      <c r="P75" s="645">
        <f>N75/SUM(N$33:N98)</f>
        <v>4.0166573443079022E-2</v>
      </c>
      <c r="Q75" s="645">
        <f t="shared" si="40"/>
        <v>7.8124999999999972E-2</v>
      </c>
      <c r="R75" s="645">
        <f t="shared" si="69"/>
        <v>0.14749999999999999</v>
      </c>
      <c r="T75" s="638">
        <v>71</v>
      </c>
      <c r="U75" s="638">
        <f t="shared" si="88"/>
        <v>0.15855938510313461</v>
      </c>
      <c r="V75" s="638" t="s">
        <v>1536</v>
      </c>
      <c r="Y75" s="634">
        <f>SUM(L33:L80)/2</f>
        <v>1.6700000000000004</v>
      </c>
      <c r="AB75" s="634">
        <f>SUM(O33:O80)/2</f>
        <v>0.83000000000000029</v>
      </c>
      <c r="AE75" s="634">
        <f>SUM(M33:M80)/2</f>
        <v>1.3600000000000003</v>
      </c>
      <c r="AH75" s="634">
        <f>SUM(N33:N80)/2</f>
        <v>2.6124999999999998</v>
      </c>
      <c r="AS75" s="634">
        <v>13</v>
      </c>
      <c r="AT75" s="678">
        <f t="shared" si="74"/>
        <v>2.3314518197176656E-2</v>
      </c>
      <c r="AU75" s="634">
        <f t="shared" si="71"/>
        <v>3.908850187836857E-2</v>
      </c>
      <c r="AV75" s="634">
        <f t="shared" si="72"/>
        <v>2.9779352676814655E-2</v>
      </c>
      <c r="AW75" s="634">
        <f t="shared" si="75"/>
        <v>2.011630590972352E-2</v>
      </c>
      <c r="AX75" s="634">
        <f t="shared" si="76"/>
        <v>1.9623227928607705E-2</v>
      </c>
      <c r="AY75" s="634">
        <f t="shared" si="77"/>
        <v>1.6292007090144049E-2</v>
      </c>
      <c r="AZ75" s="634">
        <f t="shared" si="78"/>
        <v>1.5707333736395081E-2</v>
      </c>
      <c r="BA75" s="634">
        <f t="shared" si="79"/>
        <v>1.6207831498766041E-2</v>
      </c>
      <c r="BB75" s="634">
        <f t="shared" si="80"/>
        <v>1.834870271382992E-2</v>
      </c>
      <c r="BC75" s="634">
        <f t="shared" si="81"/>
        <v>2.3311756639778261E-2</v>
      </c>
      <c r="BD75" s="634">
        <f t="shared" si="82"/>
        <v>3.1863295834577185E-2</v>
      </c>
      <c r="BE75" s="634">
        <f t="shared" si="83"/>
        <v>3.3791015904450099E-2</v>
      </c>
      <c r="BF75" s="634">
        <f t="shared" si="84"/>
        <v>4.1073214713286413E-2</v>
      </c>
    </row>
    <row r="76" spans="11:86">
      <c r="K76" s="634">
        <v>22</v>
      </c>
      <c r="L76" s="634">
        <v>0.19</v>
      </c>
      <c r="M76" s="634">
        <v>0.17499999999999999</v>
      </c>
      <c r="N76" s="634">
        <v>0.2</v>
      </c>
      <c r="O76" s="634">
        <v>0.125</v>
      </c>
      <c r="P76" s="645">
        <f>N76/SUM(N$33:N99)</f>
        <v>3.8228074581253407E-2</v>
      </c>
      <c r="Q76" s="645">
        <f t="shared" si="40"/>
        <v>9.0624999999999969E-2</v>
      </c>
      <c r="R76" s="645">
        <f t="shared" si="69"/>
        <v>0.16250000000000001</v>
      </c>
      <c r="T76" s="638">
        <v>72</v>
      </c>
      <c r="U76" s="638">
        <f t="shared" si="88"/>
        <v>0.14154029521704331</v>
      </c>
      <c r="AS76" s="634">
        <v>14</v>
      </c>
      <c r="AT76" s="678">
        <f t="shared" si="74"/>
        <v>3.4389063951684444E-2</v>
      </c>
      <c r="AU76" s="634">
        <f t="shared" si="71"/>
        <v>3.962404278914286E-2</v>
      </c>
      <c r="AV76" s="634">
        <f t="shared" si="72"/>
        <v>3.0019415947485695E-2</v>
      </c>
      <c r="AW76" s="634">
        <f t="shared" si="75"/>
        <v>2.0235349026465226E-2</v>
      </c>
      <c r="AX76" s="634">
        <f t="shared" si="76"/>
        <v>1.9630152161725062E-2</v>
      </c>
      <c r="AY76" s="634">
        <f t="shared" si="77"/>
        <v>1.6296895854013498E-2</v>
      </c>
      <c r="AZ76" s="634">
        <f t="shared" si="78"/>
        <v>1.571256925407933E-2</v>
      </c>
      <c r="BA76" s="634">
        <f t="shared" si="79"/>
        <v>1.6213224145097127E-2</v>
      </c>
      <c r="BB76" s="634">
        <f t="shared" si="80"/>
        <v>1.8355213438115033E-2</v>
      </c>
      <c r="BC76" s="634">
        <f t="shared" si="81"/>
        <v>2.3330052422440815E-2</v>
      </c>
      <c r="BD76" s="634">
        <f t="shared" si="82"/>
        <v>3.1927794346935656E-2</v>
      </c>
      <c r="BE76" s="634">
        <f t="shared" si="83"/>
        <v>3.4970346203790206E-2</v>
      </c>
      <c r="BF76" s="634">
        <f t="shared" si="84"/>
        <v>4.2249742793269818E-2</v>
      </c>
    </row>
    <row r="77" spans="11:86">
      <c r="K77" s="634">
        <v>22.5</v>
      </c>
      <c r="L77" s="634">
        <v>0.17</v>
      </c>
      <c r="M77" s="634">
        <v>0.155</v>
      </c>
      <c r="N77" s="634">
        <v>0.18</v>
      </c>
      <c r="O77" s="634">
        <v>0.14499999999999999</v>
      </c>
      <c r="P77" s="645">
        <f>N77/SUM(N$33:N100)</f>
        <v>3.4398218327580665E-2</v>
      </c>
      <c r="Q77" s="645">
        <f t="shared" si="40"/>
        <v>8.1249999999999975E-2</v>
      </c>
      <c r="R77" s="645">
        <f t="shared" si="69"/>
        <v>0.16249999999999998</v>
      </c>
      <c r="T77" s="638">
        <v>73</v>
      </c>
      <c r="U77" s="638">
        <f t="shared" si="88"/>
        <v>0.12447926388678943</v>
      </c>
      <c r="AS77" s="634">
        <v>15</v>
      </c>
      <c r="AT77" s="678">
        <f t="shared" si="74"/>
        <v>4.3624154929143177E-2</v>
      </c>
      <c r="AU77" s="634">
        <f t="shared" si="71"/>
        <v>4.316548278249651E-2</v>
      </c>
      <c r="AV77" s="634">
        <f t="shared" si="72"/>
        <v>3.171819509260676E-2</v>
      </c>
      <c r="AW77" s="634">
        <f t="shared" si="75"/>
        <v>2.1104243861903182E-2</v>
      </c>
      <c r="AX77" s="634">
        <f t="shared" si="76"/>
        <v>1.9699260796984308E-2</v>
      </c>
      <c r="AY77" s="634">
        <f t="shared" si="77"/>
        <v>1.6342680743441404E-2</v>
      </c>
      <c r="AZ77" s="634">
        <f t="shared" si="78"/>
        <v>1.5756168013469088E-2</v>
      </c>
      <c r="BA77" s="634">
        <f t="shared" si="79"/>
        <v>1.6257974536181552E-2</v>
      </c>
      <c r="BB77" s="634">
        <f t="shared" si="80"/>
        <v>1.8414072287624414E-2</v>
      </c>
      <c r="BC77" s="634">
        <f t="shared" si="81"/>
        <v>2.3490484312019829E-2</v>
      </c>
      <c r="BD77" s="634">
        <f t="shared" si="82"/>
        <v>3.244677427248386E-2</v>
      </c>
      <c r="BE77" s="634">
        <f t="shared" si="83"/>
        <v>4.1090718098328746E-2</v>
      </c>
      <c r="BF77" s="634">
        <f t="shared" si="84"/>
        <v>4.8850569775553243E-2</v>
      </c>
    </row>
    <row r="78" spans="11:86">
      <c r="K78" s="634">
        <v>23</v>
      </c>
      <c r="L78" s="634">
        <v>0.14000000000000001</v>
      </c>
      <c r="M78" s="634">
        <v>0.125</v>
      </c>
      <c r="N78" s="634">
        <v>0.155</v>
      </c>
      <c r="O78" s="634">
        <v>0.13</v>
      </c>
      <c r="P78" s="645">
        <f>N78/SUM(N$33:N101)</f>
        <v>2.9617913962619764E-2</v>
      </c>
      <c r="Q78" s="645">
        <f t="shared" si="40"/>
        <v>6.5624999999999975E-2</v>
      </c>
      <c r="R78" s="645">
        <f t="shared" si="69"/>
        <v>0.14250000000000002</v>
      </c>
      <c r="T78" s="638">
        <v>74</v>
      </c>
      <c r="U78" s="638">
        <f t="shared" si="88"/>
        <v>0.10738134666416337</v>
      </c>
      <c r="AS78" s="634">
        <v>16</v>
      </c>
      <c r="AT78" s="678">
        <f t="shared" si="74"/>
        <v>4.5321510312379007E-2</v>
      </c>
      <c r="AU78" s="634">
        <f t="shared" si="71"/>
        <v>5.8921028320423625E-2</v>
      </c>
      <c r="AV78" s="634">
        <f t="shared" si="72"/>
        <v>4.009131520589275E-2</v>
      </c>
      <c r="AW78" s="634">
        <f t="shared" si="75"/>
        <v>2.5668381443097722E-2</v>
      </c>
      <c r="AX78" s="634">
        <f t="shared" si="76"/>
        <v>2.0209670384724508E-2</v>
      </c>
      <c r="AY78" s="634">
        <f t="shared" si="77"/>
        <v>1.6669462664215887E-2</v>
      </c>
      <c r="AZ78" s="634">
        <f t="shared" si="78"/>
        <v>1.6041143595952424E-2</v>
      </c>
      <c r="BA78" s="634">
        <f t="shared" si="79"/>
        <v>1.654947471520472E-2</v>
      </c>
      <c r="BB78" s="634">
        <f t="shared" si="80"/>
        <v>1.8819776282128234E-2</v>
      </c>
      <c r="BC78" s="634">
        <f t="shared" si="81"/>
        <v>2.4532808187572287E-2</v>
      </c>
      <c r="BD78" s="634">
        <f t="shared" si="82"/>
        <v>3.5449758125211145E-2</v>
      </c>
      <c r="BE78" s="634">
        <f t="shared" si="83"/>
        <v>6.3229064283870956E-2</v>
      </c>
      <c r="BF78" s="634">
        <f t="shared" si="84"/>
        <v>7.3743324160096047E-2</v>
      </c>
    </row>
    <row r="79" spans="11:86">
      <c r="K79" s="634">
        <v>23.5</v>
      </c>
      <c r="L79" s="634">
        <v>0.105</v>
      </c>
      <c r="M79" s="634">
        <v>9.5000000000000001E-2</v>
      </c>
      <c r="N79" s="634">
        <v>0.125</v>
      </c>
      <c r="O79" s="634">
        <v>0.105</v>
      </c>
      <c r="P79" s="645">
        <f>N79/SUM(N$33:N102)</f>
        <v>2.388356321477518E-2</v>
      </c>
      <c r="Q79" s="645">
        <f t="shared" si="40"/>
        <v>4.9999999999999982E-2</v>
      </c>
      <c r="R79" s="645">
        <f t="shared" si="69"/>
        <v>0.11499999999999999</v>
      </c>
      <c r="T79" s="638">
        <v>75</v>
      </c>
      <c r="U79" s="638">
        <f t="shared" si="88"/>
        <v>9.0251610031041443E-2</v>
      </c>
      <c r="V79" s="634"/>
      <c r="AS79" s="634">
        <v>17</v>
      </c>
      <c r="AT79" s="678">
        <f t="shared" si="74"/>
        <v>3.7783774718156089E-2</v>
      </c>
      <c r="AU79" s="634">
        <f t="shared" si="71"/>
        <v>0.10406229133527289</v>
      </c>
      <c r="AV79" s="634">
        <f t="shared" si="72"/>
        <v>6.782169409271166E-2</v>
      </c>
      <c r="AW79" s="634">
        <f t="shared" si="75"/>
        <v>4.2377227028263353E-2</v>
      </c>
      <c r="AX79" s="634">
        <f t="shared" si="76"/>
        <v>2.294539341293882E-2</v>
      </c>
      <c r="AY79" s="634">
        <f t="shared" si="77"/>
        <v>1.8410402284961366E-2</v>
      </c>
      <c r="AZ79" s="634">
        <f t="shared" si="78"/>
        <v>1.7468167294622361E-2</v>
      </c>
      <c r="BA79" s="634">
        <f t="shared" si="79"/>
        <v>1.8004084421102094E-2</v>
      </c>
      <c r="BB79" s="634">
        <f t="shared" si="80"/>
        <v>2.090586253206031E-2</v>
      </c>
      <c r="BC79" s="634">
        <f t="shared" si="81"/>
        <v>2.9433960231097796E-2</v>
      </c>
      <c r="BD79" s="634">
        <f t="shared" si="82"/>
        <v>4.7602658504596648E-2</v>
      </c>
      <c r="BE79" s="634">
        <f t="shared" si="83"/>
        <v>0.11590014451587333</v>
      </c>
      <c r="BF79" s="634">
        <f t="shared" si="84"/>
        <v>0.13336717069733048</v>
      </c>
    </row>
    <row r="80" spans="11:86">
      <c r="K80" s="634">
        <v>24</v>
      </c>
      <c r="L80" s="634">
        <v>0.08</v>
      </c>
      <c r="M80" s="634">
        <v>7.4999999999999997E-2</v>
      </c>
      <c r="N80" s="634">
        <v>0.1</v>
      </c>
      <c r="O80" s="634">
        <v>0.08</v>
      </c>
      <c r="P80" s="645">
        <f>N80/SUM(N$33:N103)</f>
        <v>1.9105317131262543E-2</v>
      </c>
      <c r="Q80" s="645">
        <f t="shared" si="40"/>
        <v>0</v>
      </c>
      <c r="R80" s="645">
        <f t="shared" si="69"/>
        <v>0.09</v>
      </c>
      <c r="T80" s="638">
        <v>76</v>
      </c>
      <c r="U80" s="638">
        <f t="shared" si="88"/>
        <v>7.3095129898077621E-2</v>
      </c>
      <c r="V80" s="634"/>
      <c r="AS80" s="634">
        <v>18</v>
      </c>
      <c r="AT80" s="678">
        <f t="shared" si="74"/>
        <v>2.6709228963648305E-2</v>
      </c>
      <c r="AU80" s="634">
        <f t="shared" si="71"/>
        <v>0.18334320607846813</v>
      </c>
      <c r="AV80" s="634">
        <f t="shared" si="72"/>
        <v>0.12770324952991113</v>
      </c>
      <c r="AW80" s="634">
        <f t="shared" si="75"/>
        <v>8.4166584195169813E-2</v>
      </c>
      <c r="AX80" s="634">
        <f t="shared" si="76"/>
        <v>3.3501437114645732E-2</v>
      </c>
      <c r="AY80" s="634">
        <f t="shared" si="77"/>
        <v>2.5289628006646074E-2</v>
      </c>
      <c r="AZ80" s="634">
        <f t="shared" si="78"/>
        <v>2.2912871180198802E-2</v>
      </c>
      <c r="BA80" s="634">
        <f t="shared" si="79"/>
        <v>2.3534208862491489E-2</v>
      </c>
      <c r="BB80" s="634">
        <f t="shared" si="80"/>
        <v>2.8853711194019763E-2</v>
      </c>
      <c r="BC80" s="634">
        <f t="shared" si="81"/>
        <v>4.5946364349982234E-2</v>
      </c>
      <c r="BD80" s="634">
        <f t="shared" si="82"/>
        <v>8.1435800894610666E-2</v>
      </c>
      <c r="BE80" s="634">
        <f t="shared" si="83"/>
        <v>0.19348999203406492</v>
      </c>
      <c r="BF80" s="634">
        <f t="shared" si="84"/>
        <v>0.21771859065496763</v>
      </c>
    </row>
    <row r="81" spans="11:58">
      <c r="T81" s="638">
        <v>77</v>
      </c>
      <c r="U81" s="638">
        <f t="shared" si="88"/>
        <v>5.5916990100603324E-2</v>
      </c>
      <c r="V81" s="634"/>
      <c r="AS81" s="634">
        <v>19</v>
      </c>
      <c r="AT81" s="678">
        <f t="shared" si="74"/>
        <v>1.9659051214452779E-2</v>
      </c>
      <c r="AU81" s="634">
        <f t="shared" si="71"/>
        <v>0.25640859634108859</v>
      </c>
      <c r="AV81" s="634">
        <f t="shared" si="72"/>
        <v>0.20585736348486902</v>
      </c>
      <c r="AW81" s="634">
        <f t="shared" si="75"/>
        <v>0.15250703378761796</v>
      </c>
      <c r="AX81" s="634">
        <f t="shared" si="76"/>
        <v>6.2405631301462233E-2</v>
      </c>
      <c r="AY81" s="634">
        <f t="shared" si="77"/>
        <v>4.5234460885868605E-2</v>
      </c>
      <c r="AZ81" s="634">
        <f t="shared" si="78"/>
        <v>3.8599953609351853E-2</v>
      </c>
      <c r="BA81" s="634">
        <f t="shared" si="79"/>
        <v>3.9408064321206027E-2</v>
      </c>
      <c r="BB81" s="634">
        <f t="shared" si="80"/>
        <v>5.1032131577733363E-2</v>
      </c>
      <c r="BC81" s="634">
        <f t="shared" si="81"/>
        <v>8.5068614341392346E-2</v>
      </c>
      <c r="BD81" s="634">
        <f t="shared" si="82"/>
        <v>0.14402465006398746</v>
      </c>
      <c r="BE81" s="634">
        <f t="shared" si="83"/>
        <v>0.25074026643095032</v>
      </c>
      <c r="BF81" s="634">
        <f t="shared" si="84"/>
        <v>0.27046761541421144</v>
      </c>
    </row>
    <row r="82" spans="11:58">
      <c r="L82" s="635" t="s">
        <v>6386</v>
      </c>
      <c r="T82" s="638">
        <v>78</v>
      </c>
      <c r="U82" s="638">
        <f t="shared" si="88"/>
        <v>3.8722280892174742E-2</v>
      </c>
      <c r="V82" s="634"/>
      <c r="AS82" s="634">
        <v>20</v>
      </c>
      <c r="AT82" s="678">
        <f t="shared" si="74"/>
        <v>1.6851118735056906E-2</v>
      </c>
      <c r="AU82" s="634">
        <f t="shared" si="71"/>
        <v>0.26132137056950883</v>
      </c>
      <c r="AV82" s="634">
        <f t="shared" si="72"/>
        <v>0.25102757698784528</v>
      </c>
      <c r="AW82" s="634">
        <f t="shared" si="75"/>
        <v>0.21677252711500355</v>
      </c>
      <c r="AX82" s="634">
        <f t="shared" si="76"/>
        <v>0.11697538549865352</v>
      </c>
      <c r="AY82" s="634">
        <f t="shared" si="77"/>
        <v>8.6816869702961125E-2</v>
      </c>
      <c r="AZ82" s="634">
        <f t="shared" si="78"/>
        <v>7.2189410490573661E-2</v>
      </c>
      <c r="BA82" s="634">
        <f t="shared" si="79"/>
        <v>7.3261292168573869E-2</v>
      </c>
      <c r="BB82" s="634">
        <f t="shared" si="80"/>
        <v>9.5379699741753948E-2</v>
      </c>
      <c r="BC82" s="634">
        <f t="shared" si="81"/>
        <v>0.14769922157822341</v>
      </c>
      <c r="BD82" s="634">
        <f t="shared" si="82"/>
        <v>0.21422969668426986</v>
      </c>
      <c r="BE82" s="634">
        <f t="shared" si="83"/>
        <v>0.24164780188123497</v>
      </c>
      <c r="BF82" s="634">
        <f t="shared" si="84"/>
        <v>0.24560411169887625</v>
      </c>
    </row>
    <row r="83" spans="11:58">
      <c r="T83" s="638">
        <v>79</v>
      </c>
      <c r="U83" s="638">
        <f t="shared" si="88"/>
        <v>2.1516097436222539E-2</v>
      </c>
      <c r="V83" s="634"/>
      <c r="AS83" s="634">
        <v>21</v>
      </c>
      <c r="AT83" s="678">
        <f t="shared" si="74"/>
        <v>1.6117766044398671E-2</v>
      </c>
      <c r="AU83" s="634">
        <f t="shared" si="71"/>
        <v>0.22474566709240518</v>
      </c>
      <c r="AV83" s="634">
        <f t="shared" si="72"/>
        <v>0.2296014297675073</v>
      </c>
      <c r="AW83" s="634">
        <f t="shared" si="75"/>
        <v>0.22474566709240518</v>
      </c>
      <c r="AX83" s="634">
        <f t="shared" si="76"/>
        <v>0.18317617212906498</v>
      </c>
      <c r="AY83" s="634">
        <f t="shared" si="77"/>
        <v>0.1464943109662335</v>
      </c>
      <c r="AZ83" s="634">
        <f t="shared" si="78"/>
        <v>0.12394279223236601</v>
      </c>
      <c r="BA83" s="634">
        <f t="shared" si="79"/>
        <v>0.1251800754137336</v>
      </c>
      <c r="BB83" s="634">
        <f t="shared" si="80"/>
        <v>0.15590457127234075</v>
      </c>
      <c r="BC83" s="634">
        <f t="shared" si="81"/>
        <v>0.20827016453240402</v>
      </c>
      <c r="BD83" s="634">
        <f t="shared" si="82"/>
        <v>0.22474566709240515</v>
      </c>
      <c r="BE83" s="634">
        <f t="shared" si="83"/>
        <v>0.22474566709240518</v>
      </c>
      <c r="BF83" s="634">
        <f t="shared" si="84"/>
        <v>0.22474566709240515</v>
      </c>
    </row>
    <row r="84" spans="11:58">
      <c r="K84" s="634">
        <f t="shared" ref="K84:K131" si="91">K33</f>
        <v>0.5</v>
      </c>
      <c r="L84" s="634">
        <f>(L33-Y21)^2</f>
        <v>0</v>
      </c>
      <c r="M84" s="634">
        <f>(M33-AE21)^2</f>
        <v>0</v>
      </c>
      <c r="N84" s="634">
        <f>(N33-AH21)^2</f>
        <v>2.2499999999999999E-4</v>
      </c>
      <c r="O84" s="634">
        <f>(O33-AB21)^2</f>
        <v>0</v>
      </c>
      <c r="T84" s="638">
        <v>80</v>
      </c>
      <c r="U84" s="638">
        <f t="shared" si="88"/>
        <v>4.3035382962445714E-3</v>
      </c>
      <c r="V84" s="634"/>
      <c r="AS84" s="634">
        <v>22</v>
      </c>
      <c r="AT84" s="678">
        <f t="shared" si="74"/>
        <v>1.5989912839990402E-2</v>
      </c>
      <c r="AU84" s="634">
        <f t="shared" si="71"/>
        <v>0.19211758091173714</v>
      </c>
      <c r="AV84" s="634">
        <f t="shared" si="72"/>
        <v>0.19211758091173714</v>
      </c>
      <c r="AW84" s="634">
        <f t="shared" si="75"/>
        <v>0.18123845791359175</v>
      </c>
      <c r="AX84" s="634">
        <f t="shared" si="76"/>
        <v>0.19211758091173714</v>
      </c>
      <c r="AY84" s="634">
        <f t="shared" si="77"/>
        <v>0.18528756288376841</v>
      </c>
      <c r="AZ84" s="634">
        <f t="shared" si="78"/>
        <v>0.17349213034799357</v>
      </c>
      <c r="BA84" s="634">
        <f t="shared" si="79"/>
        <v>0.17407269521363217</v>
      </c>
      <c r="BB84" s="634">
        <f t="shared" si="80"/>
        <v>0.1889958349942073</v>
      </c>
      <c r="BC84" s="634">
        <f t="shared" si="81"/>
        <v>0.19211758091173717</v>
      </c>
      <c r="BD84" s="634">
        <f t="shared" si="82"/>
        <v>0.19211758091173714</v>
      </c>
      <c r="BE84" s="634">
        <f t="shared" si="83"/>
        <v>0.19211758091173717</v>
      </c>
      <c r="BF84" s="634">
        <f t="shared" si="84"/>
        <v>0.19211758091173714</v>
      </c>
    </row>
    <row r="85" spans="11:58">
      <c r="K85" s="634">
        <f t="shared" si="91"/>
        <v>1</v>
      </c>
      <c r="L85" s="634">
        <f t="shared" ref="L85:L131" si="92">(L34-Y22)^2</f>
        <v>0</v>
      </c>
      <c r="M85" s="634">
        <f t="shared" ref="M85:M131" si="93">(M34-AE22)^2</f>
        <v>2.4999999999999974E-5</v>
      </c>
      <c r="N85" s="634">
        <f t="shared" ref="N85:N131" si="94">(N34-AH22)^2</f>
        <v>2.2499999999999999E-4</v>
      </c>
      <c r="O85" s="634">
        <f t="shared" ref="O85:O131" si="95">(O34-AB22)^2</f>
        <v>0</v>
      </c>
      <c r="T85" s="638">
        <v>81</v>
      </c>
      <c r="U85" s="638">
        <f t="shared" si="88"/>
        <v>-1.2910296075008536E-2</v>
      </c>
      <c r="V85" s="634"/>
      <c r="AS85" s="634">
        <v>23</v>
      </c>
      <c r="AT85" s="678">
        <f t="shared" si="74"/>
        <v>1.5974921507439413E-2</v>
      </c>
      <c r="AU85" s="634">
        <f t="shared" si="71"/>
        <v>0.14496497339009676</v>
      </c>
      <c r="AV85" s="634">
        <f t="shared" si="72"/>
        <v>0.14496497339009673</v>
      </c>
      <c r="AW85" s="634">
        <f t="shared" si="75"/>
        <v>0.14496497339009673</v>
      </c>
      <c r="AX85" s="634">
        <f t="shared" si="76"/>
        <v>0.14496497339009673</v>
      </c>
      <c r="AY85" s="634">
        <f t="shared" si="77"/>
        <v>0.14496497339009673</v>
      </c>
      <c r="AZ85" s="634">
        <f t="shared" si="78"/>
        <v>0.14496497339009673</v>
      </c>
      <c r="BA85" s="634">
        <f t="shared" si="79"/>
        <v>0.14496497339009673</v>
      </c>
      <c r="BB85" s="634">
        <f t="shared" si="80"/>
        <v>0.14496497339009673</v>
      </c>
      <c r="BC85" s="634">
        <f t="shared" si="81"/>
        <v>0.14496497339009673</v>
      </c>
      <c r="BD85" s="634">
        <f t="shared" si="82"/>
        <v>0.14496497339009673</v>
      </c>
      <c r="BE85" s="634">
        <f t="shared" si="83"/>
        <v>0.14496497339009673</v>
      </c>
      <c r="BF85" s="634">
        <f t="shared" si="84"/>
        <v>0.14496497339009673</v>
      </c>
    </row>
    <row r="86" spans="11:58">
      <c r="K86" s="634">
        <f t="shared" si="91"/>
        <v>1.5</v>
      </c>
      <c r="L86" s="634">
        <f t="shared" si="92"/>
        <v>2.5000000000000045E-5</v>
      </c>
      <c r="M86" s="634">
        <f t="shared" si="93"/>
        <v>0</v>
      </c>
      <c r="N86" s="634">
        <f t="shared" si="94"/>
        <v>2.4999999999999974E-5</v>
      </c>
      <c r="O86" s="634">
        <f t="shared" si="95"/>
        <v>0</v>
      </c>
      <c r="T86" s="638">
        <v>82</v>
      </c>
      <c r="U86" s="638">
        <f t="shared" si="88"/>
        <v>-3.0120304846907611E-2</v>
      </c>
      <c r="V86" s="634"/>
      <c r="AS86" s="634">
        <v>24</v>
      </c>
      <c r="AT86" s="678">
        <f t="shared" si="74"/>
        <v>1.5973733075050862E-2</v>
      </c>
      <c r="AU86" s="634">
        <f t="shared" si="71"/>
        <v>0.10069627886343219</v>
      </c>
      <c r="AV86" s="634">
        <f t="shared" si="72"/>
        <v>0.10069627886343219</v>
      </c>
      <c r="AW86" s="634">
        <f t="shared" si="75"/>
        <v>0.10069627886343219</v>
      </c>
      <c r="AX86" s="634">
        <f t="shared" si="76"/>
        <v>0.10069627886343219</v>
      </c>
      <c r="AY86" s="634">
        <f t="shared" si="77"/>
        <v>0.10069627886343219</v>
      </c>
      <c r="AZ86" s="634">
        <f t="shared" si="78"/>
        <v>0.1006962788634322</v>
      </c>
      <c r="BA86" s="634">
        <f t="shared" si="79"/>
        <v>0.10069627886343219</v>
      </c>
      <c r="BB86" s="634">
        <f t="shared" si="80"/>
        <v>0.10069627886343219</v>
      </c>
      <c r="BC86" s="634">
        <f t="shared" si="81"/>
        <v>0.10069627886343219</v>
      </c>
      <c r="BD86" s="634">
        <f t="shared" si="82"/>
        <v>0.10069627886343219</v>
      </c>
      <c r="BE86" s="634">
        <f t="shared" si="83"/>
        <v>0.10069627886343219</v>
      </c>
      <c r="BF86" s="634">
        <f t="shared" si="84"/>
        <v>0.10069627886343219</v>
      </c>
    </row>
    <row r="87" spans="11:58">
      <c r="K87" s="634">
        <f t="shared" si="91"/>
        <v>2</v>
      </c>
      <c r="L87" s="634">
        <f t="shared" si="92"/>
        <v>0</v>
      </c>
      <c r="M87" s="634">
        <f t="shared" si="93"/>
        <v>2.4999999999999974E-5</v>
      </c>
      <c r="N87" s="634">
        <f t="shared" si="94"/>
        <v>1.0000000000000005E-4</v>
      </c>
      <c r="O87" s="634">
        <f t="shared" si="95"/>
        <v>0</v>
      </c>
      <c r="T87" s="638">
        <v>83</v>
      </c>
      <c r="U87" s="638">
        <f t="shared" si="88"/>
        <v>-4.7321388322432018E-2</v>
      </c>
      <c r="V87" s="634"/>
    </row>
    <row r="88" spans="11:58">
      <c r="K88" s="634">
        <f t="shared" si="91"/>
        <v>2.5</v>
      </c>
      <c r="L88" s="634">
        <f t="shared" si="92"/>
        <v>0</v>
      </c>
      <c r="M88" s="634">
        <f t="shared" si="93"/>
        <v>2.5000000000000011E-5</v>
      </c>
      <c r="N88" s="634">
        <f t="shared" si="94"/>
        <v>9.9999999999999964E-5</v>
      </c>
      <c r="O88" s="634">
        <f t="shared" si="95"/>
        <v>0</v>
      </c>
      <c r="T88" s="638">
        <v>84</v>
      </c>
      <c r="U88" s="638">
        <f t="shared" si="88"/>
        <v>-6.4508449449316385E-2</v>
      </c>
      <c r="V88" s="634"/>
    </row>
    <row r="89" spans="11:58">
      <c r="K89" s="634">
        <f t="shared" si="91"/>
        <v>3</v>
      </c>
      <c r="L89" s="634">
        <f t="shared" si="92"/>
        <v>0</v>
      </c>
      <c r="M89" s="634">
        <f t="shared" si="93"/>
        <v>2.5000000000000011E-5</v>
      </c>
      <c r="N89" s="634">
        <f t="shared" si="94"/>
        <v>2.5000000000000011E-5</v>
      </c>
      <c r="O89" s="634">
        <f t="shared" si="95"/>
        <v>0</v>
      </c>
      <c r="T89" s="638">
        <v>85</v>
      </c>
      <c r="U89" s="638">
        <f t="shared" si="88"/>
        <v>-8.1676395330422577E-2</v>
      </c>
      <c r="V89" s="634"/>
    </row>
    <row r="90" spans="11:58">
      <c r="K90" s="634">
        <f t="shared" si="91"/>
        <v>3.5</v>
      </c>
      <c r="L90" s="634">
        <f t="shared" si="92"/>
        <v>0</v>
      </c>
      <c r="M90" s="634">
        <f t="shared" si="93"/>
        <v>2.5000000000000011E-5</v>
      </c>
      <c r="N90" s="634">
        <f t="shared" si="94"/>
        <v>2.5000000000000011E-5</v>
      </c>
      <c r="O90" s="634">
        <f t="shared" si="95"/>
        <v>0</v>
      </c>
      <c r="T90" s="638">
        <v>86</v>
      </c>
      <c r="U90" s="638">
        <f t="shared" si="88"/>
        <v>-9.8820138732871377E-2</v>
      </c>
      <c r="V90" s="634"/>
    </row>
    <row r="91" spans="11:58">
      <c r="K91" s="634">
        <f t="shared" si="91"/>
        <v>4</v>
      </c>
      <c r="L91" s="634">
        <f t="shared" si="92"/>
        <v>0</v>
      </c>
      <c r="M91" s="634">
        <f t="shared" si="93"/>
        <v>2.5000000000000011E-5</v>
      </c>
      <c r="N91" s="634">
        <f t="shared" si="94"/>
        <v>2.5000000000000011E-5</v>
      </c>
      <c r="O91" s="634">
        <f t="shared" si="95"/>
        <v>0</v>
      </c>
      <c r="T91" s="638">
        <v>87</v>
      </c>
      <c r="U91" s="638">
        <f t="shared" si="88"/>
        <v>-0.11593459959550036</v>
      </c>
      <c r="V91" s="634"/>
    </row>
    <row r="92" spans="11:58">
      <c r="K92" s="634">
        <f t="shared" si="91"/>
        <v>4.5</v>
      </c>
      <c r="L92" s="634">
        <f t="shared" si="92"/>
        <v>0</v>
      </c>
      <c r="M92" s="634">
        <f t="shared" si="93"/>
        <v>2.5000000000000011E-5</v>
      </c>
      <c r="N92" s="634">
        <f t="shared" si="94"/>
        <v>2.5000000000000011E-5</v>
      </c>
      <c r="O92" s="634">
        <f t="shared" si="95"/>
        <v>0</v>
      </c>
      <c r="T92" s="638">
        <v>88</v>
      </c>
      <c r="U92" s="638">
        <f t="shared" si="88"/>
        <v>-0.13301470653419561</v>
      </c>
      <c r="V92" s="634"/>
    </row>
    <row r="93" spans="11:58">
      <c r="K93" s="634">
        <f t="shared" si="91"/>
        <v>5</v>
      </c>
      <c r="L93" s="634">
        <f t="shared" si="92"/>
        <v>0</v>
      </c>
      <c r="M93" s="634">
        <f t="shared" si="93"/>
        <v>2.5000000000000011E-5</v>
      </c>
      <c r="N93" s="634">
        <f t="shared" si="94"/>
        <v>2.5000000000000011E-5</v>
      </c>
      <c r="O93" s="634">
        <f t="shared" si="95"/>
        <v>0</v>
      </c>
      <c r="T93" s="638">
        <v>89</v>
      </c>
      <c r="U93" s="638">
        <f t="shared" si="88"/>
        <v>-0.15005539834465231</v>
      </c>
      <c r="V93" s="634"/>
    </row>
    <row r="94" spans="11:58">
      <c r="K94" s="634">
        <f t="shared" si="91"/>
        <v>5.5</v>
      </c>
      <c r="L94" s="634">
        <f t="shared" si="92"/>
        <v>0</v>
      </c>
      <c r="M94" s="634">
        <f t="shared" si="93"/>
        <v>9.9999999999999964E-5</v>
      </c>
      <c r="N94" s="634">
        <f t="shared" si="94"/>
        <v>2.5000000000000011E-5</v>
      </c>
      <c r="O94" s="634">
        <f t="shared" si="95"/>
        <v>0</v>
      </c>
      <c r="T94" s="638">
        <v>90</v>
      </c>
      <c r="U94" s="638">
        <f t="shared" si="88"/>
        <v>-0.16705162550211874</v>
      </c>
      <c r="V94" s="634"/>
    </row>
    <row r="95" spans="11:58">
      <c r="K95" s="634">
        <f t="shared" si="91"/>
        <v>6</v>
      </c>
      <c r="L95" s="634">
        <f t="shared" si="92"/>
        <v>9.7484494370008845E-6</v>
      </c>
      <c r="M95" s="634">
        <f t="shared" si="93"/>
        <v>1.5434052175108829E-4</v>
      </c>
      <c r="N95" s="634">
        <f t="shared" si="94"/>
        <v>4.1718515447230298E-5</v>
      </c>
      <c r="O95" s="634">
        <f t="shared" si="95"/>
        <v>1.1190617552856725E-6</v>
      </c>
      <c r="T95" s="638">
        <v>91</v>
      </c>
      <c r="U95" s="638">
        <f t="shared" si="88"/>
        <v>-0.18399835165767955</v>
      </c>
      <c r="V95" s="634"/>
    </row>
    <row r="96" spans="11:58">
      <c r="K96" s="634">
        <f t="shared" si="91"/>
        <v>6.5</v>
      </c>
      <c r="L96" s="634">
        <f t="shared" si="92"/>
        <v>5.8234481534244281E-5</v>
      </c>
      <c r="M96" s="634">
        <f t="shared" si="93"/>
        <v>9.7784389619207744E-5</v>
      </c>
      <c r="N96" s="634">
        <f t="shared" si="94"/>
        <v>1.2329904331338478E-4</v>
      </c>
      <c r="O96" s="634">
        <f t="shared" si="95"/>
        <v>1.7233680121182669E-5</v>
      </c>
      <c r="T96" s="638">
        <v>92</v>
      </c>
      <c r="U96" s="638">
        <f t="shared" si="88"/>
        <v>-0.20089055513063456</v>
      </c>
      <c r="V96" s="634"/>
    </row>
    <row r="97" spans="11:22">
      <c r="K97" s="634">
        <f t="shared" si="91"/>
        <v>7</v>
      </c>
      <c r="L97" s="634">
        <f t="shared" si="92"/>
        <v>1.0885589782193399E-4</v>
      </c>
      <c r="M97" s="634">
        <f t="shared" si="93"/>
        <v>6.6439884027310087E-5</v>
      </c>
      <c r="N97" s="634">
        <f t="shared" si="94"/>
        <v>3.2767513254207398E-4</v>
      </c>
      <c r="O97" s="634">
        <f t="shared" si="95"/>
        <v>3.6278030652196507E-5</v>
      </c>
      <c r="T97" s="638">
        <v>93</v>
      </c>
      <c r="U97" s="638">
        <f t="shared" si="88"/>
        <v>-0.21772323039653194</v>
      </c>
      <c r="V97" s="634"/>
    </row>
    <row r="98" spans="11:22">
      <c r="K98" s="634">
        <f t="shared" si="91"/>
        <v>7.5</v>
      </c>
      <c r="L98" s="634">
        <f t="shared" si="92"/>
        <v>9.6927816313349791E-5</v>
      </c>
      <c r="M98" s="634">
        <f t="shared" si="93"/>
        <v>1.0489802139001047E-5</v>
      </c>
      <c r="N98" s="634">
        <f t="shared" si="94"/>
        <v>1.9102092380424674E-3</v>
      </c>
      <c r="O98" s="634">
        <f t="shared" si="95"/>
        <v>9.6137394586061258E-5</v>
      </c>
      <c r="T98" s="638">
        <v>94</v>
      </c>
      <c r="U98" s="638">
        <f t="shared" si="88"/>
        <v>-0.2344913895704098</v>
      </c>
      <c r="V98" s="634"/>
    </row>
    <row r="99" spans="11:22">
      <c r="K99" s="634">
        <f t="shared" si="91"/>
        <v>8</v>
      </c>
      <c r="L99" s="634">
        <f t="shared" si="92"/>
        <v>7.493233210943901E-6</v>
      </c>
      <c r="M99" s="634">
        <f t="shared" si="93"/>
        <v>5.5901331720482233E-4</v>
      </c>
      <c r="N99" s="634">
        <f t="shared" si="94"/>
        <v>3.5291821189741496E-3</v>
      </c>
      <c r="O99" s="634">
        <f t="shared" si="95"/>
        <v>1.9815398449616968E-4</v>
      </c>
      <c r="T99" s="638">
        <v>95</v>
      </c>
      <c r="U99" s="638">
        <f t="shared" si="88"/>
        <v>-0.25119006388481929</v>
      </c>
      <c r="V99" s="634"/>
    </row>
    <row r="100" spans="11:22">
      <c r="K100" s="634">
        <f t="shared" si="91"/>
        <v>8.5</v>
      </c>
      <c r="L100" s="634">
        <f t="shared" si="92"/>
        <v>1.0530459496407706E-4</v>
      </c>
      <c r="M100" s="634">
        <f t="shared" si="93"/>
        <v>1.3358519169768802E-3</v>
      </c>
      <c r="N100" s="634">
        <f t="shared" si="94"/>
        <v>1.0720783759179664E-3</v>
      </c>
      <c r="O100" s="634">
        <f t="shared" si="95"/>
        <v>1.1050025083092991E-4</v>
      </c>
      <c r="T100" s="638">
        <v>96</v>
      </c>
      <c r="U100" s="638">
        <f t="shared" si="88"/>
        <v>-0.26781430516217414</v>
      </c>
      <c r="V100" s="634"/>
    </row>
    <row r="101" spans="11:22">
      <c r="K101" s="634">
        <f t="shared" si="91"/>
        <v>9</v>
      </c>
      <c r="L101" s="634">
        <f t="shared" si="92"/>
        <v>2.1531431038954879E-4</v>
      </c>
      <c r="M101" s="634">
        <f t="shared" si="93"/>
        <v>6.329976820384362E-4</v>
      </c>
      <c r="N101" s="634">
        <f t="shared" si="94"/>
        <v>4.901117023170526E-4</v>
      </c>
      <c r="O101" s="634">
        <f t="shared" si="95"/>
        <v>4.5293798564120458E-5</v>
      </c>
      <c r="T101" s="638">
        <v>97</v>
      </c>
      <c r="U101" s="638">
        <f t="shared" si="88"/>
        <v>-0.28435918728100334</v>
      </c>
      <c r="V101" s="634"/>
    </row>
    <row r="102" spans="11:22">
      <c r="K102" s="634">
        <f t="shared" si="91"/>
        <v>9.5</v>
      </c>
      <c r="L102" s="634">
        <f t="shared" si="92"/>
        <v>5.5888231826278813E-5</v>
      </c>
      <c r="M102" s="634">
        <f t="shared" si="93"/>
        <v>1.8014773915453252E-4</v>
      </c>
      <c r="N102" s="634">
        <f t="shared" si="94"/>
        <v>4.056468965689815E-4</v>
      </c>
      <c r="O102" s="634">
        <f t="shared" si="95"/>
        <v>2.3602970873249351E-5</v>
      </c>
      <c r="T102" s="638">
        <v>98</v>
      </c>
      <c r="U102" s="638">
        <f t="shared" si="88"/>
        <v>-0.30081980763566729</v>
      </c>
      <c r="V102" s="634"/>
    </row>
    <row r="103" spans="11:22">
      <c r="K103" s="634">
        <f t="shared" si="91"/>
        <v>10</v>
      </c>
      <c r="L103" s="634">
        <f t="shared" si="92"/>
        <v>3.9392109799518198E-6</v>
      </c>
      <c r="M103" s="634">
        <f t="shared" si="93"/>
        <v>3.4658247100738897E-5</v>
      </c>
      <c r="N103" s="634">
        <f t="shared" si="94"/>
        <v>4.2007185780236619E-4</v>
      </c>
      <c r="O103" s="634">
        <f t="shared" si="95"/>
        <v>3.1145163992790837E-6</v>
      </c>
      <c r="T103" s="638">
        <v>99</v>
      </c>
      <c r="U103" s="638">
        <f t="shared" si="88"/>
        <v>-0.31719128858910561</v>
      </c>
      <c r="V103" s="634"/>
    </row>
    <row r="104" spans="11:22">
      <c r="K104" s="634">
        <f t="shared" si="91"/>
        <v>10.5</v>
      </c>
      <c r="L104" s="634">
        <f t="shared" si="92"/>
        <v>1.8555404571254778E-7</v>
      </c>
      <c r="M104" s="634">
        <f t="shared" si="93"/>
        <v>1.4098339627818075E-5</v>
      </c>
      <c r="N104" s="634">
        <f t="shared" si="94"/>
        <v>3.3952190723064008E-4</v>
      </c>
      <c r="O104" s="634">
        <f t="shared" si="95"/>
        <v>7.9092483046777732E-7</v>
      </c>
      <c r="T104" s="638">
        <v>100</v>
      </c>
      <c r="U104" s="638">
        <f t="shared" si="88"/>
        <v>-0.33346877891818638</v>
      </c>
      <c r="V104" s="634"/>
    </row>
    <row r="105" spans="11:22">
      <c r="K105" s="634">
        <f t="shared" si="91"/>
        <v>11</v>
      </c>
      <c r="L105" s="634">
        <f t="shared" si="92"/>
        <v>2.0957681628906494E-8</v>
      </c>
      <c r="M105" s="634">
        <f t="shared" si="93"/>
        <v>1.1305345441442916E-5</v>
      </c>
      <c r="N105" s="634">
        <f t="shared" si="94"/>
        <v>8.0379063093995778E-5</v>
      </c>
      <c r="O105" s="634">
        <f t="shared" si="95"/>
        <v>5.3030689654511499E-7</v>
      </c>
      <c r="T105" s="638">
        <v>101</v>
      </c>
      <c r="U105" s="638">
        <f t="shared" si="88"/>
        <v>-0.34964745525122798</v>
      </c>
      <c r="V105" s="634"/>
    </row>
    <row r="106" spans="11:22">
      <c r="K106" s="634">
        <f t="shared" si="91"/>
        <v>11.5</v>
      </c>
      <c r="L106" s="634">
        <f t="shared" si="92"/>
        <v>1.2094947603310268E-8</v>
      </c>
      <c r="M106" s="634">
        <f t="shared" si="93"/>
        <v>1.0986594041843263E-5</v>
      </c>
      <c r="N106" s="634">
        <f t="shared" si="94"/>
        <v>1.6249319586440133E-5</v>
      </c>
      <c r="O106" s="634">
        <f t="shared" si="95"/>
        <v>5.0214502786831411E-7</v>
      </c>
      <c r="T106" s="638">
        <v>102</v>
      </c>
      <c r="U106" s="638">
        <f t="shared" si="88"/>
        <v>-0.36572252349726891</v>
      </c>
      <c r="V106" s="634"/>
    </row>
    <row r="107" spans="11:22">
      <c r="K107" s="634">
        <f t="shared" si="91"/>
        <v>12</v>
      </c>
      <c r="L107" s="634">
        <f t="shared" si="92"/>
        <v>1.1482093474398679E-8</v>
      </c>
      <c r="M107" s="634">
        <f t="shared" si="93"/>
        <v>1.096093422042172E-5</v>
      </c>
      <c r="N107" s="634">
        <f t="shared" si="94"/>
        <v>1.6292259212771398E-5</v>
      </c>
      <c r="O107" s="634">
        <f t="shared" si="95"/>
        <v>4.998940013116659E-7</v>
      </c>
      <c r="T107" s="638">
        <v>103</v>
      </c>
      <c r="U107" s="638">
        <f t="shared" si="88"/>
        <v>-0.38168922026665913</v>
      </c>
      <c r="V107" s="634"/>
    </row>
    <row r="108" spans="11:22">
      <c r="K108" s="634">
        <f t="shared" si="91"/>
        <v>12.5</v>
      </c>
      <c r="L108" s="634">
        <f t="shared" si="92"/>
        <v>1.1447986397352403E-8</v>
      </c>
      <c r="M108" s="634">
        <f t="shared" si="93"/>
        <v>1.0959487188780744E-5</v>
      </c>
      <c r="N108" s="634">
        <f t="shared" si="94"/>
        <v>1.6294683887798067E-5</v>
      </c>
      <c r="O108" s="634">
        <f t="shared" si="95"/>
        <v>4.9976713168571187E-7</v>
      </c>
      <c r="T108" s="638">
        <v>104</v>
      </c>
      <c r="U108" s="638">
        <f t="shared" si="88"/>
        <v>-0.39754281428255589</v>
      </c>
      <c r="V108" s="634"/>
    </row>
    <row r="109" spans="11:22">
      <c r="K109" s="634">
        <f t="shared" si="91"/>
        <v>13</v>
      </c>
      <c r="L109" s="634">
        <f t="shared" si="92"/>
        <v>1.5779519144527457E-8</v>
      </c>
      <c r="M109" s="634">
        <f t="shared" si="93"/>
        <v>1.097597999359657E-5</v>
      </c>
      <c r="N109" s="634">
        <f t="shared" si="94"/>
        <v>1.456874965606391E-5</v>
      </c>
      <c r="O109" s="634">
        <f t="shared" si="95"/>
        <v>5.0087520435885947E-7</v>
      </c>
      <c r="T109" s="638">
        <v>105</v>
      </c>
      <c r="U109" s="638">
        <f t="shared" si="88"/>
        <v>-0.41327860778290415</v>
      </c>
      <c r="V109" s="634"/>
    </row>
    <row r="110" spans="11:22">
      <c r="K110" s="634">
        <f t="shared" si="91"/>
        <v>13.5</v>
      </c>
      <c r="L110" s="634">
        <f t="shared" si="92"/>
        <v>2.8794686343642216E-8</v>
      </c>
      <c r="M110" s="634">
        <f t="shared" si="93"/>
        <v>1.1019133058517213E-5</v>
      </c>
      <c r="N110" s="634">
        <f t="shared" si="94"/>
        <v>1.1279819623168423E-5</v>
      </c>
      <c r="O110" s="634">
        <f t="shared" si="95"/>
        <v>5.0355864699717213E-7</v>
      </c>
      <c r="T110" s="638">
        <v>106</v>
      </c>
      <c r="U110" s="638">
        <f t="shared" si="88"/>
        <v>-0.42889193791248342</v>
      </c>
      <c r="V110" s="634"/>
    </row>
    <row r="111" spans="11:22">
      <c r="K111" s="634">
        <f t="shared" si="91"/>
        <v>14</v>
      </c>
      <c r="L111" s="634">
        <f t="shared" si="92"/>
        <v>9.060586523549853E-8</v>
      </c>
      <c r="M111" s="634">
        <f t="shared" si="93"/>
        <v>1.1159587585508301E-5</v>
      </c>
      <c r="N111" s="634">
        <f t="shared" si="94"/>
        <v>4.5880360893411763E-6</v>
      </c>
      <c r="O111" s="634">
        <f t="shared" si="95"/>
        <v>5.1196864869562191E-7</v>
      </c>
      <c r="T111" s="638">
        <v>107</v>
      </c>
      <c r="U111" s="638">
        <f t="shared" si="88"/>
        <v>-0.44437817810461316</v>
      </c>
      <c r="V111" s="634"/>
    </row>
    <row r="112" spans="11:22">
      <c r="K112" s="634">
        <f t="shared" si="91"/>
        <v>14.5</v>
      </c>
      <c r="L112" s="634">
        <f t="shared" si="92"/>
        <v>4.340559874329158E-7</v>
      </c>
      <c r="M112" s="634">
        <f t="shared" si="93"/>
        <v>1.1584749361395643E-5</v>
      </c>
      <c r="N112" s="634">
        <f t="shared" si="94"/>
        <v>1.8004644012523346E-5</v>
      </c>
      <c r="O112" s="634">
        <f t="shared" si="95"/>
        <v>5.3688321143703732E-7</v>
      </c>
      <c r="T112" s="638">
        <v>108</v>
      </c>
      <c r="U112" s="638">
        <f t="shared" si="88"/>
        <v>-0.45973273945210391</v>
      </c>
      <c r="V112" s="634"/>
    </row>
    <row r="113" spans="11:27">
      <c r="K113" s="634">
        <f t="shared" si="91"/>
        <v>15</v>
      </c>
      <c r="L113" s="634">
        <f t="shared" si="92"/>
        <v>2.4014413694985873E-6</v>
      </c>
      <c r="M113" s="634">
        <f t="shared" si="93"/>
        <v>1.2797296783368077E-5</v>
      </c>
      <c r="N113" s="634">
        <f t="shared" si="94"/>
        <v>6.4893859345833212E-5</v>
      </c>
      <c r="O113" s="634">
        <f t="shared" si="95"/>
        <v>6.0779624119566085E-7</v>
      </c>
      <c r="T113" s="638">
        <v>109</v>
      </c>
      <c r="U113" s="638">
        <f t="shared" si="88"/>
        <v>-0.4749510720670499</v>
      </c>
      <c r="V113" s="634"/>
    </row>
    <row r="114" spans="11:27">
      <c r="K114" s="634">
        <f t="shared" si="91"/>
        <v>15.5</v>
      </c>
      <c r="L114" s="634">
        <f t="shared" si="92"/>
        <v>1.2770367013336487E-5</v>
      </c>
      <c r="M114" s="634">
        <f t="shared" si="93"/>
        <v>1.6145280065753963E-5</v>
      </c>
      <c r="N114" s="634">
        <f t="shared" si="94"/>
        <v>2.6434989209907347E-4</v>
      </c>
      <c r="O114" s="634">
        <f t="shared" si="95"/>
        <v>8.0829541574387804E-7</v>
      </c>
      <c r="T114" s="638">
        <v>110</v>
      </c>
      <c r="U114" s="638">
        <f t="shared" si="88"/>
        <v>-0.49002866642905879</v>
      </c>
      <c r="V114" s="634"/>
    </row>
    <row r="115" spans="11:27">
      <c r="K115" s="634">
        <f t="shared" si="91"/>
        <v>16</v>
      </c>
      <c r="L115" s="634">
        <f t="shared" si="92"/>
        <v>7.6352624004492548E-6</v>
      </c>
      <c r="M115" s="634">
        <f t="shared" si="93"/>
        <v>2.256003392862203E-9</v>
      </c>
      <c r="N115" s="634">
        <f t="shared" si="94"/>
        <v>2.1394798110414759E-3</v>
      </c>
      <c r="O115" s="634">
        <f t="shared" si="95"/>
        <v>1.4000443124538103E-6</v>
      </c>
      <c r="T115" s="638">
        <v>111</v>
      </c>
      <c r="U115" s="638">
        <f t="shared" si="88"/>
        <v>-0.50496105472151998</v>
      </c>
      <c r="V115" s="634"/>
    </row>
    <row r="116" spans="11:27">
      <c r="K116" s="634">
        <f t="shared" si="91"/>
        <v>16.5</v>
      </c>
      <c r="L116" s="634">
        <f t="shared" si="92"/>
        <v>4.2112365189832721E-7</v>
      </c>
      <c r="M116" s="634">
        <f t="shared" si="93"/>
        <v>7.5231388069951591E-6</v>
      </c>
      <c r="N116" s="634">
        <f t="shared" si="94"/>
        <v>5.8181264973086498E-3</v>
      </c>
      <c r="O116" s="634">
        <f t="shared" si="95"/>
        <v>1.0148025463397819E-5</v>
      </c>
      <c r="T116" s="638">
        <v>112</v>
      </c>
      <c r="U116" s="638">
        <f t="shared" si="88"/>
        <v>-0.51974381215551535</v>
      </c>
      <c r="V116" s="634"/>
    </row>
    <row r="117" spans="11:27">
      <c r="K117" s="634">
        <f t="shared" si="91"/>
        <v>17</v>
      </c>
      <c r="L117" s="634">
        <f t="shared" si="92"/>
        <v>8.0010583126712534E-7</v>
      </c>
      <c r="M117" s="634">
        <f t="shared" si="93"/>
        <v>1.1486984752753315E-5</v>
      </c>
      <c r="N117" s="634">
        <f t="shared" si="94"/>
        <v>5.92730829177228E-3</v>
      </c>
      <c r="O117" s="634">
        <f t="shared" si="95"/>
        <v>3.5271425962011547E-6</v>
      </c>
      <c r="T117" s="638">
        <v>113</v>
      </c>
      <c r="U117" s="638">
        <f t="shared" si="88"/>
        <v>-0.53437255828097896</v>
      </c>
      <c r="V117" s="634"/>
    </row>
    <row r="118" spans="11:27">
      <c r="K118" s="634">
        <f t="shared" si="91"/>
        <v>17.5</v>
      </c>
      <c r="L118" s="634">
        <f t="shared" si="92"/>
        <v>2.6649204696275939E-5</v>
      </c>
      <c r="M118" s="634">
        <f t="shared" si="93"/>
        <v>2.8272474188924126E-7</v>
      </c>
      <c r="N118" s="634">
        <f t="shared" si="94"/>
        <v>2.7874784858872032E-3</v>
      </c>
      <c r="O118" s="634">
        <f t="shared" si="95"/>
        <v>4.1716143592782938E-7</v>
      </c>
      <c r="T118" s="638">
        <v>114</v>
      </c>
      <c r="U118" s="638">
        <f t="shared" si="88"/>
        <v>-0.54884295828471918</v>
      </c>
      <c r="V118" s="634"/>
    </row>
    <row r="119" spans="11:27">
      <c r="K119" s="634">
        <f t="shared" si="91"/>
        <v>18</v>
      </c>
      <c r="L119" s="634">
        <f t="shared" si="92"/>
        <v>4.6244544875863444E-4</v>
      </c>
      <c r="M119" s="634">
        <f t="shared" si="93"/>
        <v>5.877945039982192E-6</v>
      </c>
      <c r="N119" s="634">
        <f t="shared" si="94"/>
        <v>4.737693008217369E-4</v>
      </c>
      <c r="O119" s="634">
        <f t="shared" si="95"/>
        <v>3.235034016333616E-8</v>
      </c>
      <c r="T119" s="638">
        <v>115</v>
      </c>
      <c r="U119" s="638">
        <f t="shared" si="88"/>
        <v>-0.56315072427491852</v>
      </c>
      <c r="V119" s="634"/>
    </row>
    <row r="120" spans="11:27">
      <c r="K120" s="634">
        <f t="shared" si="91"/>
        <v>18.5</v>
      </c>
      <c r="L120" s="634">
        <f t="shared" si="92"/>
        <v>2.1459566488740592E-3</v>
      </c>
      <c r="M120" s="634">
        <f t="shared" si="93"/>
        <v>1.4083112281161465E-4</v>
      </c>
      <c r="N120" s="634">
        <f t="shared" si="94"/>
        <v>4.2210170921116335E-5</v>
      </c>
      <c r="O120" s="634">
        <f t="shared" si="95"/>
        <v>6.0012911633147214E-5</v>
      </c>
      <c r="T120" s="638">
        <v>116</v>
      </c>
      <c r="U120" s="638">
        <f t="shared" si="88"/>
        <v>-0.57729161655172723</v>
      </c>
      <c r="V120" s="634"/>
    </row>
    <row r="121" spans="11:27">
      <c r="K121" s="634">
        <f t="shared" si="91"/>
        <v>19</v>
      </c>
      <c r="L121" s="634">
        <f t="shared" si="92"/>
        <v>2.3679377907614846E-3</v>
      </c>
      <c r="M121" s="634">
        <f t="shared" si="93"/>
        <v>6.8392895677894081E-5</v>
      </c>
      <c r="N121" s="634">
        <f t="shared" si="94"/>
        <v>5.9723027844653474E-4</v>
      </c>
      <c r="O121" s="634">
        <f t="shared" si="95"/>
        <v>2.0889230567616818E-4</v>
      </c>
      <c r="T121" s="638">
        <v>117</v>
      </c>
      <c r="U121" s="638">
        <f t="shared" si="88"/>
        <v>-0.59126144486357801</v>
      </c>
      <c r="V121" s="634"/>
    </row>
    <row r="122" spans="11:27">
      <c r="K122" s="634">
        <f t="shared" si="91"/>
        <v>19.5</v>
      </c>
      <c r="L122" s="634">
        <f t="shared" si="92"/>
        <v>6.1471808337802344E-4</v>
      </c>
      <c r="M122" s="634">
        <f t="shared" si="93"/>
        <v>2.9389381559357948E-5</v>
      </c>
      <c r="N122" s="634">
        <f t="shared" si="94"/>
        <v>3.9262007719287508E-4</v>
      </c>
      <c r="O122" s="634">
        <f t="shared" si="95"/>
        <v>9.726595822178647E-4</v>
      </c>
      <c r="T122" s="638">
        <v>118</v>
      </c>
      <c r="U122" s="638">
        <f t="shared" si="88"/>
        <v>-0.60505606964884873</v>
      </c>
      <c r="V122" s="634"/>
      <c r="X122" s="634" t="str">
        <f>V20</f>
        <v>Hour</v>
      </c>
      <c r="Y122" s="635" t="str">
        <f>Y20</f>
        <v>Mar- 1/2 hr</v>
      </c>
      <c r="Z122" s="635"/>
      <c r="AA122" s="635" t="s">
        <v>6385</v>
      </c>
    </row>
    <row r="123" spans="11:27">
      <c r="K123" s="634">
        <f t="shared" si="91"/>
        <v>20</v>
      </c>
      <c r="L123" s="634">
        <f t="shared" si="92"/>
        <v>1.1146003746602537E-5</v>
      </c>
      <c r="M123" s="634">
        <f t="shared" si="93"/>
        <v>9.9545432314759508E-5</v>
      </c>
      <c r="N123" s="634">
        <f t="shared" si="94"/>
        <v>4.0877870310453914E-5</v>
      </c>
      <c r="O123" s="634">
        <f t="shared" si="95"/>
        <v>2.322404304909929E-3</v>
      </c>
      <c r="T123" s="638">
        <v>119</v>
      </c>
      <c r="U123" s="638">
        <f t="shared" si="88"/>
        <v>-0.61867140326250303</v>
      </c>
      <c r="V123" s="634"/>
      <c r="X123" s="634">
        <f t="shared" ref="X123:X171" si="96">V21</f>
        <v>0.5</v>
      </c>
      <c r="Y123" s="635">
        <f t="shared" ref="Y123:Y170" si="97">Y21</f>
        <v>0.06</v>
      </c>
      <c r="Z123" s="694">
        <f>Y123</f>
        <v>0.06</v>
      </c>
    </row>
    <row r="124" spans="11:27">
      <c r="K124" s="634">
        <f t="shared" si="91"/>
        <v>20.5</v>
      </c>
      <c r="L124" s="634">
        <f t="shared" si="92"/>
        <v>9.3984598598515157E-5</v>
      </c>
      <c r="M124" s="634">
        <f t="shared" si="93"/>
        <v>1.3791120841775203E-4</v>
      </c>
      <c r="N124" s="634">
        <f t="shared" si="94"/>
        <v>2.2038944441912942E-5</v>
      </c>
      <c r="O124" s="634">
        <f t="shared" si="95"/>
        <v>4.1753751965820122E-3</v>
      </c>
      <c r="T124" s="638">
        <v>120</v>
      </c>
      <c r="U124" s="638">
        <f t="shared" si="88"/>
        <v>-0.63210341118734825</v>
      </c>
      <c r="V124" s="634"/>
      <c r="X124" s="634">
        <f t="shared" si="96"/>
        <v>1</v>
      </c>
      <c r="Y124" s="635">
        <f t="shared" si="97"/>
        <v>0.04</v>
      </c>
      <c r="Z124" s="694">
        <f t="shared" ref="Z124:Z142" si="98">Y124</f>
        <v>0.04</v>
      </c>
    </row>
    <row r="125" spans="11:27">
      <c r="K125" s="634">
        <f t="shared" si="91"/>
        <v>21</v>
      </c>
      <c r="L125" s="634">
        <f t="shared" si="92"/>
        <v>2.3008990624694143E-5</v>
      </c>
      <c r="M125" s="634">
        <f t="shared" si="93"/>
        <v>6.1487974139069919E-4</v>
      </c>
      <c r="N125" s="634">
        <f t="shared" si="94"/>
        <v>4.1302933192751186E-8</v>
      </c>
      <c r="O125" s="634">
        <f t="shared" si="95"/>
        <v>6.1259488964934489E-3</v>
      </c>
      <c r="T125" s="638">
        <v>121</v>
      </c>
      <c r="U125" s="638">
        <f t="shared" si="88"/>
        <v>-0.6453481132295501</v>
      </c>
      <c r="V125" s="634"/>
      <c r="X125" s="634">
        <f t="shared" si="96"/>
        <v>1.5</v>
      </c>
      <c r="Y125" s="635">
        <f t="shared" si="97"/>
        <v>3.5000000000000003E-2</v>
      </c>
      <c r="Z125" s="694">
        <f t="shared" si="98"/>
        <v>3.5000000000000003E-2</v>
      </c>
    </row>
    <row r="126" spans="11:27">
      <c r="K126" s="634">
        <f t="shared" si="91"/>
        <v>21.5</v>
      </c>
      <c r="L126" s="634">
        <f t="shared" si="92"/>
        <v>1.3107780345716299E-6</v>
      </c>
      <c r="M126" s="634">
        <f t="shared" si="93"/>
        <v>3.2293009955540485E-4</v>
      </c>
      <c r="N126" s="634">
        <f t="shared" si="94"/>
        <v>4.9417301155453139E-5</v>
      </c>
      <c r="O126" s="634">
        <f t="shared" si="95"/>
        <v>6.5156142458684656E-3</v>
      </c>
      <c r="T126" s="638">
        <v>122</v>
      </c>
      <c r="U126" s="638">
        <f t="shared" si="88"/>
        <v>-0.65840158469804866</v>
      </c>
      <c r="V126" s="634"/>
      <c r="X126" s="634">
        <f t="shared" si="96"/>
        <v>2</v>
      </c>
      <c r="Y126" s="635">
        <f t="shared" si="97"/>
        <v>2.5000000000000001E-2</v>
      </c>
      <c r="Z126" s="694">
        <f t="shared" si="98"/>
        <v>2.5000000000000001E-2</v>
      </c>
    </row>
    <row r="127" spans="11:27">
      <c r="K127" s="634">
        <f t="shared" si="91"/>
        <v>22</v>
      </c>
      <c r="L127" s="634">
        <f t="shared" si="92"/>
        <v>6.9580901440548292E-4</v>
      </c>
      <c r="M127" s="634">
        <f t="shared" si="93"/>
        <v>3.9249045377968564E-5</v>
      </c>
      <c r="N127" s="634">
        <f t="shared" si="94"/>
        <v>3.5100375260420494E-4</v>
      </c>
      <c r="O127" s="634">
        <f t="shared" si="95"/>
        <v>3.1657396309254962E-3</v>
      </c>
      <c r="T127" s="638">
        <v>123</v>
      </c>
      <c r="U127" s="638">
        <f t="shared" si="88"/>
        <v>-0.67125995756753165</v>
      </c>
      <c r="X127" s="634">
        <f t="shared" si="96"/>
        <v>2.5</v>
      </c>
      <c r="Y127" s="635">
        <f t="shared" si="97"/>
        <v>0.02</v>
      </c>
      <c r="Z127" s="694">
        <f t="shared" si="98"/>
        <v>0.02</v>
      </c>
    </row>
    <row r="128" spans="11:27">
      <c r="K128" s="634">
        <f>K77</f>
        <v>22.5</v>
      </c>
      <c r="L128" s="634">
        <f t="shared" si="92"/>
        <v>1.6639053913811931E-4</v>
      </c>
      <c r="M128" s="634">
        <f t="shared" si="93"/>
        <v>4.4131687089076025E-6</v>
      </c>
      <c r="N128" s="634">
        <f t="shared" si="94"/>
        <v>5.2437545275759291E-4</v>
      </c>
      <c r="O128" s="634">
        <f t="shared" si="95"/>
        <v>1.4642825508943359E-4</v>
      </c>
      <c r="T128" s="638">
        <v>124</v>
      </c>
      <c r="U128" s="638">
        <f t="shared" si="88"/>
        <v>-0.6839194216246105</v>
      </c>
      <c r="X128" s="634">
        <f t="shared" si="96"/>
        <v>3</v>
      </c>
      <c r="Y128" s="635">
        <f t="shared" si="97"/>
        <v>0.02</v>
      </c>
      <c r="Z128" s="694">
        <f t="shared" si="98"/>
        <v>0.02</v>
      </c>
    </row>
    <row r="129" spans="11:29">
      <c r="K129" s="634">
        <f t="shared" si="91"/>
        <v>23</v>
      </c>
      <c r="L129" s="634">
        <f t="shared" si="92"/>
        <v>5.1420480758981899E-5</v>
      </c>
      <c r="M129" s="634">
        <f t="shared" si="93"/>
        <v>6.129625459399689E-5</v>
      </c>
      <c r="N129" s="634">
        <f t="shared" si="94"/>
        <v>4.9154470692396653E-4</v>
      </c>
      <c r="O129" s="634">
        <f t="shared" si="95"/>
        <v>8.004329982325139E-6</v>
      </c>
      <c r="T129" s="638">
        <v>125</v>
      </c>
      <c r="U129" s="638">
        <f t="shared" si="88"/>
        <v>-0.69637622559687218</v>
      </c>
      <c r="X129" s="634">
        <f t="shared" si="96"/>
        <v>3.5</v>
      </c>
      <c r="Y129" s="635">
        <f t="shared" si="97"/>
        <v>0.02</v>
      </c>
      <c r="Z129" s="694">
        <f t="shared" si="98"/>
        <v>0.02</v>
      </c>
    </row>
    <row r="130" spans="11:29">
      <c r="K130" s="634">
        <f t="shared" si="91"/>
        <v>23.5</v>
      </c>
      <c r="L130" s="634">
        <f t="shared" si="92"/>
        <v>2.887410657283287E-5</v>
      </c>
      <c r="M130" s="634">
        <f t="shared" si="93"/>
        <v>2.3634337022125057E-4</v>
      </c>
      <c r="N130" s="634">
        <f t="shared" si="94"/>
        <v>2.1393557927599726E-4</v>
      </c>
      <c r="O130" s="634">
        <f t="shared" si="95"/>
        <v>2.887410657283287E-5</v>
      </c>
      <c r="T130" s="638">
        <v>126</v>
      </c>
      <c r="U130" s="638">
        <f t="shared" si="88"/>
        <v>-0.70862667826445958</v>
      </c>
      <c r="X130" s="634">
        <f t="shared" si="96"/>
        <v>4</v>
      </c>
      <c r="Y130" s="635">
        <f t="shared" si="97"/>
        <v>0.02</v>
      </c>
      <c r="Z130" s="694">
        <f t="shared" si="98"/>
        <v>0.02</v>
      </c>
    </row>
    <row r="131" spans="11:29">
      <c r="K131" s="634">
        <f t="shared" si="91"/>
        <v>24</v>
      </c>
      <c r="L131" s="634">
        <f t="shared" si="92"/>
        <v>1.2142044457938383E-4</v>
      </c>
      <c r="M131" s="634">
        <f t="shared" si="93"/>
        <v>2.5661139002381865E-4</v>
      </c>
      <c r="N131" s="634">
        <f t="shared" si="94"/>
        <v>8.065666280164512E-5</v>
      </c>
      <c r="O131" s="634">
        <f t="shared" si="95"/>
        <v>1.2142044457938383E-4</v>
      </c>
      <c r="T131" s="638">
        <v>127</v>
      </c>
      <c r="U131" s="638">
        <f t="shared" si="88"/>
        <v>-0.72066714955386091</v>
      </c>
      <c r="X131" s="634">
        <f t="shared" si="96"/>
        <v>4.5</v>
      </c>
      <c r="Y131" s="635">
        <f t="shared" si="97"/>
        <v>0.02</v>
      </c>
      <c r="Z131" s="694">
        <f t="shared" si="98"/>
        <v>0.02</v>
      </c>
    </row>
    <row r="132" spans="11:29">
      <c r="N132" s="635" t="s">
        <v>6387</v>
      </c>
      <c r="O132" s="634">
        <f>AVERAGE(L84:O131)</f>
        <v>3.5110132530956454E-4</v>
      </c>
      <c r="T132" s="638">
        <v>128</v>
      </c>
      <c r="U132" s="638">
        <f t="shared" si="88"/>
        <v>-0.7324940716135786</v>
      </c>
      <c r="X132" s="634">
        <f t="shared" si="96"/>
        <v>5</v>
      </c>
      <c r="Y132" s="635">
        <f t="shared" si="97"/>
        <v>0.02</v>
      </c>
      <c r="Z132" s="694">
        <f t="shared" si="98"/>
        <v>0.02</v>
      </c>
    </row>
    <row r="133" spans="11:29">
      <c r="N133" s="635" t="s">
        <v>6388</v>
      </c>
      <c r="O133" s="634">
        <f>SQRT(O132)</f>
        <v>1.8737697972524919E-2</v>
      </c>
      <c r="T133" s="638">
        <v>129</v>
      </c>
      <c r="U133" s="638">
        <f t="shared" si="88"/>
        <v>-0.74410393987136036</v>
      </c>
      <c r="X133" s="634">
        <f t="shared" si="96"/>
        <v>5.5</v>
      </c>
      <c r="Y133" s="635">
        <f t="shared" si="97"/>
        <v>0.02</v>
      </c>
      <c r="Z133" s="694">
        <f t="shared" si="98"/>
        <v>0.02</v>
      </c>
    </row>
    <row r="134" spans="11:29">
      <c r="T134" s="638">
        <v>130</v>
      </c>
      <c r="U134" s="638">
        <f t="shared" ref="U134:U197" si="99">SIN((T134+365/4+11)/365*2*PI())</f>
        <v>-0.75549331407268017</v>
      </c>
      <c r="X134" s="634">
        <f t="shared" si="96"/>
        <v>6</v>
      </c>
      <c r="Y134" s="635">
        <f t="shared" si="97"/>
        <v>2.1877749299463466E-2</v>
      </c>
      <c r="Z134" s="694">
        <f t="shared" si="98"/>
        <v>2.1877749299463466E-2</v>
      </c>
      <c r="AA134" s="634">
        <f>0.04+$AL$54*EXP((-1*($V32-($AN$54))^2)/(2*($AP$54)^2))/($AP$54*SQRT(2*PI()))</f>
        <v>4.0000003263940251E-2</v>
      </c>
      <c r="AB134" s="634">
        <f t="shared" ref="AB134:AB169" si="100">Y$45+$AL$51*EXP((-1*($V32-(Y$18+$AN$51))^2)/(2*((25.5/(ABS(6.5-Y$19)+20))*$AP$51)^2))/((25.5/(ABS(6.5-Y$19)+20))*$AP$51*SQRT(2*PI()))</f>
        <v>2.0106995263434305E-2</v>
      </c>
      <c r="AC134" s="634" t="e">
        <f t="shared" ref="AC134:AC170" si="101">Y$45+$AL$52*EXP((-1*($V32-(Y$18+$AN$52))^2)/(2*((25.5/(ABS(6.5-Y$19)+20))*$AP$52)^2))/((25.5/(ABS(6.5-Y$19)+20))*$AP$52*SQRT(2*PI()))</f>
        <v>#DIV/0!</v>
      </c>
    </row>
    <row r="135" spans="11:29">
      <c r="T135" s="638">
        <v>131</v>
      </c>
      <c r="U135" s="638">
        <f t="shared" si="99"/>
        <v>-0.76665881930015867</v>
      </c>
      <c r="X135" s="634">
        <f t="shared" si="96"/>
        <v>6.5</v>
      </c>
      <c r="Y135" s="635">
        <f t="shared" si="97"/>
        <v>2.7368847954977949E-2</v>
      </c>
      <c r="Z135" s="694">
        <f t="shared" si="98"/>
        <v>2.7368847954977949E-2</v>
      </c>
      <c r="AA135" s="634">
        <f t="shared" ref="AA135:AA146" si="102">0.04+$AL$54*EXP((-1*($V33-($AN$54))^2)/(2*($AP$54)^2))/($AP$54*SQRT(2*PI()))</f>
        <v>4.0000011300158067E-2</v>
      </c>
      <c r="AB135" s="634">
        <f t="shared" si="100"/>
        <v>2.0106995263435404E-2</v>
      </c>
      <c r="AC135" s="634" t="e">
        <f t="shared" si="101"/>
        <v>#DIV/0!</v>
      </c>
    </row>
    <row r="136" spans="11:29">
      <c r="T136" s="638">
        <v>132</v>
      </c>
      <c r="U136" s="638">
        <f t="shared" si="99"/>
        <v>-0.7775971469736267</v>
      </c>
      <c r="X136" s="634">
        <f t="shared" si="96"/>
        <v>7</v>
      </c>
      <c r="Y136" s="635">
        <f t="shared" si="97"/>
        <v>3.9566597016220742E-2</v>
      </c>
      <c r="Z136" s="694">
        <f t="shared" si="98"/>
        <v>3.9566597016220742E-2</v>
      </c>
      <c r="AA136" s="634">
        <f t="shared" si="102"/>
        <v>4.0000037413325175E-2</v>
      </c>
      <c r="AB136" s="634">
        <f t="shared" si="100"/>
        <v>2.010699526344641E-2</v>
      </c>
      <c r="AC136" s="634" t="e">
        <f t="shared" si="101"/>
        <v>#DIV/0!</v>
      </c>
    </row>
    <row r="137" spans="11:29">
      <c r="T137" s="638">
        <v>133</v>
      </c>
      <c r="U137" s="638">
        <f t="shared" si="99"/>
        <v>-0.78830505583052546</v>
      </c>
      <c r="X137" s="634">
        <f t="shared" si="96"/>
        <v>7.5</v>
      </c>
      <c r="Y137" s="635">
        <f t="shared" si="97"/>
        <v>5.515480745168741E-2</v>
      </c>
      <c r="Z137" s="694">
        <f t="shared" si="98"/>
        <v>5.515480745168741E-2</v>
      </c>
      <c r="AA137" s="634">
        <f t="shared" si="102"/>
        <v>4.0000118458865842E-2</v>
      </c>
      <c r="AB137" s="634">
        <f t="shared" si="100"/>
        <v>2.0106995263547318E-2</v>
      </c>
      <c r="AC137" s="634" t="e">
        <f t="shared" si="101"/>
        <v>#DIV/0!</v>
      </c>
    </row>
    <row r="138" spans="11:29">
      <c r="T138" s="638">
        <v>134</v>
      </c>
      <c r="U138" s="638">
        <f t="shared" si="99"/>
        <v>-0.79877937288636514</v>
      </c>
      <c r="X138" s="634">
        <f t="shared" si="96"/>
        <v>8</v>
      </c>
      <c r="Y138" s="635">
        <f t="shared" si="97"/>
        <v>6.2737377067731789E-2</v>
      </c>
      <c r="Z138" s="694">
        <f t="shared" si="98"/>
        <v>6.2737377067731789E-2</v>
      </c>
      <c r="AA138" s="634">
        <f t="shared" si="102"/>
        <v>4.000035868094351E-2</v>
      </c>
      <c r="AB138" s="634">
        <f t="shared" si="100"/>
        <v>2.010699526439717E-2</v>
      </c>
      <c r="AC138" s="634" t="e">
        <f t="shared" si="101"/>
        <v>#DIV/0!</v>
      </c>
    </row>
    <row r="139" spans="11:29">
      <c r="T139" s="638">
        <v>135</v>
      </c>
      <c r="U139" s="638">
        <f t="shared" si="99"/>
        <v>-0.80901699437494734</v>
      </c>
      <c r="X139" s="634">
        <f t="shared" si="96"/>
        <v>8.5</v>
      </c>
      <c r="Y139" s="635">
        <f t="shared" si="97"/>
        <v>5.52618027151216E-2</v>
      </c>
      <c r="Z139" s="694">
        <f t="shared" si="98"/>
        <v>5.52618027151216E-2</v>
      </c>
      <c r="AA139" s="634">
        <f t="shared" si="102"/>
        <v>4.0001038600454425E-2</v>
      </c>
      <c r="AB139" s="634">
        <f t="shared" si="100"/>
        <v>2.0106995270968653E-2</v>
      </c>
      <c r="AC139" s="634" t="e">
        <f t="shared" si="101"/>
        <v>#DIV/0!</v>
      </c>
    </row>
    <row r="140" spans="11:29">
      <c r="T140" s="638">
        <v>136</v>
      </c>
      <c r="U140" s="638">
        <f t="shared" si="99"/>
        <v>-0.81901488666807998</v>
      </c>
      <c r="X140" s="634">
        <f t="shared" si="96"/>
        <v>9</v>
      </c>
      <c r="Y140" s="635">
        <f t="shared" si="97"/>
        <v>3.9673592279654932E-2</v>
      </c>
      <c r="Z140" s="694">
        <f t="shared" si="98"/>
        <v>3.9673592279654932E-2</v>
      </c>
      <c r="AA140" s="634">
        <f t="shared" si="102"/>
        <v>4.0002875995383651E-2</v>
      </c>
      <c r="AB140" s="634">
        <f t="shared" si="100"/>
        <v>2.0106995317617653E-2</v>
      </c>
      <c r="AC140" s="634" t="e">
        <f t="shared" si="101"/>
        <v>#DIV/0!</v>
      </c>
    </row>
    <row r="141" spans="11:29">
      <c r="T141" s="638">
        <v>137</v>
      </c>
      <c r="U141" s="638">
        <f t="shared" si="99"/>
        <v>-0.82877008717450351</v>
      </c>
      <c r="X141" s="634">
        <f t="shared" si="96"/>
        <v>9.5</v>
      </c>
      <c r="Y141" s="635">
        <f t="shared" si="97"/>
        <v>2.7475843218412142E-2</v>
      </c>
      <c r="Z141" s="694">
        <f t="shared" si="98"/>
        <v>2.7475843218412142E-2</v>
      </c>
      <c r="AA141" s="634">
        <f t="shared" si="102"/>
        <v>4.0007616006964133E-2</v>
      </c>
      <c r="AB141" s="634">
        <f t="shared" si="100"/>
        <v>2.0106995621580047E-2</v>
      </c>
      <c r="AC141" s="634" t="e">
        <f t="shared" si="101"/>
        <v>#DIV/0!</v>
      </c>
    </row>
    <row r="142" spans="11:29">
      <c r="T142" s="638">
        <v>138</v>
      </c>
      <c r="U142" s="638">
        <f t="shared" si="99"/>
        <v>-0.83827970521777428</v>
      </c>
      <c r="X142" s="634">
        <f t="shared" si="96"/>
        <v>10</v>
      </c>
      <c r="Y142" s="635">
        <f t="shared" si="97"/>
        <v>2.198474456289766E-2</v>
      </c>
      <c r="Z142" s="694">
        <f t="shared" si="98"/>
        <v>2.198474456289766E-2</v>
      </c>
      <c r="AA142" s="634">
        <f t="shared" si="102"/>
        <v>4.0019287056465465E-2</v>
      </c>
      <c r="AB142" s="634">
        <f t="shared" si="100"/>
        <v>2.0106997439297489E-2</v>
      </c>
      <c r="AC142" s="634" t="e">
        <f t="shared" si="101"/>
        <v>#DIV/0!</v>
      </c>
    </row>
    <row r="143" spans="11:29">
      <c r="T143" s="638">
        <v>139</v>
      </c>
      <c r="U143" s="638">
        <f t="shared" si="99"/>
        <v>-0.84754092289283089</v>
      </c>
      <c r="X143" s="634">
        <f t="shared" si="96"/>
        <v>10.5</v>
      </c>
      <c r="Y143" s="635">
        <f t="shared" si="97"/>
        <v>2.0430759846913043E-2</v>
      </c>
      <c r="Z143" s="694">
        <f t="shared" ref="Z143:Z150" si="103">IF($V41&gt;19.1,IF($V41&lt;22.2,IF($AN$54&lt;Y$18+$AN$51,IF(Y$45+$AL$51*EXP((-1*($V41-(Y$18+$AN$51))^2)/(2*((25.5/(ABS(6.5-Y$19)+20))*$AP$51)^2))/((25.5/(ABS(6.5-Y$19)+20))*$AP$51*SQRT(2*PI()))&lt;0.04+$AL$54*EXP((-1*($V41-($AN$54))^2)/(2*($AP$54)^2))/($AP$54*SQRT(2*PI())),Y$45+$AL$51*EXP((-1*($V41-(Y$18+$AN$51))^2)/(2*((25.5/(ABS(6.5-Y$19)+20))*$AP$51)^2))/((25.5/(ABS(6.5-Y$19)+20))*$AP$51*SQRT(2*PI())),0.04+$AL$54*EXP((-1*($V41-($AN$54))^2)/(2*($AP$54)^2))/($AP$54*SQRT(2*PI()))),IF(0.04+$AL$54*EXP((-1*($V41-($AN$54))^2)/(2*(($AP$54)^2)))/($AP$54*SQRT(2*PI()))&lt;Y$45+$AL$51*EXP((-1*($V41-(Y$18+$AN$51))^2)/(2*((25.5/(ABS(6.5-Y$19)+20))*$AP$51)^2))/((25.5/(ABS(6.5-Y$19)+20))*$AP$51*SQRT(2*PI())),Y$45+$AL$51*EXP((-1*($V41-(Y$18+$AN$51))^2)/(2*((25.5/(ABS(6.5-Y$19)+20))*$AP$51)^2))/((25.5/(ABS(6.5-Y$19)+20))*$AP$51*SQRT(2*PI())),0.04+$AL$54*EXP((-1*($V41-($AN$54))^2)/(2*($AP$54)^2))/($AP$54*SQRT(2*PI())))),0.04+$AL$54*EXP((-1*($V41-($AN$54))^2)/(2*($AP$54)^2))/($AP$54*SQRT(2*PI()))),Y$45+$AL$51*EXP((-1*($V41-(Y$18+$AN$51))^2)/(2*((25.5/(ABS(6.5-Y$19)+20))*$AP$51)^2))/((25.5/(ABS(6.5-Y$19)+20))*$AP$51*SQRT(2*PI())))</f>
        <v>2.0107007413587809E-2</v>
      </c>
      <c r="AA143" s="634">
        <f t="shared" si="102"/>
        <v>4.0046709373572895E-2</v>
      </c>
      <c r="AB143" s="634">
        <f t="shared" si="100"/>
        <v>2.0107007413587809E-2</v>
      </c>
      <c r="AC143" s="634" t="e">
        <f t="shared" si="101"/>
        <v>#DIV/0!</v>
      </c>
    </row>
    <row r="144" spans="11:29">
      <c r="T144" s="638">
        <v>140</v>
      </c>
      <c r="U144" s="638">
        <f t="shared" si="99"/>
        <v>-0.85655099590100348</v>
      </c>
      <c r="X144" s="634">
        <f t="shared" si="96"/>
        <v>11</v>
      </c>
      <c r="Y144" s="635">
        <f t="shared" si="97"/>
        <v>2.0144767681576057E-2</v>
      </c>
      <c r="Z144" s="694">
        <f t="shared" si="103"/>
        <v>2.0107057624052779E-2</v>
      </c>
      <c r="AA144" s="634">
        <f t="shared" si="102"/>
        <v>4.01081786619698E-2</v>
      </c>
      <c r="AB144" s="634">
        <f t="shared" si="100"/>
        <v>2.0107057624052779E-2</v>
      </c>
      <c r="AC144" s="634" t="e">
        <f t="shared" si="101"/>
        <v>#DIV/0!</v>
      </c>
    </row>
    <row r="145" spans="7:29">
      <c r="T145" s="638">
        <v>141</v>
      </c>
      <c r="U145" s="638">
        <f t="shared" si="99"/>
        <v>-0.86530725436320577</v>
      </c>
      <c r="X145" s="634">
        <f t="shared" si="96"/>
        <v>11.5</v>
      </c>
      <c r="Y145" s="635">
        <f t="shared" si="97"/>
        <v>2.0109977032162676E-2</v>
      </c>
      <c r="Z145" s="694">
        <f t="shared" si="103"/>
        <v>2.0107289446414156E-2</v>
      </c>
      <c r="AA145" s="634">
        <f t="shared" si="102"/>
        <v>4.0239595490374189E-2</v>
      </c>
      <c r="AB145" s="634">
        <f t="shared" si="100"/>
        <v>2.0107289446414156E-2</v>
      </c>
      <c r="AC145" s="634" t="e">
        <f t="shared" si="101"/>
        <v>#DIV/0!</v>
      </c>
    </row>
    <row r="146" spans="7:29">
      <c r="T146" s="638">
        <v>142</v>
      </c>
      <c r="U146" s="638">
        <f t="shared" si="99"/>
        <v>-0.87380710361108105</v>
      </c>
      <c r="X146" s="634">
        <f t="shared" si="96"/>
        <v>12</v>
      </c>
      <c r="Y146" s="635">
        <f t="shared" si="97"/>
        <v>2.0107154530816008E-2</v>
      </c>
      <c r="Z146" s="694">
        <f t="shared" si="103"/>
        <v>2.0108270830078042E-2</v>
      </c>
      <c r="AA146" s="634">
        <f t="shared" si="102"/>
        <v>4.050747557605814E-2</v>
      </c>
      <c r="AB146" s="634">
        <f t="shared" si="100"/>
        <v>2.0108270830078042E-2</v>
      </c>
      <c r="AC146" s="634" t="e">
        <f t="shared" si="101"/>
        <v>#DIV/0!</v>
      </c>
    </row>
    <row r="147" spans="7:29">
      <c r="T147" s="638">
        <v>143</v>
      </c>
      <c r="U147" s="638">
        <f t="shared" si="99"/>
        <v>-0.88204802495585366</v>
      </c>
      <c r="X147" s="634">
        <f t="shared" si="96"/>
        <v>12.5</v>
      </c>
      <c r="Y147" s="635">
        <f t="shared" si="97"/>
        <v>2.0106995263434194E-2</v>
      </c>
      <c r="Z147" s="694">
        <f t="shared" si="103"/>
        <v>2.0112078815167168E-2</v>
      </c>
      <c r="AA147" s="634">
        <f>0.04+$AL$54*EXP((-1*($V45-($AN$54))^2)/(2*($AP$54)^2))/($AP$54*SQRT(2*PI()))</f>
        <v>4.1027900606793455E-2</v>
      </c>
      <c r="AB147" s="634">
        <f t="shared" si="100"/>
        <v>2.0112078815167168E-2</v>
      </c>
      <c r="AC147" s="634" t="e">
        <f t="shared" si="101"/>
        <v>#DIV/0!</v>
      </c>
    </row>
    <row r="148" spans="7:29">
      <c r="T148" s="638">
        <v>144</v>
      </c>
      <c r="U148" s="638">
        <f t="shared" si="99"/>
        <v>-0.89002757643467678</v>
      </c>
      <c r="X148" s="634">
        <f t="shared" si="96"/>
        <v>13</v>
      </c>
      <c r="Y148" s="635">
        <f t="shared" si="97"/>
        <v>2.0125616556012842E-2</v>
      </c>
      <c r="Z148" s="694">
        <f t="shared" si="103"/>
        <v>2.0125616556012842E-2</v>
      </c>
      <c r="AA148" s="634">
        <f>0.04+$AL$54*EXP((-1*($V46-($AN$54))^2)/(2*($AP$54)^2))/($AP$54*SQRT(2*PI()))</f>
        <v>4.19910701944552E-2</v>
      </c>
      <c r="AB148" s="634">
        <f t="shared" si="100"/>
        <v>2.0125616556012842E-2</v>
      </c>
      <c r="AC148" s="634" t="e">
        <f t="shared" si="101"/>
        <v>#DIV/0!</v>
      </c>
    </row>
    <row r="149" spans="7:29">
      <c r="T149" s="638">
        <v>145</v>
      </c>
      <c r="U149" s="638">
        <f t="shared" si="99"/>
        <v>-0.89774339353423371</v>
      </c>
      <c r="X149" s="634">
        <f t="shared" si="96"/>
        <v>13.5</v>
      </c>
      <c r="Y149" s="635">
        <f t="shared" si="97"/>
        <v>2.0169689971252406E-2</v>
      </c>
      <c r="Z149" s="694">
        <f t="shared" si="103"/>
        <v>2.0169689971252406E-2</v>
      </c>
      <c r="AA149" s="634">
        <f>0.04+$AL$54*EXP((-1*($V47-($AN$54))^2)/(2*($AP$54)^2))/($AP$54*SQRT(2*PI()))</f>
        <v>4.3688259685007953E-2</v>
      </c>
      <c r="AB149" s="634">
        <f t="shared" si="100"/>
        <v>2.0169689971252406E-2</v>
      </c>
      <c r="AC149" s="634" t="e">
        <f t="shared" si="101"/>
        <v>#DIV/0!</v>
      </c>
    </row>
    <row r="150" spans="7:29">
      <c r="T150" s="638">
        <v>146</v>
      </c>
      <c r="U150" s="638">
        <f t="shared" si="99"/>
        <v>-0.90519318989139752</v>
      </c>
      <c r="X150" s="634">
        <f t="shared" si="96"/>
        <v>14</v>
      </c>
      <c r="Y150" s="635">
        <f t="shared" si="97"/>
        <v>2.0301008081678049E-2</v>
      </c>
      <c r="Z150" s="694">
        <f t="shared" si="103"/>
        <v>2.0301008081678049E-2</v>
      </c>
      <c r="AA150" s="634">
        <f>0.04+$AL$54*EXP((-1*($V48-($AN$54))^2)/(2*($AP$54)^2))/($AP$54*SQRT(2*PI()))</f>
        <v>4.653365025953022E-2</v>
      </c>
      <c r="AB150" s="634">
        <f t="shared" si="100"/>
        <v>2.0301008081678049E-2</v>
      </c>
      <c r="AC150" s="634" t="e">
        <f t="shared" si="101"/>
        <v>#DIV/0!</v>
      </c>
    </row>
    <row r="151" spans="7:29">
      <c r="T151" s="638">
        <v>147</v>
      </c>
      <c r="U151" s="638">
        <f t="shared" si="99"/>
        <v>-0.9123747579707272</v>
      </c>
      <c r="X151" s="634">
        <f t="shared" si="96"/>
        <v>14.5</v>
      </c>
      <c r="Y151" s="635">
        <f t="shared" si="97"/>
        <v>2.0658829255143483E-2</v>
      </c>
      <c r="Z151" s="694">
        <f t="shared" ref="Z151:Z160" si="104">IF($V49&gt;19.1,IF($V49&lt;22.2,IF($AN$54&lt;Y$18+$AN$51,IF(Y$45+$AL$51*EXP((-1*($V49-(Y$18+$AN$51))^2)/(2*((25.5/(ABS(6.5-Y$19)+20))*$AP$51)^2))/((25.5/(ABS(6.5-Y$19)+20))*$AP$51*SQRT(2*PI()))&lt;0.04+$AL$54*EXP((-1*($V49-($AN$54))^2)/(2*($AP$54)^2))/($AP$54*SQRT(2*PI())),Y$45+$AL$51*EXP((-1*($V49-(Y$18+$AN$51))^2)/(2*((25.5/(ABS(6.5-Y$19)+20))*$AP$51)^2))/((25.5/(ABS(6.5-Y$19)+20))*$AP$51*SQRT(2*PI())),0.04+$AL$54*EXP((-1*($V49-($AN$54))^2)/(2*($AP$54)^2))/($AP$54*SQRT(2*PI()))),IF(0.04+$AL$54*EXP((-1*($V49-($AN$54))^2)/(2*(($AP$54)^2)))/($AP$54*SQRT(2*PI()))&lt;Y$45+$AL$51*EXP((-1*($V49-(Y$18+$AN$51))^2)/(2*((25.5/(ABS(6.5-Y$19)+20))*$AP$51)^2))/((25.5/(ABS(6.5-Y$19)+20))*$AP$51*SQRT(2*PI())),Y$45+$AL$51*EXP((-1*($V49-(Y$18+$AN$51))^2)/(2*((25.5/(ABS(6.5-Y$19)+20))*$AP$51)^2))/((25.5/(ABS(6.5-Y$19)+20))*$AP$51*SQRT(2*PI())),0.04+$AL$54*EXP((-1*($V49-($AN$54))^2)/(2*($AP$54)^2))/($AP$54*SQRT(2*PI())))),0.04+$AL$54*EXP((-1*($V49-($AN$54))^2)/(2*($AP$54)^2))/($AP$54*SQRT(2*PI()))),Y$45+$AL$51*EXP((-1*($V49-(Y$18+$AN$51))^2)/(2*((25.5/(ABS(6.5-Y$19)+20))*$AP$51)^2))/((25.5/(ABS(6.5-Y$19)+20))*$AP$51*SQRT(2*PI())))</f>
        <v>2.0658829255143483E-2</v>
      </c>
      <c r="AA151" s="634">
        <f>0.04+$AL$54*EXP((-1*($V49-($AN$54))^2)/(2*($AP$54)^2))/($AP$54*SQRT(2*PI()))</f>
        <v>5.1068524909726229E-2</v>
      </c>
      <c r="AB151" s="634">
        <f t="shared" si="100"/>
        <v>2.0658829255143483E-2</v>
      </c>
      <c r="AC151" s="634" t="e">
        <f t="shared" si="101"/>
        <v>#DIV/0!</v>
      </c>
    </row>
    <row r="152" spans="7:29">
      <c r="T152" s="638">
        <v>148</v>
      </c>
      <c r="U152" s="638">
        <f t="shared" si="99"/>
        <v>-0.91928596971861043</v>
      </c>
      <c r="X152" s="634">
        <f t="shared" si="96"/>
        <v>15</v>
      </c>
      <c r="Y152" s="635">
        <f t="shared" si="97"/>
        <v>2.1549658468662882E-2</v>
      </c>
      <c r="Z152" s="694">
        <f t="shared" si="104"/>
        <v>2.1549658468662882E-2</v>
      </c>
      <c r="AA152" s="634">
        <f t="shared" ref="AA152:AA161" si="105">0.04+$AL$54*EXP((-1*($V50-($AN$54))^2)/(2*($AP$54)^2))/($AP$54*SQRT(2*PI()))</f>
        <v>5.793176677757654E-2</v>
      </c>
      <c r="AB152" s="634">
        <f t="shared" si="100"/>
        <v>2.1549658468662882E-2</v>
      </c>
      <c r="AC152" s="634" t="e">
        <f t="shared" si="101"/>
        <v>#DIV/0!</v>
      </c>
    </row>
    <row r="153" spans="7:29">
      <c r="T153" s="638">
        <v>149</v>
      </c>
      <c r="U153" s="638">
        <f t="shared" si="99"/>
        <v>-0.92592477719384958</v>
      </c>
      <c r="X153" s="634">
        <f t="shared" si="96"/>
        <v>15.5</v>
      </c>
      <c r="Y153" s="635">
        <f t="shared" si="97"/>
        <v>2.3573565028558525E-2</v>
      </c>
      <c r="Z153" s="694">
        <f t="shared" si="104"/>
        <v>2.3573565028558525E-2</v>
      </c>
      <c r="AA153" s="634">
        <f t="shared" si="105"/>
        <v>6.7781512632594687E-2</v>
      </c>
      <c r="AB153" s="634">
        <f t="shared" si="100"/>
        <v>2.3573565028558525E-2</v>
      </c>
      <c r="AC153" s="634" t="e">
        <f t="shared" si="101"/>
        <v>#DIV/0!</v>
      </c>
    </row>
    <row r="154" spans="7:29">
      <c r="T154" s="638">
        <v>150</v>
      </c>
      <c r="U154" s="638">
        <f t="shared" si="99"/>
        <v>-0.9322892131745133</v>
      </c>
      <c r="X154" s="634">
        <f t="shared" si="96"/>
        <v>16</v>
      </c>
      <c r="Y154" s="635">
        <f t="shared" si="97"/>
        <v>2.776319785763692E-2</v>
      </c>
      <c r="Z154" s="694">
        <f t="shared" si="104"/>
        <v>2.776319785763692E-2</v>
      </c>
      <c r="AA154" s="634">
        <f t="shared" si="105"/>
        <v>8.1161213154725048E-2</v>
      </c>
      <c r="AB154" s="634">
        <f t="shared" si="100"/>
        <v>2.776319785763692E-2</v>
      </c>
      <c r="AC154" s="634" t="e">
        <f t="shared" si="101"/>
        <v>#DIV/0!</v>
      </c>
    </row>
    <row r="155" spans="7:29">
      <c r="T155" s="638">
        <v>151</v>
      </c>
      <c r="U155" s="638">
        <f t="shared" si="99"/>
        <v>-0.93837739174086399</v>
      </c>
      <c r="X155" s="634">
        <f t="shared" si="96"/>
        <v>16.5</v>
      </c>
      <c r="Y155" s="635">
        <f t="shared" si="97"/>
        <v>3.5648940407047004E-2</v>
      </c>
      <c r="Z155" s="694">
        <f t="shared" si="104"/>
        <v>3.5648940407047004E-2</v>
      </c>
      <c r="AA155" s="634">
        <f t="shared" si="105"/>
        <v>9.8320322378705888E-2</v>
      </c>
      <c r="AB155" s="634">
        <f t="shared" si="100"/>
        <v>3.5648940407047004E-2</v>
      </c>
      <c r="AC155" s="634" t="e">
        <f t="shared" si="101"/>
        <v>#DIV/0!</v>
      </c>
    </row>
    <row r="156" spans="7:29">
      <c r="T156" s="638">
        <v>152</v>
      </c>
      <c r="U156" s="638">
        <f t="shared" si="99"/>
        <v>-0.94418750883419955</v>
      </c>
      <c r="X156" s="634">
        <f t="shared" si="96"/>
        <v>17</v>
      </c>
      <c r="Y156" s="635">
        <f t="shared" si="97"/>
        <v>4.9105513649479703E-2</v>
      </c>
      <c r="Z156" s="694">
        <f t="shared" si="104"/>
        <v>4.9105513649479703E-2</v>
      </c>
      <c r="AA156" s="634">
        <f t="shared" si="105"/>
        <v>0.11902256768990446</v>
      </c>
      <c r="AB156" s="634">
        <f t="shared" si="100"/>
        <v>4.9105513649479703E-2</v>
      </c>
      <c r="AC156" s="634" t="e">
        <f t="shared" si="101"/>
        <v>#DIV/0!</v>
      </c>
    </row>
    <row r="157" spans="7:29">
      <c r="H157" s="634" t="s">
        <v>1514</v>
      </c>
      <c r="I157" s="635" t="s">
        <v>1537</v>
      </c>
      <c r="J157" s="635" t="s">
        <v>1538</v>
      </c>
      <c r="T157" s="638">
        <v>153</v>
      </c>
      <c r="U157" s="638">
        <f t="shared" si="99"/>
        <v>-0.94971784279143168</v>
      </c>
      <c r="X157" s="634">
        <f t="shared" si="96"/>
        <v>17.5</v>
      </c>
      <c r="Y157" s="635">
        <f t="shared" si="97"/>
        <v>6.9837713229945864E-2</v>
      </c>
      <c r="Z157" s="694">
        <f t="shared" si="104"/>
        <v>6.9837713229945864E-2</v>
      </c>
      <c r="AA157" s="634">
        <f t="shared" si="105"/>
        <v>0.14239572607918785</v>
      </c>
      <c r="AB157" s="634">
        <f t="shared" si="100"/>
        <v>6.9837713229945864E-2</v>
      </c>
      <c r="AC157" s="634" t="e">
        <f t="shared" si="101"/>
        <v>#DIV/0!</v>
      </c>
    </row>
    <row r="158" spans="7:29">
      <c r="G158" s="635" t="s">
        <v>1004</v>
      </c>
      <c r="H158" s="634">
        <v>6.7282321899736153E-2</v>
      </c>
      <c r="I158" s="634">
        <v>7.6899999999999996E-2</v>
      </c>
      <c r="J158" s="687">
        <v>8.0500000000000002E-2</v>
      </c>
      <c r="T158" s="638">
        <v>154</v>
      </c>
      <c r="U158" s="638">
        <f t="shared" si="99"/>
        <v>-0.95496675485525528</v>
      </c>
      <c r="X158" s="634">
        <f t="shared" si="96"/>
        <v>18</v>
      </c>
      <c r="Y158" s="635">
        <f t="shared" si="97"/>
        <v>9.8495455160393777E-2</v>
      </c>
      <c r="Z158" s="694">
        <f t="shared" si="104"/>
        <v>9.8495455160393777E-2</v>
      </c>
      <c r="AA158" s="634">
        <f t="shared" si="105"/>
        <v>0.16688549964842619</v>
      </c>
      <c r="AB158" s="634">
        <f t="shared" si="100"/>
        <v>9.8495455160393777E-2</v>
      </c>
      <c r="AC158" s="634" t="e">
        <f t="shared" si="101"/>
        <v>#DIV/0!</v>
      </c>
    </row>
    <row r="159" spans="7:29">
      <c r="G159" s="635" t="s">
        <v>1005</v>
      </c>
      <c r="H159" s="634">
        <v>5.4089709762532981E-2</v>
      </c>
      <c r="I159" s="634">
        <v>7.4899999999999994E-2</v>
      </c>
      <c r="J159" s="687">
        <v>8.1000000000000003E-2</v>
      </c>
      <c r="T159" s="638">
        <v>155</v>
      </c>
      <c r="U159" s="638">
        <f t="shared" si="99"/>
        <v>-0.95993268965974443</v>
      </c>
      <c r="X159" s="634">
        <f t="shared" si="96"/>
        <v>18.5</v>
      </c>
      <c r="Y159" s="635">
        <f t="shared" si="97"/>
        <v>0.13367552861743526</v>
      </c>
      <c r="Z159" s="694">
        <f t="shared" si="104"/>
        <v>0.13367552861743526</v>
      </c>
      <c r="AA159" s="634">
        <f t="shared" si="105"/>
        <v>0.1903632243427455</v>
      </c>
      <c r="AB159" s="634">
        <f t="shared" si="100"/>
        <v>0.13367552861743526</v>
      </c>
      <c r="AC159" s="634" t="e">
        <f t="shared" si="101"/>
        <v>#DIV/0!</v>
      </c>
    </row>
    <row r="160" spans="7:29">
      <c r="G160" s="635" t="s">
        <v>1006</v>
      </c>
      <c r="H160" s="634">
        <v>4.221635883905013E-2</v>
      </c>
      <c r="I160" s="634">
        <v>7.1800000000000003E-2</v>
      </c>
      <c r="J160" s="687">
        <v>7.0499999999999993E-2</v>
      </c>
      <c r="T160" s="638">
        <v>156</v>
      </c>
      <c r="U160" s="638">
        <f t="shared" si="99"/>
        <v>-0.96461417569124353</v>
      </c>
      <c r="X160" s="634">
        <f t="shared" si="96"/>
        <v>19</v>
      </c>
      <c r="Y160" s="635">
        <f t="shared" si="97"/>
        <v>0.17133853895780066</v>
      </c>
      <c r="Z160" s="694">
        <f t="shared" si="104"/>
        <v>0.17133853895780066</v>
      </c>
      <c r="AA160" s="634">
        <f t="shared" si="105"/>
        <v>0.21040045003065522</v>
      </c>
      <c r="AB160" s="634">
        <f t="shared" si="100"/>
        <v>0.17133853895780066</v>
      </c>
      <c r="AC160" s="634" t="e">
        <f t="shared" si="101"/>
        <v>#DIV/0!</v>
      </c>
    </row>
    <row r="161" spans="7:29">
      <c r="G161" s="635" t="s">
        <v>1007</v>
      </c>
      <c r="H161" s="634">
        <v>4.4854881266490766E-2</v>
      </c>
      <c r="I161" s="634">
        <v>6.9599999999999995E-2</v>
      </c>
      <c r="J161" s="687">
        <v>5.8900000000000001E-2</v>
      </c>
      <c r="T161" s="638">
        <v>157</v>
      </c>
      <c r="U161" s="638">
        <f t="shared" si="99"/>
        <v>-0.96900982572440608</v>
      </c>
      <c r="X161" s="634">
        <f t="shared" si="96"/>
        <v>19.5</v>
      </c>
      <c r="Y161" s="635">
        <f t="shared" si="97"/>
        <v>0.20520649110395983</v>
      </c>
      <c r="Z161" s="694">
        <f t="shared" ref="Z161:Z166" si="106">IF($V59&gt;19.1,IF($V59&lt;22.2,IF($AN$54&lt;Y$18+$AN$51,IF(Y$45+$AL$51*EXP((-1*($V59-(Y$18+$AN$51))^2)/(2*((25.5/(ABS(6.5-Y$19)+20))*$AP$51)^2))/((25.5/(ABS(6.5-Y$19)+20))*$AP$51*SQRT(2*PI()))&lt;0.04+$AL$54*EXP((-1*($V59-($AN$54))^2)/(2*($AP$54)^2))/($AP$54*SQRT(2*PI())),Y$45+$AL$51*EXP((-1*($V59-(Y$18+$AN$51))^2)/(2*((25.5/(ABS(6.5-Y$19)+20))*$AP$51)^2))/((25.5/(ABS(6.5-Y$19)+20))*$AP$51*SQRT(2*PI())),0.04+$AL$54*EXP((-1*($V59-($AN$54))^2)/(2*($AP$54)^2))/($AP$54*SQRT(2*PI()))),IF(0.04+$AL$54*EXP((-1*($V59-($AN$54))^2)/(2*(($AP$54)^2)))/($AP$54*SQRT(2*PI()))&lt;Y$45+$AL$51*EXP((-1*($V59-(Y$18+$AN$51))^2)/(2*((25.5/(ABS(6.5-Y$19)+20))*$AP$51)^2))/((25.5/(ABS(6.5-Y$19)+20))*$AP$51*SQRT(2*PI())),Y$45+$AL$51*EXP((-1*($V59-(Y$18+$AN$51))^2)/(2*((25.5/(ABS(6.5-Y$19)+20))*$AP$51)^2))/((25.5/(ABS(6.5-Y$19)+20))*$AP$51*SQRT(2*PI())),0.04+$AL$54*EXP((-1*($V59-($AN$54))^2)/(2*($AP$54)^2))/($AP$54*SQRT(2*PI())))),0),0)</f>
        <v>0.20520649110395983</v>
      </c>
      <c r="AA161" s="634">
        <f t="shared" si="105"/>
        <v>0.22467126169907212</v>
      </c>
      <c r="AB161" s="634">
        <f t="shared" si="100"/>
        <v>0.20520649110395983</v>
      </c>
      <c r="AC161" s="634" t="e">
        <f t="shared" si="101"/>
        <v>#DIV/0!</v>
      </c>
    </row>
    <row r="162" spans="7:29">
      <c r="G162" s="635" t="s">
        <v>1505</v>
      </c>
      <c r="H162" s="634">
        <v>5.4089709762532981E-2</v>
      </c>
      <c r="I162" s="634">
        <v>7.3700000000000002E-2</v>
      </c>
      <c r="J162" s="687">
        <v>5.1400000000000001E-2</v>
      </c>
      <c r="T162" s="638">
        <v>158</v>
      </c>
      <c r="U162" s="638">
        <f t="shared" si="99"/>
        <v>-0.97311833723326191</v>
      </c>
      <c r="X162" s="634">
        <f t="shared" si="96"/>
        <v>20</v>
      </c>
      <c r="Y162" s="635">
        <f t="shared" si="97"/>
        <v>0.22833856312604728</v>
      </c>
      <c r="Z162" s="694">
        <f t="shared" si="106"/>
        <v>0.22833856312604728</v>
      </c>
      <c r="AA162" s="634">
        <f t="shared" ref="AA162:AA170" si="107">0.04+$AL$54*EXP((-1*($V60-($AN$54))^2)/(2*($AP$54)^2))/($AP$54*SQRT(2*PI()))</f>
        <v>0.23139358039837257</v>
      </c>
      <c r="AB162" s="634">
        <f t="shared" si="100"/>
        <v>0.22833856312604728</v>
      </c>
      <c r="AC162" s="634" t="e">
        <f t="shared" si="101"/>
        <v>#DIV/0!</v>
      </c>
    </row>
    <row r="163" spans="7:29">
      <c r="G163" s="635" t="s">
        <v>482</v>
      </c>
      <c r="H163" s="634">
        <v>6.860158311345646E-2</v>
      </c>
      <c r="I163" s="634">
        <v>8.0100000000000005E-2</v>
      </c>
      <c r="J163" s="687">
        <v>5.67E-2</v>
      </c>
      <c r="T163" s="638">
        <v>159</v>
      </c>
      <c r="U163" s="638">
        <f t="shared" si="99"/>
        <v>-0.97693849277718159</v>
      </c>
      <c r="X163" s="634">
        <f t="shared" si="96"/>
        <v>20.5</v>
      </c>
      <c r="Y163" s="635">
        <f t="shared" si="97"/>
        <v>0.22969456541566022</v>
      </c>
      <c r="Z163" s="694">
        <f t="shared" si="106"/>
        <v>0.22969456541566022</v>
      </c>
      <c r="AA163" s="634">
        <f t="shared" si="107"/>
        <v>0.22969456541566022</v>
      </c>
      <c r="AB163" s="634">
        <f t="shared" si="100"/>
        <v>0.23541807806191423</v>
      </c>
      <c r="AC163" s="634" t="e">
        <f t="shared" si="101"/>
        <v>#DIV/0!</v>
      </c>
    </row>
    <row r="164" spans="7:29">
      <c r="G164" s="635" t="s">
        <v>483</v>
      </c>
      <c r="H164" s="634">
        <v>9.894459102902374E-2</v>
      </c>
      <c r="I164" s="634">
        <v>9.2700000000000005E-2</v>
      </c>
      <c r="J164" s="687">
        <v>6.9199999999999998E-2</v>
      </c>
      <c r="T164" s="638">
        <v>160</v>
      </c>
      <c r="U164" s="638">
        <f t="shared" si="99"/>
        <v>-0.98046916036163201</v>
      </c>
      <c r="X164" s="634">
        <f t="shared" si="96"/>
        <v>21</v>
      </c>
      <c r="Y164" s="635">
        <f t="shared" si="97"/>
        <v>0.21979676876915014</v>
      </c>
      <c r="Z164" s="694">
        <f t="shared" si="106"/>
        <v>0.21979676876915014</v>
      </c>
      <c r="AA164" s="634">
        <f t="shared" si="107"/>
        <v>0.21979676876915014</v>
      </c>
      <c r="AB164" s="634">
        <f t="shared" si="100"/>
        <v>0.22473481811056567</v>
      </c>
      <c r="AC164" s="634" t="e">
        <f t="shared" si="101"/>
        <v>#DIV/0!</v>
      </c>
    </row>
    <row r="165" spans="7:29">
      <c r="G165" s="635" t="s">
        <v>484</v>
      </c>
      <c r="H165" s="634">
        <v>0.11741424802110818</v>
      </c>
      <c r="I165" s="634">
        <v>9.7100000000000006E-2</v>
      </c>
      <c r="J165" s="687">
        <v>0.10879999999999999</v>
      </c>
      <c r="T165" s="638">
        <v>161</v>
      </c>
      <c r="U165" s="638">
        <f t="shared" si="99"/>
        <v>-0.98370929377360961</v>
      </c>
      <c r="X165" s="634">
        <f t="shared" si="96"/>
        <v>21.5</v>
      </c>
      <c r="Y165" s="635">
        <f t="shared" si="97"/>
        <v>0.19885510785024457</v>
      </c>
      <c r="Z165" s="694">
        <f t="shared" si="106"/>
        <v>0.19885510785024457</v>
      </c>
      <c r="AA165" s="634">
        <f t="shared" si="107"/>
        <v>0.20297025596799903</v>
      </c>
      <c r="AB165" s="634">
        <f t="shared" si="100"/>
        <v>0.19885510785024457</v>
      </c>
      <c r="AC165" s="634" t="e">
        <f t="shared" si="101"/>
        <v>#DIV/0!</v>
      </c>
    </row>
    <row r="166" spans="7:29">
      <c r="G166" s="635" t="s">
        <v>485</v>
      </c>
      <c r="H166" s="634">
        <v>0.13852242744063326</v>
      </c>
      <c r="I166" s="634">
        <v>9.8199999999999996E-2</v>
      </c>
      <c r="J166" s="687">
        <v>0.10639999999999999</v>
      </c>
      <c r="T166" s="638">
        <v>162</v>
      </c>
      <c r="U166" s="638">
        <f t="shared" si="99"/>
        <v>-0.98665793289165715</v>
      </c>
      <c r="X166" s="634">
        <f t="shared" si="96"/>
        <v>22</v>
      </c>
      <c r="Y166" s="635">
        <f t="shared" si="97"/>
        <v>0.16362180797693893</v>
      </c>
      <c r="Z166" s="694">
        <f t="shared" si="106"/>
        <v>0.16362180797693893</v>
      </c>
      <c r="AA166" s="634">
        <f t="shared" si="107"/>
        <v>0.18126490585547528</v>
      </c>
      <c r="AB166" s="634">
        <f t="shared" si="100"/>
        <v>0.16362180797693893</v>
      </c>
      <c r="AC166" s="634" t="e">
        <f t="shared" si="101"/>
        <v>#DIV/0!</v>
      </c>
    </row>
    <row r="167" spans="7:29">
      <c r="G167" s="635" t="s">
        <v>1145</v>
      </c>
      <c r="H167" s="634">
        <v>0.12796833773087071</v>
      </c>
      <c r="I167" s="634">
        <v>9.7600000000000006E-2</v>
      </c>
      <c r="J167" s="687">
        <v>0.11360000000000001</v>
      </c>
      <c r="T167" s="638">
        <v>163</v>
      </c>
      <c r="U167" s="638">
        <f t="shared" si="99"/>
        <v>-0.98931420397036629</v>
      </c>
      <c r="X167" s="634">
        <f t="shared" si="96"/>
        <v>22.5</v>
      </c>
      <c r="Y167" s="635">
        <f t="shared" si="97"/>
        <v>0.15710075431902629</v>
      </c>
      <c r="Z167" s="694">
        <f>IF($V65&gt;19.1,IF($V65&lt;22.2,IF($AN$54&lt;Y$18+$AN$51,IF(Y$45+$AL$51*EXP((-1*($V65-(Y$18+$AN$51))^2)/(2*((25.5/(ABS(6.5-Y$19)+20))*$AP$51)^2))/((25.5/(ABS(6.5-Y$19)+20))*$AP$51*SQRT(2*PI()))&lt;0.04+$AL$54*EXP((-1*($V65-($AN$54))^2)/(2*($AP$54)^2))/($AP$54*SQRT(2*PI())),Y$45+$AL$51*EXP((-1*($V65-(Y$18+$AN$51))^2)/(2*((25.5/(ABS(6.5-Y$19)+20))*$AP$51)^2))/((25.5/(ABS(6.5-Y$19)+20))*$AP$51*SQRT(2*PI())),0.04+$AL$54*EXP((-1*($V65-($AN$54))^2)/(2*($AP$54)^2))/($AP$54*SQRT(2*PI()))),IF(0.04+$AL$54*EXP((-1*($V65-($AN$54))^2)/(2*(($AP$54)^2)))/($AP$54*SQRT(2*PI()))&lt;Y$45+$AL$51*EXP((-1*($V65-(Y$18+$AN$51))^2)/(2*((25.5/(ABS(6.5-Y$19)+20))*$AP$51)^2))/((25.5/(ABS(6.5-Y$19)+20))*$AP$51*SQRT(2*PI())),Y$45+$AL$51*EXP((-1*($V65-(Y$18+$AN$51))^2)/(2*((25.5/(ABS(6.5-Y$19)+20))*$AP$51)^2))/((25.5/(ABS(6.5-Y$19)+20))*$AP$51*SQRT(2*PI())),0.04+$AL$54*EXP((-1*($V65-($AN$54))^2)/(2*($AP$54)^2))/($AP$54*SQRT(2*PI())))),0.04+$AL$54*EXP((-1*($V65-($AN$54))^2)/(2*($AP$54)^2))/($AP$54*SQRT(2*PI()))),Y$45+$AL$51*EXP((-1*($V65-(Y$18+$AN$51))^2)/(2*((25.5/(ABS(6.5-Y$19)+20))*$AP$51)^2))/((25.5/(ABS(6.5-Y$19)+20))*$AP$51*SQRT(2*PI())))</f>
        <v>0.15710075431902629</v>
      </c>
      <c r="AA167" s="634">
        <f t="shared" si="107"/>
        <v>0.15710075431902629</v>
      </c>
      <c r="AB167" s="634">
        <f t="shared" si="100"/>
        <v>0.12601541185103859</v>
      </c>
      <c r="AC167" s="634" t="e">
        <f t="shared" si="101"/>
        <v>#DIV/0!</v>
      </c>
    </row>
    <row r="168" spans="7:29">
      <c r="G168" s="635" t="s">
        <v>1146</v>
      </c>
      <c r="H168" s="634">
        <v>0.10158311345646438</v>
      </c>
      <c r="I168" s="634">
        <v>8.0100000000000005E-2</v>
      </c>
      <c r="J168" s="687">
        <v>0.11409999999999999</v>
      </c>
      <c r="T168" s="638">
        <v>164</v>
      </c>
      <c r="U168" s="638">
        <f t="shared" si="99"/>
        <v>-0.99167731989929009</v>
      </c>
      <c r="X168" s="634">
        <f t="shared" si="96"/>
        <v>23</v>
      </c>
      <c r="Y168" s="635">
        <f t="shared" si="97"/>
        <v>0.13282919246116717</v>
      </c>
      <c r="Z168" s="694">
        <f>IF($V66&gt;19.1,IF($V66&lt;22.2,IF($AN$54&lt;Y$18+$AN$51,IF(Y$45+$AL$51*EXP((-1*($V66-(Y$18+$AN$51))^2)/(2*((25.5/(ABS(6.5-Y$19)+20))*$AP$51)^2))/((25.5/(ABS(6.5-Y$19)+20))*$AP$51*SQRT(2*PI()))&lt;0.04+$AL$54*EXP((-1*($V66-($AN$54))^2)/(2*($AP$54)^2))/($AP$54*SQRT(2*PI())),Y$45+$AL$51*EXP((-1*($V66-(Y$18+$AN$51))^2)/(2*((25.5/(ABS(6.5-Y$19)+20))*$AP$51)^2))/((25.5/(ABS(6.5-Y$19)+20))*$AP$51*SQRT(2*PI())),0.04+$AL$54*EXP((-1*($V66-($AN$54))^2)/(2*($AP$54)^2))/($AP$54*SQRT(2*PI()))),IF(0.04+$AL$54*EXP((-1*($V66-($AN$54))^2)/(2*(($AP$54)^2)))/($AP$54*SQRT(2*PI()))&lt;Y$45+$AL$51*EXP((-1*($V66-(Y$18+$AN$51))^2)/(2*((25.5/(ABS(6.5-Y$19)+20))*$AP$51)^2))/((25.5/(ABS(6.5-Y$19)+20))*$AP$51*SQRT(2*PI())),Y$45+$AL$51*EXP((-1*($V66-(Y$18+$AN$51))^2)/(2*((25.5/(ABS(6.5-Y$19)+20))*$AP$51)^2))/((25.5/(ABS(6.5-Y$19)+20))*$AP$51*SQRT(2*PI())),0.04+$AL$54*EXP((-1*($V66-($AN$54))^2)/(2*($AP$54)^2))/($AP$54*SQRT(2*PI())))),0.04+$AL$54*EXP((-1*($V66-($AN$54))^2)/(2*($AP$54)^2))/($AP$54*SQRT(2*PI()))),Y$45+$AL$51*EXP((-1*($V66-(Y$18+$AN$51))^2)/(2*((25.5/(ABS(6.5-Y$19)+20))*$AP$51)^2))/((25.5/(ABS(6.5-Y$19)+20))*$AP$51*SQRT(2*PI())))</f>
        <v>0.13282919246116717</v>
      </c>
      <c r="AA168" s="634">
        <f t="shared" si="107"/>
        <v>0.13282919246116717</v>
      </c>
      <c r="AB168" s="634">
        <f t="shared" si="100"/>
        <v>9.1943088285958957E-2</v>
      </c>
      <c r="AC168" s="634" t="e">
        <f t="shared" si="101"/>
        <v>#DIV/0!</v>
      </c>
    </row>
    <row r="169" spans="7:29">
      <c r="G169" s="635" t="s">
        <v>1003</v>
      </c>
      <c r="H169" s="634">
        <v>8.7071240105540904E-2</v>
      </c>
      <c r="I169" s="634">
        <v>8.7300000000000003E-2</v>
      </c>
      <c r="J169" s="687">
        <v>8.8900000000000007E-2</v>
      </c>
      <c r="T169" s="638">
        <v>165</v>
      </c>
      <c r="U169" s="638">
        <f t="shared" si="99"/>
        <v>-0.99374658043617803</v>
      </c>
      <c r="X169" s="634">
        <f t="shared" si="96"/>
        <v>23.5</v>
      </c>
      <c r="Y169" s="635">
        <f t="shared" si="97"/>
        <v>0.11037346318242089</v>
      </c>
      <c r="Z169" s="694">
        <f>IF($V67&gt;19.1,IF($V67&lt;22.2,IF($AN$54&lt;Y$18+$AN$51,IF(Y$45+$AL$51*EXP((-1*($V67-(Y$18+$AN$51))^2)/(2*((25.5/(ABS(6.5-Y$19)+20))*$AP$51)^2))/((25.5/(ABS(6.5-Y$19)+20))*$AP$51*SQRT(2*PI()))&lt;0.04+$AL$54*EXP((-1*($V67-($AN$54))^2)/(2*($AP$54)^2))/($AP$54*SQRT(2*PI())),Y$45+$AL$51*EXP((-1*($V67-(Y$18+$AN$51))^2)/(2*((25.5/(ABS(6.5-Y$19)+20))*$AP$51)^2))/((25.5/(ABS(6.5-Y$19)+20))*$AP$51*SQRT(2*PI())),0.04+$AL$54*EXP((-1*($V67-($AN$54))^2)/(2*($AP$54)^2))/($AP$54*SQRT(2*PI()))),IF(0.04+$AL$54*EXP((-1*($V67-($AN$54))^2)/(2*(($AP$54)^2)))/($AP$54*SQRT(2*PI()))&lt;Y$45+$AL$51*EXP((-1*($V67-(Y$18+$AN$51))^2)/(2*((25.5/(ABS(6.5-Y$19)+20))*$AP$51)^2))/((25.5/(ABS(6.5-Y$19)+20))*$AP$51*SQRT(2*PI())),Y$45+$AL$51*EXP((-1*($V67-(Y$18+$AN$51))^2)/(2*((25.5/(ABS(6.5-Y$19)+20))*$AP$51)^2))/((25.5/(ABS(6.5-Y$19)+20))*$AP$51*SQRT(2*PI())),0.04+$AL$54*EXP((-1*($V67-($AN$54))^2)/(2*($AP$54)^2))/($AP$54*SQRT(2*PI())))),0.04+$AL$54*EXP((-1*($V67-($AN$54))^2)/(2*($AP$54)^2))/($AP$54*SQRT(2*PI()))),Y$45+$AL$51*EXP((-1*($V67-(Y$18+$AN$51))^2)/(2*((25.5/(ABS(6.5-Y$19)+20))*$AP$51)^2))/((25.5/(ABS(6.5-Y$19)+20))*$AP$51*SQRT(2*PI())))</f>
        <v>0.11037346318242089</v>
      </c>
      <c r="AA169" s="634">
        <f t="shared" si="107"/>
        <v>0.11037346318242089</v>
      </c>
      <c r="AB169" s="634">
        <f t="shared" si="100"/>
        <v>6.489208161312901E-2</v>
      </c>
      <c r="AC169" s="634" t="e">
        <f t="shared" si="101"/>
        <v>#DIV/0!</v>
      </c>
    </row>
    <row r="170" spans="7:29">
      <c r="T170" s="638">
        <v>166</v>
      </c>
      <c r="U170" s="638">
        <f t="shared" si="99"/>
        <v>-0.99552137241447525</v>
      </c>
      <c r="X170" s="634">
        <f t="shared" si="96"/>
        <v>24</v>
      </c>
      <c r="Y170" s="635">
        <f t="shared" si="97"/>
        <v>9.1019094544443471E-2</v>
      </c>
      <c r="Z170" s="694">
        <f>IF($V68&gt;19.1,IF($V68&lt;22.2,IF($AN$54&lt;Y$18+$AN$51,IF(Y$45+$AL$51*EXP((-1*($V68-(Y$18+$AN$51))^2)/(2*((25.5/(ABS(6.5-Y$19)+20))*$AP$51)^2))/((25.5/(ABS(6.5-Y$19)+20))*$AP$51*SQRT(2*PI()))&lt;0.04+$AL$54*EXP((-1*($V68-($AN$54))^2)/(2*($AP$54)^2))/($AP$54*SQRT(2*PI())),Y$45+$AL$51*EXP((-1*($V68-(Y$18+$AN$51))^2)/(2*((25.5/(ABS(6.5-Y$19)+20))*$AP$51)^2))/((25.5/(ABS(6.5-Y$19)+20))*$AP$51*SQRT(2*PI())),0.04+$AL$54*EXP((-1*($V68-($AN$54))^2)/(2*($AP$54)^2))/($AP$54*SQRT(2*PI()))),IF(0.04+$AL$54*EXP((-1*($V68-($AN$54))^2)/(2*(($AP$54)^2)))/($AP$54*SQRT(2*PI()))&lt;Y$45+$AL$51*EXP((-1*($V68-(Y$18+$AN$51))^2)/(2*((25.5/(ABS(6.5-Y$19)+20))*$AP$51)^2))/((25.5/(ABS(6.5-Y$19)+20))*$AP$51*SQRT(2*PI())),Y$45+$AL$51*EXP((-1*($V68-(Y$18+$AN$51))^2)/(2*((25.5/(ABS(6.5-Y$19)+20))*$AP$51)^2))/((25.5/(ABS(6.5-Y$19)+20))*$AP$51*SQRT(2*PI())),0.04+$AL$54*EXP((-1*($V68-($AN$54))^2)/(2*($AP$54)^2))/($AP$54*SQRT(2*PI())))),0.04+$AL$54*EXP((-1*($V68-($AN$54))^2)/(2*($AP$54)^2))/($AP$54*SQRT(2*PI()))),Y$45+$AL$51*EXP((-1*($V68-(Y$18+$AN$51))^2)/(2*((25.5/(ABS(6.5-Y$19)+20))*$AP$51)^2))/((25.5/(ABS(6.5-Y$19)+20))*$AP$51*SQRT(2*PI())))</f>
        <v>9.1019094544443471E-2</v>
      </c>
      <c r="AA170" s="634">
        <f t="shared" si="107"/>
        <v>9.1019094544443471E-2</v>
      </c>
      <c r="AB170" s="634">
        <f>Y$45+$AL$51*EXP((-1*($V68-(Y$18+$AN$51))^2)/(2*((25.5/(ABS(6.5-Y$19)+20))*$AP$51)^2))/((25.5/(ABS(6.5-Y$19)+20))*$AP$51*SQRT(2*PI()))</f>
        <v>4.5769710820516327E-2</v>
      </c>
      <c r="AC170" s="634" t="e">
        <f t="shared" si="101"/>
        <v>#DIV/0!</v>
      </c>
    </row>
    <row r="171" spans="7:29">
      <c r="T171" s="638">
        <v>167</v>
      </c>
      <c r="U171" s="638">
        <f t="shared" si="99"/>
        <v>-0.99700116992501508</v>
      </c>
      <c r="X171" s="634" t="str">
        <f t="shared" si="96"/>
        <v>Total (kWh/day)</v>
      </c>
      <c r="Y171" s="635">
        <f>Y69</f>
        <v>1.6005400399555878</v>
      </c>
      <c r="Z171" s="635">
        <f>Z69</f>
        <v>1.3119373410225528</v>
      </c>
    </row>
    <row r="172" spans="7:29">
      <c r="T172" s="638">
        <v>168</v>
      </c>
      <c r="U172" s="638">
        <f t="shared" si="99"/>
        <v>-0.99818553447185865</v>
      </c>
      <c r="Y172" s="635"/>
    </row>
    <row r="173" spans="7:29">
      <c r="T173" s="638">
        <v>169</v>
      </c>
      <c r="U173" s="638">
        <f t="shared" si="99"/>
        <v>-0.99907411510222999</v>
      </c>
      <c r="Y173" s="635"/>
    </row>
    <row r="174" spans="7:29">
      <c r="T174" s="638">
        <v>170</v>
      </c>
      <c r="U174" s="638">
        <f t="shared" si="99"/>
        <v>-0.99966664851051124</v>
      </c>
      <c r="Y174" s="635"/>
    </row>
    <row r="175" spans="7:29">
      <c r="T175" s="638">
        <v>171</v>
      </c>
      <c r="U175" s="638">
        <f t="shared" si="99"/>
        <v>-0.99996295911626554</v>
      </c>
      <c r="Y175" s="635"/>
    </row>
    <row r="176" spans="7:29">
      <c r="T176" s="638">
        <v>172</v>
      </c>
      <c r="U176" s="638">
        <f t="shared" si="99"/>
        <v>-0.99996295911626554</v>
      </c>
    </row>
    <row r="177" spans="20:21">
      <c r="T177" s="638">
        <v>173</v>
      </c>
      <c r="U177" s="638">
        <f t="shared" si="99"/>
        <v>-0.99966664851051124</v>
      </c>
    </row>
    <row r="178" spans="20:21">
      <c r="T178" s="638">
        <v>174</v>
      </c>
      <c r="U178" s="638">
        <f t="shared" si="99"/>
        <v>-0.99907411510222999</v>
      </c>
    </row>
    <row r="179" spans="20:21">
      <c r="T179" s="638">
        <v>175</v>
      </c>
      <c r="U179" s="638">
        <f t="shared" si="99"/>
        <v>-0.99818553447185865</v>
      </c>
    </row>
    <row r="180" spans="20:21">
      <c r="T180" s="638">
        <v>176</v>
      </c>
      <c r="U180" s="638">
        <f t="shared" si="99"/>
        <v>-0.99700116992501508</v>
      </c>
    </row>
    <row r="181" spans="20:21">
      <c r="T181" s="638">
        <v>177</v>
      </c>
      <c r="U181" s="638">
        <f t="shared" si="99"/>
        <v>-0.99552137241447525</v>
      </c>
    </row>
    <row r="182" spans="20:21">
      <c r="T182" s="638">
        <v>178</v>
      </c>
      <c r="U182" s="638">
        <f t="shared" si="99"/>
        <v>-0.99374658043617814</v>
      </c>
    </row>
    <row r="183" spans="20:21">
      <c r="T183" s="638">
        <v>179</v>
      </c>
      <c r="U183" s="638">
        <f t="shared" si="99"/>
        <v>-0.99167731989929009</v>
      </c>
    </row>
    <row r="184" spans="20:21">
      <c r="T184" s="638">
        <v>180</v>
      </c>
      <c r="U184" s="638">
        <f t="shared" si="99"/>
        <v>-0.9893142039703664</v>
      </c>
    </row>
    <row r="185" spans="20:21">
      <c r="T185" s="638">
        <v>181</v>
      </c>
      <c r="U185" s="638">
        <f t="shared" si="99"/>
        <v>-0.98665793289165715</v>
      </c>
    </row>
    <row r="186" spans="20:21">
      <c r="T186" s="638">
        <v>182</v>
      </c>
      <c r="U186" s="638">
        <f t="shared" si="99"/>
        <v>-0.98370929377360972</v>
      </c>
    </row>
    <row r="187" spans="20:21">
      <c r="T187" s="638">
        <v>183</v>
      </c>
      <c r="U187" s="638">
        <f t="shared" si="99"/>
        <v>-0.98046916036163212</v>
      </c>
    </row>
    <row r="188" spans="20:21">
      <c r="T188" s="638">
        <v>184</v>
      </c>
      <c r="U188" s="638">
        <f t="shared" si="99"/>
        <v>-0.97693849277718159</v>
      </c>
    </row>
    <row r="189" spans="20:21">
      <c r="T189" s="638">
        <v>185</v>
      </c>
      <c r="U189" s="638">
        <f t="shared" si="99"/>
        <v>-0.97311833723326202</v>
      </c>
    </row>
    <row r="190" spans="20:21">
      <c r="T190" s="638">
        <v>186</v>
      </c>
      <c r="U190" s="638">
        <f t="shared" si="99"/>
        <v>-0.96900982572440619</v>
      </c>
    </row>
    <row r="191" spans="20:21">
      <c r="T191" s="638">
        <v>187</v>
      </c>
      <c r="U191" s="638">
        <f t="shared" si="99"/>
        <v>-0.96461417569124364</v>
      </c>
    </row>
    <row r="192" spans="20:21">
      <c r="T192" s="638">
        <v>188</v>
      </c>
      <c r="U192" s="638">
        <f t="shared" si="99"/>
        <v>-0.95993268965974454</v>
      </c>
    </row>
    <row r="193" spans="20:21">
      <c r="T193" s="638">
        <v>189</v>
      </c>
      <c r="U193" s="638">
        <f t="shared" si="99"/>
        <v>-0.9549667548552554</v>
      </c>
    </row>
    <row r="194" spans="20:21">
      <c r="T194" s="638">
        <v>190</v>
      </c>
      <c r="U194" s="638">
        <f t="shared" si="99"/>
        <v>-0.9497178427914319</v>
      </c>
    </row>
    <row r="195" spans="20:21">
      <c r="T195" s="638">
        <v>191</v>
      </c>
      <c r="U195" s="638">
        <f t="shared" si="99"/>
        <v>-0.94418750883419966</v>
      </c>
    </row>
    <row r="196" spans="20:21">
      <c r="T196" s="638">
        <v>192</v>
      </c>
      <c r="U196" s="638">
        <f t="shared" si="99"/>
        <v>-0.9383773917408641</v>
      </c>
    </row>
    <row r="197" spans="20:21">
      <c r="T197" s="638">
        <v>193</v>
      </c>
      <c r="U197" s="638">
        <f t="shared" si="99"/>
        <v>-0.93228921317451341</v>
      </c>
    </row>
    <row r="198" spans="20:21">
      <c r="T198" s="638">
        <v>194</v>
      </c>
      <c r="U198" s="638">
        <f t="shared" ref="U198:U261" si="108">SIN((T198+365/4+11)/365*2*PI())</f>
        <v>-0.9259247771938498</v>
      </c>
    </row>
    <row r="199" spans="20:21">
      <c r="T199" s="638">
        <v>195</v>
      </c>
      <c r="U199" s="638">
        <f t="shared" si="108"/>
        <v>-0.91928596971861054</v>
      </c>
    </row>
    <row r="200" spans="20:21">
      <c r="T200" s="638">
        <v>196</v>
      </c>
      <c r="U200" s="638">
        <f t="shared" si="108"/>
        <v>-0.91237475797072731</v>
      </c>
    </row>
    <row r="201" spans="20:21">
      <c r="T201" s="638">
        <v>197</v>
      </c>
      <c r="U201" s="638">
        <f t="shared" si="108"/>
        <v>-0.90519318989139774</v>
      </c>
    </row>
    <row r="202" spans="20:21">
      <c r="T202" s="638">
        <v>198</v>
      </c>
      <c r="U202" s="638">
        <f t="shared" si="108"/>
        <v>-0.89774339353423382</v>
      </c>
    </row>
    <row r="203" spans="20:21">
      <c r="T203" s="638">
        <v>199</v>
      </c>
      <c r="U203" s="638">
        <f t="shared" si="108"/>
        <v>-0.890027576434677</v>
      </c>
    </row>
    <row r="204" spans="20:21">
      <c r="T204" s="638">
        <v>200</v>
      </c>
      <c r="U204" s="638">
        <f t="shared" si="108"/>
        <v>-0.88204802495585388</v>
      </c>
    </row>
    <row r="205" spans="20:21">
      <c r="T205" s="638">
        <v>201</v>
      </c>
      <c r="U205" s="638">
        <f t="shared" si="108"/>
        <v>-0.87380710361108127</v>
      </c>
    </row>
    <row r="206" spans="20:21">
      <c r="T206" s="638">
        <v>202</v>
      </c>
      <c r="U206" s="638">
        <f t="shared" si="108"/>
        <v>-0.86530725436320599</v>
      </c>
    </row>
    <row r="207" spans="20:21">
      <c r="T207" s="638">
        <v>203</v>
      </c>
      <c r="U207" s="638">
        <f t="shared" si="108"/>
        <v>-0.8565509959010037</v>
      </c>
    </row>
    <row r="208" spans="20:21">
      <c r="T208" s="638">
        <v>204</v>
      </c>
      <c r="U208" s="638">
        <f t="shared" si="108"/>
        <v>-0.84754092289283101</v>
      </c>
    </row>
    <row r="209" spans="20:21">
      <c r="T209" s="638">
        <v>205</v>
      </c>
      <c r="U209" s="638">
        <f t="shared" si="108"/>
        <v>-0.83827970521777451</v>
      </c>
    </row>
    <row r="210" spans="20:21">
      <c r="T210" s="638">
        <v>206</v>
      </c>
      <c r="U210" s="638">
        <f t="shared" si="108"/>
        <v>-0.82877008717450373</v>
      </c>
    </row>
    <row r="211" spans="20:21">
      <c r="T211" s="638">
        <v>207</v>
      </c>
      <c r="U211" s="638">
        <f t="shared" si="108"/>
        <v>-0.8190148866680802</v>
      </c>
    </row>
    <row r="212" spans="20:21">
      <c r="T212" s="638">
        <v>208</v>
      </c>
      <c r="U212" s="638">
        <f t="shared" si="108"/>
        <v>-0.80901699437494756</v>
      </c>
    </row>
    <row r="213" spans="20:21">
      <c r="T213" s="638">
        <v>209</v>
      </c>
      <c r="U213" s="638">
        <f t="shared" si="108"/>
        <v>-0.79877937288636536</v>
      </c>
    </row>
    <row r="214" spans="20:21">
      <c r="T214" s="638">
        <v>210</v>
      </c>
      <c r="U214" s="638">
        <f t="shared" si="108"/>
        <v>-0.78830505583052568</v>
      </c>
    </row>
    <row r="215" spans="20:21">
      <c r="T215" s="638">
        <v>211</v>
      </c>
      <c r="U215" s="638">
        <f t="shared" si="108"/>
        <v>-0.77759714697362692</v>
      </c>
    </row>
    <row r="216" spans="20:21">
      <c r="T216" s="638">
        <v>212</v>
      </c>
      <c r="U216" s="638">
        <f t="shared" si="108"/>
        <v>-0.76665881930015889</v>
      </c>
    </row>
    <row r="217" spans="20:21">
      <c r="T217" s="638">
        <v>213</v>
      </c>
      <c r="U217" s="638">
        <f t="shared" si="108"/>
        <v>-0.7554933140726805</v>
      </c>
    </row>
    <row r="218" spans="20:21">
      <c r="T218" s="638">
        <v>214</v>
      </c>
      <c r="U218" s="638">
        <f t="shared" si="108"/>
        <v>-0.74410393987136059</v>
      </c>
    </row>
    <row r="219" spans="20:21">
      <c r="T219" s="638">
        <v>215</v>
      </c>
      <c r="U219" s="638">
        <f t="shared" si="108"/>
        <v>-0.73249407161357916</v>
      </c>
    </row>
    <row r="220" spans="20:21">
      <c r="T220" s="638">
        <v>216</v>
      </c>
      <c r="U220" s="638">
        <f t="shared" si="108"/>
        <v>-0.72066714955386113</v>
      </c>
    </row>
    <row r="221" spans="20:21">
      <c r="T221" s="638">
        <v>217</v>
      </c>
      <c r="U221" s="638">
        <f t="shared" si="108"/>
        <v>-0.70862667826446013</v>
      </c>
    </row>
    <row r="222" spans="20:21">
      <c r="T222" s="638">
        <v>218</v>
      </c>
      <c r="U222" s="638">
        <f t="shared" si="108"/>
        <v>-0.6963762255968724</v>
      </c>
    </row>
    <row r="223" spans="20:21">
      <c r="T223" s="638">
        <v>219</v>
      </c>
      <c r="U223" s="638">
        <f t="shared" si="108"/>
        <v>-0.68391942162461117</v>
      </c>
    </row>
    <row r="224" spans="20:21">
      <c r="T224" s="638">
        <v>220</v>
      </c>
      <c r="U224" s="638">
        <f t="shared" si="108"/>
        <v>-0.67125995756753187</v>
      </c>
    </row>
    <row r="225" spans="20:21">
      <c r="T225" s="638">
        <v>221</v>
      </c>
      <c r="U225" s="638">
        <f t="shared" si="108"/>
        <v>-0.65840158469804899</v>
      </c>
    </row>
    <row r="226" spans="20:21">
      <c r="T226" s="638">
        <v>222</v>
      </c>
      <c r="U226" s="638">
        <f t="shared" si="108"/>
        <v>-0.64534811322954999</v>
      </c>
    </row>
    <row r="227" spans="20:21">
      <c r="T227" s="638">
        <v>223</v>
      </c>
      <c r="U227" s="638">
        <f t="shared" si="108"/>
        <v>-0.63210341118734892</v>
      </c>
    </row>
    <row r="228" spans="20:21">
      <c r="T228" s="638">
        <v>224</v>
      </c>
      <c r="U228" s="638">
        <f t="shared" si="108"/>
        <v>-0.61867140326250336</v>
      </c>
    </row>
    <row r="229" spans="20:21">
      <c r="T229" s="638">
        <v>225</v>
      </c>
      <c r="U229" s="638">
        <f t="shared" si="108"/>
        <v>-0.60505606964884939</v>
      </c>
    </row>
    <row r="230" spans="20:21">
      <c r="T230" s="638">
        <v>226</v>
      </c>
      <c r="U230" s="638">
        <f t="shared" si="108"/>
        <v>-0.59126144486357834</v>
      </c>
    </row>
    <row r="231" spans="20:21">
      <c r="T231" s="638">
        <v>227</v>
      </c>
      <c r="U231" s="638">
        <f t="shared" si="108"/>
        <v>-0.57729161655172789</v>
      </c>
    </row>
    <row r="232" spans="20:21">
      <c r="T232" s="638">
        <v>228</v>
      </c>
      <c r="U232" s="638">
        <f t="shared" si="108"/>
        <v>-0.56315072427491886</v>
      </c>
    </row>
    <row r="233" spans="20:21">
      <c r="T233" s="638">
        <v>229</v>
      </c>
      <c r="U233" s="638">
        <f t="shared" si="108"/>
        <v>-0.54884295828471996</v>
      </c>
    </row>
    <row r="234" spans="20:21">
      <c r="T234" s="638">
        <v>230</v>
      </c>
      <c r="U234" s="638">
        <f t="shared" si="108"/>
        <v>-0.53437255828097929</v>
      </c>
    </row>
    <row r="235" spans="20:21">
      <c r="T235" s="638">
        <v>231</v>
      </c>
      <c r="U235" s="638">
        <f t="shared" si="108"/>
        <v>-0.51974381215551568</v>
      </c>
    </row>
    <row r="236" spans="20:21">
      <c r="T236" s="638">
        <v>232</v>
      </c>
      <c r="U236" s="638">
        <f t="shared" si="108"/>
        <v>-0.5049610547215202</v>
      </c>
    </row>
    <row r="237" spans="20:21">
      <c r="T237" s="638">
        <v>233</v>
      </c>
      <c r="U237" s="638">
        <f t="shared" si="108"/>
        <v>-0.49002866642905946</v>
      </c>
    </row>
    <row r="238" spans="20:21">
      <c r="T238" s="638">
        <v>234</v>
      </c>
      <c r="U238" s="638">
        <f t="shared" si="108"/>
        <v>-0.47495107206705023</v>
      </c>
    </row>
    <row r="239" spans="20:21">
      <c r="T239" s="638">
        <v>235</v>
      </c>
      <c r="U239" s="638">
        <f t="shared" si="108"/>
        <v>-0.45973273945210463</v>
      </c>
    </row>
    <row r="240" spans="20:21">
      <c r="T240" s="638">
        <v>236</v>
      </c>
      <c r="U240" s="638">
        <f t="shared" si="108"/>
        <v>-0.44437817810461344</v>
      </c>
    </row>
    <row r="241" spans="20:21">
      <c r="T241" s="638">
        <v>237</v>
      </c>
      <c r="U241" s="638">
        <f t="shared" si="108"/>
        <v>-0.42889193791248414</v>
      </c>
    </row>
    <row r="242" spans="20:21">
      <c r="T242" s="638">
        <v>238</v>
      </c>
      <c r="U242" s="638">
        <f t="shared" si="108"/>
        <v>-0.41327860778290448</v>
      </c>
    </row>
    <row r="243" spans="20:21">
      <c r="T243" s="638">
        <v>239</v>
      </c>
      <c r="U243" s="638">
        <f t="shared" si="108"/>
        <v>-0.39754281428255667</v>
      </c>
    </row>
    <row r="244" spans="20:21">
      <c r="T244" s="638">
        <v>240</v>
      </c>
      <c r="U244" s="638">
        <f t="shared" si="108"/>
        <v>-0.38168922026665947</v>
      </c>
    </row>
    <row r="245" spans="20:21">
      <c r="T245" s="638">
        <v>241</v>
      </c>
      <c r="U245" s="638">
        <f t="shared" si="108"/>
        <v>-0.36572252349726925</v>
      </c>
    </row>
    <row r="246" spans="20:21">
      <c r="T246" s="638">
        <v>242</v>
      </c>
      <c r="U246" s="638">
        <f t="shared" si="108"/>
        <v>-0.34964745525122831</v>
      </c>
    </row>
    <row r="247" spans="20:21">
      <c r="T247" s="638">
        <v>243</v>
      </c>
      <c r="U247" s="638">
        <f t="shared" si="108"/>
        <v>-0.33346877891818716</v>
      </c>
    </row>
    <row r="248" spans="20:21">
      <c r="T248" s="638">
        <v>244</v>
      </c>
      <c r="U248" s="638">
        <f t="shared" si="108"/>
        <v>-0.317191288589106</v>
      </c>
    </row>
    <row r="249" spans="20:21">
      <c r="T249" s="638">
        <v>245</v>
      </c>
      <c r="U249" s="638">
        <f t="shared" si="108"/>
        <v>-0.30081980763566807</v>
      </c>
    </row>
    <row r="250" spans="20:21">
      <c r="T250" s="638">
        <v>246</v>
      </c>
      <c r="U250" s="638">
        <f t="shared" si="108"/>
        <v>-0.28435918728100368</v>
      </c>
    </row>
    <row r="251" spans="20:21">
      <c r="T251" s="638">
        <v>247</v>
      </c>
      <c r="U251" s="638">
        <f t="shared" si="108"/>
        <v>-0.26781430516217491</v>
      </c>
    </row>
    <row r="252" spans="20:21">
      <c r="T252" s="638">
        <v>248</v>
      </c>
      <c r="U252" s="638">
        <f t="shared" si="108"/>
        <v>-0.25119006388481963</v>
      </c>
    </row>
    <row r="253" spans="20:21">
      <c r="T253" s="638">
        <v>249</v>
      </c>
      <c r="U253" s="638">
        <f t="shared" si="108"/>
        <v>-0.23449138957041057</v>
      </c>
    </row>
    <row r="254" spans="20:21">
      <c r="T254" s="638">
        <v>250</v>
      </c>
      <c r="U254" s="638">
        <f t="shared" si="108"/>
        <v>-0.2177232303965323</v>
      </c>
    </row>
    <row r="255" spans="20:21">
      <c r="T255" s="638">
        <v>251</v>
      </c>
      <c r="U255" s="638">
        <f t="shared" si="108"/>
        <v>-0.20089055513063533</v>
      </c>
    </row>
    <row r="256" spans="20:21">
      <c r="T256" s="638">
        <v>252</v>
      </c>
      <c r="U256" s="638">
        <f t="shared" si="108"/>
        <v>-0.18399835165767991</v>
      </c>
    </row>
    <row r="257" spans="20:21">
      <c r="T257" s="638">
        <v>253</v>
      </c>
      <c r="U257" s="638">
        <f t="shared" si="108"/>
        <v>-0.16705162550211955</v>
      </c>
    </row>
    <row r="258" spans="20:21">
      <c r="T258" s="638">
        <v>254</v>
      </c>
      <c r="U258" s="638">
        <f t="shared" si="108"/>
        <v>-0.15005539834465267</v>
      </c>
    </row>
    <row r="259" spans="20:21">
      <c r="T259" s="638">
        <v>255</v>
      </c>
      <c r="U259" s="638">
        <f t="shared" si="108"/>
        <v>-0.13301470653419642</v>
      </c>
    </row>
    <row r="260" spans="20:21">
      <c r="T260" s="638">
        <v>256</v>
      </c>
      <c r="U260" s="638">
        <f t="shared" si="108"/>
        <v>-0.11593459959550072</v>
      </c>
    </row>
    <row r="261" spans="20:21">
      <c r="T261" s="638">
        <v>257</v>
      </c>
      <c r="U261" s="638">
        <f t="shared" si="108"/>
        <v>-9.8820138732872181E-2</v>
      </c>
    </row>
    <row r="262" spans="20:21">
      <c r="T262" s="638">
        <v>258</v>
      </c>
      <c r="U262" s="638">
        <f t="shared" ref="U262:U325" si="109">SIN((T262+365/4+11)/365*2*PI())</f>
        <v>-8.1676395330422938E-2</v>
      </c>
    </row>
    <row r="263" spans="20:21">
      <c r="T263" s="638">
        <v>259</v>
      </c>
      <c r="U263" s="638">
        <f t="shared" si="109"/>
        <v>-6.4508449449317204E-2</v>
      </c>
    </row>
    <row r="264" spans="20:21">
      <c r="T264" s="638">
        <v>260</v>
      </c>
      <c r="U264" s="638">
        <f t="shared" si="109"/>
        <v>-4.7321388322432378E-2</v>
      </c>
    </row>
    <row r="265" spans="20:21">
      <c r="T265" s="638">
        <v>261</v>
      </c>
      <c r="U265" s="638">
        <f t="shared" si="109"/>
        <v>-3.0120304846908422E-2</v>
      </c>
    </row>
    <row r="266" spans="20:21">
      <c r="T266" s="638">
        <v>262</v>
      </c>
      <c r="U266" s="638">
        <f t="shared" si="109"/>
        <v>-1.2910296075008904E-2</v>
      </c>
    </row>
    <row r="267" spans="20:21">
      <c r="T267" s="638">
        <v>263</v>
      </c>
      <c r="U267" s="638">
        <f t="shared" si="109"/>
        <v>4.3035382962437595E-3</v>
      </c>
    </row>
    <row r="268" spans="20:21">
      <c r="T268" s="638">
        <v>264</v>
      </c>
      <c r="U268" s="638">
        <f t="shared" si="109"/>
        <v>2.1516097436221283E-2</v>
      </c>
    </row>
    <row r="269" spans="20:21">
      <c r="T269" s="638">
        <v>265</v>
      </c>
      <c r="U269" s="638">
        <f t="shared" si="109"/>
        <v>3.872228089217393E-2</v>
      </c>
    </row>
    <row r="270" spans="20:21">
      <c r="T270" s="638">
        <v>266</v>
      </c>
      <c r="U270" s="638">
        <f t="shared" si="109"/>
        <v>5.5916990100603844E-2</v>
      </c>
    </row>
    <row r="271" spans="20:21">
      <c r="T271" s="638">
        <v>267</v>
      </c>
      <c r="U271" s="638">
        <f t="shared" si="109"/>
        <v>7.3095129898076802E-2</v>
      </c>
    </row>
    <row r="272" spans="20:21">
      <c r="T272" s="638">
        <v>268</v>
      </c>
      <c r="U272" s="638">
        <f t="shared" si="109"/>
        <v>9.0251610031041526E-2</v>
      </c>
    </row>
    <row r="273" spans="20:21">
      <c r="T273" s="638">
        <v>269</v>
      </c>
      <c r="U273" s="638">
        <f t="shared" si="109"/>
        <v>0.10738134666416212</v>
      </c>
    </row>
    <row r="274" spans="20:21">
      <c r="T274" s="638">
        <v>270</v>
      </c>
      <c r="U274" s="638">
        <f t="shared" si="109"/>
        <v>0.12447926388678951</v>
      </c>
    </row>
    <row r="275" spans="20:21">
      <c r="T275" s="638">
        <v>271</v>
      </c>
      <c r="U275" s="638">
        <f t="shared" si="109"/>
        <v>0.14154029521704292</v>
      </c>
    </row>
    <row r="276" spans="20:21">
      <c r="T276" s="638">
        <v>272</v>
      </c>
      <c r="U276" s="638">
        <f t="shared" si="109"/>
        <v>0.15855938510313469</v>
      </c>
    </row>
    <row r="277" spans="20:21">
      <c r="T277" s="638">
        <v>273</v>
      </c>
      <c r="U277" s="638">
        <f t="shared" si="109"/>
        <v>0.17553149042142768</v>
      </c>
    </row>
    <row r="278" spans="20:21">
      <c r="T278" s="638">
        <v>274</v>
      </c>
      <c r="U278" s="638">
        <f t="shared" si="109"/>
        <v>0.1924515819708299</v>
      </c>
    </row>
    <row r="279" spans="20:21">
      <c r="T279" s="638">
        <v>275</v>
      </c>
      <c r="U279" s="638">
        <f t="shared" si="109"/>
        <v>0.20931464596304794</v>
      </c>
    </row>
    <row r="280" spans="20:21">
      <c r="T280" s="638">
        <v>276</v>
      </c>
      <c r="U280" s="638">
        <f t="shared" si="109"/>
        <v>0.22611568550828798</v>
      </c>
    </row>
    <row r="281" spans="20:21">
      <c r="T281" s="638">
        <v>277</v>
      </c>
      <c r="U281" s="638">
        <f t="shared" si="109"/>
        <v>0.24284972209593575</v>
      </c>
    </row>
    <row r="282" spans="20:21">
      <c r="T282" s="638">
        <v>278</v>
      </c>
      <c r="U282" s="638">
        <f t="shared" si="109"/>
        <v>0.25951179706979938</v>
      </c>
    </row>
    <row r="283" spans="20:21">
      <c r="T283" s="638">
        <v>279</v>
      </c>
      <c r="U283" s="638">
        <f t="shared" si="109"/>
        <v>0.27609697309746878</v>
      </c>
    </row>
    <row r="284" spans="20:21">
      <c r="T284" s="638">
        <v>280</v>
      </c>
      <c r="U284" s="638">
        <f t="shared" si="109"/>
        <v>0.29260033563334786</v>
      </c>
    </row>
    <row r="285" spans="20:21">
      <c r="T285" s="638">
        <v>281</v>
      </c>
      <c r="U285" s="638">
        <f t="shared" si="109"/>
        <v>0.30901699437494717</v>
      </c>
    </row>
    <row r="286" spans="20:21">
      <c r="T286" s="638">
        <v>282</v>
      </c>
      <c r="U286" s="638">
        <f t="shared" si="109"/>
        <v>0.32534208471197945</v>
      </c>
    </row>
    <row r="287" spans="20:21">
      <c r="T287" s="638">
        <v>283</v>
      </c>
      <c r="U287" s="638">
        <f t="shared" si="109"/>
        <v>0.34157076916785512</v>
      </c>
    </row>
    <row r="288" spans="20:21">
      <c r="T288" s="638">
        <v>284</v>
      </c>
      <c r="U288" s="638">
        <f t="shared" si="109"/>
        <v>0.35769823883312457</v>
      </c>
    </row>
    <row r="289" spans="20:21">
      <c r="T289" s="638">
        <v>285</v>
      </c>
      <c r="U289" s="638">
        <f t="shared" si="109"/>
        <v>0.37371971479046834</v>
      </c>
    </row>
    <row r="290" spans="20:21">
      <c r="T290" s="638">
        <v>286</v>
      </c>
      <c r="U290" s="638">
        <f t="shared" si="109"/>
        <v>0.38963044953078851</v>
      </c>
    </row>
    <row r="291" spans="20:21">
      <c r="T291" s="638">
        <v>287</v>
      </c>
      <c r="U291" s="638">
        <f t="shared" si="109"/>
        <v>0.40542572835999646</v>
      </c>
    </row>
    <row r="292" spans="20:21">
      <c r="T292" s="638">
        <v>288</v>
      </c>
      <c r="U292" s="638">
        <f t="shared" si="109"/>
        <v>0.42110087079608993</v>
      </c>
    </row>
    <row r="293" spans="20:21">
      <c r="T293" s="638">
        <v>289</v>
      </c>
      <c r="U293" s="638">
        <f t="shared" si="109"/>
        <v>0.43665123195606298</v>
      </c>
    </row>
    <row r="294" spans="20:21">
      <c r="T294" s="638">
        <v>290</v>
      </c>
      <c r="U294" s="638">
        <f t="shared" si="109"/>
        <v>0.45207220393230446</v>
      </c>
    </row>
    <row r="295" spans="20:21">
      <c r="T295" s="638">
        <v>291</v>
      </c>
      <c r="U295" s="638">
        <f t="shared" si="109"/>
        <v>0.46735921715800199</v>
      </c>
    </row>
    <row r="296" spans="20:21">
      <c r="T296" s="638">
        <v>292</v>
      </c>
      <c r="U296" s="638">
        <f t="shared" si="109"/>
        <v>0.48250774176121836</v>
      </c>
    </row>
    <row r="297" spans="20:21">
      <c r="T297" s="638">
        <v>293</v>
      </c>
      <c r="U297" s="638">
        <f t="shared" si="109"/>
        <v>0.49751328890718022</v>
      </c>
    </row>
    <row r="298" spans="20:21">
      <c r="T298" s="638">
        <v>294</v>
      </c>
      <c r="U298" s="638">
        <f t="shared" si="109"/>
        <v>0.51237141212842341</v>
      </c>
    </row>
    <row r="299" spans="20:21">
      <c r="T299" s="638">
        <v>295</v>
      </c>
      <c r="U299" s="638">
        <f t="shared" si="109"/>
        <v>0.52707770864237236</v>
      </c>
    </row>
    <row r="300" spans="20:21">
      <c r="T300" s="638">
        <v>296</v>
      </c>
      <c r="U300" s="638">
        <f t="shared" si="109"/>
        <v>0.54162782065598114</v>
      </c>
    </row>
    <row r="301" spans="20:21">
      <c r="T301" s="638">
        <v>297</v>
      </c>
      <c r="U301" s="638">
        <f t="shared" si="109"/>
        <v>0.55601743665704451</v>
      </c>
    </row>
    <row r="302" spans="20:21">
      <c r="T302" s="638">
        <v>298</v>
      </c>
      <c r="U302" s="638">
        <f t="shared" si="109"/>
        <v>0.57024229269178661</v>
      </c>
    </row>
    <row r="303" spans="20:21">
      <c r="T303" s="638">
        <v>299</v>
      </c>
      <c r="U303" s="638">
        <f t="shared" si="109"/>
        <v>0.58429817362836833</v>
      </c>
    </row>
    <row r="304" spans="20:21">
      <c r="T304" s="638">
        <v>300</v>
      </c>
      <c r="U304" s="638">
        <f t="shared" si="109"/>
        <v>0.59818091440591581</v>
      </c>
    </row>
    <row r="305" spans="20:21">
      <c r="T305" s="638">
        <v>301</v>
      </c>
      <c r="U305" s="638">
        <f t="shared" si="109"/>
        <v>0.61188640126872407</v>
      </c>
    </row>
    <row r="306" spans="20:21">
      <c r="T306" s="638">
        <v>302</v>
      </c>
      <c r="U306" s="638">
        <f t="shared" si="109"/>
        <v>0.62541057298524561</v>
      </c>
    </row>
    <row r="307" spans="20:21">
      <c r="T307" s="638">
        <v>303</v>
      </c>
      <c r="U307" s="638">
        <f t="shared" si="109"/>
        <v>0.63874942205152674</v>
      </c>
    </row>
    <row r="308" spans="20:21">
      <c r="T308" s="638">
        <v>304</v>
      </c>
      <c r="U308" s="638">
        <f t="shared" si="109"/>
        <v>0.6518989958787117</v>
      </c>
    </row>
    <row r="309" spans="20:21">
      <c r="T309" s="638">
        <v>305</v>
      </c>
      <c r="U309" s="638">
        <f t="shared" si="109"/>
        <v>0.66485539796428594</v>
      </c>
    </row>
    <row r="310" spans="20:21">
      <c r="T310" s="638">
        <v>306</v>
      </c>
      <c r="U310" s="638">
        <f t="shared" si="109"/>
        <v>0.67761478904668937</v>
      </c>
    </row>
    <row r="311" spans="20:21">
      <c r="T311" s="638">
        <v>307</v>
      </c>
      <c r="U311" s="638">
        <f t="shared" si="109"/>
        <v>0.69017338824297136</v>
      </c>
    </row>
    <row r="312" spans="20:21">
      <c r="T312" s="638">
        <v>308</v>
      </c>
      <c r="U312" s="638">
        <f t="shared" si="109"/>
        <v>0.70252747416915717</v>
      </c>
    </row>
    <row r="313" spans="20:21">
      <c r="T313" s="638">
        <v>309</v>
      </c>
      <c r="U313" s="638">
        <f t="shared" si="109"/>
        <v>0.71467338604296082</v>
      </c>
    </row>
    <row r="314" spans="20:21">
      <c r="T314" s="638">
        <v>310</v>
      </c>
      <c r="U314" s="638">
        <f t="shared" si="109"/>
        <v>0.72660752476856572</v>
      </c>
    </row>
    <row r="315" spans="20:21">
      <c r="T315" s="638">
        <v>311</v>
      </c>
      <c r="U315" s="638">
        <f t="shared" si="109"/>
        <v>0.7383263540031062</v>
      </c>
    </row>
    <row r="316" spans="20:21">
      <c r="T316" s="638">
        <v>312</v>
      </c>
      <c r="U316" s="638">
        <f t="shared" si="109"/>
        <v>0.74982640120456856</v>
      </c>
    </row>
    <row r="317" spans="20:21">
      <c r="T317" s="638">
        <v>313</v>
      </c>
      <c r="U317" s="638">
        <f t="shared" si="109"/>
        <v>0.76110425866077425</v>
      </c>
    </row>
    <row r="318" spans="20:21">
      <c r="T318" s="638">
        <v>314</v>
      </c>
      <c r="U318" s="638">
        <f t="shared" si="109"/>
        <v>0.77215658449916413</v>
      </c>
    </row>
    <row r="319" spans="20:21">
      <c r="T319" s="638">
        <v>315</v>
      </c>
      <c r="U319" s="638">
        <f t="shared" si="109"/>
        <v>0.78298010367706294</v>
      </c>
    </row>
    <row r="320" spans="20:21">
      <c r="T320" s="638">
        <v>316</v>
      </c>
      <c r="U320" s="638">
        <f t="shared" si="109"/>
        <v>0.79357160895214718</v>
      </c>
    </row>
    <row r="321" spans="20:21">
      <c r="T321" s="638">
        <v>317</v>
      </c>
      <c r="U321" s="638">
        <f t="shared" si="109"/>
        <v>0.80392796183282134</v>
      </c>
    </row>
    <row r="322" spans="20:21">
      <c r="T322" s="638">
        <v>318</v>
      </c>
      <c r="U322" s="638">
        <f t="shared" si="109"/>
        <v>0.81404609350821744</v>
      </c>
    </row>
    <row r="323" spans="20:21">
      <c r="T323" s="638">
        <v>319</v>
      </c>
      <c r="U323" s="638">
        <f t="shared" si="109"/>
        <v>0.82392300575755406</v>
      </c>
    </row>
    <row r="324" spans="20:21">
      <c r="T324" s="638">
        <v>320</v>
      </c>
      <c r="U324" s="638">
        <f t="shared" si="109"/>
        <v>0.83355577183856944</v>
      </c>
    </row>
    <row r="325" spans="20:21">
      <c r="T325" s="638">
        <v>321</v>
      </c>
      <c r="U325" s="638">
        <f t="shared" si="109"/>
        <v>0.84294153735478261</v>
      </c>
    </row>
    <row r="326" spans="20:21">
      <c r="T326" s="638">
        <v>322</v>
      </c>
      <c r="U326" s="638">
        <f t="shared" ref="U326:U369" si="110">SIN((T326+365/4+11)/365*2*PI())</f>
        <v>0.85207752110130874</v>
      </c>
    </row>
    <row r="327" spans="20:21">
      <c r="T327" s="638">
        <v>323</v>
      </c>
      <c r="U327" s="638">
        <f t="shared" si="110"/>
        <v>0.8609610158889941</v>
      </c>
    </row>
    <row r="328" spans="20:21">
      <c r="T328" s="638">
        <v>324</v>
      </c>
      <c r="U328" s="638">
        <f t="shared" si="110"/>
        <v>0.86958938934661045</v>
      </c>
    </row>
    <row r="329" spans="20:21">
      <c r="T329" s="638">
        <v>325</v>
      </c>
      <c r="U329" s="638">
        <f t="shared" si="110"/>
        <v>0.87796008470088782</v>
      </c>
    </row>
    <row r="330" spans="20:21">
      <c r="T330" s="638">
        <v>326</v>
      </c>
      <c r="U330" s="638">
        <f t="shared" si="110"/>
        <v>0.88607062153413818</v>
      </c>
    </row>
    <row r="331" spans="20:21">
      <c r="T331" s="638">
        <v>327</v>
      </c>
      <c r="U331" s="638">
        <f t="shared" si="110"/>
        <v>0.89391859651925698</v>
      </c>
    </row>
    <row r="332" spans="20:21">
      <c r="T332" s="638">
        <v>328</v>
      </c>
      <c r="U332" s="638">
        <f t="shared" si="110"/>
        <v>0.90150168413188414</v>
      </c>
    </row>
    <row r="333" spans="20:21">
      <c r="T333" s="638">
        <v>329</v>
      </c>
      <c r="U333" s="638">
        <f t="shared" si="110"/>
        <v>0.90881763733950283</v>
      </c>
    </row>
    <row r="334" spans="20:21">
      <c r="T334" s="638">
        <v>330</v>
      </c>
      <c r="U334" s="638">
        <f t="shared" si="110"/>
        <v>0.91586428826728716</v>
      </c>
    </row>
    <row r="335" spans="20:21">
      <c r="T335" s="638">
        <v>331</v>
      </c>
      <c r="U335" s="638">
        <f t="shared" si="110"/>
        <v>0.92263954884048738</v>
      </c>
    </row>
    <row r="336" spans="20:21">
      <c r="T336" s="638">
        <v>332</v>
      </c>
      <c r="U336" s="638">
        <f t="shared" si="110"/>
        <v>0.9291414114031743</v>
      </c>
    </row>
    <row r="337" spans="20:21">
      <c r="T337" s="638">
        <v>333</v>
      </c>
      <c r="U337" s="638">
        <f t="shared" si="110"/>
        <v>0.93536794931314804</v>
      </c>
    </row>
    <row r="338" spans="20:21">
      <c r="T338" s="638">
        <v>334</v>
      </c>
      <c r="U338" s="638">
        <f t="shared" si="110"/>
        <v>0.94131731751284697</v>
      </c>
    </row>
    <row r="339" spans="20:21">
      <c r="T339" s="638">
        <v>335</v>
      </c>
      <c r="U339" s="638">
        <f t="shared" si="110"/>
        <v>0.9469877530760753</v>
      </c>
    </row>
    <row r="340" spans="20:21">
      <c r="T340" s="638">
        <v>336</v>
      </c>
      <c r="U340" s="638">
        <f t="shared" si="110"/>
        <v>0.95237757573039727</v>
      </c>
    </row>
    <row r="341" spans="20:21">
      <c r="T341" s="638">
        <v>337</v>
      </c>
      <c r="U341" s="638">
        <f t="shared" si="110"/>
        <v>0.95748518835503915</v>
      </c>
    </row>
    <row r="342" spans="20:21">
      <c r="T342" s="638">
        <v>338</v>
      </c>
      <c r="U342" s="638">
        <f t="shared" si="110"/>
        <v>0.96230907745414851</v>
      </c>
    </row>
    <row r="343" spans="20:21">
      <c r="T343" s="638">
        <v>339</v>
      </c>
      <c r="U343" s="638">
        <f t="shared" si="110"/>
        <v>0.9668478136052775</v>
      </c>
    </row>
    <row r="344" spans="20:21">
      <c r="T344" s="638">
        <v>340</v>
      </c>
      <c r="U344" s="638">
        <f t="shared" si="110"/>
        <v>0.97110005188295023</v>
      </c>
    </row>
    <row r="345" spans="20:21">
      <c r="T345" s="638">
        <v>341</v>
      </c>
      <c r="U345" s="638">
        <f t="shared" si="110"/>
        <v>0.97506453225719469</v>
      </c>
    </row>
    <row r="346" spans="20:21">
      <c r="T346" s="638">
        <v>342</v>
      </c>
      <c r="U346" s="638">
        <f t="shared" si="110"/>
        <v>0.97874007996691503</v>
      </c>
    </row>
    <row r="347" spans="20:21">
      <c r="T347" s="638">
        <v>343</v>
      </c>
      <c r="U347" s="638">
        <f t="shared" si="110"/>
        <v>0.98212560586800046</v>
      </c>
    </row>
    <row r="348" spans="20:21">
      <c r="T348" s="638">
        <v>344</v>
      </c>
      <c r="U348" s="638">
        <f t="shared" si="110"/>
        <v>0.98522010675606042</v>
      </c>
    </row>
    <row r="349" spans="20:21">
      <c r="T349" s="638">
        <v>345</v>
      </c>
      <c r="U349" s="638">
        <f t="shared" si="110"/>
        <v>0.98802266566369756</v>
      </c>
    </row>
    <row r="350" spans="20:21">
      <c r="T350" s="638">
        <v>346</v>
      </c>
      <c r="U350" s="638">
        <f t="shared" si="110"/>
        <v>0.99053245213222285</v>
      </c>
    </row>
    <row r="351" spans="20:21">
      <c r="T351" s="638">
        <v>347</v>
      </c>
      <c r="U351" s="638">
        <f t="shared" si="110"/>
        <v>0.99274872245774015</v>
      </c>
    </row>
    <row r="352" spans="20:21">
      <c r="T352" s="638">
        <v>348</v>
      </c>
      <c r="U352" s="638">
        <f t="shared" si="110"/>
        <v>0.99467081991152106</v>
      </c>
    </row>
    <row r="353" spans="20:21">
      <c r="T353" s="638">
        <v>349</v>
      </c>
      <c r="U353" s="638">
        <f t="shared" si="110"/>
        <v>0.99629817493460771</v>
      </c>
    </row>
    <row r="354" spans="20:21">
      <c r="T354" s="638">
        <v>350</v>
      </c>
      <c r="U354" s="638">
        <f t="shared" si="110"/>
        <v>0.9976303053065857</v>
      </c>
    </row>
    <row r="355" spans="20:21">
      <c r="T355" s="638">
        <v>351</v>
      </c>
      <c r="U355" s="638">
        <f t="shared" si="110"/>
        <v>0.99866681628847587</v>
      </c>
    </row>
    <row r="356" spans="20:21">
      <c r="T356" s="638">
        <v>352</v>
      </c>
      <c r="U356" s="638">
        <f t="shared" si="110"/>
        <v>0.9994074007397048</v>
      </c>
    </row>
    <row r="357" spans="20:21">
      <c r="T357" s="638">
        <v>353</v>
      </c>
      <c r="U357" s="638">
        <f t="shared" si="110"/>
        <v>0.99985183920911624</v>
      </c>
    </row>
    <row r="358" spans="20:21">
      <c r="T358" s="638">
        <v>354</v>
      </c>
      <c r="U358" s="638">
        <f t="shared" si="110"/>
        <v>1</v>
      </c>
    </row>
    <row r="359" spans="20:21">
      <c r="T359" s="638">
        <v>355</v>
      </c>
      <c r="U359" s="638">
        <f t="shared" si="110"/>
        <v>0.99985183920911624</v>
      </c>
    </row>
    <row r="360" spans="20:21">
      <c r="T360" s="638">
        <v>356</v>
      </c>
      <c r="U360" s="638">
        <f t="shared" si="110"/>
        <v>0.9994074007397048</v>
      </c>
    </row>
    <row r="361" spans="20:21">
      <c r="T361" s="638">
        <v>357</v>
      </c>
      <c r="U361" s="638">
        <f t="shared" si="110"/>
        <v>0.99866681628847598</v>
      </c>
    </row>
    <row r="362" spans="20:21">
      <c r="T362" s="638">
        <v>358</v>
      </c>
      <c r="U362" s="638">
        <f t="shared" si="110"/>
        <v>0.99763030530658581</v>
      </c>
    </row>
    <row r="363" spans="20:21">
      <c r="T363" s="638">
        <v>359</v>
      </c>
      <c r="U363" s="638">
        <f t="shared" si="110"/>
        <v>0.99629817493460782</v>
      </c>
    </row>
    <row r="364" spans="20:21">
      <c r="T364" s="638">
        <v>360</v>
      </c>
      <c r="U364" s="638">
        <f t="shared" si="110"/>
        <v>0.99467081991152118</v>
      </c>
    </row>
    <row r="365" spans="20:21">
      <c r="T365" s="638">
        <v>361</v>
      </c>
      <c r="U365" s="638">
        <f t="shared" si="110"/>
        <v>0.99274872245774026</v>
      </c>
    </row>
    <row r="366" spans="20:21">
      <c r="T366" s="638">
        <v>362</v>
      </c>
      <c r="U366" s="638">
        <f t="shared" si="110"/>
        <v>0.99053245213222296</v>
      </c>
    </row>
    <row r="367" spans="20:21">
      <c r="T367" s="638">
        <v>363</v>
      </c>
      <c r="U367" s="638">
        <f t="shared" si="110"/>
        <v>0.98802266566369756</v>
      </c>
    </row>
    <row r="368" spans="20:21">
      <c r="T368" s="638">
        <v>364</v>
      </c>
      <c r="U368" s="638">
        <f t="shared" si="110"/>
        <v>0.98522010675606075</v>
      </c>
    </row>
    <row r="369" spans="20:21">
      <c r="T369" s="638">
        <v>365</v>
      </c>
      <c r="U369" s="638">
        <f t="shared" si="110"/>
        <v>0.98212560586800068</v>
      </c>
    </row>
  </sheetData>
  <conditionalFormatting sqref="BV22:CG68 CJ22:CU44">
    <cfRule type="cellIs" dxfId="3" priority="3" operator="equal">
      <formula>1</formula>
    </cfRule>
  </conditionalFormatting>
  <pageMargins left="0.75" right="0.75" top="1" bottom="1" header="0.5" footer="0.5"/>
  <pageSetup scale="10"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Sheet1">
    <tabColor theme="0" tint="-0.34998626667073579"/>
  </sheetPr>
  <dimension ref="A1:U688"/>
  <sheetViews>
    <sheetView workbookViewId="0"/>
  </sheetViews>
  <sheetFormatPr defaultRowHeight="12.75"/>
  <cols>
    <col min="1" max="1" width="25.42578125" style="634" customWidth="1"/>
    <col min="2" max="2" width="22.42578125" style="634" customWidth="1"/>
    <col min="3" max="3" width="10.5703125" style="634" customWidth="1"/>
    <col min="4" max="4" width="9.140625" style="634"/>
    <col min="5" max="5" width="17.7109375" style="634" customWidth="1"/>
    <col min="6" max="10" width="9.140625" style="634"/>
    <col min="11" max="11" width="31.7109375" style="634" customWidth="1"/>
    <col min="12" max="16384" width="9.140625" style="634"/>
  </cols>
  <sheetData>
    <row r="1" spans="1:21">
      <c r="A1" s="634" t="s">
        <v>1539</v>
      </c>
      <c r="B1" s="634" t="str">
        <f>NewConst!E7</f>
        <v>Denver Intl Ap, CO</v>
      </c>
      <c r="E1" s="634" t="s">
        <v>1143</v>
      </c>
      <c r="F1" s="634" t="s">
        <v>1541</v>
      </c>
      <c r="G1" s="634" t="s">
        <v>1542</v>
      </c>
      <c r="H1" s="634" t="s">
        <v>1539</v>
      </c>
      <c r="I1" s="634" t="s">
        <v>638</v>
      </c>
      <c r="J1" s="634" t="s">
        <v>1543</v>
      </c>
      <c r="K1" s="634" t="s">
        <v>1544</v>
      </c>
      <c r="L1" s="634" t="s">
        <v>1545</v>
      </c>
      <c r="M1" s="634" t="s">
        <v>1546</v>
      </c>
      <c r="N1" s="634" t="s">
        <v>1547</v>
      </c>
      <c r="O1" s="634" t="s">
        <v>1548</v>
      </c>
      <c r="P1" s="634" t="s">
        <v>1549</v>
      </c>
      <c r="T1" s="634" t="s">
        <v>1543</v>
      </c>
      <c r="U1" s="634" t="s">
        <v>1544</v>
      </c>
    </row>
    <row r="2" spans="1:21">
      <c r="A2" s="685" t="s">
        <v>1034</v>
      </c>
      <c r="B2" s="685">
        <f>Locations!G2</f>
        <v>39.83</v>
      </c>
      <c r="C2" s="685" t="s">
        <v>568</v>
      </c>
      <c r="D2" s="685"/>
      <c r="E2" s="634">
        <v>1</v>
      </c>
      <c r="F2" s="634">
        <f>IF(OR(E2&lt;4,E2&gt;10),SunsetLocalTime(E2*30-15,B$2,B$3,B$5),SunsetLocalTime(E2*30-15,B$2,B$3,B$5)+1)</f>
        <v>16.857544678185238</v>
      </c>
      <c r="G2" s="634">
        <f>IF(OR(E2&lt;4,E2&gt;10),SunriseLocalTime(E2*30-15,B$2,B$3,B$5),SunriseLocalTime(E2*30-15,B$2,B$3,B$5)+1)</f>
        <v>7.3836552964700273</v>
      </c>
      <c r="H2" s="634">
        <v>24288</v>
      </c>
      <c r="I2" s="634" t="s">
        <v>1550</v>
      </c>
      <c r="J2" s="634" t="s">
        <v>1551</v>
      </c>
      <c r="K2" s="634" t="str">
        <f t="shared" ref="K2:K65" si="0">CONCATENATE(I2,", ",J2)</f>
        <v>Abbotsford, BC</v>
      </c>
      <c r="L2" s="634" t="s">
        <v>1552</v>
      </c>
      <c r="M2" s="634">
        <v>49.03</v>
      </c>
      <c r="N2" s="634">
        <v>-122.37</v>
      </c>
      <c r="O2" s="634">
        <v>-8</v>
      </c>
      <c r="P2" s="634">
        <v>58</v>
      </c>
      <c r="T2" s="634" t="s">
        <v>953</v>
      </c>
      <c r="U2" s="634" t="s">
        <v>363</v>
      </c>
    </row>
    <row r="3" spans="1:21">
      <c r="A3" s="685" t="s">
        <v>1553</v>
      </c>
      <c r="B3" s="685">
        <f>-Locations!F2</f>
        <v>104.65</v>
      </c>
      <c r="C3" s="685" t="s">
        <v>568</v>
      </c>
      <c r="D3" s="685"/>
      <c r="E3" s="634">
        <v>2</v>
      </c>
      <c r="F3" s="634">
        <f t="shared" ref="F3:F13" si="1">IF(OR(E3&lt;4,E3&gt;10),SunsetLocalTime(E3*30-15,B$2,B$3,B$5),SunsetLocalTime(E3*30-15,B$2,B$3,B$5)+1)</f>
        <v>17.437241741007117</v>
      </c>
      <c r="G3" s="634">
        <f t="shared" ref="G3:G13" si="2">IF(OR(E3&lt;4,E3&gt;10),SunriseLocalTime(E3*30-15,B$2,B$3,B$5),SunriseLocalTime(E3*30-15,B$2,B$3,B$5)+1)</f>
        <v>6.9917731953053037</v>
      </c>
      <c r="H3" s="634">
        <v>13962</v>
      </c>
      <c r="I3" s="634" t="s">
        <v>1554</v>
      </c>
      <c r="J3" s="634" t="s">
        <v>228</v>
      </c>
      <c r="K3" s="634" t="str">
        <f t="shared" si="0"/>
        <v>Abilene, TX</v>
      </c>
      <c r="L3" s="634" t="s">
        <v>1555</v>
      </c>
      <c r="M3" s="634">
        <v>32.42</v>
      </c>
      <c r="N3" s="634">
        <v>-99.68</v>
      </c>
      <c r="O3" s="634">
        <v>-6</v>
      </c>
      <c r="P3" s="634">
        <v>546</v>
      </c>
      <c r="T3" s="634" t="s">
        <v>953</v>
      </c>
      <c r="U3" s="634" t="s">
        <v>1556</v>
      </c>
    </row>
    <row r="4" spans="1:21">
      <c r="A4" s="685" t="s">
        <v>1557</v>
      </c>
      <c r="B4" s="685">
        <f>Locations!H2</f>
        <v>-7</v>
      </c>
      <c r="C4" s="685"/>
      <c r="D4" s="685"/>
      <c r="E4" s="634">
        <v>3</v>
      </c>
      <c r="F4" s="634">
        <f t="shared" si="1"/>
        <v>17.998079287185259</v>
      </c>
      <c r="G4" s="634">
        <f t="shared" si="2"/>
        <v>6.2671876260428778</v>
      </c>
      <c r="H4" s="634">
        <v>25704</v>
      </c>
      <c r="I4" s="634" t="s">
        <v>364</v>
      </c>
      <c r="J4" s="634" t="s">
        <v>953</v>
      </c>
      <c r="K4" s="634" t="str">
        <f t="shared" si="0"/>
        <v>Adak NAS, AK</v>
      </c>
      <c r="L4" s="634" t="s">
        <v>1555</v>
      </c>
      <c r="M4" s="634">
        <v>51.88</v>
      </c>
      <c r="N4" s="634">
        <v>-176.65</v>
      </c>
      <c r="O4" s="634">
        <v>-10</v>
      </c>
      <c r="P4" s="634">
        <v>5</v>
      </c>
      <c r="T4" s="634" t="s">
        <v>953</v>
      </c>
      <c r="U4" s="634" t="s">
        <v>1558</v>
      </c>
    </row>
    <row r="5" spans="1:21">
      <c r="A5" s="685" t="s">
        <v>1559</v>
      </c>
      <c r="B5" s="685">
        <f>IF(B4=-5,75,IF(B4=-6,90,IF(B4=-7,105,IF(B4=-8,120,IF(B4=-9,135,IF(B4=-10,150,IF(B4=0,0,"error")))))))</f>
        <v>105</v>
      </c>
      <c r="C5" s="685" t="s">
        <v>568</v>
      </c>
      <c r="D5" s="685"/>
      <c r="E5" s="634">
        <v>4</v>
      </c>
      <c r="F5" s="634">
        <f t="shared" si="1"/>
        <v>19.510561799828615</v>
      </c>
      <c r="G5" s="634">
        <f t="shared" si="2"/>
        <v>6.4506554332670714</v>
      </c>
      <c r="H5" s="634">
        <v>14895</v>
      </c>
      <c r="I5" s="634" t="s">
        <v>1560</v>
      </c>
      <c r="J5" s="634" t="s">
        <v>229</v>
      </c>
      <c r="K5" s="634" t="str">
        <f t="shared" si="0"/>
        <v>Akron/Canton, OH</v>
      </c>
      <c r="L5" s="634" t="s">
        <v>1555</v>
      </c>
      <c r="M5" s="634">
        <v>40.92</v>
      </c>
      <c r="N5" s="634">
        <v>-81.430000000000007</v>
      </c>
      <c r="O5" s="634">
        <v>-5</v>
      </c>
      <c r="P5" s="634">
        <v>377</v>
      </c>
      <c r="T5" s="634" t="s">
        <v>953</v>
      </c>
      <c r="U5" s="634" t="s">
        <v>1561</v>
      </c>
    </row>
    <row r="6" spans="1:21">
      <c r="A6" s="685" t="s">
        <v>1562</v>
      </c>
      <c r="B6" s="685">
        <v>15</v>
      </c>
      <c r="C6" s="685"/>
      <c r="D6" s="685"/>
      <c r="E6" s="634">
        <v>5</v>
      </c>
      <c r="F6" s="634">
        <f t="shared" si="1"/>
        <v>20.010180572514365</v>
      </c>
      <c r="G6" s="634">
        <f t="shared" si="2"/>
        <v>5.8118788368786358</v>
      </c>
      <c r="I6" s="634" t="s">
        <v>1563</v>
      </c>
      <c r="J6" s="634" t="s">
        <v>954</v>
      </c>
      <c r="K6" s="634" t="str">
        <f t="shared" si="0"/>
        <v>Alameda/NAS, CA</v>
      </c>
      <c r="L6" s="634" t="s">
        <v>1555</v>
      </c>
      <c r="M6" s="634">
        <v>37.78</v>
      </c>
      <c r="N6" s="634">
        <v>-122.32</v>
      </c>
      <c r="O6" s="634">
        <v>-8</v>
      </c>
      <c r="P6" s="634">
        <v>4</v>
      </c>
      <c r="T6" s="634" t="s">
        <v>953</v>
      </c>
      <c r="U6" s="634" t="s">
        <v>1564</v>
      </c>
    </row>
    <row r="7" spans="1:21">
      <c r="A7" s="703" t="s">
        <v>1565</v>
      </c>
      <c r="B7" s="703">
        <f>SunriseLocalTime(B6,B2,B3,B5)</f>
        <v>7.3836552964700273</v>
      </c>
      <c r="C7" s="703" t="s">
        <v>1566</v>
      </c>
      <c r="D7" s="703"/>
      <c r="E7" s="634">
        <v>6</v>
      </c>
      <c r="F7" s="634">
        <f t="shared" si="1"/>
        <v>20.374629931868736</v>
      </c>
      <c r="G7" s="634">
        <f t="shared" si="2"/>
        <v>5.5723871601683106</v>
      </c>
      <c r="H7" s="634">
        <v>74732</v>
      </c>
      <c r="I7" s="634" t="s">
        <v>1567</v>
      </c>
      <c r="J7" s="634" t="s">
        <v>538</v>
      </c>
      <c r="K7" s="634" t="str">
        <f t="shared" si="0"/>
        <v>Alamogordo/Holloman AFB, NM</v>
      </c>
      <c r="L7" s="634" t="s">
        <v>1555</v>
      </c>
      <c r="M7" s="634">
        <v>32.85</v>
      </c>
      <c r="N7" s="634">
        <v>-106.1</v>
      </c>
      <c r="O7" s="634">
        <v>-7</v>
      </c>
      <c r="P7" s="634">
        <v>1248</v>
      </c>
      <c r="T7" s="634" t="s">
        <v>953</v>
      </c>
      <c r="U7" s="634" t="s">
        <v>1568</v>
      </c>
    </row>
    <row r="8" spans="1:21">
      <c r="A8" s="703" t="s">
        <v>1569</v>
      </c>
      <c r="B8" s="703">
        <f>SunsetLocalTime(B6,B2,B3,B5)</f>
        <v>16.857544678185238</v>
      </c>
      <c r="C8" s="703" t="s">
        <v>1566</v>
      </c>
      <c r="D8" s="703"/>
      <c r="E8" s="634">
        <v>7</v>
      </c>
      <c r="F8" s="634">
        <f t="shared" si="1"/>
        <v>20.361643541494157</v>
      </c>
      <c r="G8" s="634">
        <f t="shared" si="2"/>
        <v>5.7804497233468162</v>
      </c>
      <c r="H8" s="634">
        <v>23061</v>
      </c>
      <c r="I8" s="634" t="s">
        <v>1570</v>
      </c>
      <c r="J8" s="634" t="s">
        <v>536</v>
      </c>
      <c r="K8" s="634" t="str">
        <f t="shared" si="0"/>
        <v>Alamosa, CO</v>
      </c>
      <c r="L8" s="634" t="s">
        <v>1555</v>
      </c>
      <c r="M8" s="634">
        <v>37.450000000000003</v>
      </c>
      <c r="N8" s="634">
        <v>-105.87</v>
      </c>
      <c r="O8" s="634">
        <v>-7</v>
      </c>
      <c r="P8" s="634">
        <v>2299</v>
      </c>
      <c r="T8" s="634" t="s">
        <v>953</v>
      </c>
      <c r="U8" s="634" t="s">
        <v>1571</v>
      </c>
    </row>
    <row r="9" spans="1:21">
      <c r="E9" s="634">
        <v>8</v>
      </c>
      <c r="F9" s="634">
        <f t="shared" si="1"/>
        <v>19.890155264174677</v>
      </c>
      <c r="G9" s="634">
        <f t="shared" si="2"/>
        <v>6.237924799934734</v>
      </c>
      <c r="I9" s="634" t="s">
        <v>1572</v>
      </c>
      <c r="J9" s="634" t="s">
        <v>428</v>
      </c>
      <c r="K9" s="634" t="str">
        <f t="shared" si="0"/>
        <v>Albany, GA</v>
      </c>
      <c r="L9" s="634" t="s">
        <v>1555</v>
      </c>
      <c r="M9" s="634">
        <v>31.53</v>
      </c>
      <c r="N9" s="634">
        <v>-84.18</v>
      </c>
      <c r="O9" s="634">
        <v>-5</v>
      </c>
      <c r="P9" s="634">
        <v>59</v>
      </c>
      <c r="T9" s="634" t="s">
        <v>953</v>
      </c>
      <c r="U9" s="634" t="s">
        <v>1573</v>
      </c>
    </row>
    <row r="10" spans="1:21">
      <c r="A10" s="634" t="s">
        <v>1574</v>
      </c>
      <c r="B10" s="634">
        <v>1.6339999999999999</v>
      </c>
      <c r="C10" s="634" t="s">
        <v>1575</v>
      </c>
      <c r="E10" s="634">
        <v>9</v>
      </c>
      <c r="F10" s="634">
        <f t="shared" si="1"/>
        <v>19.108462689420406</v>
      </c>
      <c r="G10" s="634">
        <f t="shared" si="2"/>
        <v>6.7275971166147936</v>
      </c>
      <c r="H10" s="634">
        <v>14735</v>
      </c>
      <c r="I10" s="634" t="s">
        <v>1572</v>
      </c>
      <c r="J10" s="634" t="s">
        <v>537</v>
      </c>
      <c r="K10" s="634" t="str">
        <f t="shared" si="0"/>
        <v>Albany, NY</v>
      </c>
      <c r="L10" s="634" t="s">
        <v>1555</v>
      </c>
      <c r="M10" s="634">
        <v>42.75</v>
      </c>
      <c r="N10" s="634">
        <v>-73.8</v>
      </c>
      <c r="O10" s="634">
        <v>-5</v>
      </c>
      <c r="P10" s="634">
        <v>89</v>
      </c>
      <c r="T10" s="634" t="s">
        <v>953</v>
      </c>
      <c r="U10" s="634" t="s">
        <v>1576</v>
      </c>
    </row>
    <row r="11" spans="1:21">
      <c r="A11" s="634" t="s">
        <v>1577</v>
      </c>
      <c r="B11" s="634">
        <v>12</v>
      </c>
      <c r="C11" s="634" t="s">
        <v>237</v>
      </c>
      <c r="E11" s="634">
        <v>10</v>
      </c>
      <c r="F11" s="634">
        <f t="shared" si="1"/>
        <v>18.27174714218971</v>
      </c>
      <c r="G11" s="634">
        <f t="shared" si="2"/>
        <v>7.2244097492547761</v>
      </c>
      <c r="H11" s="634">
        <v>23050</v>
      </c>
      <c r="I11" s="634" t="s">
        <v>1578</v>
      </c>
      <c r="J11" s="634" t="s">
        <v>538</v>
      </c>
      <c r="K11" s="634" t="str">
        <f t="shared" si="0"/>
        <v>Albuquerque, NM</v>
      </c>
      <c r="L11" s="634" t="s">
        <v>1555</v>
      </c>
      <c r="M11" s="634">
        <v>35.049999999999997</v>
      </c>
      <c r="N11" s="634">
        <v>-106.62</v>
      </c>
      <c r="O11" s="634">
        <v>-7</v>
      </c>
      <c r="P11" s="634">
        <v>1620</v>
      </c>
      <c r="T11" s="634" t="s">
        <v>953</v>
      </c>
      <c r="U11" s="634" t="s">
        <v>1579</v>
      </c>
    </row>
    <row r="12" spans="1:21">
      <c r="A12" s="634" t="s">
        <v>1580</v>
      </c>
      <c r="B12" s="634">
        <v>2007</v>
      </c>
      <c r="E12" s="634">
        <v>11</v>
      </c>
      <c r="F12" s="634">
        <f t="shared" si="1"/>
        <v>16.654504851910414</v>
      </c>
      <c r="G12" s="634">
        <f t="shared" si="2"/>
        <v>6.7728620705623177</v>
      </c>
      <c r="I12" s="634" t="s">
        <v>1581</v>
      </c>
      <c r="J12" s="634" t="s">
        <v>934</v>
      </c>
      <c r="K12" s="634" t="str">
        <f t="shared" si="0"/>
        <v>Alexandria, MN</v>
      </c>
      <c r="L12" s="634" t="s">
        <v>1555</v>
      </c>
      <c r="M12" s="634">
        <v>45.87</v>
      </c>
      <c r="N12" s="634">
        <v>-95.4</v>
      </c>
      <c r="O12" s="634">
        <v>-6</v>
      </c>
      <c r="P12" s="634">
        <v>434</v>
      </c>
      <c r="T12" s="634" t="s">
        <v>953</v>
      </c>
      <c r="U12" s="634" t="s">
        <v>609</v>
      </c>
    </row>
    <row r="13" spans="1:21">
      <c r="A13" s="634" t="s">
        <v>1582</v>
      </c>
      <c r="B13" s="634">
        <v>90</v>
      </c>
      <c r="C13" s="634" t="s">
        <v>1583</v>
      </c>
      <c r="E13" s="634">
        <v>12</v>
      </c>
      <c r="F13" s="634">
        <f t="shared" si="1"/>
        <v>16.474106943976963</v>
      </c>
      <c r="G13" s="634">
        <f t="shared" si="2"/>
        <v>7.2556071483876323</v>
      </c>
      <c r="H13" s="634">
        <v>62318</v>
      </c>
      <c r="I13" s="634" t="s">
        <v>1584</v>
      </c>
      <c r="J13" s="634" t="s">
        <v>591</v>
      </c>
      <c r="K13" s="634" t="str">
        <f t="shared" si="0"/>
        <v>Alexandria/England AFB, LA</v>
      </c>
      <c r="L13" s="634" t="s">
        <v>1555</v>
      </c>
      <c r="M13" s="634">
        <v>31.33</v>
      </c>
      <c r="N13" s="634">
        <v>-92.55</v>
      </c>
      <c r="O13" s="634">
        <v>-6</v>
      </c>
      <c r="P13" s="634">
        <v>27</v>
      </c>
      <c r="T13" s="634" t="s">
        <v>953</v>
      </c>
      <c r="U13" s="634" t="s">
        <v>611</v>
      </c>
    </row>
    <row r="14" spans="1:21">
      <c r="A14" s="634" t="s">
        <v>1585</v>
      </c>
      <c r="B14" s="634">
        <v>0</v>
      </c>
      <c r="C14" s="634" t="s">
        <v>1586</v>
      </c>
      <c r="H14" s="634">
        <v>14737</v>
      </c>
      <c r="I14" s="634" t="s">
        <v>1587</v>
      </c>
      <c r="J14" s="634" t="s">
        <v>539</v>
      </c>
      <c r="K14" s="634" t="str">
        <f t="shared" si="0"/>
        <v>Allentown, PA</v>
      </c>
      <c r="L14" s="634" t="s">
        <v>1555</v>
      </c>
      <c r="M14" s="634">
        <v>40.65</v>
      </c>
      <c r="N14" s="634">
        <v>-75.430000000000007</v>
      </c>
      <c r="O14" s="634">
        <v>-5</v>
      </c>
      <c r="P14" s="634">
        <v>117</v>
      </c>
      <c r="T14" s="634" t="s">
        <v>953</v>
      </c>
      <c r="U14" s="634" t="s">
        <v>1588</v>
      </c>
    </row>
    <row r="15" spans="1:21">
      <c r="A15" s="634" t="s">
        <v>1589</v>
      </c>
      <c r="B15" s="704">
        <v>0.2</v>
      </c>
      <c r="H15" s="634">
        <v>94849</v>
      </c>
      <c r="I15" s="634" t="s">
        <v>1590</v>
      </c>
      <c r="J15" s="634" t="s">
        <v>540</v>
      </c>
      <c r="K15" s="634" t="str">
        <f t="shared" si="0"/>
        <v>Alpena, MI</v>
      </c>
      <c r="L15" s="634" t="s">
        <v>1555</v>
      </c>
      <c r="M15" s="634">
        <v>45.07</v>
      </c>
      <c r="N15" s="634">
        <v>-83.57</v>
      </c>
      <c r="O15" s="634">
        <v>-5</v>
      </c>
      <c r="P15" s="634">
        <v>211</v>
      </c>
      <c r="T15" s="634" t="s">
        <v>953</v>
      </c>
      <c r="U15" s="634" t="s">
        <v>1591</v>
      </c>
    </row>
    <row r="16" spans="1:21">
      <c r="E16" s="634" t="s">
        <v>1592</v>
      </c>
      <c r="I16" s="634" t="s">
        <v>1593</v>
      </c>
      <c r="J16" s="634" t="s">
        <v>539</v>
      </c>
      <c r="K16" s="634" t="str">
        <f t="shared" si="0"/>
        <v>Altoona, PA</v>
      </c>
      <c r="L16" s="634" t="s">
        <v>1555</v>
      </c>
      <c r="M16" s="634">
        <v>40.299999999999997</v>
      </c>
      <c r="N16" s="634">
        <v>-78.319999999999993</v>
      </c>
      <c r="O16" s="634">
        <v>-5</v>
      </c>
      <c r="P16" s="634">
        <v>458</v>
      </c>
      <c r="T16" s="634" t="s">
        <v>953</v>
      </c>
      <c r="U16" s="634" t="s">
        <v>1594</v>
      </c>
    </row>
    <row r="17" spans="1:21">
      <c r="A17" s="705" t="s">
        <v>1595</v>
      </c>
      <c r="B17" s="706">
        <f>IncidenceAngleFixedSurface2(B2,B3,B5,B6,B11,0,B14)</f>
        <v>61.122891986056565</v>
      </c>
      <c r="C17" s="705" t="s">
        <v>568</v>
      </c>
      <c r="E17" s="634" t="s">
        <v>1143</v>
      </c>
      <c r="F17" s="634" t="s">
        <v>1541</v>
      </c>
      <c r="G17" s="634" t="s">
        <v>1542</v>
      </c>
      <c r="I17" s="634" t="s">
        <v>1596</v>
      </c>
      <c r="J17" s="634" t="s">
        <v>61</v>
      </c>
      <c r="K17" s="634" t="str">
        <f t="shared" si="0"/>
        <v>Altus/AFB, OK</v>
      </c>
      <c r="L17" s="634" t="s">
        <v>1555</v>
      </c>
      <c r="M17" s="634">
        <v>34.67</v>
      </c>
      <c r="N17" s="634">
        <v>-99.27</v>
      </c>
      <c r="O17" s="634">
        <v>-6</v>
      </c>
      <c r="P17" s="634">
        <v>420</v>
      </c>
      <c r="T17" s="634" t="s">
        <v>953</v>
      </c>
      <c r="U17" s="634" t="s">
        <v>1597</v>
      </c>
    </row>
    <row r="18" spans="1:21">
      <c r="A18" s="705" t="s">
        <v>1598</v>
      </c>
      <c r="B18" s="706">
        <f>IncidenceAngleFixedSurface2(B2,B3,B5,B6,B11,B13,B14)</f>
        <v>28.935695675711369</v>
      </c>
      <c r="C18" s="705" t="s">
        <v>568</v>
      </c>
      <c r="E18" s="634">
        <v>1</v>
      </c>
      <c r="F18" s="634">
        <v>16.222140577365561</v>
      </c>
      <c r="G18" s="634">
        <v>8.1257260639563729</v>
      </c>
      <c r="H18" s="634">
        <v>23047</v>
      </c>
      <c r="I18" s="634" t="s">
        <v>1599</v>
      </c>
      <c r="J18" s="634" t="s">
        <v>228</v>
      </c>
      <c r="K18" s="634" t="str">
        <f t="shared" si="0"/>
        <v>Amarillo, TX</v>
      </c>
      <c r="L18" s="634" t="s">
        <v>1555</v>
      </c>
      <c r="M18" s="634">
        <v>35.229999999999997</v>
      </c>
      <c r="N18" s="634">
        <v>-101.7</v>
      </c>
      <c r="O18" s="634">
        <v>-6</v>
      </c>
      <c r="P18" s="634">
        <v>1099</v>
      </c>
      <c r="T18" s="634" t="s">
        <v>953</v>
      </c>
      <c r="U18" s="634" t="s">
        <v>1179</v>
      </c>
    </row>
    <row r="19" spans="1:21">
      <c r="A19" s="705" t="s">
        <v>1600</v>
      </c>
      <c r="B19" s="706">
        <f>SolarZenith2(B2,B3,B5,B6,B11)</f>
        <v>61.122891802417634</v>
      </c>
      <c r="C19" s="705" t="s">
        <v>568</v>
      </c>
      <c r="E19" s="634">
        <v>2</v>
      </c>
      <c r="F19" s="634">
        <v>17.086423530496358</v>
      </c>
      <c r="G19" s="634">
        <v>7.4492580724827304</v>
      </c>
      <c r="H19" s="634">
        <v>26401</v>
      </c>
      <c r="I19" s="634" t="s">
        <v>1601</v>
      </c>
      <c r="J19" s="634" t="s">
        <v>953</v>
      </c>
      <c r="K19" s="634" t="str">
        <f t="shared" si="0"/>
        <v>Anchorage/Elmendorf AFB, AK</v>
      </c>
      <c r="L19" s="634" t="s">
        <v>1555</v>
      </c>
      <c r="M19" s="634">
        <v>61.25</v>
      </c>
      <c r="N19" s="634">
        <v>-149.80000000000001</v>
      </c>
      <c r="O19" s="634">
        <v>-9</v>
      </c>
      <c r="P19" s="634">
        <v>65</v>
      </c>
      <c r="T19" s="634" t="s">
        <v>953</v>
      </c>
      <c r="U19" s="634" t="s">
        <v>1602</v>
      </c>
    </row>
    <row r="20" spans="1:21" ht="14.25">
      <c r="A20" s="705" t="s">
        <v>1603</v>
      </c>
      <c r="B20" s="706">
        <f>HorizExterrRad2(B6,B2,B3,B5,B11)</f>
        <v>681.23233894457871</v>
      </c>
      <c r="C20" s="705" t="s">
        <v>1604</v>
      </c>
      <c r="E20" s="634">
        <v>3</v>
      </c>
      <c r="F20" s="634">
        <v>17.983244927298557</v>
      </c>
      <c r="G20" s="634">
        <v>6.3886886525962439</v>
      </c>
      <c r="I20" s="634" t="s">
        <v>1605</v>
      </c>
      <c r="J20" s="634" t="s">
        <v>953</v>
      </c>
      <c r="K20" s="634" t="str">
        <f t="shared" si="0"/>
        <v>Anchorage/Fort Richardson, AK</v>
      </c>
      <c r="L20" s="634" t="s">
        <v>1555</v>
      </c>
      <c r="M20" s="634">
        <v>61.27</v>
      </c>
      <c r="N20" s="634">
        <v>-149.65</v>
      </c>
      <c r="O20" s="634">
        <v>-9</v>
      </c>
      <c r="P20" s="634">
        <v>115</v>
      </c>
      <c r="T20" s="634" t="s">
        <v>953</v>
      </c>
      <c r="U20" s="634" t="s">
        <v>1606</v>
      </c>
    </row>
    <row r="21" spans="1:21" ht="14.25">
      <c r="A21" s="705" t="s">
        <v>1607</v>
      </c>
      <c r="B21" s="706">
        <f>EstimatedClearSkyHorizontalBeam(B10,0,B6,B2,B3,B5,B11)</f>
        <v>433.96592276158123</v>
      </c>
      <c r="C21" s="705" t="s">
        <v>1604</v>
      </c>
      <c r="E21" s="634">
        <v>4</v>
      </c>
      <c r="F21" s="634">
        <v>19.835478642321458</v>
      </c>
      <c r="G21" s="634">
        <v>6.2324052574408935</v>
      </c>
      <c r="H21" s="634">
        <v>26451</v>
      </c>
      <c r="I21" s="634" t="s">
        <v>1608</v>
      </c>
      <c r="J21" s="634" t="s">
        <v>953</v>
      </c>
      <c r="K21" s="634" t="str">
        <f t="shared" si="0"/>
        <v>Anchorage/Int'l Airport, AK</v>
      </c>
      <c r="L21" s="634" t="s">
        <v>1555</v>
      </c>
      <c r="M21" s="634">
        <v>61.17</v>
      </c>
      <c r="N21" s="634">
        <v>-150.02000000000001</v>
      </c>
      <c r="O21" s="634">
        <v>-9</v>
      </c>
      <c r="P21" s="634">
        <v>40</v>
      </c>
      <c r="T21" s="634" t="s">
        <v>953</v>
      </c>
      <c r="U21" s="634" t="s">
        <v>1609</v>
      </c>
    </row>
    <row r="22" spans="1:21" ht="14.25">
      <c r="A22" s="705" t="s">
        <v>1610</v>
      </c>
      <c r="B22" s="706">
        <f>EstimatedClearSkyHorizontalDiffuse(B10,0,B6,B2,B3,B5,B11)</f>
        <v>57.027982562075969</v>
      </c>
      <c r="C22" s="705" t="s">
        <v>1604</v>
      </c>
      <c r="E22" s="634">
        <v>5</v>
      </c>
      <c r="F22" s="634">
        <v>20.651496716491014</v>
      </c>
      <c r="G22" s="634">
        <v>5.2772293595686541</v>
      </c>
      <c r="H22" s="634">
        <v>25308</v>
      </c>
      <c r="I22" s="634" t="s">
        <v>1611</v>
      </c>
      <c r="J22" s="634" t="s">
        <v>953</v>
      </c>
      <c r="K22" s="634" t="str">
        <f t="shared" si="0"/>
        <v>Annette, AK</v>
      </c>
      <c r="L22" s="634" t="s">
        <v>1555</v>
      </c>
      <c r="M22" s="634">
        <v>55.03</v>
      </c>
      <c r="N22" s="634">
        <v>-131.57</v>
      </c>
      <c r="O22" s="634">
        <v>-9</v>
      </c>
      <c r="P22" s="634">
        <v>34</v>
      </c>
      <c r="T22" s="634" t="s">
        <v>953</v>
      </c>
      <c r="U22" s="634" t="s">
        <v>1612</v>
      </c>
    </row>
    <row r="23" spans="1:21" ht="14.25">
      <c r="A23" s="705" t="s">
        <v>1613</v>
      </c>
      <c r="B23" s="706">
        <f>B21+B22</f>
        <v>490.9939053236572</v>
      </c>
      <c r="C23" s="705" t="s">
        <v>1604</v>
      </c>
      <c r="E23" s="634">
        <v>6</v>
      </c>
      <c r="F23" s="634">
        <v>21.206629918943367</v>
      </c>
      <c r="G23" s="634">
        <v>4.8470538397603455</v>
      </c>
      <c r="I23" s="634" t="s">
        <v>1614</v>
      </c>
      <c r="J23" s="634" t="s">
        <v>247</v>
      </c>
      <c r="K23" s="634" t="str">
        <f t="shared" si="0"/>
        <v>Anniston, AL</v>
      </c>
      <c r="L23" s="634" t="s">
        <v>1555</v>
      </c>
      <c r="M23" s="634">
        <v>33.58</v>
      </c>
      <c r="N23" s="634">
        <v>-85.85</v>
      </c>
      <c r="O23" s="634">
        <v>-6</v>
      </c>
      <c r="P23" s="634">
        <v>186</v>
      </c>
      <c r="T23" s="634" t="s">
        <v>953</v>
      </c>
      <c r="U23" s="634" t="s">
        <v>1615</v>
      </c>
    </row>
    <row r="24" spans="1:21" ht="14.25">
      <c r="A24" s="705" t="s">
        <v>1616</v>
      </c>
      <c r="B24" s="706">
        <f>GlobalRadiationOnSurfaceHayAndDavies(B21,B22,B20,B18,B19,B13,B15)</f>
        <v>911.68518670535866</v>
      </c>
      <c r="C24" s="705" t="s">
        <v>1604</v>
      </c>
      <c r="E24" s="634">
        <v>7</v>
      </c>
      <c r="F24" s="634">
        <v>21.121247769901593</v>
      </c>
      <c r="G24" s="634">
        <v>5.1275121616060488</v>
      </c>
      <c r="H24" s="634">
        <v>12832</v>
      </c>
      <c r="I24" s="634" t="s">
        <v>1617</v>
      </c>
      <c r="J24" s="634" t="s">
        <v>594</v>
      </c>
      <c r="K24" s="634" t="str">
        <f t="shared" si="0"/>
        <v>Apalachicola, FL</v>
      </c>
      <c r="L24" s="634" t="s">
        <v>1555</v>
      </c>
      <c r="M24" s="634">
        <v>29.73</v>
      </c>
      <c r="N24" s="634">
        <v>-85.03</v>
      </c>
      <c r="O24" s="634">
        <v>-5</v>
      </c>
      <c r="P24" s="634">
        <v>6</v>
      </c>
      <c r="T24" s="634" t="s">
        <v>953</v>
      </c>
      <c r="U24" s="634" t="s">
        <v>1615</v>
      </c>
    </row>
    <row r="25" spans="1:21">
      <c r="E25" s="634">
        <v>8</v>
      </c>
      <c r="F25" s="634">
        <v>20.374582742285835</v>
      </c>
      <c r="G25" s="634">
        <v>5.8601639884902452</v>
      </c>
      <c r="H25" s="634">
        <v>24283</v>
      </c>
      <c r="I25" s="634" t="s">
        <v>1618</v>
      </c>
      <c r="J25" s="634" t="s">
        <v>954</v>
      </c>
      <c r="K25" s="634" t="str">
        <f t="shared" si="0"/>
        <v>Arcata/Eureka, CA</v>
      </c>
      <c r="L25" s="634" t="s">
        <v>1555</v>
      </c>
      <c r="M25" s="634">
        <v>40.98</v>
      </c>
      <c r="N25" s="634">
        <v>-124.1</v>
      </c>
      <c r="O25" s="634">
        <v>-8</v>
      </c>
      <c r="P25" s="634">
        <v>66</v>
      </c>
      <c r="T25" s="634" t="s">
        <v>953</v>
      </c>
      <c r="U25" s="634" t="s">
        <v>1619</v>
      </c>
    </row>
    <row r="26" spans="1:21">
      <c r="E26" s="634">
        <v>9</v>
      </c>
      <c r="F26" s="634">
        <v>19.258347568460074</v>
      </c>
      <c r="G26" s="634">
        <v>6.6843789042417905</v>
      </c>
      <c r="H26" s="634">
        <v>99908</v>
      </c>
      <c r="I26" s="634" t="s">
        <v>1620</v>
      </c>
      <c r="J26" s="634" t="s">
        <v>1621</v>
      </c>
      <c r="K26" s="634" t="str">
        <f t="shared" si="0"/>
        <v>Armstrong, ON</v>
      </c>
      <c r="L26" s="634" t="s">
        <v>1552</v>
      </c>
      <c r="M26" s="634">
        <v>50.3</v>
      </c>
      <c r="N26" s="634">
        <v>-89.03</v>
      </c>
      <c r="O26" s="634">
        <v>-5</v>
      </c>
      <c r="P26" s="634">
        <v>351</v>
      </c>
      <c r="T26" s="634" t="s">
        <v>953</v>
      </c>
      <c r="U26" s="634" t="s">
        <v>1622</v>
      </c>
    </row>
    <row r="27" spans="1:21">
      <c r="E27" s="634">
        <v>10</v>
      </c>
      <c r="F27" s="634">
        <v>18.081556147150756</v>
      </c>
      <c r="G27" s="634">
        <v>7.521267410960399</v>
      </c>
      <c r="H27" s="634" t="s">
        <v>1623</v>
      </c>
      <c r="I27" s="634" t="s">
        <v>1620</v>
      </c>
      <c r="J27" s="634" t="s">
        <v>1621</v>
      </c>
      <c r="K27" s="634" t="str">
        <f t="shared" si="0"/>
        <v>Armstrong, ON</v>
      </c>
      <c r="L27" s="634" t="s">
        <v>1552</v>
      </c>
      <c r="M27" s="634">
        <v>50.3</v>
      </c>
      <c r="N27" s="634">
        <v>-89.03</v>
      </c>
      <c r="O27" s="634">
        <v>-5</v>
      </c>
      <c r="P27" s="634">
        <v>351</v>
      </c>
      <c r="T27" s="634" t="s">
        <v>953</v>
      </c>
      <c r="U27" s="634" t="s">
        <v>1624</v>
      </c>
    </row>
    <row r="28" spans="1:21">
      <c r="E28" s="634">
        <v>11</v>
      </c>
      <c r="F28" s="634">
        <v>16.143591644528701</v>
      </c>
      <c r="G28" s="634">
        <v>7.3904419446106964</v>
      </c>
      <c r="H28" s="634">
        <v>3812</v>
      </c>
      <c r="I28" s="634" t="s">
        <v>1625</v>
      </c>
      <c r="J28" s="634" t="s">
        <v>426</v>
      </c>
      <c r="K28" s="634" t="str">
        <f t="shared" si="0"/>
        <v>Asheville, NC</v>
      </c>
      <c r="L28" s="634" t="s">
        <v>1555</v>
      </c>
      <c r="M28" s="634">
        <v>35.43</v>
      </c>
      <c r="N28" s="634">
        <v>-82.55</v>
      </c>
      <c r="O28" s="634">
        <v>-5</v>
      </c>
      <c r="P28" s="634">
        <v>661</v>
      </c>
      <c r="T28" s="634" t="s">
        <v>953</v>
      </c>
      <c r="U28" s="634" t="s">
        <v>1195</v>
      </c>
    </row>
    <row r="29" spans="1:21">
      <c r="E29" s="634">
        <v>12</v>
      </c>
      <c r="F29" s="634">
        <v>15.755713062210223</v>
      </c>
      <c r="G29" s="634">
        <v>8.0806676968210382</v>
      </c>
      <c r="H29" s="634">
        <v>94224</v>
      </c>
      <c r="I29" s="634" t="s">
        <v>1626</v>
      </c>
      <c r="J29" s="634" t="s">
        <v>427</v>
      </c>
      <c r="K29" s="634" t="str">
        <f t="shared" si="0"/>
        <v>Astoria, OR</v>
      </c>
      <c r="L29" s="634" t="s">
        <v>1555</v>
      </c>
      <c r="M29" s="634">
        <v>46.15</v>
      </c>
      <c r="N29" s="634">
        <v>-123.88</v>
      </c>
      <c r="O29" s="634">
        <v>-8</v>
      </c>
      <c r="P29" s="634">
        <v>7</v>
      </c>
      <c r="T29" s="634" t="s">
        <v>953</v>
      </c>
      <c r="U29" s="634" t="s">
        <v>1627</v>
      </c>
    </row>
    <row r="30" spans="1:21">
      <c r="H30" s="634">
        <v>13873</v>
      </c>
      <c r="I30" s="634" t="s">
        <v>1628</v>
      </c>
      <c r="J30" s="634" t="s">
        <v>428</v>
      </c>
      <c r="K30" s="634" t="str">
        <f t="shared" si="0"/>
        <v>Athens, GA</v>
      </c>
      <c r="L30" s="634" t="s">
        <v>1555</v>
      </c>
      <c r="M30" s="634">
        <v>33.950000000000003</v>
      </c>
      <c r="N30" s="634">
        <v>-83.32</v>
      </c>
      <c r="O30" s="634">
        <v>-5</v>
      </c>
      <c r="P30" s="634">
        <v>247</v>
      </c>
      <c r="T30" s="634" t="s">
        <v>953</v>
      </c>
      <c r="U30" s="634" t="s">
        <v>1629</v>
      </c>
    </row>
    <row r="31" spans="1:21">
      <c r="H31" s="634">
        <v>94932</v>
      </c>
      <c r="I31" s="634" t="s">
        <v>1630</v>
      </c>
      <c r="J31" s="634" t="s">
        <v>1621</v>
      </c>
      <c r="K31" s="634" t="str">
        <f t="shared" si="0"/>
        <v>Atikokan, ON</v>
      </c>
      <c r="L31" s="634" t="s">
        <v>1552</v>
      </c>
      <c r="M31" s="634">
        <v>48.75</v>
      </c>
      <c r="N31" s="634">
        <v>-91.62</v>
      </c>
      <c r="O31" s="634">
        <v>-5</v>
      </c>
      <c r="P31" s="634">
        <v>393</v>
      </c>
      <c r="T31" s="634" t="s">
        <v>953</v>
      </c>
      <c r="U31" s="634" t="s">
        <v>1631</v>
      </c>
    </row>
    <row r="32" spans="1:21">
      <c r="H32" s="634">
        <v>13874</v>
      </c>
      <c r="I32" s="634" t="s">
        <v>1632</v>
      </c>
      <c r="J32" s="634" t="s">
        <v>428</v>
      </c>
      <c r="K32" s="634" t="str">
        <f t="shared" si="0"/>
        <v>Atlanta, GA</v>
      </c>
      <c r="L32" s="634" t="s">
        <v>1555</v>
      </c>
      <c r="M32" s="634">
        <v>33.65</v>
      </c>
      <c r="N32" s="634">
        <v>-84.42</v>
      </c>
      <c r="O32" s="634">
        <v>-5</v>
      </c>
      <c r="P32" s="634">
        <v>315</v>
      </c>
      <c r="T32" s="634" t="s">
        <v>953</v>
      </c>
      <c r="U32" s="634" t="s">
        <v>268</v>
      </c>
    </row>
    <row r="33" spans="8:21">
      <c r="H33" s="634">
        <v>93730</v>
      </c>
      <c r="I33" s="634" t="s">
        <v>1633</v>
      </c>
      <c r="J33" s="634" t="s">
        <v>589</v>
      </c>
      <c r="K33" s="634" t="str">
        <f t="shared" si="0"/>
        <v>Atlantic City, NJ</v>
      </c>
      <c r="L33" s="634" t="s">
        <v>1555</v>
      </c>
      <c r="M33" s="634">
        <v>39.450000000000003</v>
      </c>
      <c r="N33" s="634">
        <v>-74.569999999999993</v>
      </c>
      <c r="O33" s="634">
        <v>-5</v>
      </c>
      <c r="P33" s="634">
        <v>20</v>
      </c>
      <c r="T33" s="634" t="s">
        <v>953</v>
      </c>
      <c r="U33" s="634" t="s">
        <v>1634</v>
      </c>
    </row>
    <row r="34" spans="8:21">
      <c r="H34" s="634">
        <v>3820</v>
      </c>
      <c r="I34" s="634" t="s">
        <v>1635</v>
      </c>
      <c r="J34" s="634" t="s">
        <v>428</v>
      </c>
      <c r="K34" s="634" t="str">
        <f t="shared" si="0"/>
        <v>Augusta, GA</v>
      </c>
      <c r="L34" s="634" t="s">
        <v>1555</v>
      </c>
      <c r="M34" s="634">
        <v>33.369999999999997</v>
      </c>
      <c r="N34" s="634">
        <v>-81.97</v>
      </c>
      <c r="O34" s="634">
        <v>-5</v>
      </c>
      <c r="P34" s="634">
        <v>45</v>
      </c>
      <c r="T34" s="634" t="s">
        <v>953</v>
      </c>
      <c r="U34" s="634" t="s">
        <v>1636</v>
      </c>
    </row>
    <row r="35" spans="8:21">
      <c r="I35" s="634" t="s">
        <v>1635</v>
      </c>
      <c r="J35" s="634" t="s">
        <v>903</v>
      </c>
      <c r="K35" s="634" t="str">
        <f t="shared" si="0"/>
        <v>Augusta, ME</v>
      </c>
      <c r="L35" s="634" t="s">
        <v>1555</v>
      </c>
      <c r="M35" s="634">
        <v>44.32</v>
      </c>
      <c r="N35" s="634">
        <v>-69.8</v>
      </c>
      <c r="O35" s="634">
        <v>-5</v>
      </c>
      <c r="P35" s="634">
        <v>107</v>
      </c>
      <c r="T35" s="634" t="s">
        <v>953</v>
      </c>
      <c r="U35" s="634" t="s">
        <v>1637</v>
      </c>
    </row>
    <row r="36" spans="8:21">
      <c r="H36" s="634">
        <v>13958</v>
      </c>
      <c r="I36" s="634" t="s">
        <v>1638</v>
      </c>
      <c r="J36" s="634" t="s">
        <v>228</v>
      </c>
      <c r="K36" s="634" t="str">
        <f t="shared" si="0"/>
        <v>Austin, TX</v>
      </c>
      <c r="L36" s="634" t="s">
        <v>1555</v>
      </c>
      <c r="M36" s="634">
        <v>30.3</v>
      </c>
      <c r="N36" s="634">
        <v>-97.7</v>
      </c>
      <c r="O36" s="634">
        <v>-6</v>
      </c>
      <c r="P36" s="634">
        <v>189</v>
      </c>
      <c r="T36" s="634" t="s">
        <v>953</v>
      </c>
      <c r="U36" s="634" t="s">
        <v>1639</v>
      </c>
    </row>
    <row r="37" spans="8:21">
      <c r="H37" s="634">
        <v>94795</v>
      </c>
      <c r="I37" s="634" t="s">
        <v>1640</v>
      </c>
      <c r="J37" s="634" t="s">
        <v>1641</v>
      </c>
      <c r="K37" s="634" t="str">
        <f t="shared" si="0"/>
        <v>Bagotville, PQ</v>
      </c>
      <c r="L37" s="634" t="s">
        <v>1552</v>
      </c>
      <c r="M37" s="634">
        <v>48.33</v>
      </c>
      <c r="N37" s="634">
        <v>-71</v>
      </c>
      <c r="O37" s="634">
        <v>-5</v>
      </c>
      <c r="P37" s="634">
        <v>159</v>
      </c>
      <c r="T37" s="634" t="s">
        <v>953</v>
      </c>
      <c r="U37" s="634" t="s">
        <v>1260</v>
      </c>
    </row>
    <row r="38" spans="8:21">
      <c r="H38" s="634">
        <v>14627</v>
      </c>
      <c r="I38" s="634" t="s">
        <v>1642</v>
      </c>
      <c r="J38" s="634" t="s">
        <v>1641</v>
      </c>
      <c r="K38" s="634" t="str">
        <f t="shared" si="0"/>
        <v>Baie Comeau, PQ</v>
      </c>
      <c r="L38" s="634" t="s">
        <v>1552</v>
      </c>
      <c r="M38" s="634">
        <v>49.13</v>
      </c>
      <c r="N38" s="634">
        <v>-68.2</v>
      </c>
      <c r="O38" s="634">
        <v>-5</v>
      </c>
      <c r="P38" s="634">
        <v>22</v>
      </c>
      <c r="T38" s="634" t="s">
        <v>953</v>
      </c>
      <c r="U38" s="634" t="s">
        <v>1643</v>
      </c>
    </row>
    <row r="39" spans="8:21">
      <c r="H39" s="634">
        <v>16903</v>
      </c>
      <c r="I39" s="634" t="s">
        <v>1644</v>
      </c>
      <c r="J39" s="634" t="s">
        <v>1645</v>
      </c>
      <c r="K39" s="634" t="str">
        <f t="shared" si="0"/>
        <v>Baker Lake, NU</v>
      </c>
      <c r="L39" s="634" t="s">
        <v>1552</v>
      </c>
      <c r="M39" s="634">
        <v>64.3</v>
      </c>
      <c r="N39" s="634">
        <v>-96.08</v>
      </c>
      <c r="O39" s="634">
        <v>-6</v>
      </c>
      <c r="P39" s="634">
        <v>18</v>
      </c>
      <c r="T39" s="634" t="s">
        <v>247</v>
      </c>
      <c r="U39" s="634" t="s">
        <v>1646</v>
      </c>
    </row>
    <row r="40" spans="8:21">
      <c r="H40" s="634">
        <v>23155</v>
      </c>
      <c r="I40" s="634" t="s">
        <v>1647</v>
      </c>
      <c r="J40" s="634" t="s">
        <v>954</v>
      </c>
      <c r="K40" s="634" t="str">
        <f t="shared" si="0"/>
        <v>Bakersfield, CA</v>
      </c>
      <c r="L40" s="634" t="s">
        <v>1555</v>
      </c>
      <c r="M40" s="634">
        <v>35.43</v>
      </c>
      <c r="N40" s="634">
        <v>-119.05</v>
      </c>
      <c r="O40" s="634">
        <v>-8</v>
      </c>
      <c r="P40" s="634">
        <v>150</v>
      </c>
      <c r="T40" s="634" t="s">
        <v>247</v>
      </c>
      <c r="U40" s="634" t="s">
        <v>1648</v>
      </c>
    </row>
    <row r="41" spans="8:21">
      <c r="I41" s="634" t="s">
        <v>1649</v>
      </c>
      <c r="J41" s="634" t="s">
        <v>903</v>
      </c>
      <c r="K41" s="634" t="str">
        <f t="shared" si="0"/>
        <v>Bangor, ME</v>
      </c>
      <c r="L41" s="634" t="s">
        <v>1555</v>
      </c>
      <c r="M41" s="634">
        <v>44.8</v>
      </c>
      <c r="N41" s="634">
        <v>-68.8</v>
      </c>
      <c r="O41" s="634">
        <v>-5</v>
      </c>
      <c r="P41" s="634">
        <v>56</v>
      </c>
      <c r="T41" s="634" t="s">
        <v>247</v>
      </c>
      <c r="U41" s="634" t="s">
        <v>1650</v>
      </c>
    </row>
    <row r="42" spans="8:21">
      <c r="H42" s="634">
        <v>14601</v>
      </c>
      <c r="I42" s="634" t="s">
        <v>1651</v>
      </c>
      <c r="J42" s="634" t="s">
        <v>903</v>
      </c>
      <c r="K42" s="634" t="str">
        <f t="shared" si="0"/>
        <v>Bangor/Dow AFB, ME</v>
      </c>
      <c r="L42" s="634" t="s">
        <v>1555</v>
      </c>
      <c r="M42" s="634">
        <v>44.8</v>
      </c>
      <c r="N42" s="634">
        <v>-68.8</v>
      </c>
      <c r="O42" s="634">
        <v>-5</v>
      </c>
      <c r="P42" s="634">
        <v>56</v>
      </c>
      <c r="T42" s="634" t="s">
        <v>247</v>
      </c>
      <c r="U42" s="634" t="s">
        <v>1652</v>
      </c>
    </row>
    <row r="43" spans="8:21">
      <c r="H43" s="634">
        <v>27502</v>
      </c>
      <c r="I43" s="634" t="s">
        <v>1653</v>
      </c>
      <c r="J43" s="634" t="s">
        <v>953</v>
      </c>
      <c r="K43" s="634" t="str">
        <f t="shared" si="0"/>
        <v>Barrow, AK</v>
      </c>
      <c r="L43" s="634" t="s">
        <v>1555</v>
      </c>
      <c r="M43" s="634">
        <v>71.3</v>
      </c>
      <c r="N43" s="634">
        <v>-156.78</v>
      </c>
      <c r="O43" s="634">
        <v>-9</v>
      </c>
      <c r="P43" s="634">
        <v>4</v>
      </c>
      <c r="T43" s="634" t="s">
        <v>247</v>
      </c>
      <c r="U43" s="634" t="s">
        <v>1654</v>
      </c>
    </row>
    <row r="44" spans="8:21">
      <c r="H44" s="634">
        <v>23161</v>
      </c>
      <c r="I44" s="634" t="s">
        <v>1655</v>
      </c>
      <c r="J44" s="634" t="s">
        <v>954</v>
      </c>
      <c r="K44" s="634" t="str">
        <f t="shared" si="0"/>
        <v>Barstow/Daggett, CA</v>
      </c>
      <c r="L44" s="634" t="s">
        <v>1555</v>
      </c>
      <c r="M44" s="634">
        <v>34.85</v>
      </c>
      <c r="N44" s="634">
        <v>-116.78</v>
      </c>
      <c r="O44" s="634">
        <v>-8</v>
      </c>
      <c r="P44" s="634">
        <v>587</v>
      </c>
      <c r="T44" s="634" t="s">
        <v>247</v>
      </c>
      <c r="U44" s="634" t="s">
        <v>1656</v>
      </c>
    </row>
    <row r="45" spans="8:21">
      <c r="H45" s="634">
        <v>13970</v>
      </c>
      <c r="I45" s="634" t="s">
        <v>1657</v>
      </c>
      <c r="J45" s="634" t="s">
        <v>591</v>
      </c>
      <c r="K45" s="634" t="str">
        <f t="shared" si="0"/>
        <v>Baton Rouge, LA</v>
      </c>
      <c r="L45" s="634" t="s">
        <v>1555</v>
      </c>
      <c r="M45" s="634">
        <v>30.53</v>
      </c>
      <c r="N45" s="634">
        <v>-91.15</v>
      </c>
      <c r="O45" s="634">
        <v>-6</v>
      </c>
      <c r="P45" s="634">
        <v>21</v>
      </c>
      <c r="T45" s="634" t="s">
        <v>247</v>
      </c>
      <c r="U45" s="634" t="s">
        <v>1658</v>
      </c>
    </row>
    <row r="46" spans="8:21">
      <c r="H46" s="634">
        <v>99906</v>
      </c>
      <c r="I46" s="634" t="s">
        <v>1659</v>
      </c>
      <c r="J46" s="634" t="s">
        <v>1660</v>
      </c>
      <c r="K46" s="634" t="str">
        <f t="shared" si="0"/>
        <v>Battle Harbour, NF</v>
      </c>
      <c r="L46" s="634" t="s">
        <v>1552</v>
      </c>
      <c r="M46" s="634">
        <v>52.3</v>
      </c>
      <c r="N46" s="634">
        <v>-55.83</v>
      </c>
      <c r="O46" s="634">
        <v>-3.5</v>
      </c>
      <c r="P46" s="634">
        <v>8</v>
      </c>
      <c r="T46" s="634" t="s">
        <v>247</v>
      </c>
      <c r="U46" s="634" t="s">
        <v>1661</v>
      </c>
    </row>
    <row r="47" spans="8:21">
      <c r="H47" s="634" t="s">
        <v>1662</v>
      </c>
      <c r="I47" s="634" t="s">
        <v>1659</v>
      </c>
      <c r="J47" s="634" t="s">
        <v>1660</v>
      </c>
      <c r="K47" s="634" t="str">
        <f t="shared" si="0"/>
        <v>Battle Harbour, NF</v>
      </c>
      <c r="L47" s="634" t="s">
        <v>1552</v>
      </c>
      <c r="M47" s="634">
        <v>52.3</v>
      </c>
      <c r="N47" s="634">
        <v>-55.83</v>
      </c>
      <c r="O47" s="634">
        <v>-3.5</v>
      </c>
      <c r="P47" s="634">
        <v>8</v>
      </c>
      <c r="T47" s="634" t="s">
        <v>247</v>
      </c>
      <c r="U47" s="634" t="s">
        <v>1663</v>
      </c>
    </row>
    <row r="48" spans="8:21">
      <c r="I48" s="634" t="s">
        <v>1664</v>
      </c>
      <c r="J48" s="634" t="s">
        <v>512</v>
      </c>
      <c r="K48" s="634" t="str">
        <f t="shared" si="0"/>
        <v>Beaufort/MCAS, SC</v>
      </c>
      <c r="L48" s="634" t="s">
        <v>1555</v>
      </c>
      <c r="M48" s="634">
        <v>32.479999999999997</v>
      </c>
      <c r="N48" s="634">
        <v>-80.72</v>
      </c>
      <c r="O48" s="634">
        <v>-5</v>
      </c>
      <c r="P48" s="634">
        <v>12</v>
      </c>
      <c r="T48" s="634" t="s">
        <v>1176</v>
      </c>
      <c r="U48" s="634" t="s">
        <v>1665</v>
      </c>
    </row>
    <row r="49" spans="8:21">
      <c r="H49" s="634">
        <v>12917</v>
      </c>
      <c r="I49" s="634" t="s">
        <v>1666</v>
      </c>
      <c r="J49" s="634" t="s">
        <v>228</v>
      </c>
      <c r="K49" s="634" t="str">
        <f t="shared" si="0"/>
        <v>Beaumont/Port Arthur, TX</v>
      </c>
      <c r="L49" s="634" t="s">
        <v>1555</v>
      </c>
      <c r="M49" s="634">
        <v>29.95</v>
      </c>
      <c r="N49" s="634">
        <v>-94.02</v>
      </c>
      <c r="O49" s="634">
        <v>-6</v>
      </c>
      <c r="P49" s="634">
        <v>7</v>
      </c>
      <c r="T49" s="634" t="s">
        <v>1176</v>
      </c>
      <c r="U49" s="634" t="s">
        <v>1667</v>
      </c>
    </row>
    <row r="50" spans="8:21">
      <c r="I50" s="634" t="s">
        <v>1668</v>
      </c>
      <c r="J50" s="634" t="s">
        <v>228</v>
      </c>
      <c r="K50" s="634" t="str">
        <f t="shared" si="0"/>
        <v>Beeville/Chase Field NAS, TX</v>
      </c>
      <c r="L50" s="634" t="s">
        <v>1555</v>
      </c>
      <c r="M50" s="634">
        <v>28.37</v>
      </c>
      <c r="N50" s="634">
        <v>-97.67</v>
      </c>
      <c r="O50" s="634">
        <v>-6</v>
      </c>
      <c r="P50" s="634">
        <v>58</v>
      </c>
      <c r="T50" s="634" t="s">
        <v>1176</v>
      </c>
      <c r="U50" s="634" t="s">
        <v>1669</v>
      </c>
    </row>
    <row r="51" spans="8:21">
      <c r="I51" s="634" t="s">
        <v>1670</v>
      </c>
      <c r="J51" s="634" t="s">
        <v>932</v>
      </c>
      <c r="K51" s="634" t="str">
        <f t="shared" si="0"/>
        <v>Belleville/Scott AFB, IL</v>
      </c>
      <c r="L51" s="634" t="s">
        <v>1555</v>
      </c>
      <c r="M51" s="634">
        <v>38.549999999999997</v>
      </c>
      <c r="N51" s="634">
        <v>-89.85</v>
      </c>
      <c r="O51" s="634">
        <v>-6</v>
      </c>
      <c r="P51" s="634">
        <v>138</v>
      </c>
      <c r="T51" s="634" t="s">
        <v>1176</v>
      </c>
      <c r="U51" s="634" t="s">
        <v>1671</v>
      </c>
    </row>
    <row r="52" spans="8:21">
      <c r="H52" s="634">
        <v>72554</v>
      </c>
      <c r="I52" s="634" t="s">
        <v>1672</v>
      </c>
      <c r="J52" s="634" t="s">
        <v>771</v>
      </c>
      <c r="K52" s="634" t="str">
        <f t="shared" si="0"/>
        <v>Bellevue/Offutt AFB, NE</v>
      </c>
      <c r="L52" s="634" t="s">
        <v>1555</v>
      </c>
      <c r="M52" s="634">
        <v>41.12</v>
      </c>
      <c r="N52" s="634">
        <v>-95.92</v>
      </c>
      <c r="O52" s="634">
        <v>-6</v>
      </c>
      <c r="P52" s="634">
        <v>319</v>
      </c>
      <c r="T52" s="634" t="s">
        <v>1176</v>
      </c>
      <c r="U52" s="634" t="s">
        <v>1673</v>
      </c>
    </row>
    <row r="53" spans="8:21">
      <c r="I53" s="634" t="s">
        <v>1674</v>
      </c>
      <c r="J53" s="634" t="s">
        <v>238</v>
      </c>
      <c r="K53" s="634" t="str">
        <f t="shared" si="0"/>
        <v>Bellingham, WA</v>
      </c>
      <c r="L53" s="634" t="s">
        <v>1555</v>
      </c>
      <c r="M53" s="634">
        <v>48.8</v>
      </c>
      <c r="N53" s="634">
        <v>-122.53</v>
      </c>
      <c r="O53" s="634">
        <v>-8</v>
      </c>
      <c r="P53" s="634">
        <v>48</v>
      </c>
      <c r="T53" s="634" t="s">
        <v>1250</v>
      </c>
      <c r="U53" s="634" t="s">
        <v>1675</v>
      </c>
    </row>
    <row r="54" spans="8:21">
      <c r="H54" s="634">
        <v>26615</v>
      </c>
      <c r="I54" s="634" t="s">
        <v>1676</v>
      </c>
      <c r="J54" s="634" t="s">
        <v>953</v>
      </c>
      <c r="K54" s="634" t="str">
        <f t="shared" si="0"/>
        <v>Bethel, AK</v>
      </c>
      <c r="L54" s="634" t="s">
        <v>1555</v>
      </c>
      <c r="M54" s="634">
        <v>60.78</v>
      </c>
      <c r="N54" s="634">
        <v>-161.80000000000001</v>
      </c>
      <c r="O54" s="634">
        <v>-9</v>
      </c>
      <c r="P54" s="634">
        <v>46</v>
      </c>
      <c r="T54" s="634" t="s">
        <v>1250</v>
      </c>
      <c r="U54" s="634" t="s">
        <v>1677</v>
      </c>
    </row>
    <row r="55" spans="8:21">
      <c r="H55" s="634">
        <v>26533</v>
      </c>
      <c r="I55" s="634" t="s">
        <v>1678</v>
      </c>
      <c r="J55" s="634" t="s">
        <v>953</v>
      </c>
      <c r="K55" s="634" t="str">
        <f t="shared" si="0"/>
        <v>Bettles, AK</v>
      </c>
      <c r="L55" s="634" t="s">
        <v>1555</v>
      </c>
      <c r="M55" s="634">
        <v>66.92</v>
      </c>
      <c r="N55" s="634">
        <v>-151.52000000000001</v>
      </c>
      <c r="O55" s="634">
        <v>-9</v>
      </c>
      <c r="P55" s="634">
        <v>196</v>
      </c>
      <c r="T55" s="634" t="s">
        <v>1250</v>
      </c>
      <c r="U55" s="634" t="s">
        <v>1679</v>
      </c>
    </row>
    <row r="56" spans="8:21">
      <c r="H56" s="634">
        <v>26415</v>
      </c>
      <c r="I56" s="634" t="s">
        <v>1680</v>
      </c>
      <c r="J56" s="634" t="s">
        <v>953</v>
      </c>
      <c r="K56" s="634" t="str">
        <f t="shared" si="0"/>
        <v>Big Delta/Ft Greely, AK</v>
      </c>
      <c r="L56" s="634" t="s">
        <v>1555</v>
      </c>
      <c r="M56" s="634">
        <v>64</v>
      </c>
      <c r="N56" s="634">
        <v>-145.72999999999999</v>
      </c>
      <c r="O56" s="634">
        <v>-9</v>
      </c>
      <c r="P56" s="634">
        <v>391</v>
      </c>
      <c r="T56" s="634" t="s">
        <v>1250</v>
      </c>
      <c r="U56" s="634" t="s">
        <v>1681</v>
      </c>
    </row>
    <row r="57" spans="8:21">
      <c r="I57" s="634" t="s">
        <v>1682</v>
      </c>
      <c r="J57" s="634" t="s">
        <v>904</v>
      </c>
      <c r="K57" s="634" t="str">
        <f t="shared" si="0"/>
        <v>Big Piney, WY</v>
      </c>
      <c r="L57" s="634" t="s">
        <v>1555</v>
      </c>
      <c r="M57" s="634">
        <v>42.57</v>
      </c>
      <c r="N57" s="634">
        <v>-110.1</v>
      </c>
      <c r="O57" s="634">
        <v>-7</v>
      </c>
      <c r="P57" s="634">
        <v>2124</v>
      </c>
      <c r="T57" s="634" t="s">
        <v>1250</v>
      </c>
      <c r="U57" s="634" t="s">
        <v>1683</v>
      </c>
    </row>
    <row r="58" spans="8:21">
      <c r="H58" s="634">
        <v>15806</v>
      </c>
      <c r="I58" s="634" t="s">
        <v>1684</v>
      </c>
      <c r="J58" s="634" t="s">
        <v>1621</v>
      </c>
      <c r="K58" s="634" t="str">
        <f t="shared" si="0"/>
        <v>Big Trout Lake, ON</v>
      </c>
      <c r="L58" s="634" t="s">
        <v>1552</v>
      </c>
      <c r="M58" s="634">
        <v>53.83</v>
      </c>
      <c r="N58" s="634">
        <v>-89.87</v>
      </c>
      <c r="O58" s="634">
        <v>-5</v>
      </c>
      <c r="P58" s="634">
        <v>224</v>
      </c>
      <c r="T58" s="634" t="s">
        <v>1250</v>
      </c>
      <c r="U58" s="634" t="s">
        <v>1685</v>
      </c>
    </row>
    <row r="59" spans="8:21">
      <c r="H59" s="634">
        <v>24033</v>
      </c>
      <c r="I59" s="634" t="s">
        <v>1686</v>
      </c>
      <c r="J59" s="634" t="s">
        <v>1108</v>
      </c>
      <c r="K59" s="634" t="str">
        <f t="shared" si="0"/>
        <v>Billings, MT</v>
      </c>
      <c r="L59" s="634" t="s">
        <v>1555</v>
      </c>
      <c r="M59" s="634">
        <v>45.8</v>
      </c>
      <c r="N59" s="634">
        <v>-108.53</v>
      </c>
      <c r="O59" s="634">
        <v>-7</v>
      </c>
      <c r="P59" s="634">
        <v>1088</v>
      </c>
      <c r="T59" s="634" t="s">
        <v>1250</v>
      </c>
      <c r="U59" s="634" t="s">
        <v>1687</v>
      </c>
    </row>
    <row r="60" spans="8:21">
      <c r="I60" s="634" t="s">
        <v>1688</v>
      </c>
      <c r="J60" s="634" t="s">
        <v>460</v>
      </c>
      <c r="K60" s="634" t="str">
        <f t="shared" si="0"/>
        <v>Biloxi/Keesler AFB, MS</v>
      </c>
      <c r="L60" s="634" t="s">
        <v>1555</v>
      </c>
      <c r="M60" s="634">
        <v>30.42</v>
      </c>
      <c r="N60" s="634">
        <v>-88.92</v>
      </c>
      <c r="O60" s="634">
        <v>-6</v>
      </c>
      <c r="P60" s="634">
        <v>10</v>
      </c>
      <c r="T60" s="634" t="s">
        <v>1250</v>
      </c>
      <c r="U60" s="634" t="s">
        <v>1689</v>
      </c>
    </row>
    <row r="61" spans="8:21">
      <c r="H61" s="634">
        <v>4725</v>
      </c>
      <c r="I61" s="634" t="s">
        <v>1690</v>
      </c>
      <c r="J61" s="634" t="s">
        <v>537</v>
      </c>
      <c r="K61" s="634" t="str">
        <f t="shared" si="0"/>
        <v>Binghamton, NY</v>
      </c>
      <c r="L61" s="634" t="s">
        <v>1555</v>
      </c>
      <c r="M61" s="634">
        <v>42.22</v>
      </c>
      <c r="N61" s="634">
        <v>-75.98</v>
      </c>
      <c r="O61" s="634">
        <v>-5</v>
      </c>
      <c r="P61" s="634">
        <v>497</v>
      </c>
      <c r="T61" s="634" t="s">
        <v>1250</v>
      </c>
      <c r="U61" s="634" t="s">
        <v>1691</v>
      </c>
    </row>
    <row r="62" spans="8:21">
      <c r="H62" s="634">
        <v>13876</v>
      </c>
      <c r="I62" s="634" t="s">
        <v>1692</v>
      </c>
      <c r="J62" s="634" t="s">
        <v>247</v>
      </c>
      <c r="K62" s="634" t="str">
        <f t="shared" si="0"/>
        <v>Birmingham, AL</v>
      </c>
      <c r="L62" s="634" t="s">
        <v>1555</v>
      </c>
      <c r="M62" s="634">
        <v>33.57</v>
      </c>
      <c r="N62" s="634">
        <v>-86.75</v>
      </c>
      <c r="O62" s="634">
        <v>-6</v>
      </c>
      <c r="P62" s="634">
        <v>192</v>
      </c>
      <c r="T62" s="634" t="s">
        <v>1250</v>
      </c>
      <c r="U62" s="634" t="s">
        <v>1693</v>
      </c>
    </row>
    <row r="63" spans="8:21">
      <c r="H63" s="634">
        <v>24011</v>
      </c>
      <c r="I63" s="634" t="s">
        <v>1694</v>
      </c>
      <c r="J63" s="634" t="s">
        <v>248</v>
      </c>
      <c r="K63" s="634" t="str">
        <f t="shared" si="0"/>
        <v>Bismarck, ND</v>
      </c>
      <c r="L63" s="634" t="s">
        <v>1555</v>
      </c>
      <c r="M63" s="634">
        <v>46.77</v>
      </c>
      <c r="N63" s="634">
        <v>-100.75</v>
      </c>
      <c r="O63" s="634">
        <v>-6</v>
      </c>
      <c r="P63" s="634">
        <v>506</v>
      </c>
      <c r="T63" s="634" t="s">
        <v>1551</v>
      </c>
      <c r="U63" s="634" t="s">
        <v>1695</v>
      </c>
    </row>
    <row r="64" spans="8:21">
      <c r="I64" s="634" t="s">
        <v>1696</v>
      </c>
      <c r="J64" s="634" t="s">
        <v>954</v>
      </c>
      <c r="K64" s="634" t="str">
        <f t="shared" si="0"/>
        <v>Blue Canyon, CA</v>
      </c>
      <c r="L64" s="634" t="s">
        <v>1555</v>
      </c>
      <c r="M64" s="634">
        <v>39.28</v>
      </c>
      <c r="N64" s="634">
        <v>-120.72</v>
      </c>
      <c r="O64" s="634">
        <v>-8</v>
      </c>
      <c r="P64" s="634">
        <v>1611</v>
      </c>
      <c r="T64" s="634" t="s">
        <v>1551</v>
      </c>
      <c r="U64" s="634" t="s">
        <v>1697</v>
      </c>
    </row>
    <row r="65" spans="8:21">
      <c r="I65" s="634" t="s">
        <v>1698</v>
      </c>
      <c r="J65" s="634" t="s">
        <v>513</v>
      </c>
      <c r="K65" s="634" t="str">
        <f t="shared" si="0"/>
        <v>Bluefield, WV</v>
      </c>
      <c r="L65" s="634" t="s">
        <v>1555</v>
      </c>
      <c r="M65" s="634">
        <v>37.299999999999997</v>
      </c>
      <c r="N65" s="634">
        <v>-81.2</v>
      </c>
      <c r="O65" s="634">
        <v>-5</v>
      </c>
      <c r="P65" s="634">
        <v>871</v>
      </c>
      <c r="T65" s="634" t="s">
        <v>1551</v>
      </c>
      <c r="U65" s="634" t="s">
        <v>1699</v>
      </c>
    </row>
    <row r="66" spans="8:21">
      <c r="I66" s="634" t="s">
        <v>1700</v>
      </c>
      <c r="J66" s="634" t="s">
        <v>1176</v>
      </c>
      <c r="K66" s="634" t="str">
        <f t="shared" ref="K66:K129" si="3">CONCATENATE(I66,", ",J66)</f>
        <v>Blytheville/Eaker AFB, AR</v>
      </c>
      <c r="L66" s="634" t="s">
        <v>1555</v>
      </c>
      <c r="M66" s="634">
        <v>35.97</v>
      </c>
      <c r="N66" s="634">
        <v>-89.95</v>
      </c>
      <c r="O66" s="634">
        <v>-6</v>
      </c>
      <c r="P66" s="634">
        <v>78</v>
      </c>
      <c r="T66" s="634" t="s">
        <v>1551</v>
      </c>
      <c r="U66" s="634" t="s">
        <v>1701</v>
      </c>
    </row>
    <row r="67" spans="8:21">
      <c r="H67" s="634">
        <v>24131</v>
      </c>
      <c r="I67" s="634" t="s">
        <v>1702</v>
      </c>
      <c r="J67" s="634" t="s">
        <v>249</v>
      </c>
      <c r="K67" s="634" t="str">
        <f t="shared" si="3"/>
        <v>Boise, ID</v>
      </c>
      <c r="L67" s="634" t="s">
        <v>1555</v>
      </c>
      <c r="M67" s="634">
        <v>43.57</v>
      </c>
      <c r="N67" s="634">
        <v>-116.22</v>
      </c>
      <c r="O67" s="634">
        <v>-7</v>
      </c>
      <c r="P67" s="634">
        <v>874</v>
      </c>
      <c r="T67" s="634" t="s">
        <v>1551</v>
      </c>
      <c r="U67" s="634" t="s">
        <v>1703</v>
      </c>
    </row>
    <row r="68" spans="8:21">
      <c r="H68" s="634">
        <v>14522</v>
      </c>
      <c r="I68" s="634" t="s">
        <v>1704</v>
      </c>
      <c r="J68" s="634" t="s">
        <v>1660</v>
      </c>
      <c r="K68" s="634" t="str">
        <f t="shared" si="3"/>
        <v>Bonavista, NF</v>
      </c>
      <c r="L68" s="634" t="s">
        <v>1552</v>
      </c>
      <c r="M68" s="634">
        <v>48.67</v>
      </c>
      <c r="N68" s="634">
        <v>-53.12</v>
      </c>
      <c r="O68" s="634">
        <v>-3.5</v>
      </c>
      <c r="P68" s="634">
        <v>27</v>
      </c>
      <c r="T68" s="634" t="s">
        <v>1551</v>
      </c>
      <c r="U68" s="634" t="s">
        <v>1705</v>
      </c>
    </row>
    <row r="69" spans="8:21">
      <c r="H69" s="634">
        <v>72248</v>
      </c>
      <c r="I69" s="634" t="s">
        <v>1706</v>
      </c>
      <c r="J69" s="634" t="s">
        <v>591</v>
      </c>
      <c r="K69" s="634" t="str">
        <f t="shared" si="3"/>
        <v>Bossier City/Barksdale AFB, LA</v>
      </c>
      <c r="L69" s="634" t="s">
        <v>1555</v>
      </c>
      <c r="M69" s="634">
        <v>32.5</v>
      </c>
      <c r="N69" s="634">
        <v>-93.67</v>
      </c>
      <c r="O69" s="634">
        <v>-6</v>
      </c>
      <c r="P69" s="634">
        <v>51</v>
      </c>
      <c r="T69" s="634" t="s">
        <v>1551</v>
      </c>
      <c r="U69" s="634" t="s">
        <v>1707</v>
      </c>
    </row>
    <row r="70" spans="8:21">
      <c r="H70" s="634">
        <v>14739</v>
      </c>
      <c r="I70" s="634" t="s">
        <v>1708</v>
      </c>
      <c r="J70" s="634" t="s">
        <v>250</v>
      </c>
      <c r="K70" s="634" t="str">
        <f t="shared" si="3"/>
        <v>Boston, MA</v>
      </c>
      <c r="L70" s="634" t="s">
        <v>1555</v>
      </c>
      <c r="M70" s="634">
        <v>42.37</v>
      </c>
      <c r="N70" s="634">
        <v>-71.03</v>
      </c>
      <c r="O70" s="634">
        <v>-5</v>
      </c>
      <c r="P70" s="634">
        <v>9</v>
      </c>
      <c r="T70" s="634" t="s">
        <v>1551</v>
      </c>
      <c r="U70" s="634" t="s">
        <v>1709</v>
      </c>
    </row>
    <row r="71" spans="8:21">
      <c r="H71" s="634">
        <v>94701</v>
      </c>
      <c r="I71" s="634" t="s">
        <v>1708</v>
      </c>
      <c r="J71" s="634" t="s">
        <v>250</v>
      </c>
      <c r="K71" s="634" t="str">
        <f t="shared" si="3"/>
        <v>Boston, MA</v>
      </c>
      <c r="L71" s="634" t="s">
        <v>1555</v>
      </c>
      <c r="M71" s="634">
        <v>42.35</v>
      </c>
      <c r="N71" s="634">
        <v>-71.069999999999993</v>
      </c>
      <c r="O71" s="634">
        <v>-5</v>
      </c>
      <c r="P71" s="634">
        <v>6</v>
      </c>
      <c r="T71" s="634" t="s">
        <v>1551</v>
      </c>
      <c r="U71" s="634" t="s">
        <v>1710</v>
      </c>
    </row>
    <row r="72" spans="8:21">
      <c r="H72" s="634">
        <v>94018</v>
      </c>
      <c r="I72" s="634" t="s">
        <v>1711</v>
      </c>
      <c r="J72" s="634" t="s">
        <v>536</v>
      </c>
      <c r="K72" s="634" t="str">
        <f t="shared" si="3"/>
        <v>Boulder, CO</v>
      </c>
      <c r="L72" s="634" t="s">
        <v>1555</v>
      </c>
      <c r="M72" s="634">
        <v>39.92</v>
      </c>
      <c r="N72" s="634">
        <v>-105.12</v>
      </c>
      <c r="O72" s="634">
        <v>-7</v>
      </c>
      <c r="P72" s="634">
        <v>1724</v>
      </c>
      <c r="T72" s="634" t="s">
        <v>1551</v>
      </c>
      <c r="U72" s="634" t="s">
        <v>1712</v>
      </c>
    </row>
    <row r="73" spans="8:21">
      <c r="I73" s="634" t="s">
        <v>1713</v>
      </c>
      <c r="J73" s="634" t="s">
        <v>1107</v>
      </c>
      <c r="K73" s="634" t="str">
        <f t="shared" si="3"/>
        <v>Bowling Green, KY</v>
      </c>
      <c r="L73" s="634" t="s">
        <v>1555</v>
      </c>
      <c r="M73" s="634">
        <v>36.97</v>
      </c>
      <c r="N73" s="634">
        <v>-86.42</v>
      </c>
      <c r="O73" s="634">
        <v>-6</v>
      </c>
      <c r="P73" s="634">
        <v>167</v>
      </c>
      <c r="T73" s="634" t="s">
        <v>1551</v>
      </c>
      <c r="U73" s="634" t="s">
        <v>1714</v>
      </c>
    </row>
    <row r="74" spans="8:21">
      <c r="I74" s="634" t="s">
        <v>1715</v>
      </c>
      <c r="J74" s="634" t="s">
        <v>1108</v>
      </c>
      <c r="K74" s="634" t="str">
        <f t="shared" si="3"/>
        <v>Bozeman, MT</v>
      </c>
      <c r="L74" s="634" t="s">
        <v>1555</v>
      </c>
      <c r="M74" s="634">
        <v>45.78</v>
      </c>
      <c r="N74" s="634">
        <v>-111.15</v>
      </c>
      <c r="O74" s="634">
        <v>-7</v>
      </c>
      <c r="P74" s="634">
        <v>1364</v>
      </c>
      <c r="T74" s="634" t="s">
        <v>1551</v>
      </c>
      <c r="U74" s="634" t="s">
        <v>1716</v>
      </c>
    </row>
    <row r="75" spans="8:21">
      <c r="H75" s="634">
        <v>4751</v>
      </c>
      <c r="I75" s="634" t="s">
        <v>1717</v>
      </c>
      <c r="J75" s="634" t="s">
        <v>539</v>
      </c>
      <c r="K75" s="634" t="str">
        <f t="shared" si="3"/>
        <v>Bradford, PA</v>
      </c>
      <c r="L75" s="634" t="s">
        <v>1555</v>
      </c>
      <c r="M75" s="634">
        <v>41.8</v>
      </c>
      <c r="N75" s="634">
        <v>-78.63</v>
      </c>
      <c r="O75" s="634">
        <v>-5</v>
      </c>
      <c r="P75" s="634">
        <v>653</v>
      </c>
      <c r="T75" s="634" t="s">
        <v>1551</v>
      </c>
      <c r="U75" s="634" t="s">
        <v>1718</v>
      </c>
    </row>
    <row r="76" spans="8:21">
      <c r="I76" s="634" t="s">
        <v>1719</v>
      </c>
      <c r="J76" s="634" t="s">
        <v>934</v>
      </c>
      <c r="K76" s="634" t="str">
        <f t="shared" si="3"/>
        <v>Brainerd/Pequot Lakes, MN</v>
      </c>
      <c r="L76" s="634" t="s">
        <v>1555</v>
      </c>
      <c r="M76" s="634">
        <v>46.6</v>
      </c>
      <c r="N76" s="634">
        <v>-94.32</v>
      </c>
      <c r="O76" s="634">
        <v>-6</v>
      </c>
      <c r="P76" s="634">
        <v>390</v>
      </c>
      <c r="T76" s="634" t="s">
        <v>1551</v>
      </c>
      <c r="U76" s="634" t="s">
        <v>1720</v>
      </c>
    </row>
    <row r="77" spans="8:21">
      <c r="H77" s="634">
        <v>14997</v>
      </c>
      <c r="I77" s="634" t="s">
        <v>1721</v>
      </c>
      <c r="J77" s="634" t="s">
        <v>1722</v>
      </c>
      <c r="K77" s="634" t="str">
        <f t="shared" si="3"/>
        <v>Brandon, MB</v>
      </c>
      <c r="L77" s="634" t="s">
        <v>1552</v>
      </c>
      <c r="M77" s="634">
        <v>49.92</v>
      </c>
      <c r="N77" s="634">
        <v>-99.95</v>
      </c>
      <c r="O77" s="634">
        <v>-6</v>
      </c>
      <c r="P77" s="634">
        <v>409</v>
      </c>
      <c r="T77" s="634" t="s">
        <v>1551</v>
      </c>
      <c r="U77" s="634" t="s">
        <v>1723</v>
      </c>
    </row>
    <row r="78" spans="8:21">
      <c r="H78" s="634">
        <v>94702</v>
      </c>
      <c r="I78" s="634" t="s">
        <v>1724</v>
      </c>
      <c r="J78" s="634" t="s">
        <v>620</v>
      </c>
      <c r="K78" s="634" t="str">
        <f t="shared" si="3"/>
        <v>Bridgeport, CT</v>
      </c>
      <c r="L78" s="634" t="s">
        <v>1555</v>
      </c>
      <c r="M78" s="634">
        <v>41.17</v>
      </c>
      <c r="N78" s="634">
        <v>-73.13</v>
      </c>
      <c r="O78" s="634">
        <v>-5</v>
      </c>
      <c r="P78" s="634">
        <v>5</v>
      </c>
      <c r="T78" s="634" t="s">
        <v>1551</v>
      </c>
      <c r="U78" s="634" t="s">
        <v>1725</v>
      </c>
    </row>
    <row r="79" spans="8:21">
      <c r="H79" s="634">
        <v>13877</v>
      </c>
      <c r="I79" s="634" t="s">
        <v>1726</v>
      </c>
      <c r="J79" s="634" t="s">
        <v>560</v>
      </c>
      <c r="K79" s="634" t="str">
        <f t="shared" si="3"/>
        <v>Bristol, TN</v>
      </c>
      <c r="L79" s="634" t="s">
        <v>1555</v>
      </c>
      <c r="M79" s="634">
        <v>36.479999999999997</v>
      </c>
      <c r="N79" s="634">
        <v>-82.4</v>
      </c>
      <c r="O79" s="634">
        <v>-5</v>
      </c>
      <c r="P79" s="634">
        <v>463</v>
      </c>
      <c r="T79" s="634" t="s">
        <v>1551</v>
      </c>
      <c r="U79" s="634" t="s">
        <v>1725</v>
      </c>
    </row>
    <row r="80" spans="8:21">
      <c r="H80" s="634">
        <v>25030</v>
      </c>
      <c r="I80" s="634" t="s">
        <v>1727</v>
      </c>
      <c r="J80" s="634" t="s">
        <v>1728</v>
      </c>
      <c r="K80" s="634" t="str">
        <f t="shared" si="3"/>
        <v>Broadview, SK</v>
      </c>
      <c r="L80" s="634" t="s">
        <v>1552</v>
      </c>
      <c r="M80" s="634">
        <v>50.38</v>
      </c>
      <c r="N80" s="634">
        <v>-102.68</v>
      </c>
      <c r="O80" s="634">
        <v>-6</v>
      </c>
      <c r="P80" s="634">
        <v>602</v>
      </c>
      <c r="T80" s="634" t="s">
        <v>1551</v>
      </c>
      <c r="U80" s="634" t="s">
        <v>1729</v>
      </c>
    </row>
    <row r="81" spans="8:21">
      <c r="H81" s="634">
        <v>12919</v>
      </c>
      <c r="I81" s="634" t="s">
        <v>1730</v>
      </c>
      <c r="J81" s="634" t="s">
        <v>228</v>
      </c>
      <c r="K81" s="634" t="str">
        <f t="shared" si="3"/>
        <v>Brownsville, TX</v>
      </c>
      <c r="L81" s="634" t="s">
        <v>1555</v>
      </c>
      <c r="M81" s="634">
        <v>25.9</v>
      </c>
      <c r="N81" s="634">
        <v>-97.43</v>
      </c>
      <c r="O81" s="634">
        <v>-6</v>
      </c>
      <c r="P81" s="634">
        <v>6</v>
      </c>
      <c r="T81" s="634" t="s">
        <v>1551</v>
      </c>
      <c r="U81" s="634" t="s">
        <v>1731</v>
      </c>
    </row>
    <row r="82" spans="8:21">
      <c r="I82" s="634" t="s">
        <v>1732</v>
      </c>
      <c r="J82" s="634" t="s">
        <v>428</v>
      </c>
      <c r="K82" s="634" t="str">
        <f t="shared" si="3"/>
        <v>Brunswick, GA</v>
      </c>
      <c r="L82" s="634" t="s">
        <v>1555</v>
      </c>
      <c r="M82" s="634">
        <v>31.15</v>
      </c>
      <c r="N82" s="634">
        <v>-81.38</v>
      </c>
      <c r="O82" s="634">
        <v>-5</v>
      </c>
      <c r="P82" s="634">
        <v>6</v>
      </c>
      <c r="T82" s="634" t="s">
        <v>1551</v>
      </c>
      <c r="U82" s="634" t="s">
        <v>1733</v>
      </c>
    </row>
    <row r="83" spans="8:21">
      <c r="I83" s="634" t="s">
        <v>1734</v>
      </c>
      <c r="J83" s="634" t="s">
        <v>903</v>
      </c>
      <c r="K83" s="634" t="str">
        <f t="shared" si="3"/>
        <v>Brunswick/NAS, ME</v>
      </c>
      <c r="L83" s="634" t="s">
        <v>1555</v>
      </c>
      <c r="M83" s="634">
        <v>43.88</v>
      </c>
      <c r="N83" s="634">
        <v>-69.930000000000007</v>
      </c>
      <c r="O83" s="634">
        <v>-5</v>
      </c>
      <c r="P83" s="634">
        <v>23</v>
      </c>
      <c r="T83" s="634" t="s">
        <v>1551</v>
      </c>
      <c r="U83" s="634" t="s">
        <v>1735</v>
      </c>
    </row>
    <row r="84" spans="8:21">
      <c r="H84" s="634">
        <v>23159</v>
      </c>
      <c r="I84" s="634" t="s">
        <v>1736</v>
      </c>
      <c r="J84" s="634" t="s">
        <v>905</v>
      </c>
      <c r="K84" s="634" t="str">
        <f t="shared" si="3"/>
        <v>Bryce Canyon, UT</v>
      </c>
      <c r="L84" s="634" t="s">
        <v>1555</v>
      </c>
      <c r="M84" s="634">
        <v>37.700000000000003</v>
      </c>
      <c r="N84" s="634">
        <v>-112.15</v>
      </c>
      <c r="O84" s="634">
        <v>-7</v>
      </c>
      <c r="P84" s="634">
        <v>2312</v>
      </c>
      <c r="T84" s="634" t="s">
        <v>1551</v>
      </c>
      <c r="U84" s="634" t="s">
        <v>1735</v>
      </c>
    </row>
    <row r="85" spans="8:21">
      <c r="H85" s="634">
        <v>14733</v>
      </c>
      <c r="I85" s="634" t="s">
        <v>1737</v>
      </c>
      <c r="J85" s="634" t="s">
        <v>537</v>
      </c>
      <c r="K85" s="634" t="str">
        <f t="shared" si="3"/>
        <v>Buffalo, NY</v>
      </c>
      <c r="L85" s="634" t="s">
        <v>1555</v>
      </c>
      <c r="M85" s="634">
        <v>42.93</v>
      </c>
      <c r="N85" s="634">
        <v>-78.73</v>
      </c>
      <c r="O85" s="634">
        <v>-5</v>
      </c>
      <c r="P85" s="634">
        <v>215</v>
      </c>
      <c r="T85" s="634" t="s">
        <v>1551</v>
      </c>
      <c r="U85" s="634" t="s">
        <v>1738</v>
      </c>
    </row>
    <row r="86" spans="8:21">
      <c r="I86" s="634" t="s">
        <v>1739</v>
      </c>
      <c r="J86" s="634" t="s">
        <v>954</v>
      </c>
      <c r="K86" s="634" t="str">
        <f t="shared" si="3"/>
        <v>Burbank/Glendale, CA</v>
      </c>
      <c r="L86" s="634" t="s">
        <v>1555</v>
      </c>
      <c r="M86" s="634">
        <v>34.200000000000003</v>
      </c>
      <c r="N86" s="634">
        <v>-118.35</v>
      </c>
      <c r="O86" s="634">
        <v>-8</v>
      </c>
      <c r="P86" s="634">
        <v>236</v>
      </c>
      <c r="T86" s="634" t="s">
        <v>1551</v>
      </c>
      <c r="U86" s="634" t="s">
        <v>1740</v>
      </c>
    </row>
    <row r="87" spans="8:21">
      <c r="I87" s="634" t="s">
        <v>1741</v>
      </c>
      <c r="J87" s="634" t="s">
        <v>249</v>
      </c>
      <c r="K87" s="634" t="str">
        <f t="shared" si="3"/>
        <v>Burley, ID</v>
      </c>
      <c r="L87" s="634" t="s">
        <v>1555</v>
      </c>
      <c r="M87" s="634">
        <v>42.55</v>
      </c>
      <c r="N87" s="634">
        <v>-113.77</v>
      </c>
      <c r="O87" s="634">
        <v>-7</v>
      </c>
      <c r="P87" s="634">
        <v>1265</v>
      </c>
      <c r="T87" s="634" t="s">
        <v>954</v>
      </c>
      <c r="U87" s="634" t="s">
        <v>1742</v>
      </c>
    </row>
    <row r="88" spans="8:21">
      <c r="H88" s="634">
        <v>14931</v>
      </c>
      <c r="I88" s="634" t="s">
        <v>1743</v>
      </c>
      <c r="J88" s="634" t="s">
        <v>566</v>
      </c>
      <c r="K88" s="634" t="str">
        <f t="shared" si="3"/>
        <v>Burlington, IA</v>
      </c>
      <c r="L88" s="634" t="s">
        <v>1555</v>
      </c>
      <c r="M88" s="634">
        <v>40.78</v>
      </c>
      <c r="N88" s="634">
        <v>-91.13</v>
      </c>
      <c r="O88" s="634">
        <v>-6</v>
      </c>
      <c r="P88" s="634">
        <v>213</v>
      </c>
      <c r="T88" s="634" t="s">
        <v>954</v>
      </c>
      <c r="U88" s="634" t="s">
        <v>1744</v>
      </c>
    </row>
    <row r="89" spans="8:21">
      <c r="H89" s="634">
        <v>14742</v>
      </c>
      <c r="I89" s="634" t="s">
        <v>1743</v>
      </c>
      <c r="J89" s="634" t="s">
        <v>1033</v>
      </c>
      <c r="K89" s="634" t="str">
        <f t="shared" si="3"/>
        <v>Burlington, VT</v>
      </c>
      <c r="L89" s="634" t="s">
        <v>1555</v>
      </c>
      <c r="M89" s="634">
        <v>44.47</v>
      </c>
      <c r="N89" s="634">
        <v>-73.150000000000006</v>
      </c>
      <c r="O89" s="634">
        <v>-5</v>
      </c>
      <c r="P89" s="634">
        <v>104</v>
      </c>
      <c r="T89" s="634" t="s">
        <v>954</v>
      </c>
      <c r="U89" s="634" t="s">
        <v>1745</v>
      </c>
    </row>
    <row r="90" spans="8:21">
      <c r="H90" s="634">
        <v>94185</v>
      </c>
      <c r="I90" s="634" t="s">
        <v>1746</v>
      </c>
      <c r="J90" s="634" t="s">
        <v>427</v>
      </c>
      <c r="K90" s="634" t="str">
        <f t="shared" si="3"/>
        <v>Burns, OR</v>
      </c>
      <c r="L90" s="634" t="s">
        <v>1555</v>
      </c>
      <c r="M90" s="634">
        <v>43.58</v>
      </c>
      <c r="N90" s="634">
        <v>-118.95</v>
      </c>
      <c r="O90" s="634">
        <v>-8</v>
      </c>
      <c r="P90" s="634">
        <v>1271</v>
      </c>
      <c r="T90" s="634" t="s">
        <v>954</v>
      </c>
      <c r="U90" s="634" t="s">
        <v>1747</v>
      </c>
    </row>
    <row r="91" spans="8:21">
      <c r="I91" s="634" t="s">
        <v>1748</v>
      </c>
      <c r="J91" s="634" t="s">
        <v>1108</v>
      </c>
      <c r="K91" s="634" t="str">
        <f t="shared" si="3"/>
        <v>Butte, MT</v>
      </c>
      <c r="L91" s="634" t="s">
        <v>1555</v>
      </c>
      <c r="M91" s="634">
        <v>45.95</v>
      </c>
      <c r="N91" s="634">
        <v>-112.5</v>
      </c>
      <c r="O91" s="634">
        <v>-7</v>
      </c>
      <c r="P91" s="634">
        <v>1690</v>
      </c>
      <c r="T91" s="634" t="s">
        <v>954</v>
      </c>
      <c r="U91" s="634" t="s">
        <v>1749</v>
      </c>
    </row>
    <row r="92" spans="8:21">
      <c r="H92" s="634">
        <v>26005</v>
      </c>
      <c r="I92" s="634" t="s">
        <v>1750</v>
      </c>
      <c r="J92" s="634" t="s">
        <v>1645</v>
      </c>
      <c r="K92" s="634" t="str">
        <f t="shared" si="3"/>
        <v>Cambridge Bay, NU</v>
      </c>
      <c r="L92" s="634" t="s">
        <v>1552</v>
      </c>
      <c r="M92" s="634">
        <v>69.099999999999994</v>
      </c>
      <c r="N92" s="634">
        <v>-105.12</v>
      </c>
      <c r="O92" s="634">
        <v>-6</v>
      </c>
      <c r="P92" s="634">
        <v>27</v>
      </c>
      <c r="T92" s="634" t="s">
        <v>954</v>
      </c>
      <c r="U92" s="634" t="s">
        <v>1751</v>
      </c>
    </row>
    <row r="93" spans="8:21">
      <c r="I93" s="634" t="s">
        <v>1752</v>
      </c>
      <c r="J93" s="634" t="s">
        <v>590</v>
      </c>
      <c r="K93" s="634" t="str">
        <f t="shared" si="3"/>
        <v>Camp Springs/Andrews AFB, MD</v>
      </c>
      <c r="L93" s="634" t="s">
        <v>1555</v>
      </c>
      <c r="M93" s="634">
        <v>38.82</v>
      </c>
      <c r="N93" s="634">
        <v>-76.87</v>
      </c>
      <c r="O93" s="634">
        <v>-5</v>
      </c>
      <c r="P93" s="634">
        <v>86</v>
      </c>
      <c r="T93" s="634" t="s">
        <v>954</v>
      </c>
      <c r="U93" s="634" t="s">
        <v>1753</v>
      </c>
    </row>
    <row r="94" spans="8:21">
      <c r="I94" s="634" t="s">
        <v>1754</v>
      </c>
      <c r="J94" s="634" t="s">
        <v>594</v>
      </c>
      <c r="K94" s="634" t="str">
        <f t="shared" si="3"/>
        <v>Cape Canaveral NASA Shuttle FC, FL</v>
      </c>
      <c r="L94" s="634" t="s">
        <v>1555</v>
      </c>
      <c r="M94" s="634">
        <v>28.62</v>
      </c>
      <c r="N94" s="634">
        <v>-80.72</v>
      </c>
      <c r="O94" s="634">
        <v>-5</v>
      </c>
      <c r="P94" s="634">
        <v>3</v>
      </c>
      <c r="T94" s="634" t="s">
        <v>954</v>
      </c>
      <c r="U94" s="634" t="s">
        <v>1755</v>
      </c>
    </row>
    <row r="95" spans="8:21">
      <c r="I95" s="634" t="s">
        <v>1756</v>
      </c>
      <c r="J95" s="634" t="s">
        <v>1248</v>
      </c>
      <c r="K95" s="634" t="str">
        <f t="shared" si="3"/>
        <v>Cape Girardeau, MO</v>
      </c>
      <c r="L95" s="634" t="s">
        <v>1555</v>
      </c>
      <c r="M95" s="634">
        <v>37.229999999999997</v>
      </c>
      <c r="N95" s="634">
        <v>-89.57</v>
      </c>
      <c r="O95" s="634">
        <v>-6</v>
      </c>
      <c r="P95" s="634">
        <v>104</v>
      </c>
      <c r="T95" s="634" t="s">
        <v>954</v>
      </c>
      <c r="U95" s="634" t="s">
        <v>1755</v>
      </c>
    </row>
    <row r="96" spans="8:21">
      <c r="H96" s="634">
        <v>93729</v>
      </c>
      <c r="I96" s="634" t="s">
        <v>430</v>
      </c>
      <c r="J96" s="634" t="s">
        <v>426</v>
      </c>
      <c r="K96" s="634" t="str">
        <f t="shared" si="3"/>
        <v>Cape Hatteras, NC</v>
      </c>
      <c r="L96" s="634" t="s">
        <v>1555</v>
      </c>
      <c r="M96" s="634">
        <v>35.270000000000003</v>
      </c>
      <c r="N96" s="634">
        <v>-75.55</v>
      </c>
      <c r="O96" s="634">
        <v>-5</v>
      </c>
      <c r="P96" s="634">
        <v>3</v>
      </c>
      <c r="T96" s="634" t="s">
        <v>954</v>
      </c>
      <c r="U96" s="634" t="s">
        <v>1757</v>
      </c>
    </row>
    <row r="97" spans="8:21">
      <c r="H97" s="634">
        <v>27202</v>
      </c>
      <c r="I97" s="634" t="s">
        <v>1758</v>
      </c>
      <c r="J97" s="634" t="s">
        <v>1759</v>
      </c>
      <c r="K97" s="634" t="str">
        <f t="shared" si="3"/>
        <v>Cape Parry, NT</v>
      </c>
      <c r="L97" s="634" t="s">
        <v>1552</v>
      </c>
      <c r="M97" s="634">
        <v>70.17</v>
      </c>
      <c r="N97" s="634">
        <v>-124.68</v>
      </c>
      <c r="O97" s="634">
        <v>-7</v>
      </c>
      <c r="P97" s="634">
        <v>17</v>
      </c>
      <c r="T97" s="634" t="s">
        <v>954</v>
      </c>
      <c r="U97" s="634" t="s">
        <v>1760</v>
      </c>
    </row>
    <row r="98" spans="8:21">
      <c r="H98" s="634">
        <v>25342</v>
      </c>
      <c r="I98" s="634" t="s">
        <v>1761</v>
      </c>
      <c r="J98" s="634" t="s">
        <v>1551</v>
      </c>
      <c r="K98" s="634" t="str">
        <f t="shared" si="3"/>
        <v>Cape St James, BC</v>
      </c>
      <c r="L98" s="634" t="s">
        <v>1552</v>
      </c>
      <c r="M98" s="634">
        <v>51.93</v>
      </c>
      <c r="N98" s="634">
        <v>-131.02000000000001</v>
      </c>
      <c r="O98" s="634">
        <v>-8</v>
      </c>
      <c r="P98" s="634">
        <v>92</v>
      </c>
      <c r="T98" s="634" t="s">
        <v>954</v>
      </c>
      <c r="U98" s="634" t="s">
        <v>1762</v>
      </c>
    </row>
    <row r="99" spans="8:21">
      <c r="H99" s="634">
        <v>14607</v>
      </c>
      <c r="I99" s="634" t="s">
        <v>1763</v>
      </c>
      <c r="J99" s="634" t="s">
        <v>903</v>
      </c>
      <c r="K99" s="634" t="str">
        <f t="shared" si="3"/>
        <v>Caribou, ME</v>
      </c>
      <c r="L99" s="634" t="s">
        <v>1555</v>
      </c>
      <c r="M99" s="634">
        <v>46.87</v>
      </c>
      <c r="N99" s="634">
        <v>-68.02</v>
      </c>
      <c r="O99" s="634">
        <v>-5</v>
      </c>
      <c r="P99" s="634">
        <v>190</v>
      </c>
      <c r="T99" s="634" t="s">
        <v>954</v>
      </c>
      <c r="U99" s="634" t="s">
        <v>1764</v>
      </c>
    </row>
    <row r="100" spans="8:21">
      <c r="I100" s="634" t="s">
        <v>985</v>
      </c>
      <c r="J100" s="634" t="s">
        <v>538</v>
      </c>
      <c r="K100" s="634" t="str">
        <f t="shared" si="3"/>
        <v>Carlsbad, NM</v>
      </c>
      <c r="L100" s="634" t="s">
        <v>1555</v>
      </c>
      <c r="M100" s="634">
        <v>32.33</v>
      </c>
      <c r="N100" s="634">
        <v>-104.27</v>
      </c>
      <c r="O100" s="634">
        <v>-7</v>
      </c>
      <c r="P100" s="634">
        <v>1004</v>
      </c>
      <c r="T100" s="634" t="s">
        <v>954</v>
      </c>
      <c r="U100" s="634" t="s">
        <v>1765</v>
      </c>
    </row>
    <row r="101" spans="8:21">
      <c r="H101" s="634">
        <v>15503</v>
      </c>
      <c r="I101" s="634" t="s">
        <v>1766</v>
      </c>
      <c r="J101" s="634" t="s">
        <v>1660</v>
      </c>
      <c r="K101" s="634" t="str">
        <f t="shared" si="3"/>
        <v>Cartwright, NF</v>
      </c>
      <c r="L101" s="634" t="s">
        <v>1552</v>
      </c>
      <c r="M101" s="634">
        <v>53.7</v>
      </c>
      <c r="N101" s="634">
        <v>-57.03</v>
      </c>
      <c r="O101" s="634">
        <v>-3.5</v>
      </c>
      <c r="P101" s="634">
        <v>14</v>
      </c>
      <c r="T101" s="634" t="s">
        <v>954</v>
      </c>
      <c r="U101" s="634" t="s">
        <v>1767</v>
      </c>
    </row>
    <row r="102" spans="8:21">
      <c r="H102" s="634">
        <v>24089</v>
      </c>
      <c r="I102" s="634" t="s">
        <v>1768</v>
      </c>
      <c r="J102" s="634" t="s">
        <v>904</v>
      </c>
      <c r="K102" s="634" t="str">
        <f t="shared" si="3"/>
        <v>Casper, WY</v>
      </c>
      <c r="L102" s="634" t="s">
        <v>1555</v>
      </c>
      <c r="M102" s="634">
        <v>42.92</v>
      </c>
      <c r="N102" s="634">
        <v>-106.47</v>
      </c>
      <c r="O102" s="634">
        <v>-7</v>
      </c>
      <c r="P102" s="634">
        <v>1612</v>
      </c>
      <c r="T102" s="634" t="s">
        <v>954</v>
      </c>
      <c r="U102" s="634" t="s">
        <v>1769</v>
      </c>
    </row>
    <row r="103" spans="8:21">
      <c r="H103" s="634">
        <v>94110</v>
      </c>
      <c r="I103" s="634" t="s">
        <v>1770</v>
      </c>
      <c r="J103" s="634" t="s">
        <v>1551</v>
      </c>
      <c r="K103" s="634" t="str">
        <f t="shared" si="3"/>
        <v>Castlegar, BC</v>
      </c>
      <c r="L103" s="634" t="s">
        <v>1552</v>
      </c>
      <c r="M103" s="634">
        <v>49.3</v>
      </c>
      <c r="N103" s="634">
        <v>-117.63</v>
      </c>
      <c r="O103" s="634">
        <v>-8</v>
      </c>
      <c r="P103" s="634">
        <v>495</v>
      </c>
      <c r="T103" s="634" t="s">
        <v>954</v>
      </c>
      <c r="U103" s="634" t="s">
        <v>1771</v>
      </c>
    </row>
    <row r="104" spans="8:21">
      <c r="H104" s="634">
        <v>93129</v>
      </c>
      <c r="I104" s="634" t="s">
        <v>1772</v>
      </c>
      <c r="J104" s="634" t="s">
        <v>905</v>
      </c>
      <c r="K104" s="634" t="str">
        <f t="shared" si="3"/>
        <v>Cedar City, UT</v>
      </c>
      <c r="L104" s="634" t="s">
        <v>1555</v>
      </c>
      <c r="M104" s="634">
        <v>37.700000000000003</v>
      </c>
      <c r="N104" s="634">
        <v>-113.1</v>
      </c>
      <c r="O104" s="634">
        <v>-7</v>
      </c>
      <c r="P104" s="634">
        <v>1714</v>
      </c>
      <c r="T104" s="634" t="s">
        <v>954</v>
      </c>
      <c r="U104" s="634" t="s">
        <v>1773</v>
      </c>
    </row>
    <row r="105" spans="8:21">
      <c r="I105" s="634" t="s">
        <v>1774</v>
      </c>
      <c r="J105" s="634" t="s">
        <v>566</v>
      </c>
      <c r="K105" s="634" t="str">
        <f t="shared" si="3"/>
        <v>Cedar Rapids, IA</v>
      </c>
      <c r="L105" s="634" t="s">
        <v>1555</v>
      </c>
      <c r="M105" s="634">
        <v>41.88</v>
      </c>
      <c r="N105" s="634">
        <v>-91.7</v>
      </c>
      <c r="O105" s="634">
        <v>-6</v>
      </c>
      <c r="P105" s="634">
        <v>265</v>
      </c>
      <c r="T105" s="634" t="s">
        <v>954</v>
      </c>
      <c r="U105" s="634" t="s">
        <v>1775</v>
      </c>
    </row>
    <row r="106" spans="8:21">
      <c r="I106" s="634" t="s">
        <v>1776</v>
      </c>
      <c r="J106" s="634" t="s">
        <v>537</v>
      </c>
      <c r="K106" s="634" t="str">
        <f t="shared" si="3"/>
        <v>Central Islip, NY</v>
      </c>
      <c r="L106" s="634" t="s">
        <v>1555</v>
      </c>
      <c r="M106" s="634">
        <v>40.799999999999997</v>
      </c>
      <c r="N106" s="634">
        <v>-73.099999999999994</v>
      </c>
      <c r="O106" s="634">
        <v>-5</v>
      </c>
      <c r="P106" s="634">
        <v>30</v>
      </c>
      <c r="T106" s="634" t="s">
        <v>954</v>
      </c>
      <c r="U106" s="634" t="s">
        <v>1777</v>
      </c>
    </row>
    <row r="107" spans="8:21">
      <c r="I107" s="634" t="s">
        <v>1778</v>
      </c>
      <c r="J107" s="634" t="s">
        <v>1147</v>
      </c>
      <c r="K107" s="634" t="str">
        <f t="shared" si="3"/>
        <v>Chamberlain, SD</v>
      </c>
      <c r="L107" s="634" t="s">
        <v>1555</v>
      </c>
      <c r="M107" s="634">
        <v>43.8</v>
      </c>
      <c r="N107" s="634">
        <v>-99.32</v>
      </c>
      <c r="O107" s="634">
        <v>-6</v>
      </c>
      <c r="P107" s="634">
        <v>530</v>
      </c>
      <c r="T107" s="634" t="s">
        <v>954</v>
      </c>
      <c r="U107" s="634" t="s">
        <v>1779</v>
      </c>
    </row>
    <row r="108" spans="8:21">
      <c r="H108" s="634">
        <v>13880</v>
      </c>
      <c r="I108" s="634" t="s">
        <v>1780</v>
      </c>
      <c r="J108" s="634" t="s">
        <v>512</v>
      </c>
      <c r="K108" s="634" t="str">
        <f t="shared" si="3"/>
        <v>Charleston, SC</v>
      </c>
      <c r="L108" s="634" t="s">
        <v>1555</v>
      </c>
      <c r="M108" s="634">
        <v>32.9</v>
      </c>
      <c r="N108" s="634">
        <v>-80.03</v>
      </c>
      <c r="O108" s="634">
        <v>-5</v>
      </c>
      <c r="P108" s="634">
        <v>15</v>
      </c>
      <c r="T108" s="634" t="s">
        <v>954</v>
      </c>
      <c r="U108" s="634" t="s">
        <v>1781</v>
      </c>
    </row>
    <row r="109" spans="8:21">
      <c r="H109" s="634">
        <v>13866</v>
      </c>
      <c r="I109" s="634" t="s">
        <v>1780</v>
      </c>
      <c r="J109" s="634" t="s">
        <v>513</v>
      </c>
      <c r="K109" s="634" t="str">
        <f t="shared" si="3"/>
        <v>Charleston, WV</v>
      </c>
      <c r="L109" s="634" t="s">
        <v>1555</v>
      </c>
      <c r="M109" s="634">
        <v>38.369999999999997</v>
      </c>
      <c r="N109" s="634">
        <v>-81.599999999999994</v>
      </c>
      <c r="O109" s="634">
        <v>-5</v>
      </c>
      <c r="P109" s="634">
        <v>299</v>
      </c>
      <c r="T109" s="634" t="s">
        <v>954</v>
      </c>
      <c r="U109" s="634" t="s">
        <v>1782</v>
      </c>
    </row>
    <row r="110" spans="8:21">
      <c r="H110" s="634">
        <v>14683</v>
      </c>
      <c r="I110" s="634" t="s">
        <v>1783</v>
      </c>
      <c r="J110" s="634" t="s">
        <v>1784</v>
      </c>
      <c r="K110" s="634" t="str">
        <f t="shared" si="3"/>
        <v>Charlo, NB</v>
      </c>
      <c r="L110" s="634" t="s">
        <v>1552</v>
      </c>
      <c r="M110" s="634">
        <v>47.98</v>
      </c>
      <c r="N110" s="634">
        <v>-66.33</v>
      </c>
      <c r="O110" s="634">
        <v>-4</v>
      </c>
      <c r="P110" s="634">
        <v>38</v>
      </c>
      <c r="T110" s="634" t="s">
        <v>954</v>
      </c>
      <c r="U110" s="634" t="s">
        <v>1785</v>
      </c>
    </row>
    <row r="111" spans="8:21">
      <c r="H111" s="634">
        <v>13881</v>
      </c>
      <c r="I111" s="634" t="s">
        <v>1786</v>
      </c>
      <c r="J111" s="634" t="s">
        <v>426</v>
      </c>
      <c r="K111" s="634" t="str">
        <f t="shared" si="3"/>
        <v>Charlotte, NC</v>
      </c>
      <c r="L111" s="634" t="s">
        <v>1555</v>
      </c>
      <c r="M111" s="634">
        <v>35.22</v>
      </c>
      <c r="N111" s="634">
        <v>-80.930000000000007</v>
      </c>
      <c r="O111" s="634">
        <v>-5</v>
      </c>
      <c r="P111" s="634">
        <v>234</v>
      </c>
      <c r="T111" s="634" t="s">
        <v>954</v>
      </c>
      <c r="U111" s="634" t="s">
        <v>1785</v>
      </c>
    </row>
    <row r="112" spans="8:21">
      <c r="H112" s="634">
        <v>14688</v>
      </c>
      <c r="I112" s="634" t="s">
        <v>1787</v>
      </c>
      <c r="J112" s="634" t="s">
        <v>1788</v>
      </c>
      <c r="K112" s="634" t="str">
        <f t="shared" si="3"/>
        <v>Charlottetown CDA, PE</v>
      </c>
      <c r="L112" s="634" t="s">
        <v>1552</v>
      </c>
      <c r="M112" s="634">
        <v>46.28</v>
      </c>
      <c r="N112" s="634">
        <v>-63.13</v>
      </c>
      <c r="O112" s="634">
        <v>-4</v>
      </c>
      <c r="P112" s="634">
        <v>54</v>
      </c>
      <c r="T112" s="634" t="s">
        <v>954</v>
      </c>
      <c r="U112" s="634" t="s">
        <v>1789</v>
      </c>
    </row>
    <row r="113" spans="8:21">
      <c r="H113" s="634">
        <v>14631</v>
      </c>
      <c r="I113" s="634" t="s">
        <v>1790</v>
      </c>
      <c r="J113" s="634" t="s">
        <v>1784</v>
      </c>
      <c r="K113" s="634" t="str">
        <f t="shared" si="3"/>
        <v>Chatham, NB</v>
      </c>
      <c r="L113" s="634" t="s">
        <v>1552</v>
      </c>
      <c r="M113" s="634">
        <v>47</v>
      </c>
      <c r="N113" s="634">
        <v>-65.45</v>
      </c>
      <c r="O113" s="634">
        <v>-4</v>
      </c>
      <c r="P113" s="634">
        <v>31</v>
      </c>
      <c r="T113" s="634" t="s">
        <v>954</v>
      </c>
      <c r="U113" s="634" t="s">
        <v>1791</v>
      </c>
    </row>
    <row r="114" spans="8:21">
      <c r="H114" s="634">
        <v>13882</v>
      </c>
      <c r="I114" s="634" t="s">
        <v>1792</v>
      </c>
      <c r="J114" s="634" t="s">
        <v>560</v>
      </c>
      <c r="K114" s="634" t="str">
        <f t="shared" si="3"/>
        <v>Chattanooga, TN</v>
      </c>
      <c r="L114" s="634" t="s">
        <v>1555</v>
      </c>
      <c r="M114" s="634">
        <v>35.03</v>
      </c>
      <c r="N114" s="634">
        <v>-85.2</v>
      </c>
      <c r="O114" s="634">
        <v>-5</v>
      </c>
      <c r="P114" s="634">
        <v>210</v>
      </c>
      <c r="T114" s="634" t="s">
        <v>954</v>
      </c>
      <c r="U114" s="634" t="s">
        <v>1793</v>
      </c>
    </row>
    <row r="115" spans="8:21">
      <c r="H115" s="634">
        <v>13754</v>
      </c>
      <c r="I115" s="634" t="s">
        <v>432</v>
      </c>
      <c r="J115" s="634" t="s">
        <v>426</v>
      </c>
      <c r="K115" s="634" t="str">
        <f t="shared" si="3"/>
        <v>Cherry Point MCAS, NC</v>
      </c>
      <c r="L115" s="634" t="s">
        <v>1555</v>
      </c>
      <c r="M115" s="634">
        <v>34.9</v>
      </c>
      <c r="N115" s="634">
        <v>-76.88</v>
      </c>
      <c r="O115" s="634">
        <v>-5</v>
      </c>
      <c r="P115" s="634">
        <v>11</v>
      </c>
      <c r="T115" s="634" t="s">
        <v>954</v>
      </c>
      <c r="U115" s="634" t="s">
        <v>1793</v>
      </c>
    </row>
    <row r="116" spans="8:21">
      <c r="H116" s="634">
        <v>16914</v>
      </c>
      <c r="I116" s="634" t="s">
        <v>1794</v>
      </c>
      <c r="J116" s="634" t="s">
        <v>1645</v>
      </c>
      <c r="K116" s="634" t="str">
        <f t="shared" si="3"/>
        <v>Chesterfield, NU</v>
      </c>
      <c r="L116" s="634" t="s">
        <v>1552</v>
      </c>
      <c r="M116" s="634">
        <v>63.33</v>
      </c>
      <c r="N116" s="634">
        <v>-90.72</v>
      </c>
      <c r="O116" s="634">
        <v>-6</v>
      </c>
      <c r="P116" s="634">
        <v>11</v>
      </c>
      <c r="T116" s="634" t="s">
        <v>954</v>
      </c>
      <c r="U116" s="634" t="s">
        <v>1793</v>
      </c>
    </row>
    <row r="117" spans="8:21">
      <c r="H117" s="634">
        <v>24018</v>
      </c>
      <c r="I117" s="634" t="s">
        <v>1795</v>
      </c>
      <c r="J117" s="634" t="s">
        <v>904</v>
      </c>
      <c r="K117" s="634" t="str">
        <f t="shared" si="3"/>
        <v>Cheyenne/Warren AFB, WY</v>
      </c>
      <c r="L117" s="634" t="s">
        <v>1555</v>
      </c>
      <c r="M117" s="634">
        <v>41.15</v>
      </c>
      <c r="N117" s="634">
        <v>-104.82</v>
      </c>
      <c r="O117" s="634">
        <v>-7</v>
      </c>
      <c r="P117" s="634">
        <v>1872</v>
      </c>
      <c r="T117" s="634" t="s">
        <v>954</v>
      </c>
      <c r="U117" s="634" t="s">
        <v>1796</v>
      </c>
    </row>
    <row r="118" spans="8:21">
      <c r="H118" s="634">
        <v>14819</v>
      </c>
      <c r="I118" s="634" t="s">
        <v>1797</v>
      </c>
      <c r="J118" s="634" t="s">
        <v>932</v>
      </c>
      <c r="K118" s="634" t="str">
        <f t="shared" si="3"/>
        <v>Chicago/Midway, IL</v>
      </c>
      <c r="L118" s="634" t="s">
        <v>1555</v>
      </c>
      <c r="M118" s="634">
        <v>41.78</v>
      </c>
      <c r="N118" s="634">
        <v>-87.75</v>
      </c>
      <c r="O118" s="634">
        <v>-6</v>
      </c>
      <c r="P118" s="634">
        <v>187</v>
      </c>
      <c r="T118" s="634" t="s">
        <v>954</v>
      </c>
      <c r="U118" s="634" t="s">
        <v>1798</v>
      </c>
    </row>
    <row r="119" spans="8:21">
      <c r="H119" s="634">
        <v>94846</v>
      </c>
      <c r="I119" s="634" t="s">
        <v>1799</v>
      </c>
      <c r="J119" s="634" t="s">
        <v>932</v>
      </c>
      <c r="K119" s="634" t="str">
        <f t="shared" si="3"/>
        <v>Chicago/O'Hare Int'l Airport, IL</v>
      </c>
      <c r="L119" s="634" t="s">
        <v>1555</v>
      </c>
      <c r="M119" s="634">
        <v>41.98</v>
      </c>
      <c r="N119" s="634">
        <v>-87.9</v>
      </c>
      <c r="O119" s="634">
        <v>-6</v>
      </c>
      <c r="P119" s="634">
        <v>201</v>
      </c>
      <c r="T119" s="634" t="s">
        <v>954</v>
      </c>
      <c r="U119" s="634" t="s">
        <v>1800</v>
      </c>
    </row>
    <row r="120" spans="8:21">
      <c r="H120" s="634">
        <v>93104</v>
      </c>
      <c r="I120" s="634" t="s">
        <v>1801</v>
      </c>
      <c r="J120" s="634" t="s">
        <v>954</v>
      </c>
      <c r="K120" s="634" t="str">
        <f t="shared" si="3"/>
        <v>China Lake, CA</v>
      </c>
      <c r="L120" s="634" t="s">
        <v>1555</v>
      </c>
      <c r="M120" s="634">
        <v>35.68</v>
      </c>
      <c r="N120" s="634">
        <v>-117.68</v>
      </c>
      <c r="O120" s="634">
        <v>-8</v>
      </c>
      <c r="P120" s="634">
        <v>676</v>
      </c>
      <c r="T120" s="634" t="s">
        <v>954</v>
      </c>
      <c r="U120" s="634" t="s">
        <v>1802</v>
      </c>
    </row>
    <row r="121" spans="8:21">
      <c r="H121" s="634">
        <v>15901</v>
      </c>
      <c r="I121" s="634" t="s">
        <v>1803</v>
      </c>
      <c r="J121" s="634" t="s">
        <v>1722</v>
      </c>
      <c r="K121" s="634" t="str">
        <f t="shared" si="3"/>
        <v>Churchill, MB</v>
      </c>
      <c r="L121" s="634" t="s">
        <v>1552</v>
      </c>
      <c r="M121" s="634">
        <v>58.75</v>
      </c>
      <c r="N121" s="634">
        <v>-94.07</v>
      </c>
      <c r="O121" s="634">
        <v>-6</v>
      </c>
      <c r="P121" s="634">
        <v>29</v>
      </c>
      <c r="T121" s="634" t="s">
        <v>954</v>
      </c>
      <c r="U121" s="634" t="s">
        <v>1804</v>
      </c>
    </row>
    <row r="122" spans="8:21">
      <c r="H122" s="634">
        <v>93814</v>
      </c>
      <c r="I122" s="634" t="s">
        <v>1805</v>
      </c>
      <c r="J122" s="634" t="s">
        <v>229</v>
      </c>
      <c r="K122" s="634" t="str">
        <f t="shared" si="3"/>
        <v>Cincinnati/Lunken Field, OH</v>
      </c>
      <c r="L122" s="634" t="s">
        <v>1555</v>
      </c>
      <c r="M122" s="634">
        <v>39.1</v>
      </c>
      <c r="N122" s="634">
        <v>-84.42</v>
      </c>
      <c r="O122" s="634">
        <v>-5</v>
      </c>
      <c r="P122" s="634">
        <v>147</v>
      </c>
      <c r="T122" s="634" t="s">
        <v>954</v>
      </c>
      <c r="U122" s="634" t="s">
        <v>1806</v>
      </c>
    </row>
    <row r="123" spans="8:21">
      <c r="H123" s="634">
        <v>23051</v>
      </c>
      <c r="I123" s="634" t="s">
        <v>1807</v>
      </c>
      <c r="J123" s="634" t="s">
        <v>538</v>
      </c>
      <c r="K123" s="634" t="str">
        <f t="shared" si="3"/>
        <v>Clayton, NM</v>
      </c>
      <c r="L123" s="634" t="s">
        <v>1555</v>
      </c>
      <c r="M123" s="634">
        <v>36.450000000000003</v>
      </c>
      <c r="N123" s="634">
        <v>-103.15</v>
      </c>
      <c r="O123" s="634">
        <v>-7</v>
      </c>
      <c r="P123" s="634">
        <v>1511</v>
      </c>
      <c r="T123" s="634" t="s">
        <v>954</v>
      </c>
      <c r="U123" s="634" t="s">
        <v>1808</v>
      </c>
    </row>
    <row r="124" spans="8:21">
      <c r="H124" s="634">
        <v>14820</v>
      </c>
      <c r="I124" s="634" t="s">
        <v>1809</v>
      </c>
      <c r="J124" s="634" t="s">
        <v>229</v>
      </c>
      <c r="K124" s="634" t="str">
        <f t="shared" si="3"/>
        <v>Cleveland, OH</v>
      </c>
      <c r="L124" s="634" t="s">
        <v>1555</v>
      </c>
      <c r="M124" s="634">
        <v>41.42</v>
      </c>
      <c r="N124" s="634">
        <v>-81.87</v>
      </c>
      <c r="O124" s="634">
        <v>-5</v>
      </c>
      <c r="P124" s="634">
        <v>245</v>
      </c>
      <c r="T124" s="634" t="s">
        <v>954</v>
      </c>
      <c r="U124" s="634" t="s">
        <v>1810</v>
      </c>
    </row>
    <row r="125" spans="8:21">
      <c r="H125" s="634">
        <v>23008</v>
      </c>
      <c r="I125" s="634" t="s">
        <v>1811</v>
      </c>
      <c r="J125" s="634" t="s">
        <v>538</v>
      </c>
      <c r="K125" s="634" t="str">
        <f t="shared" si="3"/>
        <v>Clovis/Cannon AFB, NM</v>
      </c>
      <c r="L125" s="634" t="s">
        <v>1555</v>
      </c>
      <c r="M125" s="634">
        <v>34.380000000000003</v>
      </c>
      <c r="N125" s="634">
        <v>-103.32</v>
      </c>
      <c r="O125" s="634">
        <v>-7</v>
      </c>
      <c r="P125" s="634">
        <v>1309</v>
      </c>
      <c r="T125" s="634" t="s">
        <v>954</v>
      </c>
      <c r="U125" s="634" t="s">
        <v>1812</v>
      </c>
    </row>
    <row r="126" spans="8:21">
      <c r="I126" s="634" t="s">
        <v>1813</v>
      </c>
      <c r="J126" s="634" t="s">
        <v>904</v>
      </c>
      <c r="K126" s="634" t="str">
        <f t="shared" si="3"/>
        <v>Cody, WY</v>
      </c>
      <c r="L126" s="634" t="s">
        <v>1555</v>
      </c>
      <c r="M126" s="634">
        <v>44.52</v>
      </c>
      <c r="N126" s="634">
        <v>-109.02</v>
      </c>
      <c r="O126" s="634">
        <v>-7</v>
      </c>
      <c r="P126" s="634">
        <v>1553</v>
      </c>
      <c r="T126" s="634" t="s">
        <v>954</v>
      </c>
      <c r="U126" s="634" t="s">
        <v>1814</v>
      </c>
    </row>
    <row r="127" spans="8:21">
      <c r="H127" s="634">
        <v>25624</v>
      </c>
      <c r="I127" s="634" t="s">
        <v>1815</v>
      </c>
      <c r="J127" s="634" t="s">
        <v>953</v>
      </c>
      <c r="K127" s="634" t="str">
        <f t="shared" si="3"/>
        <v>Cold Bay, AK</v>
      </c>
      <c r="L127" s="634" t="s">
        <v>1555</v>
      </c>
      <c r="M127" s="634">
        <v>55.2</v>
      </c>
      <c r="N127" s="634">
        <v>-162.72999999999999</v>
      </c>
      <c r="O127" s="634">
        <v>-10</v>
      </c>
      <c r="P127" s="634">
        <v>31</v>
      </c>
      <c r="T127" s="634" t="s">
        <v>954</v>
      </c>
      <c r="U127" s="634" t="s">
        <v>1816</v>
      </c>
    </row>
    <row r="128" spans="8:21">
      <c r="I128" s="634" t="s">
        <v>1817</v>
      </c>
      <c r="J128" s="634" t="s">
        <v>228</v>
      </c>
      <c r="K128" s="634" t="str">
        <f t="shared" si="3"/>
        <v>College Station/Bryan, TX</v>
      </c>
      <c r="L128" s="634" t="s">
        <v>1555</v>
      </c>
      <c r="M128" s="634">
        <v>30.58</v>
      </c>
      <c r="N128" s="634">
        <v>-96.37</v>
      </c>
      <c r="O128" s="634">
        <v>-6</v>
      </c>
      <c r="P128" s="634">
        <v>98</v>
      </c>
      <c r="T128" s="634" t="s">
        <v>954</v>
      </c>
      <c r="U128" s="634" t="s">
        <v>1818</v>
      </c>
    </row>
    <row r="129" spans="8:21">
      <c r="H129" s="634">
        <v>93037</v>
      </c>
      <c r="I129" s="634" t="s">
        <v>1819</v>
      </c>
      <c r="J129" s="634" t="s">
        <v>536</v>
      </c>
      <c r="K129" s="634" t="str">
        <f t="shared" si="3"/>
        <v>Colorado Springs, CO</v>
      </c>
      <c r="L129" s="634" t="s">
        <v>1555</v>
      </c>
      <c r="M129" s="634">
        <v>38.82</v>
      </c>
      <c r="N129" s="634">
        <v>-104.72</v>
      </c>
      <c r="O129" s="634">
        <v>-7</v>
      </c>
      <c r="P129" s="634">
        <v>1881</v>
      </c>
      <c r="T129" s="634" t="s">
        <v>954</v>
      </c>
      <c r="U129" s="634" t="s">
        <v>1818</v>
      </c>
    </row>
    <row r="130" spans="8:21">
      <c r="H130" s="634">
        <v>3945</v>
      </c>
      <c r="I130" s="634" t="s">
        <v>1820</v>
      </c>
      <c r="J130" s="634" t="s">
        <v>1248</v>
      </c>
      <c r="K130" s="634" t="str">
        <f t="shared" ref="K130:K193" si="4">CONCATENATE(I130,", ",J130)</f>
        <v>Columbia, MO</v>
      </c>
      <c r="L130" s="634" t="s">
        <v>1555</v>
      </c>
      <c r="M130" s="634">
        <v>38.82</v>
      </c>
      <c r="N130" s="634">
        <v>-92.22</v>
      </c>
      <c r="O130" s="634">
        <v>-6</v>
      </c>
      <c r="P130" s="634">
        <v>274</v>
      </c>
      <c r="T130" s="634" t="s">
        <v>954</v>
      </c>
      <c r="U130" s="634" t="s">
        <v>1821</v>
      </c>
    </row>
    <row r="131" spans="8:21">
      <c r="H131" s="634">
        <v>13883</v>
      </c>
      <c r="I131" s="634" t="s">
        <v>1820</v>
      </c>
      <c r="J131" s="634" t="s">
        <v>512</v>
      </c>
      <c r="K131" s="634" t="str">
        <f t="shared" si="4"/>
        <v>Columbia, SC</v>
      </c>
      <c r="L131" s="634" t="s">
        <v>1555</v>
      </c>
      <c r="M131" s="634">
        <v>33.950000000000003</v>
      </c>
      <c r="N131" s="634">
        <v>-81.12</v>
      </c>
      <c r="O131" s="634">
        <v>-5</v>
      </c>
      <c r="P131" s="634">
        <v>69</v>
      </c>
      <c r="T131" s="634" t="s">
        <v>954</v>
      </c>
      <c r="U131" s="634" t="s">
        <v>1822</v>
      </c>
    </row>
    <row r="132" spans="8:21">
      <c r="I132" s="634" t="s">
        <v>1823</v>
      </c>
      <c r="J132" s="634" t="s">
        <v>460</v>
      </c>
      <c r="K132" s="634" t="str">
        <f t="shared" si="4"/>
        <v>Columbus/AFB, MS</v>
      </c>
      <c r="L132" s="634" t="s">
        <v>1555</v>
      </c>
      <c r="M132" s="634">
        <v>33.65</v>
      </c>
      <c r="N132" s="634">
        <v>-88.45</v>
      </c>
      <c r="O132" s="634">
        <v>-6</v>
      </c>
      <c r="P132" s="634">
        <v>67</v>
      </c>
      <c r="T132" s="634" t="s">
        <v>536</v>
      </c>
      <c r="U132" s="634" t="s">
        <v>1824</v>
      </c>
    </row>
    <row r="133" spans="8:21">
      <c r="I133" s="634" t="s">
        <v>1825</v>
      </c>
      <c r="J133" s="634" t="s">
        <v>428</v>
      </c>
      <c r="K133" s="634" t="str">
        <f t="shared" si="4"/>
        <v>Columbus/Fort Benning, GA</v>
      </c>
      <c r="L133" s="634" t="s">
        <v>1555</v>
      </c>
      <c r="M133" s="634">
        <v>32.33</v>
      </c>
      <c r="N133" s="634">
        <v>-85</v>
      </c>
      <c r="O133" s="634">
        <v>-5</v>
      </c>
      <c r="P133" s="634">
        <v>71</v>
      </c>
      <c r="T133" s="634" t="s">
        <v>536</v>
      </c>
      <c r="U133" s="634" t="s">
        <v>1826</v>
      </c>
    </row>
    <row r="134" spans="8:21">
      <c r="H134" s="634">
        <v>14821</v>
      </c>
      <c r="I134" s="634" t="s">
        <v>1827</v>
      </c>
      <c r="J134" s="634" t="s">
        <v>229</v>
      </c>
      <c r="K134" s="634" t="str">
        <f t="shared" si="4"/>
        <v>Columbus/Int'l Airport, OH</v>
      </c>
      <c r="L134" s="634" t="s">
        <v>1555</v>
      </c>
      <c r="M134" s="634">
        <v>40</v>
      </c>
      <c r="N134" s="634">
        <v>-82.88</v>
      </c>
      <c r="O134" s="634">
        <v>-5</v>
      </c>
      <c r="P134" s="634">
        <v>249</v>
      </c>
      <c r="T134" s="634" t="s">
        <v>536</v>
      </c>
      <c r="U134" s="634" t="s">
        <v>1828</v>
      </c>
    </row>
    <row r="135" spans="8:21">
      <c r="H135" s="634">
        <v>93842</v>
      </c>
      <c r="I135" s="634" t="s">
        <v>1829</v>
      </c>
      <c r="J135" s="634" t="s">
        <v>428</v>
      </c>
      <c r="K135" s="634" t="str">
        <f t="shared" si="4"/>
        <v>Columbus/Metro Airport, GA</v>
      </c>
      <c r="L135" s="634" t="s">
        <v>1555</v>
      </c>
      <c r="M135" s="634">
        <v>32.520000000000003</v>
      </c>
      <c r="N135" s="634">
        <v>-84.93</v>
      </c>
      <c r="O135" s="634">
        <v>-5</v>
      </c>
      <c r="P135" s="634">
        <v>121</v>
      </c>
      <c r="T135" s="634" t="s">
        <v>536</v>
      </c>
      <c r="U135" s="634" t="s">
        <v>1830</v>
      </c>
    </row>
    <row r="136" spans="8:21">
      <c r="I136" s="634" t="s">
        <v>1831</v>
      </c>
      <c r="J136" s="634" t="s">
        <v>229</v>
      </c>
      <c r="K136" s="634" t="str">
        <f t="shared" si="4"/>
        <v>Columbus/Rickenbacker AFB, OH</v>
      </c>
      <c r="L136" s="634" t="s">
        <v>1555</v>
      </c>
      <c r="M136" s="634">
        <v>39.82</v>
      </c>
      <c r="N136" s="634">
        <v>-82.93</v>
      </c>
      <c r="O136" s="634">
        <v>-5</v>
      </c>
      <c r="P136" s="634">
        <v>227</v>
      </c>
      <c r="T136" s="634" t="s">
        <v>536</v>
      </c>
      <c r="U136" s="634" t="s">
        <v>1832</v>
      </c>
    </row>
    <row r="137" spans="8:21">
      <c r="H137" s="634">
        <v>24292</v>
      </c>
      <c r="I137" s="634" t="s">
        <v>1833</v>
      </c>
      <c r="J137" s="634" t="s">
        <v>1551</v>
      </c>
      <c r="K137" s="634" t="str">
        <f t="shared" si="4"/>
        <v>Comox, BC</v>
      </c>
      <c r="L137" s="634" t="s">
        <v>1552</v>
      </c>
      <c r="M137" s="634">
        <v>49.72</v>
      </c>
      <c r="N137" s="634">
        <v>-124.9</v>
      </c>
      <c r="O137" s="634">
        <v>-8</v>
      </c>
      <c r="P137" s="634">
        <v>24</v>
      </c>
      <c r="T137" s="634" t="s">
        <v>536</v>
      </c>
      <c r="U137" s="634" t="s">
        <v>1834</v>
      </c>
    </row>
    <row r="138" spans="8:21">
      <c r="H138" s="634">
        <v>14745</v>
      </c>
      <c r="I138" s="634" t="s">
        <v>1835</v>
      </c>
      <c r="J138" s="634" t="s">
        <v>1249</v>
      </c>
      <c r="K138" s="634" t="str">
        <f t="shared" si="4"/>
        <v>Concord, NH</v>
      </c>
      <c r="L138" s="634" t="s">
        <v>1555</v>
      </c>
      <c r="M138" s="634">
        <v>43.2</v>
      </c>
      <c r="N138" s="634">
        <v>-71.5</v>
      </c>
      <c r="O138" s="634">
        <v>-5</v>
      </c>
      <c r="P138" s="634">
        <v>105</v>
      </c>
      <c r="T138" s="634" t="s">
        <v>536</v>
      </c>
      <c r="U138" s="634" t="s">
        <v>1836</v>
      </c>
    </row>
    <row r="139" spans="8:21">
      <c r="I139" s="634" t="s">
        <v>1837</v>
      </c>
      <c r="J139" s="634" t="s">
        <v>256</v>
      </c>
      <c r="K139" s="634" t="str">
        <f t="shared" si="4"/>
        <v>Concordia, KS</v>
      </c>
      <c r="L139" s="634" t="s">
        <v>1555</v>
      </c>
      <c r="M139" s="634">
        <v>39.549999999999997</v>
      </c>
      <c r="N139" s="634">
        <v>-97.65</v>
      </c>
      <c r="O139" s="634">
        <v>-6</v>
      </c>
      <c r="P139" s="634">
        <v>452</v>
      </c>
      <c r="T139" s="634" t="s">
        <v>536</v>
      </c>
      <c r="U139" s="634" t="s">
        <v>1838</v>
      </c>
    </row>
    <row r="140" spans="8:21">
      <c r="H140" s="634">
        <v>16801</v>
      </c>
      <c r="I140" s="634" t="s">
        <v>1839</v>
      </c>
      <c r="J140" s="634" t="s">
        <v>1645</v>
      </c>
      <c r="K140" s="634" t="str">
        <f t="shared" si="4"/>
        <v>Coral Harbour, NU</v>
      </c>
      <c r="L140" s="634" t="s">
        <v>1552</v>
      </c>
      <c r="M140" s="634">
        <v>64.2</v>
      </c>
      <c r="N140" s="634">
        <v>-83.37</v>
      </c>
      <c r="O140" s="634">
        <v>-5</v>
      </c>
      <c r="P140" s="634">
        <v>64</v>
      </c>
      <c r="T140" s="634" t="s">
        <v>536</v>
      </c>
      <c r="U140" s="634" t="s">
        <v>1840</v>
      </c>
    </row>
    <row r="141" spans="8:21">
      <c r="I141" s="634" t="s">
        <v>610</v>
      </c>
      <c r="J141" s="634" t="s">
        <v>953</v>
      </c>
      <c r="K141" s="634" t="str">
        <f t="shared" si="4"/>
        <v>Cordova, AK</v>
      </c>
      <c r="L141" s="634" t="s">
        <v>1555</v>
      </c>
      <c r="M141" s="634">
        <v>60.5</v>
      </c>
      <c r="N141" s="634">
        <v>-145.5</v>
      </c>
      <c r="O141" s="634">
        <v>-9</v>
      </c>
      <c r="P141" s="634">
        <v>13</v>
      </c>
      <c r="T141" s="634" t="s">
        <v>536</v>
      </c>
      <c r="U141" s="634" t="s">
        <v>1841</v>
      </c>
    </row>
    <row r="142" spans="8:21">
      <c r="H142" s="634">
        <v>12924</v>
      </c>
      <c r="I142" s="634" t="s">
        <v>1842</v>
      </c>
      <c r="J142" s="634" t="s">
        <v>228</v>
      </c>
      <c r="K142" s="634" t="str">
        <f t="shared" si="4"/>
        <v>Corpus Christi, TX</v>
      </c>
      <c r="L142" s="634" t="s">
        <v>1555</v>
      </c>
      <c r="M142" s="634">
        <v>27.77</v>
      </c>
      <c r="N142" s="634">
        <v>-97.5</v>
      </c>
      <c r="O142" s="634">
        <v>-6</v>
      </c>
      <c r="P142" s="634">
        <v>13</v>
      </c>
      <c r="T142" s="634" t="s">
        <v>620</v>
      </c>
      <c r="U142" s="634" t="s">
        <v>1843</v>
      </c>
    </row>
    <row r="143" spans="8:21">
      <c r="H143" s="634">
        <v>93814</v>
      </c>
      <c r="I143" s="634" t="s">
        <v>1844</v>
      </c>
      <c r="J143" s="634" t="s">
        <v>1107</v>
      </c>
      <c r="K143" s="634" t="str">
        <f t="shared" si="4"/>
        <v>Covington/Cincinnati OH/Int'l, KY</v>
      </c>
      <c r="L143" s="634" t="s">
        <v>1555</v>
      </c>
      <c r="M143" s="634">
        <v>39.049999999999997</v>
      </c>
      <c r="N143" s="634">
        <v>-84.67</v>
      </c>
      <c r="O143" s="634">
        <v>-5</v>
      </c>
      <c r="P143" s="634">
        <v>267</v>
      </c>
      <c r="T143" s="634" t="s">
        <v>620</v>
      </c>
      <c r="U143" s="634" t="s">
        <v>1845</v>
      </c>
    </row>
    <row r="144" spans="8:21">
      <c r="I144" s="634" t="s">
        <v>1846</v>
      </c>
      <c r="J144" s="634" t="s">
        <v>536</v>
      </c>
      <c r="K144" s="634" t="str">
        <f t="shared" si="4"/>
        <v>Craig, CO</v>
      </c>
      <c r="L144" s="634" t="s">
        <v>1555</v>
      </c>
      <c r="M144" s="634">
        <v>40.5</v>
      </c>
      <c r="N144" s="634">
        <v>-107.53</v>
      </c>
      <c r="O144" s="634">
        <v>-7</v>
      </c>
      <c r="P144" s="634">
        <v>1915</v>
      </c>
      <c r="T144" s="634" t="s">
        <v>620</v>
      </c>
      <c r="U144" s="634" t="s">
        <v>1847</v>
      </c>
    </row>
    <row r="145" spans="8:21">
      <c r="H145" s="634">
        <v>94157</v>
      </c>
      <c r="I145" s="634" t="s">
        <v>1848</v>
      </c>
      <c r="J145" s="634" t="s">
        <v>1551</v>
      </c>
      <c r="K145" s="634" t="str">
        <f t="shared" si="4"/>
        <v>Cranbrook, BC</v>
      </c>
      <c r="L145" s="634" t="s">
        <v>1552</v>
      </c>
      <c r="M145" s="634">
        <v>49.6</v>
      </c>
      <c r="N145" s="634">
        <v>-115.78</v>
      </c>
      <c r="O145" s="634">
        <v>-7</v>
      </c>
      <c r="P145" s="634">
        <v>939</v>
      </c>
      <c r="T145" s="634" t="s">
        <v>1329</v>
      </c>
      <c r="U145" s="634" t="s">
        <v>1849</v>
      </c>
    </row>
    <row r="146" spans="8:21">
      <c r="I146" s="634" t="s">
        <v>1850</v>
      </c>
      <c r="J146" s="634" t="s">
        <v>560</v>
      </c>
      <c r="K146" s="634" t="str">
        <f t="shared" si="4"/>
        <v>Crossville, TN</v>
      </c>
      <c r="L146" s="634" t="s">
        <v>1555</v>
      </c>
      <c r="M146" s="634">
        <v>35.950000000000003</v>
      </c>
      <c r="N146" s="634">
        <v>-85.08</v>
      </c>
      <c r="O146" s="634">
        <v>-6</v>
      </c>
      <c r="P146" s="634">
        <v>573</v>
      </c>
      <c r="T146" s="634" t="s">
        <v>1329</v>
      </c>
      <c r="U146" s="634" t="s">
        <v>1851</v>
      </c>
    </row>
    <row r="147" spans="8:21">
      <c r="H147" s="634">
        <v>24137</v>
      </c>
      <c r="I147" s="634" t="s">
        <v>1852</v>
      </c>
      <c r="J147" s="634" t="s">
        <v>1108</v>
      </c>
      <c r="K147" s="634" t="str">
        <f t="shared" si="4"/>
        <v>Cut Bank, MT</v>
      </c>
      <c r="L147" s="634" t="s">
        <v>1555</v>
      </c>
      <c r="M147" s="634">
        <v>48.6</v>
      </c>
      <c r="N147" s="634">
        <v>-112.37</v>
      </c>
      <c r="O147" s="634">
        <v>-7</v>
      </c>
      <c r="P147" s="634">
        <v>1175</v>
      </c>
      <c r="T147" s="634" t="s">
        <v>1853</v>
      </c>
      <c r="U147" s="634" t="s">
        <v>1854</v>
      </c>
    </row>
    <row r="148" spans="8:21">
      <c r="I148" s="634" t="s">
        <v>1855</v>
      </c>
      <c r="J148" s="634" t="s">
        <v>228</v>
      </c>
      <c r="K148" s="634" t="str">
        <f t="shared" si="4"/>
        <v>Dallas/Fort Worth/Int'l Airport, TX</v>
      </c>
      <c r="L148" s="634" t="s">
        <v>1555</v>
      </c>
      <c r="M148" s="634">
        <v>32.9</v>
      </c>
      <c r="N148" s="634">
        <v>-97.03</v>
      </c>
      <c r="O148" s="634">
        <v>-6</v>
      </c>
      <c r="P148" s="634">
        <v>182</v>
      </c>
      <c r="T148" s="634" t="s">
        <v>594</v>
      </c>
      <c r="U148" s="634" t="s">
        <v>1856</v>
      </c>
    </row>
    <row r="149" spans="8:21">
      <c r="H149" s="634">
        <v>15504</v>
      </c>
      <c r="I149" s="634" t="s">
        <v>1857</v>
      </c>
      <c r="J149" s="634" t="s">
        <v>1660</v>
      </c>
      <c r="K149" s="634" t="str">
        <f t="shared" si="4"/>
        <v>Daniels Harbour, NF</v>
      </c>
      <c r="L149" s="634" t="s">
        <v>1552</v>
      </c>
      <c r="M149" s="634">
        <v>50.23</v>
      </c>
      <c r="N149" s="634">
        <v>-57.58</v>
      </c>
      <c r="O149" s="634">
        <v>-3.5</v>
      </c>
      <c r="P149" s="634">
        <v>19</v>
      </c>
      <c r="T149" s="634" t="s">
        <v>594</v>
      </c>
      <c r="U149" s="634" t="s">
        <v>1858</v>
      </c>
    </row>
    <row r="150" spans="8:21">
      <c r="H150" s="634">
        <v>25009</v>
      </c>
      <c r="I150" s="634" t="s">
        <v>1859</v>
      </c>
      <c r="J150" s="634" t="s">
        <v>1722</v>
      </c>
      <c r="K150" s="634" t="str">
        <f t="shared" si="4"/>
        <v>Dauphin, MB</v>
      </c>
      <c r="L150" s="634" t="s">
        <v>1552</v>
      </c>
      <c r="M150" s="634">
        <v>51.1</v>
      </c>
      <c r="N150" s="634">
        <v>-100.05</v>
      </c>
      <c r="O150" s="634">
        <v>-6</v>
      </c>
      <c r="P150" s="634">
        <v>305</v>
      </c>
      <c r="T150" s="634" t="s">
        <v>594</v>
      </c>
      <c r="U150" s="634" t="s">
        <v>1860</v>
      </c>
    </row>
    <row r="151" spans="8:21">
      <c r="H151" s="634">
        <v>93815</v>
      </c>
      <c r="I151" s="634" t="s">
        <v>1861</v>
      </c>
      <c r="J151" s="634" t="s">
        <v>229</v>
      </c>
      <c r="K151" s="634" t="str">
        <f t="shared" si="4"/>
        <v>Dayton/Int'l Airport, OH</v>
      </c>
      <c r="L151" s="634" t="s">
        <v>1555</v>
      </c>
      <c r="M151" s="634">
        <v>39.9</v>
      </c>
      <c r="N151" s="634">
        <v>-84.2</v>
      </c>
      <c r="O151" s="634">
        <v>-5</v>
      </c>
      <c r="P151" s="634">
        <v>306</v>
      </c>
      <c r="T151" s="634" t="s">
        <v>594</v>
      </c>
      <c r="U151" s="634" t="s">
        <v>1862</v>
      </c>
    </row>
    <row r="152" spans="8:21">
      <c r="H152" s="634">
        <v>93815</v>
      </c>
      <c r="I152" s="634" t="s">
        <v>1863</v>
      </c>
      <c r="J152" s="634" t="s">
        <v>229</v>
      </c>
      <c r="K152" s="634" t="str">
        <f t="shared" si="4"/>
        <v>Dayton/Wright-Paterson AFB, OH</v>
      </c>
      <c r="L152" s="634" t="s">
        <v>1555</v>
      </c>
      <c r="M152" s="634">
        <v>39.83</v>
      </c>
      <c r="N152" s="634">
        <v>-84.05</v>
      </c>
      <c r="O152" s="634">
        <v>-5</v>
      </c>
      <c r="P152" s="634">
        <v>251</v>
      </c>
      <c r="T152" s="634" t="s">
        <v>594</v>
      </c>
      <c r="U152" s="634" t="s">
        <v>1864</v>
      </c>
    </row>
    <row r="153" spans="8:21">
      <c r="H153" s="634">
        <v>12834</v>
      </c>
      <c r="I153" s="634" t="s">
        <v>1865</v>
      </c>
      <c r="J153" s="634" t="s">
        <v>594</v>
      </c>
      <c r="K153" s="634" t="str">
        <f t="shared" si="4"/>
        <v>Daytona Beach, FL</v>
      </c>
      <c r="L153" s="634" t="s">
        <v>1555</v>
      </c>
      <c r="M153" s="634">
        <v>29.18</v>
      </c>
      <c r="N153" s="634">
        <v>-81.05</v>
      </c>
      <c r="O153" s="634">
        <v>-5</v>
      </c>
      <c r="P153" s="634">
        <v>11</v>
      </c>
      <c r="T153" s="634" t="s">
        <v>594</v>
      </c>
      <c r="U153" s="634" t="s">
        <v>1866</v>
      </c>
    </row>
    <row r="154" spans="8:21">
      <c r="I154" s="634" t="s">
        <v>612</v>
      </c>
      <c r="J154" s="634" t="s">
        <v>953</v>
      </c>
      <c r="K154" s="634" t="str">
        <f t="shared" si="4"/>
        <v>Deadhorse, AK</v>
      </c>
      <c r="L154" s="634" t="s">
        <v>1555</v>
      </c>
      <c r="M154" s="634">
        <v>70.2</v>
      </c>
      <c r="N154" s="634">
        <v>-148.47</v>
      </c>
      <c r="O154" s="634">
        <v>-9</v>
      </c>
      <c r="P154" s="634">
        <v>17</v>
      </c>
      <c r="T154" s="634" t="s">
        <v>594</v>
      </c>
      <c r="U154" s="634" t="s">
        <v>1867</v>
      </c>
    </row>
    <row r="155" spans="8:21">
      <c r="I155" s="634" t="s">
        <v>1868</v>
      </c>
      <c r="J155" s="634" t="s">
        <v>932</v>
      </c>
      <c r="K155" s="634" t="str">
        <f t="shared" si="4"/>
        <v>Decatur, IL</v>
      </c>
      <c r="L155" s="634" t="s">
        <v>1555</v>
      </c>
      <c r="M155" s="634">
        <v>39.83</v>
      </c>
      <c r="N155" s="634">
        <v>-88.87</v>
      </c>
      <c r="O155" s="634">
        <v>-6</v>
      </c>
      <c r="P155" s="634">
        <v>208</v>
      </c>
      <c r="T155" s="634" t="s">
        <v>594</v>
      </c>
      <c r="U155" s="634" t="s">
        <v>1869</v>
      </c>
    </row>
    <row r="156" spans="8:21">
      <c r="H156" s="634">
        <v>14523</v>
      </c>
      <c r="I156" s="634" t="s">
        <v>1870</v>
      </c>
      <c r="J156" s="634" t="s">
        <v>1660</v>
      </c>
      <c r="K156" s="634" t="str">
        <f t="shared" si="4"/>
        <v>Deer Lake, NF</v>
      </c>
      <c r="L156" s="634" t="s">
        <v>1552</v>
      </c>
      <c r="M156" s="634">
        <v>49.22</v>
      </c>
      <c r="N156" s="634">
        <v>-57.4</v>
      </c>
      <c r="O156" s="634">
        <v>-3.5</v>
      </c>
      <c r="P156" s="634">
        <v>22</v>
      </c>
      <c r="T156" s="634" t="s">
        <v>594</v>
      </c>
      <c r="U156" s="634" t="s">
        <v>1871</v>
      </c>
    </row>
    <row r="157" spans="8:21">
      <c r="H157" s="634">
        <v>22010</v>
      </c>
      <c r="I157" s="634" t="s">
        <v>1872</v>
      </c>
      <c r="J157" s="634" t="s">
        <v>228</v>
      </c>
      <c r="K157" s="634" t="str">
        <f t="shared" si="4"/>
        <v>Del Rio/Laughlin AFB, TX</v>
      </c>
      <c r="L157" s="634" t="s">
        <v>1555</v>
      </c>
      <c r="M157" s="634">
        <v>29.36</v>
      </c>
      <c r="N157" s="634">
        <v>-100.78</v>
      </c>
      <c r="O157" s="634">
        <v>-6</v>
      </c>
      <c r="P157" s="634">
        <v>327</v>
      </c>
      <c r="T157" s="634" t="s">
        <v>594</v>
      </c>
      <c r="U157" s="634" t="s">
        <v>1873</v>
      </c>
    </row>
    <row r="158" spans="8:21">
      <c r="H158" s="634">
        <v>72261</v>
      </c>
      <c r="I158" s="634" t="s">
        <v>1872</v>
      </c>
      <c r="J158" s="634" t="s">
        <v>228</v>
      </c>
      <c r="K158" s="634" t="str">
        <f t="shared" si="4"/>
        <v>Del Rio/Laughlin AFB, TX</v>
      </c>
      <c r="L158" s="634" t="s">
        <v>1555</v>
      </c>
      <c r="M158" s="634">
        <v>29.37</v>
      </c>
      <c r="N158" s="634">
        <v>-100.78</v>
      </c>
      <c r="O158" s="634">
        <v>-6</v>
      </c>
      <c r="P158" s="634">
        <v>330</v>
      </c>
      <c r="T158" s="634" t="s">
        <v>594</v>
      </c>
      <c r="U158" s="634" t="s">
        <v>1874</v>
      </c>
    </row>
    <row r="159" spans="8:21">
      <c r="H159" s="634">
        <v>23062</v>
      </c>
      <c r="I159" s="634" t="s">
        <v>1875</v>
      </c>
      <c r="J159" s="634" t="s">
        <v>536</v>
      </c>
      <c r="K159" s="634" t="str">
        <f t="shared" si="4"/>
        <v>Denver-Stapleton, CO</v>
      </c>
      <c r="L159" s="634" t="s">
        <v>1555</v>
      </c>
      <c r="M159" s="634">
        <v>39.76</v>
      </c>
      <c r="N159" s="634">
        <v>-104.86</v>
      </c>
      <c r="O159" s="634">
        <v>-7</v>
      </c>
      <c r="P159" s="634">
        <v>1611</v>
      </c>
      <c r="T159" s="634" t="s">
        <v>594</v>
      </c>
      <c r="U159" s="634" t="s">
        <v>1876</v>
      </c>
    </row>
    <row r="160" spans="8:21">
      <c r="H160" s="634">
        <v>14933</v>
      </c>
      <c r="I160" s="634" t="s">
        <v>1877</v>
      </c>
      <c r="J160" s="634" t="s">
        <v>566</v>
      </c>
      <c r="K160" s="634" t="str">
        <f t="shared" si="4"/>
        <v>Des Moines, IA</v>
      </c>
      <c r="L160" s="634" t="s">
        <v>1555</v>
      </c>
      <c r="M160" s="634">
        <v>41.53</v>
      </c>
      <c r="N160" s="634">
        <v>-93.65</v>
      </c>
      <c r="O160" s="634">
        <v>-6</v>
      </c>
      <c r="P160" s="634">
        <v>294</v>
      </c>
      <c r="T160" s="634" t="s">
        <v>594</v>
      </c>
      <c r="U160" s="634" t="s">
        <v>1878</v>
      </c>
    </row>
    <row r="161" spans="8:21">
      <c r="H161" s="634">
        <v>14822</v>
      </c>
      <c r="I161" s="634" t="s">
        <v>1879</v>
      </c>
      <c r="J161" s="634" t="s">
        <v>540</v>
      </c>
      <c r="K161" s="634" t="str">
        <f t="shared" si="4"/>
        <v>Detroit/City, MI</v>
      </c>
      <c r="L161" s="634" t="s">
        <v>1555</v>
      </c>
      <c r="M161" s="634">
        <v>42.5</v>
      </c>
      <c r="N161" s="634">
        <v>-83</v>
      </c>
      <c r="O161" s="634">
        <v>-5</v>
      </c>
      <c r="P161" s="634">
        <v>190</v>
      </c>
      <c r="T161" s="634" t="s">
        <v>594</v>
      </c>
      <c r="U161" s="634" t="s">
        <v>1880</v>
      </c>
    </row>
    <row r="162" spans="8:21">
      <c r="H162" s="634">
        <v>94847</v>
      </c>
      <c r="I162" s="634" t="s">
        <v>1881</v>
      </c>
      <c r="J162" s="634" t="s">
        <v>540</v>
      </c>
      <c r="K162" s="634" t="str">
        <f t="shared" si="4"/>
        <v>Detroit/Metro, MI</v>
      </c>
      <c r="L162" s="634" t="s">
        <v>1555</v>
      </c>
      <c r="M162" s="634">
        <v>42.23</v>
      </c>
      <c r="N162" s="634">
        <v>-83.33</v>
      </c>
      <c r="O162" s="634">
        <v>-5</v>
      </c>
      <c r="P162" s="634">
        <v>202</v>
      </c>
      <c r="T162" s="634" t="s">
        <v>594</v>
      </c>
      <c r="U162" s="634" t="s">
        <v>1882</v>
      </c>
    </row>
    <row r="163" spans="8:21">
      <c r="I163" s="634" t="s">
        <v>1883</v>
      </c>
      <c r="J163" s="634" t="s">
        <v>248</v>
      </c>
      <c r="K163" s="634" t="str">
        <f t="shared" si="4"/>
        <v>Devils Lake, ND</v>
      </c>
      <c r="L163" s="634" t="s">
        <v>1555</v>
      </c>
      <c r="M163" s="634">
        <v>48.1</v>
      </c>
      <c r="N163" s="634">
        <v>-98.87</v>
      </c>
      <c r="O163" s="634">
        <v>-6</v>
      </c>
      <c r="P163" s="634">
        <v>443</v>
      </c>
      <c r="T163" s="634" t="s">
        <v>594</v>
      </c>
      <c r="U163" s="634" t="s">
        <v>1884</v>
      </c>
    </row>
    <row r="164" spans="8:21">
      <c r="I164" s="634" t="s">
        <v>1885</v>
      </c>
      <c r="J164" s="634" t="s">
        <v>953</v>
      </c>
      <c r="K164" s="634" t="str">
        <f t="shared" si="4"/>
        <v>Dillingham, AK</v>
      </c>
      <c r="L164" s="634" t="s">
        <v>1555</v>
      </c>
      <c r="M164" s="634">
        <v>59.05</v>
      </c>
      <c r="N164" s="634">
        <v>-158.52000000000001</v>
      </c>
      <c r="O164" s="634">
        <v>-9</v>
      </c>
      <c r="P164" s="634">
        <v>29</v>
      </c>
      <c r="T164" s="634" t="s">
        <v>594</v>
      </c>
      <c r="U164" s="634" t="s">
        <v>1884</v>
      </c>
    </row>
    <row r="165" spans="8:21">
      <c r="H165" s="634">
        <v>24138</v>
      </c>
      <c r="I165" s="634" t="s">
        <v>1886</v>
      </c>
      <c r="J165" s="634" t="s">
        <v>1108</v>
      </c>
      <c r="K165" s="634" t="str">
        <f t="shared" si="4"/>
        <v>Dillon, MT</v>
      </c>
      <c r="L165" s="634" t="s">
        <v>1555</v>
      </c>
      <c r="M165" s="634">
        <v>45.25</v>
      </c>
      <c r="N165" s="634">
        <v>-112.55</v>
      </c>
      <c r="O165" s="634">
        <v>-7</v>
      </c>
      <c r="P165" s="634">
        <v>1597</v>
      </c>
      <c r="T165" s="634" t="s">
        <v>594</v>
      </c>
      <c r="U165" s="634" t="s">
        <v>1887</v>
      </c>
    </row>
    <row r="166" spans="8:21">
      <c r="H166" s="634">
        <v>13985</v>
      </c>
      <c r="I166" s="634" t="s">
        <v>1888</v>
      </c>
      <c r="J166" s="634" t="s">
        <v>256</v>
      </c>
      <c r="K166" s="634" t="str">
        <f t="shared" si="4"/>
        <v>Dodge City, KS</v>
      </c>
      <c r="L166" s="634" t="s">
        <v>1555</v>
      </c>
      <c r="M166" s="634">
        <v>37.770000000000003</v>
      </c>
      <c r="N166" s="634">
        <v>-99.97</v>
      </c>
      <c r="O166" s="634">
        <v>-6</v>
      </c>
      <c r="P166" s="634">
        <v>790</v>
      </c>
      <c r="T166" s="634" t="s">
        <v>594</v>
      </c>
      <c r="U166" s="634" t="s">
        <v>1889</v>
      </c>
    </row>
    <row r="167" spans="8:21">
      <c r="I167" s="634" t="s">
        <v>1890</v>
      </c>
      <c r="J167" s="634" t="s">
        <v>247</v>
      </c>
      <c r="K167" s="634" t="str">
        <f t="shared" si="4"/>
        <v>Dothan, AL</v>
      </c>
      <c r="L167" s="634" t="s">
        <v>1555</v>
      </c>
      <c r="M167" s="634">
        <v>31.32</v>
      </c>
      <c r="N167" s="634">
        <v>-85.45</v>
      </c>
      <c r="O167" s="634">
        <v>-6</v>
      </c>
      <c r="P167" s="634">
        <v>122</v>
      </c>
      <c r="T167" s="634" t="s">
        <v>594</v>
      </c>
      <c r="U167" s="634" t="s">
        <v>1891</v>
      </c>
    </row>
    <row r="168" spans="8:21">
      <c r="I168" s="634" t="s">
        <v>1892</v>
      </c>
      <c r="J168" s="634" t="s">
        <v>1329</v>
      </c>
      <c r="K168" s="634" t="str">
        <f t="shared" si="4"/>
        <v>Dover/AFB, DE</v>
      </c>
      <c r="L168" s="634" t="s">
        <v>1555</v>
      </c>
      <c r="M168" s="634">
        <v>39.130000000000003</v>
      </c>
      <c r="N168" s="634">
        <v>-75.47</v>
      </c>
      <c r="O168" s="634">
        <v>-5</v>
      </c>
      <c r="P168" s="634">
        <v>9</v>
      </c>
      <c r="T168" s="634" t="s">
        <v>594</v>
      </c>
      <c r="U168" s="634" t="s">
        <v>1893</v>
      </c>
    </row>
    <row r="169" spans="8:21">
      <c r="I169" s="634" t="s">
        <v>1894</v>
      </c>
      <c r="J169" s="634" t="s">
        <v>539</v>
      </c>
      <c r="K169" s="634" t="str">
        <f t="shared" si="4"/>
        <v>Du Bois, PA</v>
      </c>
      <c r="L169" s="634" t="s">
        <v>1555</v>
      </c>
      <c r="M169" s="634">
        <v>41.18</v>
      </c>
      <c r="N169" s="634">
        <v>-78.900000000000006</v>
      </c>
      <c r="O169" s="634">
        <v>-5</v>
      </c>
      <c r="P169" s="634">
        <v>554</v>
      </c>
      <c r="T169" s="634" t="s">
        <v>594</v>
      </c>
      <c r="U169" s="634" t="s">
        <v>1895</v>
      </c>
    </row>
    <row r="170" spans="8:21">
      <c r="H170" s="634">
        <v>14913</v>
      </c>
      <c r="I170" s="634" t="s">
        <v>1896</v>
      </c>
      <c r="J170" s="634" t="s">
        <v>934</v>
      </c>
      <c r="K170" s="634" t="str">
        <f t="shared" si="4"/>
        <v>Duluth, MN</v>
      </c>
      <c r="L170" s="634" t="s">
        <v>1555</v>
      </c>
      <c r="M170" s="634">
        <v>46.83</v>
      </c>
      <c r="N170" s="634">
        <v>-92.18</v>
      </c>
      <c r="O170" s="634">
        <v>-6</v>
      </c>
      <c r="P170" s="634">
        <v>432</v>
      </c>
      <c r="T170" s="634" t="s">
        <v>594</v>
      </c>
      <c r="U170" s="634" t="s">
        <v>1897</v>
      </c>
    </row>
    <row r="171" spans="8:21">
      <c r="H171" s="634">
        <v>23063</v>
      </c>
      <c r="I171" s="634" t="s">
        <v>1898</v>
      </c>
      <c r="J171" s="634" t="s">
        <v>536</v>
      </c>
      <c r="K171" s="634" t="str">
        <f t="shared" si="4"/>
        <v>Eagle, CO</v>
      </c>
      <c r="L171" s="634" t="s">
        <v>1555</v>
      </c>
      <c r="M171" s="634">
        <v>39.65</v>
      </c>
      <c r="N171" s="634">
        <v>-106.92</v>
      </c>
      <c r="O171" s="634">
        <v>-7</v>
      </c>
      <c r="P171" s="634">
        <v>1993</v>
      </c>
      <c r="T171" s="634" t="s">
        <v>594</v>
      </c>
      <c r="U171" s="634" t="s">
        <v>1899</v>
      </c>
    </row>
    <row r="172" spans="8:21">
      <c r="H172" s="634">
        <v>94797</v>
      </c>
      <c r="I172" s="634" t="s">
        <v>1900</v>
      </c>
      <c r="J172" s="634" t="s">
        <v>1621</v>
      </c>
      <c r="K172" s="634" t="str">
        <f t="shared" si="4"/>
        <v>Earlton, ON</v>
      </c>
      <c r="L172" s="634" t="s">
        <v>1552</v>
      </c>
      <c r="M172" s="634">
        <v>47.7</v>
      </c>
      <c r="N172" s="634">
        <v>-79.849999999999994</v>
      </c>
      <c r="O172" s="634">
        <v>-5</v>
      </c>
      <c r="P172" s="634">
        <v>243</v>
      </c>
      <c r="T172" s="634" t="s">
        <v>594</v>
      </c>
      <c r="U172" s="634" t="s">
        <v>1901</v>
      </c>
    </row>
    <row r="173" spans="8:21">
      <c r="I173" s="634" t="s">
        <v>1902</v>
      </c>
      <c r="J173" s="634" t="s">
        <v>250</v>
      </c>
      <c r="K173" s="634" t="str">
        <f t="shared" si="4"/>
        <v>East Falmouth/Otis ANGB, MA</v>
      </c>
      <c r="L173" s="634" t="s">
        <v>1555</v>
      </c>
      <c r="M173" s="634">
        <v>41.65</v>
      </c>
      <c r="N173" s="634">
        <v>-70.52</v>
      </c>
      <c r="O173" s="634">
        <v>-5</v>
      </c>
      <c r="P173" s="634">
        <v>40</v>
      </c>
      <c r="T173" s="634" t="s">
        <v>594</v>
      </c>
      <c r="U173" s="634" t="s">
        <v>1903</v>
      </c>
    </row>
    <row r="174" spans="8:21">
      <c r="H174" s="634">
        <v>14991</v>
      </c>
      <c r="I174" s="634" t="s">
        <v>1904</v>
      </c>
      <c r="J174" s="634" t="s">
        <v>1278</v>
      </c>
      <c r="K174" s="634" t="str">
        <f t="shared" si="4"/>
        <v>Eau Claire, WI</v>
      </c>
      <c r="L174" s="634" t="s">
        <v>1555</v>
      </c>
      <c r="M174" s="634">
        <v>44.87</v>
      </c>
      <c r="N174" s="634">
        <v>-91.48</v>
      </c>
      <c r="O174" s="634">
        <v>-6</v>
      </c>
      <c r="P174" s="634">
        <v>276</v>
      </c>
      <c r="T174" s="634" t="s">
        <v>428</v>
      </c>
      <c r="U174" s="634" t="s">
        <v>1905</v>
      </c>
    </row>
    <row r="175" spans="8:21">
      <c r="H175" s="634">
        <v>15</v>
      </c>
      <c r="I175" s="634" t="s">
        <v>1906</v>
      </c>
      <c r="J175" s="634" t="s">
        <v>954</v>
      </c>
      <c r="K175" s="634" t="str">
        <f t="shared" si="4"/>
        <v>El Centro, CA</v>
      </c>
      <c r="L175" s="634" t="s">
        <v>1555</v>
      </c>
      <c r="M175" s="634">
        <v>32.766666669999999</v>
      </c>
      <c r="N175" s="634">
        <v>-115.5667</v>
      </c>
      <c r="O175" s="634">
        <v>-8</v>
      </c>
      <c r="P175" s="634">
        <v>-9.1</v>
      </c>
      <c r="T175" s="634" t="s">
        <v>428</v>
      </c>
      <c r="U175" s="634" t="s">
        <v>1907</v>
      </c>
    </row>
    <row r="176" spans="8:21">
      <c r="H176" s="634" t="s">
        <v>1908</v>
      </c>
      <c r="I176" s="634" t="s">
        <v>1906</v>
      </c>
      <c r="J176" s="634" t="s">
        <v>954</v>
      </c>
      <c r="K176" s="634" t="str">
        <f t="shared" si="4"/>
        <v>El Centro, CA</v>
      </c>
      <c r="L176" s="634" t="s">
        <v>1555</v>
      </c>
      <c r="M176" s="634">
        <v>32.766666669999999</v>
      </c>
      <c r="N176" s="634">
        <v>-115.5667</v>
      </c>
      <c r="O176" s="634">
        <v>-8</v>
      </c>
      <c r="P176" s="634">
        <v>-9.1</v>
      </c>
      <c r="T176" s="634" t="s">
        <v>428</v>
      </c>
      <c r="U176" s="634" t="s">
        <v>1909</v>
      </c>
    </row>
    <row r="177" spans="8:21">
      <c r="H177" s="634">
        <v>23044</v>
      </c>
      <c r="I177" s="634" t="s">
        <v>1910</v>
      </c>
      <c r="J177" s="634" t="s">
        <v>228</v>
      </c>
      <c r="K177" s="634" t="str">
        <f t="shared" si="4"/>
        <v>El Paso, TX</v>
      </c>
      <c r="L177" s="634" t="s">
        <v>1555</v>
      </c>
      <c r="M177" s="634">
        <v>31.8</v>
      </c>
      <c r="N177" s="634">
        <v>-106.4</v>
      </c>
      <c r="O177" s="634">
        <v>-7</v>
      </c>
      <c r="P177" s="634">
        <v>1194</v>
      </c>
      <c r="T177" s="634" t="s">
        <v>428</v>
      </c>
      <c r="U177" s="634" t="s">
        <v>1911</v>
      </c>
    </row>
    <row r="178" spans="8:21">
      <c r="H178" s="634">
        <v>72270</v>
      </c>
      <c r="I178" s="634" t="s">
        <v>1910</v>
      </c>
      <c r="J178" s="634" t="s">
        <v>228</v>
      </c>
      <c r="K178" s="634" t="str">
        <f t="shared" si="4"/>
        <v>El Paso, TX</v>
      </c>
      <c r="L178" s="634" t="s">
        <v>1555</v>
      </c>
      <c r="M178" s="634">
        <v>31.8</v>
      </c>
      <c r="N178" s="634">
        <v>-106.4</v>
      </c>
      <c r="O178" s="634">
        <v>-7</v>
      </c>
      <c r="P178" s="634">
        <v>1194</v>
      </c>
      <c r="T178" s="634" t="s">
        <v>428</v>
      </c>
      <c r="U178" s="634" t="s">
        <v>1912</v>
      </c>
    </row>
    <row r="179" spans="8:21">
      <c r="H179" s="634">
        <v>93101</v>
      </c>
      <c r="I179" s="634" t="s">
        <v>1913</v>
      </c>
      <c r="J179" s="634" t="s">
        <v>954</v>
      </c>
      <c r="K179" s="634" t="str">
        <f t="shared" si="4"/>
        <v>El Toro MCAS, CA</v>
      </c>
      <c r="L179" s="634" t="s">
        <v>1555</v>
      </c>
      <c r="M179" s="634">
        <v>33.659999999999997</v>
      </c>
      <c r="N179" s="634">
        <v>-117.73</v>
      </c>
      <c r="O179" s="634">
        <v>-8</v>
      </c>
      <c r="P179" s="634">
        <v>116</v>
      </c>
      <c r="T179" s="634" t="s">
        <v>428</v>
      </c>
      <c r="U179" s="634" t="s">
        <v>1914</v>
      </c>
    </row>
    <row r="180" spans="8:21">
      <c r="H180" s="634">
        <v>13729</v>
      </c>
      <c r="I180" s="634" t="s">
        <v>1915</v>
      </c>
      <c r="J180" s="634" t="s">
        <v>513</v>
      </c>
      <c r="K180" s="634" t="str">
        <f t="shared" si="4"/>
        <v>Elkins, WV</v>
      </c>
      <c r="L180" s="634" t="s">
        <v>1555</v>
      </c>
      <c r="M180" s="634">
        <v>38.880000000000003</v>
      </c>
      <c r="N180" s="634">
        <v>-79.849999999999994</v>
      </c>
      <c r="O180" s="634">
        <v>-5</v>
      </c>
      <c r="P180" s="634">
        <v>609</v>
      </c>
      <c r="T180" s="634" t="s">
        <v>428</v>
      </c>
      <c r="U180" s="634" t="s">
        <v>1916</v>
      </c>
    </row>
    <row r="181" spans="8:21">
      <c r="H181" s="634">
        <v>24121</v>
      </c>
      <c r="I181" s="634" t="s">
        <v>1917</v>
      </c>
      <c r="J181" s="634" t="s">
        <v>450</v>
      </c>
      <c r="K181" s="634" t="str">
        <f t="shared" si="4"/>
        <v>Elko, NV</v>
      </c>
      <c r="L181" s="634" t="s">
        <v>1555</v>
      </c>
      <c r="M181" s="634">
        <v>40.83</v>
      </c>
      <c r="N181" s="634">
        <v>-115.78</v>
      </c>
      <c r="O181" s="634">
        <v>-8</v>
      </c>
      <c r="P181" s="634">
        <v>1565</v>
      </c>
      <c r="T181" s="634" t="s">
        <v>428</v>
      </c>
      <c r="U181" s="634" t="s">
        <v>1918</v>
      </c>
    </row>
    <row r="182" spans="8:21">
      <c r="I182" s="634" t="s">
        <v>1919</v>
      </c>
      <c r="J182" s="634" t="s">
        <v>537</v>
      </c>
      <c r="K182" s="634" t="str">
        <f t="shared" si="4"/>
        <v>Elmira/Corning, NY</v>
      </c>
      <c r="L182" s="634" t="s">
        <v>1555</v>
      </c>
      <c r="M182" s="634">
        <v>42.17</v>
      </c>
      <c r="N182" s="634">
        <v>-76.900000000000006</v>
      </c>
      <c r="O182" s="634">
        <v>-5</v>
      </c>
      <c r="P182" s="634">
        <v>291</v>
      </c>
      <c r="T182" s="634" t="s">
        <v>428</v>
      </c>
      <c r="U182" s="634" t="s">
        <v>1920</v>
      </c>
    </row>
    <row r="183" spans="8:21">
      <c r="H183" s="634">
        <v>23154</v>
      </c>
      <c r="I183" s="634" t="s">
        <v>1921</v>
      </c>
      <c r="J183" s="634" t="s">
        <v>450</v>
      </c>
      <c r="K183" s="634" t="str">
        <f t="shared" si="4"/>
        <v>Ely, NV</v>
      </c>
      <c r="L183" s="634" t="s">
        <v>1555</v>
      </c>
      <c r="M183" s="634">
        <v>39.28</v>
      </c>
      <c r="N183" s="634">
        <v>-114.85</v>
      </c>
      <c r="O183" s="634">
        <v>-8</v>
      </c>
      <c r="P183" s="634">
        <v>1909</v>
      </c>
      <c r="T183" s="634" t="s">
        <v>428</v>
      </c>
      <c r="U183" s="634" t="s">
        <v>1922</v>
      </c>
    </row>
    <row r="184" spans="8:21">
      <c r="I184" s="634" t="s">
        <v>1923</v>
      </c>
      <c r="J184" s="634" t="s">
        <v>61</v>
      </c>
      <c r="K184" s="634" t="str">
        <f t="shared" si="4"/>
        <v>Enid/Vance AFB, OK</v>
      </c>
      <c r="L184" s="634" t="s">
        <v>1555</v>
      </c>
      <c r="M184" s="634">
        <v>36.33</v>
      </c>
      <c r="N184" s="634">
        <v>-97.92</v>
      </c>
      <c r="O184" s="634">
        <v>-6</v>
      </c>
      <c r="P184" s="634">
        <v>398</v>
      </c>
      <c r="T184" s="634" t="s">
        <v>428</v>
      </c>
      <c r="U184" s="634" t="s">
        <v>1924</v>
      </c>
    </row>
    <row r="185" spans="8:21">
      <c r="H185" s="634">
        <v>14860</v>
      </c>
      <c r="I185" s="634" t="s">
        <v>1925</v>
      </c>
      <c r="J185" s="634" t="s">
        <v>539</v>
      </c>
      <c r="K185" s="634" t="str">
        <f t="shared" si="4"/>
        <v>Erie, PA</v>
      </c>
      <c r="L185" s="634" t="s">
        <v>1555</v>
      </c>
      <c r="M185" s="634">
        <v>42.08</v>
      </c>
      <c r="N185" s="634">
        <v>-80.180000000000007</v>
      </c>
      <c r="O185" s="634">
        <v>-5</v>
      </c>
      <c r="P185" s="634">
        <v>225</v>
      </c>
      <c r="T185" s="634" t="s">
        <v>428</v>
      </c>
      <c r="U185" s="634" t="s">
        <v>1926</v>
      </c>
    </row>
    <row r="186" spans="8:21">
      <c r="H186" s="634">
        <v>24092</v>
      </c>
      <c r="I186" s="634" t="s">
        <v>1927</v>
      </c>
      <c r="J186" s="634" t="s">
        <v>1728</v>
      </c>
      <c r="K186" s="634" t="str">
        <f t="shared" si="4"/>
        <v>Estevan, SK</v>
      </c>
      <c r="L186" s="634" t="s">
        <v>1552</v>
      </c>
      <c r="M186" s="634">
        <v>49.22</v>
      </c>
      <c r="N186" s="634">
        <v>-102.97</v>
      </c>
      <c r="O186" s="634">
        <v>-6</v>
      </c>
      <c r="P186" s="634">
        <v>581</v>
      </c>
      <c r="T186" s="634" t="s">
        <v>428</v>
      </c>
      <c r="U186" s="634" t="s">
        <v>1928</v>
      </c>
    </row>
    <row r="187" spans="8:21">
      <c r="H187" s="634">
        <v>24221</v>
      </c>
      <c r="I187" s="634" t="s">
        <v>1929</v>
      </c>
      <c r="J187" s="634" t="s">
        <v>427</v>
      </c>
      <c r="K187" s="634" t="str">
        <f t="shared" si="4"/>
        <v>Eugene, OR</v>
      </c>
      <c r="L187" s="634" t="s">
        <v>1555</v>
      </c>
      <c r="M187" s="634">
        <v>44.12</v>
      </c>
      <c r="N187" s="634">
        <v>-123.22</v>
      </c>
      <c r="O187" s="634">
        <v>-8</v>
      </c>
      <c r="P187" s="634">
        <v>114</v>
      </c>
      <c r="T187" s="634" t="s">
        <v>428</v>
      </c>
      <c r="U187" s="634" t="s">
        <v>1930</v>
      </c>
    </row>
    <row r="188" spans="8:21">
      <c r="H188" s="634">
        <v>18801</v>
      </c>
      <c r="I188" s="634" t="s">
        <v>1931</v>
      </c>
      <c r="J188" s="634" t="s">
        <v>1759</v>
      </c>
      <c r="K188" s="634" t="str">
        <f t="shared" si="4"/>
        <v>Eureka, NT</v>
      </c>
      <c r="L188" s="634" t="s">
        <v>1552</v>
      </c>
      <c r="M188" s="634">
        <v>79.98</v>
      </c>
      <c r="N188" s="634">
        <v>-85.93</v>
      </c>
      <c r="O188" s="634">
        <v>-5</v>
      </c>
      <c r="P188" s="634">
        <v>10</v>
      </c>
      <c r="T188" s="634" t="s">
        <v>122</v>
      </c>
      <c r="U188" s="634" t="s">
        <v>1932</v>
      </c>
    </row>
    <row r="189" spans="8:21">
      <c r="H189" s="634">
        <v>93817</v>
      </c>
      <c r="I189" s="634" t="s">
        <v>1933</v>
      </c>
      <c r="J189" s="634" t="s">
        <v>283</v>
      </c>
      <c r="K189" s="634" t="str">
        <f t="shared" si="4"/>
        <v>Evansville, IN</v>
      </c>
      <c r="L189" s="634" t="s">
        <v>1555</v>
      </c>
      <c r="M189" s="634">
        <v>38.049999999999997</v>
      </c>
      <c r="N189" s="634">
        <v>-87.53</v>
      </c>
      <c r="O189" s="634">
        <v>-5</v>
      </c>
      <c r="P189" s="634">
        <v>118</v>
      </c>
      <c r="T189" s="634" t="s">
        <v>122</v>
      </c>
      <c r="U189" s="634" t="s">
        <v>1934</v>
      </c>
    </row>
    <row r="190" spans="8:21">
      <c r="H190" s="634">
        <v>22514</v>
      </c>
      <c r="I190" s="634" t="s">
        <v>1935</v>
      </c>
      <c r="J190" s="634" t="s">
        <v>122</v>
      </c>
      <c r="K190" s="634" t="str">
        <f t="shared" si="4"/>
        <v>Ewa/Barbers Point NAS, HI</v>
      </c>
      <c r="L190" s="634" t="s">
        <v>1555</v>
      </c>
      <c r="M190" s="634">
        <v>21.32</v>
      </c>
      <c r="N190" s="634">
        <v>-158.07</v>
      </c>
      <c r="O190" s="634">
        <v>-10</v>
      </c>
      <c r="P190" s="634">
        <v>15</v>
      </c>
      <c r="T190" s="634" t="s">
        <v>122</v>
      </c>
      <c r="U190" s="634" t="s">
        <v>1936</v>
      </c>
    </row>
    <row r="191" spans="8:21">
      <c r="H191" s="634">
        <v>26407</v>
      </c>
      <c r="I191" s="634" t="s">
        <v>1937</v>
      </c>
      <c r="J191" s="634" t="s">
        <v>953</v>
      </c>
      <c r="K191" s="634" t="str">
        <f t="shared" si="4"/>
        <v>Fairbanks/Eielson AFB, AK</v>
      </c>
      <c r="L191" s="634" t="s">
        <v>1555</v>
      </c>
      <c r="M191" s="634">
        <v>64.67</v>
      </c>
      <c r="N191" s="634">
        <v>-147.1</v>
      </c>
      <c r="O191" s="634">
        <v>-9</v>
      </c>
      <c r="P191" s="634">
        <v>167</v>
      </c>
      <c r="T191" s="634" t="s">
        <v>122</v>
      </c>
      <c r="U191" s="634" t="s">
        <v>1938</v>
      </c>
    </row>
    <row r="192" spans="8:21">
      <c r="H192" s="634">
        <v>26411</v>
      </c>
      <c r="I192" s="634" t="s">
        <v>1939</v>
      </c>
      <c r="J192" s="634" t="s">
        <v>953</v>
      </c>
      <c r="K192" s="634" t="str">
        <f t="shared" si="4"/>
        <v>Fairbanks/Int'l Airport, AK</v>
      </c>
      <c r="L192" s="634" t="s">
        <v>1555</v>
      </c>
      <c r="M192" s="634">
        <v>64.819999999999993</v>
      </c>
      <c r="N192" s="634">
        <v>-147.87</v>
      </c>
      <c r="O192" s="634">
        <v>-9</v>
      </c>
      <c r="P192" s="634">
        <v>138</v>
      </c>
      <c r="T192" s="634" t="s">
        <v>122</v>
      </c>
      <c r="U192" s="634" t="s">
        <v>1940</v>
      </c>
    </row>
    <row r="193" spans="8:21">
      <c r="I193" s="634" t="s">
        <v>1941</v>
      </c>
      <c r="J193" s="634" t="s">
        <v>954</v>
      </c>
      <c r="K193" s="634" t="str">
        <f t="shared" si="4"/>
        <v>Fairfield/Travis AFB, CA</v>
      </c>
      <c r="L193" s="634" t="s">
        <v>1555</v>
      </c>
      <c r="M193" s="634">
        <v>38.270000000000003</v>
      </c>
      <c r="N193" s="634">
        <v>-121.93</v>
      </c>
      <c r="O193" s="634">
        <v>-8</v>
      </c>
      <c r="P193" s="634">
        <v>19</v>
      </c>
      <c r="T193" s="634" t="s">
        <v>122</v>
      </c>
      <c r="U193" s="634" t="s">
        <v>1942</v>
      </c>
    </row>
    <row r="194" spans="8:21">
      <c r="H194" s="634">
        <v>14914</v>
      </c>
      <c r="I194" s="634" t="s">
        <v>1943</v>
      </c>
      <c r="J194" s="634" t="s">
        <v>248</v>
      </c>
      <c r="K194" s="634" t="str">
        <f t="shared" ref="K194:K257" si="5">CONCATENATE(I194,", ",J194)</f>
        <v>Fargo, ND</v>
      </c>
      <c r="L194" s="634" t="s">
        <v>1555</v>
      </c>
      <c r="M194" s="634">
        <v>46.9</v>
      </c>
      <c r="N194" s="634">
        <v>-96.8</v>
      </c>
      <c r="O194" s="634">
        <v>-6</v>
      </c>
      <c r="P194" s="634">
        <v>274</v>
      </c>
      <c r="T194" s="634" t="s">
        <v>122</v>
      </c>
      <c r="U194" s="634" t="s">
        <v>1944</v>
      </c>
    </row>
    <row r="195" spans="8:21">
      <c r="I195" s="634" t="s">
        <v>1945</v>
      </c>
      <c r="J195" s="634" t="s">
        <v>538</v>
      </c>
      <c r="K195" s="634" t="str">
        <f t="shared" si="5"/>
        <v>Farmington, NM</v>
      </c>
      <c r="L195" s="634" t="s">
        <v>1555</v>
      </c>
      <c r="M195" s="634">
        <v>36.75</v>
      </c>
      <c r="N195" s="634">
        <v>-108.23</v>
      </c>
      <c r="O195" s="634">
        <v>-7</v>
      </c>
      <c r="P195" s="634">
        <v>1677</v>
      </c>
      <c r="T195" s="634" t="s">
        <v>566</v>
      </c>
      <c r="U195" s="634" t="s">
        <v>1946</v>
      </c>
    </row>
    <row r="196" spans="8:21">
      <c r="I196" s="634" t="s">
        <v>1947</v>
      </c>
      <c r="J196" s="634" t="s">
        <v>1176</v>
      </c>
      <c r="K196" s="634" t="str">
        <f t="shared" si="5"/>
        <v>Fayetteville, AR</v>
      </c>
      <c r="L196" s="634" t="s">
        <v>1555</v>
      </c>
      <c r="M196" s="634">
        <v>36</v>
      </c>
      <c r="N196" s="634">
        <v>-94.17</v>
      </c>
      <c r="O196" s="634">
        <v>-6</v>
      </c>
      <c r="P196" s="634">
        <v>381</v>
      </c>
      <c r="T196" s="634" t="s">
        <v>566</v>
      </c>
      <c r="U196" s="634" t="s">
        <v>1948</v>
      </c>
    </row>
    <row r="197" spans="8:21">
      <c r="I197" s="634" t="s">
        <v>1949</v>
      </c>
      <c r="J197" s="634" t="s">
        <v>426</v>
      </c>
      <c r="K197" s="634" t="str">
        <f t="shared" si="5"/>
        <v>Fayetteville/Fort Bragg, NC</v>
      </c>
      <c r="L197" s="634" t="s">
        <v>1555</v>
      </c>
      <c r="M197" s="634">
        <v>35.130000000000003</v>
      </c>
      <c r="N197" s="634">
        <v>-78.930000000000007</v>
      </c>
      <c r="O197" s="634">
        <v>-5</v>
      </c>
      <c r="P197" s="634">
        <v>74</v>
      </c>
      <c r="T197" s="634" t="s">
        <v>566</v>
      </c>
      <c r="U197" s="634" t="s">
        <v>1950</v>
      </c>
    </row>
    <row r="198" spans="8:21">
      <c r="I198" s="634" t="s">
        <v>1951</v>
      </c>
      <c r="J198" s="634" t="s">
        <v>229</v>
      </c>
      <c r="K198" s="634" t="str">
        <f t="shared" si="5"/>
        <v>Findlay, OH</v>
      </c>
      <c r="L198" s="634" t="s">
        <v>1555</v>
      </c>
      <c r="M198" s="634">
        <v>41.02</v>
      </c>
      <c r="N198" s="634">
        <v>-83.67</v>
      </c>
      <c r="O198" s="634">
        <v>-5</v>
      </c>
      <c r="P198" s="634">
        <v>247</v>
      </c>
      <c r="T198" s="634" t="s">
        <v>566</v>
      </c>
      <c r="U198" s="634" t="s">
        <v>1952</v>
      </c>
    </row>
    <row r="199" spans="8:21">
      <c r="H199" s="634">
        <v>3103</v>
      </c>
      <c r="I199" s="634" t="s">
        <v>1953</v>
      </c>
      <c r="J199" s="634" t="s">
        <v>1250</v>
      </c>
      <c r="K199" s="634" t="str">
        <f t="shared" si="5"/>
        <v>Flagstaff, AZ</v>
      </c>
      <c r="L199" s="634" t="s">
        <v>1555</v>
      </c>
      <c r="M199" s="634">
        <v>35.130000000000003</v>
      </c>
      <c r="N199" s="634">
        <v>-111.67</v>
      </c>
      <c r="O199" s="634">
        <v>-7</v>
      </c>
      <c r="P199" s="634">
        <v>2137</v>
      </c>
      <c r="T199" s="634" t="s">
        <v>566</v>
      </c>
      <c r="U199" s="634" t="s">
        <v>1954</v>
      </c>
    </row>
    <row r="200" spans="8:21">
      <c r="H200" s="634">
        <v>14826</v>
      </c>
      <c r="I200" s="634" t="s">
        <v>1955</v>
      </c>
      <c r="J200" s="634" t="s">
        <v>540</v>
      </c>
      <c r="K200" s="634" t="str">
        <f t="shared" si="5"/>
        <v>Flint, MI</v>
      </c>
      <c r="L200" s="634" t="s">
        <v>1555</v>
      </c>
      <c r="M200" s="634">
        <v>42.97</v>
      </c>
      <c r="N200" s="634">
        <v>-83.75</v>
      </c>
      <c r="O200" s="634">
        <v>-5</v>
      </c>
      <c r="P200" s="634">
        <v>233</v>
      </c>
      <c r="T200" s="634" t="s">
        <v>566</v>
      </c>
      <c r="U200" s="634" t="s">
        <v>1956</v>
      </c>
    </row>
    <row r="201" spans="8:21">
      <c r="I201" s="634" t="s">
        <v>1957</v>
      </c>
      <c r="J201" s="634" t="s">
        <v>512</v>
      </c>
      <c r="K201" s="634" t="str">
        <f t="shared" si="5"/>
        <v>Florence, SC</v>
      </c>
      <c r="L201" s="634" t="s">
        <v>1555</v>
      </c>
      <c r="M201" s="634">
        <v>34.18</v>
      </c>
      <c r="N201" s="634">
        <v>-79.72</v>
      </c>
      <c r="O201" s="634">
        <v>-5</v>
      </c>
      <c r="P201" s="634">
        <v>45</v>
      </c>
      <c r="T201" s="634" t="s">
        <v>566</v>
      </c>
      <c r="U201" s="634" t="s">
        <v>1958</v>
      </c>
    </row>
    <row r="202" spans="8:21">
      <c r="I202" s="634" t="s">
        <v>1959</v>
      </c>
      <c r="J202" s="634" t="s">
        <v>501</v>
      </c>
      <c r="K202" s="634" t="str">
        <f t="shared" si="5"/>
        <v>Fort Belvoir, VA</v>
      </c>
      <c r="L202" s="634" t="s">
        <v>1555</v>
      </c>
      <c r="M202" s="634">
        <v>38.72</v>
      </c>
      <c r="N202" s="634">
        <v>-77.180000000000007</v>
      </c>
      <c r="O202" s="634">
        <v>-5</v>
      </c>
      <c r="P202" s="634">
        <v>21</v>
      </c>
      <c r="T202" s="634" t="s">
        <v>566</v>
      </c>
      <c r="U202" s="634" t="s">
        <v>1960</v>
      </c>
    </row>
    <row r="203" spans="8:21">
      <c r="I203" s="634" t="s">
        <v>1961</v>
      </c>
      <c r="J203" s="634" t="s">
        <v>1107</v>
      </c>
      <c r="K203" s="634" t="str">
        <f t="shared" si="5"/>
        <v>Fort Campbell/AAF, KY</v>
      </c>
      <c r="L203" s="634" t="s">
        <v>1555</v>
      </c>
      <c r="M203" s="634">
        <v>36.67</v>
      </c>
      <c r="N203" s="634">
        <v>-87.5</v>
      </c>
      <c r="O203" s="634">
        <v>-6</v>
      </c>
      <c r="P203" s="634">
        <v>174</v>
      </c>
      <c r="T203" s="634" t="s">
        <v>566</v>
      </c>
      <c r="U203" s="634" t="s">
        <v>1962</v>
      </c>
    </row>
    <row r="204" spans="8:21">
      <c r="I204" s="634" t="s">
        <v>1963</v>
      </c>
      <c r="J204" s="634" t="s">
        <v>566</v>
      </c>
      <c r="K204" s="634" t="str">
        <f t="shared" si="5"/>
        <v>Fort Dodge, IA</v>
      </c>
      <c r="L204" s="634" t="s">
        <v>1555</v>
      </c>
      <c r="M204" s="634">
        <v>42.55</v>
      </c>
      <c r="N204" s="634">
        <v>-94.18</v>
      </c>
      <c r="O204" s="634">
        <v>-6</v>
      </c>
      <c r="P204" s="634">
        <v>355</v>
      </c>
      <c r="T204" s="634" t="s">
        <v>566</v>
      </c>
      <c r="U204" s="634" t="s">
        <v>1964</v>
      </c>
    </row>
    <row r="205" spans="8:21">
      <c r="I205" s="634" t="s">
        <v>1965</v>
      </c>
      <c r="J205" s="634" t="s">
        <v>1107</v>
      </c>
      <c r="K205" s="634" t="str">
        <f t="shared" si="5"/>
        <v>Fort Knox/Godman AAF, KY</v>
      </c>
      <c r="L205" s="634" t="s">
        <v>1555</v>
      </c>
      <c r="M205" s="634">
        <v>37.9</v>
      </c>
      <c r="N205" s="634">
        <v>-85.97</v>
      </c>
      <c r="O205" s="634">
        <v>-5</v>
      </c>
      <c r="P205" s="634">
        <v>230</v>
      </c>
      <c r="T205" s="634" t="s">
        <v>249</v>
      </c>
      <c r="U205" s="634" t="s">
        <v>1966</v>
      </c>
    </row>
    <row r="206" spans="8:21">
      <c r="I206" s="634" t="s">
        <v>1967</v>
      </c>
      <c r="J206" s="634" t="s">
        <v>594</v>
      </c>
      <c r="K206" s="634" t="str">
        <f t="shared" si="5"/>
        <v>Fort Lauderdale/Hollywood, FL</v>
      </c>
      <c r="L206" s="634" t="s">
        <v>1555</v>
      </c>
      <c r="M206" s="634">
        <v>26.07</v>
      </c>
      <c r="N206" s="634">
        <v>-80.150000000000006</v>
      </c>
      <c r="O206" s="634">
        <v>-5</v>
      </c>
      <c r="P206" s="634">
        <v>7</v>
      </c>
      <c r="T206" s="634" t="s">
        <v>249</v>
      </c>
      <c r="U206" s="634" t="s">
        <v>1968</v>
      </c>
    </row>
    <row r="207" spans="8:21">
      <c r="I207" s="634" t="s">
        <v>1969</v>
      </c>
      <c r="J207" s="634" t="s">
        <v>594</v>
      </c>
      <c r="K207" s="634" t="str">
        <f t="shared" si="5"/>
        <v>Fort Myers, FL</v>
      </c>
      <c r="L207" s="634" t="s">
        <v>1555</v>
      </c>
      <c r="M207" s="634">
        <v>26.58</v>
      </c>
      <c r="N207" s="634">
        <v>-81.87</v>
      </c>
      <c r="O207" s="634">
        <v>-5</v>
      </c>
      <c r="P207" s="634">
        <v>5</v>
      </c>
      <c r="T207" s="634" t="s">
        <v>249</v>
      </c>
      <c r="U207" s="634" t="s">
        <v>1970</v>
      </c>
    </row>
    <row r="208" spans="8:21">
      <c r="H208" s="634">
        <v>25218</v>
      </c>
      <c r="I208" s="634" t="s">
        <v>1971</v>
      </c>
      <c r="J208" s="634" t="s">
        <v>1551</v>
      </c>
      <c r="K208" s="634" t="str">
        <f t="shared" si="5"/>
        <v>Fort Nelson, BC</v>
      </c>
      <c r="L208" s="634" t="s">
        <v>1552</v>
      </c>
      <c r="M208" s="634">
        <v>58.83</v>
      </c>
      <c r="N208" s="634">
        <v>-122.58</v>
      </c>
      <c r="O208" s="634">
        <v>-8</v>
      </c>
      <c r="P208" s="634">
        <v>382</v>
      </c>
      <c r="T208" s="634" t="s">
        <v>249</v>
      </c>
      <c r="U208" s="634" t="s">
        <v>1972</v>
      </c>
    </row>
    <row r="209" spans="8:21">
      <c r="H209" s="634">
        <v>13964</v>
      </c>
      <c r="I209" s="634" t="s">
        <v>1973</v>
      </c>
      <c r="J209" s="634" t="s">
        <v>1176</v>
      </c>
      <c r="K209" s="634" t="str">
        <f t="shared" si="5"/>
        <v>Fort Smith, AR</v>
      </c>
      <c r="L209" s="634" t="s">
        <v>1555</v>
      </c>
      <c r="M209" s="634">
        <v>35.33</v>
      </c>
      <c r="N209" s="634">
        <v>-94.37</v>
      </c>
      <c r="O209" s="634">
        <v>-6</v>
      </c>
      <c r="P209" s="634">
        <v>141</v>
      </c>
      <c r="T209" s="634" t="s">
        <v>249</v>
      </c>
      <c r="U209" s="634" t="s">
        <v>1974</v>
      </c>
    </row>
    <row r="210" spans="8:21">
      <c r="H210" s="634">
        <v>26102</v>
      </c>
      <c r="I210" s="634" t="s">
        <v>1973</v>
      </c>
      <c r="J210" s="634" t="s">
        <v>1759</v>
      </c>
      <c r="K210" s="634" t="str">
        <f t="shared" si="5"/>
        <v>Fort Smith, NT</v>
      </c>
      <c r="L210" s="634" t="s">
        <v>1552</v>
      </c>
      <c r="M210" s="634">
        <v>60.02</v>
      </c>
      <c r="N210" s="634">
        <v>-111.95</v>
      </c>
      <c r="O210" s="634">
        <v>-7</v>
      </c>
      <c r="P210" s="634">
        <v>203</v>
      </c>
      <c r="T210" s="634" t="s">
        <v>249</v>
      </c>
      <c r="U210" s="634" t="s">
        <v>1975</v>
      </c>
    </row>
    <row r="211" spans="8:21">
      <c r="H211" s="634">
        <v>25231</v>
      </c>
      <c r="I211" s="634" t="s">
        <v>1976</v>
      </c>
      <c r="J211" s="634" t="s">
        <v>1551</v>
      </c>
      <c r="K211" s="634" t="str">
        <f t="shared" si="5"/>
        <v>Fort St John, BC</v>
      </c>
      <c r="L211" s="634" t="s">
        <v>1552</v>
      </c>
      <c r="M211" s="634">
        <v>56.23</v>
      </c>
      <c r="N211" s="634">
        <v>-120.73</v>
      </c>
      <c r="O211" s="634">
        <v>-8</v>
      </c>
      <c r="P211" s="634">
        <v>695</v>
      </c>
      <c r="T211" s="634" t="s">
        <v>249</v>
      </c>
      <c r="U211" s="634" t="s">
        <v>1977</v>
      </c>
    </row>
    <row r="212" spans="8:21">
      <c r="H212" s="634">
        <v>14827</v>
      </c>
      <c r="I212" s="634" t="s">
        <v>1978</v>
      </c>
      <c r="J212" s="634" t="s">
        <v>283</v>
      </c>
      <c r="K212" s="634" t="str">
        <f t="shared" si="5"/>
        <v>Fort Wayne, IN</v>
      </c>
      <c r="L212" s="634" t="s">
        <v>1555</v>
      </c>
      <c r="M212" s="634">
        <v>41</v>
      </c>
      <c r="N212" s="634">
        <v>-85.2</v>
      </c>
      <c r="O212" s="634">
        <v>-5</v>
      </c>
      <c r="P212" s="634">
        <v>252</v>
      </c>
      <c r="T212" s="634" t="s">
        <v>932</v>
      </c>
      <c r="U212" s="634" t="s">
        <v>1979</v>
      </c>
    </row>
    <row r="213" spans="8:21">
      <c r="I213" s="634" t="s">
        <v>1980</v>
      </c>
      <c r="J213" s="634" t="s">
        <v>228</v>
      </c>
      <c r="K213" s="634" t="str">
        <f t="shared" si="5"/>
        <v>Fort Worth/Carswell AFB, TX</v>
      </c>
      <c r="L213" s="634" t="s">
        <v>1555</v>
      </c>
      <c r="M213" s="634">
        <v>32.770000000000003</v>
      </c>
      <c r="N213" s="634">
        <v>-97.45</v>
      </c>
      <c r="O213" s="634">
        <v>-6</v>
      </c>
      <c r="P213" s="634">
        <v>198</v>
      </c>
      <c r="T213" s="634" t="s">
        <v>932</v>
      </c>
      <c r="U213" s="634" t="s">
        <v>1981</v>
      </c>
    </row>
    <row r="214" spans="8:21">
      <c r="H214" s="634">
        <v>3927</v>
      </c>
      <c r="I214" s="634" t="s">
        <v>1982</v>
      </c>
      <c r="J214" s="634" t="s">
        <v>228</v>
      </c>
      <c r="K214" s="634" t="str">
        <f t="shared" si="5"/>
        <v>Fort Worth/Meacham Field, TX</v>
      </c>
      <c r="L214" s="634" t="s">
        <v>1555</v>
      </c>
      <c r="M214" s="634">
        <v>32.82</v>
      </c>
      <c r="N214" s="634">
        <v>-97.37</v>
      </c>
      <c r="O214" s="634">
        <v>-6</v>
      </c>
      <c r="P214" s="634">
        <v>216</v>
      </c>
      <c r="T214" s="634" t="s">
        <v>932</v>
      </c>
      <c r="U214" s="634" t="s">
        <v>1983</v>
      </c>
    </row>
    <row r="215" spans="8:21">
      <c r="H215" s="634">
        <v>14670</v>
      </c>
      <c r="I215" s="634" t="s">
        <v>1984</v>
      </c>
      <c r="J215" s="634" t="s">
        <v>1784</v>
      </c>
      <c r="K215" s="634" t="str">
        <f t="shared" si="5"/>
        <v>Fredericton, NB</v>
      </c>
      <c r="L215" s="634" t="s">
        <v>1552</v>
      </c>
      <c r="M215" s="634">
        <v>45.87</v>
      </c>
      <c r="N215" s="634">
        <v>-66.53</v>
      </c>
      <c r="O215" s="634">
        <v>-4</v>
      </c>
      <c r="P215" s="634">
        <v>20</v>
      </c>
      <c r="T215" s="634" t="s">
        <v>932</v>
      </c>
      <c r="U215" s="634" t="s">
        <v>1985</v>
      </c>
    </row>
    <row r="216" spans="8:21">
      <c r="H216" s="634">
        <v>93193</v>
      </c>
      <c r="I216" s="634" t="s">
        <v>1986</v>
      </c>
      <c r="J216" s="634" t="s">
        <v>954</v>
      </c>
      <c r="K216" s="634" t="str">
        <f t="shared" si="5"/>
        <v>Fresno, CA</v>
      </c>
      <c r="L216" s="634" t="s">
        <v>1555</v>
      </c>
      <c r="M216" s="634">
        <v>36.770000000000003</v>
      </c>
      <c r="N216" s="634">
        <v>-119.72</v>
      </c>
      <c r="O216" s="634">
        <v>-8</v>
      </c>
      <c r="P216" s="634">
        <v>100</v>
      </c>
      <c r="T216" s="634" t="s">
        <v>932</v>
      </c>
      <c r="U216" s="634" t="s">
        <v>1987</v>
      </c>
    </row>
    <row r="217" spans="8:21">
      <c r="H217" s="634">
        <v>72455</v>
      </c>
      <c r="I217" s="634" t="s">
        <v>1988</v>
      </c>
      <c r="J217" s="634" t="s">
        <v>256</v>
      </c>
      <c r="K217" s="634" t="str">
        <f t="shared" si="5"/>
        <v>Ft Riley/Marshall AAF, KS</v>
      </c>
      <c r="L217" s="634" t="s">
        <v>1555</v>
      </c>
      <c r="M217" s="634">
        <v>39.049999999999997</v>
      </c>
      <c r="N217" s="634">
        <v>-96.77</v>
      </c>
      <c r="O217" s="634">
        <v>-6</v>
      </c>
      <c r="P217" s="634">
        <v>325</v>
      </c>
      <c r="T217" s="634" t="s">
        <v>932</v>
      </c>
      <c r="U217" s="634" t="s">
        <v>1989</v>
      </c>
    </row>
    <row r="218" spans="8:21">
      <c r="I218" s="634" t="s">
        <v>1990</v>
      </c>
      <c r="J218" s="634" t="s">
        <v>594</v>
      </c>
      <c r="K218" s="634" t="str">
        <f t="shared" si="5"/>
        <v>Gainesville, FL</v>
      </c>
      <c r="L218" s="634" t="s">
        <v>1555</v>
      </c>
      <c r="M218" s="634">
        <v>29.68</v>
      </c>
      <c r="N218" s="634">
        <v>-82.27</v>
      </c>
      <c r="O218" s="634">
        <v>-5</v>
      </c>
      <c r="P218" s="634">
        <v>46</v>
      </c>
      <c r="T218" s="634" t="s">
        <v>932</v>
      </c>
      <c r="U218" s="634" t="s">
        <v>1991</v>
      </c>
    </row>
    <row r="219" spans="8:21">
      <c r="H219" s="634">
        <v>70222</v>
      </c>
      <c r="I219" s="634" t="s">
        <v>1992</v>
      </c>
      <c r="J219" s="634" t="s">
        <v>953</v>
      </c>
      <c r="K219" s="634" t="str">
        <f t="shared" si="5"/>
        <v>Galena, AK</v>
      </c>
      <c r="L219" s="634" t="s">
        <v>1555</v>
      </c>
      <c r="M219" s="634">
        <v>64.73</v>
      </c>
      <c r="N219" s="634">
        <v>-156.93</v>
      </c>
      <c r="O219" s="634">
        <v>-9</v>
      </c>
      <c r="P219" s="634">
        <v>46</v>
      </c>
      <c r="T219" s="634" t="s">
        <v>932</v>
      </c>
      <c r="U219" s="634" t="s">
        <v>1993</v>
      </c>
    </row>
    <row r="220" spans="8:21">
      <c r="I220" s="634" t="s">
        <v>1994</v>
      </c>
      <c r="J220" s="634" t="s">
        <v>538</v>
      </c>
      <c r="K220" s="634" t="str">
        <f t="shared" si="5"/>
        <v>Gallup, NM</v>
      </c>
      <c r="L220" s="634" t="s">
        <v>1555</v>
      </c>
      <c r="M220" s="634">
        <v>35.520000000000003</v>
      </c>
      <c r="N220" s="634">
        <v>-108.78</v>
      </c>
      <c r="O220" s="634">
        <v>-7</v>
      </c>
      <c r="P220" s="634">
        <v>1972</v>
      </c>
      <c r="T220" s="634" t="s">
        <v>932</v>
      </c>
      <c r="U220" s="634" t="s">
        <v>1995</v>
      </c>
    </row>
    <row r="221" spans="8:21">
      <c r="H221" s="634">
        <v>14509</v>
      </c>
      <c r="I221" s="634" t="s">
        <v>1996</v>
      </c>
      <c r="J221" s="634" t="s">
        <v>1660</v>
      </c>
      <c r="K221" s="634" t="str">
        <f t="shared" si="5"/>
        <v>Gander Int'l, NF</v>
      </c>
      <c r="L221" s="634" t="s">
        <v>1552</v>
      </c>
      <c r="M221" s="634">
        <v>48.95</v>
      </c>
      <c r="N221" s="634">
        <v>-54.57</v>
      </c>
      <c r="O221" s="634">
        <v>-3.5</v>
      </c>
      <c r="P221" s="634">
        <v>151</v>
      </c>
      <c r="T221" s="634" t="s">
        <v>932</v>
      </c>
      <c r="U221" s="634" t="s">
        <v>1997</v>
      </c>
    </row>
    <row r="222" spans="8:21">
      <c r="I222" s="634" t="s">
        <v>1998</v>
      </c>
      <c r="J222" s="634" t="s">
        <v>256</v>
      </c>
      <c r="K222" s="634" t="str">
        <f t="shared" si="5"/>
        <v>Garden City, KS</v>
      </c>
      <c r="L222" s="634" t="s">
        <v>1555</v>
      </c>
      <c r="M222" s="634">
        <v>37.93</v>
      </c>
      <c r="N222" s="634">
        <v>-100.72</v>
      </c>
      <c r="O222" s="634">
        <v>-6</v>
      </c>
      <c r="P222" s="634">
        <v>881</v>
      </c>
      <c r="T222" s="634" t="s">
        <v>932</v>
      </c>
      <c r="U222" s="634" t="s">
        <v>1999</v>
      </c>
    </row>
    <row r="223" spans="8:21">
      <c r="H223" s="634">
        <v>99910</v>
      </c>
      <c r="I223" s="634" t="s">
        <v>2000</v>
      </c>
      <c r="J223" s="634" t="s">
        <v>1621</v>
      </c>
      <c r="K223" s="634" t="str">
        <f t="shared" si="5"/>
        <v>Geraldton, ON</v>
      </c>
      <c r="L223" s="634" t="s">
        <v>1552</v>
      </c>
      <c r="M223" s="634">
        <v>49.78</v>
      </c>
      <c r="N223" s="634">
        <v>-86.93</v>
      </c>
      <c r="O223" s="634">
        <v>-5</v>
      </c>
      <c r="P223" s="634">
        <v>351</v>
      </c>
      <c r="T223" s="634" t="s">
        <v>932</v>
      </c>
      <c r="U223" s="634" t="s">
        <v>2001</v>
      </c>
    </row>
    <row r="224" spans="8:21">
      <c r="H224" s="634" t="s">
        <v>2002</v>
      </c>
      <c r="I224" s="634" t="s">
        <v>2000</v>
      </c>
      <c r="J224" s="634" t="s">
        <v>1621</v>
      </c>
      <c r="K224" s="634" t="str">
        <f t="shared" si="5"/>
        <v>Geraldton, ON</v>
      </c>
      <c r="L224" s="634" t="s">
        <v>1552</v>
      </c>
      <c r="M224" s="634">
        <v>49.78</v>
      </c>
      <c r="N224" s="634">
        <v>-86.93</v>
      </c>
      <c r="O224" s="634">
        <v>-5</v>
      </c>
      <c r="P224" s="634">
        <v>351</v>
      </c>
      <c r="T224" s="634" t="s">
        <v>283</v>
      </c>
      <c r="U224" s="634" t="s">
        <v>2003</v>
      </c>
    </row>
    <row r="225" spans="8:21">
      <c r="I225" s="634" t="s">
        <v>2004</v>
      </c>
      <c r="J225" s="634" t="s">
        <v>904</v>
      </c>
      <c r="K225" s="634" t="str">
        <f t="shared" si="5"/>
        <v>Gillette, WY</v>
      </c>
      <c r="L225" s="634" t="s">
        <v>1555</v>
      </c>
      <c r="M225" s="634">
        <v>44.35</v>
      </c>
      <c r="N225" s="634">
        <v>-105.53</v>
      </c>
      <c r="O225" s="634">
        <v>-7</v>
      </c>
      <c r="P225" s="634">
        <v>1230</v>
      </c>
      <c r="T225" s="634" t="s">
        <v>283</v>
      </c>
      <c r="U225" s="634" t="s">
        <v>2005</v>
      </c>
    </row>
    <row r="226" spans="8:21">
      <c r="H226" s="634">
        <v>94008</v>
      </c>
      <c r="I226" s="634" t="s">
        <v>2006</v>
      </c>
      <c r="J226" s="634" t="s">
        <v>1108</v>
      </c>
      <c r="K226" s="634" t="str">
        <f t="shared" si="5"/>
        <v>Glasgow, MT</v>
      </c>
      <c r="L226" s="634" t="s">
        <v>1555</v>
      </c>
      <c r="M226" s="634">
        <v>48.22</v>
      </c>
      <c r="N226" s="634">
        <v>-106.62</v>
      </c>
      <c r="O226" s="634">
        <v>-7</v>
      </c>
      <c r="P226" s="634">
        <v>700</v>
      </c>
      <c r="T226" s="634" t="s">
        <v>283</v>
      </c>
      <c r="U226" s="634" t="s">
        <v>2007</v>
      </c>
    </row>
    <row r="227" spans="8:21">
      <c r="H227" s="634">
        <v>93721</v>
      </c>
      <c r="I227" s="634" t="s">
        <v>2008</v>
      </c>
      <c r="J227" s="634" t="s">
        <v>590</v>
      </c>
      <c r="K227" s="634" t="str">
        <f t="shared" si="5"/>
        <v>Glen Burnie/Baltimore/BWI Airp, MD</v>
      </c>
      <c r="L227" s="634" t="s">
        <v>1555</v>
      </c>
      <c r="M227" s="634">
        <v>39.18</v>
      </c>
      <c r="N227" s="634">
        <v>-76.67</v>
      </c>
      <c r="O227" s="634">
        <v>-5</v>
      </c>
      <c r="P227" s="634">
        <v>47</v>
      </c>
      <c r="T227" s="634" t="s">
        <v>283</v>
      </c>
      <c r="U227" s="634" t="s">
        <v>2009</v>
      </c>
    </row>
    <row r="228" spans="8:21">
      <c r="I228" s="634" t="s">
        <v>2010</v>
      </c>
      <c r="J228" s="634" t="s">
        <v>537</v>
      </c>
      <c r="K228" s="634" t="str">
        <f t="shared" si="5"/>
        <v>Glens Falls, NY</v>
      </c>
      <c r="L228" s="634" t="s">
        <v>1555</v>
      </c>
      <c r="M228" s="634">
        <v>43.33</v>
      </c>
      <c r="N228" s="634">
        <v>-73.62</v>
      </c>
      <c r="O228" s="634">
        <v>-5</v>
      </c>
      <c r="P228" s="634">
        <v>100</v>
      </c>
      <c r="T228" s="634" t="s">
        <v>283</v>
      </c>
      <c r="U228" s="634" t="s">
        <v>2011</v>
      </c>
    </row>
    <row r="229" spans="8:21">
      <c r="I229" s="634" t="s">
        <v>2012</v>
      </c>
      <c r="J229" s="634" t="s">
        <v>932</v>
      </c>
      <c r="K229" s="634" t="str">
        <f t="shared" si="5"/>
        <v>Glenview/NAS, IL</v>
      </c>
      <c r="L229" s="634" t="s">
        <v>1555</v>
      </c>
      <c r="M229" s="634">
        <v>42.08</v>
      </c>
      <c r="N229" s="634">
        <v>-87.82</v>
      </c>
      <c r="O229" s="634">
        <v>-6</v>
      </c>
      <c r="P229" s="634">
        <v>199</v>
      </c>
      <c r="T229" s="634" t="s">
        <v>283</v>
      </c>
      <c r="U229" s="634" t="s">
        <v>2013</v>
      </c>
    </row>
    <row r="230" spans="8:21">
      <c r="I230" s="634" t="s">
        <v>2014</v>
      </c>
      <c r="J230" s="634" t="s">
        <v>426</v>
      </c>
      <c r="K230" s="634" t="str">
        <f t="shared" si="5"/>
        <v>Goldsboro/Seymour Johnson AFB, NC</v>
      </c>
      <c r="L230" s="634" t="s">
        <v>1555</v>
      </c>
      <c r="M230" s="634">
        <v>35.33</v>
      </c>
      <c r="N230" s="634">
        <v>-77.97</v>
      </c>
      <c r="O230" s="634">
        <v>-5</v>
      </c>
      <c r="P230" s="634">
        <v>33</v>
      </c>
      <c r="T230" s="634" t="s">
        <v>283</v>
      </c>
      <c r="U230" s="634" t="s">
        <v>2015</v>
      </c>
    </row>
    <row r="231" spans="8:21">
      <c r="H231" s="634">
        <v>23065</v>
      </c>
      <c r="I231" s="634" t="s">
        <v>2016</v>
      </c>
      <c r="J231" s="634" t="s">
        <v>256</v>
      </c>
      <c r="K231" s="634" t="str">
        <f t="shared" si="5"/>
        <v>Goodland, KS</v>
      </c>
      <c r="L231" s="634" t="s">
        <v>1555</v>
      </c>
      <c r="M231" s="634">
        <v>39.369999999999997</v>
      </c>
      <c r="N231" s="634">
        <v>-101.7</v>
      </c>
      <c r="O231" s="634">
        <v>-6</v>
      </c>
      <c r="P231" s="634">
        <v>1124</v>
      </c>
      <c r="T231" s="634" t="s">
        <v>256</v>
      </c>
      <c r="U231" s="634" t="s">
        <v>2017</v>
      </c>
    </row>
    <row r="232" spans="8:21">
      <c r="H232" s="634">
        <v>15601</v>
      </c>
      <c r="I232" s="634" t="s">
        <v>2018</v>
      </c>
      <c r="J232" s="634" t="s">
        <v>1660</v>
      </c>
      <c r="K232" s="634" t="str">
        <f t="shared" si="5"/>
        <v>Goose, NF</v>
      </c>
      <c r="L232" s="634" t="s">
        <v>1552</v>
      </c>
      <c r="M232" s="634">
        <v>53.32</v>
      </c>
      <c r="N232" s="634">
        <v>-60.37</v>
      </c>
      <c r="O232" s="634">
        <v>-3.5</v>
      </c>
      <c r="P232" s="634">
        <v>49</v>
      </c>
      <c r="T232" s="634" t="s">
        <v>256</v>
      </c>
      <c r="U232" s="634" t="s">
        <v>2019</v>
      </c>
    </row>
    <row r="233" spans="8:21">
      <c r="H233" s="634">
        <v>15601</v>
      </c>
      <c r="I233" s="634" t="s">
        <v>2020</v>
      </c>
      <c r="J233" s="634" t="s">
        <v>1621</v>
      </c>
      <c r="K233" s="634" t="str">
        <f t="shared" si="5"/>
        <v>Gore Bay, ON</v>
      </c>
      <c r="L233" s="634" t="s">
        <v>1552</v>
      </c>
      <c r="M233" s="634">
        <v>45.88</v>
      </c>
      <c r="N233" s="634">
        <v>-82.57</v>
      </c>
      <c r="O233" s="634">
        <v>-5</v>
      </c>
      <c r="P233" s="634">
        <v>193</v>
      </c>
      <c r="T233" s="634" t="s">
        <v>256</v>
      </c>
      <c r="U233" s="634" t="s">
        <v>2021</v>
      </c>
    </row>
    <row r="234" spans="8:21">
      <c r="I234" s="634" t="s">
        <v>2022</v>
      </c>
      <c r="J234" s="634" t="s">
        <v>248</v>
      </c>
      <c r="K234" s="634" t="str">
        <f t="shared" si="5"/>
        <v>Grand Forks/AFB, ND</v>
      </c>
      <c r="L234" s="634" t="s">
        <v>1555</v>
      </c>
      <c r="M234" s="634">
        <v>47.97</v>
      </c>
      <c r="N234" s="634">
        <v>-97.4</v>
      </c>
      <c r="O234" s="634">
        <v>-6</v>
      </c>
      <c r="P234" s="634">
        <v>278</v>
      </c>
      <c r="T234" s="634" t="s">
        <v>256</v>
      </c>
      <c r="U234" s="634" t="s">
        <v>2023</v>
      </c>
    </row>
    <row r="235" spans="8:21">
      <c r="H235" s="634">
        <v>14935</v>
      </c>
      <c r="I235" s="634" t="s">
        <v>2024</v>
      </c>
      <c r="J235" s="634" t="s">
        <v>771</v>
      </c>
      <c r="K235" s="634" t="str">
        <f t="shared" si="5"/>
        <v>Grand Island, NE</v>
      </c>
      <c r="L235" s="634" t="s">
        <v>1555</v>
      </c>
      <c r="M235" s="634">
        <v>40.97</v>
      </c>
      <c r="N235" s="634">
        <v>-98.32</v>
      </c>
      <c r="O235" s="634">
        <v>-6</v>
      </c>
      <c r="P235" s="634">
        <v>566</v>
      </c>
      <c r="T235" s="634" t="s">
        <v>256</v>
      </c>
      <c r="U235" s="634" t="s">
        <v>2025</v>
      </c>
    </row>
    <row r="236" spans="8:21">
      <c r="H236" s="634">
        <v>23066</v>
      </c>
      <c r="I236" s="634" t="s">
        <v>2026</v>
      </c>
      <c r="J236" s="634" t="s">
        <v>536</v>
      </c>
      <c r="K236" s="634" t="str">
        <f t="shared" si="5"/>
        <v>Grand Junction, CO</v>
      </c>
      <c r="L236" s="634" t="s">
        <v>1555</v>
      </c>
      <c r="M236" s="634">
        <v>39.119999999999997</v>
      </c>
      <c r="N236" s="634">
        <v>-108.53</v>
      </c>
      <c r="O236" s="634">
        <v>-7</v>
      </c>
      <c r="P236" s="634">
        <v>1475</v>
      </c>
      <c r="T236" s="634" t="s">
        <v>256</v>
      </c>
      <c r="U236" s="634" t="s">
        <v>2027</v>
      </c>
    </row>
    <row r="237" spans="8:21">
      <c r="H237" s="634">
        <v>94860</v>
      </c>
      <c r="I237" s="634" t="s">
        <v>2028</v>
      </c>
      <c r="J237" s="634" t="s">
        <v>540</v>
      </c>
      <c r="K237" s="634" t="str">
        <f t="shared" si="5"/>
        <v>Grand Rapids, MI</v>
      </c>
      <c r="L237" s="634" t="s">
        <v>1555</v>
      </c>
      <c r="M237" s="634">
        <v>42.88</v>
      </c>
      <c r="N237" s="634">
        <v>-85.52</v>
      </c>
      <c r="O237" s="634">
        <v>-5</v>
      </c>
      <c r="P237" s="634">
        <v>245</v>
      </c>
      <c r="T237" s="634" t="s">
        <v>256</v>
      </c>
      <c r="U237" s="634" t="s">
        <v>2029</v>
      </c>
    </row>
    <row r="238" spans="8:21">
      <c r="H238" s="634">
        <v>24143</v>
      </c>
      <c r="I238" s="634" t="s">
        <v>2030</v>
      </c>
      <c r="J238" s="634" t="s">
        <v>1108</v>
      </c>
      <c r="K238" s="634" t="str">
        <f t="shared" si="5"/>
        <v>Great Falls/Int'l Airport, MT</v>
      </c>
      <c r="L238" s="634" t="s">
        <v>1555</v>
      </c>
      <c r="M238" s="634">
        <v>47.48</v>
      </c>
      <c r="N238" s="634">
        <v>-111.37</v>
      </c>
      <c r="O238" s="634">
        <v>-7</v>
      </c>
      <c r="P238" s="634">
        <v>1115</v>
      </c>
      <c r="T238" s="634" t="s">
        <v>256</v>
      </c>
      <c r="U238" s="634" t="s">
        <v>2031</v>
      </c>
    </row>
    <row r="239" spans="8:21">
      <c r="H239" s="634">
        <v>24143</v>
      </c>
      <c r="I239" s="634" t="s">
        <v>2032</v>
      </c>
      <c r="J239" s="634" t="s">
        <v>1108</v>
      </c>
      <c r="K239" s="634" t="str">
        <f t="shared" si="5"/>
        <v>Great Falls/Malmstrom AFB, MT</v>
      </c>
      <c r="L239" s="634" t="s">
        <v>1555</v>
      </c>
      <c r="M239" s="634">
        <v>47.5</v>
      </c>
      <c r="N239" s="634">
        <v>-111.18</v>
      </c>
      <c r="O239" s="634">
        <v>-7</v>
      </c>
      <c r="P239" s="634">
        <v>1075</v>
      </c>
      <c r="T239" s="634" t="s">
        <v>256</v>
      </c>
      <c r="U239" s="634" t="s">
        <v>2033</v>
      </c>
    </row>
    <row r="240" spans="8:21">
      <c r="H240" s="634">
        <v>14898</v>
      </c>
      <c r="I240" s="634" t="s">
        <v>2034</v>
      </c>
      <c r="J240" s="634" t="s">
        <v>1278</v>
      </c>
      <c r="K240" s="634" t="str">
        <f t="shared" si="5"/>
        <v>Green Bay, WI</v>
      </c>
      <c r="L240" s="634" t="s">
        <v>1555</v>
      </c>
      <c r="M240" s="634">
        <v>44.48</v>
      </c>
      <c r="N240" s="634">
        <v>-88.13</v>
      </c>
      <c r="O240" s="634">
        <v>-6</v>
      </c>
      <c r="P240" s="634">
        <v>214</v>
      </c>
      <c r="T240" s="634" t="s">
        <v>256</v>
      </c>
      <c r="U240" s="634" t="s">
        <v>2035</v>
      </c>
    </row>
    <row r="241" spans="8:21">
      <c r="H241" s="634">
        <v>13723</v>
      </c>
      <c r="I241" s="634" t="s">
        <v>2036</v>
      </c>
      <c r="J241" s="634" t="s">
        <v>426</v>
      </c>
      <c r="K241" s="634" t="str">
        <f t="shared" si="5"/>
        <v>Greensboro, NC</v>
      </c>
      <c r="L241" s="634" t="s">
        <v>1555</v>
      </c>
      <c r="M241" s="634">
        <v>36.08</v>
      </c>
      <c r="N241" s="634">
        <v>-79.95</v>
      </c>
      <c r="O241" s="634">
        <v>-5</v>
      </c>
      <c r="P241" s="634">
        <v>270</v>
      </c>
      <c r="T241" s="634" t="s">
        <v>1107</v>
      </c>
      <c r="U241" s="634" t="s">
        <v>2037</v>
      </c>
    </row>
    <row r="242" spans="8:21">
      <c r="I242" s="634" t="s">
        <v>2038</v>
      </c>
      <c r="J242" s="634" t="s">
        <v>460</v>
      </c>
      <c r="K242" s="634" t="str">
        <f t="shared" si="5"/>
        <v>Greenwood, MS</v>
      </c>
      <c r="L242" s="634" t="s">
        <v>1555</v>
      </c>
      <c r="M242" s="634">
        <v>33.5</v>
      </c>
      <c r="N242" s="634">
        <v>-90.08</v>
      </c>
      <c r="O242" s="634">
        <v>-6</v>
      </c>
      <c r="P242" s="634">
        <v>47</v>
      </c>
      <c r="T242" s="634" t="s">
        <v>1107</v>
      </c>
      <c r="U242" s="634" t="s">
        <v>2039</v>
      </c>
    </row>
    <row r="243" spans="8:21">
      <c r="H243" s="634">
        <v>14636</v>
      </c>
      <c r="I243" s="634" t="s">
        <v>2038</v>
      </c>
      <c r="J243" s="634" t="s">
        <v>2040</v>
      </c>
      <c r="K243" s="634" t="str">
        <f t="shared" si="5"/>
        <v>Greenwood, NS</v>
      </c>
      <c r="L243" s="634" t="s">
        <v>1552</v>
      </c>
      <c r="M243" s="634">
        <v>44.98</v>
      </c>
      <c r="N243" s="634">
        <v>-64.92</v>
      </c>
      <c r="O243" s="634">
        <v>-4</v>
      </c>
      <c r="P243" s="634">
        <v>28</v>
      </c>
      <c r="T243" s="634" t="s">
        <v>1107</v>
      </c>
      <c r="U243" s="634" t="s">
        <v>2041</v>
      </c>
    </row>
    <row r="244" spans="8:21">
      <c r="H244" s="634">
        <v>25115</v>
      </c>
      <c r="I244" s="634" t="s">
        <v>2038</v>
      </c>
      <c r="J244" s="634" t="s">
        <v>2040</v>
      </c>
      <c r="K244" s="634" t="str">
        <f t="shared" si="5"/>
        <v>Greenwood, NS</v>
      </c>
      <c r="L244" s="634" t="s">
        <v>1552</v>
      </c>
      <c r="M244" s="634">
        <v>44.98</v>
      </c>
      <c r="N244" s="634">
        <v>-64.92</v>
      </c>
      <c r="O244" s="634">
        <v>-4</v>
      </c>
      <c r="P244" s="634">
        <v>28</v>
      </c>
      <c r="T244" s="634" t="s">
        <v>1107</v>
      </c>
      <c r="U244" s="634" t="s">
        <v>2042</v>
      </c>
    </row>
    <row r="245" spans="8:21">
      <c r="H245" s="634">
        <v>3870</v>
      </c>
      <c r="I245" s="634" t="s">
        <v>2043</v>
      </c>
      <c r="J245" s="634" t="s">
        <v>512</v>
      </c>
      <c r="K245" s="634" t="str">
        <f t="shared" si="5"/>
        <v>Greer/Greenville, SC</v>
      </c>
      <c r="L245" s="634" t="s">
        <v>1555</v>
      </c>
      <c r="M245" s="634">
        <v>34.9</v>
      </c>
      <c r="N245" s="634">
        <v>-82.22</v>
      </c>
      <c r="O245" s="634">
        <v>-5</v>
      </c>
      <c r="P245" s="634">
        <v>296</v>
      </c>
      <c r="T245" s="634" t="s">
        <v>1107</v>
      </c>
      <c r="U245" s="634" t="s">
        <v>2044</v>
      </c>
    </row>
    <row r="246" spans="8:21">
      <c r="H246" s="634" t="s">
        <v>2045</v>
      </c>
      <c r="I246" s="634" t="s">
        <v>2046</v>
      </c>
      <c r="J246" s="634" t="s">
        <v>1641</v>
      </c>
      <c r="K246" s="634" t="str">
        <f t="shared" si="5"/>
        <v>Grindstone Island, PQ</v>
      </c>
      <c r="L246" s="634" t="s">
        <v>1552</v>
      </c>
      <c r="M246" s="634">
        <v>47.38</v>
      </c>
      <c r="N246" s="634">
        <v>-61.87</v>
      </c>
      <c r="O246" s="634">
        <v>-5</v>
      </c>
      <c r="P246" s="634">
        <v>59</v>
      </c>
      <c r="T246" s="634" t="s">
        <v>1107</v>
      </c>
      <c r="U246" s="634" t="s">
        <v>2047</v>
      </c>
    </row>
    <row r="247" spans="8:21">
      <c r="I247" s="634" t="s">
        <v>2048</v>
      </c>
      <c r="J247" s="634" t="s">
        <v>228</v>
      </c>
      <c r="K247" s="634" t="str">
        <f t="shared" si="5"/>
        <v>Guadalupe Pass, TX</v>
      </c>
      <c r="L247" s="634" t="s">
        <v>1555</v>
      </c>
      <c r="M247" s="634">
        <v>31.83</v>
      </c>
      <c r="N247" s="634">
        <v>-104.8</v>
      </c>
      <c r="O247" s="634">
        <v>-6</v>
      </c>
      <c r="P247" s="634">
        <v>1662</v>
      </c>
      <c r="T247" s="634" t="s">
        <v>1107</v>
      </c>
      <c r="U247" s="634" t="s">
        <v>2049</v>
      </c>
    </row>
    <row r="248" spans="8:21">
      <c r="H248" s="634">
        <v>26425</v>
      </c>
      <c r="I248" s="634" t="s">
        <v>1180</v>
      </c>
      <c r="J248" s="634" t="s">
        <v>953</v>
      </c>
      <c r="K248" s="634" t="str">
        <f t="shared" si="5"/>
        <v>Gulkana, AK</v>
      </c>
      <c r="L248" s="634" t="s">
        <v>1555</v>
      </c>
      <c r="M248" s="634">
        <v>62.15</v>
      </c>
      <c r="N248" s="634">
        <v>-145.44999999999999</v>
      </c>
      <c r="O248" s="634">
        <v>-9</v>
      </c>
      <c r="P248" s="634">
        <v>481</v>
      </c>
      <c r="T248" s="634" t="s">
        <v>1107</v>
      </c>
      <c r="U248" s="634" t="s">
        <v>2050</v>
      </c>
    </row>
    <row r="249" spans="8:21">
      <c r="H249" s="634">
        <v>99913</v>
      </c>
      <c r="I249" s="634" t="s">
        <v>2051</v>
      </c>
      <c r="J249" s="634" t="s">
        <v>2040</v>
      </c>
      <c r="K249" s="634" t="str">
        <f t="shared" si="5"/>
        <v>Halifax Int'l, NS</v>
      </c>
      <c r="L249" s="634" t="s">
        <v>1552</v>
      </c>
      <c r="M249" s="634">
        <v>44.88</v>
      </c>
      <c r="N249" s="634">
        <v>-63.5</v>
      </c>
      <c r="O249" s="634">
        <v>-4</v>
      </c>
      <c r="P249" s="634">
        <v>145</v>
      </c>
      <c r="T249" s="634" t="s">
        <v>591</v>
      </c>
      <c r="U249" s="634" t="s">
        <v>2052</v>
      </c>
    </row>
    <row r="250" spans="8:21">
      <c r="H250" s="634">
        <v>14673</v>
      </c>
      <c r="I250" s="634" t="s">
        <v>2053</v>
      </c>
      <c r="J250" s="634" t="s">
        <v>1645</v>
      </c>
      <c r="K250" s="634" t="str">
        <f t="shared" si="5"/>
        <v>Hall Beach, NU</v>
      </c>
      <c r="L250" s="634" t="s">
        <v>1552</v>
      </c>
      <c r="M250" s="634">
        <v>68.78</v>
      </c>
      <c r="N250" s="634">
        <v>-81.25</v>
      </c>
      <c r="O250" s="634">
        <v>-5</v>
      </c>
      <c r="P250" s="634">
        <v>8</v>
      </c>
      <c r="T250" s="634" t="s">
        <v>591</v>
      </c>
      <c r="U250" s="634" t="s">
        <v>2054</v>
      </c>
    </row>
    <row r="251" spans="8:21">
      <c r="H251" s="634">
        <v>16895</v>
      </c>
      <c r="I251" s="634" t="s">
        <v>2053</v>
      </c>
      <c r="J251" s="634" t="s">
        <v>1645</v>
      </c>
      <c r="K251" s="634" t="str">
        <f t="shared" si="5"/>
        <v>Hall Beach, NU</v>
      </c>
      <c r="L251" s="634" t="s">
        <v>1552</v>
      </c>
      <c r="M251" s="634">
        <v>68.78</v>
      </c>
      <c r="N251" s="634">
        <v>-81.25</v>
      </c>
      <c r="O251" s="634">
        <v>-5</v>
      </c>
      <c r="P251" s="634">
        <v>8</v>
      </c>
      <c r="T251" s="634" t="s">
        <v>591</v>
      </c>
      <c r="U251" s="634" t="s">
        <v>2055</v>
      </c>
    </row>
    <row r="252" spans="8:21">
      <c r="H252" s="634">
        <v>4797</v>
      </c>
      <c r="I252" s="634" t="s">
        <v>2056</v>
      </c>
      <c r="J252" s="634" t="s">
        <v>1621</v>
      </c>
      <c r="K252" s="634" t="str">
        <f t="shared" si="5"/>
        <v>Hamilton, ON</v>
      </c>
      <c r="L252" s="634" t="s">
        <v>1552</v>
      </c>
      <c r="M252" s="634">
        <v>43.2</v>
      </c>
      <c r="N252" s="634">
        <v>-79.900000000000006</v>
      </c>
      <c r="O252" s="634">
        <v>-5</v>
      </c>
      <c r="P252" s="634">
        <v>255</v>
      </c>
      <c r="T252" s="634" t="s">
        <v>591</v>
      </c>
      <c r="U252" s="634" t="s">
        <v>2057</v>
      </c>
    </row>
    <row r="253" spans="8:21">
      <c r="I253" s="634" t="s">
        <v>2058</v>
      </c>
      <c r="J253" s="634" t="s">
        <v>501</v>
      </c>
      <c r="K253" s="634" t="str">
        <f t="shared" si="5"/>
        <v>Hampton/Langley AFB, VA</v>
      </c>
      <c r="L253" s="634" t="s">
        <v>1555</v>
      </c>
      <c r="M253" s="634">
        <v>37.08</v>
      </c>
      <c r="N253" s="634">
        <v>-76.37</v>
      </c>
      <c r="O253" s="634">
        <v>-5</v>
      </c>
      <c r="P253" s="634">
        <v>3</v>
      </c>
      <c r="T253" s="634" t="s">
        <v>591</v>
      </c>
      <c r="U253" s="634" t="s">
        <v>2059</v>
      </c>
    </row>
    <row r="254" spans="8:21">
      <c r="H254" s="634">
        <v>94814</v>
      </c>
      <c r="I254" s="634" t="s">
        <v>2060</v>
      </c>
      <c r="J254" s="634" t="s">
        <v>540</v>
      </c>
      <c r="K254" s="634" t="str">
        <f t="shared" si="5"/>
        <v>Hancock, MI</v>
      </c>
      <c r="L254" s="634" t="s">
        <v>1555</v>
      </c>
      <c r="M254" s="634">
        <v>47.17</v>
      </c>
      <c r="N254" s="634">
        <v>-88.5</v>
      </c>
      <c r="O254" s="634">
        <v>-5</v>
      </c>
      <c r="P254" s="634">
        <v>329</v>
      </c>
      <c r="T254" s="634" t="s">
        <v>591</v>
      </c>
      <c r="U254" s="634" t="s">
        <v>2061</v>
      </c>
    </row>
    <row r="255" spans="8:21">
      <c r="I255" s="634" t="s">
        <v>117</v>
      </c>
      <c r="J255" s="634" t="s">
        <v>238</v>
      </c>
      <c r="K255" s="634" t="str">
        <f t="shared" si="5"/>
        <v>Hanford, WA</v>
      </c>
      <c r="L255" s="634" t="s">
        <v>1555</v>
      </c>
      <c r="M255" s="634">
        <v>46.57</v>
      </c>
      <c r="N255" s="634">
        <v>-119.6</v>
      </c>
      <c r="O255" s="634">
        <v>-8</v>
      </c>
      <c r="P255" s="634">
        <v>223</v>
      </c>
      <c r="T255" s="634" t="s">
        <v>591</v>
      </c>
      <c r="U255" s="634" t="s">
        <v>2062</v>
      </c>
    </row>
    <row r="256" spans="8:21">
      <c r="I256" s="634" t="s">
        <v>2063</v>
      </c>
      <c r="J256" s="634" t="s">
        <v>540</v>
      </c>
      <c r="K256" s="634" t="str">
        <f t="shared" si="5"/>
        <v>Harbor Beach, MI</v>
      </c>
      <c r="L256" s="634" t="s">
        <v>1555</v>
      </c>
      <c r="M256" s="634">
        <v>44.02</v>
      </c>
      <c r="N256" s="634">
        <v>-82.8</v>
      </c>
      <c r="O256" s="634">
        <v>-5</v>
      </c>
      <c r="P256" s="634">
        <v>183</v>
      </c>
      <c r="T256" s="634" t="s">
        <v>591</v>
      </c>
      <c r="U256" s="634" t="s">
        <v>2064</v>
      </c>
    </row>
    <row r="257" spans="8:21">
      <c r="H257" s="634">
        <v>14751</v>
      </c>
      <c r="I257" s="634" t="s">
        <v>2065</v>
      </c>
      <c r="J257" s="634" t="s">
        <v>539</v>
      </c>
      <c r="K257" s="634" t="str">
        <f t="shared" si="5"/>
        <v>Harrisburg, PA</v>
      </c>
      <c r="L257" s="634" t="s">
        <v>1555</v>
      </c>
      <c r="M257" s="634">
        <v>40.200000000000003</v>
      </c>
      <c r="N257" s="634">
        <v>-76.77</v>
      </c>
      <c r="O257" s="634">
        <v>-5</v>
      </c>
      <c r="P257" s="634">
        <v>94</v>
      </c>
      <c r="T257" s="634" t="s">
        <v>591</v>
      </c>
      <c r="U257" s="634" t="s">
        <v>2066</v>
      </c>
    </row>
    <row r="258" spans="8:21">
      <c r="H258" s="634">
        <v>14740</v>
      </c>
      <c r="I258" s="634" t="s">
        <v>2067</v>
      </c>
      <c r="J258" s="634" t="s">
        <v>620</v>
      </c>
      <c r="K258" s="634" t="str">
        <f t="shared" ref="K258:K321" si="6">CONCATENATE(I258,", ",J258)</f>
        <v>Hartford/Brainard Field, CT</v>
      </c>
      <c r="L258" s="634" t="s">
        <v>1555</v>
      </c>
      <c r="M258" s="634">
        <v>41.73</v>
      </c>
      <c r="N258" s="634">
        <v>-72.650000000000006</v>
      </c>
      <c r="O258" s="634">
        <v>-5</v>
      </c>
      <c r="P258" s="634">
        <v>6</v>
      </c>
      <c r="T258" s="634" t="s">
        <v>591</v>
      </c>
      <c r="U258" s="634" t="s">
        <v>2068</v>
      </c>
    </row>
    <row r="259" spans="8:21">
      <c r="I259" s="634" t="s">
        <v>2069</v>
      </c>
      <c r="J259" s="634" t="s">
        <v>1108</v>
      </c>
      <c r="K259" s="634" t="str">
        <f t="shared" si="6"/>
        <v>Havre, MT</v>
      </c>
      <c r="L259" s="634" t="s">
        <v>1555</v>
      </c>
      <c r="M259" s="634">
        <v>48.55</v>
      </c>
      <c r="N259" s="634">
        <v>-109.77</v>
      </c>
      <c r="O259" s="634">
        <v>-7</v>
      </c>
      <c r="P259" s="634">
        <v>792</v>
      </c>
      <c r="T259" s="634" t="s">
        <v>250</v>
      </c>
      <c r="U259" s="634" t="s">
        <v>2070</v>
      </c>
    </row>
    <row r="260" spans="8:21">
      <c r="H260" s="634">
        <v>24144</v>
      </c>
      <c r="I260" s="634" t="s">
        <v>2071</v>
      </c>
      <c r="J260" s="634" t="s">
        <v>1108</v>
      </c>
      <c r="K260" s="634" t="str">
        <f t="shared" si="6"/>
        <v>Helena, MT</v>
      </c>
      <c r="L260" s="634" t="s">
        <v>1555</v>
      </c>
      <c r="M260" s="634">
        <v>46.6</v>
      </c>
      <c r="N260" s="634">
        <v>-112</v>
      </c>
      <c r="O260" s="634">
        <v>-7</v>
      </c>
      <c r="P260" s="634">
        <v>1188</v>
      </c>
      <c r="T260" s="634" t="s">
        <v>250</v>
      </c>
      <c r="U260" s="634" t="s">
        <v>2070</v>
      </c>
    </row>
    <row r="261" spans="8:21">
      <c r="I261" s="634" t="s">
        <v>2072</v>
      </c>
      <c r="J261" s="634" t="s">
        <v>934</v>
      </c>
      <c r="K261" s="634" t="str">
        <f t="shared" si="6"/>
        <v>Hibbing, MN</v>
      </c>
      <c r="L261" s="634" t="s">
        <v>1555</v>
      </c>
      <c r="M261" s="634">
        <v>47.38</v>
      </c>
      <c r="N261" s="634">
        <v>-92.83</v>
      </c>
      <c r="O261" s="634">
        <v>-6</v>
      </c>
      <c r="P261" s="634">
        <v>412</v>
      </c>
      <c r="T261" s="634" t="s">
        <v>250</v>
      </c>
      <c r="U261" s="634" t="s">
        <v>2073</v>
      </c>
    </row>
    <row r="262" spans="8:21">
      <c r="I262" s="634" t="s">
        <v>2074</v>
      </c>
      <c r="J262" s="634" t="s">
        <v>426</v>
      </c>
      <c r="K262" s="634" t="str">
        <f t="shared" si="6"/>
        <v>Hickory, NC</v>
      </c>
      <c r="L262" s="634" t="s">
        <v>1555</v>
      </c>
      <c r="M262" s="634">
        <v>35.729999999999997</v>
      </c>
      <c r="N262" s="634">
        <v>-81.38</v>
      </c>
      <c r="O262" s="634">
        <v>-5</v>
      </c>
      <c r="P262" s="634">
        <v>362</v>
      </c>
      <c r="T262" s="634" t="s">
        <v>250</v>
      </c>
      <c r="U262" s="634" t="s">
        <v>2075</v>
      </c>
    </row>
    <row r="263" spans="8:21">
      <c r="I263" s="634" t="s">
        <v>2076</v>
      </c>
      <c r="J263" s="634" t="s">
        <v>427</v>
      </c>
      <c r="K263" s="634" t="str">
        <f t="shared" si="6"/>
        <v>Hillsboro, OR</v>
      </c>
      <c r="L263" s="634" t="s">
        <v>1555</v>
      </c>
      <c r="M263" s="634">
        <v>45.53</v>
      </c>
      <c r="N263" s="634">
        <v>-122.95</v>
      </c>
      <c r="O263" s="634">
        <v>-8</v>
      </c>
      <c r="P263" s="634">
        <v>62</v>
      </c>
      <c r="T263" s="634" t="s">
        <v>250</v>
      </c>
      <c r="U263" s="634" t="s">
        <v>2077</v>
      </c>
    </row>
    <row r="264" spans="8:21">
      <c r="H264" s="634">
        <v>21504</v>
      </c>
      <c r="I264" s="634" t="s">
        <v>2078</v>
      </c>
      <c r="J264" s="634" t="s">
        <v>122</v>
      </c>
      <c r="K264" s="634" t="str">
        <f t="shared" si="6"/>
        <v>Hilo, HI</v>
      </c>
      <c r="L264" s="634" t="s">
        <v>1555</v>
      </c>
      <c r="M264" s="634">
        <v>19.72</v>
      </c>
      <c r="N264" s="634">
        <v>-155.07</v>
      </c>
      <c r="O264" s="634">
        <v>-10</v>
      </c>
      <c r="P264" s="634">
        <v>11</v>
      </c>
      <c r="T264" s="634" t="s">
        <v>1722</v>
      </c>
      <c r="U264" s="634" t="s">
        <v>2079</v>
      </c>
    </row>
    <row r="265" spans="8:21">
      <c r="H265" s="634">
        <v>25507</v>
      </c>
      <c r="I265" s="634" t="s">
        <v>2080</v>
      </c>
      <c r="J265" s="634" t="s">
        <v>953</v>
      </c>
      <c r="K265" s="634" t="str">
        <f t="shared" si="6"/>
        <v>Homer, AK</v>
      </c>
      <c r="L265" s="634" t="s">
        <v>1555</v>
      </c>
      <c r="M265" s="634">
        <v>59.65</v>
      </c>
      <c r="N265" s="634">
        <v>-151.47999999999999</v>
      </c>
      <c r="O265" s="634">
        <v>-9</v>
      </c>
      <c r="P265" s="634">
        <v>25</v>
      </c>
      <c r="T265" s="634" t="s">
        <v>1722</v>
      </c>
      <c r="U265" s="634" t="s">
        <v>2081</v>
      </c>
    </row>
    <row r="266" spans="8:21">
      <c r="I266" s="634" t="s">
        <v>2082</v>
      </c>
      <c r="J266" s="634" t="s">
        <v>594</v>
      </c>
      <c r="K266" s="634" t="str">
        <f t="shared" si="6"/>
        <v>Homestead/AFB, FL</v>
      </c>
      <c r="L266" s="634" t="s">
        <v>1555</v>
      </c>
      <c r="M266" s="634">
        <v>25.48</v>
      </c>
      <c r="N266" s="634">
        <v>-80.38</v>
      </c>
      <c r="O266" s="634">
        <v>-5</v>
      </c>
      <c r="P266" s="634">
        <v>2</v>
      </c>
      <c r="T266" s="634" t="s">
        <v>1722</v>
      </c>
      <c r="U266" s="634" t="s">
        <v>2083</v>
      </c>
    </row>
    <row r="267" spans="8:21">
      <c r="H267" s="634">
        <v>22521</v>
      </c>
      <c r="I267" s="634" t="s">
        <v>2084</v>
      </c>
      <c r="J267" s="634" t="s">
        <v>122</v>
      </c>
      <c r="K267" s="634" t="str">
        <f t="shared" si="6"/>
        <v>Honolulu, HI</v>
      </c>
      <c r="L267" s="634" t="s">
        <v>1555</v>
      </c>
      <c r="M267" s="634">
        <v>21.35</v>
      </c>
      <c r="N267" s="634">
        <v>-157.93</v>
      </c>
      <c r="O267" s="634">
        <v>-10</v>
      </c>
      <c r="P267" s="634">
        <v>5</v>
      </c>
      <c r="T267" s="634" t="s">
        <v>1722</v>
      </c>
      <c r="U267" s="634" t="s">
        <v>2085</v>
      </c>
    </row>
    <row r="268" spans="8:21">
      <c r="H268" s="634">
        <v>15642</v>
      </c>
      <c r="I268" s="634" t="s">
        <v>2086</v>
      </c>
      <c r="J268" s="634" t="s">
        <v>1660</v>
      </c>
      <c r="K268" s="634" t="str">
        <f t="shared" si="6"/>
        <v>Hopedale, NF</v>
      </c>
      <c r="L268" s="634" t="s">
        <v>1552</v>
      </c>
      <c r="M268" s="634">
        <v>55.45</v>
      </c>
      <c r="N268" s="634">
        <v>-60.23</v>
      </c>
      <c r="O268" s="634">
        <v>-3.5</v>
      </c>
      <c r="P268" s="634">
        <v>8</v>
      </c>
      <c r="T268" s="634" t="s">
        <v>1722</v>
      </c>
      <c r="U268" s="634" t="s">
        <v>2087</v>
      </c>
    </row>
    <row r="269" spans="8:21">
      <c r="H269" s="634">
        <v>12918</v>
      </c>
      <c r="I269" s="634" t="s">
        <v>2088</v>
      </c>
      <c r="J269" s="634" t="s">
        <v>228</v>
      </c>
      <c r="K269" s="634" t="str">
        <f t="shared" si="6"/>
        <v>Houston/Hobby Airport, TX</v>
      </c>
      <c r="L269" s="634" t="s">
        <v>1555</v>
      </c>
      <c r="M269" s="634">
        <v>29.65</v>
      </c>
      <c r="N269" s="634">
        <v>-95.28</v>
      </c>
      <c r="O269" s="634">
        <v>-6</v>
      </c>
      <c r="P269" s="634">
        <v>14</v>
      </c>
      <c r="T269" s="634" t="s">
        <v>1722</v>
      </c>
      <c r="U269" s="634" t="s">
        <v>2089</v>
      </c>
    </row>
    <row r="270" spans="8:21">
      <c r="H270" s="634">
        <v>12960</v>
      </c>
      <c r="I270" s="634" t="s">
        <v>2090</v>
      </c>
      <c r="J270" s="634" t="s">
        <v>228</v>
      </c>
      <c r="K270" s="634" t="str">
        <f t="shared" si="6"/>
        <v>Houston/Intercontinental Airport, TX</v>
      </c>
      <c r="L270" s="634" t="s">
        <v>1555</v>
      </c>
      <c r="M270" s="634">
        <v>29.97</v>
      </c>
      <c r="N270" s="634">
        <v>-95.35</v>
      </c>
      <c r="O270" s="634">
        <v>-6</v>
      </c>
      <c r="P270" s="634">
        <v>33</v>
      </c>
      <c r="T270" s="634" t="s">
        <v>1722</v>
      </c>
      <c r="U270" s="634" t="s">
        <v>2091</v>
      </c>
    </row>
    <row r="271" spans="8:21">
      <c r="H271" s="634">
        <v>72243</v>
      </c>
      <c r="I271" s="634" t="s">
        <v>2090</v>
      </c>
      <c r="J271" s="634" t="s">
        <v>228</v>
      </c>
      <c r="K271" s="634" t="str">
        <f t="shared" si="6"/>
        <v>Houston/Intercontinental Airport, TX</v>
      </c>
      <c r="L271" s="634" t="s">
        <v>1555</v>
      </c>
      <c r="M271" s="634">
        <v>29.97</v>
      </c>
      <c r="N271" s="634">
        <v>-95.35</v>
      </c>
      <c r="O271" s="634">
        <v>-6</v>
      </c>
      <c r="P271" s="634">
        <v>33</v>
      </c>
      <c r="T271" s="634" t="s">
        <v>590</v>
      </c>
      <c r="U271" s="634" t="s">
        <v>2092</v>
      </c>
    </row>
    <row r="272" spans="8:21">
      <c r="H272" s="634">
        <v>3860</v>
      </c>
      <c r="I272" s="634" t="s">
        <v>2093</v>
      </c>
      <c r="J272" s="634" t="s">
        <v>513</v>
      </c>
      <c r="K272" s="634" t="str">
        <f t="shared" si="6"/>
        <v>Huntington, WV</v>
      </c>
      <c r="L272" s="634" t="s">
        <v>1555</v>
      </c>
      <c r="M272" s="634">
        <v>38.369999999999997</v>
      </c>
      <c r="N272" s="634">
        <v>-82.55</v>
      </c>
      <c r="O272" s="634">
        <v>-5</v>
      </c>
      <c r="P272" s="634">
        <v>255</v>
      </c>
      <c r="T272" s="634" t="s">
        <v>590</v>
      </c>
      <c r="U272" s="634" t="s">
        <v>2094</v>
      </c>
    </row>
    <row r="273" spans="8:21">
      <c r="H273" s="634">
        <v>3856</v>
      </c>
      <c r="I273" s="634" t="s">
        <v>2095</v>
      </c>
      <c r="J273" s="634" t="s">
        <v>247</v>
      </c>
      <c r="K273" s="634" t="str">
        <f t="shared" si="6"/>
        <v>Huntsville, AL</v>
      </c>
      <c r="L273" s="634" t="s">
        <v>1555</v>
      </c>
      <c r="M273" s="634">
        <v>34.65</v>
      </c>
      <c r="N273" s="634">
        <v>-86.77</v>
      </c>
      <c r="O273" s="634">
        <v>-6</v>
      </c>
      <c r="P273" s="634">
        <v>196</v>
      </c>
      <c r="T273" s="634" t="s">
        <v>590</v>
      </c>
      <c r="U273" s="634" t="s">
        <v>628</v>
      </c>
    </row>
    <row r="274" spans="8:21">
      <c r="H274" s="634">
        <v>14936</v>
      </c>
      <c r="I274" s="634" t="s">
        <v>2096</v>
      </c>
      <c r="J274" s="634" t="s">
        <v>1147</v>
      </c>
      <c r="K274" s="634" t="str">
        <f t="shared" si="6"/>
        <v>Huron, SD</v>
      </c>
      <c r="L274" s="634" t="s">
        <v>1555</v>
      </c>
      <c r="M274" s="634">
        <v>44.38</v>
      </c>
      <c r="N274" s="634">
        <v>-98.22</v>
      </c>
      <c r="O274" s="634">
        <v>-6</v>
      </c>
      <c r="P274" s="634">
        <v>393</v>
      </c>
      <c r="T274" s="634" t="s">
        <v>590</v>
      </c>
      <c r="U274" s="634" t="s">
        <v>2097</v>
      </c>
    </row>
    <row r="275" spans="8:21">
      <c r="I275" s="634" t="s">
        <v>2098</v>
      </c>
      <c r="J275" s="634" t="s">
        <v>249</v>
      </c>
      <c r="K275" s="634" t="str">
        <f t="shared" si="6"/>
        <v>Idaho Falls, ID</v>
      </c>
      <c r="L275" s="634" t="s">
        <v>1555</v>
      </c>
      <c r="M275" s="634">
        <v>43.52</v>
      </c>
      <c r="N275" s="634">
        <v>-112.07</v>
      </c>
      <c r="O275" s="634">
        <v>-7</v>
      </c>
      <c r="P275" s="634">
        <v>1445</v>
      </c>
      <c r="T275" s="634" t="s">
        <v>903</v>
      </c>
      <c r="U275" s="634" t="s">
        <v>2099</v>
      </c>
    </row>
    <row r="276" spans="8:21">
      <c r="H276" s="634">
        <v>93819</v>
      </c>
      <c r="I276" s="634" t="s">
        <v>2100</v>
      </c>
      <c r="J276" s="634" t="s">
        <v>283</v>
      </c>
      <c r="K276" s="634" t="str">
        <f t="shared" si="6"/>
        <v>Indianapolis, IN</v>
      </c>
      <c r="L276" s="634" t="s">
        <v>1555</v>
      </c>
      <c r="M276" s="634">
        <v>39.729999999999997</v>
      </c>
      <c r="N276" s="634">
        <v>-86.27</v>
      </c>
      <c r="O276" s="634">
        <v>-5</v>
      </c>
      <c r="P276" s="634">
        <v>246</v>
      </c>
      <c r="T276" s="634" t="s">
        <v>903</v>
      </c>
      <c r="U276" s="634" t="s">
        <v>2101</v>
      </c>
    </row>
    <row r="277" spans="8:21">
      <c r="H277" s="634">
        <v>14918</v>
      </c>
      <c r="I277" s="634" t="s">
        <v>2102</v>
      </c>
      <c r="J277" s="634" t="s">
        <v>934</v>
      </c>
      <c r="K277" s="634" t="str">
        <f t="shared" si="6"/>
        <v>International Falls, MN</v>
      </c>
      <c r="L277" s="634" t="s">
        <v>1555</v>
      </c>
      <c r="M277" s="634">
        <v>48.57</v>
      </c>
      <c r="N277" s="634">
        <v>-93.38</v>
      </c>
      <c r="O277" s="634">
        <v>-6</v>
      </c>
      <c r="P277" s="634">
        <v>361</v>
      </c>
      <c r="T277" s="634" t="s">
        <v>903</v>
      </c>
      <c r="U277" s="634" t="s">
        <v>2103</v>
      </c>
    </row>
    <row r="278" spans="8:21">
      <c r="H278" s="634">
        <v>22258</v>
      </c>
      <c r="I278" s="634" t="s">
        <v>2104</v>
      </c>
      <c r="J278" s="634" t="s">
        <v>1759</v>
      </c>
      <c r="K278" s="634" t="str">
        <f t="shared" si="6"/>
        <v>Inuvik Ua, NT</v>
      </c>
      <c r="L278" s="634" t="s">
        <v>1552</v>
      </c>
      <c r="M278" s="634">
        <v>68.3</v>
      </c>
      <c r="N278" s="634">
        <v>-133.47999999999999</v>
      </c>
      <c r="O278" s="634">
        <v>-7</v>
      </c>
      <c r="P278" s="634">
        <v>68</v>
      </c>
      <c r="T278" s="634" t="s">
        <v>903</v>
      </c>
      <c r="U278" s="634" t="s">
        <v>2105</v>
      </c>
    </row>
    <row r="279" spans="8:21">
      <c r="H279" s="634">
        <v>16603</v>
      </c>
      <c r="I279" s="634" t="s">
        <v>2106</v>
      </c>
      <c r="J279" s="634" t="s">
        <v>1645</v>
      </c>
      <c r="K279" s="634" t="str">
        <f t="shared" si="6"/>
        <v>Iqaluit (Frobisher), NU</v>
      </c>
      <c r="L279" s="634" t="s">
        <v>1552</v>
      </c>
      <c r="M279" s="634">
        <v>63.75</v>
      </c>
      <c r="N279" s="634">
        <v>-68.55</v>
      </c>
      <c r="O279" s="634">
        <v>-5</v>
      </c>
      <c r="P279" s="634">
        <v>33</v>
      </c>
      <c r="T279" s="634" t="s">
        <v>903</v>
      </c>
      <c r="U279" s="634" t="s">
        <v>2107</v>
      </c>
    </row>
    <row r="280" spans="8:21">
      <c r="I280" s="634" t="s">
        <v>2108</v>
      </c>
      <c r="J280" s="634" t="s">
        <v>1107</v>
      </c>
      <c r="K280" s="634" t="str">
        <f t="shared" si="6"/>
        <v>Jackson, KY</v>
      </c>
      <c r="L280" s="634" t="s">
        <v>1555</v>
      </c>
      <c r="M280" s="634">
        <v>37.6</v>
      </c>
      <c r="N280" s="634">
        <v>-83.32</v>
      </c>
      <c r="O280" s="634">
        <v>-5</v>
      </c>
      <c r="P280" s="634">
        <v>421</v>
      </c>
      <c r="T280" s="634" t="s">
        <v>903</v>
      </c>
      <c r="U280" s="634" t="s">
        <v>2109</v>
      </c>
    </row>
    <row r="281" spans="8:21">
      <c r="I281" s="634" t="s">
        <v>2108</v>
      </c>
      <c r="J281" s="634" t="s">
        <v>540</v>
      </c>
      <c r="K281" s="634" t="str">
        <f t="shared" si="6"/>
        <v>Jackson, MI</v>
      </c>
      <c r="L281" s="634" t="s">
        <v>1555</v>
      </c>
      <c r="M281" s="634">
        <v>42.27</v>
      </c>
      <c r="N281" s="634">
        <v>-84.47</v>
      </c>
      <c r="O281" s="634">
        <v>-5</v>
      </c>
      <c r="P281" s="634">
        <v>305</v>
      </c>
      <c r="T281" s="634" t="s">
        <v>903</v>
      </c>
      <c r="U281" s="634" t="s">
        <v>2110</v>
      </c>
    </row>
    <row r="282" spans="8:21">
      <c r="H282" s="634">
        <v>3940</v>
      </c>
      <c r="I282" s="634" t="s">
        <v>2108</v>
      </c>
      <c r="J282" s="634" t="s">
        <v>460</v>
      </c>
      <c r="K282" s="634" t="str">
        <f t="shared" si="6"/>
        <v>Jackson, MS</v>
      </c>
      <c r="L282" s="634" t="s">
        <v>1555</v>
      </c>
      <c r="M282" s="634">
        <v>32.32</v>
      </c>
      <c r="N282" s="634">
        <v>-90.08</v>
      </c>
      <c r="O282" s="634">
        <v>-6</v>
      </c>
      <c r="P282" s="634">
        <v>101</v>
      </c>
      <c r="T282" s="634" t="s">
        <v>540</v>
      </c>
      <c r="U282" s="634" t="s">
        <v>2111</v>
      </c>
    </row>
    <row r="283" spans="8:21">
      <c r="I283" s="634" t="s">
        <v>2108</v>
      </c>
      <c r="J283" s="634" t="s">
        <v>560</v>
      </c>
      <c r="K283" s="634" t="str">
        <f t="shared" si="6"/>
        <v>Jackson, TN</v>
      </c>
      <c r="L283" s="634" t="s">
        <v>1555</v>
      </c>
      <c r="M283" s="634">
        <v>35.6</v>
      </c>
      <c r="N283" s="634">
        <v>-88.92</v>
      </c>
      <c r="O283" s="634">
        <v>-6</v>
      </c>
      <c r="P283" s="634">
        <v>132</v>
      </c>
      <c r="T283" s="634" t="s">
        <v>540</v>
      </c>
      <c r="U283" s="634" t="s">
        <v>2112</v>
      </c>
    </row>
    <row r="284" spans="8:21">
      <c r="I284" s="634" t="s">
        <v>2113</v>
      </c>
      <c r="J284" s="634" t="s">
        <v>594</v>
      </c>
      <c r="K284" s="634" t="str">
        <f t="shared" si="6"/>
        <v>Jacksonville/Cecil Field NAS, FL</v>
      </c>
      <c r="L284" s="634" t="s">
        <v>1555</v>
      </c>
      <c r="M284" s="634">
        <v>30.22</v>
      </c>
      <c r="N284" s="634">
        <v>-81.88</v>
      </c>
      <c r="O284" s="634">
        <v>-5</v>
      </c>
      <c r="P284" s="634">
        <v>25</v>
      </c>
      <c r="T284" s="634" t="s">
        <v>540</v>
      </c>
      <c r="U284" s="634" t="s">
        <v>2114</v>
      </c>
    </row>
    <row r="285" spans="8:21">
      <c r="H285" s="634">
        <v>13889</v>
      </c>
      <c r="I285" s="634" t="s">
        <v>2115</v>
      </c>
      <c r="J285" s="634" t="s">
        <v>594</v>
      </c>
      <c r="K285" s="634" t="str">
        <f t="shared" si="6"/>
        <v>Jacksonville/Int'l Airport, FL</v>
      </c>
      <c r="L285" s="634" t="s">
        <v>1555</v>
      </c>
      <c r="M285" s="634">
        <v>30.5</v>
      </c>
      <c r="N285" s="634">
        <v>-81.7</v>
      </c>
      <c r="O285" s="634">
        <v>-5</v>
      </c>
      <c r="P285" s="634">
        <v>9</v>
      </c>
      <c r="T285" s="634" t="s">
        <v>540</v>
      </c>
      <c r="U285" s="634" t="s">
        <v>2116</v>
      </c>
    </row>
    <row r="286" spans="8:21">
      <c r="I286" s="634" t="s">
        <v>2117</v>
      </c>
      <c r="J286" s="634" t="s">
        <v>594</v>
      </c>
      <c r="K286" s="634" t="str">
        <f t="shared" si="6"/>
        <v>Jacksonville/Mayport NS, FL</v>
      </c>
      <c r="L286" s="634" t="s">
        <v>1555</v>
      </c>
      <c r="M286" s="634">
        <v>30.4</v>
      </c>
      <c r="N286" s="634">
        <v>-81.42</v>
      </c>
      <c r="O286" s="634">
        <v>-5</v>
      </c>
      <c r="P286" s="634">
        <v>5</v>
      </c>
      <c r="T286" s="634" t="s">
        <v>540</v>
      </c>
      <c r="U286" s="634" t="s">
        <v>2118</v>
      </c>
    </row>
    <row r="287" spans="8:21">
      <c r="I287" s="634" t="s">
        <v>2119</v>
      </c>
      <c r="J287" s="634" t="s">
        <v>426</v>
      </c>
      <c r="K287" s="634" t="str">
        <f t="shared" si="6"/>
        <v>Jacksonville/New River MCAF, NC</v>
      </c>
      <c r="L287" s="634" t="s">
        <v>1555</v>
      </c>
      <c r="M287" s="634">
        <v>34.72</v>
      </c>
      <c r="N287" s="634">
        <v>-77.45</v>
      </c>
      <c r="O287" s="634">
        <v>-5</v>
      </c>
      <c r="P287" s="634">
        <v>8</v>
      </c>
      <c r="T287" s="634" t="s">
        <v>540</v>
      </c>
      <c r="U287" s="634" t="s">
        <v>2120</v>
      </c>
    </row>
    <row r="288" spans="8:21">
      <c r="I288" s="634" t="s">
        <v>2121</v>
      </c>
      <c r="J288" s="634" t="s">
        <v>1248</v>
      </c>
      <c r="K288" s="634" t="str">
        <f t="shared" si="6"/>
        <v>Joplin, MO</v>
      </c>
      <c r="L288" s="634" t="s">
        <v>1555</v>
      </c>
      <c r="M288" s="634">
        <v>37.15</v>
      </c>
      <c r="N288" s="634">
        <v>-94.5</v>
      </c>
      <c r="O288" s="634">
        <v>-6</v>
      </c>
      <c r="P288" s="634">
        <v>299</v>
      </c>
      <c r="T288" s="634" t="s">
        <v>540</v>
      </c>
      <c r="U288" s="634" t="s">
        <v>2122</v>
      </c>
    </row>
    <row r="289" spans="8:21">
      <c r="I289" s="634" t="s">
        <v>2123</v>
      </c>
      <c r="J289" s="634" t="s">
        <v>228</v>
      </c>
      <c r="K289" s="634" t="str">
        <f t="shared" si="6"/>
        <v>Junction, TX</v>
      </c>
      <c r="L289" s="634" t="s">
        <v>1555</v>
      </c>
      <c r="M289" s="634">
        <v>30.5</v>
      </c>
      <c r="N289" s="634">
        <v>-99.77</v>
      </c>
      <c r="O289" s="634">
        <v>-6</v>
      </c>
      <c r="P289" s="634">
        <v>522</v>
      </c>
      <c r="T289" s="634" t="s">
        <v>540</v>
      </c>
      <c r="U289" s="634" t="s">
        <v>2124</v>
      </c>
    </row>
    <row r="290" spans="8:21">
      <c r="H290" s="634">
        <v>25309</v>
      </c>
      <c r="I290" s="634" t="s">
        <v>2125</v>
      </c>
      <c r="J290" s="634" t="s">
        <v>953</v>
      </c>
      <c r="K290" s="634" t="str">
        <f t="shared" si="6"/>
        <v>Juneau, AK</v>
      </c>
      <c r="L290" s="634" t="s">
        <v>1555</v>
      </c>
      <c r="M290" s="634">
        <v>58.35</v>
      </c>
      <c r="N290" s="634">
        <v>-134.58000000000001</v>
      </c>
      <c r="O290" s="634">
        <v>-9</v>
      </c>
      <c r="P290" s="634">
        <v>3</v>
      </c>
      <c r="T290" s="634" t="s">
        <v>540</v>
      </c>
      <c r="U290" s="634" t="s">
        <v>2126</v>
      </c>
    </row>
    <row r="291" spans="8:21">
      <c r="H291" s="634">
        <v>22516</v>
      </c>
      <c r="I291" s="634" t="s">
        <v>2127</v>
      </c>
      <c r="J291" s="634" t="s">
        <v>122</v>
      </c>
      <c r="K291" s="634" t="str">
        <f t="shared" si="6"/>
        <v>Kahului, HI</v>
      </c>
      <c r="L291" s="634" t="s">
        <v>1555</v>
      </c>
      <c r="M291" s="634">
        <v>20.9</v>
      </c>
      <c r="N291" s="634">
        <v>-156.43</v>
      </c>
      <c r="O291" s="634">
        <v>-10</v>
      </c>
      <c r="P291" s="634">
        <v>20</v>
      </c>
      <c r="T291" s="634" t="s">
        <v>540</v>
      </c>
      <c r="U291" s="634" t="s">
        <v>2128</v>
      </c>
    </row>
    <row r="292" spans="8:21">
      <c r="H292" s="634">
        <v>24146</v>
      </c>
      <c r="I292" s="634" t="s">
        <v>2129</v>
      </c>
      <c r="J292" s="634" t="s">
        <v>1108</v>
      </c>
      <c r="K292" s="634" t="str">
        <f t="shared" si="6"/>
        <v>Kalispell, MT</v>
      </c>
      <c r="L292" s="634" t="s">
        <v>1555</v>
      </c>
      <c r="M292" s="634">
        <v>48.3</v>
      </c>
      <c r="N292" s="634">
        <v>-114.27</v>
      </c>
      <c r="O292" s="634">
        <v>-7</v>
      </c>
      <c r="P292" s="634">
        <v>906</v>
      </c>
      <c r="T292" s="634" t="s">
        <v>540</v>
      </c>
      <c r="U292" s="634" t="s">
        <v>2130</v>
      </c>
    </row>
    <row r="293" spans="8:21">
      <c r="H293" s="634">
        <v>25220</v>
      </c>
      <c r="I293" s="634" t="s">
        <v>2131</v>
      </c>
      <c r="J293" s="634" t="s">
        <v>1551</v>
      </c>
      <c r="K293" s="634" t="str">
        <f t="shared" si="6"/>
        <v>Kamloops, BC</v>
      </c>
      <c r="L293" s="634" t="s">
        <v>1552</v>
      </c>
      <c r="M293" s="634">
        <v>50.7</v>
      </c>
      <c r="N293" s="634">
        <v>-120.45</v>
      </c>
      <c r="O293" s="634">
        <v>-8</v>
      </c>
      <c r="P293" s="634">
        <v>346</v>
      </c>
      <c r="T293" s="634" t="s">
        <v>540</v>
      </c>
      <c r="U293" s="634" t="s">
        <v>2132</v>
      </c>
    </row>
    <row r="294" spans="8:21">
      <c r="I294" s="634" t="s">
        <v>2133</v>
      </c>
      <c r="J294" s="634" t="s">
        <v>122</v>
      </c>
      <c r="K294" s="634" t="str">
        <f t="shared" si="6"/>
        <v>Kaneohe/MCAS, HI</v>
      </c>
      <c r="L294" s="634" t="s">
        <v>1555</v>
      </c>
      <c r="M294" s="634">
        <v>21.45</v>
      </c>
      <c r="N294" s="634">
        <v>-157.77000000000001</v>
      </c>
      <c r="O294" s="634">
        <v>-10</v>
      </c>
      <c r="P294" s="634">
        <v>3</v>
      </c>
      <c r="T294" s="634" t="s">
        <v>540</v>
      </c>
      <c r="U294" s="634" t="s">
        <v>2134</v>
      </c>
    </row>
    <row r="295" spans="8:21">
      <c r="H295" s="634">
        <v>3947</v>
      </c>
      <c r="I295" s="634" t="s">
        <v>2135</v>
      </c>
      <c r="J295" s="634" t="s">
        <v>1248</v>
      </c>
      <c r="K295" s="634" t="str">
        <f t="shared" si="6"/>
        <v>Kansas City, MO</v>
      </c>
      <c r="L295" s="634" t="s">
        <v>1555</v>
      </c>
      <c r="M295" s="634">
        <v>39.32</v>
      </c>
      <c r="N295" s="634">
        <v>-94.72</v>
      </c>
      <c r="O295" s="634">
        <v>-6</v>
      </c>
      <c r="P295" s="634">
        <v>312</v>
      </c>
      <c r="T295" s="634" t="s">
        <v>540</v>
      </c>
      <c r="U295" s="634" t="s">
        <v>2136</v>
      </c>
    </row>
    <row r="296" spans="8:21">
      <c r="H296" s="634">
        <v>13988</v>
      </c>
      <c r="I296" s="634" t="s">
        <v>2135</v>
      </c>
      <c r="J296" s="634" t="s">
        <v>1248</v>
      </c>
      <c r="K296" s="634" t="str">
        <f t="shared" si="6"/>
        <v>Kansas City, MO</v>
      </c>
      <c r="L296" s="634" t="s">
        <v>1555</v>
      </c>
      <c r="M296" s="634">
        <v>39.32</v>
      </c>
      <c r="N296" s="634">
        <v>-94.72</v>
      </c>
      <c r="O296" s="634">
        <v>-6</v>
      </c>
      <c r="P296" s="634">
        <v>312</v>
      </c>
      <c r="T296" s="634" t="s">
        <v>540</v>
      </c>
      <c r="U296" s="634" t="s">
        <v>2137</v>
      </c>
    </row>
    <row r="297" spans="8:21">
      <c r="H297" s="634">
        <v>14899</v>
      </c>
      <c r="I297" s="634" t="s">
        <v>2138</v>
      </c>
      <c r="J297" s="634" t="s">
        <v>1621</v>
      </c>
      <c r="K297" s="634" t="str">
        <f t="shared" si="6"/>
        <v>Kapuskasing, ON</v>
      </c>
      <c r="L297" s="634" t="s">
        <v>1552</v>
      </c>
      <c r="M297" s="634">
        <v>49.42</v>
      </c>
      <c r="N297" s="634">
        <v>-82.47</v>
      </c>
      <c r="O297" s="634">
        <v>-5</v>
      </c>
      <c r="P297" s="634">
        <v>227</v>
      </c>
      <c r="T297" s="634" t="s">
        <v>540</v>
      </c>
      <c r="U297" s="634" t="s">
        <v>2139</v>
      </c>
    </row>
    <row r="298" spans="8:21">
      <c r="I298" s="634" t="s">
        <v>2140</v>
      </c>
      <c r="J298" s="634" t="s">
        <v>953</v>
      </c>
      <c r="K298" s="634" t="str">
        <f t="shared" si="6"/>
        <v>Kenai, AK</v>
      </c>
      <c r="L298" s="634" t="s">
        <v>1555</v>
      </c>
      <c r="M298" s="634">
        <v>60.57</v>
      </c>
      <c r="N298" s="634">
        <v>-151.25</v>
      </c>
      <c r="O298" s="634">
        <v>-9</v>
      </c>
      <c r="P298" s="634">
        <v>29</v>
      </c>
      <c r="T298" s="634" t="s">
        <v>540</v>
      </c>
      <c r="U298" s="634" t="s">
        <v>2141</v>
      </c>
    </row>
    <row r="299" spans="8:21">
      <c r="H299" s="634">
        <v>14999</v>
      </c>
      <c r="I299" s="634" t="s">
        <v>2142</v>
      </c>
      <c r="J299" s="634" t="s">
        <v>1621</v>
      </c>
      <c r="K299" s="634" t="str">
        <f t="shared" si="6"/>
        <v>Kenora, ON</v>
      </c>
      <c r="L299" s="634" t="s">
        <v>1552</v>
      </c>
      <c r="M299" s="634">
        <v>49.78</v>
      </c>
      <c r="N299" s="634">
        <v>-94.37</v>
      </c>
      <c r="O299" s="634">
        <v>-5</v>
      </c>
      <c r="P299" s="634">
        <v>411</v>
      </c>
      <c r="T299" s="634" t="s">
        <v>540</v>
      </c>
      <c r="U299" s="634" t="s">
        <v>2143</v>
      </c>
    </row>
    <row r="300" spans="8:21">
      <c r="I300" s="634" t="s">
        <v>2144</v>
      </c>
      <c r="J300" s="634" t="s">
        <v>953</v>
      </c>
      <c r="K300" s="634" t="str">
        <f t="shared" si="6"/>
        <v>Ketchikan, AK</v>
      </c>
      <c r="L300" s="634" t="s">
        <v>1555</v>
      </c>
      <c r="M300" s="634">
        <v>55.35</v>
      </c>
      <c r="N300" s="634">
        <v>-131.69999999999999</v>
      </c>
      <c r="O300" s="634">
        <v>-9</v>
      </c>
      <c r="P300" s="634">
        <v>29</v>
      </c>
      <c r="T300" s="634" t="s">
        <v>540</v>
      </c>
      <c r="U300" s="634" t="s">
        <v>2145</v>
      </c>
    </row>
    <row r="301" spans="8:21">
      <c r="H301" s="634">
        <v>12836</v>
      </c>
      <c r="I301" s="634" t="s">
        <v>2146</v>
      </c>
      <c r="J301" s="634" t="s">
        <v>594</v>
      </c>
      <c r="K301" s="634" t="str">
        <f t="shared" si="6"/>
        <v>Key West, FL</v>
      </c>
      <c r="L301" s="634" t="s">
        <v>1555</v>
      </c>
      <c r="M301" s="634">
        <v>24.55</v>
      </c>
      <c r="N301" s="634">
        <v>-81.75</v>
      </c>
      <c r="O301" s="634">
        <v>-5</v>
      </c>
      <c r="P301" s="634">
        <v>6</v>
      </c>
      <c r="T301" s="634" t="s">
        <v>934</v>
      </c>
      <c r="U301" s="634" t="s">
        <v>2147</v>
      </c>
    </row>
    <row r="302" spans="8:21">
      <c r="H302" s="634">
        <v>72257</v>
      </c>
      <c r="I302" s="634" t="s">
        <v>2148</v>
      </c>
      <c r="J302" s="634" t="s">
        <v>228</v>
      </c>
      <c r="K302" s="634" t="str">
        <f t="shared" si="6"/>
        <v>Killeen/Fort Hood, TX</v>
      </c>
      <c r="L302" s="634" t="s">
        <v>1555</v>
      </c>
      <c r="M302" s="634">
        <v>31.07</v>
      </c>
      <c r="N302" s="634">
        <v>-97.83</v>
      </c>
      <c r="O302" s="634">
        <v>-6</v>
      </c>
      <c r="P302" s="634">
        <v>309</v>
      </c>
      <c r="T302" s="634" t="s">
        <v>934</v>
      </c>
      <c r="U302" s="634" t="s">
        <v>2149</v>
      </c>
    </row>
    <row r="303" spans="8:21">
      <c r="H303" s="634">
        <v>25503</v>
      </c>
      <c r="I303" s="634" t="s">
        <v>2150</v>
      </c>
      <c r="J303" s="634" t="s">
        <v>953</v>
      </c>
      <c r="K303" s="634" t="str">
        <f t="shared" si="6"/>
        <v>King Salmon, AK</v>
      </c>
      <c r="L303" s="634" t="s">
        <v>1555</v>
      </c>
      <c r="M303" s="634">
        <v>58.68</v>
      </c>
      <c r="N303" s="634">
        <v>-156.65</v>
      </c>
      <c r="O303" s="634">
        <v>-9</v>
      </c>
      <c r="P303" s="634">
        <v>15</v>
      </c>
      <c r="T303" s="634" t="s">
        <v>934</v>
      </c>
      <c r="U303" s="634" t="s">
        <v>2151</v>
      </c>
    </row>
    <row r="304" spans="8:21">
      <c r="H304" s="634">
        <v>70326</v>
      </c>
      <c r="I304" s="634" t="s">
        <v>2150</v>
      </c>
      <c r="J304" s="634" t="s">
        <v>953</v>
      </c>
      <c r="K304" s="634" t="str">
        <f t="shared" si="6"/>
        <v>King Salmon, AK</v>
      </c>
      <c r="L304" s="634" t="s">
        <v>1555</v>
      </c>
      <c r="M304" s="634">
        <v>58.7</v>
      </c>
      <c r="N304" s="634">
        <v>-156.66999999999999</v>
      </c>
      <c r="O304" s="634">
        <v>-9</v>
      </c>
      <c r="P304" s="634">
        <v>15</v>
      </c>
      <c r="T304" s="634" t="s">
        <v>934</v>
      </c>
      <c r="U304" s="634" t="s">
        <v>2152</v>
      </c>
    </row>
    <row r="305" spans="8:21">
      <c r="I305" s="634" t="s">
        <v>2153</v>
      </c>
      <c r="J305" s="634" t="s">
        <v>1250</v>
      </c>
      <c r="K305" s="634" t="str">
        <f t="shared" si="6"/>
        <v>Kingman, AZ</v>
      </c>
      <c r="L305" s="634" t="s">
        <v>1555</v>
      </c>
      <c r="M305" s="634">
        <v>35.270000000000003</v>
      </c>
      <c r="N305" s="634">
        <v>-113.95</v>
      </c>
      <c r="O305" s="634">
        <v>-7</v>
      </c>
      <c r="P305" s="634">
        <v>1033</v>
      </c>
      <c r="T305" s="634" t="s">
        <v>934</v>
      </c>
      <c r="U305" s="634" t="s">
        <v>2154</v>
      </c>
    </row>
    <row r="306" spans="8:21">
      <c r="H306" s="634">
        <v>12928</v>
      </c>
      <c r="I306" s="634" t="s">
        <v>2155</v>
      </c>
      <c r="J306" s="634" t="s">
        <v>228</v>
      </c>
      <c r="K306" s="634" t="str">
        <f t="shared" si="6"/>
        <v>Kingsville/NAS, TX</v>
      </c>
      <c r="L306" s="634" t="s">
        <v>1555</v>
      </c>
      <c r="M306" s="634">
        <v>27.5</v>
      </c>
      <c r="N306" s="634">
        <v>-97.82</v>
      </c>
      <c r="O306" s="634">
        <v>-6</v>
      </c>
      <c r="P306" s="634">
        <v>15</v>
      </c>
      <c r="T306" s="634" t="s">
        <v>934</v>
      </c>
      <c r="U306" s="634" t="s">
        <v>2156</v>
      </c>
    </row>
    <row r="307" spans="8:21">
      <c r="I307" s="634" t="s">
        <v>2157</v>
      </c>
      <c r="J307" s="634" t="s">
        <v>427</v>
      </c>
      <c r="K307" s="634" t="str">
        <f t="shared" si="6"/>
        <v>Klamath Falls, OR</v>
      </c>
      <c r="L307" s="634" t="s">
        <v>1555</v>
      </c>
      <c r="M307" s="634">
        <v>42.15</v>
      </c>
      <c r="N307" s="634">
        <v>-121.73</v>
      </c>
      <c r="O307" s="634">
        <v>-8</v>
      </c>
      <c r="P307" s="634">
        <v>1247</v>
      </c>
      <c r="T307" s="634" t="s">
        <v>934</v>
      </c>
      <c r="U307" s="634" t="s">
        <v>2158</v>
      </c>
    </row>
    <row r="308" spans="8:21">
      <c r="H308" s="634">
        <v>13891</v>
      </c>
      <c r="I308" s="634" t="s">
        <v>2159</v>
      </c>
      <c r="J308" s="634" t="s">
        <v>560</v>
      </c>
      <c r="K308" s="634" t="str">
        <f t="shared" si="6"/>
        <v>Knoxville, TN</v>
      </c>
      <c r="L308" s="634" t="s">
        <v>1555</v>
      </c>
      <c r="M308" s="634">
        <v>35.82</v>
      </c>
      <c r="N308" s="634">
        <v>-83.98</v>
      </c>
      <c r="O308" s="634">
        <v>-5</v>
      </c>
      <c r="P308" s="634">
        <v>299</v>
      </c>
      <c r="T308" s="634" t="s">
        <v>934</v>
      </c>
      <c r="U308" s="634" t="s">
        <v>2160</v>
      </c>
    </row>
    <row r="309" spans="8:21">
      <c r="H309" s="634">
        <v>25501</v>
      </c>
      <c r="I309" s="634" t="s">
        <v>2161</v>
      </c>
      <c r="J309" s="634" t="s">
        <v>953</v>
      </c>
      <c r="K309" s="634" t="str">
        <f t="shared" si="6"/>
        <v>Kodiak/State USCG Base, AK</v>
      </c>
      <c r="L309" s="634" t="s">
        <v>1555</v>
      </c>
      <c r="M309" s="634">
        <v>57.75</v>
      </c>
      <c r="N309" s="634">
        <v>-152.5</v>
      </c>
      <c r="O309" s="634">
        <v>-9</v>
      </c>
      <c r="P309" s="634">
        <v>34</v>
      </c>
      <c r="T309" s="634" t="s">
        <v>934</v>
      </c>
      <c r="U309" s="634" t="s">
        <v>2162</v>
      </c>
    </row>
    <row r="310" spans="8:21">
      <c r="H310" s="634">
        <v>26616</v>
      </c>
      <c r="I310" s="634" t="s">
        <v>2163</v>
      </c>
      <c r="J310" s="634" t="s">
        <v>953</v>
      </c>
      <c r="K310" s="634" t="str">
        <f t="shared" si="6"/>
        <v>Kotzebue, AK</v>
      </c>
      <c r="L310" s="634" t="s">
        <v>1555</v>
      </c>
      <c r="M310" s="634">
        <v>66.87</v>
      </c>
      <c r="N310" s="634">
        <v>-162.63</v>
      </c>
      <c r="O310" s="634">
        <v>-9</v>
      </c>
      <c r="P310" s="634">
        <v>5</v>
      </c>
      <c r="T310" s="634" t="s">
        <v>934</v>
      </c>
      <c r="U310" s="634" t="s">
        <v>2164</v>
      </c>
    </row>
    <row r="311" spans="8:21">
      <c r="H311" s="634">
        <v>15701</v>
      </c>
      <c r="I311" s="634" t="s">
        <v>2165</v>
      </c>
      <c r="J311" s="634" t="s">
        <v>1641</v>
      </c>
      <c r="K311" s="634" t="str">
        <f t="shared" si="6"/>
        <v>Kuujjuarapik, PQ</v>
      </c>
      <c r="L311" s="634" t="s">
        <v>1552</v>
      </c>
      <c r="M311" s="634">
        <v>55.28</v>
      </c>
      <c r="N311" s="634">
        <v>-77.77</v>
      </c>
      <c r="O311" s="634">
        <v>-5</v>
      </c>
      <c r="P311" s="634">
        <v>12</v>
      </c>
      <c r="T311" s="634" t="s">
        <v>1248</v>
      </c>
      <c r="U311" s="634" t="s">
        <v>2166</v>
      </c>
    </row>
    <row r="312" spans="8:21">
      <c r="H312" s="634">
        <v>15605</v>
      </c>
      <c r="I312" s="634" t="s">
        <v>2167</v>
      </c>
      <c r="J312" s="634" t="s">
        <v>1641</v>
      </c>
      <c r="K312" s="634" t="str">
        <f t="shared" si="6"/>
        <v>Kuujuaq, PQ</v>
      </c>
      <c r="L312" s="634" t="s">
        <v>1552</v>
      </c>
      <c r="M312" s="634">
        <v>58.1</v>
      </c>
      <c r="N312" s="634">
        <v>-68.42</v>
      </c>
      <c r="O312" s="634">
        <v>-5</v>
      </c>
      <c r="P312" s="634">
        <v>37</v>
      </c>
      <c r="T312" s="634" t="s">
        <v>1248</v>
      </c>
      <c r="U312" s="634" t="s">
        <v>2168</v>
      </c>
    </row>
    <row r="313" spans="8:21">
      <c r="H313" s="634">
        <v>14920</v>
      </c>
      <c r="I313" s="634" t="s">
        <v>2169</v>
      </c>
      <c r="J313" s="634" t="s">
        <v>1278</v>
      </c>
      <c r="K313" s="634" t="str">
        <f t="shared" si="6"/>
        <v>La Crosse, WI</v>
      </c>
      <c r="L313" s="634" t="s">
        <v>1555</v>
      </c>
      <c r="M313" s="634">
        <v>43.87</v>
      </c>
      <c r="N313" s="634">
        <v>-91.25</v>
      </c>
      <c r="O313" s="634">
        <v>-6</v>
      </c>
      <c r="P313" s="634">
        <v>202</v>
      </c>
      <c r="T313" s="634" t="s">
        <v>1248</v>
      </c>
      <c r="U313" s="634" t="s">
        <v>2170</v>
      </c>
    </row>
    <row r="314" spans="8:21">
      <c r="H314" s="634">
        <v>73715</v>
      </c>
      <c r="I314" s="634" t="s">
        <v>2171</v>
      </c>
      <c r="J314" s="634" t="s">
        <v>1641</v>
      </c>
      <c r="K314" s="634" t="str">
        <f t="shared" si="6"/>
        <v>La Grande Riviere, PQ</v>
      </c>
      <c r="L314" s="634" t="s">
        <v>1552</v>
      </c>
      <c r="M314" s="634">
        <v>53.63</v>
      </c>
      <c r="N314" s="634">
        <v>-77.7</v>
      </c>
      <c r="O314" s="634">
        <v>-5</v>
      </c>
      <c r="P314" s="634">
        <v>195</v>
      </c>
      <c r="T314" s="634" t="s">
        <v>1248</v>
      </c>
      <c r="U314" s="634" t="s">
        <v>2172</v>
      </c>
    </row>
    <row r="315" spans="8:21">
      <c r="I315" s="634" t="s">
        <v>2173</v>
      </c>
      <c r="J315" s="634" t="s">
        <v>591</v>
      </c>
      <c r="K315" s="634" t="str">
        <f t="shared" si="6"/>
        <v>Lafayette, LA</v>
      </c>
      <c r="L315" s="634" t="s">
        <v>1555</v>
      </c>
      <c r="M315" s="634">
        <v>30.2</v>
      </c>
      <c r="N315" s="634">
        <v>-91.98</v>
      </c>
      <c r="O315" s="634">
        <v>-6</v>
      </c>
      <c r="P315" s="634">
        <v>13</v>
      </c>
      <c r="T315" s="634" t="s">
        <v>1248</v>
      </c>
      <c r="U315" s="634" t="s">
        <v>2172</v>
      </c>
    </row>
    <row r="316" spans="8:21">
      <c r="I316" s="634" t="s">
        <v>2174</v>
      </c>
      <c r="J316" s="634" t="s">
        <v>283</v>
      </c>
      <c r="K316" s="634" t="str">
        <f t="shared" si="6"/>
        <v>Lafayette/Purdue Univ, IN</v>
      </c>
      <c r="L316" s="634" t="s">
        <v>1555</v>
      </c>
      <c r="M316" s="634">
        <v>40.42</v>
      </c>
      <c r="N316" s="634">
        <v>-86.93</v>
      </c>
      <c r="O316" s="634">
        <v>-5</v>
      </c>
      <c r="P316" s="634">
        <v>185</v>
      </c>
      <c r="T316" s="634" t="s">
        <v>1248</v>
      </c>
      <c r="U316" s="634" t="s">
        <v>2175</v>
      </c>
    </row>
    <row r="317" spans="8:21">
      <c r="H317" s="634">
        <v>3937</v>
      </c>
      <c r="I317" s="634" t="s">
        <v>2176</v>
      </c>
      <c r="J317" s="634" t="s">
        <v>591</v>
      </c>
      <c r="K317" s="634" t="str">
        <f t="shared" si="6"/>
        <v>Lake Charles, LA</v>
      </c>
      <c r="L317" s="634" t="s">
        <v>1555</v>
      </c>
      <c r="M317" s="634">
        <v>30.12</v>
      </c>
      <c r="N317" s="634">
        <v>-93.22</v>
      </c>
      <c r="O317" s="634">
        <v>-6</v>
      </c>
      <c r="P317" s="634">
        <v>10</v>
      </c>
      <c r="T317" s="634" t="s">
        <v>1248</v>
      </c>
      <c r="U317" s="634" t="s">
        <v>2177</v>
      </c>
    </row>
    <row r="318" spans="8:21">
      <c r="H318" s="634">
        <v>99907</v>
      </c>
      <c r="I318" s="634" t="s">
        <v>2178</v>
      </c>
      <c r="J318" s="634" t="s">
        <v>1641</v>
      </c>
      <c r="K318" s="634" t="str">
        <f t="shared" si="6"/>
        <v>Lake Eon, PQ</v>
      </c>
      <c r="L318" s="634" t="s">
        <v>1552</v>
      </c>
      <c r="M318" s="634">
        <v>51.87</v>
      </c>
      <c r="N318" s="634">
        <v>-63.28</v>
      </c>
      <c r="O318" s="634">
        <v>-5</v>
      </c>
      <c r="P318" s="634">
        <v>561</v>
      </c>
      <c r="T318" s="634" t="s">
        <v>1248</v>
      </c>
      <c r="U318" s="634" t="s">
        <v>2179</v>
      </c>
    </row>
    <row r="319" spans="8:21">
      <c r="H319" s="634" t="s">
        <v>2180</v>
      </c>
      <c r="I319" s="634" t="s">
        <v>2178</v>
      </c>
      <c r="J319" s="634" t="s">
        <v>1641</v>
      </c>
      <c r="K319" s="634" t="str">
        <f t="shared" si="6"/>
        <v>Lake Eon, PQ</v>
      </c>
      <c r="L319" s="634" t="s">
        <v>1552</v>
      </c>
      <c r="M319" s="634">
        <v>51.87</v>
      </c>
      <c r="N319" s="634">
        <v>-63.28</v>
      </c>
      <c r="O319" s="634">
        <v>-5</v>
      </c>
      <c r="P319" s="634">
        <v>561</v>
      </c>
      <c r="T319" s="634" t="s">
        <v>1248</v>
      </c>
      <c r="U319" s="634" t="s">
        <v>2181</v>
      </c>
    </row>
    <row r="320" spans="8:21">
      <c r="H320" s="634">
        <v>14780</v>
      </c>
      <c r="I320" s="634" t="s">
        <v>2182</v>
      </c>
      <c r="J320" s="634" t="s">
        <v>589</v>
      </c>
      <c r="K320" s="634" t="str">
        <f t="shared" si="6"/>
        <v>Lakehurst NAS, NJ</v>
      </c>
      <c r="L320" s="634" t="s">
        <v>1555</v>
      </c>
      <c r="M320" s="634">
        <v>40.03</v>
      </c>
      <c r="N320" s="634">
        <v>-74.7</v>
      </c>
      <c r="O320" s="634">
        <v>-5</v>
      </c>
      <c r="P320" s="634">
        <v>34</v>
      </c>
      <c r="T320" s="634" t="s">
        <v>1248</v>
      </c>
      <c r="U320" s="634" t="s">
        <v>2183</v>
      </c>
    </row>
    <row r="321" spans="8:21">
      <c r="I321" s="634" t="s">
        <v>2184</v>
      </c>
      <c r="J321" s="634" t="s">
        <v>566</v>
      </c>
      <c r="K321" s="634" t="str">
        <f t="shared" si="6"/>
        <v>Lamoni, IA</v>
      </c>
      <c r="L321" s="634" t="s">
        <v>1555</v>
      </c>
      <c r="M321" s="634">
        <v>40.619999999999997</v>
      </c>
      <c r="N321" s="634">
        <v>-93.95</v>
      </c>
      <c r="O321" s="634">
        <v>-6</v>
      </c>
      <c r="P321" s="634">
        <v>342</v>
      </c>
      <c r="T321" s="634" t="s">
        <v>460</v>
      </c>
      <c r="U321" s="634" t="s">
        <v>2185</v>
      </c>
    </row>
    <row r="322" spans="8:21">
      <c r="I322" s="634" t="s">
        <v>2186</v>
      </c>
      <c r="J322" s="634" t="s">
        <v>954</v>
      </c>
      <c r="K322" s="634" t="str">
        <f t="shared" ref="K322:K385" si="7">CONCATENATE(I322,", ",J322)</f>
        <v>Lancaster/Palmdale, CA</v>
      </c>
      <c r="L322" s="634" t="s">
        <v>1555</v>
      </c>
      <c r="M322" s="634">
        <v>34.729999999999997</v>
      </c>
      <c r="N322" s="634">
        <v>-118.22</v>
      </c>
      <c r="O322" s="634">
        <v>-8</v>
      </c>
      <c r="P322" s="634">
        <v>715</v>
      </c>
      <c r="T322" s="634" t="s">
        <v>460</v>
      </c>
      <c r="U322" s="634" t="s">
        <v>2187</v>
      </c>
    </row>
    <row r="323" spans="8:21">
      <c r="H323" s="634">
        <v>24021</v>
      </c>
      <c r="I323" s="634" t="s">
        <v>2188</v>
      </c>
      <c r="J323" s="634" t="s">
        <v>904</v>
      </c>
      <c r="K323" s="634" t="str">
        <f t="shared" si="7"/>
        <v>Lander, WY</v>
      </c>
      <c r="L323" s="634" t="s">
        <v>1555</v>
      </c>
      <c r="M323" s="634">
        <v>42.82</v>
      </c>
      <c r="N323" s="634">
        <v>-108.73</v>
      </c>
      <c r="O323" s="634">
        <v>-7</v>
      </c>
      <c r="P323" s="634">
        <v>1694</v>
      </c>
      <c r="T323" s="634" t="s">
        <v>460</v>
      </c>
      <c r="U323" s="634" t="s">
        <v>2189</v>
      </c>
    </row>
    <row r="324" spans="8:21">
      <c r="H324" s="634">
        <v>14836</v>
      </c>
      <c r="I324" s="634" t="s">
        <v>2190</v>
      </c>
      <c r="J324" s="634" t="s">
        <v>540</v>
      </c>
      <c r="K324" s="634" t="str">
        <f t="shared" si="7"/>
        <v>Lansing, MI</v>
      </c>
      <c r="L324" s="634" t="s">
        <v>1555</v>
      </c>
      <c r="M324" s="634">
        <v>42.77</v>
      </c>
      <c r="N324" s="634">
        <v>-84.6</v>
      </c>
      <c r="O324" s="634">
        <v>-5</v>
      </c>
      <c r="P324" s="634">
        <v>266</v>
      </c>
      <c r="T324" s="634" t="s">
        <v>460</v>
      </c>
      <c r="U324" s="634" t="s">
        <v>2191</v>
      </c>
    </row>
    <row r="325" spans="8:21">
      <c r="H325" s="634">
        <v>12907</v>
      </c>
      <c r="I325" s="634" t="s">
        <v>2192</v>
      </c>
      <c r="J325" s="634" t="s">
        <v>228</v>
      </c>
      <c r="K325" s="634" t="str">
        <f t="shared" si="7"/>
        <v>Laredo AFB, TX</v>
      </c>
      <c r="L325" s="634" t="s">
        <v>1555</v>
      </c>
      <c r="M325" s="634">
        <v>27.53</v>
      </c>
      <c r="N325" s="634">
        <v>-99.46</v>
      </c>
      <c r="O325" s="634">
        <v>-6</v>
      </c>
      <c r="P325" s="634">
        <v>152</v>
      </c>
      <c r="T325" s="634" t="s">
        <v>460</v>
      </c>
      <c r="U325" s="634" t="s">
        <v>2193</v>
      </c>
    </row>
    <row r="326" spans="8:21">
      <c r="H326" s="634">
        <v>72252</v>
      </c>
      <c r="I326" s="634" t="s">
        <v>2194</v>
      </c>
      <c r="J326" s="634" t="s">
        <v>228</v>
      </c>
      <c r="K326" s="634" t="str">
        <f t="shared" si="7"/>
        <v>Laredo, TX</v>
      </c>
      <c r="L326" s="634" t="s">
        <v>1555</v>
      </c>
      <c r="M326" s="634">
        <v>27.55</v>
      </c>
      <c r="N326" s="634">
        <v>-99.47</v>
      </c>
      <c r="O326" s="634">
        <v>-6</v>
      </c>
      <c r="P326" s="634">
        <v>155</v>
      </c>
      <c r="T326" s="634" t="s">
        <v>460</v>
      </c>
      <c r="U326" s="634" t="s">
        <v>2195</v>
      </c>
    </row>
    <row r="327" spans="8:21">
      <c r="H327" s="634">
        <v>23169</v>
      </c>
      <c r="I327" s="634" t="s">
        <v>2196</v>
      </c>
      <c r="J327" s="634" t="s">
        <v>450</v>
      </c>
      <c r="K327" s="634" t="str">
        <f t="shared" si="7"/>
        <v>Las Vegas/Int'l Airport, NV</v>
      </c>
      <c r="L327" s="634" t="s">
        <v>1555</v>
      </c>
      <c r="M327" s="634">
        <v>36.08</v>
      </c>
      <c r="N327" s="634">
        <v>-115.17</v>
      </c>
      <c r="O327" s="634">
        <v>-8</v>
      </c>
      <c r="P327" s="634">
        <v>664</v>
      </c>
      <c r="T327" s="634" t="s">
        <v>460</v>
      </c>
      <c r="U327" s="634" t="s">
        <v>2197</v>
      </c>
    </row>
    <row r="328" spans="8:21">
      <c r="I328" s="634" t="s">
        <v>2198</v>
      </c>
      <c r="J328" s="634" t="s">
        <v>61</v>
      </c>
      <c r="K328" s="634" t="str">
        <f t="shared" si="7"/>
        <v>Lawton/Fort Sill/Post Field AF, OK</v>
      </c>
      <c r="L328" s="634" t="s">
        <v>1555</v>
      </c>
      <c r="M328" s="634">
        <v>34.65</v>
      </c>
      <c r="N328" s="634">
        <v>-98.4</v>
      </c>
      <c r="O328" s="634">
        <v>-6</v>
      </c>
      <c r="P328" s="634">
        <v>362</v>
      </c>
      <c r="T328" s="634" t="s">
        <v>1108</v>
      </c>
      <c r="U328" s="634" t="s">
        <v>2199</v>
      </c>
    </row>
    <row r="329" spans="8:21">
      <c r="I329" s="634" t="s">
        <v>2200</v>
      </c>
      <c r="J329" s="634" t="s">
        <v>1249</v>
      </c>
      <c r="K329" s="634" t="str">
        <f t="shared" si="7"/>
        <v>Lebanon, NH</v>
      </c>
      <c r="L329" s="634" t="s">
        <v>1555</v>
      </c>
      <c r="M329" s="634">
        <v>43.63</v>
      </c>
      <c r="N329" s="634">
        <v>-72.3</v>
      </c>
      <c r="O329" s="634">
        <v>-5</v>
      </c>
      <c r="P329" s="634">
        <v>182</v>
      </c>
      <c r="T329" s="634" t="s">
        <v>1108</v>
      </c>
      <c r="U329" s="634" t="s">
        <v>2201</v>
      </c>
    </row>
    <row r="330" spans="8:21">
      <c r="I330" s="634" t="s">
        <v>2202</v>
      </c>
      <c r="J330" s="634" t="s">
        <v>591</v>
      </c>
      <c r="K330" s="634" t="str">
        <f t="shared" si="7"/>
        <v>Leesville/Fort Polk, LA</v>
      </c>
      <c r="L330" s="634" t="s">
        <v>1555</v>
      </c>
      <c r="M330" s="634">
        <v>31.05</v>
      </c>
      <c r="N330" s="634">
        <v>-93.2</v>
      </c>
      <c r="O330" s="634">
        <v>-6</v>
      </c>
      <c r="P330" s="634">
        <v>100</v>
      </c>
      <c r="T330" s="634" t="s">
        <v>1108</v>
      </c>
      <c r="U330" s="634" t="s">
        <v>2203</v>
      </c>
    </row>
    <row r="331" spans="8:21">
      <c r="I331" s="634" t="s">
        <v>2204</v>
      </c>
      <c r="J331" s="634" t="s">
        <v>954</v>
      </c>
      <c r="K331" s="634" t="str">
        <f t="shared" si="7"/>
        <v>Lemoore/Reeves NAS, CA</v>
      </c>
      <c r="L331" s="634" t="s">
        <v>1555</v>
      </c>
      <c r="M331" s="634">
        <v>36.33</v>
      </c>
      <c r="N331" s="634">
        <v>-119.95</v>
      </c>
      <c r="O331" s="634">
        <v>-8</v>
      </c>
      <c r="P331" s="634">
        <v>72</v>
      </c>
      <c r="T331" s="634" t="s">
        <v>1108</v>
      </c>
      <c r="U331" s="634" t="s">
        <v>2205</v>
      </c>
    </row>
    <row r="332" spans="8:21">
      <c r="H332" s="634">
        <v>24149</v>
      </c>
      <c r="I332" s="634" t="s">
        <v>2206</v>
      </c>
      <c r="J332" s="634" t="s">
        <v>249</v>
      </c>
      <c r="K332" s="634" t="str">
        <f t="shared" si="7"/>
        <v>Lewiston, ID</v>
      </c>
      <c r="L332" s="634" t="s">
        <v>1555</v>
      </c>
      <c r="M332" s="634">
        <v>46.36</v>
      </c>
      <c r="N332" s="634">
        <v>-117.01</v>
      </c>
      <c r="O332" s="634">
        <v>-8</v>
      </c>
      <c r="P332" s="634">
        <v>437</v>
      </c>
      <c r="T332" s="634" t="s">
        <v>1108</v>
      </c>
      <c r="U332" s="634" t="s">
        <v>2207</v>
      </c>
    </row>
    <row r="333" spans="8:21">
      <c r="H333" s="634">
        <v>24036</v>
      </c>
      <c r="I333" s="634" t="s">
        <v>2208</v>
      </c>
      <c r="J333" s="634" t="s">
        <v>1108</v>
      </c>
      <c r="K333" s="634" t="str">
        <f t="shared" si="7"/>
        <v>Lewistown, MT</v>
      </c>
      <c r="L333" s="634" t="s">
        <v>1555</v>
      </c>
      <c r="M333" s="634">
        <v>47.05</v>
      </c>
      <c r="N333" s="634">
        <v>-109.47</v>
      </c>
      <c r="O333" s="634">
        <v>-7</v>
      </c>
      <c r="P333" s="634">
        <v>1270</v>
      </c>
      <c r="T333" s="634" t="s">
        <v>1108</v>
      </c>
      <c r="U333" s="634" t="s">
        <v>2209</v>
      </c>
    </row>
    <row r="334" spans="8:21">
      <c r="H334" s="634">
        <v>93820</v>
      </c>
      <c r="I334" s="634" t="s">
        <v>2210</v>
      </c>
      <c r="J334" s="634" t="s">
        <v>1107</v>
      </c>
      <c r="K334" s="634" t="str">
        <f t="shared" si="7"/>
        <v>Lexington, KY</v>
      </c>
      <c r="L334" s="634" t="s">
        <v>1555</v>
      </c>
      <c r="M334" s="634">
        <v>38.03</v>
      </c>
      <c r="N334" s="634">
        <v>-84.6</v>
      </c>
      <c r="O334" s="634">
        <v>-5</v>
      </c>
      <c r="P334" s="634">
        <v>301</v>
      </c>
      <c r="T334" s="634" t="s">
        <v>1108</v>
      </c>
      <c r="U334" s="634" t="s">
        <v>2211</v>
      </c>
    </row>
    <row r="335" spans="8:21">
      <c r="H335" s="634">
        <v>22536</v>
      </c>
      <c r="I335" s="634" t="s">
        <v>2212</v>
      </c>
      <c r="J335" s="634" t="s">
        <v>122</v>
      </c>
      <c r="K335" s="634" t="str">
        <f t="shared" si="7"/>
        <v>Lihue, HI</v>
      </c>
      <c r="L335" s="634" t="s">
        <v>1555</v>
      </c>
      <c r="M335" s="634">
        <v>21.98</v>
      </c>
      <c r="N335" s="634">
        <v>-159.35</v>
      </c>
      <c r="O335" s="634">
        <v>-10</v>
      </c>
      <c r="P335" s="634">
        <v>45</v>
      </c>
      <c r="T335" s="634" t="s">
        <v>1108</v>
      </c>
      <c r="U335" s="634" t="s">
        <v>2213</v>
      </c>
    </row>
    <row r="336" spans="8:21">
      <c r="I336" s="634" t="s">
        <v>2214</v>
      </c>
      <c r="J336" s="634" t="s">
        <v>903</v>
      </c>
      <c r="K336" s="634" t="str">
        <f t="shared" si="7"/>
        <v>Limestone/Loring AFB, ME</v>
      </c>
      <c r="L336" s="634" t="s">
        <v>1555</v>
      </c>
      <c r="M336" s="634">
        <v>46.95</v>
      </c>
      <c r="N336" s="634">
        <v>-67.88</v>
      </c>
      <c r="O336" s="634">
        <v>-5</v>
      </c>
      <c r="P336" s="634">
        <v>227</v>
      </c>
      <c r="T336" s="634" t="s">
        <v>1108</v>
      </c>
      <c r="U336" s="634" t="s">
        <v>2215</v>
      </c>
    </row>
    <row r="337" spans="8:21">
      <c r="I337" s="634" t="s">
        <v>2216</v>
      </c>
      <c r="J337" s="634" t="s">
        <v>536</v>
      </c>
      <c r="K337" s="634" t="str">
        <f t="shared" si="7"/>
        <v>Limon, CO</v>
      </c>
      <c r="L337" s="634" t="s">
        <v>1555</v>
      </c>
      <c r="M337" s="634">
        <v>39.270000000000003</v>
      </c>
      <c r="N337" s="634">
        <v>-103.67</v>
      </c>
      <c r="O337" s="634">
        <v>-7</v>
      </c>
      <c r="P337" s="634">
        <v>1635</v>
      </c>
      <c r="T337" s="634" t="s">
        <v>1108</v>
      </c>
      <c r="U337" s="634" t="s">
        <v>2217</v>
      </c>
    </row>
    <row r="338" spans="8:21">
      <c r="I338" s="634" t="s">
        <v>2218</v>
      </c>
      <c r="J338" s="634" t="s">
        <v>771</v>
      </c>
      <c r="K338" s="634" t="str">
        <f t="shared" si="7"/>
        <v>Lincoln, NE</v>
      </c>
      <c r="L338" s="634" t="s">
        <v>1555</v>
      </c>
      <c r="M338" s="634">
        <v>40.85</v>
      </c>
      <c r="N338" s="634">
        <v>-96.75</v>
      </c>
      <c r="O338" s="634">
        <v>-6</v>
      </c>
      <c r="P338" s="634">
        <v>362</v>
      </c>
      <c r="T338" s="634" t="s">
        <v>1108</v>
      </c>
      <c r="U338" s="634" t="s">
        <v>2219</v>
      </c>
    </row>
    <row r="339" spans="8:21">
      <c r="H339" s="634">
        <v>13963</v>
      </c>
      <c r="I339" s="634" t="s">
        <v>2220</v>
      </c>
      <c r="J339" s="634" t="s">
        <v>1176</v>
      </c>
      <c r="K339" s="634" t="str">
        <f t="shared" si="7"/>
        <v>Little Rock/AFB, AR</v>
      </c>
      <c r="L339" s="634" t="s">
        <v>1555</v>
      </c>
      <c r="M339" s="634">
        <v>34.92</v>
      </c>
      <c r="N339" s="634">
        <v>-92.15</v>
      </c>
      <c r="O339" s="634">
        <v>-6</v>
      </c>
      <c r="P339" s="634">
        <v>95</v>
      </c>
      <c r="T339" s="634" t="s">
        <v>1108</v>
      </c>
      <c r="U339" s="634" t="s">
        <v>2221</v>
      </c>
    </row>
    <row r="340" spans="8:21">
      <c r="H340" s="634">
        <v>1</v>
      </c>
      <c r="I340" s="634" t="s">
        <v>2222</v>
      </c>
      <c r="J340" s="634" t="s">
        <v>1853</v>
      </c>
      <c r="K340" s="634" t="str">
        <f t="shared" si="7"/>
        <v>London, EN</v>
      </c>
      <c r="L340" s="634" t="s">
        <v>2223</v>
      </c>
      <c r="M340" s="634">
        <v>51.48</v>
      </c>
      <c r="N340" s="634">
        <v>-0.45</v>
      </c>
      <c r="O340" s="634">
        <v>0</v>
      </c>
      <c r="P340" s="634">
        <v>26</v>
      </c>
      <c r="T340" s="634" t="s">
        <v>1108</v>
      </c>
      <c r="U340" s="634" t="s">
        <v>2224</v>
      </c>
    </row>
    <row r="341" spans="8:21">
      <c r="H341" s="634">
        <v>94805</v>
      </c>
      <c r="I341" s="634" t="s">
        <v>2222</v>
      </c>
      <c r="J341" s="634" t="s">
        <v>1621</v>
      </c>
      <c r="K341" s="634" t="str">
        <f t="shared" si="7"/>
        <v>London, ON</v>
      </c>
      <c r="L341" s="634" t="s">
        <v>1552</v>
      </c>
      <c r="M341" s="634">
        <v>43.03</v>
      </c>
      <c r="N341" s="634">
        <v>-81.150000000000006</v>
      </c>
      <c r="O341" s="634">
        <v>-5</v>
      </c>
      <c r="P341" s="634">
        <v>278</v>
      </c>
      <c r="T341" s="634" t="s">
        <v>1108</v>
      </c>
      <c r="U341" s="634" t="s">
        <v>2225</v>
      </c>
    </row>
    <row r="342" spans="8:21">
      <c r="H342" s="634">
        <v>23129</v>
      </c>
      <c r="I342" s="634" t="s">
        <v>2226</v>
      </c>
      <c r="J342" s="634" t="s">
        <v>954</v>
      </c>
      <c r="K342" s="634" t="str">
        <f t="shared" si="7"/>
        <v>Long Beach, CA</v>
      </c>
      <c r="L342" s="634" t="s">
        <v>1555</v>
      </c>
      <c r="M342" s="634">
        <v>33.82</v>
      </c>
      <c r="N342" s="634">
        <v>-118.15</v>
      </c>
      <c r="O342" s="634">
        <v>-8</v>
      </c>
      <c r="P342" s="634">
        <v>12</v>
      </c>
      <c r="T342" s="634" t="s">
        <v>1784</v>
      </c>
      <c r="U342" s="634" t="s">
        <v>2227</v>
      </c>
    </row>
    <row r="343" spans="8:21">
      <c r="H343" s="634">
        <v>23174</v>
      </c>
      <c r="I343" s="634" t="s">
        <v>2228</v>
      </c>
      <c r="J343" s="634" t="s">
        <v>954</v>
      </c>
      <c r="K343" s="634" t="str">
        <f t="shared" si="7"/>
        <v>Los Angeles, CA</v>
      </c>
      <c r="L343" s="634" t="s">
        <v>1555</v>
      </c>
      <c r="M343" s="634">
        <v>33.93</v>
      </c>
      <c r="N343" s="634">
        <v>-118.4</v>
      </c>
      <c r="O343" s="634">
        <v>-8</v>
      </c>
      <c r="P343" s="634">
        <v>32</v>
      </c>
      <c r="T343" s="634" t="s">
        <v>1784</v>
      </c>
      <c r="U343" s="634" t="s">
        <v>2229</v>
      </c>
    </row>
    <row r="344" spans="8:21">
      <c r="H344" s="634">
        <v>93821</v>
      </c>
      <c r="I344" s="634" t="s">
        <v>2230</v>
      </c>
      <c r="J344" s="634" t="s">
        <v>1107</v>
      </c>
      <c r="K344" s="634" t="str">
        <f t="shared" si="7"/>
        <v>Louisville, KY</v>
      </c>
      <c r="L344" s="634" t="s">
        <v>1555</v>
      </c>
      <c r="M344" s="634">
        <v>38.18</v>
      </c>
      <c r="N344" s="634">
        <v>-85.73</v>
      </c>
      <c r="O344" s="634">
        <v>-5</v>
      </c>
      <c r="P344" s="634">
        <v>149</v>
      </c>
      <c r="T344" s="634" t="s">
        <v>1784</v>
      </c>
      <c r="U344" s="634" t="s">
        <v>2231</v>
      </c>
    </row>
    <row r="345" spans="8:21">
      <c r="H345" s="634">
        <v>24172</v>
      </c>
      <c r="I345" s="634" t="s">
        <v>2232</v>
      </c>
      <c r="J345" s="634" t="s">
        <v>450</v>
      </c>
      <c r="K345" s="634" t="str">
        <f t="shared" si="7"/>
        <v>Lovelock, NV</v>
      </c>
      <c r="L345" s="634" t="s">
        <v>1555</v>
      </c>
      <c r="M345" s="634">
        <v>40.06</v>
      </c>
      <c r="N345" s="634">
        <v>-118.55</v>
      </c>
      <c r="O345" s="634">
        <v>-8</v>
      </c>
      <c r="P345" s="634">
        <v>1188</v>
      </c>
      <c r="T345" s="634" t="s">
        <v>1784</v>
      </c>
      <c r="U345" s="634" t="s">
        <v>2233</v>
      </c>
    </row>
    <row r="346" spans="8:21">
      <c r="H346" s="634">
        <v>23042</v>
      </c>
      <c r="I346" s="634" t="s">
        <v>2234</v>
      </c>
      <c r="J346" s="634" t="s">
        <v>228</v>
      </c>
      <c r="K346" s="634" t="str">
        <f t="shared" si="7"/>
        <v>Lubbock/Int'l Arpt, TX</v>
      </c>
      <c r="L346" s="634" t="s">
        <v>1555</v>
      </c>
      <c r="M346" s="634">
        <v>33.65</v>
      </c>
      <c r="N346" s="634">
        <v>-101.82</v>
      </c>
      <c r="O346" s="634">
        <v>-6</v>
      </c>
      <c r="P346" s="634">
        <v>988</v>
      </c>
      <c r="T346" s="634" t="s">
        <v>1784</v>
      </c>
      <c r="U346" s="634" t="s">
        <v>2235</v>
      </c>
    </row>
    <row r="347" spans="8:21">
      <c r="H347" s="634">
        <v>23021</v>
      </c>
      <c r="I347" s="634" t="s">
        <v>2236</v>
      </c>
      <c r="J347" s="634" t="s">
        <v>228</v>
      </c>
      <c r="K347" s="634" t="str">
        <f t="shared" si="7"/>
        <v>Lubbock/Reese AFB, TX</v>
      </c>
      <c r="L347" s="634" t="s">
        <v>1555</v>
      </c>
      <c r="M347" s="634">
        <v>33.6</v>
      </c>
      <c r="N347" s="634">
        <v>-102.05</v>
      </c>
      <c r="O347" s="634">
        <v>-6</v>
      </c>
      <c r="P347" s="634">
        <v>1017</v>
      </c>
      <c r="T347" s="634" t="s">
        <v>426</v>
      </c>
      <c r="U347" s="634" t="s">
        <v>2237</v>
      </c>
    </row>
    <row r="348" spans="8:21">
      <c r="H348" s="634">
        <v>93987</v>
      </c>
      <c r="I348" s="634" t="s">
        <v>2238</v>
      </c>
      <c r="J348" s="634" t="s">
        <v>228</v>
      </c>
      <c r="K348" s="634" t="str">
        <f t="shared" si="7"/>
        <v>Lufkin, TX</v>
      </c>
      <c r="L348" s="634" t="s">
        <v>1555</v>
      </c>
      <c r="M348" s="634">
        <v>31.23</v>
      </c>
      <c r="N348" s="634">
        <v>-94.75</v>
      </c>
      <c r="O348" s="634">
        <v>-6</v>
      </c>
      <c r="P348" s="634">
        <v>88</v>
      </c>
      <c r="T348" s="634" t="s">
        <v>426</v>
      </c>
      <c r="U348" s="634" t="s">
        <v>429</v>
      </c>
    </row>
    <row r="349" spans="8:21">
      <c r="H349" s="634">
        <v>13733</v>
      </c>
      <c r="I349" s="634" t="s">
        <v>2239</v>
      </c>
      <c r="J349" s="634" t="s">
        <v>501</v>
      </c>
      <c r="K349" s="634" t="str">
        <f t="shared" si="7"/>
        <v>Lynchburg, VA</v>
      </c>
      <c r="L349" s="634" t="s">
        <v>1555</v>
      </c>
      <c r="M349" s="634">
        <v>37.33</v>
      </c>
      <c r="N349" s="634">
        <v>-79.2</v>
      </c>
      <c r="O349" s="634">
        <v>-5</v>
      </c>
      <c r="P349" s="634">
        <v>286</v>
      </c>
      <c r="T349" s="634" t="s">
        <v>426</v>
      </c>
      <c r="U349" s="634" t="s">
        <v>2240</v>
      </c>
    </row>
    <row r="350" spans="8:21">
      <c r="H350" s="634">
        <v>3813</v>
      </c>
      <c r="I350" s="634" t="s">
        <v>2241</v>
      </c>
      <c r="J350" s="634" t="s">
        <v>428</v>
      </c>
      <c r="K350" s="634" t="str">
        <f t="shared" si="7"/>
        <v>Macon, GA</v>
      </c>
      <c r="L350" s="634" t="s">
        <v>1555</v>
      </c>
      <c r="M350" s="634">
        <v>32.700000000000003</v>
      </c>
      <c r="N350" s="634">
        <v>-83.65</v>
      </c>
      <c r="O350" s="634">
        <v>-5</v>
      </c>
      <c r="P350" s="634">
        <v>110</v>
      </c>
      <c r="T350" s="634" t="s">
        <v>426</v>
      </c>
      <c r="U350" s="634" t="s">
        <v>431</v>
      </c>
    </row>
    <row r="351" spans="8:21">
      <c r="H351" s="634">
        <v>14837</v>
      </c>
      <c r="I351" s="634" t="s">
        <v>2242</v>
      </c>
      <c r="J351" s="634" t="s">
        <v>1278</v>
      </c>
      <c r="K351" s="634" t="str">
        <f t="shared" si="7"/>
        <v>Madison, WI</v>
      </c>
      <c r="L351" s="634" t="s">
        <v>1555</v>
      </c>
      <c r="M351" s="634">
        <v>43.13</v>
      </c>
      <c r="N351" s="634">
        <v>-89.33</v>
      </c>
      <c r="O351" s="634">
        <v>-6</v>
      </c>
      <c r="P351" s="634">
        <v>264</v>
      </c>
      <c r="T351" s="634" t="s">
        <v>426</v>
      </c>
      <c r="U351" s="634" t="s">
        <v>2243</v>
      </c>
    </row>
    <row r="352" spans="8:21">
      <c r="H352" s="634">
        <v>14891</v>
      </c>
      <c r="I352" s="634" t="s">
        <v>2244</v>
      </c>
      <c r="J352" s="634" t="s">
        <v>229</v>
      </c>
      <c r="K352" s="634" t="str">
        <f t="shared" si="7"/>
        <v>Mansfield, OH</v>
      </c>
      <c r="L352" s="634" t="s">
        <v>1555</v>
      </c>
      <c r="M352" s="634">
        <v>40.82</v>
      </c>
      <c r="N352" s="634">
        <v>-82.52</v>
      </c>
      <c r="O352" s="634">
        <v>-5</v>
      </c>
      <c r="P352" s="634">
        <v>395</v>
      </c>
      <c r="T352" s="634" t="s">
        <v>426</v>
      </c>
      <c r="U352" s="634" t="s">
        <v>2245</v>
      </c>
    </row>
    <row r="353" spans="8:21">
      <c r="I353" s="634" t="s">
        <v>2246</v>
      </c>
      <c r="J353" s="634" t="s">
        <v>228</v>
      </c>
      <c r="K353" s="634" t="str">
        <f t="shared" si="7"/>
        <v>Marfa, TX</v>
      </c>
      <c r="L353" s="634" t="s">
        <v>1555</v>
      </c>
      <c r="M353" s="634">
        <v>30.37</v>
      </c>
      <c r="N353" s="634">
        <v>-104.02</v>
      </c>
      <c r="O353" s="634">
        <v>-6</v>
      </c>
      <c r="P353" s="634">
        <v>1481</v>
      </c>
      <c r="T353" s="634" t="s">
        <v>426</v>
      </c>
      <c r="U353" s="634" t="s">
        <v>2247</v>
      </c>
    </row>
    <row r="354" spans="8:21">
      <c r="I354" s="634" t="s">
        <v>2248</v>
      </c>
      <c r="J354" s="634" t="s">
        <v>428</v>
      </c>
      <c r="K354" s="634" t="str">
        <f t="shared" si="7"/>
        <v>Marietta/Dobbins AFB, GA</v>
      </c>
      <c r="L354" s="634" t="s">
        <v>1555</v>
      </c>
      <c r="M354" s="634">
        <v>33.92</v>
      </c>
      <c r="N354" s="634">
        <v>-84.52</v>
      </c>
      <c r="O354" s="634">
        <v>-5</v>
      </c>
      <c r="P354" s="634">
        <v>326</v>
      </c>
      <c r="T354" s="634" t="s">
        <v>426</v>
      </c>
      <c r="U354" s="634" t="s">
        <v>2249</v>
      </c>
    </row>
    <row r="355" spans="8:21">
      <c r="H355" s="634">
        <v>94836</v>
      </c>
      <c r="I355" s="634" t="s">
        <v>2250</v>
      </c>
      <c r="J355" s="634" t="s">
        <v>540</v>
      </c>
      <c r="K355" s="634" t="str">
        <f t="shared" si="7"/>
        <v>Marquette/Gwinn/K I Sawyer A, MI</v>
      </c>
      <c r="L355" s="634" t="s">
        <v>1555</v>
      </c>
      <c r="M355" s="634">
        <v>46.35</v>
      </c>
      <c r="N355" s="634">
        <v>-87.4</v>
      </c>
      <c r="O355" s="634">
        <v>-5</v>
      </c>
      <c r="P355" s="634">
        <v>372</v>
      </c>
      <c r="T355" s="634" t="s">
        <v>426</v>
      </c>
      <c r="U355" s="634" t="s">
        <v>2251</v>
      </c>
    </row>
    <row r="356" spans="8:21">
      <c r="I356" s="634" t="s">
        <v>2252</v>
      </c>
      <c r="J356" s="634" t="s">
        <v>540</v>
      </c>
      <c r="K356" s="634" t="str">
        <f t="shared" si="7"/>
        <v>Marquette/Ishpeming/Airport, MI</v>
      </c>
      <c r="L356" s="634" t="s">
        <v>1555</v>
      </c>
      <c r="M356" s="634">
        <v>46.53</v>
      </c>
      <c r="N356" s="634">
        <v>-87.55</v>
      </c>
      <c r="O356" s="634">
        <v>-5</v>
      </c>
      <c r="P356" s="634">
        <v>434</v>
      </c>
      <c r="T356" s="634" t="s">
        <v>426</v>
      </c>
      <c r="U356" s="634" t="s">
        <v>2253</v>
      </c>
    </row>
    <row r="357" spans="8:21">
      <c r="I357" s="634" t="s">
        <v>2254</v>
      </c>
      <c r="J357" s="634" t="s">
        <v>932</v>
      </c>
      <c r="K357" s="634" t="str">
        <f t="shared" si="7"/>
        <v>Marseilles, IL</v>
      </c>
      <c r="L357" s="634" t="s">
        <v>1555</v>
      </c>
      <c r="M357" s="634">
        <v>41.37</v>
      </c>
      <c r="N357" s="634">
        <v>-88.68</v>
      </c>
      <c r="O357" s="634">
        <v>-6</v>
      </c>
      <c r="P357" s="634">
        <v>225</v>
      </c>
      <c r="T357" s="634" t="s">
        <v>426</v>
      </c>
      <c r="U357" s="634" t="s">
        <v>2255</v>
      </c>
    </row>
    <row r="358" spans="8:21">
      <c r="I358" s="634" t="s">
        <v>2256</v>
      </c>
      <c r="J358" s="634" t="s">
        <v>513</v>
      </c>
      <c r="K358" s="634" t="str">
        <f t="shared" si="7"/>
        <v>Martinsburg, WV</v>
      </c>
      <c r="L358" s="634" t="s">
        <v>1555</v>
      </c>
      <c r="M358" s="634">
        <v>39.4</v>
      </c>
      <c r="N358" s="634">
        <v>-77.98</v>
      </c>
      <c r="O358" s="634">
        <v>-5</v>
      </c>
      <c r="P358" s="634">
        <v>170</v>
      </c>
      <c r="T358" s="634" t="s">
        <v>426</v>
      </c>
      <c r="U358" s="634" t="s">
        <v>2257</v>
      </c>
    </row>
    <row r="359" spans="8:21">
      <c r="I359" s="634" t="s">
        <v>2258</v>
      </c>
      <c r="J359" s="634" t="s">
        <v>954</v>
      </c>
      <c r="K359" s="634" t="str">
        <f t="shared" si="7"/>
        <v>Marysville/Yuba City/Beale AFB, CA</v>
      </c>
      <c r="L359" s="634" t="s">
        <v>1555</v>
      </c>
      <c r="M359" s="634">
        <v>39.130000000000003</v>
      </c>
      <c r="N359" s="634">
        <v>-121.43</v>
      </c>
      <c r="O359" s="634">
        <v>-8</v>
      </c>
      <c r="P359" s="634">
        <v>34</v>
      </c>
      <c r="T359" s="634" t="s">
        <v>426</v>
      </c>
      <c r="U359" s="634" t="s">
        <v>2259</v>
      </c>
    </row>
    <row r="360" spans="8:21">
      <c r="H360" s="634">
        <v>14940</v>
      </c>
      <c r="I360" s="634" t="s">
        <v>2260</v>
      </c>
      <c r="J360" s="634" t="s">
        <v>566</v>
      </c>
      <c r="K360" s="634" t="str">
        <f t="shared" si="7"/>
        <v>Mason City, IA</v>
      </c>
      <c r="L360" s="634" t="s">
        <v>1555</v>
      </c>
      <c r="M360" s="634">
        <v>43.15</v>
      </c>
      <c r="N360" s="634">
        <v>-93.33</v>
      </c>
      <c r="O360" s="634">
        <v>-6</v>
      </c>
      <c r="P360" s="634">
        <v>370</v>
      </c>
      <c r="T360" s="634" t="s">
        <v>248</v>
      </c>
      <c r="U360" s="634" t="s">
        <v>2261</v>
      </c>
    </row>
    <row r="361" spans="8:21">
      <c r="H361" s="634">
        <v>94725</v>
      </c>
      <c r="I361" s="634" t="s">
        <v>2262</v>
      </c>
      <c r="J361" s="634" t="s">
        <v>537</v>
      </c>
      <c r="K361" s="634" t="str">
        <f t="shared" si="7"/>
        <v>Massena, NY</v>
      </c>
      <c r="L361" s="634" t="s">
        <v>1555</v>
      </c>
      <c r="M361" s="634">
        <v>44.93</v>
      </c>
      <c r="N361" s="634">
        <v>-74.849999999999994</v>
      </c>
      <c r="O361" s="634">
        <v>-5</v>
      </c>
      <c r="P361" s="634">
        <v>65</v>
      </c>
      <c r="T361" s="634" t="s">
        <v>248</v>
      </c>
      <c r="U361" s="634" t="s">
        <v>2263</v>
      </c>
    </row>
    <row r="362" spans="8:21">
      <c r="I362" s="634" t="s">
        <v>2264</v>
      </c>
      <c r="J362" s="634" t="s">
        <v>61</v>
      </c>
      <c r="K362" s="634" t="str">
        <f t="shared" si="7"/>
        <v>Mcalester, OK</v>
      </c>
      <c r="L362" s="634" t="s">
        <v>1555</v>
      </c>
      <c r="M362" s="634">
        <v>34.880000000000003</v>
      </c>
      <c r="N362" s="634">
        <v>-95.78</v>
      </c>
      <c r="O362" s="634">
        <v>-6</v>
      </c>
      <c r="P362" s="634">
        <v>235</v>
      </c>
      <c r="T362" s="634" t="s">
        <v>248</v>
      </c>
      <c r="U362" s="634" t="s">
        <v>2265</v>
      </c>
    </row>
    <row r="363" spans="8:21">
      <c r="I363" s="634" t="s">
        <v>2266</v>
      </c>
      <c r="J363" s="634" t="s">
        <v>228</v>
      </c>
      <c r="K363" s="634" t="str">
        <f t="shared" si="7"/>
        <v>McAllen, TX</v>
      </c>
      <c r="L363" s="634" t="s">
        <v>1555</v>
      </c>
      <c r="M363" s="634">
        <v>26.18</v>
      </c>
      <c r="N363" s="634">
        <v>-98.23</v>
      </c>
      <c r="O363" s="634">
        <v>-6</v>
      </c>
      <c r="P363" s="634">
        <v>33</v>
      </c>
      <c r="T363" s="634" t="s">
        <v>248</v>
      </c>
      <c r="U363" s="634" t="s">
        <v>2267</v>
      </c>
    </row>
    <row r="364" spans="8:21">
      <c r="I364" s="634" t="s">
        <v>2268</v>
      </c>
      <c r="J364" s="634" t="s">
        <v>460</v>
      </c>
      <c r="K364" s="634" t="str">
        <f t="shared" si="7"/>
        <v>Mccomb, MS</v>
      </c>
      <c r="L364" s="634" t="s">
        <v>1555</v>
      </c>
      <c r="M364" s="634">
        <v>31.18</v>
      </c>
      <c r="N364" s="634">
        <v>-90.47</v>
      </c>
      <c r="O364" s="634">
        <v>-6</v>
      </c>
      <c r="P364" s="634">
        <v>126</v>
      </c>
      <c r="T364" s="634" t="s">
        <v>248</v>
      </c>
      <c r="U364" s="634" t="s">
        <v>2269</v>
      </c>
    </row>
    <row r="365" spans="8:21">
      <c r="H365" s="634">
        <v>26510</v>
      </c>
      <c r="I365" s="634" t="s">
        <v>2270</v>
      </c>
      <c r="J365" s="634" t="s">
        <v>953</v>
      </c>
      <c r="K365" s="634" t="str">
        <f t="shared" si="7"/>
        <v>McGrath, AK</v>
      </c>
      <c r="L365" s="634" t="s">
        <v>1555</v>
      </c>
      <c r="M365" s="634">
        <v>62.97</v>
      </c>
      <c r="N365" s="634">
        <v>-155.62</v>
      </c>
      <c r="O365" s="634">
        <v>-9</v>
      </c>
      <c r="P365" s="634">
        <v>103</v>
      </c>
      <c r="T365" s="634" t="s">
        <v>248</v>
      </c>
      <c r="U365" s="634" t="s">
        <v>2271</v>
      </c>
    </row>
    <row r="366" spans="8:21">
      <c r="I366" s="634" t="s">
        <v>2272</v>
      </c>
      <c r="J366" s="634" t="s">
        <v>427</v>
      </c>
      <c r="K366" s="634" t="str">
        <f t="shared" si="7"/>
        <v>Meacham, OR</v>
      </c>
      <c r="L366" s="634" t="s">
        <v>1555</v>
      </c>
      <c r="M366" s="634">
        <v>45.52</v>
      </c>
      <c r="N366" s="634">
        <v>-118.4</v>
      </c>
      <c r="O366" s="634">
        <v>-8</v>
      </c>
      <c r="P366" s="634">
        <v>1236</v>
      </c>
      <c r="T366" s="634" t="s">
        <v>248</v>
      </c>
      <c r="U366" s="634" t="s">
        <v>2273</v>
      </c>
    </row>
    <row r="367" spans="8:21">
      <c r="H367" s="634">
        <v>24225</v>
      </c>
      <c r="I367" s="634" t="s">
        <v>2274</v>
      </c>
      <c r="J367" s="634" t="s">
        <v>427</v>
      </c>
      <c r="K367" s="634" t="str">
        <f t="shared" si="7"/>
        <v>Medford, OR</v>
      </c>
      <c r="L367" s="634" t="s">
        <v>1555</v>
      </c>
      <c r="M367" s="634">
        <v>42.37</v>
      </c>
      <c r="N367" s="634">
        <v>-122.87</v>
      </c>
      <c r="O367" s="634">
        <v>-8</v>
      </c>
      <c r="P367" s="634">
        <v>405</v>
      </c>
      <c r="T367" s="634" t="s">
        <v>771</v>
      </c>
      <c r="U367" s="634" t="s">
        <v>2275</v>
      </c>
    </row>
    <row r="368" spans="8:21">
      <c r="I368" s="634" t="s">
        <v>2276</v>
      </c>
      <c r="J368" s="634" t="s">
        <v>594</v>
      </c>
      <c r="K368" s="634" t="str">
        <f t="shared" si="7"/>
        <v>Melbourne, FL</v>
      </c>
      <c r="L368" s="634" t="s">
        <v>1555</v>
      </c>
      <c r="M368" s="634">
        <v>28.1</v>
      </c>
      <c r="N368" s="634">
        <v>-80.650000000000006</v>
      </c>
      <c r="O368" s="634">
        <v>-5</v>
      </c>
      <c r="P368" s="634">
        <v>11</v>
      </c>
      <c r="T368" s="634" t="s">
        <v>771</v>
      </c>
      <c r="U368" s="634" t="s">
        <v>2277</v>
      </c>
    </row>
    <row r="369" spans="8:21">
      <c r="H369" s="634">
        <v>13893</v>
      </c>
      <c r="I369" s="634" t="s">
        <v>2278</v>
      </c>
      <c r="J369" s="634" t="s">
        <v>560</v>
      </c>
      <c r="K369" s="634" t="str">
        <f t="shared" si="7"/>
        <v>Memphis, TN</v>
      </c>
      <c r="L369" s="634" t="s">
        <v>1555</v>
      </c>
      <c r="M369" s="634">
        <v>35.049999999999997</v>
      </c>
      <c r="N369" s="634">
        <v>-90</v>
      </c>
      <c r="O369" s="634">
        <v>-6</v>
      </c>
      <c r="P369" s="634">
        <v>87</v>
      </c>
      <c r="T369" s="634" t="s">
        <v>771</v>
      </c>
      <c r="U369" s="634" t="s">
        <v>2279</v>
      </c>
    </row>
    <row r="370" spans="8:21">
      <c r="I370" s="634" t="s">
        <v>2280</v>
      </c>
      <c r="J370" s="634" t="s">
        <v>954</v>
      </c>
      <c r="K370" s="634" t="str">
        <f t="shared" si="7"/>
        <v>Merced/Castle AFB, CA</v>
      </c>
      <c r="L370" s="634" t="s">
        <v>1555</v>
      </c>
      <c r="M370" s="634">
        <v>37.380000000000003</v>
      </c>
      <c r="N370" s="634">
        <v>-120.57</v>
      </c>
      <c r="O370" s="634">
        <v>-8</v>
      </c>
      <c r="P370" s="634">
        <v>57</v>
      </c>
      <c r="T370" s="634" t="s">
        <v>771</v>
      </c>
      <c r="U370" s="634" t="s">
        <v>2281</v>
      </c>
    </row>
    <row r="371" spans="8:21">
      <c r="I371" s="634" t="s">
        <v>2282</v>
      </c>
      <c r="J371" s="634" t="s">
        <v>450</v>
      </c>
      <c r="K371" s="634" t="str">
        <f t="shared" si="7"/>
        <v>Mercury, NV</v>
      </c>
      <c r="L371" s="634" t="s">
        <v>1555</v>
      </c>
      <c r="M371" s="634">
        <v>36.619999999999997</v>
      </c>
      <c r="N371" s="634">
        <v>-116.02</v>
      </c>
      <c r="O371" s="634">
        <v>-8</v>
      </c>
      <c r="P371" s="634">
        <v>1009</v>
      </c>
      <c r="T371" s="634" t="s">
        <v>771</v>
      </c>
      <c r="U371" s="634" t="s">
        <v>2283</v>
      </c>
    </row>
    <row r="372" spans="8:21">
      <c r="H372" s="634">
        <v>13865</v>
      </c>
      <c r="I372" s="634" t="s">
        <v>2284</v>
      </c>
      <c r="J372" s="634" t="s">
        <v>460</v>
      </c>
      <c r="K372" s="634" t="str">
        <f t="shared" si="7"/>
        <v>Meridian, MS</v>
      </c>
      <c r="L372" s="634" t="s">
        <v>1555</v>
      </c>
      <c r="M372" s="634">
        <v>32.33</v>
      </c>
      <c r="N372" s="634">
        <v>-88.75</v>
      </c>
      <c r="O372" s="634">
        <v>-6</v>
      </c>
      <c r="P372" s="634">
        <v>94</v>
      </c>
      <c r="T372" s="634" t="s">
        <v>771</v>
      </c>
      <c r="U372" s="634" t="s">
        <v>2285</v>
      </c>
    </row>
    <row r="373" spans="8:21">
      <c r="H373" s="634">
        <v>12839</v>
      </c>
      <c r="I373" s="634" t="s">
        <v>2286</v>
      </c>
      <c r="J373" s="634" t="s">
        <v>594</v>
      </c>
      <c r="K373" s="634" t="str">
        <f t="shared" si="7"/>
        <v>Miami/Int'l Airport, FL</v>
      </c>
      <c r="L373" s="634" t="s">
        <v>1555</v>
      </c>
      <c r="M373" s="634">
        <v>25.82</v>
      </c>
      <c r="N373" s="634">
        <v>-80.28</v>
      </c>
      <c r="O373" s="634">
        <v>-5</v>
      </c>
      <c r="P373" s="634">
        <v>4</v>
      </c>
      <c r="T373" s="634" t="s">
        <v>771</v>
      </c>
      <c r="U373" s="634" t="s">
        <v>2287</v>
      </c>
    </row>
    <row r="374" spans="8:21">
      <c r="H374" s="634">
        <v>12839</v>
      </c>
      <c r="I374" s="634" t="s">
        <v>2288</v>
      </c>
      <c r="J374" s="634" t="s">
        <v>594</v>
      </c>
      <c r="K374" s="634" t="str">
        <f t="shared" si="7"/>
        <v>Miami/Kendall/New Tamiami Airport, FL</v>
      </c>
      <c r="L374" s="634" t="s">
        <v>1555</v>
      </c>
      <c r="M374" s="634">
        <v>25.65</v>
      </c>
      <c r="N374" s="634">
        <v>-80.430000000000007</v>
      </c>
      <c r="O374" s="634">
        <v>-5</v>
      </c>
      <c r="P374" s="634">
        <v>3</v>
      </c>
      <c r="T374" s="634" t="s">
        <v>771</v>
      </c>
      <c r="U374" s="634" t="s">
        <v>2289</v>
      </c>
    </row>
    <row r="375" spans="8:21">
      <c r="I375" s="634" t="s">
        <v>1196</v>
      </c>
      <c r="J375" s="634" t="s">
        <v>953</v>
      </c>
      <c r="K375" s="634" t="str">
        <f t="shared" si="7"/>
        <v>Middleton Island, AK</v>
      </c>
      <c r="L375" s="634" t="s">
        <v>1555</v>
      </c>
      <c r="M375" s="634">
        <v>59.43</v>
      </c>
      <c r="N375" s="634">
        <v>-146.33000000000001</v>
      </c>
      <c r="O375" s="634">
        <v>-9</v>
      </c>
      <c r="P375" s="634">
        <v>14</v>
      </c>
      <c r="T375" s="634" t="s">
        <v>771</v>
      </c>
      <c r="U375" s="634" t="s">
        <v>2290</v>
      </c>
    </row>
    <row r="376" spans="8:21">
      <c r="H376" s="634">
        <v>23023</v>
      </c>
      <c r="I376" s="634" t="s">
        <v>2291</v>
      </c>
      <c r="J376" s="634" t="s">
        <v>228</v>
      </c>
      <c r="K376" s="634" t="str">
        <f t="shared" si="7"/>
        <v>Midland/Odessa, TX</v>
      </c>
      <c r="L376" s="634" t="s">
        <v>1555</v>
      </c>
      <c r="M376" s="634">
        <v>31.95</v>
      </c>
      <c r="N376" s="634">
        <v>-102.18</v>
      </c>
      <c r="O376" s="634">
        <v>-6</v>
      </c>
      <c r="P376" s="634">
        <v>872</v>
      </c>
      <c r="T376" s="634" t="s">
        <v>771</v>
      </c>
      <c r="U376" s="634" t="s">
        <v>2292</v>
      </c>
    </row>
    <row r="377" spans="8:21">
      <c r="H377" s="634">
        <v>72265</v>
      </c>
      <c r="I377" s="634" t="s">
        <v>2291</v>
      </c>
      <c r="J377" s="634" t="s">
        <v>228</v>
      </c>
      <c r="K377" s="634" t="str">
        <f t="shared" si="7"/>
        <v>Midland/Odessa, TX</v>
      </c>
      <c r="L377" s="634" t="s">
        <v>1555</v>
      </c>
      <c r="M377" s="634">
        <v>31.95</v>
      </c>
      <c r="N377" s="634">
        <v>-102.18</v>
      </c>
      <c r="O377" s="634">
        <v>-6</v>
      </c>
      <c r="P377" s="634">
        <v>872</v>
      </c>
      <c r="T377" s="634" t="s">
        <v>1660</v>
      </c>
      <c r="U377" s="634" t="s">
        <v>2293</v>
      </c>
    </row>
    <row r="378" spans="8:21">
      <c r="H378" s="634">
        <v>24037</v>
      </c>
      <c r="I378" s="634" t="s">
        <v>2294</v>
      </c>
      <c r="J378" s="634" t="s">
        <v>1108</v>
      </c>
      <c r="K378" s="634" t="str">
        <f t="shared" si="7"/>
        <v>Miles City, MT</v>
      </c>
      <c r="L378" s="634" t="s">
        <v>1555</v>
      </c>
      <c r="M378" s="634">
        <v>46.43</v>
      </c>
      <c r="N378" s="634">
        <v>-105.87</v>
      </c>
      <c r="O378" s="634">
        <v>-7</v>
      </c>
      <c r="P378" s="634">
        <v>801</v>
      </c>
      <c r="T378" s="634" t="s">
        <v>1660</v>
      </c>
      <c r="U378" s="634" t="s">
        <v>2293</v>
      </c>
    </row>
    <row r="379" spans="8:21">
      <c r="I379" s="634" t="s">
        <v>2295</v>
      </c>
      <c r="J379" s="634" t="s">
        <v>589</v>
      </c>
      <c r="K379" s="634" t="str">
        <f t="shared" si="7"/>
        <v>Millville, NJ</v>
      </c>
      <c r="L379" s="634" t="s">
        <v>1555</v>
      </c>
      <c r="M379" s="634">
        <v>39.369999999999997</v>
      </c>
      <c r="N379" s="634">
        <v>-75.069999999999993</v>
      </c>
      <c r="O379" s="634">
        <v>-5</v>
      </c>
      <c r="P379" s="634">
        <v>25</v>
      </c>
      <c r="T379" s="634" t="s">
        <v>1660</v>
      </c>
      <c r="U379" s="634" t="s">
        <v>2296</v>
      </c>
    </row>
    <row r="380" spans="8:21">
      <c r="I380" s="634" t="s">
        <v>2297</v>
      </c>
      <c r="J380" s="634" t="s">
        <v>594</v>
      </c>
      <c r="K380" s="634" t="str">
        <f t="shared" si="7"/>
        <v>Milton/Whiting Field NAS, FL</v>
      </c>
      <c r="L380" s="634" t="s">
        <v>1555</v>
      </c>
      <c r="M380" s="634">
        <v>30.72</v>
      </c>
      <c r="N380" s="634">
        <v>-87.02</v>
      </c>
      <c r="O380" s="634">
        <v>-6</v>
      </c>
      <c r="P380" s="634">
        <v>61</v>
      </c>
      <c r="T380" s="634" t="s">
        <v>1660</v>
      </c>
      <c r="U380" s="634" t="s">
        <v>2298</v>
      </c>
    </row>
    <row r="381" spans="8:21">
      <c r="H381" s="634">
        <v>14839</v>
      </c>
      <c r="I381" s="634" t="s">
        <v>2299</v>
      </c>
      <c r="J381" s="634" t="s">
        <v>1278</v>
      </c>
      <c r="K381" s="634" t="str">
        <f t="shared" si="7"/>
        <v>Milwaukee, WI</v>
      </c>
      <c r="L381" s="634" t="s">
        <v>1555</v>
      </c>
      <c r="M381" s="634">
        <v>42.95</v>
      </c>
      <c r="N381" s="634">
        <v>-87.9</v>
      </c>
      <c r="O381" s="634">
        <v>-6</v>
      </c>
      <c r="P381" s="634">
        <v>211</v>
      </c>
      <c r="T381" s="634" t="s">
        <v>1660</v>
      </c>
      <c r="U381" s="634" t="s">
        <v>2300</v>
      </c>
    </row>
    <row r="382" spans="8:21">
      <c r="H382" s="634">
        <v>14922</v>
      </c>
      <c r="I382" s="634" t="s">
        <v>2301</v>
      </c>
      <c r="J382" s="634" t="s">
        <v>934</v>
      </c>
      <c r="K382" s="634" t="str">
        <f t="shared" si="7"/>
        <v>Minneapolis-St Paul, MN</v>
      </c>
      <c r="L382" s="634" t="s">
        <v>1555</v>
      </c>
      <c r="M382" s="634">
        <v>44.88</v>
      </c>
      <c r="N382" s="634">
        <v>-93.22</v>
      </c>
      <c r="O382" s="634">
        <v>-6</v>
      </c>
      <c r="P382" s="634">
        <v>255</v>
      </c>
      <c r="T382" s="634" t="s">
        <v>1660</v>
      </c>
      <c r="U382" s="634" t="s">
        <v>2302</v>
      </c>
    </row>
    <row r="383" spans="8:21">
      <c r="I383" s="634" t="s">
        <v>2303</v>
      </c>
      <c r="J383" s="634" t="s">
        <v>248</v>
      </c>
      <c r="K383" s="634" t="str">
        <f t="shared" si="7"/>
        <v>Minot/AFB, ND</v>
      </c>
      <c r="L383" s="634" t="s">
        <v>1555</v>
      </c>
      <c r="M383" s="634">
        <v>48.42</v>
      </c>
      <c r="N383" s="634">
        <v>-101.35</v>
      </c>
      <c r="O383" s="634">
        <v>-6</v>
      </c>
      <c r="P383" s="634">
        <v>508</v>
      </c>
      <c r="T383" s="634" t="s">
        <v>1660</v>
      </c>
      <c r="U383" s="634" t="s">
        <v>2304</v>
      </c>
    </row>
    <row r="384" spans="8:21">
      <c r="H384" s="634">
        <v>24013</v>
      </c>
      <c r="I384" s="634" t="s">
        <v>2305</v>
      </c>
      <c r="J384" s="634" t="s">
        <v>248</v>
      </c>
      <c r="K384" s="634" t="str">
        <f t="shared" si="7"/>
        <v>Minot/Int'l Airport, ND</v>
      </c>
      <c r="L384" s="634" t="s">
        <v>1555</v>
      </c>
      <c r="M384" s="634">
        <v>48.27</v>
      </c>
      <c r="N384" s="634">
        <v>-101.28</v>
      </c>
      <c r="O384" s="634">
        <v>-6</v>
      </c>
      <c r="P384" s="634">
        <v>523</v>
      </c>
      <c r="T384" s="634" t="s">
        <v>1660</v>
      </c>
      <c r="U384" s="634" t="s">
        <v>2306</v>
      </c>
    </row>
    <row r="385" spans="8:21">
      <c r="H385" s="634">
        <v>24153</v>
      </c>
      <c r="I385" s="634" t="s">
        <v>2307</v>
      </c>
      <c r="J385" s="634" t="s">
        <v>1108</v>
      </c>
      <c r="K385" s="634" t="str">
        <f t="shared" si="7"/>
        <v>Missoula, MT</v>
      </c>
      <c r="L385" s="634" t="s">
        <v>1555</v>
      </c>
      <c r="M385" s="634">
        <v>46.92</v>
      </c>
      <c r="N385" s="634">
        <v>-114.08</v>
      </c>
      <c r="O385" s="634">
        <v>-7</v>
      </c>
      <c r="P385" s="634">
        <v>972</v>
      </c>
      <c r="T385" s="634" t="s">
        <v>1660</v>
      </c>
      <c r="U385" s="634" t="s">
        <v>2308</v>
      </c>
    </row>
    <row r="386" spans="8:21">
      <c r="H386" s="634">
        <v>13894</v>
      </c>
      <c r="I386" s="634" t="s">
        <v>2309</v>
      </c>
      <c r="J386" s="634" t="s">
        <v>247</v>
      </c>
      <c r="K386" s="634" t="str">
        <f t="shared" ref="K386:K449" si="8">CONCATENATE(I386,", ",J386)</f>
        <v>Mobile, AL</v>
      </c>
      <c r="L386" s="634" t="s">
        <v>1555</v>
      </c>
      <c r="M386" s="634">
        <v>30.68</v>
      </c>
      <c r="N386" s="634">
        <v>-88.25</v>
      </c>
      <c r="O386" s="634">
        <v>-6</v>
      </c>
      <c r="P386" s="634">
        <v>67</v>
      </c>
      <c r="T386" s="634" t="s">
        <v>1660</v>
      </c>
      <c r="U386" s="634" t="s">
        <v>2310</v>
      </c>
    </row>
    <row r="387" spans="8:21">
      <c r="H387" s="634">
        <v>14923</v>
      </c>
      <c r="I387" s="634" t="s">
        <v>2311</v>
      </c>
      <c r="J387" s="634" t="s">
        <v>932</v>
      </c>
      <c r="K387" s="634" t="str">
        <f t="shared" si="8"/>
        <v>Moline/Davenport IA, IL</v>
      </c>
      <c r="L387" s="634" t="s">
        <v>1555</v>
      </c>
      <c r="M387" s="634">
        <v>41.45</v>
      </c>
      <c r="N387" s="634">
        <v>-90.52</v>
      </c>
      <c r="O387" s="634">
        <v>-6</v>
      </c>
      <c r="P387" s="634">
        <v>181</v>
      </c>
      <c r="T387" s="634" t="s">
        <v>1660</v>
      </c>
      <c r="U387" s="634" t="s">
        <v>2310</v>
      </c>
    </row>
    <row r="388" spans="8:21">
      <c r="I388" s="634" t="s">
        <v>2312</v>
      </c>
      <c r="J388" s="634" t="s">
        <v>122</v>
      </c>
      <c r="K388" s="634" t="str">
        <f t="shared" si="8"/>
        <v>Molokai, HI</v>
      </c>
      <c r="L388" s="634" t="s">
        <v>1555</v>
      </c>
      <c r="M388" s="634">
        <v>21.15</v>
      </c>
      <c r="N388" s="634">
        <v>-157.1</v>
      </c>
      <c r="O388" s="634">
        <v>-10</v>
      </c>
      <c r="P388" s="634">
        <v>137</v>
      </c>
      <c r="T388" s="634" t="s">
        <v>1660</v>
      </c>
      <c r="U388" s="634" t="s">
        <v>2313</v>
      </c>
    </row>
    <row r="389" spans="8:21">
      <c r="H389" s="634">
        <v>14625</v>
      </c>
      <c r="I389" s="634" t="s">
        <v>2314</v>
      </c>
      <c r="J389" s="634" t="s">
        <v>1784</v>
      </c>
      <c r="K389" s="634" t="str">
        <f t="shared" si="8"/>
        <v>Moncton, NB</v>
      </c>
      <c r="L389" s="634" t="s">
        <v>1552</v>
      </c>
      <c r="M389" s="634">
        <v>46.12</v>
      </c>
      <c r="N389" s="634">
        <v>-64.680000000000007</v>
      </c>
      <c r="O389" s="634">
        <v>-4</v>
      </c>
      <c r="P389" s="634">
        <v>71</v>
      </c>
      <c r="T389" s="634" t="s">
        <v>1660</v>
      </c>
      <c r="U389" s="634" t="s">
        <v>2315</v>
      </c>
    </row>
    <row r="390" spans="8:21">
      <c r="I390" s="634" t="s">
        <v>2316</v>
      </c>
      <c r="J390" s="634" t="s">
        <v>591</v>
      </c>
      <c r="K390" s="634" t="str">
        <f t="shared" si="8"/>
        <v>Monroe, LA</v>
      </c>
      <c r="L390" s="634" t="s">
        <v>1555</v>
      </c>
      <c r="M390" s="634">
        <v>32.520000000000003</v>
      </c>
      <c r="N390" s="634">
        <v>-92.03</v>
      </c>
      <c r="O390" s="634">
        <v>-6</v>
      </c>
      <c r="P390" s="634">
        <v>24</v>
      </c>
      <c r="T390" s="634" t="s">
        <v>1249</v>
      </c>
      <c r="U390" s="634" t="s">
        <v>2317</v>
      </c>
    </row>
    <row r="391" spans="8:21">
      <c r="H391" s="634">
        <v>14639</v>
      </c>
      <c r="I391" s="634" t="s">
        <v>2318</v>
      </c>
      <c r="J391" s="634" t="s">
        <v>1641</v>
      </c>
      <c r="K391" s="634" t="str">
        <f t="shared" si="8"/>
        <v>Mont Joli, PQ</v>
      </c>
      <c r="L391" s="634" t="s">
        <v>1552</v>
      </c>
      <c r="M391" s="634">
        <v>48.6</v>
      </c>
      <c r="N391" s="634">
        <v>-68.22</v>
      </c>
      <c r="O391" s="634">
        <v>-5</v>
      </c>
      <c r="P391" s="634">
        <v>52</v>
      </c>
      <c r="T391" s="634" t="s">
        <v>1249</v>
      </c>
      <c r="U391" s="634" t="s">
        <v>2319</v>
      </c>
    </row>
    <row r="392" spans="8:21">
      <c r="H392" s="634">
        <v>13895</v>
      </c>
      <c r="I392" s="634" t="s">
        <v>2320</v>
      </c>
      <c r="J392" s="634" t="s">
        <v>247</v>
      </c>
      <c r="K392" s="634" t="str">
        <f t="shared" si="8"/>
        <v>Montgomery, AL</v>
      </c>
      <c r="L392" s="634" t="s">
        <v>1555</v>
      </c>
      <c r="M392" s="634">
        <v>32.299999999999997</v>
      </c>
      <c r="N392" s="634">
        <v>-86.4</v>
      </c>
      <c r="O392" s="634">
        <v>-6</v>
      </c>
      <c r="P392" s="634">
        <v>62</v>
      </c>
      <c r="T392" s="634" t="s">
        <v>1249</v>
      </c>
      <c r="U392" s="634" t="s">
        <v>815</v>
      </c>
    </row>
    <row r="393" spans="8:21">
      <c r="I393" s="634" t="s">
        <v>2321</v>
      </c>
      <c r="J393" s="634" t="s">
        <v>1033</v>
      </c>
      <c r="K393" s="634" t="str">
        <f t="shared" si="8"/>
        <v>Montpelier/Barre, VT</v>
      </c>
      <c r="L393" s="634" t="s">
        <v>1555</v>
      </c>
      <c r="M393" s="634">
        <v>44.2</v>
      </c>
      <c r="N393" s="634">
        <v>-72.569999999999993</v>
      </c>
      <c r="O393" s="634">
        <v>-5</v>
      </c>
      <c r="P393" s="634">
        <v>355</v>
      </c>
      <c r="T393" s="634" t="s">
        <v>1249</v>
      </c>
      <c r="U393" s="634" t="s">
        <v>2322</v>
      </c>
    </row>
    <row r="394" spans="8:21">
      <c r="H394" s="634">
        <v>94792</v>
      </c>
      <c r="I394" s="634" t="s">
        <v>2323</v>
      </c>
      <c r="J394" s="634" t="s">
        <v>1641</v>
      </c>
      <c r="K394" s="634" t="str">
        <f t="shared" si="8"/>
        <v>Montreal Int'l, PQ</v>
      </c>
      <c r="L394" s="634" t="s">
        <v>1552</v>
      </c>
      <c r="M394" s="634">
        <v>45.47</v>
      </c>
      <c r="N394" s="634">
        <v>-73.75</v>
      </c>
      <c r="O394" s="634">
        <v>-5</v>
      </c>
      <c r="P394" s="634">
        <v>36</v>
      </c>
      <c r="T394" s="634" t="s">
        <v>589</v>
      </c>
      <c r="U394" s="634" t="s">
        <v>2324</v>
      </c>
    </row>
    <row r="395" spans="8:21">
      <c r="H395" s="634">
        <v>4770</v>
      </c>
      <c r="I395" s="634" t="s">
        <v>2325</v>
      </c>
      <c r="J395" s="634" t="s">
        <v>1641</v>
      </c>
      <c r="K395" s="634" t="str">
        <f t="shared" si="8"/>
        <v>Montreal Mirabel, PQ</v>
      </c>
      <c r="L395" s="634" t="s">
        <v>1552</v>
      </c>
      <c r="M395" s="634">
        <v>45.68</v>
      </c>
      <c r="N395" s="634">
        <v>-74.03</v>
      </c>
      <c r="O395" s="634">
        <v>-5</v>
      </c>
      <c r="P395" s="634">
        <v>82</v>
      </c>
      <c r="T395" s="634" t="s">
        <v>589</v>
      </c>
      <c r="U395" s="634" t="s">
        <v>2326</v>
      </c>
    </row>
    <row r="396" spans="8:21">
      <c r="H396" s="634">
        <v>75290</v>
      </c>
      <c r="I396" s="634" t="s">
        <v>2325</v>
      </c>
      <c r="J396" s="634" t="s">
        <v>1641</v>
      </c>
      <c r="K396" s="634" t="str">
        <f t="shared" si="8"/>
        <v>Montreal Mirabel, PQ</v>
      </c>
      <c r="L396" s="634" t="s">
        <v>1552</v>
      </c>
      <c r="M396" s="634">
        <v>45.68</v>
      </c>
      <c r="N396" s="634">
        <v>-74.03</v>
      </c>
      <c r="O396" s="634">
        <v>-5</v>
      </c>
      <c r="P396" s="634">
        <v>82</v>
      </c>
      <c r="T396" s="634" t="s">
        <v>589</v>
      </c>
      <c r="U396" s="634" t="s">
        <v>2327</v>
      </c>
    </row>
    <row r="397" spans="8:21">
      <c r="H397" s="634">
        <v>25018</v>
      </c>
      <c r="I397" s="634" t="s">
        <v>2328</v>
      </c>
      <c r="J397" s="634" t="s">
        <v>1728</v>
      </c>
      <c r="K397" s="634" t="str">
        <f t="shared" si="8"/>
        <v>Moose Jaw, SK</v>
      </c>
      <c r="L397" s="634" t="s">
        <v>1552</v>
      </c>
      <c r="M397" s="634">
        <v>50.33</v>
      </c>
      <c r="N397" s="634">
        <v>-105.55</v>
      </c>
      <c r="O397" s="634">
        <v>-6</v>
      </c>
      <c r="P397" s="634">
        <v>577</v>
      </c>
      <c r="T397" s="634" t="s">
        <v>589</v>
      </c>
      <c r="U397" s="634" t="s">
        <v>2329</v>
      </c>
    </row>
    <row r="398" spans="8:21">
      <c r="I398" s="634" t="s">
        <v>2330</v>
      </c>
      <c r="J398" s="634" t="s">
        <v>513</v>
      </c>
      <c r="K398" s="634" t="str">
        <f t="shared" si="8"/>
        <v>Morgantown, WV</v>
      </c>
      <c r="L398" s="634" t="s">
        <v>1555</v>
      </c>
      <c r="M398" s="634">
        <v>39.65</v>
      </c>
      <c r="N398" s="634">
        <v>-79.92</v>
      </c>
      <c r="O398" s="634">
        <v>-5</v>
      </c>
      <c r="P398" s="634">
        <v>380</v>
      </c>
      <c r="T398" s="634" t="s">
        <v>589</v>
      </c>
      <c r="U398" s="634" t="s">
        <v>2331</v>
      </c>
    </row>
    <row r="399" spans="8:21">
      <c r="H399" s="634">
        <v>27101</v>
      </c>
      <c r="I399" s="634" t="s">
        <v>2332</v>
      </c>
      <c r="J399" s="634" t="s">
        <v>1759</v>
      </c>
      <c r="K399" s="634" t="str">
        <f t="shared" si="8"/>
        <v>Mould Bay, NT</v>
      </c>
      <c r="L399" s="634" t="s">
        <v>1552</v>
      </c>
      <c r="M399" s="634">
        <v>76.2</v>
      </c>
      <c r="N399" s="634">
        <v>-119.3</v>
      </c>
      <c r="O399" s="634">
        <v>-7</v>
      </c>
      <c r="P399" s="634">
        <v>40</v>
      </c>
      <c r="T399" s="634" t="s">
        <v>589</v>
      </c>
      <c r="U399" s="634" t="s">
        <v>2333</v>
      </c>
    </row>
    <row r="400" spans="8:21">
      <c r="I400" s="634" t="s">
        <v>2334</v>
      </c>
      <c r="J400" s="634" t="s">
        <v>540</v>
      </c>
      <c r="K400" s="634" t="str">
        <f t="shared" si="8"/>
        <v>Mount Clemens/Selfridge ANGB, MI</v>
      </c>
      <c r="L400" s="634" t="s">
        <v>1555</v>
      </c>
      <c r="M400" s="634">
        <v>42.62</v>
      </c>
      <c r="N400" s="634">
        <v>-82.83</v>
      </c>
      <c r="O400" s="634">
        <v>-5</v>
      </c>
      <c r="P400" s="634">
        <v>177</v>
      </c>
      <c r="T400" s="634" t="s">
        <v>538</v>
      </c>
      <c r="U400" s="634" t="s">
        <v>2335</v>
      </c>
    </row>
    <row r="401" spans="8:21">
      <c r="H401" s="634">
        <v>94857</v>
      </c>
      <c r="I401" s="634" t="s">
        <v>2336</v>
      </c>
      <c r="J401" s="634" t="s">
        <v>1621</v>
      </c>
      <c r="K401" s="634" t="str">
        <f t="shared" si="8"/>
        <v>Mount Forest, ON</v>
      </c>
      <c r="L401" s="634" t="s">
        <v>1552</v>
      </c>
      <c r="M401" s="634">
        <v>43.98</v>
      </c>
      <c r="N401" s="634">
        <v>-80.75</v>
      </c>
      <c r="O401" s="634">
        <v>-5</v>
      </c>
      <c r="P401" s="634">
        <v>415</v>
      </c>
      <c r="T401" s="634" t="s">
        <v>538</v>
      </c>
      <c r="U401" s="634" t="s">
        <v>2337</v>
      </c>
    </row>
    <row r="402" spans="8:21">
      <c r="H402" s="634">
        <v>24215</v>
      </c>
      <c r="I402" s="634" t="s">
        <v>2338</v>
      </c>
      <c r="J402" s="634" t="s">
        <v>954</v>
      </c>
      <c r="K402" s="634" t="str">
        <f t="shared" si="8"/>
        <v>Mount Shasta, CA</v>
      </c>
      <c r="L402" s="634" t="s">
        <v>1555</v>
      </c>
      <c r="M402" s="634">
        <v>41.33</v>
      </c>
      <c r="N402" s="634">
        <v>-122.33</v>
      </c>
      <c r="O402" s="634">
        <v>-8</v>
      </c>
      <c r="P402" s="634">
        <v>1077</v>
      </c>
      <c r="T402" s="634" t="s">
        <v>538</v>
      </c>
      <c r="U402" s="634" t="s">
        <v>2339</v>
      </c>
    </row>
    <row r="403" spans="8:21">
      <c r="I403" s="634" t="s">
        <v>816</v>
      </c>
      <c r="J403" s="634" t="s">
        <v>1249</v>
      </c>
      <c r="K403" s="634" t="str">
        <f t="shared" si="8"/>
        <v>Mount Washington, NH</v>
      </c>
      <c r="L403" s="634" t="s">
        <v>1555</v>
      </c>
      <c r="M403" s="634">
        <v>44.27</v>
      </c>
      <c r="N403" s="634">
        <v>-71.3</v>
      </c>
      <c r="O403" s="634">
        <v>-5</v>
      </c>
      <c r="P403" s="634">
        <v>1910</v>
      </c>
      <c r="T403" s="634" t="s">
        <v>538</v>
      </c>
      <c r="U403" s="634" t="s">
        <v>2340</v>
      </c>
    </row>
    <row r="404" spans="8:21">
      <c r="I404" s="634" t="s">
        <v>2341</v>
      </c>
      <c r="J404" s="634" t="s">
        <v>249</v>
      </c>
      <c r="K404" s="634" t="str">
        <f t="shared" si="8"/>
        <v>Mountain Home/AFB, ID</v>
      </c>
      <c r="L404" s="634" t="s">
        <v>1555</v>
      </c>
      <c r="M404" s="634">
        <v>43.05</v>
      </c>
      <c r="N404" s="634">
        <v>-115.87</v>
      </c>
      <c r="O404" s="634">
        <v>-7</v>
      </c>
      <c r="P404" s="634">
        <v>913</v>
      </c>
      <c r="T404" s="634" t="s">
        <v>538</v>
      </c>
      <c r="U404" s="634" t="s">
        <v>2342</v>
      </c>
    </row>
    <row r="405" spans="8:21">
      <c r="H405" s="634">
        <v>23244</v>
      </c>
      <c r="I405" s="634" t="s">
        <v>2343</v>
      </c>
      <c r="J405" s="634" t="s">
        <v>954</v>
      </c>
      <c r="K405" s="634" t="str">
        <f t="shared" si="8"/>
        <v>Mountain View/Moffet NAS, CA</v>
      </c>
      <c r="L405" s="634" t="s">
        <v>1555</v>
      </c>
      <c r="M405" s="634">
        <v>37.42</v>
      </c>
      <c r="N405" s="634">
        <v>-122.05</v>
      </c>
      <c r="O405" s="634">
        <v>-8</v>
      </c>
      <c r="P405" s="634">
        <v>12</v>
      </c>
      <c r="T405" s="634" t="s">
        <v>538</v>
      </c>
      <c r="U405" s="634" t="s">
        <v>2344</v>
      </c>
    </row>
    <row r="406" spans="8:21">
      <c r="I406" s="634" t="s">
        <v>2345</v>
      </c>
      <c r="J406" s="634" t="s">
        <v>249</v>
      </c>
      <c r="K406" s="634" t="str">
        <f t="shared" si="8"/>
        <v>Mullan, ID</v>
      </c>
      <c r="L406" s="634" t="s">
        <v>1555</v>
      </c>
      <c r="M406" s="634">
        <v>47.47</v>
      </c>
      <c r="N406" s="634">
        <v>-115.8</v>
      </c>
      <c r="O406" s="634">
        <v>-8</v>
      </c>
      <c r="P406" s="634">
        <v>1011</v>
      </c>
      <c r="T406" s="634" t="s">
        <v>538</v>
      </c>
      <c r="U406" s="634" t="s">
        <v>2346</v>
      </c>
    </row>
    <row r="407" spans="8:21">
      <c r="I407" s="634" t="s">
        <v>2347</v>
      </c>
      <c r="J407" s="634" t="s">
        <v>247</v>
      </c>
      <c r="K407" s="634" t="str">
        <f t="shared" si="8"/>
        <v>Muscle Shoals/Florence, AL</v>
      </c>
      <c r="L407" s="634" t="s">
        <v>1555</v>
      </c>
      <c r="M407" s="634">
        <v>34.75</v>
      </c>
      <c r="N407" s="634">
        <v>-87.62</v>
      </c>
      <c r="O407" s="634">
        <v>-6</v>
      </c>
      <c r="P407" s="634">
        <v>168</v>
      </c>
      <c r="T407" s="634" t="s">
        <v>538</v>
      </c>
      <c r="U407" s="634" t="s">
        <v>2348</v>
      </c>
    </row>
    <row r="408" spans="8:21">
      <c r="H408" s="634">
        <v>14840</v>
      </c>
      <c r="I408" s="634" t="s">
        <v>2349</v>
      </c>
      <c r="J408" s="634" t="s">
        <v>540</v>
      </c>
      <c r="K408" s="634" t="str">
        <f t="shared" si="8"/>
        <v>Muskegon, MI</v>
      </c>
      <c r="L408" s="634" t="s">
        <v>1555</v>
      </c>
      <c r="M408" s="634">
        <v>43.17</v>
      </c>
      <c r="N408" s="634">
        <v>-86.25</v>
      </c>
      <c r="O408" s="634">
        <v>-5</v>
      </c>
      <c r="P408" s="634">
        <v>193</v>
      </c>
      <c r="T408" s="634" t="s">
        <v>538</v>
      </c>
      <c r="U408" s="634" t="s">
        <v>2348</v>
      </c>
    </row>
    <row r="409" spans="8:21">
      <c r="H409" s="634">
        <v>4704</v>
      </c>
      <c r="I409" s="634" t="s">
        <v>2350</v>
      </c>
      <c r="J409" s="634" t="s">
        <v>1621</v>
      </c>
      <c r="K409" s="634" t="str">
        <f t="shared" si="8"/>
        <v>Muskoka, ON</v>
      </c>
      <c r="L409" s="634" t="s">
        <v>1552</v>
      </c>
      <c r="M409" s="634">
        <v>44.97</v>
      </c>
      <c r="N409" s="634">
        <v>-79.3</v>
      </c>
      <c r="O409" s="634">
        <v>-5</v>
      </c>
      <c r="P409" s="634">
        <v>282</v>
      </c>
      <c r="T409" s="634" t="s">
        <v>538</v>
      </c>
      <c r="U409" s="634" t="s">
        <v>2351</v>
      </c>
    </row>
    <row r="410" spans="8:21">
      <c r="I410" s="634" t="s">
        <v>2352</v>
      </c>
      <c r="J410" s="634" t="s">
        <v>512</v>
      </c>
      <c r="K410" s="634" t="str">
        <f t="shared" si="8"/>
        <v>Myrtle Beach/AFB, SC</v>
      </c>
      <c r="L410" s="634" t="s">
        <v>1555</v>
      </c>
      <c r="M410" s="634">
        <v>33.68</v>
      </c>
      <c r="N410" s="634">
        <v>-78.930000000000007</v>
      </c>
      <c r="O410" s="634">
        <v>-5</v>
      </c>
      <c r="P410" s="634">
        <v>8</v>
      </c>
      <c r="T410" s="634" t="s">
        <v>538</v>
      </c>
      <c r="U410" s="634" t="s">
        <v>2353</v>
      </c>
    </row>
    <row r="411" spans="8:21">
      <c r="H411" s="634">
        <v>13897</v>
      </c>
      <c r="I411" s="634" t="s">
        <v>2354</v>
      </c>
      <c r="J411" s="634" t="s">
        <v>560</v>
      </c>
      <c r="K411" s="634" t="str">
        <f t="shared" si="8"/>
        <v>Nashville, TN</v>
      </c>
      <c r="L411" s="634" t="s">
        <v>1555</v>
      </c>
      <c r="M411" s="634">
        <v>36.130000000000003</v>
      </c>
      <c r="N411" s="634">
        <v>-86.68</v>
      </c>
      <c r="O411" s="634">
        <v>-6</v>
      </c>
      <c r="P411" s="634">
        <v>180</v>
      </c>
      <c r="T411" s="634" t="s">
        <v>2040</v>
      </c>
      <c r="U411" s="634" t="s">
        <v>2355</v>
      </c>
    </row>
    <row r="412" spans="8:21">
      <c r="I412" s="634" t="s">
        <v>2356</v>
      </c>
      <c r="J412" s="634" t="s">
        <v>953</v>
      </c>
      <c r="K412" s="634" t="str">
        <f t="shared" si="8"/>
        <v>Nenana, AK</v>
      </c>
      <c r="L412" s="634" t="s">
        <v>1555</v>
      </c>
      <c r="M412" s="634">
        <v>64.55</v>
      </c>
      <c r="N412" s="634">
        <v>-149.08000000000001</v>
      </c>
      <c r="O412" s="634">
        <v>-9</v>
      </c>
      <c r="P412" s="634">
        <v>110</v>
      </c>
      <c r="T412" s="634" t="s">
        <v>2040</v>
      </c>
      <c r="U412" s="634" t="s">
        <v>2355</v>
      </c>
    </row>
    <row r="413" spans="8:21">
      <c r="I413" s="634" t="s">
        <v>2357</v>
      </c>
      <c r="J413" s="634" t="s">
        <v>426</v>
      </c>
      <c r="K413" s="634" t="str">
        <f t="shared" si="8"/>
        <v>New Bern, NC</v>
      </c>
      <c r="L413" s="634" t="s">
        <v>1555</v>
      </c>
      <c r="M413" s="634">
        <v>35.07</v>
      </c>
      <c r="N413" s="634">
        <v>-77.05</v>
      </c>
      <c r="O413" s="634">
        <v>-5</v>
      </c>
      <c r="P413" s="634">
        <v>6</v>
      </c>
      <c r="T413" s="634" t="s">
        <v>2040</v>
      </c>
      <c r="U413" s="634" t="s">
        <v>2358</v>
      </c>
    </row>
    <row r="414" spans="8:21">
      <c r="H414" s="634">
        <v>12916</v>
      </c>
      <c r="I414" s="634" t="s">
        <v>2359</v>
      </c>
      <c r="J414" s="634" t="s">
        <v>591</v>
      </c>
      <c r="K414" s="634" t="str">
        <f t="shared" si="8"/>
        <v>New Orleans/Int'l Airport, LA</v>
      </c>
      <c r="L414" s="634" t="s">
        <v>1555</v>
      </c>
      <c r="M414" s="634">
        <v>29.98</v>
      </c>
      <c r="N414" s="634">
        <v>-90.25</v>
      </c>
      <c r="O414" s="634">
        <v>-6</v>
      </c>
      <c r="P414" s="634">
        <v>9</v>
      </c>
      <c r="T414" s="634" t="s">
        <v>2040</v>
      </c>
      <c r="U414" s="634" t="s">
        <v>2360</v>
      </c>
    </row>
    <row r="415" spans="8:21">
      <c r="H415" s="634">
        <v>12916</v>
      </c>
      <c r="I415" s="634" t="s">
        <v>2361</v>
      </c>
      <c r="J415" s="634" t="s">
        <v>591</v>
      </c>
      <c r="K415" s="634" t="str">
        <f t="shared" si="8"/>
        <v>New Orleans/Lakefront Airport, LA</v>
      </c>
      <c r="L415" s="634" t="s">
        <v>1555</v>
      </c>
      <c r="M415" s="634">
        <v>30.05</v>
      </c>
      <c r="N415" s="634">
        <v>-90.03</v>
      </c>
      <c r="O415" s="634">
        <v>-6</v>
      </c>
      <c r="P415" s="634">
        <v>3</v>
      </c>
      <c r="T415" s="634" t="s">
        <v>2040</v>
      </c>
      <c r="U415" s="634" t="s">
        <v>2362</v>
      </c>
    </row>
    <row r="416" spans="8:21">
      <c r="H416" s="634">
        <v>94728</v>
      </c>
      <c r="I416" s="634" t="s">
        <v>2363</v>
      </c>
      <c r="J416" s="634" t="s">
        <v>537</v>
      </c>
      <c r="K416" s="634" t="str">
        <f t="shared" si="8"/>
        <v>New York City/Central Park, NY</v>
      </c>
      <c r="L416" s="634" t="s">
        <v>1555</v>
      </c>
      <c r="M416" s="634">
        <v>40.78</v>
      </c>
      <c r="N416" s="634">
        <v>-73.959999999999994</v>
      </c>
      <c r="O416" s="634">
        <v>-5</v>
      </c>
      <c r="P416" s="634">
        <v>40</v>
      </c>
      <c r="T416" s="634" t="s">
        <v>2040</v>
      </c>
      <c r="U416" s="634" t="s">
        <v>2364</v>
      </c>
    </row>
    <row r="417" spans="8:21">
      <c r="H417" s="634">
        <v>14732</v>
      </c>
      <c r="I417" s="634" t="s">
        <v>2365</v>
      </c>
      <c r="J417" s="634" t="s">
        <v>537</v>
      </c>
      <c r="K417" s="634" t="str">
        <f t="shared" si="8"/>
        <v>New York City/La Guardia, NY</v>
      </c>
      <c r="L417" s="634" t="s">
        <v>1555</v>
      </c>
      <c r="M417" s="634">
        <v>40.78</v>
      </c>
      <c r="N417" s="634">
        <v>-73.88</v>
      </c>
      <c r="O417" s="634">
        <v>-5</v>
      </c>
      <c r="P417" s="634">
        <v>3</v>
      </c>
      <c r="T417" s="634" t="s">
        <v>2040</v>
      </c>
      <c r="U417" s="634" t="s">
        <v>2366</v>
      </c>
    </row>
    <row r="418" spans="8:21">
      <c r="H418" s="634">
        <v>74486</v>
      </c>
      <c r="I418" s="634" t="s">
        <v>2367</v>
      </c>
      <c r="J418" s="634" t="s">
        <v>537</v>
      </c>
      <c r="K418" s="634" t="str">
        <f t="shared" si="8"/>
        <v>New York/John F Kennedy Airport, NY</v>
      </c>
      <c r="L418" s="634" t="s">
        <v>1555</v>
      </c>
      <c r="M418" s="634">
        <v>40.65</v>
      </c>
      <c r="N418" s="634">
        <v>-73.78</v>
      </c>
      <c r="O418" s="634">
        <v>-5</v>
      </c>
      <c r="P418" s="634">
        <v>7</v>
      </c>
      <c r="T418" s="634" t="s">
        <v>2040</v>
      </c>
      <c r="U418" s="634" t="s">
        <v>2368</v>
      </c>
    </row>
    <row r="419" spans="8:21">
      <c r="H419" s="634">
        <v>94789</v>
      </c>
      <c r="I419" s="634" t="s">
        <v>2367</v>
      </c>
      <c r="J419" s="634" t="s">
        <v>537</v>
      </c>
      <c r="K419" s="634" t="str">
        <f t="shared" si="8"/>
        <v>New York/John F Kennedy Airport, NY</v>
      </c>
      <c r="L419" s="634" t="s">
        <v>1555</v>
      </c>
      <c r="M419" s="634">
        <v>40.65</v>
      </c>
      <c r="N419" s="634">
        <v>-73.78</v>
      </c>
      <c r="O419" s="634">
        <v>-5</v>
      </c>
      <c r="P419" s="634">
        <v>7</v>
      </c>
      <c r="T419" s="634" t="s">
        <v>1759</v>
      </c>
      <c r="U419" s="634" t="s">
        <v>2369</v>
      </c>
    </row>
    <row r="420" spans="8:21">
      <c r="H420" s="634">
        <v>14734</v>
      </c>
      <c r="I420" s="634" t="s">
        <v>2370</v>
      </c>
      <c r="J420" s="634" t="s">
        <v>589</v>
      </c>
      <c r="K420" s="634" t="str">
        <f t="shared" si="8"/>
        <v>Newark, NJ</v>
      </c>
      <c r="L420" s="634" t="s">
        <v>1555</v>
      </c>
      <c r="M420" s="634">
        <v>40.700000000000003</v>
      </c>
      <c r="N420" s="634">
        <v>-74.17</v>
      </c>
      <c r="O420" s="634">
        <v>-5</v>
      </c>
      <c r="P420" s="634">
        <v>9</v>
      </c>
      <c r="T420" s="634" t="s">
        <v>1759</v>
      </c>
      <c r="U420" s="634" t="s">
        <v>2371</v>
      </c>
    </row>
    <row r="421" spans="8:21">
      <c r="I421" s="634" t="s">
        <v>2372</v>
      </c>
      <c r="J421" s="634" t="s">
        <v>537</v>
      </c>
      <c r="K421" s="634" t="str">
        <f t="shared" si="8"/>
        <v>Newburgh, NY</v>
      </c>
      <c r="L421" s="634" t="s">
        <v>1555</v>
      </c>
      <c r="M421" s="634">
        <v>41.5</v>
      </c>
      <c r="N421" s="634">
        <v>-74.099999999999994</v>
      </c>
      <c r="O421" s="634">
        <v>-5</v>
      </c>
      <c r="P421" s="634">
        <v>150</v>
      </c>
      <c r="T421" s="634" t="s">
        <v>1759</v>
      </c>
      <c r="U421" s="634" t="s">
        <v>2373</v>
      </c>
    </row>
    <row r="422" spans="8:21">
      <c r="I422" s="634" t="s">
        <v>1075</v>
      </c>
      <c r="J422" s="634" t="s">
        <v>501</v>
      </c>
      <c r="K422" s="634" t="str">
        <f t="shared" si="8"/>
        <v>Newport News, VA</v>
      </c>
      <c r="L422" s="634" t="s">
        <v>1555</v>
      </c>
      <c r="M422" s="634">
        <v>37.130000000000003</v>
      </c>
      <c r="N422" s="634">
        <v>-76.5</v>
      </c>
      <c r="O422" s="634">
        <v>-5</v>
      </c>
      <c r="P422" s="634">
        <v>13</v>
      </c>
      <c r="T422" s="634" t="s">
        <v>1759</v>
      </c>
      <c r="U422" s="634" t="s">
        <v>2374</v>
      </c>
    </row>
    <row r="423" spans="8:21">
      <c r="H423" s="634">
        <v>14733</v>
      </c>
      <c r="I423" s="634" t="s">
        <v>2375</v>
      </c>
      <c r="J423" s="634" t="s">
        <v>537</v>
      </c>
      <c r="K423" s="634" t="str">
        <f t="shared" si="8"/>
        <v>Niagara Falls, NY</v>
      </c>
      <c r="L423" s="634" t="s">
        <v>1555</v>
      </c>
      <c r="M423" s="634">
        <v>43.1</v>
      </c>
      <c r="N423" s="634">
        <v>-78.95</v>
      </c>
      <c r="O423" s="634">
        <v>-5</v>
      </c>
      <c r="P423" s="634">
        <v>180</v>
      </c>
      <c r="T423" s="634" t="s">
        <v>1759</v>
      </c>
      <c r="U423" s="634" t="s">
        <v>2376</v>
      </c>
    </row>
    <row r="424" spans="8:21">
      <c r="H424" s="634">
        <v>15703</v>
      </c>
      <c r="I424" s="634" t="s">
        <v>2377</v>
      </c>
      <c r="J424" s="634" t="s">
        <v>1641</v>
      </c>
      <c r="K424" s="634" t="str">
        <f t="shared" si="8"/>
        <v>Nitchequon, PQ</v>
      </c>
      <c r="L424" s="634" t="s">
        <v>1552</v>
      </c>
      <c r="M424" s="634">
        <v>53.2</v>
      </c>
      <c r="N424" s="634">
        <v>-70.900000000000006</v>
      </c>
      <c r="O424" s="634">
        <v>-5</v>
      </c>
      <c r="P424" s="634">
        <v>536</v>
      </c>
      <c r="T424" s="634" t="s">
        <v>1759</v>
      </c>
      <c r="U424" s="634" t="s">
        <v>2378</v>
      </c>
    </row>
    <row r="425" spans="8:21">
      <c r="H425" s="634">
        <v>26617</v>
      </c>
      <c r="I425" s="634" t="s">
        <v>2379</v>
      </c>
      <c r="J425" s="634" t="s">
        <v>953</v>
      </c>
      <c r="K425" s="634" t="str">
        <f t="shared" si="8"/>
        <v>Nome, AK</v>
      </c>
      <c r="L425" s="634" t="s">
        <v>1555</v>
      </c>
      <c r="M425" s="634">
        <v>64.5</v>
      </c>
      <c r="N425" s="634">
        <v>-165.43</v>
      </c>
      <c r="O425" s="634">
        <v>-9</v>
      </c>
      <c r="P425" s="634">
        <v>7</v>
      </c>
      <c r="T425" s="634" t="s">
        <v>1759</v>
      </c>
      <c r="U425" s="634" t="s">
        <v>2380</v>
      </c>
    </row>
    <row r="426" spans="8:21">
      <c r="H426" s="634">
        <v>14941</v>
      </c>
      <c r="I426" s="634" t="s">
        <v>2381</v>
      </c>
      <c r="J426" s="634" t="s">
        <v>771</v>
      </c>
      <c r="K426" s="634" t="str">
        <f t="shared" si="8"/>
        <v>Norfolk, NE</v>
      </c>
      <c r="L426" s="634" t="s">
        <v>1555</v>
      </c>
      <c r="M426" s="634">
        <v>41.98</v>
      </c>
      <c r="N426" s="634">
        <v>-97.43</v>
      </c>
      <c r="O426" s="634">
        <v>-6</v>
      </c>
      <c r="P426" s="634">
        <v>473</v>
      </c>
      <c r="T426" s="634" t="s">
        <v>1645</v>
      </c>
      <c r="U426" s="634" t="s">
        <v>2382</v>
      </c>
    </row>
    <row r="427" spans="8:21">
      <c r="H427" s="634">
        <v>13737</v>
      </c>
      <c r="I427" s="634" t="s">
        <v>2381</v>
      </c>
      <c r="J427" s="634" t="s">
        <v>501</v>
      </c>
      <c r="K427" s="634" t="str">
        <f t="shared" si="8"/>
        <v>Norfolk, VA</v>
      </c>
      <c r="L427" s="634" t="s">
        <v>1555</v>
      </c>
      <c r="M427" s="634">
        <v>36.9</v>
      </c>
      <c r="N427" s="634">
        <v>-76.2</v>
      </c>
      <c r="O427" s="634">
        <v>-5</v>
      </c>
      <c r="P427" s="634">
        <v>9</v>
      </c>
      <c r="T427" s="634" t="s">
        <v>1645</v>
      </c>
      <c r="U427" s="634" t="s">
        <v>2383</v>
      </c>
    </row>
    <row r="428" spans="8:21">
      <c r="H428" s="634">
        <v>26202</v>
      </c>
      <c r="I428" s="634" t="s">
        <v>2384</v>
      </c>
      <c r="J428" s="634" t="s">
        <v>1759</v>
      </c>
      <c r="K428" s="634" t="str">
        <f t="shared" si="8"/>
        <v>Norman Wells, NT</v>
      </c>
      <c r="L428" s="634" t="s">
        <v>1552</v>
      </c>
      <c r="M428" s="634">
        <v>65.28</v>
      </c>
      <c r="N428" s="634">
        <v>-126.8</v>
      </c>
      <c r="O428" s="634">
        <v>-7</v>
      </c>
      <c r="P428" s="634">
        <v>74</v>
      </c>
      <c r="T428" s="634" t="s">
        <v>1645</v>
      </c>
      <c r="U428" s="634" t="s">
        <v>2385</v>
      </c>
    </row>
    <row r="429" spans="8:21">
      <c r="H429" s="634">
        <v>25012</v>
      </c>
      <c r="I429" s="634" t="s">
        <v>2386</v>
      </c>
      <c r="J429" s="634" t="s">
        <v>1728</v>
      </c>
      <c r="K429" s="634" t="str">
        <f t="shared" si="8"/>
        <v>North Battleford, SK</v>
      </c>
      <c r="L429" s="634" t="s">
        <v>1552</v>
      </c>
      <c r="M429" s="634">
        <v>52.77</v>
      </c>
      <c r="N429" s="634">
        <v>-108.25</v>
      </c>
      <c r="O429" s="634">
        <v>-6</v>
      </c>
      <c r="P429" s="634">
        <v>548</v>
      </c>
      <c r="T429" s="634" t="s">
        <v>1645</v>
      </c>
      <c r="U429" s="634" t="s">
        <v>2387</v>
      </c>
    </row>
    <row r="430" spans="8:21">
      <c r="H430" s="634">
        <v>4705</v>
      </c>
      <c r="I430" s="634" t="s">
        <v>2388</v>
      </c>
      <c r="J430" s="634" t="s">
        <v>1621</v>
      </c>
      <c r="K430" s="634" t="str">
        <f t="shared" si="8"/>
        <v>North Bay, ON</v>
      </c>
      <c r="L430" s="634" t="s">
        <v>1552</v>
      </c>
      <c r="M430" s="634">
        <v>46.35</v>
      </c>
      <c r="N430" s="634">
        <v>-79.430000000000007</v>
      </c>
      <c r="O430" s="634">
        <v>-5</v>
      </c>
      <c r="P430" s="634">
        <v>371</v>
      </c>
      <c r="T430" s="634" t="s">
        <v>1645</v>
      </c>
      <c r="U430" s="634" t="s">
        <v>2389</v>
      </c>
    </row>
    <row r="431" spans="8:21">
      <c r="H431" s="634">
        <v>24284</v>
      </c>
      <c r="I431" s="634" t="s">
        <v>2390</v>
      </c>
      <c r="J431" s="634" t="s">
        <v>427</v>
      </c>
      <c r="K431" s="634" t="str">
        <f t="shared" si="8"/>
        <v>North Bend, OR</v>
      </c>
      <c r="L431" s="634" t="s">
        <v>1555</v>
      </c>
      <c r="M431" s="634">
        <v>43.42</v>
      </c>
      <c r="N431" s="634">
        <v>-124.25</v>
      </c>
      <c r="O431" s="634">
        <v>-8</v>
      </c>
      <c r="P431" s="634">
        <v>4</v>
      </c>
      <c r="T431" s="634" t="s">
        <v>1645</v>
      </c>
      <c r="U431" s="634" t="s">
        <v>2389</v>
      </c>
    </row>
    <row r="432" spans="8:21">
      <c r="I432" s="634" t="s">
        <v>2391</v>
      </c>
      <c r="J432" s="634" t="s">
        <v>450</v>
      </c>
      <c r="K432" s="634" t="str">
        <f t="shared" si="8"/>
        <v>North Las Vegas/Nellis AFB, NV</v>
      </c>
      <c r="L432" s="634" t="s">
        <v>1555</v>
      </c>
      <c r="M432" s="634">
        <v>36.229999999999997</v>
      </c>
      <c r="N432" s="634">
        <v>-115.03</v>
      </c>
      <c r="O432" s="634">
        <v>-8</v>
      </c>
      <c r="P432" s="634">
        <v>570</v>
      </c>
      <c r="T432" s="634" t="s">
        <v>1645</v>
      </c>
      <c r="U432" s="634" t="s">
        <v>2392</v>
      </c>
    </row>
    <row r="433" spans="8:21">
      <c r="H433" s="634">
        <v>24023</v>
      </c>
      <c r="I433" s="634" t="s">
        <v>2393</v>
      </c>
      <c r="J433" s="634" t="s">
        <v>771</v>
      </c>
      <c r="K433" s="634" t="str">
        <f t="shared" si="8"/>
        <v>North Platte, NE</v>
      </c>
      <c r="L433" s="634" t="s">
        <v>1555</v>
      </c>
      <c r="M433" s="634">
        <v>41.13</v>
      </c>
      <c r="N433" s="634">
        <v>-100.68</v>
      </c>
      <c r="O433" s="634">
        <v>-6</v>
      </c>
      <c r="P433" s="634">
        <v>849</v>
      </c>
      <c r="T433" s="634" t="s">
        <v>1645</v>
      </c>
      <c r="U433" s="634" t="s">
        <v>2394</v>
      </c>
    </row>
    <row r="434" spans="8:21">
      <c r="I434" s="634" t="s">
        <v>2395</v>
      </c>
      <c r="J434" s="634" t="s">
        <v>953</v>
      </c>
      <c r="K434" s="634" t="str">
        <f t="shared" si="8"/>
        <v>Northway, AK</v>
      </c>
      <c r="L434" s="634" t="s">
        <v>1555</v>
      </c>
      <c r="M434" s="634">
        <v>62.97</v>
      </c>
      <c r="N434" s="634">
        <v>-141.93</v>
      </c>
      <c r="O434" s="634">
        <v>-9</v>
      </c>
      <c r="P434" s="634">
        <v>525</v>
      </c>
      <c r="T434" s="634" t="s">
        <v>450</v>
      </c>
      <c r="U434" s="634" t="s">
        <v>2396</v>
      </c>
    </row>
    <row r="435" spans="8:21">
      <c r="H435" s="634">
        <v>23230</v>
      </c>
      <c r="I435" s="634" t="s">
        <v>2397</v>
      </c>
      <c r="J435" s="634" t="s">
        <v>954</v>
      </c>
      <c r="K435" s="634" t="str">
        <f t="shared" si="8"/>
        <v>Oakland, CA</v>
      </c>
      <c r="L435" s="634" t="s">
        <v>1555</v>
      </c>
      <c r="M435" s="634">
        <v>37.71</v>
      </c>
      <c r="N435" s="634">
        <v>-122.21</v>
      </c>
      <c r="O435" s="634">
        <v>-8</v>
      </c>
      <c r="P435" s="634">
        <v>1</v>
      </c>
      <c r="T435" s="634" t="s">
        <v>450</v>
      </c>
      <c r="U435" s="634" t="s">
        <v>2398</v>
      </c>
    </row>
    <row r="436" spans="8:21">
      <c r="I436" s="634" t="s">
        <v>2399</v>
      </c>
      <c r="J436" s="634" t="s">
        <v>501</v>
      </c>
      <c r="K436" s="634" t="str">
        <f t="shared" si="8"/>
        <v>Oceana/NAS, VA</v>
      </c>
      <c r="L436" s="634" t="s">
        <v>1555</v>
      </c>
      <c r="M436" s="634">
        <v>36.82</v>
      </c>
      <c r="N436" s="634">
        <v>-76.03</v>
      </c>
      <c r="O436" s="634">
        <v>-5</v>
      </c>
      <c r="P436" s="634">
        <v>7</v>
      </c>
      <c r="T436" s="634" t="s">
        <v>450</v>
      </c>
      <c r="U436" s="634" t="s">
        <v>2400</v>
      </c>
    </row>
    <row r="437" spans="8:21">
      <c r="H437" s="634">
        <v>72575</v>
      </c>
      <c r="I437" s="634" t="s">
        <v>2401</v>
      </c>
      <c r="J437" s="634" t="s">
        <v>905</v>
      </c>
      <c r="K437" s="634" t="str">
        <f t="shared" si="8"/>
        <v>Ogden/Hill AFB, UT</v>
      </c>
      <c r="L437" s="634" t="s">
        <v>1555</v>
      </c>
      <c r="M437" s="634">
        <v>41.12</v>
      </c>
      <c r="N437" s="634">
        <v>-111.97</v>
      </c>
      <c r="O437" s="634">
        <v>-7</v>
      </c>
      <c r="P437" s="634">
        <v>1459</v>
      </c>
      <c r="T437" s="634" t="s">
        <v>450</v>
      </c>
      <c r="U437" s="634" t="s">
        <v>2402</v>
      </c>
    </row>
    <row r="438" spans="8:21">
      <c r="I438" s="634" t="s">
        <v>2403</v>
      </c>
      <c r="J438" s="634" t="s">
        <v>61</v>
      </c>
      <c r="K438" s="634" t="str">
        <f t="shared" si="8"/>
        <v>Oklahoma City/Tinker AFB, OK</v>
      </c>
      <c r="L438" s="634" t="s">
        <v>1555</v>
      </c>
      <c r="M438" s="634">
        <v>35.42</v>
      </c>
      <c r="N438" s="634">
        <v>-97.38</v>
      </c>
      <c r="O438" s="634">
        <v>-6</v>
      </c>
      <c r="P438" s="634">
        <v>394</v>
      </c>
      <c r="T438" s="634" t="s">
        <v>450</v>
      </c>
      <c r="U438" s="634" t="s">
        <v>2404</v>
      </c>
    </row>
    <row r="439" spans="8:21">
      <c r="H439" s="634">
        <v>13967</v>
      </c>
      <c r="I439" s="634" t="s">
        <v>2405</v>
      </c>
      <c r="J439" s="634" t="s">
        <v>61</v>
      </c>
      <c r="K439" s="634" t="str">
        <f t="shared" si="8"/>
        <v>Oklahoma City/Will Rogers Airport, OK</v>
      </c>
      <c r="L439" s="634" t="s">
        <v>1555</v>
      </c>
      <c r="M439" s="634">
        <v>35.4</v>
      </c>
      <c r="N439" s="634">
        <v>-97.6</v>
      </c>
      <c r="O439" s="634">
        <v>-6</v>
      </c>
      <c r="P439" s="634">
        <v>397</v>
      </c>
      <c r="T439" s="634" t="s">
        <v>450</v>
      </c>
      <c r="U439" s="634" t="s">
        <v>2406</v>
      </c>
    </row>
    <row r="440" spans="8:21">
      <c r="H440" s="634">
        <v>24227</v>
      </c>
      <c r="I440" s="634" t="s">
        <v>2407</v>
      </c>
      <c r="J440" s="634" t="s">
        <v>238</v>
      </c>
      <c r="K440" s="634" t="str">
        <f t="shared" si="8"/>
        <v>Olympia, WA</v>
      </c>
      <c r="L440" s="634" t="s">
        <v>1555</v>
      </c>
      <c r="M440" s="634">
        <v>46.97</v>
      </c>
      <c r="N440" s="634">
        <v>-122.9</v>
      </c>
      <c r="O440" s="634">
        <v>-8</v>
      </c>
      <c r="P440" s="634">
        <v>61</v>
      </c>
      <c r="T440" s="634" t="s">
        <v>450</v>
      </c>
      <c r="U440" s="634" t="s">
        <v>2408</v>
      </c>
    </row>
    <row r="441" spans="8:21">
      <c r="H441" s="634">
        <v>94918</v>
      </c>
      <c r="I441" s="634" t="s">
        <v>2409</v>
      </c>
      <c r="J441" s="634" t="s">
        <v>771</v>
      </c>
      <c r="K441" s="634" t="str">
        <f t="shared" si="8"/>
        <v>Omaha/Eppley Airfield, NE</v>
      </c>
      <c r="L441" s="634" t="s">
        <v>1555</v>
      </c>
      <c r="M441" s="634">
        <v>41.3</v>
      </c>
      <c r="N441" s="634">
        <v>-95.9</v>
      </c>
      <c r="O441" s="634">
        <v>-6</v>
      </c>
      <c r="P441" s="634">
        <v>299</v>
      </c>
      <c r="T441" s="634" t="s">
        <v>450</v>
      </c>
      <c r="U441" s="634" t="s">
        <v>2410</v>
      </c>
    </row>
    <row r="442" spans="8:21">
      <c r="H442" s="634">
        <v>14942</v>
      </c>
      <c r="I442" s="634" t="s">
        <v>2411</v>
      </c>
      <c r="J442" s="634" t="s">
        <v>771</v>
      </c>
      <c r="K442" s="634" t="str">
        <f t="shared" si="8"/>
        <v>Omaha/WSO, NE</v>
      </c>
      <c r="L442" s="634" t="s">
        <v>1555</v>
      </c>
      <c r="M442" s="634">
        <v>41.37</v>
      </c>
      <c r="N442" s="634">
        <v>-96.02</v>
      </c>
      <c r="O442" s="634">
        <v>-6</v>
      </c>
      <c r="P442" s="634">
        <v>406</v>
      </c>
      <c r="T442" s="634" t="s">
        <v>450</v>
      </c>
      <c r="U442" s="634" t="s">
        <v>2412</v>
      </c>
    </row>
    <row r="443" spans="8:21">
      <c r="I443" s="634" t="s">
        <v>2413</v>
      </c>
      <c r="J443" s="634" t="s">
        <v>954</v>
      </c>
      <c r="K443" s="634" t="str">
        <f t="shared" si="8"/>
        <v>Ontario, CA</v>
      </c>
      <c r="L443" s="634" t="s">
        <v>1555</v>
      </c>
      <c r="M443" s="634">
        <v>34.049999999999997</v>
      </c>
      <c r="N443" s="634">
        <v>-117.6</v>
      </c>
      <c r="O443" s="634">
        <v>-8</v>
      </c>
      <c r="P443" s="634">
        <v>287</v>
      </c>
      <c r="T443" s="634" t="s">
        <v>450</v>
      </c>
      <c r="U443" s="634" t="s">
        <v>2414</v>
      </c>
    </row>
    <row r="444" spans="8:21">
      <c r="H444" s="634">
        <v>12841</v>
      </c>
      <c r="I444" s="634" t="s">
        <v>2415</v>
      </c>
      <c r="J444" s="634" t="s">
        <v>594</v>
      </c>
      <c r="K444" s="634" t="str">
        <f t="shared" si="8"/>
        <v>Orlando, FL</v>
      </c>
      <c r="L444" s="634" t="s">
        <v>1555</v>
      </c>
      <c r="M444" s="634">
        <v>28.55</v>
      </c>
      <c r="N444" s="634">
        <v>-81.33</v>
      </c>
      <c r="O444" s="634">
        <v>-5</v>
      </c>
      <c r="P444" s="634">
        <v>32</v>
      </c>
      <c r="T444" s="634" t="s">
        <v>537</v>
      </c>
      <c r="U444" s="634" t="s">
        <v>2416</v>
      </c>
    </row>
    <row r="445" spans="8:21">
      <c r="I445" s="634" t="s">
        <v>2415</v>
      </c>
      <c r="J445" s="634" t="s">
        <v>594</v>
      </c>
      <c r="K445" s="634" t="str">
        <f t="shared" si="8"/>
        <v>Orlando, FL</v>
      </c>
      <c r="L445" s="634" t="s">
        <v>1555</v>
      </c>
      <c r="M445" s="634">
        <v>28.55</v>
      </c>
      <c r="N445" s="634">
        <v>-81.33</v>
      </c>
      <c r="O445" s="634">
        <v>-5</v>
      </c>
      <c r="P445" s="634">
        <v>32</v>
      </c>
      <c r="T445" s="634" t="s">
        <v>537</v>
      </c>
      <c r="U445" s="634" t="s">
        <v>2417</v>
      </c>
    </row>
    <row r="446" spans="8:21">
      <c r="H446" s="634">
        <v>14808</v>
      </c>
      <c r="I446" s="634" t="s">
        <v>2418</v>
      </c>
      <c r="J446" s="634" t="s">
        <v>540</v>
      </c>
      <c r="K446" s="634" t="str">
        <f t="shared" si="8"/>
        <v>Oscoda/Wurtsmith AFB, MI</v>
      </c>
      <c r="L446" s="634" t="s">
        <v>1555</v>
      </c>
      <c r="M446" s="634">
        <v>44.45</v>
      </c>
      <c r="N446" s="634">
        <v>-83.4</v>
      </c>
      <c r="O446" s="634">
        <v>-5</v>
      </c>
      <c r="P446" s="634">
        <v>193</v>
      </c>
      <c r="T446" s="634" t="s">
        <v>537</v>
      </c>
      <c r="U446" s="634" t="s">
        <v>2419</v>
      </c>
    </row>
    <row r="447" spans="8:21">
      <c r="H447" s="634">
        <v>4772</v>
      </c>
      <c r="I447" s="634" t="s">
        <v>2420</v>
      </c>
      <c r="J447" s="634" t="s">
        <v>1621</v>
      </c>
      <c r="K447" s="634" t="str">
        <f t="shared" si="8"/>
        <v>Ottawa Int'l, ON</v>
      </c>
      <c r="L447" s="634" t="s">
        <v>1552</v>
      </c>
      <c r="M447" s="634">
        <v>45.32</v>
      </c>
      <c r="N447" s="634">
        <v>-75.67</v>
      </c>
      <c r="O447" s="634">
        <v>-5</v>
      </c>
      <c r="P447" s="634">
        <v>114</v>
      </c>
      <c r="T447" s="634" t="s">
        <v>537</v>
      </c>
      <c r="U447" s="634" t="s">
        <v>2421</v>
      </c>
    </row>
    <row r="448" spans="8:21">
      <c r="H448" s="634">
        <v>99914</v>
      </c>
      <c r="I448" s="634" t="s">
        <v>2420</v>
      </c>
      <c r="J448" s="634" t="s">
        <v>1621</v>
      </c>
      <c r="K448" s="634" t="str">
        <f t="shared" si="8"/>
        <v>Ottawa Int'l, ON</v>
      </c>
      <c r="L448" s="634" t="s">
        <v>1552</v>
      </c>
      <c r="M448" s="634">
        <v>45.32</v>
      </c>
      <c r="N448" s="634">
        <v>-75.67</v>
      </c>
      <c r="O448" s="634">
        <v>-5</v>
      </c>
      <c r="P448" s="634">
        <v>114</v>
      </c>
      <c r="T448" s="634" t="s">
        <v>537</v>
      </c>
      <c r="U448" s="634" t="s">
        <v>2422</v>
      </c>
    </row>
    <row r="449" spans="8:21">
      <c r="H449" s="634" t="s">
        <v>2423</v>
      </c>
      <c r="I449" s="634" t="s">
        <v>2420</v>
      </c>
      <c r="J449" s="634" t="s">
        <v>1621</v>
      </c>
      <c r="K449" s="634" t="str">
        <f t="shared" si="8"/>
        <v>Ottawa Int'l, ON</v>
      </c>
      <c r="L449" s="634" t="s">
        <v>1552</v>
      </c>
      <c r="M449" s="634">
        <v>45.32</v>
      </c>
      <c r="N449" s="634">
        <v>-75.67</v>
      </c>
      <c r="O449" s="634">
        <v>-5</v>
      </c>
      <c r="P449" s="634">
        <v>114</v>
      </c>
      <c r="T449" s="634" t="s">
        <v>537</v>
      </c>
      <c r="U449" s="634" t="s">
        <v>2424</v>
      </c>
    </row>
    <row r="450" spans="8:21">
      <c r="I450" s="634" t="s">
        <v>2425</v>
      </c>
      <c r="J450" s="634" t="s">
        <v>566</v>
      </c>
      <c r="K450" s="634" t="str">
        <f t="shared" ref="K450:K513" si="9">CONCATENATE(I450,", ",J450)</f>
        <v>Ottumwa, IA</v>
      </c>
      <c r="L450" s="634" t="s">
        <v>1555</v>
      </c>
      <c r="M450" s="634">
        <v>41.1</v>
      </c>
      <c r="N450" s="634">
        <v>-92.45</v>
      </c>
      <c r="O450" s="634">
        <v>-6</v>
      </c>
      <c r="P450" s="634">
        <v>258</v>
      </c>
      <c r="T450" s="634" t="s">
        <v>537</v>
      </c>
      <c r="U450" s="634" t="s">
        <v>2426</v>
      </c>
    </row>
    <row r="451" spans="8:21">
      <c r="H451" s="634">
        <v>93111</v>
      </c>
      <c r="I451" s="634" t="s">
        <v>2427</v>
      </c>
      <c r="J451" s="634" t="s">
        <v>954</v>
      </c>
      <c r="K451" s="634" t="str">
        <f t="shared" si="9"/>
        <v>Oxnard/Point Mugu NF, CA</v>
      </c>
      <c r="L451" s="634" t="s">
        <v>1555</v>
      </c>
      <c r="M451" s="634">
        <v>34.11</v>
      </c>
      <c r="N451" s="634">
        <v>-119.11</v>
      </c>
      <c r="O451" s="634">
        <v>-8</v>
      </c>
      <c r="P451" s="634">
        <v>3</v>
      </c>
      <c r="T451" s="634" t="s">
        <v>537</v>
      </c>
      <c r="U451" s="634" t="s">
        <v>2428</v>
      </c>
    </row>
    <row r="452" spans="8:21">
      <c r="I452" s="634" t="s">
        <v>2429</v>
      </c>
      <c r="J452" s="634" t="s">
        <v>247</v>
      </c>
      <c r="K452" s="634" t="str">
        <f t="shared" si="9"/>
        <v>Ozark/Fort Rucker, AL</v>
      </c>
      <c r="L452" s="634" t="s">
        <v>1555</v>
      </c>
      <c r="M452" s="634">
        <v>31.28</v>
      </c>
      <c r="N452" s="634">
        <v>-85.72</v>
      </c>
      <c r="O452" s="634">
        <v>-6</v>
      </c>
      <c r="P452" s="634">
        <v>91</v>
      </c>
      <c r="T452" s="634" t="s">
        <v>537</v>
      </c>
      <c r="U452" s="634" t="s">
        <v>2430</v>
      </c>
    </row>
    <row r="453" spans="8:21">
      <c r="I453" s="634" t="s">
        <v>2431</v>
      </c>
      <c r="J453" s="634" t="s">
        <v>1107</v>
      </c>
      <c r="K453" s="634" t="str">
        <f t="shared" si="9"/>
        <v>Paducah, KY</v>
      </c>
      <c r="L453" s="634" t="s">
        <v>1555</v>
      </c>
      <c r="M453" s="634">
        <v>37.07</v>
      </c>
      <c r="N453" s="634">
        <v>-88.77</v>
      </c>
      <c r="O453" s="634">
        <v>-6</v>
      </c>
      <c r="P453" s="634">
        <v>126</v>
      </c>
      <c r="T453" s="634" t="s">
        <v>537</v>
      </c>
      <c r="U453" s="634" t="s">
        <v>2432</v>
      </c>
    </row>
    <row r="454" spans="8:21">
      <c r="I454" s="634" t="s">
        <v>2433</v>
      </c>
      <c r="J454" s="634" t="s">
        <v>1250</v>
      </c>
      <c r="K454" s="634" t="str">
        <f t="shared" si="9"/>
        <v>Page, AZ</v>
      </c>
      <c r="L454" s="634" t="s">
        <v>1555</v>
      </c>
      <c r="M454" s="634">
        <v>36.93</v>
      </c>
      <c r="N454" s="634">
        <v>-111.45</v>
      </c>
      <c r="O454" s="634">
        <v>-7</v>
      </c>
      <c r="P454" s="634">
        <v>1304</v>
      </c>
      <c r="T454" s="634" t="s">
        <v>537</v>
      </c>
      <c r="U454" s="634" t="s">
        <v>2432</v>
      </c>
    </row>
    <row r="455" spans="8:21">
      <c r="I455" s="634" t="s">
        <v>2434</v>
      </c>
      <c r="J455" s="634" t="s">
        <v>594</v>
      </c>
      <c r="K455" s="634" t="str">
        <f t="shared" si="9"/>
        <v>Panama City/Tyndall AFB, FL</v>
      </c>
      <c r="L455" s="634" t="s">
        <v>1555</v>
      </c>
      <c r="M455" s="634">
        <v>30.07</v>
      </c>
      <c r="N455" s="634">
        <v>-85.58</v>
      </c>
      <c r="O455" s="634">
        <v>-6</v>
      </c>
      <c r="P455" s="634">
        <v>5</v>
      </c>
      <c r="T455" s="634" t="s">
        <v>537</v>
      </c>
      <c r="U455" s="634" t="s">
        <v>2435</v>
      </c>
    </row>
    <row r="456" spans="8:21">
      <c r="I456" s="634" t="s">
        <v>2436</v>
      </c>
      <c r="J456" s="634" t="s">
        <v>513</v>
      </c>
      <c r="K456" s="634" t="str">
        <f t="shared" si="9"/>
        <v>Parkersburg, WV</v>
      </c>
      <c r="L456" s="634" t="s">
        <v>1555</v>
      </c>
      <c r="M456" s="634">
        <v>39.35</v>
      </c>
      <c r="N456" s="634">
        <v>-81.430000000000007</v>
      </c>
      <c r="O456" s="634">
        <v>-5</v>
      </c>
      <c r="P456" s="634">
        <v>262</v>
      </c>
      <c r="T456" s="634" t="s">
        <v>537</v>
      </c>
      <c r="U456" s="634" t="s">
        <v>1540</v>
      </c>
    </row>
    <row r="457" spans="8:21">
      <c r="H457" s="634">
        <v>9</v>
      </c>
      <c r="I457" s="634" t="s">
        <v>2437</v>
      </c>
      <c r="J457" s="634" t="s">
        <v>954</v>
      </c>
      <c r="K457" s="634" t="str">
        <f t="shared" si="9"/>
        <v>Pasadena, CA</v>
      </c>
      <c r="L457" s="634" t="s">
        <v>1555</v>
      </c>
      <c r="M457" s="634">
        <v>34.15</v>
      </c>
      <c r="N457" s="634">
        <v>-118.15</v>
      </c>
      <c r="O457" s="634">
        <v>-8</v>
      </c>
      <c r="P457" s="634">
        <v>263.3</v>
      </c>
      <c r="T457" s="634" t="s">
        <v>537</v>
      </c>
      <c r="U457" s="634" t="s">
        <v>2438</v>
      </c>
    </row>
    <row r="458" spans="8:21">
      <c r="H458" s="634" t="s">
        <v>2439</v>
      </c>
      <c r="I458" s="634" t="s">
        <v>2437</v>
      </c>
      <c r="J458" s="634" t="s">
        <v>954</v>
      </c>
      <c r="K458" s="634" t="str">
        <f t="shared" si="9"/>
        <v>Pasadena, CA</v>
      </c>
      <c r="L458" s="634" t="s">
        <v>1555</v>
      </c>
      <c r="M458" s="634">
        <v>34.15</v>
      </c>
      <c r="N458" s="634">
        <v>-118.15</v>
      </c>
      <c r="O458" s="634">
        <v>-8</v>
      </c>
      <c r="P458" s="634">
        <v>263.3</v>
      </c>
      <c r="T458" s="634" t="s">
        <v>537</v>
      </c>
      <c r="U458" s="634" t="s">
        <v>2440</v>
      </c>
    </row>
    <row r="459" spans="8:21">
      <c r="I459" s="634" t="s">
        <v>2441</v>
      </c>
      <c r="J459" s="634" t="s">
        <v>954</v>
      </c>
      <c r="K459" s="634" t="str">
        <f t="shared" si="9"/>
        <v>Paso Robles, CA</v>
      </c>
      <c r="L459" s="634" t="s">
        <v>1555</v>
      </c>
      <c r="M459" s="634">
        <v>35.67</v>
      </c>
      <c r="N459" s="634">
        <v>-120.63</v>
      </c>
      <c r="O459" s="634">
        <v>-8</v>
      </c>
      <c r="P459" s="634">
        <v>255</v>
      </c>
      <c r="T459" s="634" t="s">
        <v>537</v>
      </c>
      <c r="U459" s="634" t="s">
        <v>2442</v>
      </c>
    </row>
    <row r="460" spans="8:21">
      <c r="H460" s="634">
        <v>13721</v>
      </c>
      <c r="I460" s="634" t="s">
        <v>629</v>
      </c>
      <c r="J460" s="634" t="s">
        <v>590</v>
      </c>
      <c r="K460" s="634" t="str">
        <f t="shared" si="9"/>
        <v>Patuxent River NAS, MD</v>
      </c>
      <c r="L460" s="634" t="s">
        <v>1555</v>
      </c>
      <c r="M460" s="634">
        <v>38.299999999999997</v>
      </c>
      <c r="N460" s="634">
        <v>-76.41</v>
      </c>
      <c r="O460" s="634">
        <v>-5</v>
      </c>
      <c r="P460" s="634">
        <v>14</v>
      </c>
      <c r="T460" s="634" t="s">
        <v>537</v>
      </c>
      <c r="U460" s="634" t="s">
        <v>2443</v>
      </c>
    </row>
    <row r="461" spans="8:21">
      <c r="I461" s="634" t="s">
        <v>2444</v>
      </c>
      <c r="J461" s="634" t="s">
        <v>540</v>
      </c>
      <c r="K461" s="634" t="str">
        <f t="shared" si="9"/>
        <v>Pellston, MI</v>
      </c>
      <c r="L461" s="634" t="s">
        <v>1555</v>
      </c>
      <c r="M461" s="634">
        <v>45.57</v>
      </c>
      <c r="N461" s="634">
        <v>-84.8</v>
      </c>
      <c r="O461" s="634">
        <v>-5</v>
      </c>
      <c r="P461" s="634">
        <v>219</v>
      </c>
      <c r="T461" s="634" t="s">
        <v>537</v>
      </c>
      <c r="U461" s="634" t="s">
        <v>2445</v>
      </c>
    </row>
    <row r="462" spans="8:21">
      <c r="H462" s="634">
        <v>24155</v>
      </c>
      <c r="I462" s="634" t="s">
        <v>2446</v>
      </c>
      <c r="J462" s="634" t="s">
        <v>427</v>
      </c>
      <c r="K462" s="634" t="str">
        <f t="shared" si="9"/>
        <v>Pendleton, OR</v>
      </c>
      <c r="L462" s="634" t="s">
        <v>1555</v>
      </c>
      <c r="M462" s="634">
        <v>45.68</v>
      </c>
      <c r="N462" s="634">
        <v>-118.85</v>
      </c>
      <c r="O462" s="634">
        <v>-8</v>
      </c>
      <c r="P462" s="634">
        <v>456</v>
      </c>
      <c r="T462" s="634" t="s">
        <v>537</v>
      </c>
      <c r="U462" s="634" t="s">
        <v>2447</v>
      </c>
    </row>
    <row r="463" spans="8:21">
      <c r="I463" s="634" t="s">
        <v>2448</v>
      </c>
      <c r="J463" s="634" t="s">
        <v>594</v>
      </c>
      <c r="K463" s="634" t="str">
        <f t="shared" si="9"/>
        <v>Pensacola/Forest Sherman AFB, FL</v>
      </c>
      <c r="L463" s="634" t="s">
        <v>1555</v>
      </c>
      <c r="M463" s="634">
        <v>30.35</v>
      </c>
      <c r="N463" s="634">
        <v>-87.32</v>
      </c>
      <c r="O463" s="634">
        <v>-6</v>
      </c>
      <c r="P463" s="634">
        <v>9</v>
      </c>
      <c r="T463" s="634" t="s">
        <v>537</v>
      </c>
      <c r="U463" s="634" t="s">
        <v>2449</v>
      </c>
    </row>
    <row r="464" spans="8:21">
      <c r="H464" s="634">
        <v>94116</v>
      </c>
      <c r="I464" s="634" t="s">
        <v>2450</v>
      </c>
      <c r="J464" s="634" t="s">
        <v>1551</v>
      </c>
      <c r="K464" s="634" t="str">
        <f t="shared" si="9"/>
        <v>Penticton, BC</v>
      </c>
      <c r="L464" s="634" t="s">
        <v>1552</v>
      </c>
      <c r="M464" s="634">
        <v>49.47</v>
      </c>
      <c r="N464" s="634">
        <v>-119.6</v>
      </c>
      <c r="O464" s="634">
        <v>-8</v>
      </c>
      <c r="P464" s="634">
        <v>344</v>
      </c>
      <c r="T464" s="634" t="s">
        <v>229</v>
      </c>
      <c r="U464" s="634" t="s">
        <v>2451</v>
      </c>
    </row>
    <row r="465" spans="8:21">
      <c r="H465" s="634">
        <v>14842</v>
      </c>
      <c r="I465" s="634" t="s">
        <v>2452</v>
      </c>
      <c r="J465" s="634" t="s">
        <v>932</v>
      </c>
      <c r="K465" s="634" t="str">
        <f t="shared" si="9"/>
        <v>Peoria, IL</v>
      </c>
      <c r="L465" s="634" t="s">
        <v>1555</v>
      </c>
      <c r="M465" s="634">
        <v>40.67</v>
      </c>
      <c r="N465" s="634">
        <v>-89.68</v>
      </c>
      <c r="O465" s="634">
        <v>-6</v>
      </c>
      <c r="P465" s="634">
        <v>186</v>
      </c>
      <c r="T465" s="634" t="s">
        <v>229</v>
      </c>
      <c r="U465" s="634" t="s">
        <v>2453</v>
      </c>
    </row>
    <row r="466" spans="8:21">
      <c r="I466" s="634" t="s">
        <v>2454</v>
      </c>
      <c r="J466" s="634" t="s">
        <v>283</v>
      </c>
      <c r="K466" s="634" t="str">
        <f t="shared" si="9"/>
        <v>Peru/Grissom AFB, IN</v>
      </c>
      <c r="L466" s="634" t="s">
        <v>1555</v>
      </c>
      <c r="M466" s="634">
        <v>40.65</v>
      </c>
      <c r="N466" s="634">
        <v>-86.15</v>
      </c>
      <c r="O466" s="634">
        <v>-5</v>
      </c>
      <c r="P466" s="634">
        <v>247</v>
      </c>
      <c r="T466" s="634" t="s">
        <v>229</v>
      </c>
      <c r="U466" s="634" t="s">
        <v>2455</v>
      </c>
    </row>
    <row r="467" spans="8:21">
      <c r="H467" s="634">
        <v>13739</v>
      </c>
      <c r="I467" s="634" t="s">
        <v>2456</v>
      </c>
      <c r="J467" s="634" t="s">
        <v>539</v>
      </c>
      <c r="K467" s="634" t="str">
        <f t="shared" si="9"/>
        <v>Philadelphia/Int'l Airport, PA</v>
      </c>
      <c r="L467" s="634" t="s">
        <v>1555</v>
      </c>
      <c r="M467" s="634">
        <v>39.880000000000003</v>
      </c>
      <c r="N467" s="634">
        <v>-75.25</v>
      </c>
      <c r="O467" s="634">
        <v>-5</v>
      </c>
      <c r="P467" s="634">
        <v>9</v>
      </c>
      <c r="T467" s="634" t="s">
        <v>229</v>
      </c>
      <c r="U467" s="634" t="s">
        <v>2457</v>
      </c>
    </row>
    <row r="468" spans="8:21">
      <c r="I468" s="634" t="s">
        <v>2458</v>
      </c>
      <c r="J468" s="634" t="s">
        <v>539</v>
      </c>
      <c r="K468" s="634" t="str">
        <f t="shared" si="9"/>
        <v>Philadelphia/Northeast Airport, PA</v>
      </c>
      <c r="L468" s="634" t="s">
        <v>1555</v>
      </c>
      <c r="M468" s="634">
        <v>40.08</v>
      </c>
      <c r="N468" s="634">
        <v>-75.02</v>
      </c>
      <c r="O468" s="634">
        <v>-5</v>
      </c>
      <c r="P468" s="634">
        <v>37</v>
      </c>
      <c r="T468" s="634" t="s">
        <v>229</v>
      </c>
      <c r="U468" s="634" t="s">
        <v>2459</v>
      </c>
    </row>
    <row r="469" spans="8:21">
      <c r="H469" s="634">
        <v>13739</v>
      </c>
      <c r="I469" s="634" t="s">
        <v>2460</v>
      </c>
      <c r="J469" s="634" t="s">
        <v>539</v>
      </c>
      <c r="K469" s="634" t="str">
        <f t="shared" si="9"/>
        <v>Philadelphia/Willow Grove NAS, PA</v>
      </c>
      <c r="L469" s="634" t="s">
        <v>1555</v>
      </c>
      <c r="M469" s="634">
        <v>40.200000000000003</v>
      </c>
      <c r="N469" s="634">
        <v>-75.150000000000006</v>
      </c>
      <c r="O469" s="634">
        <v>-5</v>
      </c>
      <c r="P469" s="634">
        <v>110</v>
      </c>
      <c r="T469" s="634" t="s">
        <v>229</v>
      </c>
      <c r="U469" s="634" t="s">
        <v>2461</v>
      </c>
    </row>
    <row r="470" spans="8:21">
      <c r="H470" s="634">
        <v>23183</v>
      </c>
      <c r="I470" s="634" t="s">
        <v>2462</v>
      </c>
      <c r="J470" s="634" t="s">
        <v>1250</v>
      </c>
      <c r="K470" s="634" t="str">
        <f t="shared" si="9"/>
        <v>Phoenix/Int'l Airport, AZ</v>
      </c>
      <c r="L470" s="634" t="s">
        <v>1555</v>
      </c>
      <c r="M470" s="634">
        <v>33.43</v>
      </c>
      <c r="N470" s="634">
        <v>-112.02</v>
      </c>
      <c r="O470" s="634">
        <v>-7</v>
      </c>
      <c r="P470" s="634">
        <v>337</v>
      </c>
      <c r="T470" s="634" t="s">
        <v>229</v>
      </c>
      <c r="U470" s="634" t="s">
        <v>2463</v>
      </c>
    </row>
    <row r="471" spans="8:21">
      <c r="H471" s="634">
        <v>23183</v>
      </c>
      <c r="I471" s="634" t="s">
        <v>2464</v>
      </c>
      <c r="J471" s="634" t="s">
        <v>1250</v>
      </c>
      <c r="K471" s="634" t="str">
        <f t="shared" si="9"/>
        <v>Phoenix/Luke AFB, AZ</v>
      </c>
      <c r="L471" s="634" t="s">
        <v>1555</v>
      </c>
      <c r="M471" s="634">
        <v>33.53</v>
      </c>
      <c r="N471" s="634">
        <v>-112.38</v>
      </c>
      <c r="O471" s="634">
        <v>-7</v>
      </c>
      <c r="P471" s="634">
        <v>332</v>
      </c>
      <c r="T471" s="634" t="s">
        <v>229</v>
      </c>
      <c r="U471" s="634" t="s">
        <v>2465</v>
      </c>
    </row>
    <row r="472" spans="8:21">
      <c r="H472" s="634">
        <v>24025</v>
      </c>
      <c r="I472" s="634" t="s">
        <v>2466</v>
      </c>
      <c r="J472" s="634" t="s">
        <v>1147</v>
      </c>
      <c r="K472" s="634" t="str">
        <f t="shared" si="9"/>
        <v>Pierre, SD</v>
      </c>
      <c r="L472" s="634" t="s">
        <v>1555</v>
      </c>
      <c r="M472" s="634">
        <v>44.38</v>
      </c>
      <c r="N472" s="634">
        <v>-100.28</v>
      </c>
      <c r="O472" s="634">
        <v>-6</v>
      </c>
      <c r="P472" s="634">
        <v>531</v>
      </c>
      <c r="T472" s="634" t="s">
        <v>229</v>
      </c>
      <c r="U472" s="634" t="s">
        <v>2467</v>
      </c>
    </row>
    <row r="473" spans="8:21">
      <c r="I473" s="634" t="s">
        <v>2468</v>
      </c>
      <c r="J473" s="634" t="s">
        <v>539</v>
      </c>
      <c r="K473" s="634" t="str">
        <f t="shared" si="9"/>
        <v>Pittsburgh/Allegheny Co Airport, PA</v>
      </c>
      <c r="L473" s="634" t="s">
        <v>1555</v>
      </c>
      <c r="M473" s="634">
        <v>40.35</v>
      </c>
      <c r="N473" s="634">
        <v>-79.930000000000007</v>
      </c>
      <c r="O473" s="634">
        <v>-5</v>
      </c>
      <c r="P473" s="634">
        <v>382</v>
      </c>
      <c r="T473" s="634" t="s">
        <v>229</v>
      </c>
      <c r="U473" s="634" t="s">
        <v>2469</v>
      </c>
    </row>
    <row r="474" spans="8:21">
      <c r="H474" s="634">
        <v>94823</v>
      </c>
      <c r="I474" s="634" t="s">
        <v>2470</v>
      </c>
      <c r="J474" s="634" t="s">
        <v>539</v>
      </c>
      <c r="K474" s="634" t="str">
        <f t="shared" si="9"/>
        <v>Pittsburgh/Pittsburgh Int'l AP, PA</v>
      </c>
      <c r="L474" s="634" t="s">
        <v>1555</v>
      </c>
      <c r="M474" s="634">
        <v>40.5</v>
      </c>
      <c r="N474" s="634">
        <v>-80.22</v>
      </c>
      <c r="O474" s="634">
        <v>-5</v>
      </c>
      <c r="P474" s="634">
        <v>373</v>
      </c>
      <c r="T474" s="634" t="s">
        <v>229</v>
      </c>
      <c r="U474" s="634" t="s">
        <v>2471</v>
      </c>
    </row>
    <row r="475" spans="8:21">
      <c r="I475" s="634" t="s">
        <v>2472</v>
      </c>
      <c r="J475" s="634" t="s">
        <v>537</v>
      </c>
      <c r="K475" s="634" t="str">
        <f t="shared" si="9"/>
        <v>Plattsburgh/AFB, NY</v>
      </c>
      <c r="L475" s="634" t="s">
        <v>1555</v>
      </c>
      <c r="M475" s="634">
        <v>44.65</v>
      </c>
      <c r="N475" s="634">
        <v>-73.47</v>
      </c>
      <c r="O475" s="634">
        <v>-5</v>
      </c>
      <c r="P475" s="634">
        <v>72</v>
      </c>
      <c r="T475" s="634" t="s">
        <v>229</v>
      </c>
      <c r="U475" s="634" t="s">
        <v>2473</v>
      </c>
    </row>
    <row r="476" spans="8:21">
      <c r="H476" s="634">
        <v>24156</v>
      </c>
      <c r="I476" s="634" t="s">
        <v>2474</v>
      </c>
      <c r="J476" s="634" t="s">
        <v>249</v>
      </c>
      <c r="K476" s="634" t="str">
        <f t="shared" si="9"/>
        <v>Pocatello, ID</v>
      </c>
      <c r="L476" s="634" t="s">
        <v>1555</v>
      </c>
      <c r="M476" s="634">
        <v>42.92</v>
      </c>
      <c r="N476" s="634">
        <v>-112.6</v>
      </c>
      <c r="O476" s="634">
        <v>-7</v>
      </c>
      <c r="P476" s="634">
        <v>1365</v>
      </c>
      <c r="T476" s="634" t="s">
        <v>61</v>
      </c>
      <c r="U476" s="634" t="s">
        <v>2475</v>
      </c>
    </row>
    <row r="477" spans="8:21">
      <c r="I477" s="634" t="s">
        <v>2476</v>
      </c>
      <c r="J477" s="634" t="s">
        <v>1248</v>
      </c>
      <c r="K477" s="634" t="str">
        <f t="shared" si="9"/>
        <v>Poplar Bluff, MO</v>
      </c>
      <c r="L477" s="634" t="s">
        <v>1555</v>
      </c>
      <c r="M477" s="634">
        <v>36.770000000000003</v>
      </c>
      <c r="N477" s="634">
        <v>-90.47</v>
      </c>
      <c r="O477" s="634">
        <v>-6</v>
      </c>
      <c r="P477" s="634">
        <v>146</v>
      </c>
      <c r="T477" s="634" t="s">
        <v>61</v>
      </c>
      <c r="U477" s="634" t="s">
        <v>2477</v>
      </c>
    </row>
    <row r="478" spans="8:21">
      <c r="H478" s="634">
        <v>25223</v>
      </c>
      <c r="I478" s="634" t="s">
        <v>2478</v>
      </c>
      <c r="J478" s="634" t="s">
        <v>1551</v>
      </c>
      <c r="K478" s="634" t="str">
        <f t="shared" si="9"/>
        <v>Port Hardy, BC</v>
      </c>
      <c r="L478" s="634" t="s">
        <v>1552</v>
      </c>
      <c r="M478" s="634">
        <v>50.68</v>
      </c>
      <c r="N478" s="634">
        <v>-127.37</v>
      </c>
      <c r="O478" s="634">
        <v>-8</v>
      </c>
      <c r="P478" s="634">
        <v>22</v>
      </c>
      <c r="T478" s="634" t="s">
        <v>61</v>
      </c>
      <c r="U478" s="634" t="s">
        <v>2479</v>
      </c>
    </row>
    <row r="479" spans="8:21">
      <c r="I479" s="634" t="s">
        <v>269</v>
      </c>
      <c r="J479" s="634" t="s">
        <v>953</v>
      </c>
      <c r="K479" s="634" t="str">
        <f t="shared" si="9"/>
        <v>Port Heiden, AK</v>
      </c>
      <c r="L479" s="634" t="s">
        <v>1555</v>
      </c>
      <c r="M479" s="634">
        <v>56.95</v>
      </c>
      <c r="N479" s="634">
        <v>-158.62</v>
      </c>
      <c r="O479" s="634">
        <v>-9</v>
      </c>
      <c r="P479" s="634">
        <v>29</v>
      </c>
      <c r="T479" s="634" t="s">
        <v>61</v>
      </c>
      <c r="U479" s="634" t="s">
        <v>2480</v>
      </c>
    </row>
    <row r="480" spans="8:21">
      <c r="H480" s="634">
        <v>94912</v>
      </c>
      <c r="I480" s="634" t="s">
        <v>2481</v>
      </c>
      <c r="J480" s="634" t="s">
        <v>1722</v>
      </c>
      <c r="K480" s="634" t="str">
        <f t="shared" si="9"/>
        <v>Portage La Prairie, MB</v>
      </c>
      <c r="L480" s="634" t="s">
        <v>1552</v>
      </c>
      <c r="M480" s="634">
        <v>49.9</v>
      </c>
      <c r="N480" s="634">
        <v>-98.27</v>
      </c>
      <c r="O480" s="634">
        <v>-6</v>
      </c>
      <c r="P480" s="634">
        <v>269</v>
      </c>
      <c r="T480" s="634" t="s">
        <v>61</v>
      </c>
      <c r="U480" s="634" t="s">
        <v>2482</v>
      </c>
    </row>
    <row r="481" spans="8:21">
      <c r="H481" s="634">
        <v>14764</v>
      </c>
      <c r="I481" s="634" t="s">
        <v>2483</v>
      </c>
      <c r="J481" s="634" t="s">
        <v>903</v>
      </c>
      <c r="K481" s="634" t="str">
        <f t="shared" si="9"/>
        <v>Portland, ME</v>
      </c>
      <c r="L481" s="634" t="s">
        <v>1555</v>
      </c>
      <c r="M481" s="634">
        <v>43.65</v>
      </c>
      <c r="N481" s="634">
        <v>-70.319999999999993</v>
      </c>
      <c r="O481" s="634">
        <v>-5</v>
      </c>
      <c r="P481" s="634">
        <v>19</v>
      </c>
      <c r="T481" s="634" t="s">
        <v>61</v>
      </c>
      <c r="U481" s="634" t="s">
        <v>2484</v>
      </c>
    </row>
    <row r="482" spans="8:21">
      <c r="H482" s="634">
        <v>24229</v>
      </c>
      <c r="I482" s="634" t="s">
        <v>2483</v>
      </c>
      <c r="J482" s="634" t="s">
        <v>427</v>
      </c>
      <c r="K482" s="634" t="str">
        <f t="shared" si="9"/>
        <v>Portland, OR</v>
      </c>
      <c r="L482" s="634" t="s">
        <v>1555</v>
      </c>
      <c r="M482" s="634">
        <v>45.6</v>
      </c>
      <c r="N482" s="634">
        <v>-122.6</v>
      </c>
      <c r="O482" s="634">
        <v>-8</v>
      </c>
      <c r="P482" s="634">
        <v>12</v>
      </c>
      <c r="T482" s="634" t="s">
        <v>61</v>
      </c>
      <c r="U482" s="634" t="s">
        <v>2485</v>
      </c>
    </row>
    <row r="483" spans="8:21">
      <c r="I483" s="634" t="s">
        <v>2486</v>
      </c>
      <c r="J483" s="634" t="s">
        <v>1249</v>
      </c>
      <c r="K483" s="634" t="str">
        <f t="shared" si="9"/>
        <v>Portsmouth/Pease AFB, NH</v>
      </c>
      <c r="L483" s="634" t="s">
        <v>1555</v>
      </c>
      <c r="M483" s="634">
        <v>43.08</v>
      </c>
      <c r="N483" s="634">
        <v>-70.819999999999993</v>
      </c>
      <c r="O483" s="634">
        <v>-5</v>
      </c>
      <c r="P483" s="634">
        <v>31</v>
      </c>
      <c r="T483" s="634" t="s">
        <v>1621</v>
      </c>
      <c r="U483" s="634" t="s">
        <v>2487</v>
      </c>
    </row>
    <row r="484" spans="8:21">
      <c r="I484" s="634" t="s">
        <v>2488</v>
      </c>
      <c r="J484" s="634" t="s">
        <v>537</v>
      </c>
      <c r="K484" s="634" t="str">
        <f t="shared" si="9"/>
        <v>Poughkeepsie, NY</v>
      </c>
      <c r="L484" s="634" t="s">
        <v>1555</v>
      </c>
      <c r="M484" s="634">
        <v>41.63</v>
      </c>
      <c r="N484" s="634">
        <v>-73.88</v>
      </c>
      <c r="O484" s="634">
        <v>-5</v>
      </c>
      <c r="P484" s="634">
        <v>51</v>
      </c>
      <c r="T484" s="634" t="s">
        <v>1621</v>
      </c>
      <c r="U484" s="634" t="s">
        <v>2487</v>
      </c>
    </row>
    <row r="485" spans="8:21">
      <c r="H485" s="634">
        <v>23184</v>
      </c>
      <c r="I485" s="634" t="s">
        <v>2489</v>
      </c>
      <c r="J485" s="634" t="s">
        <v>1250</v>
      </c>
      <c r="K485" s="634" t="str">
        <f t="shared" si="9"/>
        <v>Prescott, AZ</v>
      </c>
      <c r="L485" s="634" t="s">
        <v>1555</v>
      </c>
      <c r="M485" s="634">
        <v>34.65</v>
      </c>
      <c r="N485" s="634">
        <v>-112.42</v>
      </c>
      <c r="O485" s="634">
        <v>-7</v>
      </c>
      <c r="P485" s="634">
        <v>1537</v>
      </c>
      <c r="T485" s="634" t="s">
        <v>1621</v>
      </c>
      <c r="U485" s="634" t="s">
        <v>2490</v>
      </c>
    </row>
    <row r="486" spans="8:21">
      <c r="H486" s="634">
        <v>25013</v>
      </c>
      <c r="I486" s="634" t="s">
        <v>2491</v>
      </c>
      <c r="J486" s="634" t="s">
        <v>1728</v>
      </c>
      <c r="K486" s="634" t="str">
        <f t="shared" si="9"/>
        <v>Prince Albert, SK</v>
      </c>
      <c r="L486" s="634" t="s">
        <v>1552</v>
      </c>
      <c r="M486" s="634">
        <v>53.22</v>
      </c>
      <c r="N486" s="634">
        <v>-105.68</v>
      </c>
      <c r="O486" s="634">
        <v>-6</v>
      </c>
      <c r="P486" s="634">
        <v>428</v>
      </c>
      <c r="T486" s="634" t="s">
        <v>1621</v>
      </c>
      <c r="U486" s="634" t="s">
        <v>2492</v>
      </c>
    </row>
    <row r="487" spans="8:21">
      <c r="H487" s="634">
        <v>25206</v>
      </c>
      <c r="I487" s="634" t="s">
        <v>2493</v>
      </c>
      <c r="J487" s="634" t="s">
        <v>1551</v>
      </c>
      <c r="K487" s="634" t="str">
        <f t="shared" si="9"/>
        <v>Prince George, BC</v>
      </c>
      <c r="L487" s="634" t="s">
        <v>1552</v>
      </c>
      <c r="M487" s="634">
        <v>53.88</v>
      </c>
      <c r="N487" s="634">
        <v>-122.68</v>
      </c>
      <c r="O487" s="634">
        <v>-8</v>
      </c>
      <c r="P487" s="634">
        <v>691</v>
      </c>
      <c r="T487" s="634" t="s">
        <v>1621</v>
      </c>
      <c r="U487" s="634" t="s">
        <v>2494</v>
      </c>
    </row>
    <row r="488" spans="8:21">
      <c r="H488" s="634">
        <v>25353</v>
      </c>
      <c r="I488" s="634" t="s">
        <v>2495</v>
      </c>
      <c r="J488" s="634" t="s">
        <v>1551</v>
      </c>
      <c r="K488" s="634" t="str">
        <f t="shared" si="9"/>
        <v>Prince Rupert, BC</v>
      </c>
      <c r="L488" s="634" t="s">
        <v>1552</v>
      </c>
      <c r="M488" s="634">
        <v>54.3</v>
      </c>
      <c r="N488" s="634">
        <v>-130.43</v>
      </c>
      <c r="O488" s="634">
        <v>-8</v>
      </c>
      <c r="P488" s="634">
        <v>34</v>
      </c>
      <c r="T488" s="634" t="s">
        <v>1621</v>
      </c>
      <c r="U488" s="634" t="s">
        <v>2496</v>
      </c>
    </row>
    <row r="489" spans="8:21">
      <c r="H489" s="634">
        <v>14765</v>
      </c>
      <c r="I489" s="634" t="s">
        <v>2497</v>
      </c>
      <c r="J489" s="634" t="s">
        <v>789</v>
      </c>
      <c r="K489" s="634" t="str">
        <f t="shared" si="9"/>
        <v>Providence, RI</v>
      </c>
      <c r="L489" s="634" t="s">
        <v>1555</v>
      </c>
      <c r="M489" s="634">
        <v>41.73</v>
      </c>
      <c r="N489" s="634">
        <v>-71.430000000000007</v>
      </c>
      <c r="O489" s="634">
        <v>-5</v>
      </c>
      <c r="P489" s="634">
        <v>19</v>
      </c>
      <c r="T489" s="634" t="s">
        <v>1621</v>
      </c>
      <c r="U489" s="634" t="s">
        <v>2496</v>
      </c>
    </row>
    <row r="490" spans="8:21">
      <c r="H490" s="634">
        <v>93058</v>
      </c>
      <c r="I490" s="634" t="s">
        <v>2498</v>
      </c>
      <c r="J490" s="634" t="s">
        <v>536</v>
      </c>
      <c r="K490" s="634" t="str">
        <f t="shared" si="9"/>
        <v>Pueblo, CO</v>
      </c>
      <c r="L490" s="634" t="s">
        <v>1555</v>
      </c>
      <c r="M490" s="634">
        <v>38.28</v>
      </c>
      <c r="N490" s="634">
        <v>-104.52</v>
      </c>
      <c r="O490" s="634">
        <v>-7</v>
      </c>
      <c r="P490" s="634">
        <v>1439</v>
      </c>
      <c r="T490" s="634" t="s">
        <v>1621</v>
      </c>
      <c r="U490" s="634" t="s">
        <v>2499</v>
      </c>
    </row>
    <row r="491" spans="8:21">
      <c r="I491" s="634" t="s">
        <v>2500</v>
      </c>
      <c r="J491" s="634" t="s">
        <v>501</v>
      </c>
      <c r="K491" s="634" t="str">
        <f t="shared" si="9"/>
        <v>Quantico/MCAS, VA</v>
      </c>
      <c r="L491" s="634" t="s">
        <v>1555</v>
      </c>
      <c r="M491" s="634">
        <v>38.5</v>
      </c>
      <c r="N491" s="634">
        <v>-77.3</v>
      </c>
      <c r="O491" s="634">
        <v>-5</v>
      </c>
      <c r="P491" s="634">
        <v>4</v>
      </c>
      <c r="T491" s="634" t="s">
        <v>1621</v>
      </c>
      <c r="U491" s="634" t="s">
        <v>2501</v>
      </c>
    </row>
    <row r="492" spans="8:21">
      <c r="H492" s="634">
        <v>4708</v>
      </c>
      <c r="I492" s="634" t="s">
        <v>2502</v>
      </c>
      <c r="J492" s="634" t="s">
        <v>1641</v>
      </c>
      <c r="K492" s="634" t="str">
        <f t="shared" si="9"/>
        <v>Quebec, PQ</v>
      </c>
      <c r="L492" s="634" t="s">
        <v>1552</v>
      </c>
      <c r="M492" s="634">
        <v>46.8</v>
      </c>
      <c r="N492" s="634">
        <v>-71.38</v>
      </c>
      <c r="O492" s="634">
        <v>-5</v>
      </c>
      <c r="P492" s="634">
        <v>73</v>
      </c>
      <c r="T492" s="634" t="s">
        <v>1621</v>
      </c>
      <c r="U492" s="634" t="s">
        <v>2503</v>
      </c>
    </row>
    <row r="493" spans="8:21">
      <c r="H493" s="634">
        <v>25224</v>
      </c>
      <c r="I493" s="634" t="s">
        <v>2504</v>
      </c>
      <c r="J493" s="634" t="s">
        <v>1551</v>
      </c>
      <c r="K493" s="634" t="str">
        <f t="shared" si="9"/>
        <v>Quesnel, BC</v>
      </c>
      <c r="L493" s="634" t="s">
        <v>1552</v>
      </c>
      <c r="M493" s="634">
        <v>53.03</v>
      </c>
      <c r="N493" s="634">
        <v>-122.52</v>
      </c>
      <c r="O493" s="634">
        <v>-8</v>
      </c>
      <c r="P493" s="634">
        <v>545</v>
      </c>
      <c r="T493" s="634" t="s">
        <v>1621</v>
      </c>
      <c r="U493" s="634" t="s">
        <v>2505</v>
      </c>
    </row>
    <row r="494" spans="8:21">
      <c r="H494" s="634">
        <v>94240</v>
      </c>
      <c r="I494" s="634" t="s">
        <v>2506</v>
      </c>
      <c r="J494" s="634" t="s">
        <v>238</v>
      </c>
      <c r="K494" s="634" t="str">
        <f t="shared" si="9"/>
        <v>Quillayute, WA</v>
      </c>
      <c r="L494" s="634" t="s">
        <v>1555</v>
      </c>
      <c r="M494" s="634">
        <v>47.95</v>
      </c>
      <c r="N494" s="634">
        <v>-124.55</v>
      </c>
      <c r="O494" s="634">
        <v>-8</v>
      </c>
      <c r="P494" s="634">
        <v>62</v>
      </c>
      <c r="T494" s="634" t="s">
        <v>1621</v>
      </c>
      <c r="U494" s="634" t="s">
        <v>2507</v>
      </c>
    </row>
    <row r="495" spans="8:21">
      <c r="I495" s="634" t="s">
        <v>2508</v>
      </c>
      <c r="J495" s="634" t="s">
        <v>932</v>
      </c>
      <c r="K495" s="634" t="str">
        <f t="shared" si="9"/>
        <v>Quincy, IL</v>
      </c>
      <c r="L495" s="634" t="s">
        <v>1555</v>
      </c>
      <c r="M495" s="634">
        <v>39.950000000000003</v>
      </c>
      <c r="N495" s="634">
        <v>-91.2</v>
      </c>
      <c r="O495" s="634">
        <v>-6</v>
      </c>
      <c r="P495" s="634">
        <v>234</v>
      </c>
      <c r="T495" s="634" t="s">
        <v>1621</v>
      </c>
      <c r="U495" s="634" t="s">
        <v>2509</v>
      </c>
    </row>
    <row r="496" spans="8:21">
      <c r="H496" s="634">
        <v>13722</v>
      </c>
      <c r="I496" s="634" t="s">
        <v>2510</v>
      </c>
      <c r="J496" s="634" t="s">
        <v>426</v>
      </c>
      <c r="K496" s="634" t="str">
        <f t="shared" si="9"/>
        <v>Raleigh/Durham, NC</v>
      </c>
      <c r="L496" s="634" t="s">
        <v>1555</v>
      </c>
      <c r="M496" s="634">
        <v>35.869999999999997</v>
      </c>
      <c r="N496" s="634">
        <v>-78.78</v>
      </c>
      <c r="O496" s="634">
        <v>-5</v>
      </c>
      <c r="P496" s="634">
        <v>134</v>
      </c>
      <c r="T496" s="634" t="s">
        <v>1621</v>
      </c>
      <c r="U496" s="634" t="s">
        <v>2511</v>
      </c>
    </row>
    <row r="497" spans="8:21">
      <c r="H497" s="634">
        <v>24090</v>
      </c>
      <c r="I497" s="634" t="s">
        <v>2512</v>
      </c>
      <c r="J497" s="634" t="s">
        <v>1147</v>
      </c>
      <c r="K497" s="634" t="str">
        <f t="shared" si="9"/>
        <v>Rapid City, SD</v>
      </c>
      <c r="L497" s="634" t="s">
        <v>1555</v>
      </c>
      <c r="M497" s="634">
        <v>44.05</v>
      </c>
      <c r="N497" s="634">
        <v>-103.07</v>
      </c>
      <c r="O497" s="634">
        <v>-7</v>
      </c>
      <c r="P497" s="634">
        <v>966</v>
      </c>
      <c r="T497" s="634" t="s">
        <v>1621</v>
      </c>
      <c r="U497" s="634" t="s">
        <v>2513</v>
      </c>
    </row>
    <row r="498" spans="8:21">
      <c r="H498" s="634">
        <v>24216</v>
      </c>
      <c r="I498" s="634" t="s">
        <v>2514</v>
      </c>
      <c r="J498" s="634" t="s">
        <v>954</v>
      </c>
      <c r="K498" s="634" t="str">
        <f t="shared" si="9"/>
        <v>Red Bluff, CA</v>
      </c>
      <c r="L498" s="634" t="s">
        <v>1555</v>
      </c>
      <c r="M498" s="634">
        <v>40.15</v>
      </c>
      <c r="N498" s="634">
        <v>-122.25</v>
      </c>
      <c r="O498" s="634">
        <v>-8</v>
      </c>
      <c r="P498" s="634">
        <v>106</v>
      </c>
      <c r="T498" s="634" t="s">
        <v>1621</v>
      </c>
      <c r="U498" s="634" t="s">
        <v>2515</v>
      </c>
    </row>
    <row r="499" spans="8:21">
      <c r="H499" s="634">
        <v>24230</v>
      </c>
      <c r="I499" s="634" t="s">
        <v>2516</v>
      </c>
      <c r="J499" s="634" t="s">
        <v>427</v>
      </c>
      <c r="K499" s="634" t="str">
        <f t="shared" si="9"/>
        <v>Redmond, OR</v>
      </c>
      <c r="L499" s="634" t="s">
        <v>1555</v>
      </c>
      <c r="M499" s="634">
        <v>44.25</v>
      </c>
      <c r="N499" s="634">
        <v>-121.15</v>
      </c>
      <c r="O499" s="634">
        <v>-8</v>
      </c>
      <c r="P499" s="634">
        <v>938</v>
      </c>
      <c r="T499" s="634" t="s">
        <v>1621</v>
      </c>
      <c r="U499" s="634" t="s">
        <v>2515</v>
      </c>
    </row>
    <row r="500" spans="8:21">
      <c r="I500" s="634" t="s">
        <v>2517</v>
      </c>
      <c r="J500" s="634" t="s">
        <v>934</v>
      </c>
      <c r="K500" s="634" t="str">
        <f t="shared" si="9"/>
        <v>Redwood Falls, MN</v>
      </c>
      <c r="L500" s="634" t="s">
        <v>1555</v>
      </c>
      <c r="M500" s="634">
        <v>44.55</v>
      </c>
      <c r="N500" s="634">
        <v>-95.08</v>
      </c>
      <c r="O500" s="634">
        <v>-6</v>
      </c>
      <c r="P500" s="634">
        <v>312</v>
      </c>
      <c r="T500" s="634" t="s">
        <v>1621</v>
      </c>
      <c r="U500" s="634" t="s">
        <v>2515</v>
      </c>
    </row>
    <row r="501" spans="8:21">
      <c r="H501" s="634">
        <v>25005</v>
      </c>
      <c r="I501" s="634" t="s">
        <v>2518</v>
      </c>
      <c r="J501" s="634" t="s">
        <v>1728</v>
      </c>
      <c r="K501" s="634" t="str">
        <f t="shared" si="9"/>
        <v>Regina, SK</v>
      </c>
      <c r="L501" s="634" t="s">
        <v>1552</v>
      </c>
      <c r="M501" s="634">
        <v>50.43</v>
      </c>
      <c r="N501" s="634">
        <v>-104.67</v>
      </c>
      <c r="O501" s="634">
        <v>-6</v>
      </c>
      <c r="P501" s="634">
        <v>577</v>
      </c>
      <c r="T501" s="634" t="s">
        <v>1621</v>
      </c>
      <c r="U501" s="634" t="s">
        <v>2519</v>
      </c>
    </row>
    <row r="502" spans="8:21">
      <c r="H502" s="634">
        <v>23185</v>
      </c>
      <c r="I502" s="634" t="s">
        <v>2520</v>
      </c>
      <c r="J502" s="634" t="s">
        <v>450</v>
      </c>
      <c r="K502" s="634" t="str">
        <f t="shared" si="9"/>
        <v>Reno, NV</v>
      </c>
      <c r="L502" s="634" t="s">
        <v>1555</v>
      </c>
      <c r="M502" s="634">
        <v>39.5</v>
      </c>
      <c r="N502" s="634">
        <v>-119.78</v>
      </c>
      <c r="O502" s="634">
        <v>-8</v>
      </c>
      <c r="P502" s="634">
        <v>1341</v>
      </c>
      <c r="T502" s="634" t="s">
        <v>1621</v>
      </c>
      <c r="U502" s="634" t="s">
        <v>2521</v>
      </c>
    </row>
    <row r="503" spans="8:21">
      <c r="H503" s="634">
        <v>17901</v>
      </c>
      <c r="I503" s="634" t="s">
        <v>2522</v>
      </c>
      <c r="J503" s="634" t="s">
        <v>1645</v>
      </c>
      <c r="K503" s="634" t="str">
        <f t="shared" si="9"/>
        <v>Resolute, NU</v>
      </c>
      <c r="L503" s="634" t="s">
        <v>1552</v>
      </c>
      <c r="M503" s="634">
        <v>74.72</v>
      </c>
      <c r="N503" s="634">
        <v>-94.98</v>
      </c>
      <c r="O503" s="634">
        <v>-6</v>
      </c>
      <c r="P503" s="634">
        <v>67</v>
      </c>
      <c r="T503" s="634" t="s">
        <v>1621</v>
      </c>
      <c r="U503" s="634" t="s">
        <v>2523</v>
      </c>
    </row>
    <row r="504" spans="8:21">
      <c r="H504" s="634">
        <v>13740</v>
      </c>
      <c r="I504" s="634" t="s">
        <v>2524</v>
      </c>
      <c r="J504" s="634" t="s">
        <v>501</v>
      </c>
      <c r="K504" s="634" t="str">
        <f t="shared" si="9"/>
        <v>Richmond, VA</v>
      </c>
      <c r="L504" s="634" t="s">
        <v>1555</v>
      </c>
      <c r="M504" s="634">
        <v>37.5</v>
      </c>
      <c r="N504" s="634">
        <v>-77.33</v>
      </c>
      <c r="O504" s="634">
        <v>-5</v>
      </c>
      <c r="P504" s="634">
        <v>54</v>
      </c>
      <c r="T504" s="634" t="s">
        <v>1621</v>
      </c>
      <c r="U504" s="634" t="s">
        <v>2525</v>
      </c>
    </row>
    <row r="505" spans="8:21">
      <c r="H505" s="634">
        <v>10</v>
      </c>
      <c r="I505" s="634" t="s">
        <v>2526</v>
      </c>
      <c r="J505" s="634" t="s">
        <v>954</v>
      </c>
      <c r="K505" s="634" t="str">
        <f t="shared" si="9"/>
        <v>Riverside/March AFB, CA</v>
      </c>
      <c r="L505" s="634" t="s">
        <v>1555</v>
      </c>
      <c r="M505" s="634">
        <v>33.880000000000003</v>
      </c>
      <c r="N505" s="634">
        <v>-117.27</v>
      </c>
      <c r="O505" s="634">
        <v>-8</v>
      </c>
      <c r="P505" s="634">
        <v>469</v>
      </c>
      <c r="T505" s="634" t="s">
        <v>1621</v>
      </c>
      <c r="U505" s="634" t="s">
        <v>2527</v>
      </c>
    </row>
    <row r="506" spans="8:21">
      <c r="H506" s="634">
        <v>72286</v>
      </c>
      <c r="I506" s="634" t="s">
        <v>2526</v>
      </c>
      <c r="J506" s="634" t="s">
        <v>954</v>
      </c>
      <c r="K506" s="634" t="str">
        <f t="shared" si="9"/>
        <v>Riverside/March AFB, CA</v>
      </c>
      <c r="L506" s="634" t="s">
        <v>1555</v>
      </c>
      <c r="M506" s="634">
        <v>33.880000000000003</v>
      </c>
      <c r="N506" s="634">
        <v>-117.27</v>
      </c>
      <c r="O506" s="634">
        <v>-8</v>
      </c>
      <c r="P506" s="634">
        <v>469</v>
      </c>
      <c r="T506" s="634" t="s">
        <v>1621</v>
      </c>
      <c r="U506" s="634" t="s">
        <v>2528</v>
      </c>
    </row>
    <row r="507" spans="8:21">
      <c r="H507" s="634" t="s">
        <v>2529</v>
      </c>
      <c r="I507" s="634" t="s">
        <v>2526</v>
      </c>
      <c r="J507" s="634" t="s">
        <v>954</v>
      </c>
      <c r="K507" s="634" t="str">
        <f t="shared" si="9"/>
        <v>Riverside/March AFB, CA</v>
      </c>
      <c r="L507" s="634" t="s">
        <v>1555</v>
      </c>
      <c r="M507" s="634">
        <v>33.880000000000003</v>
      </c>
      <c r="N507" s="634">
        <v>-117.27</v>
      </c>
      <c r="O507" s="634">
        <v>-8</v>
      </c>
      <c r="P507" s="634">
        <v>469</v>
      </c>
      <c r="T507" s="634" t="s">
        <v>1621</v>
      </c>
      <c r="U507" s="634" t="s">
        <v>2530</v>
      </c>
    </row>
    <row r="508" spans="8:21">
      <c r="H508" s="634">
        <v>99912</v>
      </c>
      <c r="I508" s="634" t="s">
        <v>2531</v>
      </c>
      <c r="J508" s="634" t="s">
        <v>1641</v>
      </c>
      <c r="K508" s="634" t="str">
        <f t="shared" si="9"/>
        <v>Riviere Du Loup, PQ</v>
      </c>
      <c r="L508" s="634" t="s">
        <v>1552</v>
      </c>
      <c r="M508" s="634">
        <v>47.8</v>
      </c>
      <c r="N508" s="634">
        <v>-69.55</v>
      </c>
      <c r="O508" s="634">
        <v>-5</v>
      </c>
      <c r="P508" s="634">
        <v>148</v>
      </c>
      <c r="T508" s="634" t="s">
        <v>1621</v>
      </c>
      <c r="U508" s="634" t="s">
        <v>2530</v>
      </c>
    </row>
    <row r="509" spans="8:21">
      <c r="H509" s="634" t="s">
        <v>2532</v>
      </c>
      <c r="I509" s="634" t="s">
        <v>2531</v>
      </c>
      <c r="J509" s="634" t="s">
        <v>1641</v>
      </c>
      <c r="K509" s="634" t="str">
        <f t="shared" si="9"/>
        <v>Riviere Du Loup, PQ</v>
      </c>
      <c r="L509" s="634" t="s">
        <v>1552</v>
      </c>
      <c r="M509" s="634">
        <v>47.8</v>
      </c>
      <c r="N509" s="634">
        <v>-69.55</v>
      </c>
      <c r="O509" s="634">
        <v>-5</v>
      </c>
      <c r="P509" s="634">
        <v>148</v>
      </c>
      <c r="T509" s="634" t="s">
        <v>1621</v>
      </c>
      <c r="U509" s="634" t="s">
        <v>2530</v>
      </c>
    </row>
    <row r="510" spans="8:21">
      <c r="H510" s="634">
        <v>13741</v>
      </c>
      <c r="I510" s="634" t="s">
        <v>2533</v>
      </c>
      <c r="J510" s="634" t="s">
        <v>501</v>
      </c>
      <c r="K510" s="634" t="str">
        <f t="shared" si="9"/>
        <v>Roanoke, VA</v>
      </c>
      <c r="L510" s="634" t="s">
        <v>1555</v>
      </c>
      <c r="M510" s="634">
        <v>37.32</v>
      </c>
      <c r="N510" s="634">
        <v>-79.97</v>
      </c>
      <c r="O510" s="634">
        <v>-5</v>
      </c>
      <c r="P510" s="634">
        <v>358</v>
      </c>
      <c r="T510" s="634" t="s">
        <v>1621</v>
      </c>
      <c r="U510" s="634" t="s">
        <v>2534</v>
      </c>
    </row>
    <row r="511" spans="8:21">
      <c r="H511" s="634">
        <v>4752</v>
      </c>
      <c r="I511" s="634" t="s">
        <v>2535</v>
      </c>
      <c r="J511" s="634" t="s">
        <v>1641</v>
      </c>
      <c r="K511" s="634" t="str">
        <f t="shared" si="9"/>
        <v>Roberval, PQ</v>
      </c>
      <c r="L511" s="634" t="s">
        <v>1552</v>
      </c>
      <c r="M511" s="634">
        <v>48.52</v>
      </c>
      <c r="N511" s="634">
        <v>-72.27</v>
      </c>
      <c r="O511" s="634">
        <v>-5</v>
      </c>
      <c r="P511" s="634">
        <v>179</v>
      </c>
      <c r="T511" s="634" t="s">
        <v>1621</v>
      </c>
      <c r="U511" s="634" t="s">
        <v>2536</v>
      </c>
    </row>
    <row r="512" spans="8:21">
      <c r="H512" s="634">
        <v>14925</v>
      </c>
      <c r="I512" s="634" t="s">
        <v>2537</v>
      </c>
      <c r="J512" s="634" t="s">
        <v>934</v>
      </c>
      <c r="K512" s="634" t="str">
        <f t="shared" si="9"/>
        <v>Rochester, MN</v>
      </c>
      <c r="L512" s="634" t="s">
        <v>1555</v>
      </c>
      <c r="M512" s="634">
        <v>43.92</v>
      </c>
      <c r="N512" s="634">
        <v>-92.5</v>
      </c>
      <c r="O512" s="634">
        <v>-6</v>
      </c>
      <c r="P512" s="634">
        <v>402</v>
      </c>
      <c r="T512" s="634" t="s">
        <v>1621</v>
      </c>
      <c r="U512" s="634" t="s">
        <v>2538</v>
      </c>
    </row>
    <row r="513" spans="8:21">
      <c r="H513" s="634">
        <v>14768</v>
      </c>
      <c r="I513" s="634" t="s">
        <v>2537</v>
      </c>
      <c r="J513" s="634" t="s">
        <v>537</v>
      </c>
      <c r="K513" s="634" t="str">
        <f t="shared" si="9"/>
        <v>Rochester, NY</v>
      </c>
      <c r="L513" s="634" t="s">
        <v>1555</v>
      </c>
      <c r="M513" s="634">
        <v>43.12</v>
      </c>
      <c r="N513" s="634">
        <v>-77.67</v>
      </c>
      <c r="O513" s="634">
        <v>-5</v>
      </c>
      <c r="P513" s="634">
        <v>169</v>
      </c>
      <c r="T513" s="634" t="s">
        <v>427</v>
      </c>
      <c r="U513" s="634" t="s">
        <v>2539</v>
      </c>
    </row>
    <row r="514" spans="8:21">
      <c r="H514" s="634">
        <v>24027</v>
      </c>
      <c r="I514" s="634" t="s">
        <v>2540</v>
      </c>
      <c r="J514" s="634" t="s">
        <v>904</v>
      </c>
      <c r="K514" s="634" t="str">
        <f t="shared" ref="K514:K577" si="10">CONCATENATE(I514,", ",J514)</f>
        <v>Rock Springs, WY</v>
      </c>
      <c r="L514" s="634" t="s">
        <v>1555</v>
      </c>
      <c r="M514" s="634">
        <v>41.6</v>
      </c>
      <c r="N514" s="634">
        <v>-109.07</v>
      </c>
      <c r="O514" s="634">
        <v>-7</v>
      </c>
      <c r="P514" s="634">
        <v>2060</v>
      </c>
      <c r="T514" s="634" t="s">
        <v>427</v>
      </c>
      <c r="U514" s="634" t="s">
        <v>2541</v>
      </c>
    </row>
    <row r="515" spans="8:21">
      <c r="H515" s="634">
        <v>94822</v>
      </c>
      <c r="I515" s="634" t="s">
        <v>2542</v>
      </c>
      <c r="J515" s="634" t="s">
        <v>932</v>
      </c>
      <c r="K515" s="634" t="str">
        <f t="shared" si="10"/>
        <v>Rockford, IL</v>
      </c>
      <c r="L515" s="634" t="s">
        <v>1555</v>
      </c>
      <c r="M515" s="634">
        <v>42.2</v>
      </c>
      <c r="N515" s="634">
        <v>-89.1</v>
      </c>
      <c r="O515" s="634">
        <v>-6</v>
      </c>
      <c r="P515" s="634">
        <v>226</v>
      </c>
      <c r="T515" s="634" t="s">
        <v>427</v>
      </c>
      <c r="U515" s="634" t="s">
        <v>2543</v>
      </c>
    </row>
    <row r="516" spans="8:21">
      <c r="I516" s="634" t="s">
        <v>2544</v>
      </c>
      <c r="J516" s="634" t="s">
        <v>428</v>
      </c>
      <c r="K516" s="634" t="str">
        <f t="shared" si="10"/>
        <v>Rome, GA</v>
      </c>
      <c r="L516" s="634" t="s">
        <v>1555</v>
      </c>
      <c r="M516" s="634">
        <v>34.35</v>
      </c>
      <c r="N516" s="634">
        <v>-85.17</v>
      </c>
      <c r="O516" s="634">
        <v>-5</v>
      </c>
      <c r="P516" s="634">
        <v>196</v>
      </c>
      <c r="T516" s="634" t="s">
        <v>427</v>
      </c>
      <c r="U516" s="634" t="s">
        <v>2545</v>
      </c>
    </row>
    <row r="517" spans="8:21">
      <c r="I517" s="634" t="s">
        <v>2546</v>
      </c>
      <c r="J517" s="634" t="s">
        <v>537</v>
      </c>
      <c r="K517" s="634" t="str">
        <f t="shared" si="10"/>
        <v>Rome/Griffiss AFB, NY</v>
      </c>
      <c r="L517" s="634" t="s">
        <v>1555</v>
      </c>
      <c r="M517" s="634">
        <v>43.23</v>
      </c>
      <c r="N517" s="634">
        <v>-75.400000000000006</v>
      </c>
      <c r="O517" s="634">
        <v>-5</v>
      </c>
      <c r="P517" s="634">
        <v>154</v>
      </c>
      <c r="T517" s="634" t="s">
        <v>427</v>
      </c>
      <c r="U517" s="634" t="s">
        <v>2547</v>
      </c>
    </row>
    <row r="518" spans="8:21">
      <c r="H518" s="634">
        <v>23043</v>
      </c>
      <c r="I518" s="634" t="s">
        <v>2548</v>
      </c>
      <c r="J518" s="634" t="s">
        <v>538</v>
      </c>
      <c r="K518" s="634" t="str">
        <f t="shared" si="10"/>
        <v>Roswell, NM</v>
      </c>
      <c r="L518" s="634" t="s">
        <v>1555</v>
      </c>
      <c r="M518" s="634">
        <v>33.299999999999997</v>
      </c>
      <c r="N518" s="634">
        <v>-104.53</v>
      </c>
      <c r="O518" s="634">
        <v>-7</v>
      </c>
      <c r="P518" s="634">
        <v>1112</v>
      </c>
      <c r="T518" s="634" t="s">
        <v>427</v>
      </c>
      <c r="U518" s="634" t="s">
        <v>2549</v>
      </c>
    </row>
    <row r="519" spans="8:21">
      <c r="H519" s="634">
        <v>72268</v>
      </c>
      <c r="I519" s="634" t="s">
        <v>2548</v>
      </c>
      <c r="J519" s="634" t="s">
        <v>538</v>
      </c>
      <c r="K519" s="634" t="str">
        <f t="shared" si="10"/>
        <v>Roswell, NM</v>
      </c>
      <c r="L519" s="634" t="s">
        <v>1555</v>
      </c>
      <c r="M519" s="634">
        <v>33.299999999999997</v>
      </c>
      <c r="N519" s="634">
        <v>-104.53</v>
      </c>
      <c r="O519" s="634">
        <v>-7</v>
      </c>
      <c r="P519" s="634">
        <v>1118</v>
      </c>
      <c r="T519" s="634" t="s">
        <v>427</v>
      </c>
      <c r="U519" s="634" t="s">
        <v>2550</v>
      </c>
    </row>
    <row r="520" spans="8:21">
      <c r="I520" s="634" t="s">
        <v>2551</v>
      </c>
      <c r="J520" s="634" t="s">
        <v>256</v>
      </c>
      <c r="K520" s="634" t="str">
        <f t="shared" si="10"/>
        <v>Russell, KS</v>
      </c>
      <c r="L520" s="634" t="s">
        <v>1555</v>
      </c>
      <c r="M520" s="634">
        <v>38.869999999999997</v>
      </c>
      <c r="N520" s="634">
        <v>-98.82</v>
      </c>
      <c r="O520" s="634">
        <v>-6</v>
      </c>
      <c r="P520" s="634">
        <v>568</v>
      </c>
      <c r="T520" s="634" t="s">
        <v>427</v>
      </c>
      <c r="U520" s="634" t="s">
        <v>2552</v>
      </c>
    </row>
    <row r="521" spans="8:21">
      <c r="H521" s="634">
        <v>14642</v>
      </c>
      <c r="I521" s="634" t="s">
        <v>2553</v>
      </c>
      <c r="J521" s="634" t="s">
        <v>2040</v>
      </c>
      <c r="K521" s="634" t="str">
        <f t="shared" si="10"/>
        <v>Sable Island, NS</v>
      </c>
      <c r="L521" s="634" t="s">
        <v>1552</v>
      </c>
      <c r="M521" s="634">
        <v>43.93</v>
      </c>
      <c r="N521" s="634">
        <v>-60.02</v>
      </c>
      <c r="O521" s="634">
        <v>-4</v>
      </c>
      <c r="P521" s="634">
        <v>4</v>
      </c>
      <c r="T521" s="634" t="s">
        <v>427</v>
      </c>
      <c r="U521" s="634" t="s">
        <v>2554</v>
      </c>
    </row>
    <row r="522" spans="8:21">
      <c r="H522" s="634">
        <v>23232</v>
      </c>
      <c r="I522" s="634" t="s">
        <v>2555</v>
      </c>
      <c r="J522" s="634" t="s">
        <v>954</v>
      </c>
      <c r="K522" s="634" t="str">
        <f t="shared" si="10"/>
        <v>Sacramento/Mather Field, CA</v>
      </c>
      <c r="L522" s="634" t="s">
        <v>1555</v>
      </c>
      <c r="M522" s="634">
        <v>38.549999999999997</v>
      </c>
      <c r="N522" s="634">
        <v>-121.3</v>
      </c>
      <c r="O522" s="634">
        <v>-8</v>
      </c>
      <c r="P522" s="634">
        <v>29</v>
      </c>
      <c r="T522" s="634" t="s">
        <v>427</v>
      </c>
      <c r="U522" s="634" t="s">
        <v>2556</v>
      </c>
    </row>
    <row r="523" spans="8:21">
      <c r="I523" s="634" t="s">
        <v>2557</v>
      </c>
      <c r="J523" s="634" t="s">
        <v>954</v>
      </c>
      <c r="K523" s="634" t="str">
        <f t="shared" si="10"/>
        <v>Sacramento/Mcclellan AFB, CA</v>
      </c>
      <c r="L523" s="634" t="s">
        <v>1555</v>
      </c>
      <c r="M523" s="634">
        <v>38.67</v>
      </c>
      <c r="N523" s="634">
        <v>-121.4</v>
      </c>
      <c r="O523" s="634">
        <v>-8</v>
      </c>
      <c r="P523" s="634">
        <v>23</v>
      </c>
      <c r="T523" s="634" t="s">
        <v>427</v>
      </c>
      <c r="U523" s="634" t="s">
        <v>2558</v>
      </c>
    </row>
    <row r="524" spans="8:21">
      <c r="H524" s="634">
        <v>23232</v>
      </c>
      <c r="I524" s="634" t="s">
        <v>2559</v>
      </c>
      <c r="J524" s="634" t="s">
        <v>954</v>
      </c>
      <c r="K524" s="634" t="str">
        <f t="shared" si="10"/>
        <v>Sacramento/Metro, CA</v>
      </c>
      <c r="L524" s="634" t="s">
        <v>1555</v>
      </c>
      <c r="M524" s="634">
        <v>38.700000000000003</v>
      </c>
      <c r="N524" s="634">
        <v>-121.58</v>
      </c>
      <c r="O524" s="634">
        <v>-8</v>
      </c>
      <c r="P524" s="634">
        <v>7</v>
      </c>
      <c r="T524" s="634" t="s">
        <v>427</v>
      </c>
      <c r="U524" s="634" t="s">
        <v>2560</v>
      </c>
    </row>
    <row r="525" spans="8:21">
      <c r="I525" s="634" t="s">
        <v>2561</v>
      </c>
      <c r="J525" s="634" t="s">
        <v>1250</v>
      </c>
      <c r="K525" s="634" t="str">
        <f t="shared" si="10"/>
        <v>Safford/Agri Center, AZ</v>
      </c>
      <c r="L525" s="634" t="s">
        <v>1555</v>
      </c>
      <c r="M525" s="634">
        <v>32.82</v>
      </c>
      <c r="N525" s="634">
        <v>-109.68</v>
      </c>
      <c r="O525" s="634">
        <v>-7</v>
      </c>
      <c r="P525" s="634">
        <v>950</v>
      </c>
      <c r="T525" s="634" t="s">
        <v>427</v>
      </c>
      <c r="U525" s="634" t="s">
        <v>173</v>
      </c>
    </row>
    <row r="526" spans="8:21">
      <c r="I526" s="634" t="s">
        <v>2562</v>
      </c>
      <c r="J526" s="634" t="s">
        <v>540</v>
      </c>
      <c r="K526" s="634" t="str">
        <f t="shared" si="10"/>
        <v>Saginaw, MI</v>
      </c>
      <c r="L526" s="634" t="s">
        <v>1555</v>
      </c>
      <c r="M526" s="634">
        <v>43.53</v>
      </c>
      <c r="N526" s="634">
        <v>-84.08</v>
      </c>
      <c r="O526" s="634">
        <v>-5</v>
      </c>
      <c r="P526" s="634">
        <v>204</v>
      </c>
      <c r="T526" s="634" t="s">
        <v>539</v>
      </c>
      <c r="U526" s="634" t="s">
        <v>2563</v>
      </c>
    </row>
    <row r="527" spans="8:21">
      <c r="H527" s="634">
        <v>14926</v>
      </c>
      <c r="I527" s="634" t="s">
        <v>2564</v>
      </c>
      <c r="J527" s="634" t="s">
        <v>934</v>
      </c>
      <c r="K527" s="634" t="str">
        <f t="shared" si="10"/>
        <v>Saint Cloud, MN</v>
      </c>
      <c r="L527" s="634" t="s">
        <v>1555</v>
      </c>
      <c r="M527" s="634">
        <v>45.55</v>
      </c>
      <c r="N527" s="634">
        <v>-94.07</v>
      </c>
      <c r="O527" s="634">
        <v>-6</v>
      </c>
      <c r="P527" s="634">
        <v>312</v>
      </c>
      <c r="T527" s="634" t="s">
        <v>539</v>
      </c>
      <c r="U527" s="634" t="s">
        <v>2565</v>
      </c>
    </row>
    <row r="528" spans="8:21">
      <c r="H528" s="634">
        <v>14643</v>
      </c>
      <c r="I528" s="634" t="s">
        <v>2566</v>
      </c>
      <c r="J528" s="634" t="s">
        <v>1784</v>
      </c>
      <c r="K528" s="634" t="str">
        <f t="shared" si="10"/>
        <v>Saint John, NB</v>
      </c>
      <c r="L528" s="634" t="s">
        <v>1552</v>
      </c>
      <c r="M528" s="634">
        <v>45.32</v>
      </c>
      <c r="N528" s="634">
        <v>-65.88</v>
      </c>
      <c r="O528" s="634">
        <v>-4</v>
      </c>
      <c r="P528" s="634">
        <v>109</v>
      </c>
      <c r="T528" s="634" t="s">
        <v>539</v>
      </c>
      <c r="U528" s="634" t="s">
        <v>2567</v>
      </c>
    </row>
    <row r="529" spans="8:21">
      <c r="H529" s="634">
        <v>25713</v>
      </c>
      <c r="I529" s="634" t="s">
        <v>2568</v>
      </c>
      <c r="J529" s="634" t="s">
        <v>953</v>
      </c>
      <c r="K529" s="634" t="str">
        <f t="shared" si="10"/>
        <v>Saint Paul Island, AK</v>
      </c>
      <c r="L529" s="634" t="s">
        <v>1555</v>
      </c>
      <c r="M529" s="634">
        <v>57.15</v>
      </c>
      <c r="N529" s="634">
        <v>-170.22</v>
      </c>
      <c r="O529" s="634">
        <v>-10</v>
      </c>
      <c r="P529" s="634">
        <v>9</v>
      </c>
      <c r="T529" s="634" t="s">
        <v>539</v>
      </c>
      <c r="U529" s="634" t="s">
        <v>2569</v>
      </c>
    </row>
    <row r="530" spans="8:21">
      <c r="I530" s="634" t="s">
        <v>2570</v>
      </c>
      <c r="J530" s="634" t="s">
        <v>594</v>
      </c>
      <c r="K530" s="634" t="str">
        <f t="shared" si="10"/>
        <v>Saint Petersburg, FL</v>
      </c>
      <c r="L530" s="634" t="s">
        <v>1555</v>
      </c>
      <c r="M530" s="634">
        <v>27.92</v>
      </c>
      <c r="N530" s="634">
        <v>-82.68</v>
      </c>
      <c r="O530" s="634">
        <v>-5</v>
      </c>
      <c r="P530" s="634">
        <v>3</v>
      </c>
      <c r="T530" s="634" t="s">
        <v>539</v>
      </c>
      <c r="U530" s="634" t="s">
        <v>2571</v>
      </c>
    </row>
    <row r="531" spans="8:21">
      <c r="H531" s="634">
        <v>24232</v>
      </c>
      <c r="I531" s="634" t="s">
        <v>2572</v>
      </c>
      <c r="J531" s="634" t="s">
        <v>427</v>
      </c>
      <c r="K531" s="634" t="str">
        <f t="shared" si="10"/>
        <v>Salem, OR</v>
      </c>
      <c r="L531" s="634" t="s">
        <v>1555</v>
      </c>
      <c r="M531" s="634">
        <v>44.92</v>
      </c>
      <c r="N531" s="634">
        <v>-123</v>
      </c>
      <c r="O531" s="634">
        <v>-8</v>
      </c>
      <c r="P531" s="634">
        <v>61</v>
      </c>
      <c r="T531" s="634" t="s">
        <v>539</v>
      </c>
      <c r="U531" s="634" t="s">
        <v>2573</v>
      </c>
    </row>
    <row r="532" spans="8:21">
      <c r="I532" s="634" t="s">
        <v>2574</v>
      </c>
      <c r="J532" s="634" t="s">
        <v>256</v>
      </c>
      <c r="K532" s="634" t="str">
        <f t="shared" si="10"/>
        <v>Salina, KS</v>
      </c>
      <c r="L532" s="634" t="s">
        <v>1555</v>
      </c>
      <c r="M532" s="634">
        <v>38.799999999999997</v>
      </c>
      <c r="N532" s="634">
        <v>-97.65</v>
      </c>
      <c r="O532" s="634">
        <v>-6</v>
      </c>
      <c r="P532" s="634">
        <v>388</v>
      </c>
      <c r="T532" s="634" t="s">
        <v>539</v>
      </c>
      <c r="U532" s="634" t="s">
        <v>2575</v>
      </c>
    </row>
    <row r="533" spans="8:21">
      <c r="I533" s="634" t="s">
        <v>2576</v>
      </c>
      <c r="J533" s="634" t="s">
        <v>954</v>
      </c>
      <c r="K533" s="634" t="str">
        <f t="shared" si="10"/>
        <v>Salinas, CA</v>
      </c>
      <c r="L533" s="634" t="s">
        <v>1555</v>
      </c>
      <c r="M533" s="634">
        <v>36.67</v>
      </c>
      <c r="N533" s="634">
        <v>-121.6</v>
      </c>
      <c r="O533" s="634">
        <v>-8</v>
      </c>
      <c r="P533" s="634">
        <v>26</v>
      </c>
      <c r="T533" s="634" t="s">
        <v>539</v>
      </c>
      <c r="U533" s="634" t="s">
        <v>2577</v>
      </c>
    </row>
    <row r="534" spans="8:21">
      <c r="I534" s="634" t="s">
        <v>2578</v>
      </c>
      <c r="J534" s="634" t="s">
        <v>590</v>
      </c>
      <c r="K534" s="634" t="str">
        <f t="shared" si="10"/>
        <v>Salisbury, MD</v>
      </c>
      <c r="L534" s="634" t="s">
        <v>1555</v>
      </c>
      <c r="M534" s="634">
        <v>38.33</v>
      </c>
      <c r="N534" s="634">
        <v>-75.52</v>
      </c>
      <c r="O534" s="634">
        <v>-5</v>
      </c>
      <c r="P534" s="634">
        <v>16</v>
      </c>
      <c r="T534" s="634" t="s">
        <v>539</v>
      </c>
      <c r="U534" s="634" t="s">
        <v>2579</v>
      </c>
    </row>
    <row r="535" spans="8:21">
      <c r="H535" s="634">
        <v>24127</v>
      </c>
      <c r="I535" s="634" t="s">
        <v>2580</v>
      </c>
      <c r="J535" s="634" t="s">
        <v>905</v>
      </c>
      <c r="K535" s="634" t="str">
        <f t="shared" si="10"/>
        <v>Salt Lake City, UT</v>
      </c>
      <c r="L535" s="634" t="s">
        <v>1555</v>
      </c>
      <c r="M535" s="634">
        <v>40.78</v>
      </c>
      <c r="N535" s="634">
        <v>-111.97</v>
      </c>
      <c r="O535" s="634">
        <v>-7</v>
      </c>
      <c r="P535" s="634">
        <v>1288</v>
      </c>
      <c r="T535" s="634" t="s">
        <v>539</v>
      </c>
      <c r="U535" s="634" t="s">
        <v>2581</v>
      </c>
    </row>
    <row r="536" spans="8:21">
      <c r="H536" s="634">
        <v>23034</v>
      </c>
      <c r="I536" s="634" t="s">
        <v>2582</v>
      </c>
      <c r="J536" s="634" t="s">
        <v>228</v>
      </c>
      <c r="K536" s="634" t="str">
        <f t="shared" si="10"/>
        <v>San Angelo, TX</v>
      </c>
      <c r="L536" s="634" t="s">
        <v>1555</v>
      </c>
      <c r="M536" s="634">
        <v>31.37</v>
      </c>
      <c r="N536" s="634">
        <v>-100.5</v>
      </c>
      <c r="O536" s="634">
        <v>-6</v>
      </c>
      <c r="P536" s="634">
        <v>582</v>
      </c>
      <c r="T536" s="634" t="s">
        <v>539</v>
      </c>
      <c r="U536" s="634" t="s">
        <v>2583</v>
      </c>
    </row>
    <row r="537" spans="8:21">
      <c r="H537" s="634">
        <v>72263</v>
      </c>
      <c r="I537" s="634" t="s">
        <v>2582</v>
      </c>
      <c r="J537" s="634" t="s">
        <v>228</v>
      </c>
      <c r="K537" s="634" t="str">
        <f t="shared" si="10"/>
        <v>San Angelo, TX</v>
      </c>
      <c r="L537" s="634" t="s">
        <v>1555</v>
      </c>
      <c r="M537" s="634">
        <v>31.37</v>
      </c>
      <c r="N537" s="634">
        <v>-100.5</v>
      </c>
      <c r="O537" s="634">
        <v>-6</v>
      </c>
      <c r="P537" s="634">
        <v>582</v>
      </c>
      <c r="T537" s="634" t="s">
        <v>539</v>
      </c>
      <c r="U537" s="634" t="s">
        <v>2584</v>
      </c>
    </row>
    <row r="538" spans="8:21">
      <c r="H538" s="634">
        <v>12921</v>
      </c>
      <c r="I538" s="634" t="s">
        <v>2585</v>
      </c>
      <c r="J538" s="634" t="s">
        <v>228</v>
      </c>
      <c r="K538" s="634" t="str">
        <f t="shared" si="10"/>
        <v>San Antonio/Int'l Airport, TX</v>
      </c>
      <c r="L538" s="634" t="s">
        <v>1555</v>
      </c>
      <c r="M538" s="634">
        <v>29.53</v>
      </c>
      <c r="N538" s="634">
        <v>-98.47</v>
      </c>
      <c r="O538" s="634">
        <v>-6</v>
      </c>
      <c r="P538" s="634">
        <v>242</v>
      </c>
      <c r="T538" s="634" t="s">
        <v>539</v>
      </c>
      <c r="U538" s="634" t="s">
        <v>2586</v>
      </c>
    </row>
    <row r="539" spans="8:21">
      <c r="H539" s="634">
        <v>12909</v>
      </c>
      <c r="I539" s="634" t="s">
        <v>2587</v>
      </c>
      <c r="J539" s="634" t="s">
        <v>228</v>
      </c>
      <c r="K539" s="634" t="str">
        <f t="shared" si="10"/>
        <v>San Antonio/Kelly AFB, TX</v>
      </c>
      <c r="L539" s="634" t="s">
        <v>1555</v>
      </c>
      <c r="M539" s="634">
        <v>29.38</v>
      </c>
      <c r="N539" s="634">
        <v>-98.58</v>
      </c>
      <c r="O539" s="634">
        <v>-6</v>
      </c>
      <c r="P539" s="634">
        <v>210</v>
      </c>
      <c r="T539" s="634" t="s">
        <v>1788</v>
      </c>
      <c r="U539" s="634" t="s">
        <v>2588</v>
      </c>
    </row>
    <row r="540" spans="8:21">
      <c r="H540" s="634">
        <v>12921</v>
      </c>
      <c r="I540" s="634" t="s">
        <v>2589</v>
      </c>
      <c r="J540" s="634" t="s">
        <v>228</v>
      </c>
      <c r="K540" s="634" t="str">
        <f t="shared" si="10"/>
        <v>San Antonio/Randolph AFB, TX</v>
      </c>
      <c r="L540" s="634" t="s">
        <v>1555</v>
      </c>
      <c r="M540" s="634">
        <v>29.53</v>
      </c>
      <c r="N540" s="634">
        <v>-98.28</v>
      </c>
      <c r="O540" s="634">
        <v>-6</v>
      </c>
      <c r="P540" s="634">
        <v>232</v>
      </c>
      <c r="T540" s="634" t="s">
        <v>1788</v>
      </c>
      <c r="U540" s="634" t="s">
        <v>2590</v>
      </c>
    </row>
    <row r="541" spans="8:21">
      <c r="H541" s="634">
        <v>72286</v>
      </c>
      <c r="I541" s="634" t="s">
        <v>2591</v>
      </c>
      <c r="J541" s="634" t="s">
        <v>954</v>
      </c>
      <c r="K541" s="634" t="str">
        <f t="shared" si="10"/>
        <v>San Bernardino/Norton AFB, CA</v>
      </c>
      <c r="L541" s="634" t="s">
        <v>1555</v>
      </c>
      <c r="M541" s="634">
        <v>34.1</v>
      </c>
      <c r="N541" s="634">
        <v>-117.23</v>
      </c>
      <c r="O541" s="634">
        <v>-8</v>
      </c>
      <c r="P541" s="634">
        <v>353</v>
      </c>
      <c r="T541" s="634" t="s">
        <v>1641</v>
      </c>
      <c r="U541" s="634" t="s">
        <v>2592</v>
      </c>
    </row>
    <row r="542" spans="8:21">
      <c r="H542" s="634">
        <v>23188</v>
      </c>
      <c r="I542" s="634" t="s">
        <v>2593</v>
      </c>
      <c r="J542" s="634" t="s">
        <v>954</v>
      </c>
      <c r="K542" s="634" t="str">
        <f t="shared" si="10"/>
        <v>San Diego/Int'l Airport, CA</v>
      </c>
      <c r="L542" s="634" t="s">
        <v>1555</v>
      </c>
      <c r="M542" s="634">
        <v>32.729999999999997</v>
      </c>
      <c r="N542" s="634">
        <v>-117.17</v>
      </c>
      <c r="O542" s="634">
        <v>-8</v>
      </c>
      <c r="P542" s="634">
        <v>9</v>
      </c>
      <c r="T542" s="634" t="s">
        <v>1641</v>
      </c>
      <c r="U542" s="634" t="s">
        <v>2594</v>
      </c>
    </row>
    <row r="543" spans="8:21">
      <c r="I543" s="634" t="s">
        <v>2595</v>
      </c>
      <c r="J543" s="634" t="s">
        <v>954</v>
      </c>
      <c r="K543" s="634" t="str">
        <f t="shared" si="10"/>
        <v>San Diego/Miramar NAS, CA</v>
      </c>
      <c r="L543" s="634" t="s">
        <v>1555</v>
      </c>
      <c r="M543" s="634">
        <v>32.85</v>
      </c>
      <c r="N543" s="634">
        <v>-117.12</v>
      </c>
      <c r="O543" s="634">
        <v>-8</v>
      </c>
      <c r="P543" s="634">
        <v>128</v>
      </c>
      <c r="T543" s="634" t="s">
        <v>1641</v>
      </c>
      <c r="U543" s="634" t="s">
        <v>2596</v>
      </c>
    </row>
    <row r="544" spans="8:21">
      <c r="H544" s="634">
        <v>23234</v>
      </c>
      <c r="I544" s="634" t="s">
        <v>2597</v>
      </c>
      <c r="J544" s="634" t="s">
        <v>954</v>
      </c>
      <c r="K544" s="634" t="str">
        <f t="shared" si="10"/>
        <v>San Francisco, CA</v>
      </c>
      <c r="L544" s="634" t="s">
        <v>1555</v>
      </c>
      <c r="M544" s="634">
        <v>37.619999999999997</v>
      </c>
      <c r="N544" s="634">
        <v>-122.38</v>
      </c>
      <c r="O544" s="634">
        <v>-8</v>
      </c>
      <c r="P544" s="634">
        <v>5</v>
      </c>
      <c r="T544" s="634" t="s">
        <v>1641</v>
      </c>
      <c r="U544" s="634" t="s">
        <v>2598</v>
      </c>
    </row>
    <row r="545" spans="8:21">
      <c r="I545" s="634" t="s">
        <v>2599</v>
      </c>
      <c r="J545" s="634" t="s">
        <v>954</v>
      </c>
      <c r="K545" s="634" t="str">
        <f t="shared" si="10"/>
        <v>San Jose Int'l Airport, CA</v>
      </c>
      <c r="L545" s="634" t="s">
        <v>1555</v>
      </c>
      <c r="M545" s="634">
        <v>37.369999999999997</v>
      </c>
      <c r="N545" s="634">
        <v>-121.93</v>
      </c>
      <c r="O545" s="634">
        <v>-8</v>
      </c>
      <c r="P545" s="634">
        <v>17</v>
      </c>
      <c r="T545" s="634" t="s">
        <v>1641</v>
      </c>
      <c r="U545" s="634" t="s">
        <v>2600</v>
      </c>
    </row>
    <row r="546" spans="8:21">
      <c r="I546" s="634" t="s">
        <v>2601</v>
      </c>
      <c r="J546" s="634" t="s">
        <v>228</v>
      </c>
      <c r="K546" s="634" t="str">
        <f t="shared" si="10"/>
        <v>Sanderson, TX</v>
      </c>
      <c r="L546" s="634" t="s">
        <v>1555</v>
      </c>
      <c r="M546" s="634">
        <v>30.17</v>
      </c>
      <c r="N546" s="634">
        <v>-102.42</v>
      </c>
      <c r="O546" s="634">
        <v>-6</v>
      </c>
      <c r="P546" s="634">
        <v>865</v>
      </c>
      <c r="T546" s="634" t="s">
        <v>1641</v>
      </c>
      <c r="U546" s="634" t="s">
        <v>2602</v>
      </c>
    </row>
    <row r="547" spans="8:21">
      <c r="H547" s="634">
        <v>25346</v>
      </c>
      <c r="I547" s="634" t="s">
        <v>2603</v>
      </c>
      <c r="J547" s="634" t="s">
        <v>1551</v>
      </c>
      <c r="K547" s="634" t="str">
        <f t="shared" si="10"/>
        <v>Sandspit, BC</v>
      </c>
      <c r="L547" s="634" t="s">
        <v>1552</v>
      </c>
      <c r="M547" s="634">
        <v>53.25</v>
      </c>
      <c r="N547" s="634">
        <v>-131.82</v>
      </c>
      <c r="O547" s="634">
        <v>-8</v>
      </c>
      <c r="P547" s="634">
        <v>6</v>
      </c>
      <c r="T547" s="634" t="s">
        <v>1641</v>
      </c>
      <c r="U547" s="634" t="s">
        <v>2604</v>
      </c>
    </row>
    <row r="548" spans="8:21">
      <c r="I548" s="634" t="s">
        <v>2605</v>
      </c>
      <c r="J548" s="634" t="s">
        <v>954</v>
      </c>
      <c r="K548" s="634" t="str">
        <f t="shared" si="10"/>
        <v>Santa Barbara, CA</v>
      </c>
      <c r="L548" s="634" t="s">
        <v>1555</v>
      </c>
      <c r="M548" s="634">
        <v>34.43</v>
      </c>
      <c r="N548" s="634">
        <v>-119.83</v>
      </c>
      <c r="O548" s="634">
        <v>-8</v>
      </c>
      <c r="P548" s="634">
        <v>3</v>
      </c>
      <c r="T548" s="634" t="s">
        <v>1641</v>
      </c>
      <c r="U548" s="634" t="s">
        <v>2604</v>
      </c>
    </row>
    <row r="549" spans="8:21">
      <c r="H549" s="634">
        <v>23273</v>
      </c>
      <c r="I549" s="634" t="s">
        <v>2606</v>
      </c>
      <c r="J549" s="634" t="s">
        <v>954</v>
      </c>
      <c r="K549" s="634" t="str">
        <f t="shared" si="10"/>
        <v>Santa Maria, CA</v>
      </c>
      <c r="L549" s="634" t="s">
        <v>1555</v>
      </c>
      <c r="M549" s="634">
        <v>34.9</v>
      </c>
      <c r="N549" s="634">
        <v>-120.45</v>
      </c>
      <c r="O549" s="634">
        <v>-8</v>
      </c>
      <c r="P549" s="634">
        <v>73</v>
      </c>
      <c r="T549" s="634" t="s">
        <v>1641</v>
      </c>
      <c r="U549" s="634" t="s">
        <v>2607</v>
      </c>
    </row>
    <row r="550" spans="8:21">
      <c r="H550" s="634">
        <v>2</v>
      </c>
      <c r="I550" s="634" t="s">
        <v>2608</v>
      </c>
      <c r="J550" s="634" t="s">
        <v>954</v>
      </c>
      <c r="K550" s="634" t="str">
        <f t="shared" si="10"/>
        <v>Santa Rosa, CA</v>
      </c>
      <c r="L550" s="634" t="s">
        <v>1555</v>
      </c>
      <c r="M550" s="634">
        <v>38.450000000000003</v>
      </c>
      <c r="N550" s="634">
        <v>-122.7167</v>
      </c>
      <c r="O550" s="634">
        <v>-8</v>
      </c>
      <c r="P550" s="634">
        <v>50.9</v>
      </c>
      <c r="T550" s="634" t="s">
        <v>1641</v>
      </c>
      <c r="U550" s="634" t="s">
        <v>2609</v>
      </c>
    </row>
    <row r="551" spans="8:21">
      <c r="H551" s="634" t="s">
        <v>2610</v>
      </c>
      <c r="I551" s="634" t="s">
        <v>2608</v>
      </c>
      <c r="J551" s="634" t="s">
        <v>954</v>
      </c>
      <c r="K551" s="634" t="str">
        <f t="shared" si="10"/>
        <v>Santa Rosa, CA</v>
      </c>
      <c r="L551" s="634" t="s">
        <v>1555</v>
      </c>
      <c r="M551" s="634">
        <v>38.450000000000003</v>
      </c>
      <c r="N551" s="634">
        <v>-122.7167</v>
      </c>
      <c r="O551" s="634">
        <v>-8</v>
      </c>
      <c r="P551" s="634">
        <v>50.9</v>
      </c>
      <c r="T551" s="634" t="s">
        <v>1641</v>
      </c>
      <c r="U551" s="634" t="s">
        <v>2611</v>
      </c>
    </row>
    <row r="552" spans="8:21">
      <c r="I552" s="634" t="s">
        <v>2612</v>
      </c>
      <c r="J552" s="634" t="s">
        <v>594</v>
      </c>
      <c r="K552" s="634" t="str">
        <f t="shared" si="10"/>
        <v>Sarasota/Bradenton, FL</v>
      </c>
      <c r="L552" s="634" t="s">
        <v>1555</v>
      </c>
      <c r="M552" s="634">
        <v>27.4</v>
      </c>
      <c r="N552" s="634">
        <v>-82.55</v>
      </c>
      <c r="O552" s="634">
        <v>-5</v>
      </c>
      <c r="P552" s="634">
        <v>9</v>
      </c>
      <c r="T552" s="634" t="s">
        <v>1641</v>
      </c>
      <c r="U552" s="634" t="s">
        <v>2611</v>
      </c>
    </row>
    <row r="553" spans="8:21">
      <c r="H553" s="634">
        <v>25015</v>
      </c>
      <c r="I553" s="634" t="s">
        <v>2613</v>
      </c>
      <c r="J553" s="634" t="s">
        <v>1728</v>
      </c>
      <c r="K553" s="634" t="str">
        <f t="shared" si="10"/>
        <v>Saskatoon, SK</v>
      </c>
      <c r="L553" s="634" t="s">
        <v>1552</v>
      </c>
      <c r="M553" s="634">
        <v>52.17</v>
      </c>
      <c r="N553" s="634">
        <v>-106.68</v>
      </c>
      <c r="O553" s="634">
        <v>-6</v>
      </c>
      <c r="P553" s="634">
        <v>504</v>
      </c>
      <c r="T553" s="634" t="s">
        <v>1641</v>
      </c>
      <c r="U553" s="634" t="s">
        <v>2614</v>
      </c>
    </row>
    <row r="554" spans="8:21">
      <c r="H554" s="634">
        <v>14847</v>
      </c>
      <c r="I554" s="634" t="s">
        <v>2615</v>
      </c>
      <c r="J554" s="634" t="s">
        <v>540</v>
      </c>
      <c r="K554" s="634" t="str">
        <f t="shared" si="10"/>
        <v>Sault Ste Marie, MI</v>
      </c>
      <c r="L554" s="634" t="s">
        <v>1555</v>
      </c>
      <c r="M554" s="634">
        <v>46.47</v>
      </c>
      <c r="N554" s="634">
        <v>-84.37</v>
      </c>
      <c r="O554" s="634">
        <v>-5</v>
      </c>
      <c r="P554" s="634">
        <v>221</v>
      </c>
      <c r="T554" s="634" t="s">
        <v>1641</v>
      </c>
      <c r="U554" s="634" t="s">
        <v>2616</v>
      </c>
    </row>
    <row r="555" spans="8:21">
      <c r="H555" s="634">
        <v>94842</v>
      </c>
      <c r="I555" s="634" t="s">
        <v>2615</v>
      </c>
      <c r="J555" s="634" t="s">
        <v>1621</v>
      </c>
      <c r="K555" s="634" t="str">
        <f t="shared" si="10"/>
        <v>Sault Ste Marie, ON</v>
      </c>
      <c r="L555" s="634" t="s">
        <v>1552</v>
      </c>
      <c r="M555" s="634">
        <v>46.48</v>
      </c>
      <c r="N555" s="634">
        <v>-84.52</v>
      </c>
      <c r="O555" s="634">
        <v>-5</v>
      </c>
      <c r="P555" s="634">
        <v>192</v>
      </c>
      <c r="T555" s="634" t="s">
        <v>1641</v>
      </c>
      <c r="U555" s="634" t="s">
        <v>2617</v>
      </c>
    </row>
    <row r="556" spans="8:21">
      <c r="H556" s="634">
        <v>3822</v>
      </c>
      <c r="I556" s="634" t="s">
        <v>2618</v>
      </c>
      <c r="J556" s="634" t="s">
        <v>428</v>
      </c>
      <c r="K556" s="634" t="str">
        <f t="shared" si="10"/>
        <v>Savannah, GA</v>
      </c>
      <c r="L556" s="634" t="s">
        <v>1555</v>
      </c>
      <c r="M556" s="634">
        <v>32.130000000000003</v>
      </c>
      <c r="N556" s="634">
        <v>-81.2</v>
      </c>
      <c r="O556" s="634">
        <v>-5</v>
      </c>
      <c r="P556" s="634">
        <v>15</v>
      </c>
      <c r="T556" s="634" t="s">
        <v>1641</v>
      </c>
      <c r="U556" s="634" t="s">
        <v>2617</v>
      </c>
    </row>
    <row r="557" spans="8:21">
      <c r="H557" s="634">
        <v>15619</v>
      </c>
      <c r="I557" s="634" t="s">
        <v>2619</v>
      </c>
      <c r="J557" s="634" t="s">
        <v>1641</v>
      </c>
      <c r="K557" s="634" t="str">
        <f t="shared" si="10"/>
        <v>Schefferville, PQ</v>
      </c>
      <c r="L557" s="634" t="s">
        <v>1552</v>
      </c>
      <c r="M557" s="634">
        <v>54.8</v>
      </c>
      <c r="N557" s="634">
        <v>-66.819999999999993</v>
      </c>
      <c r="O557" s="634">
        <v>-5</v>
      </c>
      <c r="P557" s="634">
        <v>521</v>
      </c>
      <c r="T557" s="634" t="s">
        <v>1641</v>
      </c>
      <c r="U557" s="634" t="s">
        <v>2620</v>
      </c>
    </row>
    <row r="558" spans="8:21">
      <c r="H558" s="634">
        <v>24028</v>
      </c>
      <c r="I558" s="634" t="s">
        <v>2621</v>
      </c>
      <c r="J558" s="634" t="s">
        <v>771</v>
      </c>
      <c r="K558" s="634" t="str">
        <f t="shared" si="10"/>
        <v>Scottsbluff, NE</v>
      </c>
      <c r="L558" s="634" t="s">
        <v>1555</v>
      </c>
      <c r="M558" s="634">
        <v>41.87</v>
      </c>
      <c r="N558" s="634">
        <v>-103.6</v>
      </c>
      <c r="O558" s="634">
        <v>-7</v>
      </c>
      <c r="P558" s="634">
        <v>1206</v>
      </c>
      <c r="T558" s="634" t="s">
        <v>1641</v>
      </c>
      <c r="U558" s="634" t="s">
        <v>2622</v>
      </c>
    </row>
    <row r="559" spans="8:21">
      <c r="H559" s="634">
        <v>24233</v>
      </c>
      <c r="I559" s="634" t="s">
        <v>2623</v>
      </c>
      <c r="J559" s="634" t="s">
        <v>238</v>
      </c>
      <c r="K559" s="634" t="str">
        <f t="shared" si="10"/>
        <v>Seattle-Tacoma/Int'l Airport, WA</v>
      </c>
      <c r="L559" s="634" t="s">
        <v>1555</v>
      </c>
      <c r="M559" s="634">
        <v>47.45</v>
      </c>
      <c r="N559" s="634">
        <v>-122.3</v>
      </c>
      <c r="O559" s="634">
        <v>-8</v>
      </c>
      <c r="P559" s="634">
        <v>137</v>
      </c>
      <c r="T559" s="634" t="s">
        <v>1641</v>
      </c>
      <c r="U559" s="634" t="s">
        <v>2624</v>
      </c>
    </row>
    <row r="560" spans="8:21">
      <c r="H560" s="634">
        <v>77912</v>
      </c>
      <c r="I560" s="634" t="s">
        <v>2625</v>
      </c>
      <c r="J560" s="634" t="s">
        <v>1641</v>
      </c>
      <c r="K560" s="634" t="str">
        <f t="shared" si="10"/>
        <v>Sept-Iles, PQ</v>
      </c>
      <c r="L560" s="634" t="s">
        <v>1552</v>
      </c>
      <c r="M560" s="634">
        <v>50.22</v>
      </c>
      <c r="N560" s="634">
        <v>-66.27</v>
      </c>
      <c r="O560" s="634">
        <v>-5</v>
      </c>
      <c r="P560" s="634">
        <v>55</v>
      </c>
      <c r="T560" s="634" t="s">
        <v>1641</v>
      </c>
      <c r="U560" s="634" t="s">
        <v>2626</v>
      </c>
    </row>
    <row r="561" spans="8:21">
      <c r="I561" s="634" t="s">
        <v>2627</v>
      </c>
      <c r="J561" s="634" t="s">
        <v>540</v>
      </c>
      <c r="K561" s="634" t="str">
        <f t="shared" si="10"/>
        <v>Seul Choix Point, MI</v>
      </c>
      <c r="L561" s="634" t="s">
        <v>1555</v>
      </c>
      <c r="M561" s="634">
        <v>45.92</v>
      </c>
      <c r="N561" s="634">
        <v>-85.92</v>
      </c>
      <c r="O561" s="634">
        <v>-5</v>
      </c>
      <c r="P561" s="634">
        <v>180</v>
      </c>
      <c r="T561" s="634" t="s">
        <v>1641</v>
      </c>
      <c r="U561" s="634" t="s">
        <v>2628</v>
      </c>
    </row>
    <row r="562" spans="8:21">
      <c r="I562" s="634" t="s">
        <v>174</v>
      </c>
      <c r="J562" s="634" t="s">
        <v>427</v>
      </c>
      <c r="K562" s="634" t="str">
        <f t="shared" si="10"/>
        <v>Sexton Summit, OR</v>
      </c>
      <c r="L562" s="634" t="s">
        <v>1555</v>
      </c>
      <c r="M562" s="634">
        <v>42.62</v>
      </c>
      <c r="N562" s="634">
        <v>-123.37</v>
      </c>
      <c r="O562" s="634">
        <v>-8</v>
      </c>
      <c r="P562" s="634">
        <v>1171</v>
      </c>
      <c r="T562" s="634" t="s">
        <v>1641</v>
      </c>
      <c r="U562" s="634" t="s">
        <v>2629</v>
      </c>
    </row>
    <row r="563" spans="8:21">
      <c r="H563" s="634">
        <v>14633</v>
      </c>
      <c r="I563" s="634" t="s">
        <v>2630</v>
      </c>
      <c r="J563" s="634" t="s">
        <v>2040</v>
      </c>
      <c r="K563" s="634" t="str">
        <f t="shared" si="10"/>
        <v>Shearwater, NS</v>
      </c>
      <c r="L563" s="634" t="s">
        <v>1552</v>
      </c>
      <c r="M563" s="634">
        <v>44.63</v>
      </c>
      <c r="N563" s="634">
        <v>-63.5</v>
      </c>
      <c r="O563" s="634">
        <v>-4</v>
      </c>
      <c r="P563" s="634">
        <v>51</v>
      </c>
      <c r="T563" s="634" t="s">
        <v>1641</v>
      </c>
      <c r="U563" s="634" t="s">
        <v>2631</v>
      </c>
    </row>
    <row r="564" spans="8:21">
      <c r="H564" s="634">
        <v>4785</v>
      </c>
      <c r="I564" s="634" t="s">
        <v>2632</v>
      </c>
      <c r="J564" s="634" t="s">
        <v>1641</v>
      </c>
      <c r="K564" s="634" t="str">
        <f t="shared" si="10"/>
        <v>Sherbrooke, PQ</v>
      </c>
      <c r="L564" s="634" t="s">
        <v>1552</v>
      </c>
      <c r="M564" s="634">
        <v>45.43</v>
      </c>
      <c r="N564" s="634">
        <v>-71.680000000000007</v>
      </c>
      <c r="O564" s="634">
        <v>-5</v>
      </c>
      <c r="P564" s="634">
        <v>241</v>
      </c>
      <c r="T564" s="634" t="s">
        <v>789</v>
      </c>
      <c r="U564" s="634" t="s">
        <v>2633</v>
      </c>
    </row>
    <row r="565" spans="8:21">
      <c r="H565" s="634">
        <v>24029</v>
      </c>
      <c r="I565" s="634" t="s">
        <v>2634</v>
      </c>
      <c r="J565" s="634" t="s">
        <v>904</v>
      </c>
      <c r="K565" s="634" t="str">
        <f t="shared" si="10"/>
        <v>Sheridan, WY</v>
      </c>
      <c r="L565" s="634" t="s">
        <v>1555</v>
      </c>
      <c r="M565" s="634">
        <v>44.77</v>
      </c>
      <c r="N565" s="634">
        <v>-106.97</v>
      </c>
      <c r="O565" s="634">
        <v>-7</v>
      </c>
      <c r="P565" s="634">
        <v>1209</v>
      </c>
      <c r="T565" s="634" t="s">
        <v>512</v>
      </c>
      <c r="U565" s="634" t="s">
        <v>2635</v>
      </c>
    </row>
    <row r="566" spans="8:21">
      <c r="H566" s="634">
        <v>13923</v>
      </c>
      <c r="I566" s="634" t="s">
        <v>2636</v>
      </c>
      <c r="J566" s="634" t="s">
        <v>228</v>
      </c>
      <c r="K566" s="634" t="str">
        <f t="shared" si="10"/>
        <v>Sherman-Denison, TX</v>
      </c>
      <c r="L566" s="634" t="s">
        <v>1555</v>
      </c>
      <c r="M566" s="634">
        <v>33.72</v>
      </c>
      <c r="N566" s="634">
        <v>-96.67</v>
      </c>
      <c r="O566" s="634">
        <v>-6</v>
      </c>
      <c r="P566" s="634">
        <v>233</v>
      </c>
      <c r="T566" s="634" t="s">
        <v>512</v>
      </c>
      <c r="U566" s="634" t="s">
        <v>2637</v>
      </c>
    </row>
    <row r="567" spans="8:21">
      <c r="H567" s="634">
        <v>13957</v>
      </c>
      <c r="I567" s="634" t="s">
        <v>2638</v>
      </c>
      <c r="J567" s="634" t="s">
        <v>591</v>
      </c>
      <c r="K567" s="634" t="str">
        <f t="shared" si="10"/>
        <v>Shreveport, LA</v>
      </c>
      <c r="L567" s="634" t="s">
        <v>1555</v>
      </c>
      <c r="M567" s="634">
        <v>32.47</v>
      </c>
      <c r="N567" s="634">
        <v>-93.82</v>
      </c>
      <c r="O567" s="634">
        <v>-6</v>
      </c>
      <c r="P567" s="634">
        <v>79</v>
      </c>
      <c r="T567" s="634" t="s">
        <v>512</v>
      </c>
      <c r="U567" s="634" t="s">
        <v>2639</v>
      </c>
    </row>
    <row r="568" spans="8:21">
      <c r="I568" s="634" t="s">
        <v>2640</v>
      </c>
      <c r="J568" s="634" t="s">
        <v>771</v>
      </c>
      <c r="K568" s="634" t="str">
        <f t="shared" si="10"/>
        <v>Sidney, NE</v>
      </c>
      <c r="L568" s="634" t="s">
        <v>1555</v>
      </c>
      <c r="M568" s="634">
        <v>41.1</v>
      </c>
      <c r="N568" s="634">
        <v>-102.98</v>
      </c>
      <c r="O568" s="634">
        <v>-7</v>
      </c>
      <c r="P568" s="634">
        <v>1312</v>
      </c>
      <c r="T568" s="634" t="s">
        <v>512</v>
      </c>
      <c r="U568" s="634" t="s">
        <v>2641</v>
      </c>
    </row>
    <row r="569" spans="8:21">
      <c r="H569" s="634">
        <v>94858</v>
      </c>
      <c r="I569" s="634" t="s">
        <v>2642</v>
      </c>
      <c r="J569" s="634" t="s">
        <v>1621</v>
      </c>
      <c r="K569" s="634" t="str">
        <f t="shared" si="10"/>
        <v>Simcoe, ON</v>
      </c>
      <c r="L569" s="634" t="s">
        <v>1552</v>
      </c>
      <c r="M569" s="634">
        <v>42.85</v>
      </c>
      <c r="N569" s="634">
        <v>-80.27</v>
      </c>
      <c r="O569" s="634">
        <v>-5</v>
      </c>
      <c r="P569" s="634">
        <v>241</v>
      </c>
      <c r="T569" s="634" t="s">
        <v>512</v>
      </c>
      <c r="U569" s="634" t="s">
        <v>2643</v>
      </c>
    </row>
    <row r="570" spans="8:21">
      <c r="H570" s="634">
        <v>14943</v>
      </c>
      <c r="I570" s="634" t="s">
        <v>2644</v>
      </c>
      <c r="J570" s="634" t="s">
        <v>566</v>
      </c>
      <c r="K570" s="634" t="str">
        <f t="shared" si="10"/>
        <v>Sioux City, IA</v>
      </c>
      <c r="L570" s="634" t="s">
        <v>1555</v>
      </c>
      <c r="M570" s="634">
        <v>42.4</v>
      </c>
      <c r="N570" s="634">
        <v>-96.38</v>
      </c>
      <c r="O570" s="634">
        <v>-6</v>
      </c>
      <c r="P570" s="634">
        <v>336</v>
      </c>
      <c r="T570" s="634" t="s">
        <v>512</v>
      </c>
      <c r="U570" s="634" t="s">
        <v>2645</v>
      </c>
    </row>
    <row r="571" spans="8:21">
      <c r="H571" s="634">
        <v>14944</v>
      </c>
      <c r="I571" s="634" t="s">
        <v>2646</v>
      </c>
      <c r="J571" s="634" t="s">
        <v>1147</v>
      </c>
      <c r="K571" s="634" t="str">
        <f t="shared" si="10"/>
        <v>Sioux Falls, SD</v>
      </c>
      <c r="L571" s="634" t="s">
        <v>1555</v>
      </c>
      <c r="M571" s="634">
        <v>43.58</v>
      </c>
      <c r="N571" s="634">
        <v>-96.73</v>
      </c>
      <c r="O571" s="634">
        <v>-6</v>
      </c>
      <c r="P571" s="634">
        <v>435</v>
      </c>
      <c r="T571" s="634" t="s">
        <v>512</v>
      </c>
      <c r="U571" s="634" t="s">
        <v>2647</v>
      </c>
    </row>
    <row r="572" spans="8:21">
      <c r="H572" s="634">
        <v>15909</v>
      </c>
      <c r="I572" s="634" t="s">
        <v>2648</v>
      </c>
      <c r="J572" s="634" t="s">
        <v>1621</v>
      </c>
      <c r="K572" s="634" t="str">
        <f t="shared" si="10"/>
        <v>Sioux Lookout, ON</v>
      </c>
      <c r="L572" s="634" t="s">
        <v>1552</v>
      </c>
      <c r="M572" s="634">
        <v>50.12</v>
      </c>
      <c r="N572" s="634">
        <v>-91.9</v>
      </c>
      <c r="O572" s="634">
        <v>-5</v>
      </c>
      <c r="P572" s="634">
        <v>390</v>
      </c>
      <c r="T572" s="634" t="s">
        <v>1147</v>
      </c>
      <c r="U572" s="634" t="s">
        <v>2649</v>
      </c>
    </row>
    <row r="573" spans="8:21">
      <c r="I573" s="634" t="s">
        <v>2650</v>
      </c>
      <c r="J573" s="634" t="s">
        <v>953</v>
      </c>
      <c r="K573" s="634" t="str">
        <f t="shared" si="10"/>
        <v>Sitka, AK</v>
      </c>
      <c r="L573" s="634" t="s">
        <v>1555</v>
      </c>
      <c r="M573" s="634">
        <v>57.07</v>
      </c>
      <c r="N573" s="634">
        <v>-135.35</v>
      </c>
      <c r="O573" s="634">
        <v>-9</v>
      </c>
      <c r="P573" s="634">
        <v>20</v>
      </c>
      <c r="T573" s="634" t="s">
        <v>1147</v>
      </c>
      <c r="U573" s="634" t="s">
        <v>2651</v>
      </c>
    </row>
    <row r="574" spans="8:21">
      <c r="H574" s="634">
        <v>25225</v>
      </c>
      <c r="I574" s="634" t="s">
        <v>2652</v>
      </c>
      <c r="J574" s="634" t="s">
        <v>1551</v>
      </c>
      <c r="K574" s="634" t="str">
        <f t="shared" si="10"/>
        <v>Smithers, BC</v>
      </c>
      <c r="L574" s="634" t="s">
        <v>1552</v>
      </c>
      <c r="M574" s="634">
        <v>54.82</v>
      </c>
      <c r="N574" s="634">
        <v>-127.18</v>
      </c>
      <c r="O574" s="634">
        <v>-8</v>
      </c>
      <c r="P574" s="634">
        <v>523</v>
      </c>
      <c r="T574" s="634" t="s">
        <v>1147</v>
      </c>
      <c r="U574" s="634" t="s">
        <v>2653</v>
      </c>
    </row>
    <row r="575" spans="8:21">
      <c r="H575" s="634">
        <v>14848</v>
      </c>
      <c r="I575" s="634" t="s">
        <v>2654</v>
      </c>
      <c r="J575" s="634" t="s">
        <v>283</v>
      </c>
      <c r="K575" s="634" t="str">
        <f t="shared" si="10"/>
        <v>South Bend, IN</v>
      </c>
      <c r="L575" s="634" t="s">
        <v>1555</v>
      </c>
      <c r="M575" s="634">
        <v>41.7</v>
      </c>
      <c r="N575" s="634">
        <v>-86.32</v>
      </c>
      <c r="O575" s="634">
        <v>-6</v>
      </c>
      <c r="P575" s="634">
        <v>236</v>
      </c>
      <c r="T575" s="634" t="s">
        <v>1147</v>
      </c>
      <c r="U575" s="634" t="s">
        <v>2655</v>
      </c>
    </row>
    <row r="576" spans="8:21">
      <c r="I576" s="634" t="s">
        <v>2656</v>
      </c>
      <c r="J576" s="634" t="s">
        <v>566</v>
      </c>
      <c r="K576" s="634" t="str">
        <f t="shared" si="10"/>
        <v>Spencer, IA</v>
      </c>
      <c r="L576" s="634" t="s">
        <v>1555</v>
      </c>
      <c r="M576" s="634">
        <v>43.17</v>
      </c>
      <c r="N576" s="634">
        <v>-95.15</v>
      </c>
      <c r="O576" s="634">
        <v>-6</v>
      </c>
      <c r="P576" s="634">
        <v>408</v>
      </c>
      <c r="T576" s="634" t="s">
        <v>1147</v>
      </c>
      <c r="U576" s="634" t="s">
        <v>2657</v>
      </c>
    </row>
    <row r="577" spans="8:21">
      <c r="I577" s="634" t="s">
        <v>2658</v>
      </c>
      <c r="J577" s="634" t="s">
        <v>1248</v>
      </c>
      <c r="K577" s="634" t="str">
        <f t="shared" si="10"/>
        <v>Spickard/Trenton, MO</v>
      </c>
      <c r="L577" s="634" t="s">
        <v>1555</v>
      </c>
      <c r="M577" s="634">
        <v>40.25</v>
      </c>
      <c r="N577" s="634">
        <v>-93.72</v>
      </c>
      <c r="O577" s="634">
        <v>-6</v>
      </c>
      <c r="P577" s="634">
        <v>270</v>
      </c>
      <c r="T577" s="634" t="s">
        <v>1728</v>
      </c>
      <c r="U577" s="634" t="s">
        <v>2659</v>
      </c>
    </row>
    <row r="578" spans="8:21">
      <c r="H578" s="634">
        <v>24157</v>
      </c>
      <c r="I578" s="634" t="s">
        <v>2660</v>
      </c>
      <c r="J578" s="634" t="s">
        <v>238</v>
      </c>
      <c r="K578" s="634" t="str">
        <f t="shared" ref="K578:K641" si="11">CONCATENATE(I578,", ",J578)</f>
        <v>Spokane/Fairchild AFB, WA</v>
      </c>
      <c r="L578" s="634" t="s">
        <v>1555</v>
      </c>
      <c r="M578" s="634">
        <v>47.62</v>
      </c>
      <c r="N578" s="634">
        <v>-117.65</v>
      </c>
      <c r="O578" s="634">
        <v>-8</v>
      </c>
      <c r="P578" s="634">
        <v>750</v>
      </c>
      <c r="T578" s="634" t="s">
        <v>1728</v>
      </c>
      <c r="U578" s="634" t="s">
        <v>2661</v>
      </c>
    </row>
    <row r="579" spans="8:21">
      <c r="H579" s="634">
        <v>99909</v>
      </c>
      <c r="I579" s="634" t="s">
        <v>2662</v>
      </c>
      <c r="J579" s="634" t="s">
        <v>1551</v>
      </c>
      <c r="K579" s="634" t="str">
        <f t="shared" si="11"/>
        <v>Spring Island, BC</v>
      </c>
      <c r="L579" s="634" t="s">
        <v>1552</v>
      </c>
      <c r="M579" s="634">
        <v>50.12</v>
      </c>
      <c r="N579" s="634">
        <v>-127.93</v>
      </c>
      <c r="O579" s="634">
        <v>-8</v>
      </c>
      <c r="P579" s="634">
        <v>98</v>
      </c>
      <c r="T579" s="634" t="s">
        <v>1728</v>
      </c>
      <c r="U579" s="634" t="s">
        <v>2663</v>
      </c>
    </row>
    <row r="580" spans="8:21">
      <c r="H580" s="634" t="s">
        <v>2664</v>
      </c>
      <c r="I580" s="634" t="s">
        <v>2662</v>
      </c>
      <c r="J580" s="634" t="s">
        <v>1551</v>
      </c>
      <c r="K580" s="634" t="str">
        <f t="shared" si="11"/>
        <v>Spring Island, BC</v>
      </c>
      <c r="L580" s="634" t="s">
        <v>1552</v>
      </c>
      <c r="M580" s="634">
        <v>50.12</v>
      </c>
      <c r="N580" s="634">
        <v>-127.93</v>
      </c>
      <c r="O580" s="634">
        <v>-8</v>
      </c>
      <c r="P580" s="634">
        <v>98</v>
      </c>
      <c r="T580" s="634" t="s">
        <v>1728</v>
      </c>
      <c r="U580" s="634" t="s">
        <v>2665</v>
      </c>
    </row>
    <row r="581" spans="8:21">
      <c r="H581" s="634">
        <v>93822</v>
      </c>
      <c r="I581" s="634" t="s">
        <v>2666</v>
      </c>
      <c r="J581" s="634" t="s">
        <v>932</v>
      </c>
      <c r="K581" s="634" t="str">
        <f t="shared" si="11"/>
        <v>Springfield, IL</v>
      </c>
      <c r="L581" s="634" t="s">
        <v>1555</v>
      </c>
      <c r="M581" s="634">
        <v>39.85</v>
      </c>
      <c r="N581" s="634">
        <v>-89.67</v>
      </c>
      <c r="O581" s="634">
        <v>-6</v>
      </c>
      <c r="P581" s="634">
        <v>187</v>
      </c>
      <c r="T581" s="634" t="s">
        <v>1728</v>
      </c>
      <c r="U581" s="634" t="s">
        <v>2667</v>
      </c>
    </row>
    <row r="582" spans="8:21">
      <c r="H582" s="634">
        <v>13995</v>
      </c>
      <c r="I582" s="634" t="s">
        <v>2666</v>
      </c>
      <c r="J582" s="634" t="s">
        <v>1248</v>
      </c>
      <c r="K582" s="634" t="str">
        <f t="shared" si="11"/>
        <v>Springfield, MO</v>
      </c>
      <c r="L582" s="634" t="s">
        <v>1555</v>
      </c>
      <c r="M582" s="634">
        <v>37.229999999999997</v>
      </c>
      <c r="N582" s="634">
        <v>-93.38</v>
      </c>
      <c r="O582" s="634">
        <v>-6</v>
      </c>
      <c r="P582" s="634">
        <v>387</v>
      </c>
      <c r="T582" s="634" t="s">
        <v>1728</v>
      </c>
      <c r="U582" s="634" t="s">
        <v>2668</v>
      </c>
    </row>
    <row r="583" spans="8:21">
      <c r="H583" s="634">
        <v>4712</v>
      </c>
      <c r="I583" s="634" t="s">
        <v>2669</v>
      </c>
      <c r="J583" s="634" t="s">
        <v>1641</v>
      </c>
      <c r="K583" s="634" t="str">
        <f t="shared" si="11"/>
        <v>St Hubert, PQ</v>
      </c>
      <c r="L583" s="634" t="s">
        <v>1552</v>
      </c>
      <c r="M583" s="634">
        <v>45.52</v>
      </c>
      <c r="N583" s="634">
        <v>-73.42</v>
      </c>
      <c r="O583" s="634">
        <v>-5</v>
      </c>
      <c r="P583" s="634">
        <v>27</v>
      </c>
      <c r="T583" s="634" t="s">
        <v>1728</v>
      </c>
      <c r="U583" s="634" t="s">
        <v>2670</v>
      </c>
    </row>
    <row r="584" spans="8:21">
      <c r="H584" s="634">
        <v>14506</v>
      </c>
      <c r="I584" s="634" t="s">
        <v>2671</v>
      </c>
      <c r="J584" s="634" t="s">
        <v>1660</v>
      </c>
      <c r="K584" s="634" t="str">
        <f t="shared" si="11"/>
        <v>St John's, NF</v>
      </c>
      <c r="L584" s="634" t="s">
        <v>1552</v>
      </c>
      <c r="M584" s="634">
        <v>47.62</v>
      </c>
      <c r="N584" s="634">
        <v>-52.73</v>
      </c>
      <c r="O584" s="634">
        <v>-3.5</v>
      </c>
      <c r="P584" s="634">
        <v>140</v>
      </c>
      <c r="T584" s="634" t="s">
        <v>1728</v>
      </c>
      <c r="U584" s="634" t="s">
        <v>2672</v>
      </c>
    </row>
    <row r="585" spans="8:21">
      <c r="H585" s="634">
        <v>14521</v>
      </c>
      <c r="I585" s="634" t="s">
        <v>2671</v>
      </c>
      <c r="J585" s="634" t="s">
        <v>1660</v>
      </c>
      <c r="K585" s="634" t="str">
        <f t="shared" si="11"/>
        <v>St John's, NF</v>
      </c>
      <c r="L585" s="634" t="s">
        <v>1552</v>
      </c>
      <c r="M585" s="634">
        <v>47.62</v>
      </c>
      <c r="N585" s="634">
        <v>-52.73</v>
      </c>
      <c r="O585" s="634">
        <v>-3.5</v>
      </c>
      <c r="P585" s="634">
        <v>140</v>
      </c>
      <c r="T585" s="634" t="s">
        <v>1728</v>
      </c>
      <c r="U585" s="634" t="s">
        <v>2673</v>
      </c>
    </row>
    <row r="586" spans="8:21">
      <c r="H586" s="634">
        <v>13994</v>
      </c>
      <c r="I586" s="634" t="s">
        <v>2674</v>
      </c>
      <c r="J586" s="634" t="s">
        <v>1248</v>
      </c>
      <c r="K586" s="634" t="str">
        <f t="shared" si="11"/>
        <v>St Louis/Int'l Airport, MO</v>
      </c>
      <c r="L586" s="634" t="s">
        <v>1555</v>
      </c>
      <c r="M586" s="634">
        <v>38.75</v>
      </c>
      <c r="N586" s="634">
        <v>-90.37</v>
      </c>
      <c r="O586" s="634">
        <v>-6</v>
      </c>
      <c r="P586" s="634">
        <v>172</v>
      </c>
      <c r="T586" s="634" t="s">
        <v>1728</v>
      </c>
      <c r="U586" s="634" t="s">
        <v>2673</v>
      </c>
    </row>
    <row r="587" spans="8:21">
      <c r="I587" s="634" t="s">
        <v>119</v>
      </c>
      <c r="J587" s="634" t="s">
        <v>238</v>
      </c>
      <c r="K587" s="634" t="str">
        <f t="shared" si="11"/>
        <v>Stampede Pass, WA</v>
      </c>
      <c r="L587" s="634" t="s">
        <v>1555</v>
      </c>
      <c r="M587" s="634">
        <v>47.28</v>
      </c>
      <c r="N587" s="634">
        <v>-121.33</v>
      </c>
      <c r="O587" s="634">
        <v>-8</v>
      </c>
      <c r="P587" s="634">
        <v>1209</v>
      </c>
      <c r="T587" s="634" t="s">
        <v>1728</v>
      </c>
      <c r="U587" s="634" t="s">
        <v>2675</v>
      </c>
    </row>
    <row r="588" spans="8:21">
      <c r="H588" s="634">
        <v>4790</v>
      </c>
      <c r="I588" s="634" t="s">
        <v>2676</v>
      </c>
      <c r="J588" s="634" t="s">
        <v>1641</v>
      </c>
      <c r="K588" s="634" t="str">
        <f t="shared" si="11"/>
        <v>Ste Agathe Des Monts, PQ</v>
      </c>
      <c r="L588" s="634" t="s">
        <v>1552</v>
      </c>
      <c r="M588" s="634">
        <v>46.05</v>
      </c>
      <c r="N588" s="634">
        <v>-74.28</v>
      </c>
      <c r="O588" s="634">
        <v>-5</v>
      </c>
      <c r="P588" s="634">
        <v>395</v>
      </c>
      <c r="T588" s="634" t="s">
        <v>1728</v>
      </c>
      <c r="U588" s="634" t="s">
        <v>2677</v>
      </c>
    </row>
    <row r="589" spans="8:21">
      <c r="H589" s="634">
        <v>14503</v>
      </c>
      <c r="I589" s="634" t="s">
        <v>2678</v>
      </c>
      <c r="J589" s="634" t="s">
        <v>1660</v>
      </c>
      <c r="K589" s="634" t="str">
        <f t="shared" si="11"/>
        <v>Stephenville, NF</v>
      </c>
      <c r="L589" s="634" t="s">
        <v>1552</v>
      </c>
      <c r="M589" s="634">
        <v>48.53</v>
      </c>
      <c r="N589" s="634">
        <v>-58.55</v>
      </c>
      <c r="O589" s="634">
        <v>-3.5</v>
      </c>
      <c r="P589" s="634">
        <v>26</v>
      </c>
      <c r="T589" s="634" t="s">
        <v>560</v>
      </c>
      <c r="U589" s="634" t="s">
        <v>2679</v>
      </c>
    </row>
    <row r="590" spans="8:21">
      <c r="H590" s="634">
        <v>93734</v>
      </c>
      <c r="I590" s="634" t="s">
        <v>2680</v>
      </c>
      <c r="J590" s="634" t="s">
        <v>501</v>
      </c>
      <c r="K590" s="634" t="str">
        <f t="shared" si="11"/>
        <v>Sterling/Washington Dulles Airport, VA</v>
      </c>
      <c r="L590" s="634" t="s">
        <v>1555</v>
      </c>
      <c r="M590" s="634">
        <v>38.950000000000003</v>
      </c>
      <c r="N590" s="634">
        <v>-77.45</v>
      </c>
      <c r="O590" s="634">
        <v>-5</v>
      </c>
      <c r="P590" s="634">
        <v>98</v>
      </c>
      <c r="T590" s="634" t="s">
        <v>560</v>
      </c>
      <c r="U590" s="634" t="s">
        <v>2681</v>
      </c>
    </row>
    <row r="591" spans="8:21">
      <c r="H591" s="634">
        <v>93738</v>
      </c>
      <c r="I591" s="634" t="s">
        <v>2680</v>
      </c>
      <c r="J591" s="634" t="s">
        <v>501</v>
      </c>
      <c r="K591" s="634" t="str">
        <f t="shared" si="11"/>
        <v>Sterling/Washington Dulles Airport, VA</v>
      </c>
      <c r="L591" s="634" t="s">
        <v>1555</v>
      </c>
      <c r="M591" s="634">
        <v>38.950000000000003</v>
      </c>
      <c r="N591" s="634">
        <v>-77.45</v>
      </c>
      <c r="O591" s="634">
        <v>-5</v>
      </c>
      <c r="P591" s="634">
        <v>98</v>
      </c>
      <c r="T591" s="634" t="s">
        <v>560</v>
      </c>
      <c r="U591" s="634" t="s">
        <v>2682</v>
      </c>
    </row>
    <row r="592" spans="8:21">
      <c r="I592" s="634" t="s">
        <v>2683</v>
      </c>
      <c r="J592" s="634" t="s">
        <v>954</v>
      </c>
      <c r="K592" s="634" t="str">
        <f t="shared" si="11"/>
        <v>Stockton, CA</v>
      </c>
      <c r="L592" s="634" t="s">
        <v>1555</v>
      </c>
      <c r="M592" s="634">
        <v>37.9</v>
      </c>
      <c r="N592" s="634">
        <v>-121.25</v>
      </c>
      <c r="O592" s="634">
        <v>-8</v>
      </c>
      <c r="P592" s="634">
        <v>8</v>
      </c>
      <c r="T592" s="634" t="s">
        <v>560</v>
      </c>
      <c r="U592" s="634" t="s">
        <v>2684</v>
      </c>
    </row>
    <row r="593" spans="8:21">
      <c r="H593" s="634">
        <v>94828</v>
      </c>
      <c r="I593" s="634" t="s">
        <v>2685</v>
      </c>
      <c r="J593" s="634" t="s">
        <v>1621</v>
      </c>
      <c r="K593" s="634" t="str">
        <f t="shared" si="11"/>
        <v>Sudbury, ON</v>
      </c>
      <c r="L593" s="634" t="s">
        <v>1552</v>
      </c>
      <c r="M593" s="634">
        <v>46.62</v>
      </c>
      <c r="N593" s="634">
        <v>-80.8</v>
      </c>
      <c r="O593" s="634">
        <v>-5</v>
      </c>
      <c r="P593" s="634">
        <v>348</v>
      </c>
      <c r="T593" s="634" t="s">
        <v>560</v>
      </c>
      <c r="U593" s="634" t="s">
        <v>2686</v>
      </c>
    </row>
    <row r="594" spans="8:21">
      <c r="H594" s="634">
        <v>94152</v>
      </c>
      <c r="I594" s="634" t="s">
        <v>2687</v>
      </c>
      <c r="J594" s="634" t="s">
        <v>1551</v>
      </c>
      <c r="K594" s="634" t="str">
        <f t="shared" si="11"/>
        <v>Summerland, BC</v>
      </c>
      <c r="L594" s="634" t="s">
        <v>1552</v>
      </c>
      <c r="M594" s="634">
        <v>49.57</v>
      </c>
      <c r="N594" s="634">
        <v>-119.65</v>
      </c>
      <c r="O594" s="634">
        <v>-8</v>
      </c>
      <c r="P594" s="634">
        <v>479</v>
      </c>
      <c r="T594" s="634" t="s">
        <v>560</v>
      </c>
      <c r="U594" s="634" t="s">
        <v>2688</v>
      </c>
    </row>
    <row r="595" spans="8:21">
      <c r="H595" s="634">
        <v>14645</v>
      </c>
      <c r="I595" s="634" t="s">
        <v>2689</v>
      </c>
      <c r="J595" s="634" t="s">
        <v>1788</v>
      </c>
      <c r="K595" s="634" t="str">
        <f t="shared" si="11"/>
        <v>Summerside, PE</v>
      </c>
      <c r="L595" s="634" t="s">
        <v>1552</v>
      </c>
      <c r="M595" s="634">
        <v>46.43</v>
      </c>
      <c r="N595" s="634">
        <v>-63.83</v>
      </c>
      <c r="O595" s="634">
        <v>-4</v>
      </c>
      <c r="P595" s="634">
        <v>24</v>
      </c>
      <c r="T595" s="634" t="s">
        <v>560</v>
      </c>
      <c r="U595" s="634" t="s">
        <v>2690</v>
      </c>
    </row>
    <row r="596" spans="8:21">
      <c r="H596" s="634">
        <v>26414</v>
      </c>
      <c r="I596" s="634" t="s">
        <v>2691</v>
      </c>
      <c r="J596" s="634" t="s">
        <v>953</v>
      </c>
      <c r="K596" s="634" t="str">
        <f t="shared" si="11"/>
        <v>Summit, AK</v>
      </c>
      <c r="L596" s="634" t="s">
        <v>1555</v>
      </c>
      <c r="M596" s="634">
        <v>63.33</v>
      </c>
      <c r="N596" s="634">
        <v>-149.13</v>
      </c>
      <c r="O596" s="634">
        <v>-9</v>
      </c>
      <c r="P596" s="634">
        <v>734</v>
      </c>
      <c r="T596" s="634" t="s">
        <v>228</v>
      </c>
      <c r="U596" s="634" t="s">
        <v>2692</v>
      </c>
    </row>
    <row r="597" spans="8:21">
      <c r="I597" s="634" t="s">
        <v>2693</v>
      </c>
      <c r="J597" s="634" t="s">
        <v>512</v>
      </c>
      <c r="K597" s="634" t="str">
        <f t="shared" si="11"/>
        <v>Sumter/Shaw AFB, SC</v>
      </c>
      <c r="L597" s="634" t="s">
        <v>1555</v>
      </c>
      <c r="M597" s="634">
        <v>33.97</v>
      </c>
      <c r="N597" s="634">
        <v>-80.47</v>
      </c>
      <c r="O597" s="634">
        <v>-5</v>
      </c>
      <c r="P597" s="634">
        <v>74</v>
      </c>
      <c r="T597" s="634" t="s">
        <v>228</v>
      </c>
      <c r="U597" s="634" t="s">
        <v>2694</v>
      </c>
    </row>
    <row r="598" spans="8:21">
      <c r="H598" s="634">
        <v>25028</v>
      </c>
      <c r="I598" s="634" t="s">
        <v>2695</v>
      </c>
      <c r="J598" s="634" t="s">
        <v>1728</v>
      </c>
      <c r="K598" s="634" t="str">
        <f t="shared" si="11"/>
        <v>Swift Current, SK</v>
      </c>
      <c r="L598" s="634" t="s">
        <v>1552</v>
      </c>
      <c r="M598" s="634">
        <v>50.28</v>
      </c>
      <c r="N598" s="634">
        <v>-107.68</v>
      </c>
      <c r="O598" s="634">
        <v>-6</v>
      </c>
      <c r="P598" s="634">
        <v>818</v>
      </c>
      <c r="T598" s="634" t="s">
        <v>228</v>
      </c>
      <c r="U598" s="634" t="s">
        <v>2696</v>
      </c>
    </row>
    <row r="599" spans="8:21">
      <c r="H599" s="634">
        <v>14646</v>
      </c>
      <c r="I599" s="634" t="s">
        <v>2697</v>
      </c>
      <c r="J599" s="634" t="s">
        <v>2040</v>
      </c>
      <c r="K599" s="634" t="str">
        <f t="shared" si="11"/>
        <v>Sydney, NS</v>
      </c>
      <c r="L599" s="634" t="s">
        <v>1552</v>
      </c>
      <c r="M599" s="634">
        <v>46.17</v>
      </c>
      <c r="N599" s="634">
        <v>-60.05</v>
      </c>
      <c r="O599" s="634">
        <v>-4</v>
      </c>
      <c r="P599" s="634">
        <v>62</v>
      </c>
      <c r="T599" s="634" t="s">
        <v>228</v>
      </c>
      <c r="U599" s="634" t="s">
        <v>2698</v>
      </c>
    </row>
    <row r="600" spans="8:21">
      <c r="H600" s="634">
        <v>14771</v>
      </c>
      <c r="I600" s="634" t="s">
        <v>2699</v>
      </c>
      <c r="J600" s="634" t="s">
        <v>537</v>
      </c>
      <c r="K600" s="634" t="str">
        <f t="shared" si="11"/>
        <v>Syracuse, NY</v>
      </c>
      <c r="L600" s="634" t="s">
        <v>1555</v>
      </c>
      <c r="M600" s="634">
        <v>43.12</v>
      </c>
      <c r="N600" s="634">
        <v>-76.12</v>
      </c>
      <c r="O600" s="634">
        <v>-5</v>
      </c>
      <c r="P600" s="634">
        <v>124</v>
      </c>
      <c r="T600" s="634" t="s">
        <v>228</v>
      </c>
      <c r="U600" s="634" t="s">
        <v>2700</v>
      </c>
    </row>
    <row r="601" spans="8:21">
      <c r="I601" s="634" t="s">
        <v>2701</v>
      </c>
      <c r="J601" s="634" t="s">
        <v>238</v>
      </c>
      <c r="K601" s="634" t="str">
        <f t="shared" si="11"/>
        <v>Tacoma/McChord AFB, WA</v>
      </c>
      <c r="L601" s="634" t="s">
        <v>1555</v>
      </c>
      <c r="M601" s="634">
        <v>47.13</v>
      </c>
      <c r="N601" s="634">
        <v>-122.48</v>
      </c>
      <c r="O601" s="634">
        <v>-8</v>
      </c>
      <c r="P601" s="634">
        <v>98</v>
      </c>
      <c r="T601" s="634" t="s">
        <v>228</v>
      </c>
      <c r="U601" s="634" t="s">
        <v>2702</v>
      </c>
    </row>
    <row r="602" spans="8:21">
      <c r="H602" s="634">
        <v>26528</v>
      </c>
      <c r="I602" s="634" t="s">
        <v>2703</v>
      </c>
      <c r="J602" s="634" t="s">
        <v>953</v>
      </c>
      <c r="K602" s="634" t="str">
        <f t="shared" si="11"/>
        <v>Talkeetna, AK</v>
      </c>
      <c r="L602" s="634" t="s">
        <v>1555</v>
      </c>
      <c r="M602" s="634">
        <v>62.3</v>
      </c>
      <c r="N602" s="634">
        <v>-150.1</v>
      </c>
      <c r="O602" s="634">
        <v>-9</v>
      </c>
      <c r="P602" s="634">
        <v>109</v>
      </c>
      <c r="T602" s="634" t="s">
        <v>228</v>
      </c>
      <c r="U602" s="634" t="s">
        <v>2704</v>
      </c>
    </row>
    <row r="603" spans="8:21">
      <c r="H603" s="634">
        <v>93805</v>
      </c>
      <c r="I603" s="634" t="s">
        <v>2705</v>
      </c>
      <c r="J603" s="634" t="s">
        <v>594</v>
      </c>
      <c r="K603" s="634" t="str">
        <f t="shared" si="11"/>
        <v>Tallahassee, FL</v>
      </c>
      <c r="L603" s="634" t="s">
        <v>1555</v>
      </c>
      <c r="M603" s="634">
        <v>30.38</v>
      </c>
      <c r="N603" s="634">
        <v>-84.37</v>
      </c>
      <c r="O603" s="634">
        <v>-5</v>
      </c>
      <c r="P603" s="634">
        <v>21</v>
      </c>
      <c r="T603" s="634" t="s">
        <v>228</v>
      </c>
      <c r="U603" s="634" t="s">
        <v>2706</v>
      </c>
    </row>
    <row r="604" spans="8:21">
      <c r="H604" s="634">
        <v>12842</v>
      </c>
      <c r="I604" s="634" t="s">
        <v>2707</v>
      </c>
      <c r="J604" s="634" t="s">
        <v>594</v>
      </c>
      <c r="K604" s="634" t="str">
        <f t="shared" si="11"/>
        <v>Tampa/Int'l Airport, FL</v>
      </c>
      <c r="L604" s="634" t="s">
        <v>1555</v>
      </c>
      <c r="M604" s="634">
        <v>27.97</v>
      </c>
      <c r="N604" s="634">
        <v>-82.53</v>
      </c>
      <c r="O604" s="634">
        <v>-5</v>
      </c>
      <c r="P604" s="634">
        <v>3</v>
      </c>
      <c r="T604" s="634" t="s">
        <v>228</v>
      </c>
      <c r="U604" s="634" t="s">
        <v>2708</v>
      </c>
    </row>
    <row r="605" spans="8:21">
      <c r="H605" s="634">
        <v>25229</v>
      </c>
      <c r="I605" s="634" t="s">
        <v>2709</v>
      </c>
      <c r="J605" s="634" t="s">
        <v>1551</v>
      </c>
      <c r="K605" s="634" t="str">
        <f t="shared" si="11"/>
        <v>Terrace, BC</v>
      </c>
      <c r="L605" s="634" t="s">
        <v>1552</v>
      </c>
      <c r="M605" s="634">
        <v>54.47</v>
      </c>
      <c r="N605" s="634">
        <v>-128.58000000000001</v>
      </c>
      <c r="O605" s="634">
        <v>-8</v>
      </c>
      <c r="P605" s="634">
        <v>217</v>
      </c>
      <c r="T605" s="634" t="s">
        <v>228</v>
      </c>
      <c r="U605" s="634" t="s">
        <v>2710</v>
      </c>
    </row>
    <row r="606" spans="8:21">
      <c r="I606" s="634" t="s">
        <v>2711</v>
      </c>
      <c r="J606" s="634" t="s">
        <v>283</v>
      </c>
      <c r="K606" s="634" t="str">
        <f t="shared" si="11"/>
        <v>Terre Haute, IN</v>
      </c>
      <c r="L606" s="634" t="s">
        <v>1555</v>
      </c>
      <c r="M606" s="634">
        <v>39.450000000000003</v>
      </c>
      <c r="N606" s="634">
        <v>-87.32</v>
      </c>
      <c r="O606" s="634">
        <v>-5</v>
      </c>
      <c r="P606" s="634">
        <v>178</v>
      </c>
      <c r="T606" s="634" t="s">
        <v>228</v>
      </c>
      <c r="U606" s="634" t="s">
        <v>2710</v>
      </c>
    </row>
    <row r="607" spans="8:21">
      <c r="I607" s="634" t="s">
        <v>2712</v>
      </c>
      <c r="J607" s="634" t="s">
        <v>589</v>
      </c>
      <c r="K607" s="634" t="str">
        <f t="shared" si="11"/>
        <v>Teterboro, NJ</v>
      </c>
      <c r="L607" s="634" t="s">
        <v>1555</v>
      </c>
      <c r="M607" s="634">
        <v>40.85</v>
      </c>
      <c r="N607" s="634">
        <v>-74.069999999999993</v>
      </c>
      <c r="O607" s="634">
        <v>-5</v>
      </c>
      <c r="P607" s="634">
        <v>3</v>
      </c>
      <c r="T607" s="634" t="s">
        <v>228</v>
      </c>
      <c r="U607" s="634" t="s">
        <v>2713</v>
      </c>
    </row>
    <row r="608" spans="8:21">
      <c r="H608" s="634">
        <v>72341</v>
      </c>
      <c r="I608" s="634" t="s">
        <v>2714</v>
      </c>
      <c r="J608" s="634" t="s">
        <v>1176</v>
      </c>
      <c r="K608" s="634" t="str">
        <f t="shared" si="11"/>
        <v>Texarkana, AR</v>
      </c>
      <c r="L608" s="634" t="s">
        <v>1555</v>
      </c>
      <c r="M608" s="634">
        <v>33.450000000000003</v>
      </c>
      <c r="N608" s="634">
        <v>-93.98</v>
      </c>
      <c r="O608" s="634">
        <v>-6</v>
      </c>
      <c r="P608" s="634">
        <v>119</v>
      </c>
      <c r="T608" s="634" t="s">
        <v>228</v>
      </c>
      <c r="U608" s="634" t="s">
        <v>2713</v>
      </c>
    </row>
    <row r="609" spans="8:21">
      <c r="H609" s="634">
        <v>25004</v>
      </c>
      <c r="I609" s="634" t="s">
        <v>2715</v>
      </c>
      <c r="J609" s="634" t="s">
        <v>1722</v>
      </c>
      <c r="K609" s="634" t="str">
        <f t="shared" si="11"/>
        <v>The Pas, MB</v>
      </c>
      <c r="L609" s="634" t="s">
        <v>1552</v>
      </c>
      <c r="M609" s="634">
        <v>53.97</v>
      </c>
      <c r="N609" s="634">
        <v>-101.1</v>
      </c>
      <c r="O609" s="634">
        <v>-6</v>
      </c>
      <c r="P609" s="634">
        <v>271</v>
      </c>
      <c r="T609" s="634" t="s">
        <v>228</v>
      </c>
      <c r="U609" s="634" t="s">
        <v>2716</v>
      </c>
    </row>
    <row r="610" spans="8:21">
      <c r="H610" s="634">
        <v>15919</v>
      </c>
      <c r="I610" s="634" t="s">
        <v>2717</v>
      </c>
      <c r="J610" s="634" t="s">
        <v>1722</v>
      </c>
      <c r="K610" s="634" t="str">
        <f t="shared" si="11"/>
        <v>Thompson, MB</v>
      </c>
      <c r="L610" s="634" t="s">
        <v>1552</v>
      </c>
      <c r="M610" s="634">
        <v>55.8</v>
      </c>
      <c r="N610" s="634">
        <v>-97.87</v>
      </c>
      <c r="O610" s="634">
        <v>-6</v>
      </c>
      <c r="P610" s="634">
        <v>218</v>
      </c>
      <c r="T610" s="634" t="s">
        <v>228</v>
      </c>
      <c r="U610" s="634" t="s">
        <v>2718</v>
      </c>
    </row>
    <row r="611" spans="8:21">
      <c r="H611" s="634">
        <v>94804</v>
      </c>
      <c r="I611" s="634" t="s">
        <v>2719</v>
      </c>
      <c r="J611" s="634" t="s">
        <v>1621</v>
      </c>
      <c r="K611" s="634" t="str">
        <f t="shared" si="11"/>
        <v>Thunder Bay, ON</v>
      </c>
      <c r="L611" s="634" t="s">
        <v>1552</v>
      </c>
      <c r="M611" s="634">
        <v>48.37</v>
      </c>
      <c r="N611" s="634">
        <v>-89.32</v>
      </c>
      <c r="O611" s="634">
        <v>-5</v>
      </c>
      <c r="P611" s="634">
        <v>199</v>
      </c>
      <c r="T611" s="634" t="s">
        <v>228</v>
      </c>
      <c r="U611" s="634" t="s">
        <v>2720</v>
      </c>
    </row>
    <row r="612" spans="8:21">
      <c r="H612" s="634">
        <v>94831</v>
      </c>
      <c r="I612" s="634" t="s">
        <v>2721</v>
      </c>
      <c r="J612" s="634" t="s">
        <v>1621</v>
      </c>
      <c r="K612" s="634" t="str">
        <f t="shared" si="11"/>
        <v>Timmins, ON</v>
      </c>
      <c r="L612" s="634" t="s">
        <v>1552</v>
      </c>
      <c r="M612" s="634">
        <v>48.57</v>
      </c>
      <c r="N612" s="634">
        <v>-81.37</v>
      </c>
      <c r="O612" s="634">
        <v>-5</v>
      </c>
      <c r="P612" s="634">
        <v>295</v>
      </c>
      <c r="T612" s="634" t="s">
        <v>228</v>
      </c>
      <c r="U612" s="634" t="s">
        <v>2722</v>
      </c>
    </row>
    <row r="613" spans="8:21">
      <c r="H613" s="634">
        <v>94234</v>
      </c>
      <c r="I613" s="634" t="s">
        <v>2723</v>
      </c>
      <c r="J613" s="634" t="s">
        <v>1551</v>
      </c>
      <c r="K613" s="634" t="str">
        <f t="shared" si="11"/>
        <v>Tofino, BC</v>
      </c>
      <c r="L613" s="634" t="s">
        <v>1552</v>
      </c>
      <c r="M613" s="634">
        <v>49.08</v>
      </c>
      <c r="N613" s="634">
        <v>-125.77</v>
      </c>
      <c r="O613" s="634">
        <v>-8</v>
      </c>
      <c r="P613" s="634">
        <v>24</v>
      </c>
      <c r="T613" s="634" t="s">
        <v>228</v>
      </c>
      <c r="U613" s="634" t="s">
        <v>2724</v>
      </c>
    </row>
    <row r="614" spans="8:21">
      <c r="I614" s="634" t="s">
        <v>2725</v>
      </c>
      <c r="J614" s="634" t="s">
        <v>934</v>
      </c>
      <c r="K614" s="634" t="str">
        <f t="shared" si="11"/>
        <v>Tofte, MN</v>
      </c>
      <c r="L614" s="634" t="s">
        <v>1555</v>
      </c>
      <c r="M614" s="634">
        <v>47.58</v>
      </c>
      <c r="N614" s="634">
        <v>-90.83</v>
      </c>
      <c r="O614" s="634">
        <v>-6</v>
      </c>
      <c r="P614" s="634">
        <v>241</v>
      </c>
      <c r="T614" s="634" t="s">
        <v>228</v>
      </c>
      <c r="U614" s="634" t="s">
        <v>2724</v>
      </c>
    </row>
    <row r="615" spans="8:21">
      <c r="H615" s="634">
        <v>94830</v>
      </c>
      <c r="I615" s="634" t="s">
        <v>2726</v>
      </c>
      <c r="J615" s="634" t="s">
        <v>229</v>
      </c>
      <c r="K615" s="634" t="str">
        <f t="shared" si="11"/>
        <v>Toledo, OH</v>
      </c>
      <c r="L615" s="634" t="s">
        <v>1555</v>
      </c>
      <c r="M615" s="634">
        <v>41.6</v>
      </c>
      <c r="N615" s="634">
        <v>-83.8</v>
      </c>
      <c r="O615" s="634">
        <v>-5</v>
      </c>
      <c r="P615" s="634">
        <v>211</v>
      </c>
      <c r="T615" s="634" t="s">
        <v>228</v>
      </c>
      <c r="U615" s="634" t="s">
        <v>2727</v>
      </c>
    </row>
    <row r="616" spans="8:21">
      <c r="H616" s="634">
        <v>23153</v>
      </c>
      <c r="I616" s="634" t="s">
        <v>2728</v>
      </c>
      <c r="J616" s="634" t="s">
        <v>450</v>
      </c>
      <c r="K616" s="634" t="str">
        <f t="shared" si="11"/>
        <v>Tonopah, NV</v>
      </c>
      <c r="L616" s="634" t="s">
        <v>1555</v>
      </c>
      <c r="M616" s="634">
        <v>38.049999999999997</v>
      </c>
      <c r="N616" s="634">
        <v>-117.08</v>
      </c>
      <c r="O616" s="634">
        <v>-8</v>
      </c>
      <c r="P616" s="634">
        <v>1654</v>
      </c>
      <c r="T616" s="634" t="s">
        <v>228</v>
      </c>
      <c r="U616" s="634" t="s">
        <v>2729</v>
      </c>
    </row>
    <row r="617" spans="8:21">
      <c r="H617" s="634">
        <v>13996</v>
      </c>
      <c r="I617" s="634" t="s">
        <v>2730</v>
      </c>
      <c r="J617" s="634" t="s">
        <v>256</v>
      </c>
      <c r="K617" s="634" t="str">
        <f t="shared" si="11"/>
        <v>Topeka, KS</v>
      </c>
      <c r="L617" s="634" t="s">
        <v>1555</v>
      </c>
      <c r="M617" s="634">
        <v>39.07</v>
      </c>
      <c r="N617" s="634">
        <v>-95.62</v>
      </c>
      <c r="O617" s="634">
        <v>-6</v>
      </c>
      <c r="P617" s="634">
        <v>270</v>
      </c>
      <c r="T617" s="634" t="s">
        <v>228</v>
      </c>
      <c r="U617" s="634" t="s">
        <v>2731</v>
      </c>
    </row>
    <row r="618" spans="8:21">
      <c r="H618" s="634">
        <v>4714</v>
      </c>
      <c r="I618" s="634" t="s">
        <v>2732</v>
      </c>
      <c r="J618" s="634" t="s">
        <v>1621</v>
      </c>
      <c r="K618" s="634" t="str">
        <f t="shared" si="11"/>
        <v>Toronto Int'l, ON</v>
      </c>
      <c r="L618" s="634" t="s">
        <v>1552</v>
      </c>
      <c r="M618" s="634">
        <v>43.67</v>
      </c>
      <c r="N618" s="634">
        <v>-79.63</v>
      </c>
      <c r="O618" s="634">
        <v>-5</v>
      </c>
      <c r="P618" s="634">
        <v>173</v>
      </c>
      <c r="T618" s="634" t="s">
        <v>228</v>
      </c>
      <c r="U618" s="634" t="s">
        <v>2733</v>
      </c>
    </row>
    <row r="619" spans="8:21">
      <c r="H619" s="634">
        <v>4795</v>
      </c>
      <c r="I619" s="634" t="s">
        <v>2732</v>
      </c>
      <c r="J619" s="634" t="s">
        <v>1621</v>
      </c>
      <c r="K619" s="634" t="str">
        <f t="shared" si="11"/>
        <v>Toronto Int'l, ON</v>
      </c>
      <c r="L619" s="634" t="s">
        <v>1552</v>
      </c>
      <c r="M619" s="634">
        <v>43.67</v>
      </c>
      <c r="N619" s="634">
        <v>-79.63</v>
      </c>
      <c r="O619" s="634">
        <v>-5</v>
      </c>
      <c r="P619" s="634">
        <v>173</v>
      </c>
      <c r="T619" s="634" t="s">
        <v>228</v>
      </c>
      <c r="U619" s="634" t="s">
        <v>2734</v>
      </c>
    </row>
    <row r="620" spans="8:21">
      <c r="H620" s="634">
        <v>94791</v>
      </c>
      <c r="I620" s="634" t="s">
        <v>2732</v>
      </c>
      <c r="J620" s="634" t="s">
        <v>1621</v>
      </c>
      <c r="K620" s="634" t="str">
        <f t="shared" si="11"/>
        <v>Toronto Int'l, ON</v>
      </c>
      <c r="L620" s="634" t="s">
        <v>1552</v>
      </c>
      <c r="M620" s="634">
        <v>43.67</v>
      </c>
      <c r="N620" s="634">
        <v>-79.63</v>
      </c>
      <c r="O620" s="634">
        <v>-5</v>
      </c>
      <c r="P620" s="634">
        <v>173</v>
      </c>
      <c r="T620" s="634" t="s">
        <v>228</v>
      </c>
      <c r="U620" s="634" t="s">
        <v>2735</v>
      </c>
    </row>
    <row r="621" spans="8:21">
      <c r="H621" s="634">
        <v>14850</v>
      </c>
      <c r="I621" s="634" t="s">
        <v>2736</v>
      </c>
      <c r="J621" s="634" t="s">
        <v>540</v>
      </c>
      <c r="K621" s="634" t="str">
        <f t="shared" si="11"/>
        <v>Traverse City, MI</v>
      </c>
      <c r="L621" s="634" t="s">
        <v>1555</v>
      </c>
      <c r="M621" s="634">
        <v>44.73</v>
      </c>
      <c r="N621" s="634">
        <v>-85.58</v>
      </c>
      <c r="O621" s="634">
        <v>-5</v>
      </c>
      <c r="P621" s="634">
        <v>190</v>
      </c>
      <c r="T621" s="634" t="s">
        <v>228</v>
      </c>
      <c r="U621" s="634" t="s">
        <v>2737</v>
      </c>
    </row>
    <row r="622" spans="8:21">
      <c r="H622" s="634">
        <v>4715</v>
      </c>
      <c r="I622" s="634" t="s">
        <v>2738</v>
      </c>
      <c r="J622" s="634" t="s">
        <v>1621</v>
      </c>
      <c r="K622" s="634" t="str">
        <f t="shared" si="11"/>
        <v>Trenton, ON</v>
      </c>
      <c r="L622" s="634" t="s">
        <v>1552</v>
      </c>
      <c r="M622" s="634">
        <v>44.12</v>
      </c>
      <c r="N622" s="634">
        <v>-77.53</v>
      </c>
      <c r="O622" s="634">
        <v>-5</v>
      </c>
      <c r="P622" s="634">
        <v>86</v>
      </c>
      <c r="T622" s="634" t="s">
        <v>228</v>
      </c>
      <c r="U622" s="634" t="s">
        <v>2739</v>
      </c>
    </row>
    <row r="623" spans="8:21">
      <c r="I623" s="634" t="s">
        <v>2740</v>
      </c>
      <c r="J623" s="634" t="s">
        <v>589</v>
      </c>
      <c r="K623" s="634" t="str">
        <f t="shared" si="11"/>
        <v>Trenton/Wrightstown/McGuire AFB, NJ</v>
      </c>
      <c r="L623" s="634" t="s">
        <v>1555</v>
      </c>
      <c r="M623" s="634">
        <v>40.020000000000003</v>
      </c>
      <c r="N623" s="634">
        <v>-74.599999999999994</v>
      </c>
      <c r="O623" s="634">
        <v>-5</v>
      </c>
      <c r="P623" s="634">
        <v>41</v>
      </c>
      <c r="T623" s="634" t="s">
        <v>228</v>
      </c>
      <c r="U623" s="634" t="s">
        <v>2741</v>
      </c>
    </row>
    <row r="624" spans="8:21">
      <c r="I624" s="634" t="s">
        <v>2742</v>
      </c>
      <c r="J624" s="634" t="s">
        <v>536</v>
      </c>
      <c r="K624" s="634" t="str">
        <f t="shared" si="11"/>
        <v>Trinidad, CO</v>
      </c>
      <c r="L624" s="634" t="s">
        <v>1555</v>
      </c>
      <c r="M624" s="634">
        <v>37.270000000000003</v>
      </c>
      <c r="N624" s="634">
        <v>-104.33</v>
      </c>
      <c r="O624" s="634">
        <v>-7</v>
      </c>
      <c r="P624" s="634">
        <v>1756</v>
      </c>
      <c r="T624" s="634" t="s">
        <v>228</v>
      </c>
      <c r="U624" s="634" t="s">
        <v>2743</v>
      </c>
    </row>
    <row r="625" spans="8:21">
      <c r="H625" s="634">
        <v>14675</v>
      </c>
      <c r="I625" s="634" t="s">
        <v>2744</v>
      </c>
      <c r="J625" s="634" t="s">
        <v>2040</v>
      </c>
      <c r="K625" s="634" t="str">
        <f t="shared" si="11"/>
        <v>Truro, NS</v>
      </c>
      <c r="L625" s="634" t="s">
        <v>1552</v>
      </c>
      <c r="M625" s="634">
        <v>45.37</v>
      </c>
      <c r="N625" s="634">
        <v>-63.27</v>
      </c>
      <c r="O625" s="634">
        <v>-4</v>
      </c>
      <c r="P625" s="634">
        <v>40</v>
      </c>
      <c r="T625" s="634" t="s">
        <v>228</v>
      </c>
      <c r="U625" s="634" t="s">
        <v>2745</v>
      </c>
    </row>
    <row r="626" spans="8:21">
      <c r="H626" s="634">
        <v>93045</v>
      </c>
      <c r="I626" s="634" t="s">
        <v>2746</v>
      </c>
      <c r="J626" s="634" t="s">
        <v>538</v>
      </c>
      <c r="K626" s="634" t="str">
        <f t="shared" si="11"/>
        <v>Truth or Consequences, NM</v>
      </c>
      <c r="L626" s="634" t="s">
        <v>1555</v>
      </c>
      <c r="M626" s="634">
        <v>33.229999999999997</v>
      </c>
      <c r="N626" s="634">
        <v>-107.25</v>
      </c>
      <c r="O626" s="634">
        <v>-7</v>
      </c>
      <c r="P626" s="634">
        <v>1478</v>
      </c>
      <c r="T626" s="634" t="s">
        <v>228</v>
      </c>
      <c r="U626" s="634" t="s">
        <v>2745</v>
      </c>
    </row>
    <row r="627" spans="8:21">
      <c r="H627" s="634">
        <v>23160</v>
      </c>
      <c r="I627" s="634" t="s">
        <v>2747</v>
      </c>
      <c r="J627" s="634" t="s">
        <v>1250</v>
      </c>
      <c r="K627" s="634" t="str">
        <f t="shared" si="11"/>
        <v>Tucson, AZ</v>
      </c>
      <c r="L627" s="634" t="s">
        <v>1555</v>
      </c>
      <c r="M627" s="634">
        <v>32.119999999999997</v>
      </c>
      <c r="N627" s="634">
        <v>-110.93</v>
      </c>
      <c r="O627" s="634">
        <v>-7</v>
      </c>
      <c r="P627" s="634">
        <v>779</v>
      </c>
      <c r="T627" s="634" t="s">
        <v>228</v>
      </c>
      <c r="U627" s="634" t="s">
        <v>2748</v>
      </c>
    </row>
    <row r="628" spans="8:21">
      <c r="H628" s="634">
        <v>23048</v>
      </c>
      <c r="I628" s="634" t="s">
        <v>2749</v>
      </c>
      <c r="J628" s="634" t="s">
        <v>538</v>
      </c>
      <c r="K628" s="634" t="str">
        <f t="shared" si="11"/>
        <v>Tucumcari, NM</v>
      </c>
      <c r="L628" s="634" t="s">
        <v>1555</v>
      </c>
      <c r="M628" s="634">
        <v>35.18</v>
      </c>
      <c r="N628" s="634">
        <v>-103.6</v>
      </c>
      <c r="O628" s="634">
        <v>-7</v>
      </c>
      <c r="P628" s="634">
        <v>1239</v>
      </c>
      <c r="T628" s="634" t="s">
        <v>228</v>
      </c>
      <c r="U628" s="634" t="s">
        <v>2748</v>
      </c>
    </row>
    <row r="629" spans="8:21">
      <c r="H629" s="634">
        <v>13968</v>
      </c>
      <c r="I629" s="634" t="s">
        <v>2750</v>
      </c>
      <c r="J629" s="634" t="s">
        <v>61</v>
      </c>
      <c r="K629" s="634" t="str">
        <f t="shared" si="11"/>
        <v>Tulsa, OK</v>
      </c>
      <c r="L629" s="634" t="s">
        <v>1555</v>
      </c>
      <c r="M629" s="634">
        <v>36.200000000000003</v>
      </c>
      <c r="N629" s="634">
        <v>-95.9</v>
      </c>
      <c r="O629" s="634">
        <v>-6</v>
      </c>
      <c r="P629" s="634">
        <v>206</v>
      </c>
      <c r="T629" s="634" t="s">
        <v>228</v>
      </c>
      <c r="U629" s="634" t="s">
        <v>2751</v>
      </c>
    </row>
    <row r="630" spans="8:21">
      <c r="I630" s="634" t="s">
        <v>2752</v>
      </c>
      <c r="J630" s="634" t="s">
        <v>460</v>
      </c>
      <c r="K630" s="634" t="str">
        <f t="shared" si="11"/>
        <v>Tupelo, MS</v>
      </c>
      <c r="L630" s="634" t="s">
        <v>1555</v>
      </c>
      <c r="M630" s="634">
        <v>34.270000000000003</v>
      </c>
      <c r="N630" s="634">
        <v>-88.77</v>
      </c>
      <c r="O630" s="634">
        <v>-6</v>
      </c>
      <c r="P630" s="634">
        <v>110</v>
      </c>
      <c r="T630" s="634" t="s">
        <v>228</v>
      </c>
      <c r="U630" s="634" t="s">
        <v>2753</v>
      </c>
    </row>
    <row r="631" spans="8:21">
      <c r="I631" s="634" t="s">
        <v>2754</v>
      </c>
      <c r="J631" s="634" t="s">
        <v>247</v>
      </c>
      <c r="K631" s="634" t="str">
        <f t="shared" si="11"/>
        <v>Tuscaloosa, AL</v>
      </c>
      <c r="L631" s="634" t="s">
        <v>1555</v>
      </c>
      <c r="M631" s="634">
        <v>33.22</v>
      </c>
      <c r="N631" s="634">
        <v>-87.62</v>
      </c>
      <c r="O631" s="634">
        <v>-6</v>
      </c>
      <c r="P631" s="634">
        <v>52</v>
      </c>
      <c r="T631" s="634" t="s">
        <v>228</v>
      </c>
      <c r="U631" s="634" t="s">
        <v>2755</v>
      </c>
    </row>
    <row r="632" spans="8:21">
      <c r="H632" s="634">
        <v>99902</v>
      </c>
      <c r="I632" s="634" t="s">
        <v>2756</v>
      </c>
      <c r="J632" s="634" t="s">
        <v>1728</v>
      </c>
      <c r="K632" s="634" t="str">
        <f t="shared" si="11"/>
        <v>Uranium City, SK</v>
      </c>
      <c r="L632" s="634" t="s">
        <v>1552</v>
      </c>
      <c r="M632" s="634">
        <v>59.57</v>
      </c>
      <c r="N632" s="634">
        <v>-108.48</v>
      </c>
      <c r="O632" s="634">
        <v>-7</v>
      </c>
      <c r="P632" s="634">
        <v>318</v>
      </c>
      <c r="T632" s="634" t="s">
        <v>228</v>
      </c>
      <c r="U632" s="634" t="s">
        <v>2757</v>
      </c>
    </row>
    <row r="633" spans="8:21">
      <c r="H633" s="634" t="s">
        <v>2758</v>
      </c>
      <c r="I633" s="634" t="s">
        <v>2756</v>
      </c>
      <c r="J633" s="634" t="s">
        <v>1728</v>
      </c>
      <c r="K633" s="634" t="str">
        <f t="shared" si="11"/>
        <v>Uranium City, SK</v>
      </c>
      <c r="L633" s="634" t="s">
        <v>1552</v>
      </c>
      <c r="M633" s="634">
        <v>59.57</v>
      </c>
      <c r="N633" s="634">
        <v>-108.48</v>
      </c>
      <c r="O633" s="634">
        <v>-7</v>
      </c>
      <c r="P633" s="634">
        <v>318</v>
      </c>
      <c r="T633" s="634" t="s">
        <v>228</v>
      </c>
      <c r="U633" s="634" t="s">
        <v>2759</v>
      </c>
    </row>
    <row r="634" spans="8:21">
      <c r="H634" s="634">
        <v>4730</v>
      </c>
      <c r="I634" s="634" t="s">
        <v>2760</v>
      </c>
      <c r="J634" s="634" t="s">
        <v>1641</v>
      </c>
      <c r="K634" s="634" t="str">
        <f t="shared" si="11"/>
        <v>Val d'Or, PQ</v>
      </c>
      <c r="L634" s="634" t="s">
        <v>1552</v>
      </c>
      <c r="M634" s="634">
        <v>48.07</v>
      </c>
      <c r="N634" s="634">
        <v>-77.78</v>
      </c>
      <c r="O634" s="634">
        <v>-5</v>
      </c>
      <c r="P634" s="634">
        <v>337</v>
      </c>
      <c r="T634" s="634" t="s">
        <v>228</v>
      </c>
      <c r="U634" s="634" t="s">
        <v>2761</v>
      </c>
    </row>
    <row r="635" spans="8:21">
      <c r="I635" s="634" t="s">
        <v>1261</v>
      </c>
      <c r="J635" s="634" t="s">
        <v>953</v>
      </c>
      <c r="K635" s="634" t="str">
        <f t="shared" si="11"/>
        <v>Valdez, AK</v>
      </c>
      <c r="L635" s="634" t="s">
        <v>1555</v>
      </c>
      <c r="M635" s="634">
        <v>61.13</v>
      </c>
      <c r="N635" s="634">
        <v>-146.35</v>
      </c>
      <c r="O635" s="634">
        <v>-9</v>
      </c>
      <c r="P635" s="634">
        <v>10</v>
      </c>
      <c r="T635" s="634" t="s">
        <v>228</v>
      </c>
      <c r="U635" s="634" t="s">
        <v>2762</v>
      </c>
    </row>
    <row r="636" spans="8:21">
      <c r="I636" s="634" t="s">
        <v>2763</v>
      </c>
      <c r="J636" s="634" t="s">
        <v>428</v>
      </c>
      <c r="K636" s="634" t="str">
        <f t="shared" si="11"/>
        <v>Valdosta/Moody AFB, GA</v>
      </c>
      <c r="L636" s="634" t="s">
        <v>1555</v>
      </c>
      <c r="M636" s="634">
        <v>30.97</v>
      </c>
      <c r="N636" s="634">
        <v>-83.2</v>
      </c>
      <c r="O636" s="634">
        <v>-5</v>
      </c>
      <c r="P636" s="634">
        <v>71</v>
      </c>
      <c r="T636" s="634" t="s">
        <v>228</v>
      </c>
      <c r="U636" s="634" t="s">
        <v>2764</v>
      </c>
    </row>
    <row r="637" spans="8:21">
      <c r="I637" s="634" t="s">
        <v>2765</v>
      </c>
      <c r="J637" s="634" t="s">
        <v>428</v>
      </c>
      <c r="K637" s="634" t="str">
        <f t="shared" si="11"/>
        <v>Valdosta/Regional Airport, GA</v>
      </c>
      <c r="L637" s="634" t="s">
        <v>1555</v>
      </c>
      <c r="M637" s="634">
        <v>30.78</v>
      </c>
      <c r="N637" s="634">
        <v>-83.28</v>
      </c>
      <c r="O637" s="634">
        <v>-5</v>
      </c>
      <c r="P637" s="634">
        <v>62</v>
      </c>
      <c r="T637" s="634" t="s">
        <v>905</v>
      </c>
      <c r="U637" s="634" t="s">
        <v>2766</v>
      </c>
    </row>
    <row r="638" spans="8:21">
      <c r="I638" s="634" t="s">
        <v>2767</v>
      </c>
      <c r="J638" s="634" t="s">
        <v>771</v>
      </c>
      <c r="K638" s="634" t="str">
        <f t="shared" si="11"/>
        <v>Valentine, NE</v>
      </c>
      <c r="L638" s="634" t="s">
        <v>1555</v>
      </c>
      <c r="M638" s="634">
        <v>42.87</v>
      </c>
      <c r="N638" s="634">
        <v>-100.55</v>
      </c>
      <c r="O638" s="634">
        <v>-7</v>
      </c>
      <c r="P638" s="634">
        <v>792</v>
      </c>
      <c r="T638" s="634" t="s">
        <v>905</v>
      </c>
      <c r="U638" s="634" t="s">
        <v>2768</v>
      </c>
    </row>
    <row r="639" spans="8:21">
      <c r="I639" s="634" t="s">
        <v>2769</v>
      </c>
      <c r="J639" s="634" t="s">
        <v>594</v>
      </c>
      <c r="K639" s="634" t="str">
        <f t="shared" si="11"/>
        <v>Valparaiso/Eglin AFB, FL</v>
      </c>
      <c r="L639" s="634" t="s">
        <v>1555</v>
      </c>
      <c r="M639" s="634">
        <v>30.48</v>
      </c>
      <c r="N639" s="634">
        <v>-86.53</v>
      </c>
      <c r="O639" s="634">
        <v>-6</v>
      </c>
      <c r="P639" s="634">
        <v>26</v>
      </c>
      <c r="T639" s="634" t="s">
        <v>905</v>
      </c>
      <c r="U639" s="634" t="s">
        <v>2770</v>
      </c>
    </row>
    <row r="640" spans="8:21">
      <c r="H640" s="634">
        <v>24287</v>
      </c>
      <c r="I640" s="634" t="s">
        <v>2771</v>
      </c>
      <c r="J640" s="634" t="s">
        <v>1551</v>
      </c>
      <c r="K640" s="634" t="str">
        <f t="shared" si="11"/>
        <v>Vancouver Int'l, BC</v>
      </c>
      <c r="L640" s="634" t="s">
        <v>1552</v>
      </c>
      <c r="M640" s="634">
        <v>49.18</v>
      </c>
      <c r="N640" s="634">
        <v>-123.17</v>
      </c>
      <c r="O640" s="634">
        <v>-8</v>
      </c>
      <c r="P640" s="634">
        <v>2</v>
      </c>
      <c r="T640" s="634" t="s">
        <v>905</v>
      </c>
      <c r="U640" s="634" t="s">
        <v>2772</v>
      </c>
    </row>
    <row r="641" spans="8:21">
      <c r="H641" s="634">
        <v>94238</v>
      </c>
      <c r="I641" s="634" t="s">
        <v>2771</v>
      </c>
      <c r="J641" s="634" t="s">
        <v>1551</v>
      </c>
      <c r="K641" s="634" t="str">
        <f t="shared" si="11"/>
        <v>Vancouver Int'l, BC</v>
      </c>
      <c r="L641" s="634" t="s">
        <v>1552</v>
      </c>
      <c r="M641" s="634">
        <v>49.18</v>
      </c>
      <c r="N641" s="634">
        <v>-123.17</v>
      </c>
      <c r="O641" s="634">
        <v>-8</v>
      </c>
      <c r="P641" s="634">
        <v>2</v>
      </c>
      <c r="T641" s="634" t="s">
        <v>501</v>
      </c>
      <c r="U641" s="634" t="s">
        <v>2773</v>
      </c>
    </row>
    <row r="642" spans="8:21">
      <c r="I642" s="634" t="s">
        <v>2774</v>
      </c>
      <c r="J642" s="634" t="s">
        <v>594</v>
      </c>
      <c r="K642" s="634" t="str">
        <f t="shared" ref="K642:K688" si="12">CONCATENATE(I642,", ",J642)</f>
        <v>Vero Beach, FL</v>
      </c>
      <c r="L642" s="634" t="s">
        <v>1555</v>
      </c>
      <c r="M642" s="634">
        <v>27.65</v>
      </c>
      <c r="N642" s="634">
        <v>-80.42</v>
      </c>
      <c r="O642" s="634">
        <v>-5</v>
      </c>
      <c r="P642" s="634">
        <v>8</v>
      </c>
      <c r="T642" s="634" t="s">
        <v>501</v>
      </c>
      <c r="U642" s="634" t="s">
        <v>2775</v>
      </c>
    </row>
    <row r="643" spans="8:21">
      <c r="H643" s="634">
        <v>24297</v>
      </c>
      <c r="I643" s="634" t="s">
        <v>2776</v>
      </c>
      <c r="J643" s="634" t="s">
        <v>1551</v>
      </c>
      <c r="K643" s="634" t="str">
        <f t="shared" si="12"/>
        <v>Victoria Int'l, BC</v>
      </c>
      <c r="L643" s="634" t="s">
        <v>1552</v>
      </c>
      <c r="M643" s="634">
        <v>48.65</v>
      </c>
      <c r="N643" s="634">
        <v>-123.43</v>
      </c>
      <c r="O643" s="634">
        <v>-8</v>
      </c>
      <c r="P643" s="634">
        <v>19</v>
      </c>
      <c r="T643" s="634" t="s">
        <v>501</v>
      </c>
      <c r="U643" s="634" t="s">
        <v>2777</v>
      </c>
    </row>
    <row r="644" spans="8:21">
      <c r="H644" s="634">
        <v>12912</v>
      </c>
      <c r="I644" s="634" t="s">
        <v>2778</v>
      </c>
      <c r="J644" s="634" t="s">
        <v>228</v>
      </c>
      <c r="K644" s="634" t="str">
        <f t="shared" si="12"/>
        <v>Victoria, TX</v>
      </c>
      <c r="L644" s="634" t="s">
        <v>1555</v>
      </c>
      <c r="M644" s="634">
        <v>28.85</v>
      </c>
      <c r="N644" s="634">
        <v>-96.92</v>
      </c>
      <c r="O644" s="634">
        <v>-6</v>
      </c>
      <c r="P644" s="634">
        <v>36</v>
      </c>
      <c r="T644" s="634" t="s">
        <v>501</v>
      </c>
      <c r="U644" s="634" t="s">
        <v>1074</v>
      </c>
    </row>
    <row r="645" spans="8:21">
      <c r="H645" s="634">
        <v>72382</v>
      </c>
      <c r="I645" s="634" t="s">
        <v>2779</v>
      </c>
      <c r="J645" s="634" t="s">
        <v>954</v>
      </c>
      <c r="K645" s="634" t="str">
        <f t="shared" si="12"/>
        <v>Victorville/George AFB, CA</v>
      </c>
      <c r="L645" s="634" t="s">
        <v>1555</v>
      </c>
      <c r="M645" s="634">
        <v>34.58</v>
      </c>
      <c r="N645" s="634">
        <v>-117.38</v>
      </c>
      <c r="O645" s="634">
        <v>-8</v>
      </c>
      <c r="P645" s="634">
        <v>876</v>
      </c>
      <c r="T645" s="634" t="s">
        <v>501</v>
      </c>
      <c r="U645" s="634" t="s">
        <v>2780</v>
      </c>
    </row>
    <row r="646" spans="8:21">
      <c r="H646" s="634">
        <v>15628</v>
      </c>
      <c r="I646" s="634" t="s">
        <v>2781</v>
      </c>
      <c r="J646" s="634" t="s">
        <v>1660</v>
      </c>
      <c r="K646" s="634" t="str">
        <f t="shared" si="12"/>
        <v>Wabush Lake, NF</v>
      </c>
      <c r="L646" s="634" t="s">
        <v>1552</v>
      </c>
      <c r="M646" s="634">
        <v>52.93</v>
      </c>
      <c r="N646" s="634">
        <v>-66.87</v>
      </c>
      <c r="O646" s="634">
        <v>-3.5</v>
      </c>
      <c r="P646" s="634">
        <v>551</v>
      </c>
      <c r="T646" s="634" t="s">
        <v>501</v>
      </c>
      <c r="U646" s="634" t="s">
        <v>2782</v>
      </c>
    </row>
    <row r="647" spans="8:21">
      <c r="H647" s="634">
        <v>13959</v>
      </c>
      <c r="I647" s="634" t="s">
        <v>2783</v>
      </c>
      <c r="J647" s="634" t="s">
        <v>228</v>
      </c>
      <c r="K647" s="634" t="str">
        <f t="shared" si="12"/>
        <v>Waco, TX</v>
      </c>
      <c r="L647" s="634" t="s">
        <v>1555</v>
      </c>
      <c r="M647" s="634">
        <v>31.62</v>
      </c>
      <c r="N647" s="634">
        <v>-97.22</v>
      </c>
      <c r="O647" s="634">
        <v>-6</v>
      </c>
      <c r="P647" s="634">
        <v>155</v>
      </c>
      <c r="T647" s="634" t="s">
        <v>501</v>
      </c>
      <c r="U647" s="634" t="s">
        <v>2784</v>
      </c>
    </row>
    <row r="648" spans="8:21">
      <c r="I648" s="634" t="s">
        <v>2785</v>
      </c>
      <c r="J648" s="634" t="s">
        <v>238</v>
      </c>
      <c r="K648" s="634" t="str">
        <f t="shared" si="12"/>
        <v>Walla Walla, WA</v>
      </c>
      <c r="L648" s="634" t="s">
        <v>1555</v>
      </c>
      <c r="M648" s="634">
        <v>46.1</v>
      </c>
      <c r="N648" s="634">
        <v>-118.28</v>
      </c>
      <c r="O648" s="634">
        <v>-8</v>
      </c>
      <c r="P648" s="634">
        <v>367</v>
      </c>
      <c r="T648" s="634" t="s">
        <v>501</v>
      </c>
      <c r="U648" s="634" t="s">
        <v>2786</v>
      </c>
    </row>
    <row r="649" spans="8:21">
      <c r="I649" s="634" t="s">
        <v>2787</v>
      </c>
      <c r="J649" s="634" t="s">
        <v>1248</v>
      </c>
      <c r="K649" s="634" t="str">
        <f t="shared" si="12"/>
        <v>Warrensburg/Sedalia/Whiteman A, MO</v>
      </c>
      <c r="L649" s="634" t="s">
        <v>1555</v>
      </c>
      <c r="M649" s="634">
        <v>38.729999999999997</v>
      </c>
      <c r="N649" s="634">
        <v>-93.55</v>
      </c>
      <c r="O649" s="634">
        <v>-6</v>
      </c>
      <c r="P649" s="634">
        <v>265</v>
      </c>
      <c r="T649" s="634" t="s">
        <v>501</v>
      </c>
      <c r="U649" s="634" t="s">
        <v>2788</v>
      </c>
    </row>
    <row r="650" spans="8:21">
      <c r="I650" s="634" t="s">
        <v>2789</v>
      </c>
      <c r="J650" s="634" t="s">
        <v>501</v>
      </c>
      <c r="K650" s="634" t="str">
        <f t="shared" si="12"/>
        <v>Washington National Airport, VA</v>
      </c>
      <c r="L650" s="634" t="s">
        <v>1555</v>
      </c>
      <c r="M650" s="634">
        <v>38.85</v>
      </c>
      <c r="N650" s="634">
        <v>-77.03</v>
      </c>
      <c r="O650" s="634">
        <v>-5</v>
      </c>
      <c r="P650" s="634">
        <v>20</v>
      </c>
      <c r="T650" s="634" t="s">
        <v>501</v>
      </c>
      <c r="U650" s="634" t="s">
        <v>2790</v>
      </c>
    </row>
    <row r="651" spans="8:21">
      <c r="H651" s="634">
        <v>94910</v>
      </c>
      <c r="I651" s="634" t="s">
        <v>2791</v>
      </c>
      <c r="J651" s="634" t="s">
        <v>566</v>
      </c>
      <c r="K651" s="634" t="str">
        <f t="shared" si="12"/>
        <v>Waterloo, IA</v>
      </c>
      <c r="L651" s="634" t="s">
        <v>1555</v>
      </c>
      <c r="M651" s="634">
        <v>42.55</v>
      </c>
      <c r="N651" s="634">
        <v>-92.4</v>
      </c>
      <c r="O651" s="634">
        <v>-6</v>
      </c>
      <c r="P651" s="634">
        <v>268</v>
      </c>
      <c r="T651" s="634" t="s">
        <v>501</v>
      </c>
      <c r="U651" s="634" t="s">
        <v>2790</v>
      </c>
    </row>
    <row r="652" spans="8:21">
      <c r="I652" s="634" t="s">
        <v>2792</v>
      </c>
      <c r="J652" s="634" t="s">
        <v>537</v>
      </c>
      <c r="K652" s="634" t="str">
        <f t="shared" si="12"/>
        <v>Watertown, NY</v>
      </c>
      <c r="L652" s="634" t="s">
        <v>1555</v>
      </c>
      <c r="M652" s="634">
        <v>44</v>
      </c>
      <c r="N652" s="634">
        <v>-76.02</v>
      </c>
      <c r="O652" s="634">
        <v>-5</v>
      </c>
      <c r="P652" s="634">
        <v>99</v>
      </c>
      <c r="T652" s="634" t="s">
        <v>501</v>
      </c>
      <c r="U652" s="634" t="s">
        <v>2793</v>
      </c>
    </row>
    <row r="653" spans="8:21">
      <c r="I653" s="634" t="s">
        <v>2794</v>
      </c>
      <c r="J653" s="634" t="s">
        <v>1278</v>
      </c>
      <c r="K653" s="634" t="str">
        <f t="shared" si="12"/>
        <v>Wausau, WI</v>
      </c>
      <c r="L653" s="634" t="s">
        <v>1555</v>
      </c>
      <c r="M653" s="634">
        <v>44.93</v>
      </c>
      <c r="N653" s="634">
        <v>-89.63</v>
      </c>
      <c r="O653" s="634">
        <v>-6</v>
      </c>
      <c r="P653" s="634">
        <v>366</v>
      </c>
      <c r="T653" s="634" t="s">
        <v>1033</v>
      </c>
      <c r="U653" s="634" t="s">
        <v>2795</v>
      </c>
    </row>
    <row r="654" spans="8:21">
      <c r="I654" s="634" t="s">
        <v>2796</v>
      </c>
      <c r="J654" s="634" t="s">
        <v>428</v>
      </c>
      <c r="K654" s="634" t="str">
        <f t="shared" si="12"/>
        <v>Waycross, GA</v>
      </c>
      <c r="L654" s="634" t="s">
        <v>1555</v>
      </c>
      <c r="M654" s="634">
        <v>31.25</v>
      </c>
      <c r="N654" s="634">
        <v>-82.4</v>
      </c>
      <c r="O654" s="634">
        <v>-5</v>
      </c>
      <c r="P654" s="634">
        <v>46</v>
      </c>
      <c r="T654" s="634" t="s">
        <v>1033</v>
      </c>
      <c r="U654" s="634" t="s">
        <v>2797</v>
      </c>
    </row>
    <row r="655" spans="8:21">
      <c r="I655" s="634" t="s">
        <v>2798</v>
      </c>
      <c r="J655" s="634" t="s">
        <v>238</v>
      </c>
      <c r="K655" s="634" t="str">
        <f t="shared" si="12"/>
        <v>Wenatchee, WA</v>
      </c>
      <c r="L655" s="634" t="s">
        <v>1555</v>
      </c>
      <c r="M655" s="634">
        <v>47.4</v>
      </c>
      <c r="N655" s="634">
        <v>-120.2</v>
      </c>
      <c r="O655" s="634">
        <v>-8</v>
      </c>
      <c r="P655" s="634">
        <v>379</v>
      </c>
      <c r="T655" s="634" t="s">
        <v>238</v>
      </c>
      <c r="U655" s="634" t="s">
        <v>2799</v>
      </c>
    </row>
    <row r="656" spans="8:21">
      <c r="H656" s="634">
        <v>94892</v>
      </c>
      <c r="I656" s="634" t="s">
        <v>2800</v>
      </c>
      <c r="J656" s="634" t="s">
        <v>932</v>
      </c>
      <c r="K656" s="634" t="str">
        <f t="shared" si="12"/>
        <v>West Chicago, IL</v>
      </c>
      <c r="L656" s="634" t="s">
        <v>1555</v>
      </c>
      <c r="M656" s="634">
        <v>41.92</v>
      </c>
      <c r="N656" s="634">
        <v>-88.25</v>
      </c>
      <c r="O656" s="634">
        <v>-6</v>
      </c>
      <c r="P656" s="634">
        <v>231</v>
      </c>
      <c r="T656" s="634" t="s">
        <v>238</v>
      </c>
      <c r="U656" s="634" t="s">
        <v>116</v>
      </c>
    </row>
    <row r="657" spans="8:21">
      <c r="H657" s="634">
        <v>12844</v>
      </c>
      <c r="I657" s="634" t="s">
        <v>2801</v>
      </c>
      <c r="J657" s="634" t="s">
        <v>594</v>
      </c>
      <c r="K657" s="634" t="str">
        <f t="shared" si="12"/>
        <v>West Palm Beach, FL</v>
      </c>
      <c r="L657" s="634" t="s">
        <v>1555</v>
      </c>
      <c r="M657" s="634">
        <v>26.68</v>
      </c>
      <c r="N657" s="634">
        <v>-80.12</v>
      </c>
      <c r="O657" s="634">
        <v>-5</v>
      </c>
      <c r="P657" s="634">
        <v>6</v>
      </c>
      <c r="T657" s="634" t="s">
        <v>238</v>
      </c>
      <c r="U657" s="634" t="s">
        <v>2802</v>
      </c>
    </row>
    <row r="658" spans="8:21">
      <c r="I658" s="634" t="s">
        <v>2803</v>
      </c>
      <c r="J658" s="634" t="s">
        <v>250</v>
      </c>
      <c r="K658" s="634" t="str">
        <f t="shared" si="12"/>
        <v>Weymouth/South Weymouth NAS, MA</v>
      </c>
      <c r="L658" s="634" t="s">
        <v>1555</v>
      </c>
      <c r="M658" s="634">
        <v>42.15</v>
      </c>
      <c r="N658" s="634">
        <v>-70.930000000000007</v>
      </c>
      <c r="O658" s="634">
        <v>-5</v>
      </c>
      <c r="P658" s="634">
        <v>49</v>
      </c>
      <c r="T658" s="634" t="s">
        <v>238</v>
      </c>
      <c r="U658" s="634" t="s">
        <v>2804</v>
      </c>
    </row>
    <row r="659" spans="8:21">
      <c r="H659" s="634">
        <v>24255</v>
      </c>
      <c r="I659" s="634" t="s">
        <v>1173</v>
      </c>
      <c r="J659" s="634" t="s">
        <v>238</v>
      </c>
      <c r="K659" s="634" t="str">
        <f t="shared" si="12"/>
        <v>Whidbey Island NAS, WA</v>
      </c>
      <c r="L659" s="634" t="s">
        <v>1555</v>
      </c>
      <c r="M659" s="634">
        <v>48.35</v>
      </c>
      <c r="N659" s="634">
        <v>-122.66</v>
      </c>
      <c r="O659" s="634">
        <v>-8</v>
      </c>
      <c r="P659" s="634">
        <v>10</v>
      </c>
      <c r="T659" s="634" t="s">
        <v>238</v>
      </c>
      <c r="U659" s="634" t="s">
        <v>2805</v>
      </c>
    </row>
    <row r="660" spans="8:21">
      <c r="I660" s="634" t="s">
        <v>2806</v>
      </c>
      <c r="J660" s="634" t="s">
        <v>537</v>
      </c>
      <c r="K660" s="634" t="str">
        <f t="shared" si="12"/>
        <v>White Plains, NY</v>
      </c>
      <c r="L660" s="634" t="s">
        <v>1555</v>
      </c>
      <c r="M660" s="634">
        <v>41.07</v>
      </c>
      <c r="N660" s="634">
        <v>-73.7</v>
      </c>
      <c r="O660" s="634">
        <v>-5</v>
      </c>
      <c r="P660" s="634">
        <v>134</v>
      </c>
      <c r="T660" s="634" t="s">
        <v>238</v>
      </c>
      <c r="U660" s="634" t="s">
        <v>2807</v>
      </c>
    </row>
    <row r="661" spans="8:21">
      <c r="H661" s="634">
        <v>94809</v>
      </c>
      <c r="I661" s="634" t="s">
        <v>2808</v>
      </c>
      <c r="J661" s="634" t="s">
        <v>1621</v>
      </c>
      <c r="K661" s="634" t="str">
        <f t="shared" si="12"/>
        <v>Wiarton, ON</v>
      </c>
      <c r="L661" s="634" t="s">
        <v>1552</v>
      </c>
      <c r="M661" s="634">
        <v>44.75</v>
      </c>
      <c r="N661" s="634">
        <v>-81.099999999999994</v>
      </c>
      <c r="O661" s="634">
        <v>-5</v>
      </c>
      <c r="P661" s="634">
        <v>222</v>
      </c>
      <c r="T661" s="634" t="s">
        <v>238</v>
      </c>
      <c r="U661" s="634" t="s">
        <v>118</v>
      </c>
    </row>
    <row r="662" spans="8:21">
      <c r="H662" s="634">
        <v>13966</v>
      </c>
      <c r="I662" s="634" t="s">
        <v>2809</v>
      </c>
      <c r="J662" s="634" t="s">
        <v>228</v>
      </c>
      <c r="K662" s="634" t="str">
        <f t="shared" si="12"/>
        <v>Wichita Falls/Sheppard AFB, TX</v>
      </c>
      <c r="L662" s="634" t="s">
        <v>1555</v>
      </c>
      <c r="M662" s="634">
        <v>33.979999999999997</v>
      </c>
      <c r="N662" s="634">
        <v>-98.5</v>
      </c>
      <c r="O662" s="634">
        <v>-6</v>
      </c>
      <c r="P662" s="634">
        <v>314</v>
      </c>
      <c r="T662" s="634" t="s">
        <v>238</v>
      </c>
      <c r="U662" s="634" t="s">
        <v>2810</v>
      </c>
    </row>
    <row r="663" spans="8:21">
      <c r="H663" s="634">
        <v>3928</v>
      </c>
      <c r="I663" s="634" t="s">
        <v>2811</v>
      </c>
      <c r="J663" s="634" t="s">
        <v>256</v>
      </c>
      <c r="K663" s="634" t="str">
        <f t="shared" si="12"/>
        <v>Wichita/Airport, KS</v>
      </c>
      <c r="L663" s="634" t="s">
        <v>1555</v>
      </c>
      <c r="M663" s="634">
        <v>37.65</v>
      </c>
      <c r="N663" s="634">
        <v>-97.43</v>
      </c>
      <c r="O663" s="634">
        <v>-6</v>
      </c>
      <c r="P663" s="634">
        <v>408</v>
      </c>
      <c r="T663" s="634" t="s">
        <v>238</v>
      </c>
      <c r="U663" s="634" t="s">
        <v>2812</v>
      </c>
    </row>
    <row r="664" spans="8:21">
      <c r="H664" s="634">
        <v>72450</v>
      </c>
      <c r="I664" s="634" t="s">
        <v>2813</v>
      </c>
      <c r="J664" s="634" t="s">
        <v>256</v>
      </c>
      <c r="K664" s="634" t="str">
        <f t="shared" si="12"/>
        <v>Wichita/Mcconnell AFB, KS</v>
      </c>
      <c r="L664" s="634" t="s">
        <v>1555</v>
      </c>
      <c r="M664" s="634">
        <v>37.619999999999997</v>
      </c>
      <c r="N664" s="634">
        <v>-97.27</v>
      </c>
      <c r="O664" s="634">
        <v>-6</v>
      </c>
      <c r="P664" s="634">
        <v>418</v>
      </c>
      <c r="T664" s="634" t="s">
        <v>238</v>
      </c>
      <c r="U664" s="634" t="s">
        <v>2814</v>
      </c>
    </row>
    <row r="665" spans="8:21">
      <c r="H665" s="634">
        <v>14777</v>
      </c>
      <c r="I665" s="634" t="s">
        <v>2815</v>
      </c>
      <c r="J665" s="634" t="s">
        <v>539</v>
      </c>
      <c r="K665" s="634" t="str">
        <f t="shared" si="12"/>
        <v>Wilkes-Barre/Scranton, PA</v>
      </c>
      <c r="L665" s="634" t="s">
        <v>1555</v>
      </c>
      <c r="M665" s="634">
        <v>41.33</v>
      </c>
      <c r="N665" s="634">
        <v>-75.73</v>
      </c>
      <c r="O665" s="634">
        <v>-5</v>
      </c>
      <c r="P665" s="634">
        <v>289</v>
      </c>
      <c r="T665" s="634" t="s">
        <v>238</v>
      </c>
      <c r="U665" s="634" t="s">
        <v>1172</v>
      </c>
    </row>
    <row r="666" spans="8:21">
      <c r="H666" s="634">
        <v>25247</v>
      </c>
      <c r="I666" s="634" t="s">
        <v>2816</v>
      </c>
      <c r="J666" s="634" t="s">
        <v>1551</v>
      </c>
      <c r="K666" s="634" t="str">
        <f t="shared" si="12"/>
        <v>Williams Lake, BC</v>
      </c>
      <c r="L666" s="634" t="s">
        <v>1552</v>
      </c>
      <c r="M666" s="634">
        <v>52.18</v>
      </c>
      <c r="N666" s="634">
        <v>-122.05</v>
      </c>
      <c r="O666" s="634">
        <v>-8</v>
      </c>
      <c r="P666" s="634">
        <v>940</v>
      </c>
      <c r="T666" s="634" t="s">
        <v>238</v>
      </c>
      <c r="U666" s="634" t="s">
        <v>2817</v>
      </c>
    </row>
    <row r="667" spans="8:21">
      <c r="H667" s="634">
        <v>14778</v>
      </c>
      <c r="I667" s="634" t="s">
        <v>2818</v>
      </c>
      <c r="J667" s="634" t="s">
        <v>539</v>
      </c>
      <c r="K667" s="634" t="str">
        <f t="shared" si="12"/>
        <v>Williamsport, PA</v>
      </c>
      <c r="L667" s="634" t="s">
        <v>1555</v>
      </c>
      <c r="M667" s="634">
        <v>41.25</v>
      </c>
      <c r="N667" s="634">
        <v>-76.92</v>
      </c>
      <c r="O667" s="634">
        <v>-5</v>
      </c>
      <c r="P667" s="634">
        <v>160</v>
      </c>
      <c r="T667" s="634" t="s">
        <v>1278</v>
      </c>
      <c r="U667" s="634" t="s">
        <v>2819</v>
      </c>
    </row>
    <row r="668" spans="8:21">
      <c r="I668" s="634" t="s">
        <v>2820</v>
      </c>
      <c r="J668" s="634" t="s">
        <v>248</v>
      </c>
      <c r="K668" s="634" t="str">
        <f t="shared" si="12"/>
        <v>Williston, ND</v>
      </c>
      <c r="L668" s="634" t="s">
        <v>1555</v>
      </c>
      <c r="M668" s="634">
        <v>48.18</v>
      </c>
      <c r="N668" s="634">
        <v>-103.63</v>
      </c>
      <c r="O668" s="634">
        <v>-6</v>
      </c>
      <c r="P668" s="634">
        <v>581</v>
      </c>
      <c r="T668" s="634" t="s">
        <v>1278</v>
      </c>
      <c r="U668" s="634" t="s">
        <v>2821</v>
      </c>
    </row>
    <row r="669" spans="8:21">
      <c r="H669" s="634">
        <v>13781</v>
      </c>
      <c r="I669" s="634" t="s">
        <v>2822</v>
      </c>
      <c r="J669" s="634" t="s">
        <v>1329</v>
      </c>
      <c r="K669" s="634" t="str">
        <f t="shared" si="12"/>
        <v>Wilmington, DE</v>
      </c>
      <c r="L669" s="634" t="s">
        <v>1555</v>
      </c>
      <c r="M669" s="634">
        <v>39.68</v>
      </c>
      <c r="N669" s="634">
        <v>-75.599999999999994</v>
      </c>
      <c r="O669" s="634">
        <v>-5</v>
      </c>
      <c r="P669" s="634">
        <v>24</v>
      </c>
      <c r="T669" s="634" t="s">
        <v>1278</v>
      </c>
      <c r="U669" s="634" t="s">
        <v>2823</v>
      </c>
    </row>
    <row r="670" spans="8:21">
      <c r="H670" s="634">
        <v>13748</v>
      </c>
      <c r="I670" s="634" t="s">
        <v>2822</v>
      </c>
      <c r="J670" s="634" t="s">
        <v>426</v>
      </c>
      <c r="K670" s="634" t="str">
        <f t="shared" si="12"/>
        <v>Wilmington, NC</v>
      </c>
      <c r="L670" s="634" t="s">
        <v>1555</v>
      </c>
      <c r="M670" s="634">
        <v>34.270000000000003</v>
      </c>
      <c r="N670" s="634">
        <v>-77.900000000000006</v>
      </c>
      <c r="O670" s="634">
        <v>-5</v>
      </c>
      <c r="P670" s="634">
        <v>10</v>
      </c>
      <c r="T670" s="634" t="s">
        <v>1278</v>
      </c>
      <c r="U670" s="634" t="s">
        <v>2824</v>
      </c>
    </row>
    <row r="671" spans="8:21">
      <c r="I671" s="634" t="s">
        <v>2825</v>
      </c>
      <c r="J671" s="634" t="s">
        <v>620</v>
      </c>
      <c r="K671" s="634" t="str">
        <f t="shared" si="12"/>
        <v>Windsor Locks/Bradley Field, CT</v>
      </c>
      <c r="L671" s="634" t="s">
        <v>1555</v>
      </c>
      <c r="M671" s="634">
        <v>41.93</v>
      </c>
      <c r="N671" s="634">
        <v>-72.680000000000007</v>
      </c>
      <c r="O671" s="634">
        <v>-5</v>
      </c>
      <c r="P671" s="634">
        <v>55</v>
      </c>
      <c r="T671" s="634" t="s">
        <v>1278</v>
      </c>
      <c r="U671" s="634" t="s">
        <v>2826</v>
      </c>
    </row>
    <row r="672" spans="8:21">
      <c r="H672" s="634">
        <v>94810</v>
      </c>
      <c r="I672" s="634" t="s">
        <v>2827</v>
      </c>
      <c r="J672" s="634" t="s">
        <v>1621</v>
      </c>
      <c r="K672" s="634" t="str">
        <f t="shared" si="12"/>
        <v>Windsor, ON</v>
      </c>
      <c r="L672" s="634" t="s">
        <v>1552</v>
      </c>
      <c r="M672" s="634">
        <v>42.27</v>
      </c>
      <c r="N672" s="634">
        <v>-82.97</v>
      </c>
      <c r="O672" s="634">
        <v>-5</v>
      </c>
      <c r="P672" s="634">
        <v>190</v>
      </c>
      <c r="T672" s="634" t="s">
        <v>1278</v>
      </c>
      <c r="U672" s="634" t="s">
        <v>2828</v>
      </c>
    </row>
    <row r="673" spans="8:21">
      <c r="H673" s="634">
        <v>24128</v>
      </c>
      <c r="I673" s="634" t="s">
        <v>2829</v>
      </c>
      <c r="J673" s="634" t="s">
        <v>450</v>
      </c>
      <c r="K673" s="634" t="str">
        <f t="shared" si="12"/>
        <v>Winnemucca, NV</v>
      </c>
      <c r="L673" s="634" t="s">
        <v>1555</v>
      </c>
      <c r="M673" s="634">
        <v>40.9</v>
      </c>
      <c r="N673" s="634">
        <v>-117.8</v>
      </c>
      <c r="O673" s="634">
        <v>-8</v>
      </c>
      <c r="P673" s="634">
        <v>1315</v>
      </c>
      <c r="T673" s="634" t="s">
        <v>513</v>
      </c>
      <c r="U673" s="634" t="s">
        <v>2830</v>
      </c>
    </row>
    <row r="674" spans="8:21">
      <c r="H674" s="634">
        <v>14996</v>
      </c>
      <c r="I674" s="634" t="s">
        <v>2831</v>
      </c>
      <c r="J674" s="634" t="s">
        <v>1722</v>
      </c>
      <c r="K674" s="634" t="str">
        <f t="shared" si="12"/>
        <v>Winnipeg Int'l, MB</v>
      </c>
      <c r="L674" s="634" t="s">
        <v>1552</v>
      </c>
      <c r="M674" s="634">
        <v>49.9</v>
      </c>
      <c r="N674" s="634">
        <v>-97.23</v>
      </c>
      <c r="O674" s="634">
        <v>-6</v>
      </c>
      <c r="P674" s="634">
        <v>239</v>
      </c>
      <c r="T674" s="634" t="s">
        <v>513</v>
      </c>
      <c r="U674" s="634" t="s">
        <v>2832</v>
      </c>
    </row>
    <row r="675" spans="8:21">
      <c r="H675" s="634">
        <v>23194</v>
      </c>
      <c r="I675" s="634" t="s">
        <v>2833</v>
      </c>
      <c r="J675" s="634" t="s">
        <v>1250</v>
      </c>
      <c r="K675" s="634" t="str">
        <f t="shared" si="12"/>
        <v>Winslow, AZ</v>
      </c>
      <c r="L675" s="634" t="s">
        <v>1555</v>
      </c>
      <c r="M675" s="634">
        <v>35.03</v>
      </c>
      <c r="N675" s="634">
        <v>-110.71</v>
      </c>
      <c r="O675" s="634">
        <v>-7</v>
      </c>
      <c r="P675" s="634">
        <v>1490</v>
      </c>
      <c r="T675" s="634" t="s">
        <v>513</v>
      </c>
      <c r="U675" s="634" t="s">
        <v>2834</v>
      </c>
    </row>
    <row r="676" spans="8:21">
      <c r="I676" s="634" t="s">
        <v>2835</v>
      </c>
      <c r="J676" s="634" t="s">
        <v>426</v>
      </c>
      <c r="K676" s="634" t="str">
        <f t="shared" si="12"/>
        <v>Winston-Salem, NC</v>
      </c>
      <c r="L676" s="634" t="s">
        <v>1555</v>
      </c>
      <c r="M676" s="634">
        <v>36.130000000000003</v>
      </c>
      <c r="N676" s="634">
        <v>-80.22</v>
      </c>
      <c r="O676" s="634">
        <v>-5</v>
      </c>
      <c r="P676" s="634">
        <v>296</v>
      </c>
      <c r="T676" s="634" t="s">
        <v>513</v>
      </c>
      <c r="U676" s="634" t="s">
        <v>2836</v>
      </c>
    </row>
    <row r="677" spans="8:21">
      <c r="H677" s="634">
        <v>94746</v>
      </c>
      <c r="I677" s="634" t="s">
        <v>2837</v>
      </c>
      <c r="J677" s="634" t="s">
        <v>250</v>
      </c>
      <c r="K677" s="634" t="str">
        <f t="shared" si="12"/>
        <v>Worcester, MA</v>
      </c>
      <c r="L677" s="634" t="s">
        <v>1555</v>
      </c>
      <c r="M677" s="634">
        <v>42.27</v>
      </c>
      <c r="N677" s="634">
        <v>-71.88</v>
      </c>
      <c r="O677" s="634">
        <v>-5</v>
      </c>
      <c r="P677" s="634">
        <v>308</v>
      </c>
      <c r="T677" s="634" t="s">
        <v>513</v>
      </c>
      <c r="U677" s="634" t="s">
        <v>2838</v>
      </c>
    </row>
    <row r="678" spans="8:21">
      <c r="I678" s="634" t="s">
        <v>2839</v>
      </c>
      <c r="J678" s="634" t="s">
        <v>904</v>
      </c>
      <c r="K678" s="634" t="str">
        <f t="shared" si="12"/>
        <v>Worland, WY</v>
      </c>
      <c r="L678" s="634" t="s">
        <v>1555</v>
      </c>
      <c r="M678" s="634">
        <v>43.97</v>
      </c>
      <c r="N678" s="634">
        <v>-107.95</v>
      </c>
      <c r="O678" s="634">
        <v>-7</v>
      </c>
      <c r="P678" s="634">
        <v>1294</v>
      </c>
      <c r="T678" s="634" t="s">
        <v>513</v>
      </c>
      <c r="U678" s="634" t="s">
        <v>2840</v>
      </c>
    </row>
    <row r="679" spans="8:21">
      <c r="H679" s="634">
        <v>25029</v>
      </c>
      <c r="I679" s="634" t="s">
        <v>2841</v>
      </c>
      <c r="J679" s="634" t="s">
        <v>1728</v>
      </c>
      <c r="K679" s="634" t="str">
        <f t="shared" si="12"/>
        <v>Wynyard, SK</v>
      </c>
      <c r="L679" s="634" t="s">
        <v>1552</v>
      </c>
      <c r="M679" s="634">
        <v>51.77</v>
      </c>
      <c r="N679" s="634">
        <v>-104.2</v>
      </c>
      <c r="O679" s="634">
        <v>-6</v>
      </c>
      <c r="P679" s="634">
        <v>561</v>
      </c>
      <c r="T679" s="634" t="s">
        <v>513</v>
      </c>
      <c r="U679" s="634" t="s">
        <v>2842</v>
      </c>
    </row>
    <row r="680" spans="8:21">
      <c r="H680" s="634">
        <v>24243</v>
      </c>
      <c r="I680" s="634" t="s">
        <v>2843</v>
      </c>
      <c r="J680" s="634" t="s">
        <v>238</v>
      </c>
      <c r="K680" s="634" t="str">
        <f t="shared" si="12"/>
        <v>Yakima, WA</v>
      </c>
      <c r="L680" s="634" t="s">
        <v>1555</v>
      </c>
      <c r="M680" s="634">
        <v>46.57</v>
      </c>
      <c r="N680" s="634">
        <v>-120.53</v>
      </c>
      <c r="O680" s="634">
        <v>-8</v>
      </c>
      <c r="P680" s="634">
        <v>325</v>
      </c>
      <c r="T680" s="634" t="s">
        <v>904</v>
      </c>
      <c r="U680" s="634" t="s">
        <v>2844</v>
      </c>
    </row>
    <row r="681" spans="8:21">
      <c r="H681" s="634">
        <v>25339</v>
      </c>
      <c r="I681" s="634" t="s">
        <v>2845</v>
      </c>
      <c r="J681" s="634" t="s">
        <v>953</v>
      </c>
      <c r="K681" s="634" t="str">
        <f t="shared" si="12"/>
        <v>Yakutat, AK</v>
      </c>
      <c r="L681" s="634" t="s">
        <v>1555</v>
      </c>
      <c r="M681" s="634">
        <v>59.52</v>
      </c>
      <c r="N681" s="634">
        <v>-139.66999999999999</v>
      </c>
      <c r="O681" s="634">
        <v>-9</v>
      </c>
      <c r="P681" s="634">
        <v>9</v>
      </c>
      <c r="T681" s="634" t="s">
        <v>904</v>
      </c>
      <c r="U681" s="634" t="s">
        <v>2846</v>
      </c>
    </row>
    <row r="682" spans="8:21">
      <c r="H682" s="634">
        <v>14647</v>
      </c>
      <c r="I682" s="634" t="s">
        <v>2847</v>
      </c>
      <c r="J682" s="634" t="s">
        <v>2040</v>
      </c>
      <c r="K682" s="634" t="str">
        <f t="shared" si="12"/>
        <v>Yarmouth, NS</v>
      </c>
      <c r="L682" s="634" t="s">
        <v>1552</v>
      </c>
      <c r="M682" s="634">
        <v>43.83</v>
      </c>
      <c r="N682" s="634">
        <v>-66.08</v>
      </c>
      <c r="O682" s="634">
        <v>-4</v>
      </c>
      <c r="P682" s="634">
        <v>43</v>
      </c>
      <c r="T682" s="634" t="s">
        <v>904</v>
      </c>
      <c r="U682" s="634" t="s">
        <v>2848</v>
      </c>
    </row>
    <row r="683" spans="8:21">
      <c r="H683" s="634">
        <v>26110</v>
      </c>
      <c r="I683" s="634" t="s">
        <v>2849</v>
      </c>
      <c r="J683" s="634" t="s">
        <v>1759</v>
      </c>
      <c r="K683" s="634" t="str">
        <f t="shared" si="12"/>
        <v>Yellowknife, NT</v>
      </c>
      <c r="L683" s="634" t="s">
        <v>1552</v>
      </c>
      <c r="M683" s="634">
        <v>62.47</v>
      </c>
      <c r="N683" s="634">
        <v>-114.45</v>
      </c>
      <c r="O683" s="634">
        <v>-7</v>
      </c>
      <c r="P683" s="634">
        <v>206</v>
      </c>
      <c r="T683" s="634" t="s">
        <v>904</v>
      </c>
      <c r="U683" s="634" t="s">
        <v>2850</v>
      </c>
    </row>
    <row r="684" spans="8:21">
      <c r="H684" s="634">
        <v>25017</v>
      </c>
      <c r="I684" s="634" t="s">
        <v>2851</v>
      </c>
      <c r="J684" s="634" t="s">
        <v>1728</v>
      </c>
      <c r="K684" s="634" t="str">
        <f t="shared" si="12"/>
        <v>Yorkton, SK</v>
      </c>
      <c r="L684" s="634" t="s">
        <v>1552</v>
      </c>
      <c r="M684" s="634">
        <v>51.27</v>
      </c>
      <c r="N684" s="634">
        <v>-102.47</v>
      </c>
      <c r="O684" s="634">
        <v>-6</v>
      </c>
      <c r="P684" s="634">
        <v>498</v>
      </c>
      <c r="T684" s="634" t="s">
        <v>904</v>
      </c>
      <c r="U684" s="634" t="s">
        <v>2852</v>
      </c>
    </row>
    <row r="685" spans="8:21">
      <c r="H685" s="634">
        <v>14852</v>
      </c>
      <c r="I685" s="634" t="s">
        <v>2853</v>
      </c>
      <c r="J685" s="634" t="s">
        <v>229</v>
      </c>
      <c r="K685" s="634" t="str">
        <f t="shared" si="12"/>
        <v>Youngstown, OH</v>
      </c>
      <c r="L685" s="634" t="s">
        <v>1555</v>
      </c>
      <c r="M685" s="634">
        <v>41.27</v>
      </c>
      <c r="N685" s="634">
        <v>-80.67</v>
      </c>
      <c r="O685" s="634">
        <v>-5</v>
      </c>
      <c r="P685" s="634">
        <v>361</v>
      </c>
      <c r="T685" s="634" t="s">
        <v>904</v>
      </c>
      <c r="U685" s="634" t="s">
        <v>2854</v>
      </c>
    </row>
    <row r="686" spans="8:21">
      <c r="H686" s="634">
        <v>3133</v>
      </c>
      <c r="I686" s="634" t="s">
        <v>2855</v>
      </c>
      <c r="J686" s="634" t="s">
        <v>450</v>
      </c>
      <c r="K686" s="634" t="str">
        <f t="shared" si="12"/>
        <v>Yucca Flats, NV</v>
      </c>
      <c r="L686" s="634" t="s">
        <v>1555</v>
      </c>
      <c r="M686" s="634">
        <v>36.950000000000003</v>
      </c>
      <c r="N686" s="634">
        <v>-116.05</v>
      </c>
      <c r="O686" s="634">
        <v>-8</v>
      </c>
      <c r="P686" s="634">
        <v>1196</v>
      </c>
      <c r="T686" s="634" t="s">
        <v>904</v>
      </c>
      <c r="U686" s="634" t="s">
        <v>2856</v>
      </c>
    </row>
    <row r="687" spans="8:21">
      <c r="H687" s="634">
        <v>23195</v>
      </c>
      <c r="I687" s="634" t="s">
        <v>2857</v>
      </c>
      <c r="J687" s="634" t="s">
        <v>1250</v>
      </c>
      <c r="K687" s="634" t="str">
        <f t="shared" si="12"/>
        <v>Yuma, AZ</v>
      </c>
      <c r="L687" s="634" t="s">
        <v>1555</v>
      </c>
      <c r="M687" s="634">
        <v>32.659999999999997</v>
      </c>
      <c r="N687" s="634">
        <v>-114.6</v>
      </c>
      <c r="O687" s="634">
        <v>-7</v>
      </c>
      <c r="P687" s="634">
        <v>62</v>
      </c>
      <c r="T687" s="634" t="s">
        <v>904</v>
      </c>
      <c r="U687" s="634" t="s">
        <v>2858</v>
      </c>
    </row>
    <row r="688" spans="8:21">
      <c r="I688" s="634" t="s">
        <v>2859</v>
      </c>
      <c r="J688" s="634" t="s">
        <v>229</v>
      </c>
      <c r="K688" s="634" t="str">
        <f t="shared" si="12"/>
        <v>Zanesville, OH</v>
      </c>
      <c r="L688" s="634" t="s">
        <v>1555</v>
      </c>
      <c r="M688" s="634">
        <v>39.950000000000003</v>
      </c>
      <c r="N688" s="634">
        <v>-81.900000000000006</v>
      </c>
      <c r="O688" s="634">
        <v>-5</v>
      </c>
      <c r="P688" s="634">
        <v>274</v>
      </c>
      <c r="T688" s="634" t="s">
        <v>904</v>
      </c>
      <c r="U688" s="634" t="s">
        <v>2860</v>
      </c>
    </row>
  </sheetData>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sheetPr codeName="BEoptClimateInfo1">
    <tabColor theme="0" tint="-0.34998626667073579"/>
  </sheetPr>
  <dimension ref="A1:DJ1022"/>
  <sheetViews>
    <sheetView workbookViewId="0">
      <selection activeCell="AE5" sqref="AE5"/>
    </sheetView>
  </sheetViews>
  <sheetFormatPr defaultRowHeight="11.25"/>
  <cols>
    <col min="1" max="1" width="24.140625" style="1" bestFit="1" customWidth="1"/>
    <col min="2" max="2" width="24.140625" style="1" customWidth="1"/>
    <col min="3" max="3" width="20.7109375" style="1" bestFit="1" customWidth="1"/>
    <col min="4" max="4" width="8.42578125" style="1" customWidth="1"/>
    <col min="5" max="8" width="10.140625" style="1" customWidth="1"/>
    <col min="9" max="9" width="12.42578125" style="97" customWidth="1"/>
    <col min="10" max="10" width="12.28515625" style="97" customWidth="1"/>
    <col min="11" max="11" width="12.7109375" style="98" customWidth="1"/>
    <col min="12" max="13" width="9.28515625" style="1" customWidth="1"/>
    <col min="14" max="14" width="9.85546875" style="88" customWidth="1"/>
    <col min="15" max="15" width="10" style="88" customWidth="1"/>
    <col min="16" max="16" width="10.140625" style="88" customWidth="1"/>
    <col min="17" max="17" width="9.85546875" style="88" customWidth="1"/>
    <col min="18" max="18" width="10.28515625" style="88" customWidth="1"/>
    <col min="19" max="19" width="9.85546875" style="88" customWidth="1"/>
    <col min="20" max="20" width="9.28515625" style="88" customWidth="1"/>
    <col min="21" max="21" width="10.140625" style="88" customWidth="1"/>
    <col min="22" max="22" width="10" style="88" customWidth="1"/>
    <col min="23" max="23" width="9.85546875" style="88" customWidth="1"/>
    <col min="24" max="24" width="10.28515625" style="88" customWidth="1"/>
    <col min="25" max="25" width="10.140625" style="88" customWidth="1"/>
    <col min="26" max="26" width="12.85546875" style="88" customWidth="1"/>
    <col min="27" max="27" width="7.7109375" style="88" customWidth="1"/>
    <col min="28" max="28" width="7.85546875" style="88" customWidth="1"/>
    <col min="29" max="29" width="7" style="88" customWidth="1"/>
    <col min="30" max="30" width="7.7109375" style="88" customWidth="1"/>
    <col min="31" max="31" width="7" style="88" customWidth="1"/>
    <col min="32" max="32" width="7.7109375" style="88" customWidth="1"/>
    <col min="33" max="33" width="7.140625" style="88" customWidth="1"/>
    <col min="34" max="34" width="7" style="88" customWidth="1"/>
    <col min="35" max="35" width="7.85546875" style="88" customWidth="1"/>
    <col min="36" max="36" width="7.7109375" style="88" customWidth="1"/>
    <col min="37" max="38" width="7" style="88" customWidth="1"/>
    <col min="39" max="62" width="9.140625" style="1" customWidth="1"/>
    <col min="63" max="86" width="5.28515625" style="1" customWidth="1"/>
    <col min="87" max="98" width="8.140625" style="1" customWidth="1"/>
    <col min="99" max="102" width="9.140625" style="1" customWidth="1"/>
    <col min="103" max="103" width="10.140625" style="1137" customWidth="1"/>
    <col min="104" max="106" width="10.140625" style="1" customWidth="1"/>
    <col min="107" max="107" width="33.42578125" style="1" bestFit="1" customWidth="1"/>
    <col min="108" max="111" width="10.140625" style="1" customWidth="1"/>
    <col min="112" max="16384" width="9.140625" style="1"/>
  </cols>
  <sheetData>
    <row r="1" spans="1:114" s="1119" customFormat="1" ht="45">
      <c r="A1" s="79" t="s">
        <v>169</v>
      </c>
      <c r="C1" s="1119" t="s">
        <v>638</v>
      </c>
      <c r="D1" s="1119" t="s">
        <v>639</v>
      </c>
      <c r="E1" s="1119" t="s">
        <v>595</v>
      </c>
      <c r="F1" s="1119" t="s">
        <v>1553</v>
      </c>
      <c r="G1" s="1119" t="s">
        <v>1034</v>
      </c>
      <c r="H1" s="1119" t="s">
        <v>1557</v>
      </c>
      <c r="I1" s="94" t="s">
        <v>1035</v>
      </c>
      <c r="J1" s="94" t="s">
        <v>1036</v>
      </c>
      <c r="K1" s="95" t="s">
        <v>313</v>
      </c>
      <c r="L1" s="1119" t="s">
        <v>314</v>
      </c>
      <c r="M1" s="1119" t="s">
        <v>315</v>
      </c>
      <c r="N1" s="86" t="s">
        <v>316</v>
      </c>
      <c r="O1" s="86" t="s">
        <v>317</v>
      </c>
      <c r="P1" s="86" t="s">
        <v>318</v>
      </c>
      <c r="Q1" s="86" t="s">
        <v>319</v>
      </c>
      <c r="R1" s="86" t="s">
        <v>230</v>
      </c>
      <c r="S1" s="86" t="s">
        <v>231</v>
      </c>
      <c r="T1" s="86" t="s">
        <v>232</v>
      </c>
      <c r="U1" s="86" t="s">
        <v>233</v>
      </c>
      <c r="V1" s="86" t="s">
        <v>234</v>
      </c>
      <c r="W1" s="86" t="s">
        <v>235</v>
      </c>
      <c r="X1" s="86" t="s">
        <v>236</v>
      </c>
      <c r="Y1" s="86" t="s">
        <v>389</v>
      </c>
      <c r="Z1" s="86" t="s">
        <v>390</v>
      </c>
      <c r="AA1" s="86" t="s">
        <v>37</v>
      </c>
      <c r="AB1" s="86" t="s">
        <v>38</v>
      </c>
      <c r="AC1" s="86" t="s">
        <v>39</v>
      </c>
      <c r="AD1" s="86" t="s">
        <v>40</v>
      </c>
      <c r="AE1" s="86" t="s">
        <v>41</v>
      </c>
      <c r="AF1" s="86" t="s">
        <v>42</v>
      </c>
      <c r="AG1" s="86" t="s">
        <v>43</v>
      </c>
      <c r="AH1" s="86" t="s">
        <v>44</v>
      </c>
      <c r="AI1" s="86" t="s">
        <v>45</v>
      </c>
      <c r="AJ1" s="86" t="s">
        <v>46</v>
      </c>
      <c r="AK1" s="86" t="s">
        <v>47</v>
      </c>
      <c r="AL1" s="86" t="s">
        <v>844</v>
      </c>
      <c r="AM1" s="1119" t="s">
        <v>391</v>
      </c>
      <c r="AN1" s="1119" t="s">
        <v>392</v>
      </c>
      <c r="AO1" s="1119" t="s">
        <v>307</v>
      </c>
      <c r="AP1" s="1119" t="s">
        <v>308</v>
      </c>
      <c r="AQ1" s="1119" t="s">
        <v>309</v>
      </c>
      <c r="AR1" s="1119" t="s">
        <v>310</v>
      </c>
      <c r="AS1" s="1119" t="s">
        <v>311</v>
      </c>
      <c r="AT1" s="1119" t="s">
        <v>1239</v>
      </c>
      <c r="AU1" s="1119" t="s">
        <v>1240</v>
      </c>
      <c r="AV1" s="1119" t="s">
        <v>1022</v>
      </c>
      <c r="AW1" s="1119" t="s">
        <v>171</v>
      </c>
      <c r="AX1" s="1119" t="s">
        <v>172</v>
      </c>
      <c r="AY1" s="1119" t="s">
        <v>395</v>
      </c>
      <c r="AZ1" s="1119" t="s">
        <v>1201</v>
      </c>
      <c r="BA1" s="1119" t="s">
        <v>1202</v>
      </c>
      <c r="BB1" s="1119" t="s">
        <v>1203</v>
      </c>
      <c r="BC1" s="1119" t="s">
        <v>1204</v>
      </c>
      <c r="BD1" s="1119" t="s">
        <v>1205</v>
      </c>
      <c r="BE1" s="1119" t="s">
        <v>502</v>
      </c>
      <c r="BF1" s="1119" t="s">
        <v>887</v>
      </c>
      <c r="BG1" s="1119" t="s">
        <v>1322</v>
      </c>
      <c r="BH1" s="1119" t="s">
        <v>165</v>
      </c>
      <c r="BI1" s="1119" t="s">
        <v>166</v>
      </c>
      <c r="BJ1" s="1119" t="s">
        <v>167</v>
      </c>
      <c r="BK1" s="1119" t="s">
        <v>1309</v>
      </c>
      <c r="BL1" s="1119" t="s">
        <v>1310</v>
      </c>
      <c r="BM1" s="1119" t="s">
        <v>1311</v>
      </c>
      <c r="BN1" s="1119" t="s">
        <v>1312</v>
      </c>
      <c r="BO1" s="1119" t="s">
        <v>1313</v>
      </c>
      <c r="BP1" s="1119" t="s">
        <v>1314</v>
      </c>
      <c r="BQ1" s="1119" t="s">
        <v>1315</v>
      </c>
      <c r="BR1" s="1119" t="s">
        <v>1316</v>
      </c>
      <c r="BS1" s="1119" t="s">
        <v>1317</v>
      </c>
      <c r="BT1" s="1119" t="s">
        <v>1318</v>
      </c>
      <c r="BU1" s="1119" t="s">
        <v>1251</v>
      </c>
      <c r="BV1" s="1119" t="s">
        <v>1252</v>
      </c>
      <c r="BW1" s="1119" t="s">
        <v>1253</v>
      </c>
      <c r="BX1" s="1119" t="s">
        <v>832</v>
      </c>
      <c r="BY1" s="1119" t="s">
        <v>833</v>
      </c>
      <c r="BZ1" s="1119" t="s">
        <v>834</v>
      </c>
      <c r="CA1" s="1119" t="s">
        <v>75</v>
      </c>
      <c r="CB1" s="1119" t="s">
        <v>76</v>
      </c>
      <c r="CC1" s="1119" t="s">
        <v>77</v>
      </c>
      <c r="CD1" s="1119" t="s">
        <v>78</v>
      </c>
      <c r="CE1" s="1119" t="s">
        <v>396</v>
      </c>
      <c r="CF1" s="1119" t="s">
        <v>397</v>
      </c>
      <c r="CG1" s="1119" t="s">
        <v>398</v>
      </c>
      <c r="CH1" s="1119" t="s">
        <v>399</v>
      </c>
      <c r="CI1" s="1119" t="s">
        <v>400</v>
      </c>
      <c r="CJ1" s="1119" t="s">
        <v>838</v>
      </c>
      <c r="CK1" s="1119" t="s">
        <v>839</v>
      </c>
      <c r="CL1" s="1119" t="s">
        <v>522</v>
      </c>
      <c r="CM1" s="1119" t="s">
        <v>523</v>
      </c>
      <c r="CN1" s="1119" t="s">
        <v>388</v>
      </c>
      <c r="CO1" s="1119" t="s">
        <v>658</v>
      </c>
      <c r="CP1" s="1119" t="s">
        <v>659</v>
      </c>
      <c r="CQ1" s="1119" t="s">
        <v>660</v>
      </c>
      <c r="CR1" s="1119" t="s">
        <v>661</v>
      </c>
      <c r="CS1" s="1119" t="s">
        <v>161</v>
      </c>
      <c r="CT1" s="1119" t="s">
        <v>162</v>
      </c>
      <c r="CU1" s="1119" t="s">
        <v>265</v>
      </c>
      <c r="CW1" s="1119" t="s">
        <v>4737</v>
      </c>
      <c r="CY1" s="2352" t="s">
        <v>4878</v>
      </c>
      <c r="CZ1" s="2352"/>
      <c r="DA1" s="1134"/>
      <c r="DB1" s="1134"/>
      <c r="DF1" s="1295" t="s">
        <v>6382</v>
      </c>
    </row>
    <row r="2" spans="1:114" s="84" customFormat="1">
      <c r="A2" s="83" t="str">
        <f>NewConst!E7</f>
        <v>Denver Intl Ap, CO</v>
      </c>
      <c r="B2" s="83"/>
      <c r="C2" s="83" t="str">
        <f>VLOOKUP($A$2,$B$3:$CU$1012,2,FALSE)</f>
        <v>Denver Intl Ap</v>
      </c>
      <c r="D2" s="85" t="str">
        <f>VLOOKUP($A$2,$B$3:$CU$1012,3,FALSE)</f>
        <v>CO</v>
      </c>
      <c r="E2" s="84">
        <f>VLOOKUP($A$2,$B$3:$CU$1012,4,FALSE)</f>
        <v>5412</v>
      </c>
      <c r="F2" s="84">
        <f>VLOOKUP($A$2,$B$3:$CU$1012,5,FALSE)</f>
        <v>-104.65</v>
      </c>
      <c r="G2" s="84">
        <f>VLOOKUP($A$2,$B$3:$CU$1012,6,FALSE)</f>
        <v>39.83</v>
      </c>
      <c r="H2" s="84">
        <f>VLOOKUP($A$2,$B$3:$CU$1012,7,FALSE)</f>
        <v>-7</v>
      </c>
      <c r="I2" s="96">
        <f>VLOOKUP($A$2,$B$3:$CU$1012,8,FALSE)</f>
        <v>6.7999999999999989</v>
      </c>
      <c r="J2" s="96">
        <f>VLOOKUP($A$2,$B$3:$CU$1012,9,FALSE)</f>
        <v>91.760001373291018</v>
      </c>
      <c r="K2" s="96">
        <f>VLOOKUP($A$2,$B$3:$CU$1012,10,FALSE)</f>
        <v>60.080000686645505</v>
      </c>
      <c r="L2" s="84">
        <f>VLOOKUP($A$2,$B$3:$CU$1012,11,FALSE)</f>
        <v>5632.2</v>
      </c>
      <c r="M2" s="84">
        <f>VLOOKUP($A$2,$B$3:$CU$1012,12,FALSE)</f>
        <v>952.2</v>
      </c>
      <c r="N2" s="87">
        <f>VLOOKUP($A$2,$B$3:$CU$1012,13,FALSE)</f>
        <v>33.440000021457671</v>
      </c>
      <c r="O2" s="87">
        <f>VLOOKUP($A$2,$B$3:$CU$1012,14,FALSE)</f>
        <v>31.81999999731779</v>
      </c>
      <c r="P2" s="87">
        <f>VLOOKUP($A$2,$B$3:$CU$1012,15,FALSE)</f>
        <v>42.97999982833862</v>
      </c>
      <c r="Q2" s="87">
        <f>VLOOKUP($A$2,$B$3:$CU$1012,16,FALSE)</f>
        <v>42.440000343322751</v>
      </c>
      <c r="R2" s="87">
        <f>VLOOKUP($A$2,$B$3:$CU$1012,17,FALSE)</f>
        <v>59.9</v>
      </c>
      <c r="S2" s="87">
        <f>VLOOKUP($A$2,$B$3:$CU$1012,18,FALSE)</f>
        <v>73.580000686645505</v>
      </c>
      <c r="T2" s="87">
        <f>VLOOKUP($A$2,$B$3:$CU$1012,19,FALSE)</f>
        <v>72.139998626708987</v>
      </c>
      <c r="U2" s="87">
        <f>VLOOKUP($A$2,$B$3:$CU$1012,20,FALSE)</f>
        <v>72.680000686645513</v>
      </c>
      <c r="V2" s="87">
        <f>VLOOKUP($A$2,$B$3:$CU$1012,21,FALSE)</f>
        <v>66.560001373291016</v>
      </c>
      <c r="W2" s="87">
        <f>VLOOKUP($A$2,$B$3:$CU$1012,22,FALSE)</f>
        <v>50</v>
      </c>
      <c r="X2" s="87">
        <f>VLOOKUP($A$2,$B$3:$CU$1012,23,FALSE)</f>
        <v>37.220000171661376</v>
      </c>
      <c r="Y2" s="87">
        <f>VLOOKUP($A$2,$B$3:$CU$1012,24,FALSE)</f>
        <v>34.519999957084657</v>
      </c>
      <c r="Z2" s="87">
        <f>VLOOKUP($A$2,$B$3:$CU$1012,25,FALSE)</f>
        <v>51.562794657259772</v>
      </c>
      <c r="AA2" s="87">
        <f>VLOOKUP($A$2,$B$3:$CU$1012,26,FALSE)</f>
        <v>48.718290388117268</v>
      </c>
      <c r="AB2" s="87">
        <f>VLOOKUP($A$2,$B$3:$CU$1012,27,FALSE)</f>
        <v>47.641339778292384</v>
      </c>
      <c r="AC2" s="87">
        <f>VLOOKUP($A$2,$B$3:$CU$1012,28,FALSE)</f>
        <v>49.150569276918105</v>
      </c>
      <c r="AD2" s="87">
        <f>VLOOKUP($A$2,$B$3:$CU$1012,29,FALSE)</f>
        <v>52.85257495724705</v>
      </c>
      <c r="AE2" s="87">
        <f>VLOOKUP($A$2,$B$3:$CU$1012,30,FALSE)</f>
        <v>57.782371989067066</v>
      </c>
      <c r="AF2" s="87">
        <f>VLOOKUP($A$2,$B$3:$CU$1012,31,FALSE)</f>
        <v>62.654932805562403</v>
      </c>
      <c r="AG2" s="87">
        <f>VLOOKUP($A$2,$B$3:$CU$1012,32,FALSE)</f>
        <v>66.200149341478465</v>
      </c>
      <c r="AH2" s="87">
        <f>VLOOKUP($A$2,$B$3:$CU$1012,33,FALSE)</f>
        <v>67.493906273288161</v>
      </c>
      <c r="AI2" s="87">
        <f>VLOOKUP($A$2,$B$3:$CU$1012,34,FALSE)</f>
        <v>66.198965919317473</v>
      </c>
      <c r="AJ2" s="87">
        <f>VLOOKUP($A$2,$B$3:$CU$1012,35,FALSE)</f>
        <v>62.65287443846379</v>
      </c>
      <c r="AK2" s="87">
        <f>VLOOKUP($A$2,$B$3:$CU$1012,36,FALSE)</f>
        <v>57.779975222135477</v>
      </c>
      <c r="AL2" s="87">
        <f>VLOOKUP($A$2,$B$3:$CU$1012,37,FALSE)</f>
        <v>52.850464544718484</v>
      </c>
      <c r="AM2" s="87">
        <f>VLOOKUP($A$2,$B$3:$CU$1012,38,FALSE)</f>
        <v>1</v>
      </c>
      <c r="AN2" s="87">
        <f>VLOOKUP($A$2,$B$3:$CU$1012,39,FALSE)</f>
        <v>1</v>
      </c>
      <c r="AO2" s="87">
        <f>VLOOKUP($A$2,$B$3:$CU$1012,40,FALSE)</f>
        <v>1</v>
      </c>
      <c r="AP2" s="87">
        <f>VLOOKUP($A$2,$B$3:$CU$1012,41,FALSE)</f>
        <v>1</v>
      </c>
      <c r="AQ2" s="87">
        <f>VLOOKUP($A$2,$B$3:$CU$1012,42,FALSE)</f>
        <v>1</v>
      </c>
      <c r="AR2" s="87">
        <f>VLOOKUP($A$2,$B$3:$CU$1012,43,FALSE)</f>
        <v>0</v>
      </c>
      <c r="AS2" s="87">
        <f>VLOOKUP($A$2,$B$3:$CU$1012,44,FALSE)</f>
        <v>0</v>
      </c>
      <c r="AT2" s="87">
        <f>VLOOKUP($A$2,$B$3:$CU$1012,45,FALSE)</f>
        <v>0</v>
      </c>
      <c r="AU2" s="87">
        <f>VLOOKUP($A$2,$B$3:$CU$1012,46,FALSE)</f>
        <v>0</v>
      </c>
      <c r="AV2" s="87">
        <f>VLOOKUP($A$2,$B$3:$CU$1012,47,FALSE)</f>
        <v>1</v>
      </c>
      <c r="AW2" s="87">
        <f>VLOOKUP($A$2,$B$3:$CU$1012,48,FALSE)</f>
        <v>1</v>
      </c>
      <c r="AX2" s="87">
        <f>VLOOKUP($A$2,$B$3:$CU$1012,49,FALSE)</f>
        <v>1</v>
      </c>
      <c r="AY2" s="87">
        <f>VLOOKUP($A$2,$B$3:$CU$1012,50,FALSE)</f>
        <v>0</v>
      </c>
      <c r="AZ2" s="87">
        <f>VLOOKUP($A$2,$B$3:$CU$1012,51,FALSE)</f>
        <v>0</v>
      </c>
      <c r="BA2" s="87">
        <f>VLOOKUP($A$2,$B$3:$CU$1012,52,FALSE)</f>
        <v>0</v>
      </c>
      <c r="BB2" s="87">
        <f>VLOOKUP($A$2,$B$3:$CU$1012,53,FALSE)</f>
        <v>0</v>
      </c>
      <c r="BC2" s="87">
        <f>VLOOKUP($A$2,$B$3:$CU$1012,54,FALSE)</f>
        <v>0</v>
      </c>
      <c r="BD2" s="87">
        <f>VLOOKUP($A$2,$B$3:$CU$1012,55,FALSE)</f>
        <v>1</v>
      </c>
      <c r="BE2" s="87">
        <f>VLOOKUP($A$2,$B$3:$CU$1012,56,FALSE)</f>
        <v>1</v>
      </c>
      <c r="BF2" s="87">
        <f>VLOOKUP($A$2,$B$3:$CU$1012,57,FALSE)</f>
        <v>1</v>
      </c>
      <c r="BG2" s="87">
        <f>VLOOKUP($A$2,$B$3:$CU$1012,58,FALSE)</f>
        <v>1</v>
      </c>
      <c r="BH2" s="87">
        <f>VLOOKUP($A$2,$B$3:$CU$1012,59,FALSE)</f>
        <v>0</v>
      </c>
      <c r="BI2" s="87">
        <f>VLOOKUP($A$2,$B$3:$CU$1012,60,FALSE)</f>
        <v>0</v>
      </c>
      <c r="BJ2" s="87">
        <f>VLOOKUP($A$2,$B$3:$CU$1012,61,FALSE)</f>
        <v>0</v>
      </c>
      <c r="BK2" s="87">
        <f>VLOOKUP($A$2,$B$3:$CU$1012,62,FALSE)</f>
        <v>1</v>
      </c>
      <c r="BL2" s="87">
        <f>VLOOKUP($A$2,$B$3:$CU$1012,63,FALSE)</f>
        <v>1</v>
      </c>
      <c r="BM2" s="87">
        <f>VLOOKUP($A$2,$B$3:$CU$1012,64,FALSE)</f>
        <v>1</v>
      </c>
      <c r="BN2" s="87">
        <f>VLOOKUP($A$2,$B$3:$CU$1012,65,FALSE)</f>
        <v>1</v>
      </c>
      <c r="BO2" s="87">
        <f>VLOOKUP($A$2,$B$3:$CU$1012,66,FALSE)</f>
        <v>1</v>
      </c>
      <c r="BP2" s="87">
        <f>VLOOKUP($A$2,$B$3:$CU$1012,67,FALSE)</f>
        <v>1</v>
      </c>
      <c r="BQ2" s="87">
        <f>VLOOKUP($A$2,$B$3:$CU$1012,68,FALSE)</f>
        <v>0</v>
      </c>
      <c r="BR2" s="87">
        <f>VLOOKUP($A$2,$B$3:$CU$1012,69,FALSE)</f>
        <v>0</v>
      </c>
      <c r="BS2" s="87">
        <f>VLOOKUP($A$2,$B$3:$CU$1012,70,FALSE)</f>
        <v>0</v>
      </c>
      <c r="BT2" s="87">
        <f>VLOOKUP($A$2,$B$3:$CU$1012,71,FALSE)</f>
        <v>1</v>
      </c>
      <c r="BU2" s="87">
        <f>VLOOKUP($A$2,$B$3:$CU$1012,72,FALSE)</f>
        <v>1</v>
      </c>
      <c r="BV2" s="87">
        <f>VLOOKUP($A$2,$B$3:$CU$1012,73,FALSE)</f>
        <v>1</v>
      </c>
      <c r="BW2" s="87">
        <f>VLOOKUP($A$2,$B$3:$CU$1012,74,FALSE)</f>
        <v>0</v>
      </c>
      <c r="BX2" s="87">
        <f>VLOOKUP($A$2,$B$3:$CU$1012,75,FALSE)</f>
        <v>0</v>
      </c>
      <c r="BY2" s="87">
        <f>VLOOKUP($A$2,$B$3:$CU$1012,76,FALSE)</f>
        <v>0</v>
      </c>
      <c r="BZ2" s="87">
        <f>VLOOKUP($A$2,$B$3:$CU$1012,77,FALSE)</f>
        <v>0</v>
      </c>
      <c r="CA2" s="87">
        <f>VLOOKUP($A$2,$B$3:$CU$1012,78,FALSE)</f>
        <v>1</v>
      </c>
      <c r="CB2" s="87">
        <f>VLOOKUP($A$2,$B$3:$CU$1012,79,FALSE)</f>
        <v>1</v>
      </c>
      <c r="CC2" s="87">
        <f>VLOOKUP($A$2,$B$3:$CU$1012,80,FALSE)</f>
        <v>1</v>
      </c>
      <c r="CD2" s="87">
        <f>VLOOKUP($A$2,$B$3:$CU$1012,81,FALSE)</f>
        <v>1</v>
      </c>
      <c r="CE2" s="87">
        <f>VLOOKUP($A$2,$B$3:$CU$1012,82,FALSE)</f>
        <v>1</v>
      </c>
      <c r="CF2" s="87">
        <f>VLOOKUP($A$2,$B$3:$CU$1012,83,FALSE)</f>
        <v>1</v>
      </c>
      <c r="CG2" s="87">
        <f>VLOOKUP($A$2,$B$3:$CU$1012,84,FALSE)</f>
        <v>0</v>
      </c>
      <c r="CH2" s="87">
        <f>VLOOKUP($A$2,$B$3:$CU$1012,85,FALSE)</f>
        <v>0</v>
      </c>
      <c r="CI2" s="96">
        <f>VLOOKUP($A$2,$B$3:$CU$1012,86,FALSE)</f>
        <v>0.85</v>
      </c>
      <c r="CJ2" s="96">
        <f>VLOOKUP($A$2,$B$3:$CU$1012,87,FALSE)</f>
        <v>0.85</v>
      </c>
      <c r="CK2" s="96">
        <f>VLOOKUP($A$2,$B$3:$CU$1012,88,FALSE)</f>
        <v>0.85</v>
      </c>
      <c r="CL2" s="96">
        <f>VLOOKUP($A$2,$B$3:$CU$1012,89,FALSE)</f>
        <v>0.85</v>
      </c>
      <c r="CM2" s="96">
        <f>VLOOKUP($A$2,$B$3:$CU$1012,90,FALSE)</f>
        <v>0.85</v>
      </c>
      <c r="CN2" s="96">
        <f>VLOOKUP($A$2,$B$3:$CU$1012,91,FALSE)</f>
        <v>0.85</v>
      </c>
      <c r="CO2" s="96">
        <f>VLOOKUP($A$2,$B$3:$CU$1012,92,FALSE)</f>
        <v>0.7</v>
      </c>
      <c r="CP2" s="96">
        <f>VLOOKUP($A$2,$B$3:$CU$1012,93,FALSE)</f>
        <v>0.7</v>
      </c>
      <c r="CQ2" s="96">
        <f>VLOOKUP($A$2,$B$3:$CU$1012,94,FALSE)</f>
        <v>0.7</v>
      </c>
      <c r="CR2" s="96">
        <f>VLOOKUP($A$2,$B$3:$CU$1012,95,FALSE)</f>
        <v>0.85</v>
      </c>
      <c r="CS2" s="96">
        <f>VLOOKUP($A$2,$B$3:$CU$1012,96,FALSE)</f>
        <v>0.85</v>
      </c>
      <c r="CT2" s="96">
        <f>VLOOKUP($A$2,$B$3:$CU$1012,97,FALSE)</f>
        <v>0.85</v>
      </c>
      <c r="CU2" s="87">
        <f>VLOOKUP($A$2,$B$3:$CU$1012,98,FALSE)</f>
        <v>1</v>
      </c>
      <c r="CV2" s="87"/>
      <c r="CW2" s="87">
        <f>VLOOKUP($A$2,$B$3:$CZ$1012,100,FALSE)</f>
        <v>184</v>
      </c>
      <c r="CX2" s="87">
        <f>VLOOKUP($A$2,$B$3:$CZ$1012,101,FALSE)</f>
        <v>181</v>
      </c>
      <c r="CY2" s="1138" t="str">
        <f>VLOOKUP($A$2,$B$3:$CZ$1012,102,FALSE)</f>
        <v>Cold</v>
      </c>
      <c r="CZ2" s="1138" t="str">
        <f>VLOOKUP($A$2,$B$3:$CZ$1012,103,FALSE)</f>
        <v>5B</v>
      </c>
      <c r="DA2" s="1138" t="str">
        <f>LEFT(CZ2)</f>
        <v>5</v>
      </c>
      <c r="DB2" s="1138" t="str">
        <f>RIGHT(CZ2)</f>
        <v>B</v>
      </c>
      <c r="DF2" s="84" t="s">
        <v>6383</v>
      </c>
      <c r="DG2" s="84" t="s">
        <v>6384</v>
      </c>
    </row>
    <row r="3" spans="1:114">
      <c r="A3" s="1120" t="s">
        <v>2914</v>
      </c>
      <c r="B3" s="1120" t="s">
        <v>4318</v>
      </c>
      <c r="C3" s="1120" t="s">
        <v>4319</v>
      </c>
      <c r="D3" s="1120" t="s">
        <v>1147</v>
      </c>
      <c r="E3" s="1120">
        <v>1305</v>
      </c>
      <c r="F3" s="1120">
        <v>-98.42</v>
      </c>
      <c r="G3" s="1120">
        <v>45.45</v>
      </c>
      <c r="H3" s="1120">
        <v>-6</v>
      </c>
      <c r="I3" s="1121">
        <v>-12.28000068664551</v>
      </c>
      <c r="J3" s="1121">
        <v>88.7</v>
      </c>
      <c r="K3" s="1122">
        <v>71.239998626708982</v>
      </c>
      <c r="L3" s="1120">
        <v>7777.8</v>
      </c>
      <c r="M3" s="1120">
        <v>730.80000000000007</v>
      </c>
      <c r="N3" s="1123">
        <v>11.659999656677245</v>
      </c>
      <c r="O3" s="1123">
        <v>12.559999656677245</v>
      </c>
      <c r="P3" s="1123">
        <v>33.440000021457671</v>
      </c>
      <c r="Q3" s="1123">
        <v>46.220000171661376</v>
      </c>
      <c r="R3" s="1123">
        <v>60.440000343322751</v>
      </c>
      <c r="S3" s="1123">
        <v>70.33999862670899</v>
      </c>
      <c r="T3" s="1123">
        <v>72.319999313354487</v>
      </c>
      <c r="U3" s="1123">
        <v>69.8</v>
      </c>
      <c r="V3" s="1123">
        <v>62.239998626708989</v>
      </c>
      <c r="W3" s="1123">
        <v>49.280000686645508</v>
      </c>
      <c r="X3" s="1123">
        <v>30.559999978542329</v>
      </c>
      <c r="Y3" s="1123">
        <v>20.120000171661378</v>
      </c>
      <c r="Z3" s="1123">
        <v>45.099561420499462</v>
      </c>
      <c r="AA3" s="1123">
        <f t="shared" ref="AA3:AA66" si="0">MAX($Z3+6+(0.4+0.01*($Z3-44))*(MAX($N3:$Y3)-MIN($N3:$Y3))/2*SIN((0.986*((1*30-15)-15-(35-1*($Z3-44)))-90)*PI()/180),32)</f>
        <v>40.695862835930917</v>
      </c>
      <c r="AB3" s="1123">
        <f t="shared" ref="AB3:AB66" si="1">MAX($Z3+6+(0.4+0.01*($Z3-44))*(MAX($N3:$Y3)-MIN($N3:$Y3))/2*SIN((0.986*((2*30-15)-15-(35-1*($Z3-44)))-90)*PI()/180),32)</f>
        <v>38.662135131163005</v>
      </c>
      <c r="AC3" s="1123">
        <f t="shared" ref="AC3:AC66" si="2">MAX($Z3+6+(0.4+0.01*($Z3-44))*(MAX($N3:$Y3)-MIN($N3:$Y3))/2*SIN((0.986*((3*30-15)-15-(35-1*($Z3-44)))-90)*PI()/180),32)</f>
        <v>39.870414255251454</v>
      </c>
      <c r="AD3" s="1123">
        <f t="shared" ref="AD3:AD66" si="3">MAX($Z3+6+(0.4+0.01*($Z3-44))*(MAX($N3:$Y3)-MIN($N3:$Y3))/2*SIN((0.986*((4*30-15)-15-(35-1*($Z3-44)))-90)*PI()/180),32)</f>
        <v>44.005743634357685</v>
      </c>
      <c r="AE3" s="1123">
        <f t="shared" ref="AE3:AE66" si="4">MAX($Z3+6+(0.4+0.01*($Z3-44))*(MAX($N3:$Y3)-MIN($N3:$Y3))/2*SIN((0.986*((5*30-15)-15-(35-1*($Z3-44)))-90)*PI()/180),32)</f>
        <v>49.990185938462915</v>
      </c>
      <c r="AF3" s="1123">
        <f t="shared" ref="AF3:AF66" si="5">MAX($Z3+6+(0.4+0.01*($Z3-44))*(MAX($N3:$Y3)-MIN($N3:$Y3))/2*SIN((0.986*((6*30-15)-15-(35-1*($Z3-44)))-90)*PI()/180),32)</f>
        <v>56.263804057954644</v>
      </c>
      <c r="AG3" s="1123">
        <f t="shared" ref="AG3:AG66" si="6">MAX($Z3+6+(0.4+0.01*($Z3-44))*(MAX($N3:$Y3)-MIN($N3:$Y3))/2*SIN((0.986*((7*30-15)-15-(35-1*($Z3-44)))-90)*PI()/180),32)</f>
        <v>61.191282750605666</v>
      </c>
      <c r="AH3" s="1123">
        <f t="shared" ref="AH3:AH66" si="7">MAX($Z3+6+(0.4+0.01*($Z3-44))*(MAX($N3:$Y3)-MIN($N3:$Y3))/2*SIN((0.986*((8*30-15)-15-(35-1*($Z3-44)))-90)*PI()/180),32)</f>
        <v>63.48819876043131</v>
      </c>
      <c r="AI3" s="1123">
        <f t="shared" ref="AI3:AI66" si="8">MAX($Z3+6+(0.4+0.01*($Z3-44))*(MAX($N3:$Y3)-MIN($N3:$Y3))/2*SIN((0.986*((9*30-15)-15-(35-1*($Z3-44)))-90)*PI()/180),32)</f>
        <v>62.555825532923372</v>
      </c>
      <c r="AJ3" s="1123">
        <f t="shared" ref="AJ3:AJ66" si="9">MAX($Z3+6+(0.4+0.01*($Z3-44))*(MAX($N3:$Y3)-MIN($N3:$Y3))/2*SIN((0.986*((10*30-15)-15-(35-1*($Z3-44)))-90)*PI()/180),32)</f>
        <v>58.637200518138158</v>
      </c>
      <c r="AK3" s="1123">
        <f t="shared" ref="AK3:AK66" si="10">MAX($Z3+6+(0.4+0.01*($Z3-44))*(MAX($N3:$Y3)-MIN($N3:$Y3))/2*SIN((0.986*((11*30-15)-15-(35-1*($Z3-44)))-90)*PI()/180),32)</f>
        <v>52.753773714018834</v>
      </c>
      <c r="AL3" s="1123">
        <f t="shared" ref="AL3:AL66" si="11">MAX($Z3+6+(0.4+0.01*($Z3-44))*(MAX($N3:$Y3)-MIN($N3:$Y3))/2*SIN((0.986*((12*30-15)-15-(35-1*($Z3-44)))-90)*PI()/180),32)</f>
        <v>46.439150983410599</v>
      </c>
      <c r="AM3" s="1120">
        <f t="shared" ref="AM3:AM66" si="12">IF(AND(OR(LEFT(AM$1,3)="Jan",LEFT(AM$1,3)="Dec"),I3&lt;59),1,IF(N3&lt;66,1,0))</f>
        <v>1</v>
      </c>
      <c r="AN3" s="1120">
        <f t="shared" ref="AN3:AN66" si="13">IF(AND(OR(LEFT(AN$1,3)="Jan",LEFT(AN$1,3)="Dec"),J3&lt;59),1,IF(O3&lt;66,1,0))</f>
        <v>1</v>
      </c>
      <c r="AO3" s="1120">
        <f t="shared" ref="AO3:AO66" si="14">IF(AND(OR(LEFT(AO$1,3)="Jan",LEFT(AO$1,3)="Dec"),K3&lt;59),1,IF(P3&lt;66,1,0))</f>
        <v>1</v>
      </c>
      <c r="AP3" s="1120">
        <f t="shared" ref="AP3:AP66" si="15">IF(AND(OR(LEFT(AP$1,3)="Jan",LEFT(AP$1,3)="Dec"),L3&lt;59),1,IF(Q3&lt;66,1,0))</f>
        <v>1</v>
      </c>
      <c r="AQ3" s="1120">
        <f t="shared" ref="AQ3:AQ66" si="16">IF(AND(OR(LEFT(AQ$1,3)="Jan",LEFT(AQ$1,3)="Dec"),M3&lt;59),1,IF(R3&lt;66,1,0))</f>
        <v>1</v>
      </c>
      <c r="AR3" s="1120">
        <f t="shared" ref="AR3:AR66" si="17">IF(AND(OR(LEFT(AR$1,3)="Jan",LEFT(AR$1,3)="Dec"),N3&lt;59),1,IF(S3&lt;66,1,0))</f>
        <v>0</v>
      </c>
      <c r="AS3" s="1120">
        <f t="shared" ref="AS3:AS66" si="18">IF(AND(OR(LEFT(AS$1,3)="Jan",LEFT(AS$1,3)="Dec"),O3&lt;59),1,IF(T3&lt;66,1,0))</f>
        <v>0</v>
      </c>
      <c r="AT3" s="1120">
        <f t="shared" ref="AT3:AT66" si="19">IF(AND(OR(LEFT(AT$1,3)="Jan",LEFT(AT$1,3)="Dec"),P3&lt;59),1,IF(U3&lt;66,1,0))</f>
        <v>0</v>
      </c>
      <c r="AU3" s="1120">
        <f t="shared" ref="AU3:AU66" si="20">IF(AND(OR(LEFT(AU$1,3)="Jan",LEFT(AU$1,3)="Dec"),Q3&lt;59),1,IF(V3&lt;66,1,0))</f>
        <v>1</v>
      </c>
      <c r="AV3" s="1120">
        <f t="shared" ref="AV3:AV66" si="21">IF(AND(OR(LEFT(AV$1,3)="Jan",LEFT(AV$1,3)="Dec"),R3&lt;59),1,IF(W3&lt;66,1,0))</f>
        <v>1</v>
      </c>
      <c r="AW3" s="1120">
        <f t="shared" ref="AW3:AW66" si="22">IF(AND(OR(LEFT(AW$1,3)="Jan",LEFT(AW$1,3)="Dec"),S3&lt;59),1,IF(X3&lt;66,1,0))</f>
        <v>1</v>
      </c>
      <c r="AX3" s="1120">
        <f t="shared" ref="AX3:AX66" si="23">IF(AND(OR(LEFT(AX$1,3)="Jan",LEFT(AX$1,3)="Dec"),T3&lt;59),1,IF(Y3&lt;66,1,0))</f>
        <v>1</v>
      </c>
      <c r="AY3" s="1120">
        <f t="shared" ref="AY3:AY66" si="24">IF(OR(LEFT(AY$1,3)="Jul", LEFT(AY$1,3)="Aug"),1,IF(N3&gt;66,1,0))</f>
        <v>0</v>
      </c>
      <c r="AZ3" s="1120">
        <f t="shared" ref="AZ3:AZ66" si="25">IF(OR(LEFT(AZ$1,3)="Jul", LEFT(AZ$1,3)="Aug"),1,IF(O3&gt;66,1,0))</f>
        <v>0</v>
      </c>
      <c r="BA3" s="1120">
        <f t="shared" ref="BA3:BA66" si="26">IF(OR(LEFT(BA$1,3)="Jul", LEFT(BA$1,3)="Aug"),1,IF(P3&gt;66,1,0))</f>
        <v>0</v>
      </c>
      <c r="BB3" s="1120">
        <f t="shared" ref="BB3:BB66" si="27">IF(OR(LEFT(BB$1,3)="Jul", LEFT(BB$1,3)="Aug"),1,IF(Q3&gt;66,1,0))</f>
        <v>0</v>
      </c>
      <c r="BC3" s="1120">
        <f t="shared" ref="BC3:BC66" si="28">IF(OR(LEFT(BC$1,3)="Jul", LEFT(BC$1,3)="Aug"),1,IF(R3&gt;66,1,0))</f>
        <v>0</v>
      </c>
      <c r="BD3" s="1120">
        <f t="shared" ref="BD3:BD66" si="29">IF(OR(LEFT(BD$1,3)="Jul", LEFT(BD$1,3)="Aug"),1,IF(S3&gt;66,1,0))</f>
        <v>1</v>
      </c>
      <c r="BE3" s="1120">
        <f t="shared" ref="BE3:BE66" si="30">IF(OR(LEFT(BE$1,3)="Jul", LEFT(BE$1,3)="Aug"),1,IF(T3&gt;66,1,0))</f>
        <v>1</v>
      </c>
      <c r="BF3" s="1120">
        <f t="shared" ref="BF3:BF66" si="31">IF(OR(LEFT(BF$1,3)="Jul", LEFT(BF$1,3)="Aug"),1,IF(U3&gt;66,1,0))</f>
        <v>1</v>
      </c>
      <c r="BG3" s="1120">
        <f t="shared" ref="BG3:BG66" si="32">IF(OR(LEFT(BG$1,3)="Jul", LEFT(BG$1,3)="Aug"),1,IF(V3&gt;66,1,0))</f>
        <v>0</v>
      </c>
      <c r="BH3" s="1120">
        <f t="shared" ref="BH3:BH66" si="33">IF(OR(LEFT(BH$1,3)="Jul", LEFT(BH$1,3)="Aug"),1,IF(W3&gt;66,1,0))</f>
        <v>0</v>
      </c>
      <c r="BI3" s="1120">
        <f t="shared" ref="BI3:BI66" si="34">IF(OR(LEFT(BI$1,3)="Jul", LEFT(BI$1,3)="Aug"),1,IF(X3&gt;66,1,0))</f>
        <v>0</v>
      </c>
      <c r="BJ3" s="1120">
        <f t="shared" ref="BJ3:BJ66" si="35">IF(OR(LEFT(BJ$1,3)="Jul", LEFT(BJ$1,3)="Aug"),1,IF(Y3&gt;66,1,0))</f>
        <v>0</v>
      </c>
      <c r="BK3" s="1120">
        <f t="shared" ref="BK3:BK66" si="36">IF(AND(AY3=1,BJ3=0),1,AM3)</f>
        <v>1</v>
      </c>
      <c r="BL3" s="1120">
        <f t="shared" ref="BL3:BL66" si="37">IF(AND(AY3=0,AZ3=1),1,AN3)</f>
        <v>1</v>
      </c>
      <c r="BM3" s="1120">
        <f t="shared" ref="BM3:BM66" si="38">IF(AND(AZ3=0,BA3=1),1,AO3)</f>
        <v>1</v>
      </c>
      <c r="BN3" s="1120">
        <f t="shared" ref="BN3:BN66" si="39">IF(AND(BA3=0,BB3=1),1,AP3)</f>
        <v>1</v>
      </c>
      <c r="BO3" s="1120">
        <f t="shared" ref="BO3:BO66" si="40">IF(AND(BB3=0,BC3=1),1,AQ3)</f>
        <v>1</v>
      </c>
      <c r="BP3" s="1120">
        <f t="shared" ref="BP3:BP66" si="41">IF(AND(BC3=0,BD3=1),1,AR3)</f>
        <v>1</v>
      </c>
      <c r="BQ3" s="1120">
        <f t="shared" ref="BQ3:BQ66" si="42">IF(AND(BD3=0,BE3=1),1,AS3)</f>
        <v>0</v>
      </c>
      <c r="BR3" s="1120">
        <f t="shared" ref="BR3:BR66" si="43">IF(AND(BE3=0,BF3=1),1,AT3)</f>
        <v>0</v>
      </c>
      <c r="BS3" s="1120">
        <f t="shared" ref="BS3:BS66" si="44">IF(AND(BF3=0,BG3=1),1,AU3)</f>
        <v>1</v>
      </c>
      <c r="BT3" s="1120">
        <f t="shared" ref="BT3:BT66" si="45">IF(AND(BG3=0,BH3=1),1,AV3)</f>
        <v>1</v>
      </c>
      <c r="BU3" s="1120">
        <f t="shared" ref="BU3:BU66" si="46">IF(AND(BH3=0,BI3=1),1,AW3)</f>
        <v>1</v>
      </c>
      <c r="BV3" s="1120">
        <f t="shared" ref="BV3:BV66" si="47">IF(AND(BI3=0,BJ3=1),1,AX3)</f>
        <v>1</v>
      </c>
      <c r="BW3" s="1120">
        <f t="shared" ref="BW3:BW66" si="48">IF(OR(AND(AX3=0,AM3=1),AND(AM3=1,AN3=0)),1,AY3)</f>
        <v>0</v>
      </c>
      <c r="BX3" s="1120">
        <f t="shared" ref="BX3:BX66" si="49">IF(OR(AND(AM3=0,AN3=1),AND(AN3=1,AO3=0)),1,AZ3)</f>
        <v>0</v>
      </c>
      <c r="BY3" s="1120">
        <f t="shared" ref="BY3:BY66" si="50">IF(OR(AND(AN3=0,AO3=1),AND(AO3=1,AP3=0)),1,BA3)</f>
        <v>0</v>
      </c>
      <c r="BZ3" s="1120">
        <f t="shared" ref="BZ3:BZ66" si="51">IF(OR(AND(AO3=0,AP3=1),AND(AP3=1,AQ3=0)),1,BB3)</f>
        <v>0</v>
      </c>
      <c r="CA3" s="1120">
        <f t="shared" ref="CA3:CA66" si="52">IF(OR(AND(AP3=0,AQ3=1),AND(AQ3=1,AR3=0)),1,BC3)</f>
        <v>1</v>
      </c>
      <c r="CB3" s="1120">
        <f t="shared" ref="CB3:CB66" si="53">IF(OR(AND(AQ3=0,AR3=1),AND(AR3=1,AS3=0)),1,BD3)</f>
        <v>1</v>
      </c>
      <c r="CC3" s="1120">
        <f t="shared" ref="CC3:CC66" si="54">IF(OR(AND(AR3=0,AS3=1),AND(AS3=1,AT3=0)),1,BE3)</f>
        <v>1</v>
      </c>
      <c r="CD3" s="1120">
        <f t="shared" ref="CD3:CD66" si="55">IF(OR(AND(AS3=0,AT3=1),AND(AT3=1,AU3=0)),1,BF3)</f>
        <v>1</v>
      </c>
      <c r="CE3" s="1120">
        <f t="shared" ref="CE3:CE66" si="56">IF(OR(AND(AT3=0,AU3=1),AND(AU3=1,AV3=0)),1,BG3)</f>
        <v>1</v>
      </c>
      <c r="CF3" s="1120">
        <f t="shared" ref="CF3:CF66" si="57">IF(OR(AND(AU3=0,AV3=1),AND(AV3=1,AW3=0)),1,BH3)</f>
        <v>0</v>
      </c>
      <c r="CG3" s="1120">
        <f t="shared" ref="CG3:CG66" si="58">IF(OR(AND(AV3=0,AW3=1),AND(AW3=1,AX3=0)),1,BI3)</f>
        <v>0</v>
      </c>
      <c r="CH3" s="1120">
        <f t="shared" ref="CH3:CH66" si="59">IF(OR(AND(AW3=0,AX3=1),AND(AX3=1,AM3=0)),1,BJ3)</f>
        <v>0</v>
      </c>
      <c r="CI3" s="1120">
        <f t="shared" ref="CI3:CI66" si="60">IF(BK3=1,0.85,0.7)</f>
        <v>0.85</v>
      </c>
      <c r="CJ3" s="1120">
        <f t="shared" ref="CJ3:CJ66" si="61">IF(BL3=1,0.85,0.7)</f>
        <v>0.85</v>
      </c>
      <c r="CK3" s="1120">
        <f t="shared" ref="CK3:CK66" si="62">IF(BM3=1,0.85,0.7)</f>
        <v>0.85</v>
      </c>
      <c r="CL3" s="1120">
        <f t="shared" ref="CL3:CL66" si="63">IF(BN3=1,0.85,0.7)</f>
        <v>0.85</v>
      </c>
      <c r="CM3" s="1120">
        <f t="shared" ref="CM3:CM66" si="64">IF(BO3=1,0.85,0.7)</f>
        <v>0.85</v>
      </c>
      <c r="CN3" s="1120">
        <f t="shared" ref="CN3:CN66" si="65">IF(BP3=1,0.85,0.7)</f>
        <v>0.85</v>
      </c>
      <c r="CO3" s="1120">
        <f t="shared" ref="CO3:CO66" si="66">IF(BQ3=1,0.85,0.7)</f>
        <v>0.7</v>
      </c>
      <c r="CP3" s="1120">
        <f t="shared" ref="CP3:CP66" si="67">IF(BR3=1,0.85,0.7)</f>
        <v>0.7</v>
      </c>
      <c r="CQ3" s="1120">
        <f t="shared" ref="CQ3:CQ66" si="68">IF(BS3=1,0.85,0.7)</f>
        <v>0.85</v>
      </c>
      <c r="CR3" s="1120">
        <f t="shared" ref="CR3:CR66" si="69">IF(BT3=1,0.85,0.7)</f>
        <v>0.85</v>
      </c>
      <c r="CS3" s="1120">
        <f t="shared" ref="CS3:CS66" si="70">IF(BU3=1,0.85,0.7)</f>
        <v>0.85</v>
      </c>
      <c r="CT3" s="1120">
        <f t="shared" ref="CT3:CT66" si="71">IF(BV3=1,0.85,0.7)</f>
        <v>0.85</v>
      </c>
      <c r="CU3" s="1120">
        <v>1</v>
      </c>
      <c r="CV3" s="1120"/>
      <c r="CW3" s="1120">
        <f t="shared" ref="CW3:CW66" si="72">BW3*31+BX3*28+BY3*31+BZ3*30+CA3*31+CB3*30+CC3*31+CD3*31+CE3*30+CF3*31+CG3*30+CH3*31</f>
        <v>153</v>
      </c>
      <c r="CX3" s="1120">
        <f t="shared" ref="CX3:CX66" si="73">365-CW3</f>
        <v>212</v>
      </c>
      <c r="CY3" s="1135" t="s">
        <v>4889</v>
      </c>
      <c r="CZ3" s="1124" t="s">
        <v>4899</v>
      </c>
      <c r="DA3" s="1124"/>
      <c r="DB3" s="1124"/>
      <c r="DC3" s="1120" t="s">
        <v>5556</v>
      </c>
      <c r="DD3" s="1120" t="s">
        <v>1147</v>
      </c>
      <c r="DE3" s="1120" t="str">
        <f t="shared" ref="DE3:DE66" si="74">IF(AND(C3=DC3,D3=DD3),"",FALSE)</f>
        <v/>
      </c>
      <c r="DF3" s="1133">
        <v>0</v>
      </c>
      <c r="DG3" s="1120">
        <v>0</v>
      </c>
    </row>
    <row r="4" spans="1:114">
      <c r="A4" s="1125" t="s">
        <v>365</v>
      </c>
      <c r="B4" s="1125" t="s">
        <v>4352</v>
      </c>
      <c r="C4" s="1125" t="s">
        <v>4353</v>
      </c>
      <c r="D4" s="1125" t="s">
        <v>228</v>
      </c>
      <c r="E4" s="1125">
        <v>1788</v>
      </c>
      <c r="F4" s="1125">
        <v>-99.85</v>
      </c>
      <c r="G4" s="1125">
        <v>32.43</v>
      </c>
      <c r="H4" s="1125">
        <v>-6</v>
      </c>
      <c r="I4" s="1126">
        <v>22.279999828338624</v>
      </c>
      <c r="J4" s="1126">
        <v>99.320002746582034</v>
      </c>
      <c r="K4" s="1127">
        <v>72.139998626708987</v>
      </c>
      <c r="L4" s="1125">
        <v>2415.6</v>
      </c>
      <c r="M4" s="1125">
        <v>3184.2000000000003</v>
      </c>
      <c r="N4" s="1128">
        <v>42.8</v>
      </c>
      <c r="O4" s="1128">
        <v>52.7</v>
      </c>
      <c r="P4" s="1128">
        <v>52.880000686645509</v>
      </c>
      <c r="Q4" s="1128">
        <v>64.219999313354492</v>
      </c>
      <c r="R4" s="1128">
        <v>80.419999313354495</v>
      </c>
      <c r="S4" s="1128">
        <v>86.719999313354492</v>
      </c>
      <c r="T4" s="1128">
        <v>81.319999313354487</v>
      </c>
      <c r="U4" s="1128">
        <v>84.2</v>
      </c>
      <c r="V4" s="1128">
        <v>80.239998626708982</v>
      </c>
      <c r="W4" s="1128">
        <v>66.560001373291016</v>
      </c>
      <c r="X4" s="1128">
        <v>56.659999656677243</v>
      </c>
      <c r="Y4" s="1128">
        <v>48.919999313354495</v>
      </c>
      <c r="Z4" s="1128">
        <v>66.523013444665366</v>
      </c>
      <c r="AA4" s="1128">
        <f t="shared" si="0"/>
        <v>59.108243269808732</v>
      </c>
      <c r="AB4" s="1128">
        <f t="shared" si="1"/>
        <v>59.412507794877051</v>
      </c>
      <c r="AC4" s="1128">
        <f t="shared" si="2"/>
        <v>63.134227656570431</v>
      </c>
      <c r="AD4" s="1128">
        <f t="shared" si="3"/>
        <v>69.303279219499345</v>
      </c>
      <c r="AE4" s="1128">
        <f t="shared" si="4"/>
        <v>76.311604125824104</v>
      </c>
      <c r="AF4" s="1128">
        <f t="shared" si="5"/>
        <v>82.332374487155164</v>
      </c>
      <c r="AG4" s="1128">
        <f t="shared" si="6"/>
        <v>85.796183725931826</v>
      </c>
      <c r="AH4" s="1128">
        <f t="shared" si="7"/>
        <v>85.800136585150796</v>
      </c>
      <c r="AI4" s="1128">
        <f t="shared" si="8"/>
        <v>82.343202691141258</v>
      </c>
      <c r="AJ4" s="1128">
        <f t="shared" si="9"/>
        <v>76.326485136340651</v>
      </c>
      <c r="AK4" s="1128">
        <f t="shared" si="10"/>
        <v>69.318334071831913</v>
      </c>
      <c r="AL4" s="1128">
        <f t="shared" si="11"/>
        <v>63.145532071456223</v>
      </c>
      <c r="AM4" s="1125">
        <f t="shared" si="12"/>
        <v>1</v>
      </c>
      <c r="AN4" s="1125">
        <f t="shared" si="13"/>
        <v>1</v>
      </c>
      <c r="AO4" s="1125">
        <f t="shared" si="14"/>
        <v>1</v>
      </c>
      <c r="AP4" s="1125">
        <f t="shared" si="15"/>
        <v>1</v>
      </c>
      <c r="AQ4" s="1125">
        <f t="shared" si="16"/>
        <v>0</v>
      </c>
      <c r="AR4" s="1125">
        <f t="shared" si="17"/>
        <v>0</v>
      </c>
      <c r="AS4" s="1125">
        <f t="shared" si="18"/>
        <v>0</v>
      </c>
      <c r="AT4" s="1125">
        <f t="shared" si="19"/>
        <v>0</v>
      </c>
      <c r="AU4" s="1125">
        <f t="shared" si="20"/>
        <v>0</v>
      </c>
      <c r="AV4" s="1125">
        <f t="shared" si="21"/>
        <v>0</v>
      </c>
      <c r="AW4" s="1125">
        <f t="shared" si="22"/>
        <v>1</v>
      </c>
      <c r="AX4" s="1125">
        <f t="shared" si="23"/>
        <v>1</v>
      </c>
      <c r="AY4" s="1125">
        <f t="shared" si="24"/>
        <v>0</v>
      </c>
      <c r="AZ4" s="1125">
        <f t="shared" si="25"/>
        <v>0</v>
      </c>
      <c r="BA4" s="1125">
        <f t="shared" si="26"/>
        <v>0</v>
      </c>
      <c r="BB4" s="1125">
        <f t="shared" si="27"/>
        <v>0</v>
      </c>
      <c r="BC4" s="1125">
        <f t="shared" si="28"/>
        <v>1</v>
      </c>
      <c r="BD4" s="1125">
        <f t="shared" si="29"/>
        <v>1</v>
      </c>
      <c r="BE4" s="1125">
        <f t="shared" si="30"/>
        <v>1</v>
      </c>
      <c r="BF4" s="1125">
        <f t="shared" si="31"/>
        <v>1</v>
      </c>
      <c r="BG4" s="1125">
        <f t="shared" si="32"/>
        <v>1</v>
      </c>
      <c r="BH4" s="1125">
        <f t="shared" si="33"/>
        <v>1</v>
      </c>
      <c r="BI4" s="1125">
        <f t="shared" si="34"/>
        <v>0</v>
      </c>
      <c r="BJ4" s="1125">
        <f t="shared" si="35"/>
        <v>0</v>
      </c>
      <c r="BK4" s="1125">
        <f t="shared" si="36"/>
        <v>1</v>
      </c>
      <c r="BL4" s="1125">
        <f t="shared" si="37"/>
        <v>1</v>
      </c>
      <c r="BM4" s="1125">
        <f t="shared" si="38"/>
        <v>1</v>
      </c>
      <c r="BN4" s="1125">
        <f t="shared" si="39"/>
        <v>1</v>
      </c>
      <c r="BO4" s="1125">
        <f t="shared" si="40"/>
        <v>1</v>
      </c>
      <c r="BP4" s="1125">
        <f t="shared" si="41"/>
        <v>0</v>
      </c>
      <c r="BQ4" s="1125">
        <f t="shared" si="42"/>
        <v>0</v>
      </c>
      <c r="BR4" s="1125">
        <f t="shared" si="43"/>
        <v>0</v>
      </c>
      <c r="BS4" s="1125">
        <f t="shared" si="44"/>
        <v>0</v>
      </c>
      <c r="BT4" s="1125">
        <f t="shared" si="45"/>
        <v>0</v>
      </c>
      <c r="BU4" s="1125">
        <f t="shared" si="46"/>
        <v>1</v>
      </c>
      <c r="BV4" s="1125">
        <f t="shared" si="47"/>
        <v>1</v>
      </c>
      <c r="BW4" s="1125">
        <f t="shared" si="48"/>
        <v>0</v>
      </c>
      <c r="BX4" s="1125">
        <f t="shared" si="49"/>
        <v>0</v>
      </c>
      <c r="BY4" s="1125">
        <f t="shared" si="50"/>
        <v>0</v>
      </c>
      <c r="BZ4" s="1125">
        <f t="shared" si="51"/>
        <v>1</v>
      </c>
      <c r="CA4" s="1125">
        <f t="shared" si="52"/>
        <v>1</v>
      </c>
      <c r="CB4" s="1125">
        <f t="shared" si="53"/>
        <v>1</v>
      </c>
      <c r="CC4" s="1125">
        <f t="shared" si="54"/>
        <v>1</v>
      </c>
      <c r="CD4" s="1125">
        <f t="shared" si="55"/>
        <v>1</v>
      </c>
      <c r="CE4" s="1125">
        <f t="shared" si="56"/>
        <v>1</v>
      </c>
      <c r="CF4" s="1125">
        <f t="shared" si="57"/>
        <v>1</v>
      </c>
      <c r="CG4" s="1125">
        <f t="shared" si="58"/>
        <v>1</v>
      </c>
      <c r="CH4" s="1125">
        <f t="shared" si="59"/>
        <v>0</v>
      </c>
      <c r="CI4" s="1125">
        <f t="shared" si="60"/>
        <v>0.85</v>
      </c>
      <c r="CJ4" s="1125">
        <f t="shared" si="61"/>
        <v>0.85</v>
      </c>
      <c r="CK4" s="1125">
        <f t="shared" si="62"/>
        <v>0.85</v>
      </c>
      <c r="CL4" s="1125">
        <f t="shared" si="63"/>
        <v>0.85</v>
      </c>
      <c r="CM4" s="1125">
        <f t="shared" si="64"/>
        <v>0.85</v>
      </c>
      <c r="CN4" s="1125">
        <f t="shared" si="65"/>
        <v>0.7</v>
      </c>
      <c r="CO4" s="1125">
        <f t="shared" si="66"/>
        <v>0.7</v>
      </c>
      <c r="CP4" s="1125">
        <f t="shared" si="67"/>
        <v>0.7</v>
      </c>
      <c r="CQ4" s="1125">
        <f t="shared" si="68"/>
        <v>0.7</v>
      </c>
      <c r="CR4" s="1125">
        <f t="shared" si="69"/>
        <v>0.7</v>
      </c>
      <c r="CS4" s="1125">
        <f t="shared" si="70"/>
        <v>0.85</v>
      </c>
      <c r="CT4" s="1125">
        <f t="shared" si="71"/>
        <v>0.85</v>
      </c>
      <c r="CU4" s="1125">
        <v>1</v>
      </c>
      <c r="CV4" s="1125"/>
      <c r="CW4" s="1125">
        <f t="shared" si="72"/>
        <v>244</v>
      </c>
      <c r="CX4" s="1125">
        <f t="shared" si="73"/>
        <v>121</v>
      </c>
      <c r="CY4" s="1136" t="s">
        <v>4886</v>
      </c>
      <c r="CZ4" s="1129" t="s">
        <v>4888</v>
      </c>
      <c r="DA4" s="1129"/>
      <c r="DB4" s="1129"/>
      <c r="DC4" s="1125" t="s">
        <v>5572</v>
      </c>
      <c r="DD4" s="1125" t="s">
        <v>228</v>
      </c>
      <c r="DE4" s="1120" t="str">
        <f t="shared" si="74"/>
        <v/>
      </c>
      <c r="DF4" s="1133">
        <v>0</v>
      </c>
      <c r="DG4" s="1125">
        <v>0</v>
      </c>
    </row>
    <row r="5" spans="1:114">
      <c r="A5" s="1120" t="s">
        <v>929</v>
      </c>
      <c r="B5" s="1120" t="s">
        <v>4354</v>
      </c>
      <c r="C5" s="1120" t="s">
        <v>4355</v>
      </c>
      <c r="D5" s="1120" t="s">
        <v>228</v>
      </c>
      <c r="E5" s="1120">
        <v>1738</v>
      </c>
      <c r="F5" s="1120">
        <v>-99.71</v>
      </c>
      <c r="G5" s="1120">
        <v>32.47</v>
      </c>
      <c r="H5" s="1120">
        <v>-6</v>
      </c>
      <c r="I5" s="1121">
        <v>23.359999656677246</v>
      </c>
      <c r="J5" s="1121">
        <v>97.160001373291024</v>
      </c>
      <c r="K5" s="1122">
        <v>70.7</v>
      </c>
      <c r="L5" s="1120">
        <v>2926.8</v>
      </c>
      <c r="M5" s="1120">
        <v>2327.4</v>
      </c>
      <c r="N5" s="1123">
        <v>36.679999828338623</v>
      </c>
      <c r="O5" s="1123">
        <v>44.059999656677249</v>
      </c>
      <c r="P5" s="1123">
        <v>55.940000343322751</v>
      </c>
      <c r="Q5" s="1123">
        <v>63.680000686645506</v>
      </c>
      <c r="R5" s="1123">
        <v>72.319999313354487</v>
      </c>
      <c r="S5" s="1123">
        <v>78.080000686645505</v>
      </c>
      <c r="T5" s="1123">
        <v>82.760001373291018</v>
      </c>
      <c r="U5" s="1123">
        <v>81.319999313354487</v>
      </c>
      <c r="V5" s="1123">
        <v>74.83999862670899</v>
      </c>
      <c r="W5" s="1123">
        <v>66.2</v>
      </c>
      <c r="X5" s="1123">
        <v>53.959999656677248</v>
      </c>
      <c r="Y5" s="1123">
        <v>42.079999828338622</v>
      </c>
      <c r="Z5" s="1123">
        <v>62.758301315307619</v>
      </c>
      <c r="AA5" s="1123">
        <f t="shared" si="0"/>
        <v>55.745756737419441</v>
      </c>
      <c r="AB5" s="1123">
        <f t="shared" si="1"/>
        <v>55.598073611272497</v>
      </c>
      <c r="AC5" s="1123">
        <f t="shared" si="2"/>
        <v>58.880806641430091</v>
      </c>
      <c r="AD5" s="1123">
        <f t="shared" si="3"/>
        <v>64.738260875134344</v>
      </c>
      <c r="AE5" s="1123">
        <f t="shared" si="4"/>
        <v>71.643600600268186</v>
      </c>
      <c r="AF5" s="1123">
        <f t="shared" si="5"/>
        <v>77.79684260296915</v>
      </c>
      <c r="AG5" s="1123">
        <f t="shared" si="6"/>
        <v>81.594049530903689</v>
      </c>
      <c r="AH5" s="1123">
        <f t="shared" si="7"/>
        <v>82.045420881575609</v>
      </c>
      <c r="AI5" s="1123">
        <f t="shared" si="8"/>
        <v>79.033299756589201</v>
      </c>
      <c r="AJ5" s="1123">
        <f t="shared" si="9"/>
        <v>73.342841945363773</v>
      </c>
      <c r="AK5" s="1123">
        <f t="shared" si="10"/>
        <v>66.45735296900456</v>
      </c>
      <c r="AL5" s="1123">
        <f t="shared" si="11"/>
        <v>60.171641637796576</v>
      </c>
      <c r="AM5" s="1120">
        <f t="shared" si="12"/>
        <v>1</v>
      </c>
      <c r="AN5" s="1120">
        <f t="shared" si="13"/>
        <v>1</v>
      </c>
      <c r="AO5" s="1120">
        <f t="shared" si="14"/>
        <v>1</v>
      </c>
      <c r="AP5" s="1120">
        <f t="shared" si="15"/>
        <v>1</v>
      </c>
      <c r="AQ5" s="1120">
        <f t="shared" si="16"/>
        <v>0</v>
      </c>
      <c r="AR5" s="1120">
        <f t="shared" si="17"/>
        <v>0</v>
      </c>
      <c r="AS5" s="1120">
        <f t="shared" si="18"/>
        <v>0</v>
      </c>
      <c r="AT5" s="1120">
        <f t="shared" si="19"/>
        <v>0</v>
      </c>
      <c r="AU5" s="1120">
        <f t="shared" si="20"/>
        <v>0</v>
      </c>
      <c r="AV5" s="1120">
        <f t="shared" si="21"/>
        <v>0</v>
      </c>
      <c r="AW5" s="1120">
        <f t="shared" si="22"/>
        <v>1</v>
      </c>
      <c r="AX5" s="1120">
        <f t="shared" si="23"/>
        <v>1</v>
      </c>
      <c r="AY5" s="1120">
        <f t="shared" si="24"/>
        <v>0</v>
      </c>
      <c r="AZ5" s="1120">
        <f t="shared" si="25"/>
        <v>0</v>
      </c>
      <c r="BA5" s="1120">
        <f t="shared" si="26"/>
        <v>0</v>
      </c>
      <c r="BB5" s="1120">
        <f t="shared" si="27"/>
        <v>0</v>
      </c>
      <c r="BC5" s="1120">
        <f t="shared" si="28"/>
        <v>1</v>
      </c>
      <c r="BD5" s="1120">
        <f t="shared" si="29"/>
        <v>1</v>
      </c>
      <c r="BE5" s="1120">
        <f t="shared" si="30"/>
        <v>1</v>
      </c>
      <c r="BF5" s="1120">
        <f t="shared" si="31"/>
        <v>1</v>
      </c>
      <c r="BG5" s="1120">
        <f t="shared" si="32"/>
        <v>1</v>
      </c>
      <c r="BH5" s="1120">
        <f t="shared" si="33"/>
        <v>1</v>
      </c>
      <c r="BI5" s="1120">
        <f t="shared" si="34"/>
        <v>0</v>
      </c>
      <c r="BJ5" s="1120">
        <f t="shared" si="35"/>
        <v>0</v>
      </c>
      <c r="BK5" s="1120">
        <f t="shared" si="36"/>
        <v>1</v>
      </c>
      <c r="BL5" s="1120">
        <f t="shared" si="37"/>
        <v>1</v>
      </c>
      <c r="BM5" s="1120">
        <f t="shared" si="38"/>
        <v>1</v>
      </c>
      <c r="BN5" s="1120">
        <f t="shared" si="39"/>
        <v>1</v>
      </c>
      <c r="BO5" s="1120">
        <f t="shared" si="40"/>
        <v>1</v>
      </c>
      <c r="BP5" s="1120">
        <f t="shared" si="41"/>
        <v>0</v>
      </c>
      <c r="BQ5" s="1120">
        <f t="shared" si="42"/>
        <v>0</v>
      </c>
      <c r="BR5" s="1120">
        <f t="shared" si="43"/>
        <v>0</v>
      </c>
      <c r="BS5" s="1120">
        <f t="shared" si="44"/>
        <v>0</v>
      </c>
      <c r="BT5" s="1120">
        <f t="shared" si="45"/>
        <v>0</v>
      </c>
      <c r="BU5" s="1120">
        <f t="shared" si="46"/>
        <v>1</v>
      </c>
      <c r="BV5" s="1120">
        <f t="shared" si="47"/>
        <v>1</v>
      </c>
      <c r="BW5" s="1120">
        <f t="shared" si="48"/>
        <v>0</v>
      </c>
      <c r="BX5" s="1120">
        <f t="shared" si="49"/>
        <v>0</v>
      </c>
      <c r="BY5" s="1120">
        <f t="shared" si="50"/>
        <v>0</v>
      </c>
      <c r="BZ5" s="1120">
        <f t="shared" si="51"/>
        <v>1</v>
      </c>
      <c r="CA5" s="1120">
        <f t="shared" si="52"/>
        <v>1</v>
      </c>
      <c r="CB5" s="1120">
        <f t="shared" si="53"/>
        <v>1</v>
      </c>
      <c r="CC5" s="1120">
        <f t="shared" si="54"/>
        <v>1</v>
      </c>
      <c r="CD5" s="1120">
        <f t="shared" si="55"/>
        <v>1</v>
      </c>
      <c r="CE5" s="1120">
        <f t="shared" si="56"/>
        <v>1</v>
      </c>
      <c r="CF5" s="1120">
        <f t="shared" si="57"/>
        <v>1</v>
      </c>
      <c r="CG5" s="1120">
        <f t="shared" si="58"/>
        <v>1</v>
      </c>
      <c r="CH5" s="1120">
        <f t="shared" si="59"/>
        <v>0</v>
      </c>
      <c r="CI5" s="1120">
        <f t="shared" si="60"/>
        <v>0.85</v>
      </c>
      <c r="CJ5" s="1120">
        <f t="shared" si="61"/>
        <v>0.85</v>
      </c>
      <c r="CK5" s="1120">
        <f t="shared" si="62"/>
        <v>0.85</v>
      </c>
      <c r="CL5" s="1120">
        <f t="shared" si="63"/>
        <v>0.85</v>
      </c>
      <c r="CM5" s="1120">
        <f t="shared" si="64"/>
        <v>0.85</v>
      </c>
      <c r="CN5" s="1120">
        <f t="shared" si="65"/>
        <v>0.7</v>
      </c>
      <c r="CO5" s="1120">
        <f t="shared" si="66"/>
        <v>0.7</v>
      </c>
      <c r="CP5" s="1120">
        <f t="shared" si="67"/>
        <v>0.7</v>
      </c>
      <c r="CQ5" s="1120">
        <f t="shared" si="68"/>
        <v>0.7</v>
      </c>
      <c r="CR5" s="1120">
        <f t="shared" si="69"/>
        <v>0.7</v>
      </c>
      <c r="CS5" s="1120">
        <f t="shared" si="70"/>
        <v>0.85</v>
      </c>
      <c r="CT5" s="1120">
        <f t="shared" si="71"/>
        <v>0.85</v>
      </c>
      <c r="CU5" s="1120">
        <v>1</v>
      </c>
      <c r="CV5" s="1120"/>
      <c r="CW5" s="1120">
        <f t="shared" si="72"/>
        <v>244</v>
      </c>
      <c r="CX5" s="1120">
        <f t="shared" si="73"/>
        <v>121</v>
      </c>
      <c r="CY5" s="1135" t="s">
        <v>4886</v>
      </c>
      <c r="CZ5" s="1124" t="s">
        <v>4888</v>
      </c>
      <c r="DA5" s="1124"/>
      <c r="DB5" s="1124"/>
      <c r="DC5" s="1120" t="s">
        <v>5573</v>
      </c>
      <c r="DD5" s="1120" t="s">
        <v>228</v>
      </c>
      <c r="DE5" s="1120" t="b">
        <f t="shared" si="74"/>
        <v>0</v>
      </c>
      <c r="DF5" s="1133">
        <v>0</v>
      </c>
      <c r="DG5" s="1120">
        <v>0</v>
      </c>
    </row>
    <row r="6" spans="1:114">
      <c r="A6" s="1125" t="s">
        <v>2916</v>
      </c>
      <c r="B6" s="1125" t="s">
        <v>4484</v>
      </c>
      <c r="C6" s="1125" t="s">
        <v>4485</v>
      </c>
      <c r="D6" s="1125" t="s">
        <v>501</v>
      </c>
      <c r="E6" s="1125">
        <v>2070</v>
      </c>
      <c r="F6" s="1125">
        <v>-82.03</v>
      </c>
      <c r="G6" s="1125">
        <v>36.68</v>
      </c>
      <c r="H6" s="1125">
        <v>-5</v>
      </c>
      <c r="I6" s="1126">
        <v>17.779999828338624</v>
      </c>
      <c r="J6" s="1126">
        <v>87.439998626708984</v>
      </c>
      <c r="K6" s="1127">
        <v>71.419999313354495</v>
      </c>
      <c r="L6" s="1125">
        <v>4815</v>
      </c>
      <c r="M6" s="1125">
        <v>982.80000000000007</v>
      </c>
      <c r="N6" s="1128">
        <v>39.559999656677249</v>
      </c>
      <c r="O6" s="1128">
        <v>38.47999982833862</v>
      </c>
      <c r="P6" s="1128">
        <v>42.8</v>
      </c>
      <c r="Q6" s="1128">
        <v>50.180000686645506</v>
      </c>
      <c r="R6" s="1128">
        <v>57.380000686645509</v>
      </c>
      <c r="S6" s="1128">
        <v>72.319999313354487</v>
      </c>
      <c r="T6" s="1128">
        <v>72.139998626708987</v>
      </c>
      <c r="U6" s="1128">
        <v>77.539998626708979</v>
      </c>
      <c r="V6" s="1128">
        <v>62.960001373291014</v>
      </c>
      <c r="W6" s="1128">
        <v>53.6</v>
      </c>
      <c r="X6" s="1128">
        <v>39.02000017166138</v>
      </c>
      <c r="Y6" s="1128">
        <v>39.920000171661378</v>
      </c>
      <c r="Z6" s="1128">
        <v>53.925972527020598</v>
      </c>
      <c r="AA6" s="1128">
        <f t="shared" si="0"/>
        <v>51.069160923096376</v>
      </c>
      <c r="AB6" s="1128">
        <f t="shared" si="1"/>
        <v>50.210443544904614</v>
      </c>
      <c r="AC6" s="1128">
        <f t="shared" si="2"/>
        <v>51.884228516735014</v>
      </c>
      <c r="AD6" s="1128">
        <f t="shared" si="3"/>
        <v>55.654217991872791</v>
      </c>
      <c r="AE6" s="1128">
        <f t="shared" si="4"/>
        <v>60.537706116326881</v>
      </c>
      <c r="AF6" s="1128">
        <f t="shared" si="5"/>
        <v>65.261736453628316</v>
      </c>
      <c r="AG6" s="1128">
        <f t="shared" si="6"/>
        <v>68.59491769684837</v>
      </c>
      <c r="AH6" s="1128">
        <f t="shared" si="7"/>
        <v>69.668404789063928</v>
      </c>
      <c r="AI6" s="1128">
        <f t="shared" si="8"/>
        <v>68.202376776752175</v>
      </c>
      <c r="AJ6" s="1128">
        <f t="shared" si="9"/>
        <v>64.578976453497702</v>
      </c>
      <c r="AK6" s="1128">
        <f t="shared" si="10"/>
        <v>59.742698951845973</v>
      </c>
      <c r="AL6" s="1128">
        <f t="shared" si="11"/>
        <v>54.954194531894792</v>
      </c>
      <c r="AM6" s="1125">
        <f t="shared" si="12"/>
        <v>1</v>
      </c>
      <c r="AN6" s="1125">
        <f t="shared" si="13"/>
        <v>1</v>
      </c>
      <c r="AO6" s="1125">
        <f t="shared" si="14"/>
        <v>1</v>
      </c>
      <c r="AP6" s="1125">
        <f t="shared" si="15"/>
        <v>1</v>
      </c>
      <c r="AQ6" s="1125">
        <f t="shared" si="16"/>
        <v>1</v>
      </c>
      <c r="AR6" s="1125">
        <f t="shared" si="17"/>
        <v>0</v>
      </c>
      <c r="AS6" s="1125">
        <f t="shared" si="18"/>
        <v>0</v>
      </c>
      <c r="AT6" s="1125">
        <f t="shared" si="19"/>
        <v>0</v>
      </c>
      <c r="AU6" s="1125">
        <f t="shared" si="20"/>
        <v>1</v>
      </c>
      <c r="AV6" s="1125">
        <f t="shared" si="21"/>
        <v>1</v>
      </c>
      <c r="AW6" s="1125">
        <f t="shared" si="22"/>
        <v>1</v>
      </c>
      <c r="AX6" s="1125">
        <f t="shared" si="23"/>
        <v>1</v>
      </c>
      <c r="AY6" s="1125">
        <f t="shared" si="24"/>
        <v>0</v>
      </c>
      <c r="AZ6" s="1125">
        <f t="shared" si="25"/>
        <v>0</v>
      </c>
      <c r="BA6" s="1125">
        <f t="shared" si="26"/>
        <v>0</v>
      </c>
      <c r="BB6" s="1125">
        <f t="shared" si="27"/>
        <v>0</v>
      </c>
      <c r="BC6" s="1125">
        <f t="shared" si="28"/>
        <v>0</v>
      </c>
      <c r="BD6" s="1125">
        <f t="shared" si="29"/>
        <v>1</v>
      </c>
      <c r="BE6" s="1125">
        <f t="shared" si="30"/>
        <v>1</v>
      </c>
      <c r="BF6" s="1125">
        <f t="shared" si="31"/>
        <v>1</v>
      </c>
      <c r="BG6" s="1125">
        <f t="shared" si="32"/>
        <v>0</v>
      </c>
      <c r="BH6" s="1125">
        <f t="shared" si="33"/>
        <v>0</v>
      </c>
      <c r="BI6" s="1125">
        <f t="shared" si="34"/>
        <v>0</v>
      </c>
      <c r="BJ6" s="1125">
        <f t="shared" si="35"/>
        <v>0</v>
      </c>
      <c r="BK6" s="1125">
        <f t="shared" si="36"/>
        <v>1</v>
      </c>
      <c r="BL6" s="1125">
        <f t="shared" si="37"/>
        <v>1</v>
      </c>
      <c r="BM6" s="1125">
        <f t="shared" si="38"/>
        <v>1</v>
      </c>
      <c r="BN6" s="1125">
        <f t="shared" si="39"/>
        <v>1</v>
      </c>
      <c r="BO6" s="1125">
        <f t="shared" si="40"/>
        <v>1</v>
      </c>
      <c r="BP6" s="1125">
        <f t="shared" si="41"/>
        <v>1</v>
      </c>
      <c r="BQ6" s="1125">
        <f t="shared" si="42"/>
        <v>0</v>
      </c>
      <c r="BR6" s="1125">
        <f t="shared" si="43"/>
        <v>0</v>
      </c>
      <c r="BS6" s="1125">
        <f t="shared" si="44"/>
        <v>1</v>
      </c>
      <c r="BT6" s="1125">
        <f t="shared" si="45"/>
        <v>1</v>
      </c>
      <c r="BU6" s="1125">
        <f t="shared" si="46"/>
        <v>1</v>
      </c>
      <c r="BV6" s="1125">
        <f t="shared" si="47"/>
        <v>1</v>
      </c>
      <c r="BW6" s="1125">
        <f t="shared" si="48"/>
        <v>0</v>
      </c>
      <c r="BX6" s="1125">
        <f t="shared" si="49"/>
        <v>0</v>
      </c>
      <c r="BY6" s="1125">
        <f t="shared" si="50"/>
        <v>0</v>
      </c>
      <c r="BZ6" s="1125">
        <f t="shared" si="51"/>
        <v>0</v>
      </c>
      <c r="CA6" s="1125">
        <f t="shared" si="52"/>
        <v>1</v>
      </c>
      <c r="CB6" s="1125">
        <f t="shared" si="53"/>
        <v>1</v>
      </c>
      <c r="CC6" s="1125">
        <f t="shared" si="54"/>
        <v>1</v>
      </c>
      <c r="CD6" s="1125">
        <f t="shared" si="55"/>
        <v>1</v>
      </c>
      <c r="CE6" s="1125">
        <f t="shared" si="56"/>
        <v>1</v>
      </c>
      <c r="CF6" s="1125">
        <f t="shared" si="57"/>
        <v>0</v>
      </c>
      <c r="CG6" s="1125">
        <f t="shared" si="58"/>
        <v>0</v>
      </c>
      <c r="CH6" s="1125">
        <f t="shared" si="59"/>
        <v>0</v>
      </c>
      <c r="CI6" s="1125">
        <f t="shared" si="60"/>
        <v>0.85</v>
      </c>
      <c r="CJ6" s="1125">
        <f t="shared" si="61"/>
        <v>0.85</v>
      </c>
      <c r="CK6" s="1125">
        <f t="shared" si="62"/>
        <v>0.85</v>
      </c>
      <c r="CL6" s="1125">
        <f t="shared" si="63"/>
        <v>0.85</v>
      </c>
      <c r="CM6" s="1125">
        <f t="shared" si="64"/>
        <v>0.85</v>
      </c>
      <c r="CN6" s="1125">
        <f t="shared" si="65"/>
        <v>0.85</v>
      </c>
      <c r="CO6" s="1125">
        <f t="shared" si="66"/>
        <v>0.7</v>
      </c>
      <c r="CP6" s="1125">
        <f t="shared" si="67"/>
        <v>0.7</v>
      </c>
      <c r="CQ6" s="1125">
        <f t="shared" si="68"/>
        <v>0.85</v>
      </c>
      <c r="CR6" s="1125">
        <f t="shared" si="69"/>
        <v>0.85</v>
      </c>
      <c r="CS6" s="1125">
        <f t="shared" si="70"/>
        <v>0.85</v>
      </c>
      <c r="CT6" s="1125">
        <f t="shared" si="71"/>
        <v>0.85</v>
      </c>
      <c r="CU6" s="1125">
        <v>1</v>
      </c>
      <c r="CV6" s="1125"/>
      <c r="CW6" s="1125">
        <f t="shared" si="72"/>
        <v>153</v>
      </c>
      <c r="CX6" s="1125">
        <f t="shared" si="73"/>
        <v>212</v>
      </c>
      <c r="CY6" s="1136" t="s">
        <v>4881</v>
      </c>
      <c r="CZ6" s="1129" t="s">
        <v>4885</v>
      </c>
      <c r="DA6" s="1129"/>
      <c r="DB6" s="1129"/>
      <c r="DC6" s="1125" t="s">
        <v>5626</v>
      </c>
      <c r="DD6" s="1125" t="s">
        <v>501</v>
      </c>
      <c r="DE6" s="1120" t="str">
        <f t="shared" si="74"/>
        <v/>
      </c>
      <c r="DF6" s="1133">
        <v>0</v>
      </c>
      <c r="DG6" s="1125">
        <v>0</v>
      </c>
    </row>
    <row r="7" spans="1:114">
      <c r="A7" s="1120" t="s">
        <v>2922</v>
      </c>
      <c r="B7" s="1120" t="s">
        <v>2914</v>
      </c>
      <c r="C7" s="1120" t="s">
        <v>2915</v>
      </c>
      <c r="D7" s="1120" t="s">
        <v>953</v>
      </c>
      <c r="E7" s="1120">
        <v>16</v>
      </c>
      <c r="F7" s="1120">
        <v>-176.65</v>
      </c>
      <c r="G7" s="1120">
        <v>51.88</v>
      </c>
      <c r="H7" s="1120">
        <v>-10</v>
      </c>
      <c r="I7" s="1121">
        <v>23.359999656677246</v>
      </c>
      <c r="J7" s="1121">
        <v>57.2</v>
      </c>
      <c r="K7" s="1122">
        <v>52.7</v>
      </c>
      <c r="L7" s="1120">
        <v>8960.4</v>
      </c>
      <c r="M7" s="1120">
        <v>0</v>
      </c>
      <c r="N7" s="1123">
        <v>32.360000005364419</v>
      </c>
      <c r="O7" s="1123">
        <v>33.619999957084659</v>
      </c>
      <c r="P7" s="1123">
        <v>35.419999957084656</v>
      </c>
      <c r="Q7" s="1123">
        <v>36.320000171661377</v>
      </c>
      <c r="R7" s="1123">
        <v>38.47999982833862</v>
      </c>
      <c r="S7" s="1123">
        <v>43.340000343322757</v>
      </c>
      <c r="T7" s="1123">
        <v>47.840000343322757</v>
      </c>
      <c r="U7" s="1123">
        <v>49.459999656677248</v>
      </c>
      <c r="V7" s="1123">
        <v>48.559999656677249</v>
      </c>
      <c r="W7" s="1123">
        <v>42.440000343322751</v>
      </c>
      <c r="X7" s="1123">
        <v>36.860000085830691</v>
      </c>
      <c r="Y7" s="1123">
        <v>33.259999978542325</v>
      </c>
      <c r="Z7" s="1123">
        <v>39.865260301411972</v>
      </c>
      <c r="AA7" s="1123">
        <f t="shared" si="0"/>
        <v>43.468304737249468</v>
      </c>
      <c r="AB7" s="1123">
        <f t="shared" si="1"/>
        <v>42.836591462310025</v>
      </c>
      <c r="AC7" s="1123">
        <f t="shared" si="2"/>
        <v>42.994347393482109</v>
      </c>
      <c r="AD7" s="1123">
        <f t="shared" si="3"/>
        <v>43.900451016213218</v>
      </c>
      <c r="AE7" s="1123">
        <f t="shared" si="4"/>
        <v>45.318712457758991</v>
      </c>
      <c r="AF7" s="1123">
        <f t="shared" si="5"/>
        <v>46.879440017310138</v>
      </c>
      <c r="AG7" s="1123">
        <f t="shared" si="6"/>
        <v>48.175806004929917</v>
      </c>
      <c r="AH7" s="1123">
        <f t="shared" si="7"/>
        <v>48.869892648340652</v>
      </c>
      <c r="AI7" s="1123">
        <f t="shared" si="8"/>
        <v>48.780775567738381</v>
      </c>
      <c r="AJ7" s="1123">
        <f t="shared" si="9"/>
        <v>47.931684503517879</v>
      </c>
      <c r="AK7" s="1123">
        <f t="shared" si="10"/>
        <v>46.543948126457593</v>
      </c>
      <c r="AL7" s="1123">
        <f t="shared" si="11"/>
        <v>44.979301308903189</v>
      </c>
      <c r="AM7" s="1120">
        <f t="shared" si="12"/>
        <v>1</v>
      </c>
      <c r="AN7" s="1120">
        <f t="shared" si="13"/>
        <v>1</v>
      </c>
      <c r="AO7" s="1120">
        <f t="shared" si="14"/>
        <v>1</v>
      </c>
      <c r="AP7" s="1120">
        <f t="shared" si="15"/>
        <v>1</v>
      </c>
      <c r="AQ7" s="1120">
        <f t="shared" si="16"/>
        <v>1</v>
      </c>
      <c r="AR7" s="1120">
        <f t="shared" si="17"/>
        <v>1</v>
      </c>
      <c r="AS7" s="1120">
        <f t="shared" si="18"/>
        <v>1</v>
      </c>
      <c r="AT7" s="1120">
        <f t="shared" si="19"/>
        <v>1</v>
      </c>
      <c r="AU7" s="1120">
        <f t="shared" si="20"/>
        <v>1</v>
      </c>
      <c r="AV7" s="1120">
        <f t="shared" si="21"/>
        <v>1</v>
      </c>
      <c r="AW7" s="1120">
        <f t="shared" si="22"/>
        <v>1</v>
      </c>
      <c r="AX7" s="1120">
        <f t="shared" si="23"/>
        <v>1</v>
      </c>
      <c r="AY7" s="1120">
        <f t="shared" si="24"/>
        <v>0</v>
      </c>
      <c r="AZ7" s="1120">
        <f t="shared" si="25"/>
        <v>0</v>
      </c>
      <c r="BA7" s="1120">
        <f t="shared" si="26"/>
        <v>0</v>
      </c>
      <c r="BB7" s="1120">
        <f t="shared" si="27"/>
        <v>0</v>
      </c>
      <c r="BC7" s="1120">
        <f t="shared" si="28"/>
        <v>0</v>
      </c>
      <c r="BD7" s="1120">
        <f t="shared" si="29"/>
        <v>0</v>
      </c>
      <c r="BE7" s="1120">
        <f t="shared" si="30"/>
        <v>1</v>
      </c>
      <c r="BF7" s="1120">
        <f t="shared" si="31"/>
        <v>1</v>
      </c>
      <c r="BG7" s="1120">
        <f t="shared" si="32"/>
        <v>0</v>
      </c>
      <c r="BH7" s="1120">
        <f t="shared" si="33"/>
        <v>0</v>
      </c>
      <c r="BI7" s="1120">
        <f t="shared" si="34"/>
        <v>0</v>
      </c>
      <c r="BJ7" s="1120">
        <f t="shared" si="35"/>
        <v>0</v>
      </c>
      <c r="BK7" s="1120">
        <f t="shared" si="36"/>
        <v>1</v>
      </c>
      <c r="BL7" s="1120">
        <f t="shared" si="37"/>
        <v>1</v>
      </c>
      <c r="BM7" s="1120">
        <f t="shared" si="38"/>
        <v>1</v>
      </c>
      <c r="BN7" s="1120">
        <f t="shared" si="39"/>
        <v>1</v>
      </c>
      <c r="BO7" s="1120">
        <f t="shared" si="40"/>
        <v>1</v>
      </c>
      <c r="BP7" s="1120">
        <f t="shared" si="41"/>
        <v>1</v>
      </c>
      <c r="BQ7" s="1120">
        <f t="shared" si="42"/>
        <v>1</v>
      </c>
      <c r="BR7" s="1120">
        <f t="shared" si="43"/>
        <v>1</v>
      </c>
      <c r="BS7" s="1120">
        <f t="shared" si="44"/>
        <v>1</v>
      </c>
      <c r="BT7" s="1120">
        <f t="shared" si="45"/>
        <v>1</v>
      </c>
      <c r="BU7" s="1120">
        <f t="shared" si="46"/>
        <v>1</v>
      </c>
      <c r="BV7" s="1120">
        <f t="shared" si="47"/>
        <v>1</v>
      </c>
      <c r="BW7" s="1120">
        <f t="shared" si="48"/>
        <v>0</v>
      </c>
      <c r="BX7" s="1120">
        <f t="shared" si="49"/>
        <v>0</v>
      </c>
      <c r="BY7" s="1120">
        <f t="shared" si="50"/>
        <v>0</v>
      </c>
      <c r="BZ7" s="1120">
        <f t="shared" si="51"/>
        <v>0</v>
      </c>
      <c r="CA7" s="1120">
        <f t="shared" si="52"/>
        <v>0</v>
      </c>
      <c r="CB7" s="1120">
        <f t="shared" si="53"/>
        <v>0</v>
      </c>
      <c r="CC7" s="1120">
        <f t="shared" si="54"/>
        <v>1</v>
      </c>
      <c r="CD7" s="1120">
        <f t="shared" si="55"/>
        <v>1</v>
      </c>
      <c r="CE7" s="1120">
        <f t="shared" si="56"/>
        <v>0</v>
      </c>
      <c r="CF7" s="1120">
        <f t="shared" si="57"/>
        <v>0</v>
      </c>
      <c r="CG7" s="1120">
        <f t="shared" si="58"/>
        <v>0</v>
      </c>
      <c r="CH7" s="1120">
        <f t="shared" si="59"/>
        <v>0</v>
      </c>
      <c r="CI7" s="1120">
        <f t="shared" si="60"/>
        <v>0.85</v>
      </c>
      <c r="CJ7" s="1120">
        <f t="shared" si="61"/>
        <v>0.85</v>
      </c>
      <c r="CK7" s="1120">
        <f t="shared" si="62"/>
        <v>0.85</v>
      </c>
      <c r="CL7" s="1120">
        <f t="shared" si="63"/>
        <v>0.85</v>
      </c>
      <c r="CM7" s="1120">
        <f t="shared" si="64"/>
        <v>0.85</v>
      </c>
      <c r="CN7" s="1120">
        <f t="shared" si="65"/>
        <v>0.85</v>
      </c>
      <c r="CO7" s="1120">
        <f t="shared" si="66"/>
        <v>0.85</v>
      </c>
      <c r="CP7" s="1120">
        <f t="shared" si="67"/>
        <v>0.85</v>
      </c>
      <c r="CQ7" s="1120">
        <f t="shared" si="68"/>
        <v>0.85</v>
      </c>
      <c r="CR7" s="1120">
        <f t="shared" si="69"/>
        <v>0.85</v>
      </c>
      <c r="CS7" s="1120">
        <f t="shared" si="70"/>
        <v>0.85</v>
      </c>
      <c r="CT7" s="1120">
        <f t="shared" si="71"/>
        <v>0.85</v>
      </c>
      <c r="CU7" s="1120">
        <v>1</v>
      </c>
      <c r="CV7" s="1120"/>
      <c r="CW7" s="1120">
        <f t="shared" si="72"/>
        <v>62</v>
      </c>
      <c r="CX7" s="1120">
        <f t="shared" si="73"/>
        <v>303</v>
      </c>
      <c r="CY7" s="1135" t="s">
        <v>4879</v>
      </c>
      <c r="CZ7" s="1124">
        <v>7</v>
      </c>
      <c r="DA7" s="1124"/>
      <c r="DB7" s="1124"/>
      <c r="DC7" s="1120" t="s">
        <v>4901</v>
      </c>
      <c r="DD7" s="1120" t="s">
        <v>953</v>
      </c>
      <c r="DE7" s="1120" t="str">
        <f t="shared" si="74"/>
        <v/>
      </c>
      <c r="DF7" s="1120">
        <v>0</v>
      </c>
      <c r="DG7" s="1120">
        <v>0</v>
      </c>
    </row>
    <row r="8" spans="1:114">
      <c r="A8" s="1125" t="s">
        <v>2920</v>
      </c>
      <c r="B8" s="1125" t="s">
        <v>4152</v>
      </c>
      <c r="C8" s="1125" t="s">
        <v>4153</v>
      </c>
      <c r="D8" s="1125" t="s">
        <v>537</v>
      </c>
      <c r="E8" s="1125">
        <v>1706</v>
      </c>
      <c r="F8" s="1125">
        <v>-74.2</v>
      </c>
      <c r="G8" s="1125">
        <v>44.38</v>
      </c>
      <c r="H8" s="1125">
        <v>-5</v>
      </c>
      <c r="I8" s="1126">
        <v>-16.780000686645508</v>
      </c>
      <c r="J8" s="1126">
        <v>84.380000686645502</v>
      </c>
      <c r="K8" s="1127">
        <v>68.180000686645513</v>
      </c>
      <c r="L8" s="1125">
        <v>8613</v>
      </c>
      <c r="M8" s="1125">
        <v>225</v>
      </c>
      <c r="N8" s="1128">
        <v>16.880000686645506</v>
      </c>
      <c r="O8" s="1128">
        <v>21.2</v>
      </c>
      <c r="P8" s="1128">
        <v>30.559999978542329</v>
      </c>
      <c r="Q8" s="1128">
        <v>38.299999999999997</v>
      </c>
      <c r="R8" s="1128">
        <v>51.259999656677245</v>
      </c>
      <c r="S8" s="1128">
        <v>64.039998626708979</v>
      </c>
      <c r="T8" s="1128">
        <v>64.580000686645505</v>
      </c>
      <c r="U8" s="1128">
        <v>64.580000686645505</v>
      </c>
      <c r="V8" s="1128">
        <v>53.959999656677248</v>
      </c>
      <c r="W8" s="1128">
        <v>40.459999656677248</v>
      </c>
      <c r="X8" s="1128">
        <v>30.559999978542329</v>
      </c>
      <c r="Y8" s="1128">
        <v>19.399999999999999</v>
      </c>
      <c r="Z8" s="1128">
        <v>41.421150656889566</v>
      </c>
      <c r="AA8" s="1128">
        <f t="shared" si="0"/>
        <v>40.298320725530658</v>
      </c>
      <c r="AB8" s="1128">
        <f t="shared" si="1"/>
        <v>38.572007223139046</v>
      </c>
      <c r="AC8" s="1128">
        <f t="shared" si="2"/>
        <v>39.15235932618269</v>
      </c>
      <c r="AD8" s="1128">
        <f t="shared" si="3"/>
        <v>41.888099315506629</v>
      </c>
      <c r="AE8" s="1128">
        <f t="shared" si="4"/>
        <v>46.066114403864219</v>
      </c>
      <c r="AF8" s="1128">
        <f t="shared" si="5"/>
        <v>50.597340573313602</v>
      </c>
      <c r="AG8" s="1128">
        <f t="shared" si="6"/>
        <v>54.300643894478853</v>
      </c>
      <c r="AH8" s="1128">
        <f t="shared" si="7"/>
        <v>56.210701287066577</v>
      </c>
      <c r="AI8" s="1128">
        <f t="shared" si="8"/>
        <v>55.829626856823388</v>
      </c>
      <c r="AJ8" s="1128">
        <f t="shared" si="9"/>
        <v>53.256753526526893</v>
      </c>
      <c r="AK8" s="1128">
        <f t="shared" si="10"/>
        <v>49.16274037889707</v>
      </c>
      <c r="AL8" s="1128">
        <f t="shared" si="11"/>
        <v>44.614755031515976</v>
      </c>
      <c r="AM8" s="1125">
        <f t="shared" si="12"/>
        <v>1</v>
      </c>
      <c r="AN8" s="1125">
        <f t="shared" si="13"/>
        <v>1</v>
      </c>
      <c r="AO8" s="1125">
        <f t="shared" si="14"/>
        <v>1</v>
      </c>
      <c r="AP8" s="1125">
        <f t="shared" si="15"/>
        <v>1</v>
      </c>
      <c r="AQ8" s="1125">
        <f t="shared" si="16"/>
        <v>1</v>
      </c>
      <c r="AR8" s="1125">
        <f t="shared" si="17"/>
        <v>1</v>
      </c>
      <c r="AS8" s="1125">
        <f t="shared" si="18"/>
        <v>1</v>
      </c>
      <c r="AT8" s="1125">
        <f t="shared" si="19"/>
        <v>1</v>
      </c>
      <c r="AU8" s="1125">
        <f t="shared" si="20"/>
        <v>1</v>
      </c>
      <c r="AV8" s="1125">
        <f t="shared" si="21"/>
        <v>1</v>
      </c>
      <c r="AW8" s="1125">
        <f t="shared" si="22"/>
        <v>1</v>
      </c>
      <c r="AX8" s="1125">
        <f t="shared" si="23"/>
        <v>1</v>
      </c>
      <c r="AY8" s="1125">
        <f t="shared" si="24"/>
        <v>0</v>
      </c>
      <c r="AZ8" s="1125">
        <f t="shared" si="25"/>
        <v>0</v>
      </c>
      <c r="BA8" s="1125">
        <f t="shared" si="26"/>
        <v>0</v>
      </c>
      <c r="BB8" s="1125">
        <f t="shared" si="27"/>
        <v>0</v>
      </c>
      <c r="BC8" s="1125">
        <f t="shared" si="28"/>
        <v>0</v>
      </c>
      <c r="BD8" s="1125">
        <f t="shared" si="29"/>
        <v>0</v>
      </c>
      <c r="BE8" s="1125">
        <f t="shared" si="30"/>
        <v>1</v>
      </c>
      <c r="BF8" s="1125">
        <f t="shared" si="31"/>
        <v>1</v>
      </c>
      <c r="BG8" s="1125">
        <f t="shared" si="32"/>
        <v>0</v>
      </c>
      <c r="BH8" s="1125">
        <f t="shared" si="33"/>
        <v>0</v>
      </c>
      <c r="BI8" s="1125">
        <f t="shared" si="34"/>
        <v>0</v>
      </c>
      <c r="BJ8" s="1125">
        <f t="shared" si="35"/>
        <v>0</v>
      </c>
      <c r="BK8" s="1125">
        <f t="shared" si="36"/>
        <v>1</v>
      </c>
      <c r="BL8" s="1125">
        <f t="shared" si="37"/>
        <v>1</v>
      </c>
      <c r="BM8" s="1125">
        <f t="shared" si="38"/>
        <v>1</v>
      </c>
      <c r="BN8" s="1125">
        <f t="shared" si="39"/>
        <v>1</v>
      </c>
      <c r="BO8" s="1125">
        <f t="shared" si="40"/>
        <v>1</v>
      </c>
      <c r="BP8" s="1125">
        <f t="shared" si="41"/>
        <v>1</v>
      </c>
      <c r="BQ8" s="1125">
        <f t="shared" si="42"/>
        <v>1</v>
      </c>
      <c r="BR8" s="1125">
        <f t="shared" si="43"/>
        <v>1</v>
      </c>
      <c r="BS8" s="1125">
        <f t="shared" si="44"/>
        <v>1</v>
      </c>
      <c r="BT8" s="1125">
        <f t="shared" si="45"/>
        <v>1</v>
      </c>
      <c r="BU8" s="1125">
        <f t="shared" si="46"/>
        <v>1</v>
      </c>
      <c r="BV8" s="1125">
        <f t="shared" si="47"/>
        <v>1</v>
      </c>
      <c r="BW8" s="1125">
        <f t="shared" si="48"/>
        <v>0</v>
      </c>
      <c r="BX8" s="1125">
        <f t="shared" si="49"/>
        <v>0</v>
      </c>
      <c r="BY8" s="1125">
        <f t="shared" si="50"/>
        <v>0</v>
      </c>
      <c r="BZ8" s="1125">
        <f t="shared" si="51"/>
        <v>0</v>
      </c>
      <c r="CA8" s="1125">
        <f t="shared" si="52"/>
        <v>0</v>
      </c>
      <c r="CB8" s="1125">
        <f t="shared" si="53"/>
        <v>0</v>
      </c>
      <c r="CC8" s="1125">
        <f t="shared" si="54"/>
        <v>1</v>
      </c>
      <c r="CD8" s="1125">
        <f t="shared" si="55"/>
        <v>1</v>
      </c>
      <c r="CE8" s="1125">
        <f t="shared" si="56"/>
        <v>0</v>
      </c>
      <c r="CF8" s="1125">
        <f t="shared" si="57"/>
        <v>0</v>
      </c>
      <c r="CG8" s="1125">
        <f t="shared" si="58"/>
        <v>0</v>
      </c>
      <c r="CH8" s="1125">
        <f t="shared" si="59"/>
        <v>0</v>
      </c>
      <c r="CI8" s="1125">
        <f t="shared" si="60"/>
        <v>0.85</v>
      </c>
      <c r="CJ8" s="1125">
        <f t="shared" si="61"/>
        <v>0.85</v>
      </c>
      <c r="CK8" s="1125">
        <f t="shared" si="62"/>
        <v>0.85</v>
      </c>
      <c r="CL8" s="1125">
        <f t="shared" si="63"/>
        <v>0.85</v>
      </c>
      <c r="CM8" s="1125">
        <f t="shared" si="64"/>
        <v>0.85</v>
      </c>
      <c r="CN8" s="1125">
        <f t="shared" si="65"/>
        <v>0.85</v>
      </c>
      <c r="CO8" s="1125">
        <f t="shared" si="66"/>
        <v>0.85</v>
      </c>
      <c r="CP8" s="1125">
        <f t="shared" si="67"/>
        <v>0.85</v>
      </c>
      <c r="CQ8" s="1125">
        <f t="shared" si="68"/>
        <v>0.85</v>
      </c>
      <c r="CR8" s="1125">
        <f t="shared" si="69"/>
        <v>0.85</v>
      </c>
      <c r="CS8" s="1125">
        <f t="shared" si="70"/>
        <v>0.85</v>
      </c>
      <c r="CT8" s="1125">
        <f t="shared" si="71"/>
        <v>0.85</v>
      </c>
      <c r="CU8" s="1125">
        <v>1</v>
      </c>
      <c r="CV8" s="1125"/>
      <c r="CW8" s="1125">
        <f t="shared" si="72"/>
        <v>62</v>
      </c>
      <c r="CX8" s="1125">
        <f t="shared" si="73"/>
        <v>303</v>
      </c>
      <c r="CY8" s="1136" t="s">
        <v>4889</v>
      </c>
      <c r="CZ8" s="1129" t="s">
        <v>4899</v>
      </c>
      <c r="DA8" s="1129"/>
      <c r="DB8" s="1129"/>
      <c r="DC8" s="1125" t="s">
        <v>5470</v>
      </c>
      <c r="DD8" s="1125" t="s">
        <v>537</v>
      </c>
      <c r="DE8" s="1120" t="str">
        <f t="shared" si="74"/>
        <v/>
      </c>
      <c r="DF8" s="1133">
        <v>0</v>
      </c>
      <c r="DG8" s="1125">
        <v>0</v>
      </c>
    </row>
    <row r="9" spans="1:114">
      <c r="A9" s="1120" t="s">
        <v>2924</v>
      </c>
      <c r="B9" s="1125" t="s">
        <v>3988</v>
      </c>
      <c r="C9" s="1125" t="s">
        <v>3989</v>
      </c>
      <c r="D9" s="1125" t="s">
        <v>771</v>
      </c>
      <c r="E9" s="1125">
        <v>2588</v>
      </c>
      <c r="F9" s="1125">
        <v>-100</v>
      </c>
      <c r="G9" s="1125">
        <v>42.58</v>
      </c>
      <c r="H9" s="1125">
        <v>-6</v>
      </c>
      <c r="I9" s="1126">
        <v>-0.4000000000000008</v>
      </c>
      <c r="J9" s="1126">
        <v>91.22000274658204</v>
      </c>
      <c r="K9" s="1127">
        <v>69.080000686645505</v>
      </c>
      <c r="L9" s="1125">
        <v>6075</v>
      </c>
      <c r="M9" s="1125">
        <v>810</v>
      </c>
      <c r="N9" s="1128">
        <v>26.23999991416931</v>
      </c>
      <c r="O9" s="1128">
        <v>31.81999999731779</v>
      </c>
      <c r="P9" s="1128">
        <v>41.359999656677246</v>
      </c>
      <c r="Q9" s="1128">
        <v>47.480000686645511</v>
      </c>
      <c r="R9" s="1128">
        <v>56.3</v>
      </c>
      <c r="S9" s="1128">
        <v>66.560001373291016</v>
      </c>
      <c r="T9" s="1128">
        <v>71.599999999999994</v>
      </c>
      <c r="U9" s="1128">
        <v>73.580000686645505</v>
      </c>
      <c r="V9" s="1128">
        <v>64.039998626708979</v>
      </c>
      <c r="W9" s="1128">
        <v>50.180000686645506</v>
      </c>
      <c r="X9" s="1128">
        <v>37.76000008583069</v>
      </c>
      <c r="Y9" s="1128">
        <v>31.639999994635581</v>
      </c>
      <c r="Z9" s="1128">
        <v>49.983726170414116</v>
      </c>
      <c r="AA9" s="1128">
        <f t="shared" si="0"/>
        <v>46.428367474970173</v>
      </c>
      <c r="AB9" s="1128">
        <f t="shared" si="1"/>
        <v>45.100937629266603</v>
      </c>
      <c r="AC9" s="1128">
        <f t="shared" si="2"/>
        <v>46.610274325661059</v>
      </c>
      <c r="AD9" s="1128">
        <f t="shared" si="3"/>
        <v>50.562945694655774</v>
      </c>
      <c r="AE9" s="1128">
        <f t="shared" si="4"/>
        <v>55.928627031412667</v>
      </c>
      <c r="AF9" s="1128">
        <f t="shared" si="5"/>
        <v>61.308670807853716</v>
      </c>
      <c r="AG9" s="1128">
        <f t="shared" si="6"/>
        <v>65.300685704665341</v>
      </c>
      <c r="AH9" s="1128">
        <f t="shared" si="7"/>
        <v>66.864091520181873</v>
      </c>
      <c r="AI9" s="1128">
        <f t="shared" si="8"/>
        <v>65.59136243577602</v>
      </c>
      <c r="AJ9" s="1128">
        <f t="shared" si="9"/>
        <v>61.814254900647065</v>
      </c>
      <c r="AK9" s="1128">
        <f t="shared" si="10"/>
        <v>56.517330200815373</v>
      </c>
      <c r="AL9" s="1128">
        <f t="shared" si="11"/>
        <v>51.081313387372589</v>
      </c>
      <c r="AM9" s="1125">
        <f t="shared" si="12"/>
        <v>1</v>
      </c>
      <c r="AN9" s="1125">
        <f t="shared" si="13"/>
        <v>1</v>
      </c>
      <c r="AO9" s="1125">
        <f t="shared" si="14"/>
        <v>1</v>
      </c>
      <c r="AP9" s="1125">
        <f t="shared" si="15"/>
        <v>1</v>
      </c>
      <c r="AQ9" s="1125">
        <f t="shared" si="16"/>
        <v>1</v>
      </c>
      <c r="AR9" s="1125">
        <f t="shared" si="17"/>
        <v>0</v>
      </c>
      <c r="AS9" s="1125">
        <f t="shared" si="18"/>
        <v>0</v>
      </c>
      <c r="AT9" s="1125">
        <f t="shared" si="19"/>
        <v>0</v>
      </c>
      <c r="AU9" s="1125">
        <f t="shared" si="20"/>
        <v>1</v>
      </c>
      <c r="AV9" s="1125">
        <f t="shared" si="21"/>
        <v>1</v>
      </c>
      <c r="AW9" s="1125">
        <f t="shared" si="22"/>
        <v>1</v>
      </c>
      <c r="AX9" s="1125">
        <f t="shared" si="23"/>
        <v>1</v>
      </c>
      <c r="AY9" s="1125">
        <f t="shared" si="24"/>
        <v>0</v>
      </c>
      <c r="AZ9" s="1125">
        <f t="shared" si="25"/>
        <v>0</v>
      </c>
      <c r="BA9" s="1125">
        <f t="shared" si="26"/>
        <v>0</v>
      </c>
      <c r="BB9" s="1125">
        <f t="shared" si="27"/>
        <v>0</v>
      </c>
      <c r="BC9" s="1125">
        <f t="shared" si="28"/>
        <v>0</v>
      </c>
      <c r="BD9" s="1125">
        <f t="shared" si="29"/>
        <v>1</v>
      </c>
      <c r="BE9" s="1125">
        <f t="shared" si="30"/>
        <v>1</v>
      </c>
      <c r="BF9" s="1125">
        <f t="shared" si="31"/>
        <v>1</v>
      </c>
      <c r="BG9" s="1125">
        <f t="shared" si="32"/>
        <v>0</v>
      </c>
      <c r="BH9" s="1125">
        <f t="shared" si="33"/>
        <v>0</v>
      </c>
      <c r="BI9" s="1125">
        <f t="shared" si="34"/>
        <v>0</v>
      </c>
      <c r="BJ9" s="1125">
        <f t="shared" si="35"/>
        <v>0</v>
      </c>
      <c r="BK9" s="1125">
        <f t="shared" si="36"/>
        <v>1</v>
      </c>
      <c r="BL9" s="1125">
        <f t="shared" si="37"/>
        <v>1</v>
      </c>
      <c r="BM9" s="1125">
        <f t="shared" si="38"/>
        <v>1</v>
      </c>
      <c r="BN9" s="1125">
        <f t="shared" si="39"/>
        <v>1</v>
      </c>
      <c r="BO9" s="1125">
        <f t="shared" si="40"/>
        <v>1</v>
      </c>
      <c r="BP9" s="1125">
        <f t="shared" si="41"/>
        <v>1</v>
      </c>
      <c r="BQ9" s="1125">
        <f t="shared" si="42"/>
        <v>0</v>
      </c>
      <c r="BR9" s="1125">
        <f t="shared" si="43"/>
        <v>0</v>
      </c>
      <c r="BS9" s="1125">
        <f t="shared" si="44"/>
        <v>1</v>
      </c>
      <c r="BT9" s="1125">
        <f t="shared" si="45"/>
        <v>1</v>
      </c>
      <c r="BU9" s="1125">
        <f t="shared" si="46"/>
        <v>1</v>
      </c>
      <c r="BV9" s="1125">
        <f t="shared" si="47"/>
        <v>1</v>
      </c>
      <c r="BW9" s="1125">
        <f t="shared" si="48"/>
        <v>0</v>
      </c>
      <c r="BX9" s="1125">
        <f t="shared" si="49"/>
        <v>0</v>
      </c>
      <c r="BY9" s="1125">
        <f t="shared" si="50"/>
        <v>0</v>
      </c>
      <c r="BZ9" s="1125">
        <f t="shared" si="51"/>
        <v>0</v>
      </c>
      <c r="CA9" s="1125">
        <f t="shared" si="52"/>
        <v>1</v>
      </c>
      <c r="CB9" s="1125">
        <f t="shared" si="53"/>
        <v>1</v>
      </c>
      <c r="CC9" s="1125">
        <f t="shared" si="54"/>
        <v>1</v>
      </c>
      <c r="CD9" s="1125">
        <f t="shared" si="55"/>
        <v>1</v>
      </c>
      <c r="CE9" s="1125">
        <f t="shared" si="56"/>
        <v>1</v>
      </c>
      <c r="CF9" s="1125">
        <f t="shared" si="57"/>
        <v>0</v>
      </c>
      <c r="CG9" s="1125">
        <f t="shared" si="58"/>
        <v>0</v>
      </c>
      <c r="CH9" s="1125">
        <f t="shared" si="59"/>
        <v>0</v>
      </c>
      <c r="CI9" s="1125">
        <f t="shared" si="60"/>
        <v>0.85</v>
      </c>
      <c r="CJ9" s="1125">
        <f t="shared" si="61"/>
        <v>0.85</v>
      </c>
      <c r="CK9" s="1125">
        <f t="shared" si="62"/>
        <v>0.85</v>
      </c>
      <c r="CL9" s="1125">
        <f t="shared" si="63"/>
        <v>0.85</v>
      </c>
      <c r="CM9" s="1125">
        <f t="shared" si="64"/>
        <v>0.85</v>
      </c>
      <c r="CN9" s="1125">
        <f t="shared" si="65"/>
        <v>0.85</v>
      </c>
      <c r="CO9" s="1125">
        <f t="shared" si="66"/>
        <v>0.7</v>
      </c>
      <c r="CP9" s="1125">
        <f t="shared" si="67"/>
        <v>0.7</v>
      </c>
      <c r="CQ9" s="1125">
        <f t="shared" si="68"/>
        <v>0.85</v>
      </c>
      <c r="CR9" s="1125">
        <f t="shared" si="69"/>
        <v>0.85</v>
      </c>
      <c r="CS9" s="1125">
        <f t="shared" si="70"/>
        <v>0.85</v>
      </c>
      <c r="CT9" s="1125">
        <f t="shared" si="71"/>
        <v>0.85</v>
      </c>
      <c r="CU9" s="1125">
        <v>1</v>
      </c>
      <c r="CV9" s="1125"/>
      <c r="CW9" s="1125">
        <f t="shared" si="72"/>
        <v>153</v>
      </c>
      <c r="CX9" s="1125">
        <f t="shared" si="73"/>
        <v>212</v>
      </c>
      <c r="CY9" s="1136" t="s">
        <v>4889</v>
      </c>
      <c r="CZ9" s="1129" t="s">
        <v>4897</v>
      </c>
      <c r="DA9" s="1129"/>
      <c r="DB9" s="1129"/>
      <c r="DC9" s="1125" t="s">
        <v>5411</v>
      </c>
      <c r="DD9" s="1125" t="s">
        <v>771</v>
      </c>
      <c r="DE9" s="1120" t="str">
        <f t="shared" si="74"/>
        <v/>
      </c>
      <c r="DF9" s="1133">
        <v>0</v>
      </c>
      <c r="DG9" s="1120">
        <v>0</v>
      </c>
    </row>
    <row r="10" spans="1:114">
      <c r="A10" s="1125" t="s">
        <v>2926</v>
      </c>
      <c r="B10" s="1125" t="s">
        <v>3763</v>
      </c>
      <c r="C10" s="1125" t="s">
        <v>3764</v>
      </c>
      <c r="D10" s="1125" t="s">
        <v>934</v>
      </c>
      <c r="E10" s="1125">
        <v>1204</v>
      </c>
      <c r="F10" s="1125">
        <v>-93.68</v>
      </c>
      <c r="G10" s="1125">
        <v>46.55</v>
      </c>
      <c r="H10" s="1125">
        <v>-6</v>
      </c>
      <c r="I10" s="1126">
        <v>-14.619999313354493</v>
      </c>
      <c r="J10" s="1126">
        <v>82.219999313354492</v>
      </c>
      <c r="K10" s="1127">
        <v>72.680000686645513</v>
      </c>
      <c r="L10" s="1125">
        <v>8884.8000000000011</v>
      </c>
      <c r="M10" s="1125">
        <v>234</v>
      </c>
      <c r="N10" s="1128">
        <v>10.940000343322753</v>
      </c>
      <c r="O10" s="1128">
        <v>12.380000686645507</v>
      </c>
      <c r="P10" s="1128">
        <v>24.979999828338624</v>
      </c>
      <c r="Q10" s="1128">
        <v>43.340000343322757</v>
      </c>
      <c r="R10" s="1128">
        <v>48.919999313354495</v>
      </c>
      <c r="S10" s="1128">
        <v>61.880000686645509</v>
      </c>
      <c r="T10" s="1128">
        <v>65.480000686645511</v>
      </c>
      <c r="U10" s="1128">
        <v>64.219999313354492</v>
      </c>
      <c r="V10" s="1128">
        <v>56.840000343322757</v>
      </c>
      <c r="W10" s="1128">
        <v>47.840000343322757</v>
      </c>
      <c r="X10" s="1128">
        <v>28.039999914169311</v>
      </c>
      <c r="Y10" s="1128">
        <v>21.379999828338622</v>
      </c>
      <c r="Z10" s="1128">
        <v>40.674520677279119</v>
      </c>
      <c r="AA10" s="1128">
        <f t="shared" si="0"/>
        <v>38.770883350678268</v>
      </c>
      <c r="AB10" s="1128">
        <f t="shared" si="1"/>
        <v>36.775850450527948</v>
      </c>
      <c r="AC10" s="1128">
        <f t="shared" si="2"/>
        <v>37.361058488105954</v>
      </c>
      <c r="AD10" s="1128">
        <f t="shared" si="3"/>
        <v>40.373963970088738</v>
      </c>
      <c r="AE10" s="1128">
        <f t="shared" si="4"/>
        <v>45.029206652318578</v>
      </c>
      <c r="AF10" s="1128">
        <f t="shared" si="5"/>
        <v>50.113325790211</v>
      </c>
      <c r="AG10" s="1128">
        <f t="shared" si="6"/>
        <v>54.30106738182684</v>
      </c>
      <c r="AH10" s="1128">
        <f t="shared" si="7"/>
        <v>56.50083204626003</v>
      </c>
      <c r="AI10" s="1128">
        <f t="shared" si="8"/>
        <v>56.139217224326458</v>
      </c>
      <c r="AJ10" s="1128">
        <f t="shared" si="9"/>
        <v>53.310483392016209</v>
      </c>
      <c r="AK10" s="1128">
        <f t="shared" si="10"/>
        <v>48.751983614828816</v>
      </c>
      <c r="AL10" s="1128">
        <f t="shared" si="11"/>
        <v>43.651961108296156</v>
      </c>
      <c r="AM10" s="1125">
        <f t="shared" si="12"/>
        <v>1</v>
      </c>
      <c r="AN10" s="1125">
        <f t="shared" si="13"/>
        <v>1</v>
      </c>
      <c r="AO10" s="1125">
        <f t="shared" si="14"/>
        <v>1</v>
      </c>
      <c r="AP10" s="1125">
        <f t="shared" si="15"/>
        <v>1</v>
      </c>
      <c r="AQ10" s="1125">
        <f t="shared" si="16"/>
        <v>1</v>
      </c>
      <c r="AR10" s="1125">
        <f t="shared" si="17"/>
        <v>1</v>
      </c>
      <c r="AS10" s="1125">
        <f t="shared" si="18"/>
        <v>1</v>
      </c>
      <c r="AT10" s="1125">
        <f t="shared" si="19"/>
        <v>1</v>
      </c>
      <c r="AU10" s="1125">
        <f t="shared" si="20"/>
        <v>1</v>
      </c>
      <c r="AV10" s="1125">
        <f t="shared" si="21"/>
        <v>1</v>
      </c>
      <c r="AW10" s="1125">
        <f t="shared" si="22"/>
        <v>1</v>
      </c>
      <c r="AX10" s="1125">
        <f t="shared" si="23"/>
        <v>1</v>
      </c>
      <c r="AY10" s="1125">
        <f t="shared" si="24"/>
        <v>0</v>
      </c>
      <c r="AZ10" s="1125">
        <f t="shared" si="25"/>
        <v>0</v>
      </c>
      <c r="BA10" s="1125">
        <f t="shared" si="26"/>
        <v>0</v>
      </c>
      <c r="BB10" s="1125">
        <f t="shared" si="27"/>
        <v>0</v>
      </c>
      <c r="BC10" s="1125">
        <f t="shared" si="28"/>
        <v>0</v>
      </c>
      <c r="BD10" s="1125">
        <f t="shared" si="29"/>
        <v>0</v>
      </c>
      <c r="BE10" s="1125">
        <f t="shared" si="30"/>
        <v>1</v>
      </c>
      <c r="BF10" s="1125">
        <f t="shared" si="31"/>
        <v>1</v>
      </c>
      <c r="BG10" s="1125">
        <f t="shared" si="32"/>
        <v>0</v>
      </c>
      <c r="BH10" s="1125">
        <f t="shared" si="33"/>
        <v>0</v>
      </c>
      <c r="BI10" s="1125">
        <f t="shared" si="34"/>
        <v>0</v>
      </c>
      <c r="BJ10" s="1125">
        <f t="shared" si="35"/>
        <v>0</v>
      </c>
      <c r="BK10" s="1125">
        <f t="shared" si="36"/>
        <v>1</v>
      </c>
      <c r="BL10" s="1125">
        <f t="shared" si="37"/>
        <v>1</v>
      </c>
      <c r="BM10" s="1125">
        <f t="shared" si="38"/>
        <v>1</v>
      </c>
      <c r="BN10" s="1125">
        <f t="shared" si="39"/>
        <v>1</v>
      </c>
      <c r="BO10" s="1125">
        <f t="shared" si="40"/>
        <v>1</v>
      </c>
      <c r="BP10" s="1125">
        <f t="shared" si="41"/>
        <v>1</v>
      </c>
      <c r="BQ10" s="1125">
        <f t="shared" si="42"/>
        <v>1</v>
      </c>
      <c r="BR10" s="1125">
        <f t="shared" si="43"/>
        <v>1</v>
      </c>
      <c r="BS10" s="1125">
        <f t="shared" si="44"/>
        <v>1</v>
      </c>
      <c r="BT10" s="1125">
        <f t="shared" si="45"/>
        <v>1</v>
      </c>
      <c r="BU10" s="1125">
        <f t="shared" si="46"/>
        <v>1</v>
      </c>
      <c r="BV10" s="1125">
        <f t="shared" si="47"/>
        <v>1</v>
      </c>
      <c r="BW10" s="1125">
        <f t="shared" si="48"/>
        <v>0</v>
      </c>
      <c r="BX10" s="1125">
        <f t="shared" si="49"/>
        <v>0</v>
      </c>
      <c r="BY10" s="1125">
        <f t="shared" si="50"/>
        <v>0</v>
      </c>
      <c r="BZ10" s="1125">
        <f t="shared" si="51"/>
        <v>0</v>
      </c>
      <c r="CA10" s="1125">
        <f t="shared" si="52"/>
        <v>0</v>
      </c>
      <c r="CB10" s="1125">
        <f t="shared" si="53"/>
        <v>0</v>
      </c>
      <c r="CC10" s="1125">
        <f t="shared" si="54"/>
        <v>1</v>
      </c>
      <c r="CD10" s="1125">
        <f t="shared" si="55"/>
        <v>1</v>
      </c>
      <c r="CE10" s="1125">
        <f t="shared" si="56"/>
        <v>0</v>
      </c>
      <c r="CF10" s="1125">
        <f t="shared" si="57"/>
        <v>0</v>
      </c>
      <c r="CG10" s="1125">
        <f t="shared" si="58"/>
        <v>0</v>
      </c>
      <c r="CH10" s="1125">
        <f t="shared" si="59"/>
        <v>0</v>
      </c>
      <c r="CI10" s="1125">
        <f t="shared" si="60"/>
        <v>0.85</v>
      </c>
      <c r="CJ10" s="1125">
        <f t="shared" si="61"/>
        <v>0.85</v>
      </c>
      <c r="CK10" s="1125">
        <f t="shared" si="62"/>
        <v>0.85</v>
      </c>
      <c r="CL10" s="1125">
        <f t="shared" si="63"/>
        <v>0.85</v>
      </c>
      <c r="CM10" s="1125">
        <f t="shared" si="64"/>
        <v>0.85</v>
      </c>
      <c r="CN10" s="1125">
        <f t="shared" si="65"/>
        <v>0.85</v>
      </c>
      <c r="CO10" s="1125">
        <f t="shared" si="66"/>
        <v>0.85</v>
      </c>
      <c r="CP10" s="1125">
        <f t="shared" si="67"/>
        <v>0.85</v>
      </c>
      <c r="CQ10" s="1125">
        <f t="shared" si="68"/>
        <v>0.85</v>
      </c>
      <c r="CR10" s="1125">
        <f t="shared" si="69"/>
        <v>0.85</v>
      </c>
      <c r="CS10" s="1125">
        <f t="shared" si="70"/>
        <v>0.85</v>
      </c>
      <c r="CT10" s="1125">
        <f t="shared" si="71"/>
        <v>0.85</v>
      </c>
      <c r="CU10" s="1125">
        <v>1</v>
      </c>
      <c r="CV10" s="1125"/>
      <c r="CW10" s="1125">
        <f t="shared" si="72"/>
        <v>62</v>
      </c>
      <c r="CX10" s="1125">
        <f t="shared" si="73"/>
        <v>303</v>
      </c>
      <c r="CY10" s="1136" t="s">
        <v>4879</v>
      </c>
      <c r="CZ10" s="1129">
        <v>7</v>
      </c>
      <c r="DA10" s="1129"/>
      <c r="DB10" s="1129"/>
      <c r="DC10" s="1125" t="s">
        <v>5744</v>
      </c>
      <c r="DD10" s="1125" t="s">
        <v>934</v>
      </c>
      <c r="DE10" s="1120" t="b">
        <f t="shared" si="74"/>
        <v>0</v>
      </c>
      <c r="DF10" s="1133">
        <v>0</v>
      </c>
      <c r="DG10" s="1125">
        <v>0</v>
      </c>
      <c r="DI10" s="1">
        <v>1</v>
      </c>
      <c r="DJ10" s="1">
        <f>2+DI10</f>
        <v>3</v>
      </c>
    </row>
    <row r="11" spans="1:114">
      <c r="A11" s="1120" t="s">
        <v>1338</v>
      </c>
      <c r="B11" s="1125" t="s">
        <v>4164</v>
      </c>
      <c r="C11" s="1125" t="s">
        <v>4165</v>
      </c>
      <c r="D11" s="1125" t="s">
        <v>229</v>
      </c>
      <c r="E11" s="1125">
        <v>1207</v>
      </c>
      <c r="F11" s="1125">
        <v>-81.430000000000007</v>
      </c>
      <c r="G11" s="1125">
        <v>40.92</v>
      </c>
      <c r="H11" s="1125">
        <v>-5</v>
      </c>
      <c r="I11" s="1126">
        <v>7.1599996566772459</v>
      </c>
      <c r="J11" s="1126">
        <v>85.819999313354487</v>
      </c>
      <c r="K11" s="1127">
        <v>71.780000686645508</v>
      </c>
      <c r="L11" s="1125">
        <v>6100.2</v>
      </c>
      <c r="M11" s="1125">
        <v>712.80000000000007</v>
      </c>
      <c r="N11" s="1128">
        <v>23.179999828338623</v>
      </c>
      <c r="O11" s="1128">
        <v>26.23999991416931</v>
      </c>
      <c r="P11" s="1128">
        <v>37.939999914169313</v>
      </c>
      <c r="Q11" s="1128">
        <v>49.1</v>
      </c>
      <c r="R11" s="1128">
        <v>60.980000686645511</v>
      </c>
      <c r="S11" s="1128">
        <v>67.639998626708987</v>
      </c>
      <c r="T11" s="1128">
        <v>72.319999313354487</v>
      </c>
      <c r="U11" s="1128">
        <v>70.33999862670899</v>
      </c>
      <c r="V11" s="1128">
        <v>62.239998626708989</v>
      </c>
      <c r="W11" s="1128">
        <v>49.819999313354494</v>
      </c>
      <c r="X11" s="1128">
        <v>42.259999656677245</v>
      </c>
      <c r="Y11" s="1128">
        <v>32</v>
      </c>
      <c r="Z11" s="1128">
        <v>49.632602282354277</v>
      </c>
      <c r="AA11" s="1128">
        <f t="shared" si="0"/>
        <v>45.822279808031574</v>
      </c>
      <c r="AB11" s="1128">
        <f t="shared" si="1"/>
        <v>44.421336398509098</v>
      </c>
      <c r="AC11" s="1128">
        <f t="shared" si="2"/>
        <v>45.942782212447867</v>
      </c>
      <c r="AD11" s="1128">
        <f t="shared" si="3"/>
        <v>49.990028952255038</v>
      </c>
      <c r="AE11" s="1128">
        <f t="shared" si="4"/>
        <v>55.508099385239689</v>
      </c>
      <c r="AF11" s="1128">
        <f t="shared" si="5"/>
        <v>61.058623417004981</v>
      </c>
      <c r="AG11" s="1128">
        <f t="shared" si="6"/>
        <v>65.194771422506804</v>
      </c>
      <c r="AH11" s="1128">
        <f t="shared" si="7"/>
        <v>66.838392684140942</v>
      </c>
      <c r="AI11" s="1128">
        <f t="shared" si="8"/>
        <v>65.561051991092128</v>
      </c>
      <c r="AJ11" s="1128">
        <f t="shared" si="9"/>
        <v>61.695707879419437</v>
      </c>
      <c r="AK11" s="1128">
        <f t="shared" si="10"/>
        <v>56.249921858586212</v>
      </c>
      <c r="AL11" s="1128">
        <f t="shared" si="11"/>
        <v>50.643221977025483</v>
      </c>
      <c r="AM11" s="1125">
        <f t="shared" si="12"/>
        <v>1</v>
      </c>
      <c r="AN11" s="1125">
        <f t="shared" si="13"/>
        <v>1</v>
      </c>
      <c r="AO11" s="1125">
        <f t="shared" si="14"/>
        <v>1</v>
      </c>
      <c r="AP11" s="1125">
        <f t="shared" si="15"/>
        <v>1</v>
      </c>
      <c r="AQ11" s="1125">
        <f t="shared" si="16"/>
        <v>1</v>
      </c>
      <c r="AR11" s="1125">
        <f t="shared" si="17"/>
        <v>0</v>
      </c>
      <c r="AS11" s="1125">
        <f t="shared" si="18"/>
        <v>0</v>
      </c>
      <c r="AT11" s="1125">
        <f t="shared" si="19"/>
        <v>0</v>
      </c>
      <c r="AU11" s="1125">
        <f t="shared" si="20"/>
        <v>1</v>
      </c>
      <c r="AV11" s="1125">
        <f t="shared" si="21"/>
        <v>1</v>
      </c>
      <c r="AW11" s="1125">
        <f t="shared" si="22"/>
        <v>1</v>
      </c>
      <c r="AX11" s="1125">
        <f t="shared" si="23"/>
        <v>1</v>
      </c>
      <c r="AY11" s="1125">
        <f t="shared" si="24"/>
        <v>0</v>
      </c>
      <c r="AZ11" s="1125">
        <f t="shared" si="25"/>
        <v>0</v>
      </c>
      <c r="BA11" s="1125">
        <f t="shared" si="26"/>
        <v>0</v>
      </c>
      <c r="BB11" s="1125">
        <f t="shared" si="27"/>
        <v>0</v>
      </c>
      <c r="BC11" s="1125">
        <f t="shared" si="28"/>
        <v>0</v>
      </c>
      <c r="BD11" s="1125">
        <f t="shared" si="29"/>
        <v>1</v>
      </c>
      <c r="BE11" s="1125">
        <f t="shared" si="30"/>
        <v>1</v>
      </c>
      <c r="BF11" s="1125">
        <f t="shared" si="31"/>
        <v>1</v>
      </c>
      <c r="BG11" s="1125">
        <f t="shared" si="32"/>
        <v>0</v>
      </c>
      <c r="BH11" s="1125">
        <f t="shared" si="33"/>
        <v>0</v>
      </c>
      <c r="BI11" s="1125">
        <f t="shared" si="34"/>
        <v>0</v>
      </c>
      <c r="BJ11" s="1125">
        <f t="shared" si="35"/>
        <v>0</v>
      </c>
      <c r="BK11" s="1125">
        <f t="shared" si="36"/>
        <v>1</v>
      </c>
      <c r="BL11" s="1125">
        <f t="shared" si="37"/>
        <v>1</v>
      </c>
      <c r="BM11" s="1125">
        <f t="shared" si="38"/>
        <v>1</v>
      </c>
      <c r="BN11" s="1125">
        <f t="shared" si="39"/>
        <v>1</v>
      </c>
      <c r="BO11" s="1125">
        <f t="shared" si="40"/>
        <v>1</v>
      </c>
      <c r="BP11" s="1125">
        <f t="shared" si="41"/>
        <v>1</v>
      </c>
      <c r="BQ11" s="1125">
        <f t="shared" si="42"/>
        <v>0</v>
      </c>
      <c r="BR11" s="1125">
        <f t="shared" si="43"/>
        <v>0</v>
      </c>
      <c r="BS11" s="1125">
        <f t="shared" si="44"/>
        <v>1</v>
      </c>
      <c r="BT11" s="1125">
        <f t="shared" si="45"/>
        <v>1</v>
      </c>
      <c r="BU11" s="1125">
        <f t="shared" si="46"/>
        <v>1</v>
      </c>
      <c r="BV11" s="1125">
        <f t="shared" si="47"/>
        <v>1</v>
      </c>
      <c r="BW11" s="1125">
        <f t="shared" si="48"/>
        <v>0</v>
      </c>
      <c r="BX11" s="1125">
        <f t="shared" si="49"/>
        <v>0</v>
      </c>
      <c r="BY11" s="1125">
        <f t="shared" si="50"/>
        <v>0</v>
      </c>
      <c r="BZ11" s="1125">
        <f t="shared" si="51"/>
        <v>0</v>
      </c>
      <c r="CA11" s="1125">
        <f t="shared" si="52"/>
        <v>1</v>
      </c>
      <c r="CB11" s="1125">
        <f t="shared" si="53"/>
        <v>1</v>
      </c>
      <c r="CC11" s="1125">
        <f t="shared" si="54"/>
        <v>1</v>
      </c>
      <c r="CD11" s="1125">
        <f t="shared" si="55"/>
        <v>1</v>
      </c>
      <c r="CE11" s="1125">
        <f t="shared" si="56"/>
        <v>1</v>
      </c>
      <c r="CF11" s="1125">
        <f t="shared" si="57"/>
        <v>0</v>
      </c>
      <c r="CG11" s="1125">
        <f t="shared" si="58"/>
        <v>0</v>
      </c>
      <c r="CH11" s="1125">
        <f t="shared" si="59"/>
        <v>0</v>
      </c>
      <c r="CI11" s="1125">
        <f t="shared" si="60"/>
        <v>0.85</v>
      </c>
      <c r="CJ11" s="1125">
        <f t="shared" si="61"/>
        <v>0.85</v>
      </c>
      <c r="CK11" s="1125">
        <f t="shared" si="62"/>
        <v>0.85</v>
      </c>
      <c r="CL11" s="1125">
        <f t="shared" si="63"/>
        <v>0.85</v>
      </c>
      <c r="CM11" s="1125">
        <f t="shared" si="64"/>
        <v>0.85</v>
      </c>
      <c r="CN11" s="1125">
        <f t="shared" si="65"/>
        <v>0.85</v>
      </c>
      <c r="CO11" s="1125">
        <f t="shared" si="66"/>
        <v>0.7</v>
      </c>
      <c r="CP11" s="1125">
        <f t="shared" si="67"/>
        <v>0.7</v>
      </c>
      <c r="CQ11" s="1125">
        <f t="shared" si="68"/>
        <v>0.85</v>
      </c>
      <c r="CR11" s="1125">
        <f t="shared" si="69"/>
        <v>0.85</v>
      </c>
      <c r="CS11" s="1125">
        <f t="shared" si="70"/>
        <v>0.85</v>
      </c>
      <c r="CT11" s="1125">
        <f t="shared" si="71"/>
        <v>0.85</v>
      </c>
      <c r="CU11" s="1125">
        <v>1</v>
      </c>
      <c r="CV11" s="1125"/>
      <c r="CW11" s="1125">
        <f t="shared" si="72"/>
        <v>153</v>
      </c>
      <c r="CX11" s="1125">
        <f t="shared" si="73"/>
        <v>212</v>
      </c>
      <c r="CY11" s="1136" t="s">
        <v>4889</v>
      </c>
      <c r="CZ11" s="1129" t="s">
        <v>4897</v>
      </c>
      <c r="DA11" s="1129"/>
      <c r="DB11" s="1129"/>
      <c r="DC11" s="1125" t="s">
        <v>6045</v>
      </c>
      <c r="DD11" s="1125" t="s">
        <v>229</v>
      </c>
      <c r="DE11" s="1120" t="str">
        <f t="shared" si="74"/>
        <v/>
      </c>
      <c r="DF11" s="1133">
        <v>0</v>
      </c>
      <c r="DG11" s="1120">
        <v>0</v>
      </c>
      <c r="DI11" s="1">
        <v>2</v>
      </c>
      <c r="DJ11" s="1">
        <f>2+DI11</f>
        <v>4</v>
      </c>
    </row>
    <row r="12" spans="1:114">
      <c r="A12" s="1125" t="s">
        <v>2928</v>
      </c>
      <c r="B12" s="1125" t="s">
        <v>3208</v>
      </c>
      <c r="C12" s="1125" t="s">
        <v>3209</v>
      </c>
      <c r="D12" s="1125" t="s">
        <v>536</v>
      </c>
      <c r="E12" s="1125">
        <v>4661</v>
      </c>
      <c r="F12" s="1125">
        <v>-103.23</v>
      </c>
      <c r="G12" s="1125">
        <v>40.17</v>
      </c>
      <c r="H12" s="1125">
        <v>-7</v>
      </c>
      <c r="I12" s="1126">
        <v>3.0199993133544916</v>
      </c>
      <c r="J12" s="1126">
        <v>91.22000274658204</v>
      </c>
      <c r="K12" s="1127">
        <v>62.960001373291014</v>
      </c>
      <c r="L12" s="1125">
        <v>6073.2</v>
      </c>
      <c r="M12" s="1125">
        <v>806.4</v>
      </c>
      <c r="N12" s="1128">
        <v>25.339999914169312</v>
      </c>
      <c r="O12" s="1128">
        <v>27.139999914169312</v>
      </c>
      <c r="P12" s="1128">
        <v>44.420000171661378</v>
      </c>
      <c r="Q12" s="1128">
        <v>48.019999313354489</v>
      </c>
      <c r="R12" s="1128">
        <v>57.019999313354489</v>
      </c>
      <c r="S12" s="1128">
        <v>67.280000686645508</v>
      </c>
      <c r="T12" s="1128">
        <v>76.280000686645508</v>
      </c>
      <c r="U12" s="1128">
        <v>69.980000686645511</v>
      </c>
      <c r="V12" s="1128">
        <v>60.980000686645511</v>
      </c>
      <c r="W12" s="1128">
        <v>48.559999656677249</v>
      </c>
      <c r="X12" s="1128">
        <v>40.820000171661377</v>
      </c>
      <c r="Y12" s="1128">
        <v>32.360000005364419</v>
      </c>
      <c r="Z12" s="1128">
        <v>49.988164484427401</v>
      </c>
      <c r="AA12" s="1128">
        <f t="shared" si="0"/>
        <v>45.704741779449051</v>
      </c>
      <c r="AB12" s="1128">
        <f t="shared" si="1"/>
        <v>44.276672376618436</v>
      </c>
      <c r="AC12" s="1128">
        <f t="shared" si="2"/>
        <v>45.901383871244683</v>
      </c>
      <c r="AD12" s="1128">
        <f t="shared" si="3"/>
        <v>50.155370174691441</v>
      </c>
      <c r="AE12" s="1128">
        <f t="shared" si="4"/>
        <v>55.929764201052016</v>
      </c>
      <c r="AF12" s="1128">
        <f t="shared" si="5"/>
        <v>61.719381161249999</v>
      </c>
      <c r="AG12" s="1128">
        <f t="shared" si="6"/>
        <v>66.015068173911729</v>
      </c>
      <c r="AH12" s="1128">
        <f t="shared" si="7"/>
        <v>67.697088220646265</v>
      </c>
      <c r="AI12" s="1128">
        <f t="shared" si="8"/>
        <v>66.326996855558704</v>
      </c>
      <c r="AJ12" s="1128">
        <f t="shared" si="9"/>
        <v>62.261929506706153</v>
      </c>
      <c r="AK12" s="1128">
        <f t="shared" si="10"/>
        <v>56.561508623151141</v>
      </c>
      <c r="AL12" s="1128">
        <f t="shared" si="11"/>
        <v>50.71163675433715</v>
      </c>
      <c r="AM12" s="1125">
        <f t="shared" si="12"/>
        <v>1</v>
      </c>
      <c r="AN12" s="1125">
        <f t="shared" si="13"/>
        <v>1</v>
      </c>
      <c r="AO12" s="1125">
        <f t="shared" si="14"/>
        <v>1</v>
      </c>
      <c r="AP12" s="1125">
        <f t="shared" si="15"/>
        <v>1</v>
      </c>
      <c r="AQ12" s="1125">
        <f t="shared" si="16"/>
        <v>1</v>
      </c>
      <c r="AR12" s="1125">
        <f t="shared" si="17"/>
        <v>0</v>
      </c>
      <c r="AS12" s="1125">
        <f t="shared" si="18"/>
        <v>0</v>
      </c>
      <c r="AT12" s="1125">
        <f t="shared" si="19"/>
        <v>0</v>
      </c>
      <c r="AU12" s="1125">
        <f t="shared" si="20"/>
        <v>1</v>
      </c>
      <c r="AV12" s="1125">
        <f t="shared" si="21"/>
        <v>1</v>
      </c>
      <c r="AW12" s="1125">
        <f t="shared" si="22"/>
        <v>1</v>
      </c>
      <c r="AX12" s="1125">
        <f t="shared" si="23"/>
        <v>1</v>
      </c>
      <c r="AY12" s="1125">
        <f t="shared" si="24"/>
        <v>0</v>
      </c>
      <c r="AZ12" s="1125">
        <f t="shared" si="25"/>
        <v>0</v>
      </c>
      <c r="BA12" s="1125">
        <f t="shared" si="26"/>
        <v>0</v>
      </c>
      <c r="BB12" s="1125">
        <f t="shared" si="27"/>
        <v>0</v>
      </c>
      <c r="BC12" s="1125">
        <f t="shared" si="28"/>
        <v>0</v>
      </c>
      <c r="BD12" s="1125">
        <f t="shared" si="29"/>
        <v>1</v>
      </c>
      <c r="BE12" s="1125">
        <f t="shared" si="30"/>
        <v>1</v>
      </c>
      <c r="BF12" s="1125">
        <f t="shared" si="31"/>
        <v>1</v>
      </c>
      <c r="BG12" s="1125">
        <f t="shared" si="32"/>
        <v>0</v>
      </c>
      <c r="BH12" s="1125">
        <f t="shared" si="33"/>
        <v>0</v>
      </c>
      <c r="BI12" s="1125">
        <f t="shared" si="34"/>
        <v>0</v>
      </c>
      <c r="BJ12" s="1125">
        <f t="shared" si="35"/>
        <v>0</v>
      </c>
      <c r="BK12" s="1125">
        <f t="shared" si="36"/>
        <v>1</v>
      </c>
      <c r="BL12" s="1125">
        <f t="shared" si="37"/>
        <v>1</v>
      </c>
      <c r="BM12" s="1125">
        <f t="shared" si="38"/>
        <v>1</v>
      </c>
      <c r="BN12" s="1125">
        <f t="shared" si="39"/>
        <v>1</v>
      </c>
      <c r="BO12" s="1125">
        <f t="shared" si="40"/>
        <v>1</v>
      </c>
      <c r="BP12" s="1125">
        <f t="shared" si="41"/>
        <v>1</v>
      </c>
      <c r="BQ12" s="1125">
        <f t="shared" si="42"/>
        <v>0</v>
      </c>
      <c r="BR12" s="1125">
        <f t="shared" si="43"/>
        <v>0</v>
      </c>
      <c r="BS12" s="1125">
        <f t="shared" si="44"/>
        <v>1</v>
      </c>
      <c r="BT12" s="1125">
        <f t="shared" si="45"/>
        <v>1</v>
      </c>
      <c r="BU12" s="1125">
        <f t="shared" si="46"/>
        <v>1</v>
      </c>
      <c r="BV12" s="1125">
        <f t="shared" si="47"/>
        <v>1</v>
      </c>
      <c r="BW12" s="1125">
        <f t="shared" si="48"/>
        <v>0</v>
      </c>
      <c r="BX12" s="1125">
        <f t="shared" si="49"/>
        <v>0</v>
      </c>
      <c r="BY12" s="1125">
        <f t="shared" si="50"/>
        <v>0</v>
      </c>
      <c r="BZ12" s="1125">
        <f t="shared" si="51"/>
        <v>0</v>
      </c>
      <c r="CA12" s="1125">
        <f t="shared" si="52"/>
        <v>1</v>
      </c>
      <c r="CB12" s="1125">
        <f t="shared" si="53"/>
        <v>1</v>
      </c>
      <c r="CC12" s="1125">
        <f t="shared" si="54"/>
        <v>1</v>
      </c>
      <c r="CD12" s="1125">
        <f t="shared" si="55"/>
        <v>1</v>
      </c>
      <c r="CE12" s="1125">
        <f t="shared" si="56"/>
        <v>1</v>
      </c>
      <c r="CF12" s="1125">
        <f t="shared" si="57"/>
        <v>0</v>
      </c>
      <c r="CG12" s="1125">
        <f t="shared" si="58"/>
        <v>0</v>
      </c>
      <c r="CH12" s="1125">
        <f t="shared" si="59"/>
        <v>0</v>
      </c>
      <c r="CI12" s="1125">
        <f t="shared" si="60"/>
        <v>0.85</v>
      </c>
      <c r="CJ12" s="1125">
        <f t="shared" si="61"/>
        <v>0.85</v>
      </c>
      <c r="CK12" s="1125">
        <f t="shared" si="62"/>
        <v>0.85</v>
      </c>
      <c r="CL12" s="1125">
        <f t="shared" si="63"/>
        <v>0.85</v>
      </c>
      <c r="CM12" s="1125">
        <f t="shared" si="64"/>
        <v>0.85</v>
      </c>
      <c r="CN12" s="1125">
        <f t="shared" si="65"/>
        <v>0.85</v>
      </c>
      <c r="CO12" s="1125">
        <f t="shared" si="66"/>
        <v>0.7</v>
      </c>
      <c r="CP12" s="1125">
        <f t="shared" si="67"/>
        <v>0.7</v>
      </c>
      <c r="CQ12" s="1125">
        <f t="shared" si="68"/>
        <v>0.85</v>
      </c>
      <c r="CR12" s="1125">
        <f t="shared" si="69"/>
        <v>0.85</v>
      </c>
      <c r="CS12" s="1125">
        <f t="shared" si="70"/>
        <v>0.85</v>
      </c>
      <c r="CT12" s="1125">
        <f t="shared" si="71"/>
        <v>0.85</v>
      </c>
      <c r="CU12" s="1125">
        <v>1</v>
      </c>
      <c r="CV12" s="1125"/>
      <c r="CW12" s="1125">
        <f t="shared" si="72"/>
        <v>153</v>
      </c>
      <c r="CX12" s="1125">
        <f t="shared" si="73"/>
        <v>212</v>
      </c>
      <c r="CY12" s="1136" t="s">
        <v>4889</v>
      </c>
      <c r="CZ12" s="1129" t="s">
        <v>4890</v>
      </c>
      <c r="DA12" s="1129"/>
      <c r="DB12" s="1129"/>
      <c r="DC12" s="1125" t="s">
        <v>5070</v>
      </c>
      <c r="DD12" s="1125" t="s">
        <v>536</v>
      </c>
      <c r="DE12" s="1120" t="str">
        <f t="shared" si="74"/>
        <v/>
      </c>
      <c r="DF12" s="1125">
        <v>0</v>
      </c>
      <c r="DG12" s="1125">
        <v>0</v>
      </c>
      <c r="DI12" s="1">
        <v>3</v>
      </c>
      <c r="DJ12" s="1">
        <f>2+DI12</f>
        <v>5</v>
      </c>
    </row>
    <row r="13" spans="1:114">
      <c r="A13" s="1120" t="s">
        <v>2930</v>
      </c>
      <c r="B13" s="1120" t="s">
        <v>3210</v>
      </c>
      <c r="C13" s="1120" t="s">
        <v>3211</v>
      </c>
      <c r="D13" s="1120" t="s">
        <v>536</v>
      </c>
      <c r="E13" s="1120">
        <v>7531</v>
      </c>
      <c r="F13" s="1120">
        <v>-105.87</v>
      </c>
      <c r="G13" s="1120">
        <v>37.43</v>
      </c>
      <c r="H13" s="1120">
        <v>-7</v>
      </c>
      <c r="I13" s="1121">
        <v>-9.9399986267089862</v>
      </c>
      <c r="J13" s="1121">
        <v>82.760001373291018</v>
      </c>
      <c r="K13" s="1122">
        <v>55.040000343322752</v>
      </c>
      <c r="L13" s="1120">
        <v>8413.2000000000007</v>
      </c>
      <c r="M13" s="1120">
        <v>50.4</v>
      </c>
      <c r="N13" s="1123">
        <v>12.380000686645507</v>
      </c>
      <c r="O13" s="1123">
        <v>23.359999656677246</v>
      </c>
      <c r="P13" s="1123">
        <v>34.519999957084657</v>
      </c>
      <c r="Q13" s="1123">
        <v>43.340000343322757</v>
      </c>
      <c r="R13" s="1123">
        <v>51.080000686645505</v>
      </c>
      <c r="S13" s="1123">
        <v>61.7</v>
      </c>
      <c r="T13" s="1123">
        <v>64.039998626708979</v>
      </c>
      <c r="U13" s="1123">
        <v>61.7</v>
      </c>
      <c r="V13" s="1123">
        <v>55.4</v>
      </c>
      <c r="W13" s="1123">
        <v>44.420000171661378</v>
      </c>
      <c r="X13" s="1123">
        <v>26.779999828338624</v>
      </c>
      <c r="Y13" s="1123">
        <v>18.140000343322754</v>
      </c>
      <c r="Z13" s="1123">
        <v>41.494137014166952</v>
      </c>
      <c r="AA13" s="1123">
        <f t="shared" si="0"/>
        <v>39.757608945017509</v>
      </c>
      <c r="AB13" s="1123">
        <f t="shared" si="1"/>
        <v>37.890081397941444</v>
      </c>
      <c r="AC13" s="1123">
        <f t="shared" si="2"/>
        <v>38.525998950211623</v>
      </c>
      <c r="AD13" s="1123">
        <f t="shared" si="3"/>
        <v>41.499599892042689</v>
      </c>
      <c r="AE13" s="1123">
        <f t="shared" si="4"/>
        <v>46.035769313368782</v>
      </c>
      <c r="AF13" s="1123">
        <f t="shared" si="5"/>
        <v>50.952084750034466</v>
      </c>
      <c r="AG13" s="1123">
        <f t="shared" si="6"/>
        <v>54.967032820758646</v>
      </c>
      <c r="AH13" s="1123">
        <f t="shared" si="7"/>
        <v>57.034055438684433</v>
      </c>
      <c r="AI13" s="1123">
        <f t="shared" si="8"/>
        <v>56.614351304666719</v>
      </c>
      <c r="AJ13" s="1123">
        <f t="shared" si="9"/>
        <v>53.817322769073719</v>
      </c>
      <c r="AK13" s="1123">
        <f t="shared" si="10"/>
        <v>49.372058423222192</v>
      </c>
      <c r="AL13" s="1123">
        <f t="shared" si="11"/>
        <v>44.437284922455525</v>
      </c>
      <c r="AM13" s="1120">
        <f t="shared" si="12"/>
        <v>1</v>
      </c>
      <c r="AN13" s="1120">
        <f t="shared" si="13"/>
        <v>1</v>
      </c>
      <c r="AO13" s="1120">
        <f t="shared" si="14"/>
        <v>1</v>
      </c>
      <c r="AP13" s="1120">
        <f t="shared" si="15"/>
        <v>1</v>
      </c>
      <c r="AQ13" s="1120">
        <f t="shared" si="16"/>
        <v>1</v>
      </c>
      <c r="AR13" s="1120">
        <f t="shared" si="17"/>
        <v>1</v>
      </c>
      <c r="AS13" s="1120">
        <f t="shared" si="18"/>
        <v>1</v>
      </c>
      <c r="AT13" s="1120">
        <f t="shared" si="19"/>
        <v>1</v>
      </c>
      <c r="AU13" s="1120">
        <f t="shared" si="20"/>
        <v>1</v>
      </c>
      <c r="AV13" s="1120">
        <f t="shared" si="21"/>
        <v>1</v>
      </c>
      <c r="AW13" s="1120">
        <f t="shared" si="22"/>
        <v>1</v>
      </c>
      <c r="AX13" s="1120">
        <f t="shared" si="23"/>
        <v>1</v>
      </c>
      <c r="AY13" s="1120">
        <f t="shared" si="24"/>
        <v>0</v>
      </c>
      <c r="AZ13" s="1120">
        <f t="shared" si="25"/>
        <v>0</v>
      </c>
      <c r="BA13" s="1120">
        <f t="shared" si="26"/>
        <v>0</v>
      </c>
      <c r="BB13" s="1120">
        <f t="shared" si="27"/>
        <v>0</v>
      </c>
      <c r="BC13" s="1120">
        <f t="shared" si="28"/>
        <v>0</v>
      </c>
      <c r="BD13" s="1120">
        <f t="shared" si="29"/>
        <v>0</v>
      </c>
      <c r="BE13" s="1120">
        <f t="shared" si="30"/>
        <v>1</v>
      </c>
      <c r="BF13" s="1120">
        <f t="shared" si="31"/>
        <v>1</v>
      </c>
      <c r="BG13" s="1120">
        <f t="shared" si="32"/>
        <v>0</v>
      </c>
      <c r="BH13" s="1120">
        <f t="shared" si="33"/>
        <v>0</v>
      </c>
      <c r="BI13" s="1120">
        <f t="shared" si="34"/>
        <v>0</v>
      </c>
      <c r="BJ13" s="1120">
        <f t="shared" si="35"/>
        <v>0</v>
      </c>
      <c r="BK13" s="1120">
        <f t="shared" si="36"/>
        <v>1</v>
      </c>
      <c r="BL13" s="1120">
        <f t="shared" si="37"/>
        <v>1</v>
      </c>
      <c r="BM13" s="1120">
        <f t="shared" si="38"/>
        <v>1</v>
      </c>
      <c r="BN13" s="1120">
        <f t="shared" si="39"/>
        <v>1</v>
      </c>
      <c r="BO13" s="1120">
        <f t="shared" si="40"/>
        <v>1</v>
      </c>
      <c r="BP13" s="1120">
        <f t="shared" si="41"/>
        <v>1</v>
      </c>
      <c r="BQ13" s="1120">
        <f t="shared" si="42"/>
        <v>1</v>
      </c>
      <c r="BR13" s="1120">
        <f t="shared" si="43"/>
        <v>1</v>
      </c>
      <c r="BS13" s="1120">
        <f t="shared" si="44"/>
        <v>1</v>
      </c>
      <c r="BT13" s="1120">
        <f t="shared" si="45"/>
        <v>1</v>
      </c>
      <c r="BU13" s="1120">
        <f t="shared" si="46"/>
        <v>1</v>
      </c>
      <c r="BV13" s="1120">
        <f t="shared" si="47"/>
        <v>1</v>
      </c>
      <c r="BW13" s="1120">
        <f t="shared" si="48"/>
        <v>0</v>
      </c>
      <c r="BX13" s="1120">
        <f t="shared" si="49"/>
        <v>0</v>
      </c>
      <c r="BY13" s="1120">
        <f t="shared" si="50"/>
        <v>0</v>
      </c>
      <c r="BZ13" s="1120">
        <f t="shared" si="51"/>
        <v>0</v>
      </c>
      <c r="CA13" s="1120">
        <f t="shared" si="52"/>
        <v>0</v>
      </c>
      <c r="CB13" s="1120">
        <f t="shared" si="53"/>
        <v>0</v>
      </c>
      <c r="CC13" s="1120">
        <f t="shared" si="54"/>
        <v>1</v>
      </c>
      <c r="CD13" s="1120">
        <f t="shared" si="55"/>
        <v>1</v>
      </c>
      <c r="CE13" s="1120">
        <f t="shared" si="56"/>
        <v>0</v>
      </c>
      <c r="CF13" s="1120">
        <f t="shared" si="57"/>
        <v>0</v>
      </c>
      <c r="CG13" s="1120">
        <f t="shared" si="58"/>
        <v>0</v>
      </c>
      <c r="CH13" s="1120">
        <f t="shared" si="59"/>
        <v>0</v>
      </c>
      <c r="CI13" s="1120">
        <f t="shared" si="60"/>
        <v>0.85</v>
      </c>
      <c r="CJ13" s="1120">
        <f t="shared" si="61"/>
        <v>0.85</v>
      </c>
      <c r="CK13" s="1120">
        <f t="shared" si="62"/>
        <v>0.85</v>
      </c>
      <c r="CL13" s="1120">
        <f t="shared" si="63"/>
        <v>0.85</v>
      </c>
      <c r="CM13" s="1120">
        <f t="shared" si="64"/>
        <v>0.85</v>
      </c>
      <c r="CN13" s="1120">
        <f t="shared" si="65"/>
        <v>0.85</v>
      </c>
      <c r="CO13" s="1120">
        <f t="shared" si="66"/>
        <v>0.85</v>
      </c>
      <c r="CP13" s="1120">
        <f t="shared" si="67"/>
        <v>0.85</v>
      </c>
      <c r="CQ13" s="1120">
        <f t="shared" si="68"/>
        <v>0.85</v>
      </c>
      <c r="CR13" s="1120">
        <f t="shared" si="69"/>
        <v>0.85</v>
      </c>
      <c r="CS13" s="1120">
        <f t="shared" si="70"/>
        <v>0.85</v>
      </c>
      <c r="CT13" s="1120">
        <f t="shared" si="71"/>
        <v>0.85</v>
      </c>
      <c r="CU13" s="1120">
        <v>1</v>
      </c>
      <c r="CV13" s="1120"/>
      <c r="CW13" s="1120">
        <f t="shared" si="72"/>
        <v>62</v>
      </c>
      <c r="CX13" s="1120">
        <f t="shared" si="73"/>
        <v>303</v>
      </c>
      <c r="CY13" s="1135" t="s">
        <v>4889</v>
      </c>
      <c r="CZ13" s="1124" t="s">
        <v>4896</v>
      </c>
      <c r="DA13" s="1124"/>
      <c r="DB13" s="1124"/>
      <c r="DC13" s="1120" t="s">
        <v>5071</v>
      </c>
      <c r="DD13" s="1120" t="s">
        <v>536</v>
      </c>
      <c r="DE13" s="1120" t="str">
        <f t="shared" si="74"/>
        <v/>
      </c>
      <c r="DF13" s="1120">
        <v>0</v>
      </c>
      <c r="DG13" s="1120">
        <v>0</v>
      </c>
      <c r="DI13" s="1">
        <v>4</v>
      </c>
      <c r="DJ13" s="1">
        <f>2+DI13</f>
        <v>6</v>
      </c>
    </row>
    <row r="14" spans="1:114">
      <c r="A14" s="1125" t="s">
        <v>601</v>
      </c>
      <c r="B14" s="1120" t="s">
        <v>4118</v>
      </c>
      <c r="C14" s="1120" t="s">
        <v>4119</v>
      </c>
      <c r="D14" s="1120" t="s">
        <v>537</v>
      </c>
      <c r="E14" s="1120">
        <v>276</v>
      </c>
      <c r="F14" s="1120">
        <v>-73.8</v>
      </c>
      <c r="G14" s="1120">
        <v>42.75</v>
      </c>
      <c r="H14" s="1120">
        <v>-5</v>
      </c>
      <c r="I14" s="1121">
        <v>2.8399986267089838</v>
      </c>
      <c r="J14" s="1121">
        <v>86.180000686645513</v>
      </c>
      <c r="K14" s="1122">
        <v>71.419999313354495</v>
      </c>
      <c r="L14" s="1120">
        <v>6483.6</v>
      </c>
      <c r="M14" s="1120">
        <v>563.4</v>
      </c>
      <c r="N14" s="1123">
        <v>19.940000343322755</v>
      </c>
      <c r="O14" s="1123">
        <v>25.160000085830688</v>
      </c>
      <c r="P14" s="1123">
        <v>36.679999828338623</v>
      </c>
      <c r="Q14" s="1123">
        <v>48.559999656677249</v>
      </c>
      <c r="R14" s="1123">
        <v>60.259999656677245</v>
      </c>
      <c r="S14" s="1123">
        <v>65.3</v>
      </c>
      <c r="T14" s="1123">
        <v>71.960001373291021</v>
      </c>
      <c r="U14" s="1123">
        <v>68.900000000000006</v>
      </c>
      <c r="V14" s="1123">
        <v>61.160001373291017</v>
      </c>
      <c r="W14" s="1123">
        <v>49.640000343322754</v>
      </c>
      <c r="X14" s="1123">
        <v>40.279999828338624</v>
      </c>
      <c r="Y14" s="1123">
        <v>28.939999914169313</v>
      </c>
      <c r="Z14" s="1123">
        <v>48.190137187356818</v>
      </c>
      <c r="AA14" s="1123">
        <f t="shared" si="0"/>
        <v>44.274350888680132</v>
      </c>
      <c r="AB14" s="1123">
        <f t="shared" si="1"/>
        <v>42.697398523994671</v>
      </c>
      <c r="AC14" s="1123">
        <f t="shared" si="2"/>
        <v>44.116205600378386</v>
      </c>
      <c r="AD14" s="1123">
        <f t="shared" si="3"/>
        <v>48.160938188892978</v>
      </c>
      <c r="AE14" s="1123">
        <f t="shared" si="4"/>
        <v>53.777274409126186</v>
      </c>
      <c r="AF14" s="1123">
        <f t="shared" si="5"/>
        <v>59.501229674913205</v>
      </c>
      <c r="AG14" s="1123">
        <f t="shared" si="6"/>
        <v>63.840766837405951</v>
      </c>
      <c r="AH14" s="1123">
        <f t="shared" si="7"/>
        <v>65.664718660908747</v>
      </c>
      <c r="AI14" s="1123">
        <f t="shared" si="8"/>
        <v>64.497643994677162</v>
      </c>
      <c r="AJ14" s="1123">
        <f t="shared" si="9"/>
        <v>60.643758835629477</v>
      </c>
      <c r="AK14" s="1123">
        <f t="shared" si="10"/>
        <v>55.107637740639504</v>
      </c>
      <c r="AL14" s="1123">
        <f t="shared" si="11"/>
        <v>49.332355987324881</v>
      </c>
      <c r="AM14" s="1120">
        <f t="shared" si="12"/>
        <v>1</v>
      </c>
      <c r="AN14" s="1120">
        <f t="shared" si="13"/>
        <v>1</v>
      </c>
      <c r="AO14" s="1120">
        <f t="shared" si="14"/>
        <v>1</v>
      </c>
      <c r="AP14" s="1120">
        <f t="shared" si="15"/>
        <v>1</v>
      </c>
      <c r="AQ14" s="1120">
        <f t="shared" si="16"/>
        <v>1</v>
      </c>
      <c r="AR14" s="1120">
        <f t="shared" si="17"/>
        <v>1</v>
      </c>
      <c r="AS14" s="1120">
        <f t="shared" si="18"/>
        <v>0</v>
      </c>
      <c r="AT14" s="1120">
        <f t="shared" si="19"/>
        <v>0</v>
      </c>
      <c r="AU14" s="1120">
        <f t="shared" si="20"/>
        <v>1</v>
      </c>
      <c r="AV14" s="1120">
        <f t="shared" si="21"/>
        <v>1</v>
      </c>
      <c r="AW14" s="1120">
        <f t="shared" si="22"/>
        <v>1</v>
      </c>
      <c r="AX14" s="1120">
        <f t="shared" si="23"/>
        <v>1</v>
      </c>
      <c r="AY14" s="1120">
        <f t="shared" si="24"/>
        <v>0</v>
      </c>
      <c r="AZ14" s="1120">
        <f t="shared" si="25"/>
        <v>0</v>
      </c>
      <c r="BA14" s="1120">
        <f t="shared" si="26"/>
        <v>0</v>
      </c>
      <c r="BB14" s="1120">
        <f t="shared" si="27"/>
        <v>0</v>
      </c>
      <c r="BC14" s="1120">
        <f t="shared" si="28"/>
        <v>0</v>
      </c>
      <c r="BD14" s="1120">
        <f t="shared" si="29"/>
        <v>0</v>
      </c>
      <c r="BE14" s="1120">
        <f t="shared" si="30"/>
        <v>1</v>
      </c>
      <c r="BF14" s="1120">
        <f t="shared" si="31"/>
        <v>1</v>
      </c>
      <c r="BG14" s="1120">
        <f t="shared" si="32"/>
        <v>0</v>
      </c>
      <c r="BH14" s="1120">
        <f t="shared" si="33"/>
        <v>0</v>
      </c>
      <c r="BI14" s="1120">
        <f t="shared" si="34"/>
        <v>0</v>
      </c>
      <c r="BJ14" s="1120">
        <f t="shared" si="35"/>
        <v>0</v>
      </c>
      <c r="BK14" s="1120">
        <f t="shared" si="36"/>
        <v>1</v>
      </c>
      <c r="BL14" s="1120">
        <f t="shared" si="37"/>
        <v>1</v>
      </c>
      <c r="BM14" s="1120">
        <f t="shared" si="38"/>
        <v>1</v>
      </c>
      <c r="BN14" s="1120">
        <f t="shared" si="39"/>
        <v>1</v>
      </c>
      <c r="BO14" s="1120">
        <f t="shared" si="40"/>
        <v>1</v>
      </c>
      <c r="BP14" s="1120">
        <f t="shared" si="41"/>
        <v>1</v>
      </c>
      <c r="BQ14" s="1120">
        <f t="shared" si="42"/>
        <v>1</v>
      </c>
      <c r="BR14" s="1120">
        <f t="shared" si="43"/>
        <v>0</v>
      </c>
      <c r="BS14" s="1120">
        <f t="shared" si="44"/>
        <v>1</v>
      </c>
      <c r="BT14" s="1120">
        <f t="shared" si="45"/>
        <v>1</v>
      </c>
      <c r="BU14" s="1120">
        <f t="shared" si="46"/>
        <v>1</v>
      </c>
      <c r="BV14" s="1120">
        <f t="shared" si="47"/>
        <v>1</v>
      </c>
      <c r="BW14" s="1120">
        <f t="shared" si="48"/>
        <v>0</v>
      </c>
      <c r="BX14" s="1120">
        <f t="shared" si="49"/>
        <v>0</v>
      </c>
      <c r="BY14" s="1120">
        <f t="shared" si="50"/>
        <v>0</v>
      </c>
      <c r="BZ14" s="1120">
        <f t="shared" si="51"/>
        <v>0</v>
      </c>
      <c r="CA14" s="1120">
        <f t="shared" si="52"/>
        <v>0</v>
      </c>
      <c r="CB14" s="1120">
        <f t="shared" si="53"/>
        <v>1</v>
      </c>
      <c r="CC14" s="1120">
        <f t="shared" si="54"/>
        <v>1</v>
      </c>
      <c r="CD14" s="1120">
        <f t="shared" si="55"/>
        <v>1</v>
      </c>
      <c r="CE14" s="1120">
        <f t="shared" si="56"/>
        <v>1</v>
      </c>
      <c r="CF14" s="1120">
        <f t="shared" si="57"/>
        <v>0</v>
      </c>
      <c r="CG14" s="1120">
        <f t="shared" si="58"/>
        <v>0</v>
      </c>
      <c r="CH14" s="1120">
        <f t="shared" si="59"/>
        <v>0</v>
      </c>
      <c r="CI14" s="1120">
        <f t="shared" si="60"/>
        <v>0.85</v>
      </c>
      <c r="CJ14" s="1120">
        <f t="shared" si="61"/>
        <v>0.85</v>
      </c>
      <c r="CK14" s="1120">
        <f t="shared" si="62"/>
        <v>0.85</v>
      </c>
      <c r="CL14" s="1120">
        <f t="shared" si="63"/>
        <v>0.85</v>
      </c>
      <c r="CM14" s="1120">
        <f t="shared" si="64"/>
        <v>0.85</v>
      </c>
      <c r="CN14" s="1120">
        <f t="shared" si="65"/>
        <v>0.85</v>
      </c>
      <c r="CO14" s="1120">
        <f t="shared" si="66"/>
        <v>0.85</v>
      </c>
      <c r="CP14" s="1120">
        <f t="shared" si="67"/>
        <v>0.7</v>
      </c>
      <c r="CQ14" s="1120">
        <f t="shared" si="68"/>
        <v>0.85</v>
      </c>
      <c r="CR14" s="1120">
        <f t="shared" si="69"/>
        <v>0.85</v>
      </c>
      <c r="CS14" s="1120">
        <f t="shared" si="70"/>
        <v>0.85</v>
      </c>
      <c r="CT14" s="1120">
        <f t="shared" si="71"/>
        <v>0.85</v>
      </c>
      <c r="CU14" s="1120">
        <v>1</v>
      </c>
      <c r="CV14" s="1120"/>
      <c r="CW14" s="1120">
        <f t="shared" si="72"/>
        <v>122</v>
      </c>
      <c r="CX14" s="1120">
        <f t="shared" si="73"/>
        <v>243</v>
      </c>
      <c r="CY14" s="1135" t="s">
        <v>4889</v>
      </c>
      <c r="CZ14" s="1124" t="s">
        <v>4897</v>
      </c>
      <c r="DA14" s="1124"/>
      <c r="DB14" s="1124"/>
      <c r="DC14" s="1120" t="s">
        <v>5471</v>
      </c>
      <c r="DD14" s="1120" t="s">
        <v>537</v>
      </c>
      <c r="DE14" s="1120" t="str">
        <f t="shared" si="74"/>
        <v/>
      </c>
      <c r="DF14" s="1133">
        <v>0</v>
      </c>
      <c r="DG14" s="1125">
        <v>0</v>
      </c>
    </row>
    <row r="15" spans="1:114">
      <c r="A15" s="1120" t="s">
        <v>2932</v>
      </c>
      <c r="B15" s="1125" t="s">
        <v>3346</v>
      </c>
      <c r="C15" s="1125" t="s">
        <v>3347</v>
      </c>
      <c r="D15" s="1125" t="s">
        <v>428</v>
      </c>
      <c r="E15" s="1125">
        <v>190</v>
      </c>
      <c r="F15" s="1125">
        <v>-84.18</v>
      </c>
      <c r="G15" s="1125">
        <v>31.53</v>
      </c>
      <c r="H15" s="1125">
        <v>-5</v>
      </c>
      <c r="I15" s="1126">
        <v>29.660000085830688</v>
      </c>
      <c r="J15" s="1126">
        <v>94.460001373291021</v>
      </c>
      <c r="K15" s="1127">
        <v>76.099999999999994</v>
      </c>
      <c r="L15" s="1125">
        <v>1683</v>
      </c>
      <c r="M15" s="1125">
        <v>2404.8000000000002</v>
      </c>
      <c r="N15" s="1128">
        <v>51.980000686645511</v>
      </c>
      <c r="O15" s="1128">
        <v>54.859999656677246</v>
      </c>
      <c r="P15" s="1128">
        <v>57.380000686645509</v>
      </c>
      <c r="Q15" s="1128">
        <v>64.760001373291018</v>
      </c>
      <c r="R15" s="1128">
        <v>73.039998626708979</v>
      </c>
      <c r="S15" s="1128">
        <v>79.16000137329101</v>
      </c>
      <c r="T15" s="1128">
        <v>81.139998626708987</v>
      </c>
      <c r="U15" s="1128">
        <v>78.439998626708984</v>
      </c>
      <c r="V15" s="1128">
        <v>77</v>
      </c>
      <c r="W15" s="1128">
        <v>70.16000137329101</v>
      </c>
      <c r="X15" s="1128">
        <v>58.819999313354494</v>
      </c>
      <c r="Y15" s="1128">
        <v>48.919999313354495</v>
      </c>
      <c r="Z15" s="1128">
        <v>66.35928763925213</v>
      </c>
      <c r="AA15" s="1128">
        <f t="shared" si="0"/>
        <v>62.549964838387289</v>
      </c>
      <c r="AB15" s="1128">
        <f t="shared" si="1"/>
        <v>62.758152137170001</v>
      </c>
      <c r="AC15" s="1128">
        <f t="shared" si="2"/>
        <v>65.469023362547148</v>
      </c>
      <c r="AD15" s="1128">
        <f t="shared" si="3"/>
        <v>69.975948153834068</v>
      </c>
      <c r="AE15" s="1128">
        <f t="shared" si="4"/>
        <v>75.104127110368438</v>
      </c>
      <c r="AF15" s="1128">
        <f t="shared" si="5"/>
        <v>79.516821359499701</v>
      </c>
      <c r="AG15" s="1128">
        <f t="shared" si="6"/>
        <v>82.063794143515025</v>
      </c>
      <c r="AH15" s="1128">
        <f t="shared" si="7"/>
        <v>82.08113775622212</v>
      </c>
      <c r="AI15" s="1128">
        <f t="shared" si="8"/>
        <v>79.564331317695732</v>
      </c>
      <c r="AJ15" s="1128">
        <f t="shared" si="9"/>
        <v>75.169419211298987</v>
      </c>
      <c r="AK15" s="1128">
        <f t="shared" si="10"/>
        <v>70.042003005209864</v>
      </c>
      <c r="AL15" s="1128">
        <f t="shared" si="11"/>
        <v>65.518622749421013</v>
      </c>
      <c r="AM15" s="1125">
        <f t="shared" si="12"/>
        <v>1</v>
      </c>
      <c r="AN15" s="1125">
        <f t="shared" si="13"/>
        <v>1</v>
      </c>
      <c r="AO15" s="1125">
        <f t="shared" si="14"/>
        <v>1</v>
      </c>
      <c r="AP15" s="1125">
        <f t="shared" si="15"/>
        <v>1</v>
      </c>
      <c r="AQ15" s="1125">
        <f t="shared" si="16"/>
        <v>0</v>
      </c>
      <c r="AR15" s="1125">
        <f t="shared" si="17"/>
        <v>0</v>
      </c>
      <c r="AS15" s="1125">
        <f t="shared" si="18"/>
        <v>0</v>
      </c>
      <c r="AT15" s="1125">
        <f t="shared" si="19"/>
        <v>0</v>
      </c>
      <c r="AU15" s="1125">
        <f t="shared" si="20"/>
        <v>0</v>
      </c>
      <c r="AV15" s="1125">
        <f t="shared" si="21"/>
        <v>0</v>
      </c>
      <c r="AW15" s="1125">
        <f t="shared" si="22"/>
        <v>1</v>
      </c>
      <c r="AX15" s="1125">
        <f t="shared" si="23"/>
        <v>1</v>
      </c>
      <c r="AY15" s="1125">
        <f t="shared" si="24"/>
        <v>0</v>
      </c>
      <c r="AZ15" s="1125">
        <f t="shared" si="25"/>
        <v>0</v>
      </c>
      <c r="BA15" s="1125">
        <f t="shared" si="26"/>
        <v>0</v>
      </c>
      <c r="BB15" s="1125">
        <f t="shared" si="27"/>
        <v>0</v>
      </c>
      <c r="BC15" s="1125">
        <f t="shared" si="28"/>
        <v>1</v>
      </c>
      <c r="BD15" s="1125">
        <f t="shared" si="29"/>
        <v>1</v>
      </c>
      <c r="BE15" s="1125">
        <f t="shared" si="30"/>
        <v>1</v>
      </c>
      <c r="BF15" s="1125">
        <f t="shared" si="31"/>
        <v>1</v>
      </c>
      <c r="BG15" s="1125">
        <f t="shared" si="32"/>
        <v>1</v>
      </c>
      <c r="BH15" s="1125">
        <f t="shared" si="33"/>
        <v>1</v>
      </c>
      <c r="BI15" s="1125">
        <f t="shared" si="34"/>
        <v>0</v>
      </c>
      <c r="BJ15" s="1125">
        <f t="shared" si="35"/>
        <v>0</v>
      </c>
      <c r="BK15" s="1125">
        <f t="shared" si="36"/>
        <v>1</v>
      </c>
      <c r="BL15" s="1125">
        <f t="shared" si="37"/>
        <v>1</v>
      </c>
      <c r="BM15" s="1125">
        <f t="shared" si="38"/>
        <v>1</v>
      </c>
      <c r="BN15" s="1125">
        <f t="shared" si="39"/>
        <v>1</v>
      </c>
      <c r="BO15" s="1125">
        <f t="shared" si="40"/>
        <v>1</v>
      </c>
      <c r="BP15" s="1125">
        <f t="shared" si="41"/>
        <v>0</v>
      </c>
      <c r="BQ15" s="1125">
        <f t="shared" si="42"/>
        <v>0</v>
      </c>
      <c r="BR15" s="1125">
        <f t="shared" si="43"/>
        <v>0</v>
      </c>
      <c r="BS15" s="1125">
        <f t="shared" si="44"/>
        <v>0</v>
      </c>
      <c r="BT15" s="1125">
        <f t="shared" si="45"/>
        <v>0</v>
      </c>
      <c r="BU15" s="1125">
        <f t="shared" si="46"/>
        <v>1</v>
      </c>
      <c r="BV15" s="1125">
        <f t="shared" si="47"/>
        <v>1</v>
      </c>
      <c r="BW15" s="1125">
        <f t="shared" si="48"/>
        <v>0</v>
      </c>
      <c r="BX15" s="1125">
        <f t="shared" si="49"/>
        <v>0</v>
      </c>
      <c r="BY15" s="1125">
        <f t="shared" si="50"/>
        <v>0</v>
      </c>
      <c r="BZ15" s="1125">
        <f t="shared" si="51"/>
        <v>1</v>
      </c>
      <c r="CA15" s="1125">
        <f t="shared" si="52"/>
        <v>1</v>
      </c>
      <c r="CB15" s="1125">
        <f t="shared" si="53"/>
        <v>1</v>
      </c>
      <c r="CC15" s="1125">
        <f t="shared" si="54"/>
        <v>1</v>
      </c>
      <c r="CD15" s="1125">
        <f t="shared" si="55"/>
        <v>1</v>
      </c>
      <c r="CE15" s="1125">
        <f t="shared" si="56"/>
        <v>1</v>
      </c>
      <c r="CF15" s="1125">
        <f t="shared" si="57"/>
        <v>1</v>
      </c>
      <c r="CG15" s="1125">
        <f t="shared" si="58"/>
        <v>1</v>
      </c>
      <c r="CH15" s="1125">
        <f t="shared" si="59"/>
        <v>0</v>
      </c>
      <c r="CI15" s="1125">
        <f t="shared" si="60"/>
        <v>0.85</v>
      </c>
      <c r="CJ15" s="1125">
        <f t="shared" si="61"/>
        <v>0.85</v>
      </c>
      <c r="CK15" s="1125">
        <f t="shared" si="62"/>
        <v>0.85</v>
      </c>
      <c r="CL15" s="1125">
        <f t="shared" si="63"/>
        <v>0.85</v>
      </c>
      <c r="CM15" s="1125">
        <f t="shared" si="64"/>
        <v>0.85</v>
      </c>
      <c r="CN15" s="1125">
        <f t="shared" si="65"/>
        <v>0.7</v>
      </c>
      <c r="CO15" s="1125">
        <f t="shared" si="66"/>
        <v>0.7</v>
      </c>
      <c r="CP15" s="1125">
        <f t="shared" si="67"/>
        <v>0.7</v>
      </c>
      <c r="CQ15" s="1125">
        <f t="shared" si="68"/>
        <v>0.7</v>
      </c>
      <c r="CR15" s="1125">
        <f t="shared" si="69"/>
        <v>0.7</v>
      </c>
      <c r="CS15" s="1125">
        <f t="shared" si="70"/>
        <v>0.85</v>
      </c>
      <c r="CT15" s="1125">
        <f t="shared" si="71"/>
        <v>0.85</v>
      </c>
      <c r="CU15" s="1125">
        <v>1</v>
      </c>
      <c r="CV15" s="1125"/>
      <c r="CW15" s="1125">
        <f t="shared" si="72"/>
        <v>244</v>
      </c>
      <c r="CX15" s="1125">
        <f t="shared" si="73"/>
        <v>121</v>
      </c>
      <c r="CY15" s="1136" t="s">
        <v>4883</v>
      </c>
      <c r="CZ15" s="1129" t="s">
        <v>4882</v>
      </c>
      <c r="DA15" s="1129"/>
      <c r="DB15" s="1129"/>
      <c r="DC15" s="1125" t="s">
        <v>5130</v>
      </c>
      <c r="DD15" s="1125" t="s">
        <v>428</v>
      </c>
      <c r="DE15" s="1120" t="str">
        <f t="shared" si="74"/>
        <v/>
      </c>
      <c r="DF15" s="1133">
        <v>0</v>
      </c>
      <c r="DG15" s="1120">
        <v>0</v>
      </c>
    </row>
    <row r="16" spans="1:114">
      <c r="A16" s="1125" t="s">
        <v>603</v>
      </c>
      <c r="B16" s="1120" t="s">
        <v>5868</v>
      </c>
      <c r="C16" s="1120" t="s">
        <v>5869</v>
      </c>
      <c r="D16" s="1120" t="s">
        <v>934</v>
      </c>
      <c r="E16" s="1120">
        <v>1256</v>
      </c>
      <c r="F16" s="1120">
        <v>-93.37</v>
      </c>
      <c r="G16" s="1120">
        <v>43.68</v>
      </c>
      <c r="H16" s="1120">
        <v>-6</v>
      </c>
      <c r="I16" s="1121">
        <v>-6.8800006866455083</v>
      </c>
      <c r="J16" s="1121">
        <v>86</v>
      </c>
      <c r="K16" s="1122">
        <v>72.319999313354487</v>
      </c>
      <c r="L16" s="1120">
        <v>6987.6</v>
      </c>
      <c r="M16" s="1120">
        <v>999</v>
      </c>
      <c r="N16" s="1123">
        <v>20.840000343322753</v>
      </c>
      <c r="O16" s="1123">
        <v>19.399999999999999</v>
      </c>
      <c r="P16" s="1123">
        <v>33.799999999999997</v>
      </c>
      <c r="Q16" s="1123">
        <v>47.480000686645511</v>
      </c>
      <c r="R16" s="1123">
        <v>54.140000343322754</v>
      </c>
      <c r="S16" s="1123">
        <v>71.419999313354495</v>
      </c>
      <c r="T16" s="1123">
        <v>74.66000137329101</v>
      </c>
      <c r="U16" s="1123">
        <v>74.3</v>
      </c>
      <c r="V16" s="1123">
        <v>63.5</v>
      </c>
      <c r="W16" s="1123">
        <v>47.3</v>
      </c>
      <c r="X16" s="1123">
        <v>42.079999828338622</v>
      </c>
      <c r="Y16" s="1123">
        <v>25.520000171661376</v>
      </c>
      <c r="Z16" s="1123">
        <v>48.013589216519712</v>
      </c>
      <c r="AA16" s="1123">
        <f t="shared" si="0"/>
        <v>43.54102659483884</v>
      </c>
      <c r="AB16" s="1123">
        <f t="shared" si="1"/>
        <v>41.854386283743743</v>
      </c>
      <c r="AC16" s="1123">
        <f t="shared" si="2"/>
        <v>43.337229596065811</v>
      </c>
      <c r="AD16" s="1123">
        <f t="shared" si="3"/>
        <v>47.603030571141147</v>
      </c>
      <c r="AE16" s="1123">
        <f t="shared" si="4"/>
        <v>53.539842446833475</v>
      </c>
      <c r="AF16" s="1123">
        <f t="shared" si="5"/>
        <v>59.600143718703222</v>
      </c>
      <c r="AG16" s="1123">
        <f t="shared" si="6"/>
        <v>64.204223468167996</v>
      </c>
      <c r="AH16" s="1123">
        <f t="shared" si="7"/>
        <v>66.151957357513197</v>
      </c>
      <c r="AI16" s="1123">
        <f t="shared" si="8"/>
        <v>64.935638532993195</v>
      </c>
      <c r="AJ16" s="1123">
        <f t="shared" si="9"/>
        <v>60.872319240259593</v>
      </c>
      <c r="AK16" s="1123">
        <f t="shared" si="10"/>
        <v>55.021166270609129</v>
      </c>
      <c r="AL16" s="1123">
        <f t="shared" si="11"/>
        <v>48.907372814577833</v>
      </c>
      <c r="AM16" s="1120">
        <f t="shared" si="12"/>
        <v>1</v>
      </c>
      <c r="AN16" s="1120">
        <f t="shared" si="13"/>
        <v>1</v>
      </c>
      <c r="AO16" s="1120">
        <f t="shared" si="14"/>
        <v>1</v>
      </c>
      <c r="AP16" s="1120">
        <f t="shared" si="15"/>
        <v>1</v>
      </c>
      <c r="AQ16" s="1120">
        <f t="shared" si="16"/>
        <v>1</v>
      </c>
      <c r="AR16" s="1120">
        <f t="shared" si="17"/>
        <v>0</v>
      </c>
      <c r="AS16" s="1120">
        <f t="shared" si="18"/>
        <v>0</v>
      </c>
      <c r="AT16" s="1120">
        <f t="shared" si="19"/>
        <v>0</v>
      </c>
      <c r="AU16" s="1120">
        <f t="shared" si="20"/>
        <v>1</v>
      </c>
      <c r="AV16" s="1120">
        <f t="shared" si="21"/>
        <v>1</v>
      </c>
      <c r="AW16" s="1120">
        <f t="shared" si="22"/>
        <v>1</v>
      </c>
      <c r="AX16" s="1120">
        <f t="shared" si="23"/>
        <v>1</v>
      </c>
      <c r="AY16" s="1120">
        <f t="shared" si="24"/>
        <v>0</v>
      </c>
      <c r="AZ16" s="1120">
        <f t="shared" si="25"/>
        <v>0</v>
      </c>
      <c r="BA16" s="1120">
        <f t="shared" si="26"/>
        <v>0</v>
      </c>
      <c r="BB16" s="1120">
        <f t="shared" si="27"/>
        <v>0</v>
      </c>
      <c r="BC16" s="1120">
        <f t="shared" si="28"/>
        <v>0</v>
      </c>
      <c r="BD16" s="1120">
        <f t="shared" si="29"/>
        <v>1</v>
      </c>
      <c r="BE16" s="1120">
        <f t="shared" si="30"/>
        <v>1</v>
      </c>
      <c r="BF16" s="1120">
        <f t="shared" si="31"/>
        <v>1</v>
      </c>
      <c r="BG16" s="1120">
        <f t="shared" si="32"/>
        <v>0</v>
      </c>
      <c r="BH16" s="1120">
        <f t="shared" si="33"/>
        <v>0</v>
      </c>
      <c r="BI16" s="1120">
        <f t="shared" si="34"/>
        <v>0</v>
      </c>
      <c r="BJ16" s="1120">
        <f t="shared" si="35"/>
        <v>0</v>
      </c>
      <c r="BK16" s="1120">
        <f t="shared" si="36"/>
        <v>1</v>
      </c>
      <c r="BL16" s="1120">
        <f t="shared" si="37"/>
        <v>1</v>
      </c>
      <c r="BM16" s="1120">
        <f t="shared" si="38"/>
        <v>1</v>
      </c>
      <c r="BN16" s="1120">
        <f t="shared" si="39"/>
        <v>1</v>
      </c>
      <c r="BO16" s="1120">
        <f t="shared" si="40"/>
        <v>1</v>
      </c>
      <c r="BP16" s="1120">
        <f t="shared" si="41"/>
        <v>1</v>
      </c>
      <c r="BQ16" s="1120">
        <f t="shared" si="42"/>
        <v>0</v>
      </c>
      <c r="BR16" s="1120">
        <f t="shared" si="43"/>
        <v>0</v>
      </c>
      <c r="BS16" s="1120">
        <f t="shared" si="44"/>
        <v>1</v>
      </c>
      <c r="BT16" s="1120">
        <f t="shared" si="45"/>
        <v>1</v>
      </c>
      <c r="BU16" s="1120">
        <f t="shared" si="46"/>
        <v>1</v>
      </c>
      <c r="BV16" s="1120">
        <f t="shared" si="47"/>
        <v>1</v>
      </c>
      <c r="BW16" s="1120">
        <f t="shared" si="48"/>
        <v>0</v>
      </c>
      <c r="BX16" s="1120">
        <f t="shared" si="49"/>
        <v>0</v>
      </c>
      <c r="BY16" s="1120">
        <f t="shared" si="50"/>
        <v>0</v>
      </c>
      <c r="BZ16" s="1120">
        <f t="shared" si="51"/>
        <v>0</v>
      </c>
      <c r="CA16" s="1120">
        <f t="shared" si="52"/>
        <v>1</v>
      </c>
      <c r="CB16" s="1120">
        <f t="shared" si="53"/>
        <v>1</v>
      </c>
      <c r="CC16" s="1120">
        <f t="shared" si="54"/>
        <v>1</v>
      </c>
      <c r="CD16" s="1120">
        <f t="shared" si="55"/>
        <v>1</v>
      </c>
      <c r="CE16" s="1120">
        <f t="shared" si="56"/>
        <v>1</v>
      </c>
      <c r="CF16" s="1120">
        <f t="shared" si="57"/>
        <v>0</v>
      </c>
      <c r="CG16" s="1120">
        <f t="shared" si="58"/>
        <v>0</v>
      </c>
      <c r="CH16" s="1120">
        <f t="shared" si="59"/>
        <v>0</v>
      </c>
      <c r="CI16" s="1120">
        <f t="shared" si="60"/>
        <v>0.85</v>
      </c>
      <c r="CJ16" s="1120">
        <f t="shared" si="61"/>
        <v>0.85</v>
      </c>
      <c r="CK16" s="1120">
        <f t="shared" si="62"/>
        <v>0.85</v>
      </c>
      <c r="CL16" s="1120">
        <f t="shared" si="63"/>
        <v>0.85</v>
      </c>
      <c r="CM16" s="1120">
        <f t="shared" si="64"/>
        <v>0.85</v>
      </c>
      <c r="CN16" s="1120">
        <f t="shared" si="65"/>
        <v>0.85</v>
      </c>
      <c r="CO16" s="1120">
        <f t="shared" si="66"/>
        <v>0.7</v>
      </c>
      <c r="CP16" s="1120">
        <f t="shared" si="67"/>
        <v>0.7</v>
      </c>
      <c r="CQ16" s="1120">
        <f t="shared" si="68"/>
        <v>0.85</v>
      </c>
      <c r="CR16" s="1120">
        <f t="shared" si="69"/>
        <v>0.85</v>
      </c>
      <c r="CS16" s="1120">
        <f t="shared" si="70"/>
        <v>0.85</v>
      </c>
      <c r="CT16" s="1120">
        <f t="shared" si="71"/>
        <v>0.85</v>
      </c>
      <c r="CU16" s="1120">
        <v>1</v>
      </c>
      <c r="CV16" s="1120"/>
      <c r="CW16" s="1120">
        <f t="shared" si="72"/>
        <v>153</v>
      </c>
      <c r="CX16" s="1120">
        <f t="shared" si="73"/>
        <v>212</v>
      </c>
      <c r="CY16" s="1135" t="s">
        <v>4889</v>
      </c>
      <c r="CZ16" s="1124" t="s">
        <v>4899</v>
      </c>
      <c r="DA16" s="1124"/>
      <c r="DB16" s="1124"/>
      <c r="DC16" s="1120" t="s">
        <v>5745</v>
      </c>
      <c r="DD16" s="1120" t="s">
        <v>934</v>
      </c>
      <c r="DE16" s="1120" t="str">
        <f t="shared" si="74"/>
        <v/>
      </c>
      <c r="DF16" s="1133">
        <v>0</v>
      </c>
      <c r="DG16" s="1125">
        <v>0</v>
      </c>
    </row>
    <row r="17" spans="1:111">
      <c r="A17" s="1120" t="s">
        <v>605</v>
      </c>
      <c r="B17" s="1120" t="s">
        <v>4068</v>
      </c>
      <c r="C17" s="1120" t="s">
        <v>4069</v>
      </c>
      <c r="D17" s="1120" t="s">
        <v>538</v>
      </c>
      <c r="E17" s="1120">
        <v>5310</v>
      </c>
      <c r="F17" s="1120">
        <v>-106.62</v>
      </c>
      <c r="G17" s="1120">
        <v>35.04</v>
      </c>
      <c r="H17" s="1120">
        <v>-7</v>
      </c>
      <c r="I17" s="1121">
        <v>21.2</v>
      </c>
      <c r="J17" s="1121">
        <v>92.83999862670899</v>
      </c>
      <c r="K17" s="1122">
        <v>60.080000686645505</v>
      </c>
      <c r="L17" s="1120">
        <v>4145.4000000000005</v>
      </c>
      <c r="M17" s="1120">
        <v>1303.2</v>
      </c>
      <c r="N17" s="1123">
        <v>36.679999828338623</v>
      </c>
      <c r="O17" s="1123">
        <v>39.740000343322755</v>
      </c>
      <c r="P17" s="1123">
        <v>47.840000343322757</v>
      </c>
      <c r="Q17" s="1123">
        <v>57.019999313354489</v>
      </c>
      <c r="R17" s="1123">
        <v>64.039998626708979</v>
      </c>
      <c r="S17" s="1123">
        <v>73.760001373291018</v>
      </c>
      <c r="T17" s="1123">
        <v>78.080000686645505</v>
      </c>
      <c r="U17" s="1123">
        <v>75.380000686645502</v>
      </c>
      <c r="V17" s="1123">
        <v>68.900000000000006</v>
      </c>
      <c r="W17" s="1123">
        <v>56.659999656677243</v>
      </c>
      <c r="X17" s="1123">
        <v>44.6</v>
      </c>
      <c r="Y17" s="1123">
        <v>35.779999828338624</v>
      </c>
      <c r="Z17" s="1123">
        <v>56.628438409779172</v>
      </c>
      <c r="AA17" s="1123">
        <f t="shared" si="0"/>
        <v>52.312286278148761</v>
      </c>
      <c r="AB17" s="1123">
        <f t="shared" si="1"/>
        <v>51.593299510330496</v>
      </c>
      <c r="AC17" s="1123">
        <f t="shared" si="2"/>
        <v>53.750791753291544</v>
      </c>
      <c r="AD17" s="1123">
        <f t="shared" si="3"/>
        <v>58.222379405942235</v>
      </c>
      <c r="AE17" s="1123">
        <f t="shared" si="4"/>
        <v>63.842474237367561</v>
      </c>
      <c r="AF17" s="1123">
        <f t="shared" si="5"/>
        <v>69.146111921473562</v>
      </c>
      <c r="AG17" s="1123">
        <f t="shared" si="6"/>
        <v>72.75081756436731</v>
      </c>
      <c r="AH17" s="1123">
        <f t="shared" si="7"/>
        <v>73.716969090033075</v>
      </c>
      <c r="AI17" s="1123">
        <f t="shared" si="8"/>
        <v>71.792724214460407</v>
      </c>
      <c r="AJ17" s="1123">
        <f t="shared" si="9"/>
        <v>67.479667017978457</v>
      </c>
      <c r="AK17" s="1123">
        <f t="shared" si="10"/>
        <v>61.902062325073544</v>
      </c>
      <c r="AL17" s="1123">
        <f t="shared" si="11"/>
        <v>56.51379875244146</v>
      </c>
      <c r="AM17" s="1120">
        <f t="shared" si="12"/>
        <v>1</v>
      </c>
      <c r="AN17" s="1120">
        <f t="shared" si="13"/>
        <v>1</v>
      </c>
      <c r="AO17" s="1120">
        <f t="shared" si="14"/>
        <v>1</v>
      </c>
      <c r="AP17" s="1120">
        <f t="shared" si="15"/>
        <v>1</v>
      </c>
      <c r="AQ17" s="1120">
        <f t="shared" si="16"/>
        <v>1</v>
      </c>
      <c r="AR17" s="1120">
        <f t="shared" si="17"/>
        <v>0</v>
      </c>
      <c r="AS17" s="1120">
        <f t="shared" si="18"/>
        <v>0</v>
      </c>
      <c r="AT17" s="1120">
        <f t="shared" si="19"/>
        <v>0</v>
      </c>
      <c r="AU17" s="1120">
        <f t="shared" si="20"/>
        <v>0</v>
      </c>
      <c r="AV17" s="1120">
        <f t="shared" si="21"/>
        <v>1</v>
      </c>
      <c r="AW17" s="1120">
        <f t="shared" si="22"/>
        <v>1</v>
      </c>
      <c r="AX17" s="1120">
        <f t="shared" si="23"/>
        <v>1</v>
      </c>
      <c r="AY17" s="1120">
        <f t="shared" si="24"/>
        <v>0</v>
      </c>
      <c r="AZ17" s="1120">
        <f t="shared" si="25"/>
        <v>0</v>
      </c>
      <c r="BA17" s="1120">
        <f t="shared" si="26"/>
        <v>0</v>
      </c>
      <c r="BB17" s="1120">
        <f t="shared" si="27"/>
        <v>0</v>
      </c>
      <c r="BC17" s="1120">
        <f t="shared" si="28"/>
        <v>0</v>
      </c>
      <c r="BD17" s="1120">
        <f t="shared" si="29"/>
        <v>1</v>
      </c>
      <c r="BE17" s="1120">
        <f t="shared" si="30"/>
        <v>1</v>
      </c>
      <c r="BF17" s="1120">
        <f t="shared" si="31"/>
        <v>1</v>
      </c>
      <c r="BG17" s="1120">
        <f t="shared" si="32"/>
        <v>1</v>
      </c>
      <c r="BH17" s="1120">
        <f t="shared" si="33"/>
        <v>0</v>
      </c>
      <c r="BI17" s="1120">
        <f t="shared" si="34"/>
        <v>0</v>
      </c>
      <c r="BJ17" s="1120">
        <f t="shared" si="35"/>
        <v>0</v>
      </c>
      <c r="BK17" s="1120">
        <f t="shared" si="36"/>
        <v>1</v>
      </c>
      <c r="BL17" s="1120">
        <f t="shared" si="37"/>
        <v>1</v>
      </c>
      <c r="BM17" s="1120">
        <f t="shared" si="38"/>
        <v>1</v>
      </c>
      <c r="BN17" s="1120">
        <f t="shared" si="39"/>
        <v>1</v>
      </c>
      <c r="BO17" s="1120">
        <f t="shared" si="40"/>
        <v>1</v>
      </c>
      <c r="BP17" s="1120">
        <f t="shared" si="41"/>
        <v>1</v>
      </c>
      <c r="BQ17" s="1120">
        <f t="shared" si="42"/>
        <v>0</v>
      </c>
      <c r="BR17" s="1120">
        <f t="shared" si="43"/>
        <v>0</v>
      </c>
      <c r="BS17" s="1120">
        <f t="shared" si="44"/>
        <v>0</v>
      </c>
      <c r="BT17" s="1120">
        <f t="shared" si="45"/>
        <v>1</v>
      </c>
      <c r="BU17" s="1120">
        <f t="shared" si="46"/>
        <v>1</v>
      </c>
      <c r="BV17" s="1120">
        <f t="shared" si="47"/>
        <v>1</v>
      </c>
      <c r="BW17" s="1120">
        <f t="shared" si="48"/>
        <v>0</v>
      </c>
      <c r="BX17" s="1120">
        <f t="shared" si="49"/>
        <v>0</v>
      </c>
      <c r="BY17" s="1120">
        <f t="shared" si="50"/>
        <v>0</v>
      </c>
      <c r="BZ17" s="1120">
        <f t="shared" si="51"/>
        <v>0</v>
      </c>
      <c r="CA17" s="1120">
        <f t="shared" si="52"/>
        <v>1</v>
      </c>
      <c r="CB17" s="1120">
        <f t="shared" si="53"/>
        <v>1</v>
      </c>
      <c r="CC17" s="1120">
        <f t="shared" si="54"/>
        <v>1</v>
      </c>
      <c r="CD17" s="1120">
        <f t="shared" si="55"/>
        <v>1</v>
      </c>
      <c r="CE17" s="1120">
        <f t="shared" si="56"/>
        <v>1</v>
      </c>
      <c r="CF17" s="1120">
        <f t="shared" si="57"/>
        <v>1</v>
      </c>
      <c r="CG17" s="1120">
        <f t="shared" si="58"/>
        <v>0</v>
      </c>
      <c r="CH17" s="1120">
        <f t="shared" si="59"/>
        <v>0</v>
      </c>
      <c r="CI17" s="1120">
        <f t="shared" si="60"/>
        <v>0.85</v>
      </c>
      <c r="CJ17" s="1120">
        <f t="shared" si="61"/>
        <v>0.85</v>
      </c>
      <c r="CK17" s="1120">
        <f t="shared" si="62"/>
        <v>0.85</v>
      </c>
      <c r="CL17" s="1120">
        <f t="shared" si="63"/>
        <v>0.85</v>
      </c>
      <c r="CM17" s="1120">
        <f t="shared" si="64"/>
        <v>0.85</v>
      </c>
      <c r="CN17" s="1120">
        <f t="shared" si="65"/>
        <v>0.85</v>
      </c>
      <c r="CO17" s="1120">
        <f t="shared" si="66"/>
        <v>0.7</v>
      </c>
      <c r="CP17" s="1120">
        <f t="shared" si="67"/>
        <v>0.7</v>
      </c>
      <c r="CQ17" s="1120">
        <f t="shared" si="68"/>
        <v>0.7</v>
      </c>
      <c r="CR17" s="1120">
        <f t="shared" si="69"/>
        <v>0.85</v>
      </c>
      <c r="CS17" s="1120">
        <f t="shared" si="70"/>
        <v>0.85</v>
      </c>
      <c r="CT17" s="1120">
        <f t="shared" si="71"/>
        <v>0.85</v>
      </c>
      <c r="CU17" s="1120">
        <v>1</v>
      </c>
      <c r="CV17" s="1120"/>
      <c r="CW17" s="1120">
        <f t="shared" si="72"/>
        <v>184</v>
      </c>
      <c r="CX17" s="1120">
        <f t="shared" si="73"/>
        <v>181</v>
      </c>
      <c r="CY17" s="1135" t="s">
        <v>4891</v>
      </c>
      <c r="CZ17" s="1124" t="s">
        <v>4892</v>
      </c>
      <c r="DA17" s="1124"/>
      <c r="DB17" s="1124"/>
      <c r="DC17" s="1120" t="s">
        <v>5446</v>
      </c>
      <c r="DD17" s="1120" t="s">
        <v>538</v>
      </c>
      <c r="DE17" s="1120" t="b">
        <f t="shared" si="74"/>
        <v>0</v>
      </c>
      <c r="DF17" s="1133">
        <v>0</v>
      </c>
      <c r="DG17" s="1120">
        <v>0</v>
      </c>
    </row>
    <row r="18" spans="1:111">
      <c r="A18" s="1125" t="s">
        <v>607</v>
      </c>
      <c r="B18" s="1120" t="s">
        <v>3617</v>
      </c>
      <c r="C18" s="1120" t="s">
        <v>3618</v>
      </c>
      <c r="D18" s="1120" t="s">
        <v>591</v>
      </c>
      <c r="E18" s="1120">
        <v>112</v>
      </c>
      <c r="F18" s="1120">
        <v>-92.3</v>
      </c>
      <c r="G18" s="1120">
        <v>31.4</v>
      </c>
      <c r="H18" s="1120">
        <v>-6</v>
      </c>
      <c r="I18" s="1121">
        <v>28.220000171661376</v>
      </c>
      <c r="J18" s="1121">
        <v>94.820002746582034</v>
      </c>
      <c r="K18" s="1122">
        <v>77.360001373291013</v>
      </c>
      <c r="L18" s="1120">
        <v>2048.4</v>
      </c>
      <c r="M18" s="1120">
        <v>2376</v>
      </c>
      <c r="N18" s="1123">
        <v>49.459999656677248</v>
      </c>
      <c r="O18" s="1123">
        <v>55.219999313354492</v>
      </c>
      <c r="P18" s="1123">
        <v>56.840000343322757</v>
      </c>
      <c r="Q18" s="1123">
        <v>64.400000000000006</v>
      </c>
      <c r="R18" s="1123">
        <v>72.319999313354487</v>
      </c>
      <c r="S18" s="1123">
        <v>77.900000000000006</v>
      </c>
      <c r="T18" s="1123">
        <v>79.880000686645502</v>
      </c>
      <c r="U18" s="1123">
        <v>83.119999313354498</v>
      </c>
      <c r="V18" s="1123">
        <v>75.2</v>
      </c>
      <c r="W18" s="1123">
        <v>66.739998626708982</v>
      </c>
      <c r="X18" s="1123">
        <v>52.880000686645509</v>
      </c>
      <c r="Y18" s="1123">
        <v>48.740000343322755</v>
      </c>
      <c r="Z18" s="1123">
        <v>65.281260131940456</v>
      </c>
      <c r="AA18" s="1123">
        <f t="shared" si="0"/>
        <v>61.039220075995736</v>
      </c>
      <c r="AB18" s="1123">
        <f t="shared" si="1"/>
        <v>61.157797403626631</v>
      </c>
      <c r="AC18" s="1123">
        <f t="shared" si="2"/>
        <v>63.915211298675466</v>
      </c>
      <c r="AD18" s="1123">
        <f t="shared" si="3"/>
        <v>68.592699336363395</v>
      </c>
      <c r="AE18" s="1123">
        <f t="shared" si="4"/>
        <v>73.971002177394467</v>
      </c>
      <c r="AF18" s="1123">
        <f t="shared" si="5"/>
        <v>78.648182304098356</v>
      </c>
      <c r="AG18" s="1123">
        <f t="shared" si="6"/>
        <v>81.405060638922151</v>
      </c>
      <c r="AH18" s="1123">
        <f t="shared" si="7"/>
        <v>81.523014359112906</v>
      </c>
      <c r="AI18" s="1123">
        <f t="shared" si="8"/>
        <v>78.97129700978104</v>
      </c>
      <c r="AJ18" s="1123">
        <f t="shared" si="9"/>
        <v>74.415053041184549</v>
      </c>
      <c r="AK18" s="1123">
        <f t="shared" si="10"/>
        <v>69.041937657583034</v>
      </c>
      <c r="AL18" s="1123">
        <f t="shared" si="11"/>
        <v>64.252536185926687</v>
      </c>
      <c r="AM18" s="1120">
        <f t="shared" si="12"/>
        <v>1</v>
      </c>
      <c r="AN18" s="1120">
        <f t="shared" si="13"/>
        <v>1</v>
      </c>
      <c r="AO18" s="1120">
        <f t="shared" si="14"/>
        <v>1</v>
      </c>
      <c r="AP18" s="1120">
        <f t="shared" si="15"/>
        <v>1</v>
      </c>
      <c r="AQ18" s="1120">
        <f t="shared" si="16"/>
        <v>0</v>
      </c>
      <c r="AR18" s="1120">
        <f t="shared" si="17"/>
        <v>0</v>
      </c>
      <c r="AS18" s="1120">
        <f t="shared" si="18"/>
        <v>0</v>
      </c>
      <c r="AT18" s="1120">
        <f t="shared" si="19"/>
        <v>0</v>
      </c>
      <c r="AU18" s="1120">
        <f t="shared" si="20"/>
        <v>0</v>
      </c>
      <c r="AV18" s="1120">
        <f t="shared" si="21"/>
        <v>0</v>
      </c>
      <c r="AW18" s="1120">
        <f t="shared" si="22"/>
        <v>1</v>
      </c>
      <c r="AX18" s="1120">
        <f t="shared" si="23"/>
        <v>1</v>
      </c>
      <c r="AY18" s="1120">
        <f t="shared" si="24"/>
        <v>0</v>
      </c>
      <c r="AZ18" s="1120">
        <f t="shared" si="25"/>
        <v>0</v>
      </c>
      <c r="BA18" s="1120">
        <f t="shared" si="26"/>
        <v>0</v>
      </c>
      <c r="BB18" s="1120">
        <f t="shared" si="27"/>
        <v>0</v>
      </c>
      <c r="BC18" s="1120">
        <f t="shared" si="28"/>
        <v>1</v>
      </c>
      <c r="BD18" s="1120">
        <f t="shared" si="29"/>
        <v>1</v>
      </c>
      <c r="BE18" s="1120">
        <f t="shared" si="30"/>
        <v>1</v>
      </c>
      <c r="BF18" s="1120">
        <f t="shared" si="31"/>
        <v>1</v>
      </c>
      <c r="BG18" s="1120">
        <f t="shared" si="32"/>
        <v>1</v>
      </c>
      <c r="BH18" s="1120">
        <f t="shared" si="33"/>
        <v>1</v>
      </c>
      <c r="BI18" s="1120">
        <f t="shared" si="34"/>
        <v>0</v>
      </c>
      <c r="BJ18" s="1120">
        <f t="shared" si="35"/>
        <v>0</v>
      </c>
      <c r="BK18" s="1120">
        <f t="shared" si="36"/>
        <v>1</v>
      </c>
      <c r="BL18" s="1120">
        <f t="shared" si="37"/>
        <v>1</v>
      </c>
      <c r="BM18" s="1120">
        <f t="shared" si="38"/>
        <v>1</v>
      </c>
      <c r="BN18" s="1120">
        <f t="shared" si="39"/>
        <v>1</v>
      </c>
      <c r="BO18" s="1120">
        <f t="shared" si="40"/>
        <v>1</v>
      </c>
      <c r="BP18" s="1120">
        <f t="shared" si="41"/>
        <v>0</v>
      </c>
      <c r="BQ18" s="1120">
        <f t="shared" si="42"/>
        <v>0</v>
      </c>
      <c r="BR18" s="1120">
        <f t="shared" si="43"/>
        <v>0</v>
      </c>
      <c r="BS18" s="1120">
        <f t="shared" si="44"/>
        <v>0</v>
      </c>
      <c r="BT18" s="1120">
        <f t="shared" si="45"/>
        <v>0</v>
      </c>
      <c r="BU18" s="1120">
        <f t="shared" si="46"/>
        <v>1</v>
      </c>
      <c r="BV18" s="1120">
        <f t="shared" si="47"/>
        <v>1</v>
      </c>
      <c r="BW18" s="1120">
        <f t="shared" si="48"/>
        <v>0</v>
      </c>
      <c r="BX18" s="1120">
        <f t="shared" si="49"/>
        <v>0</v>
      </c>
      <c r="BY18" s="1120">
        <f t="shared" si="50"/>
        <v>0</v>
      </c>
      <c r="BZ18" s="1120">
        <f t="shared" si="51"/>
        <v>1</v>
      </c>
      <c r="CA18" s="1120">
        <f t="shared" si="52"/>
        <v>1</v>
      </c>
      <c r="CB18" s="1120">
        <f t="shared" si="53"/>
        <v>1</v>
      </c>
      <c r="CC18" s="1120">
        <f t="shared" si="54"/>
        <v>1</v>
      </c>
      <c r="CD18" s="1120">
        <f t="shared" si="55"/>
        <v>1</v>
      </c>
      <c r="CE18" s="1120">
        <f t="shared" si="56"/>
        <v>1</v>
      </c>
      <c r="CF18" s="1120">
        <f t="shared" si="57"/>
        <v>1</v>
      </c>
      <c r="CG18" s="1120">
        <f t="shared" si="58"/>
        <v>1</v>
      </c>
      <c r="CH18" s="1120">
        <f t="shared" si="59"/>
        <v>0</v>
      </c>
      <c r="CI18" s="1120">
        <f t="shared" si="60"/>
        <v>0.85</v>
      </c>
      <c r="CJ18" s="1120">
        <f t="shared" si="61"/>
        <v>0.85</v>
      </c>
      <c r="CK18" s="1120">
        <f t="shared" si="62"/>
        <v>0.85</v>
      </c>
      <c r="CL18" s="1120">
        <f t="shared" si="63"/>
        <v>0.85</v>
      </c>
      <c r="CM18" s="1120">
        <f t="shared" si="64"/>
        <v>0.85</v>
      </c>
      <c r="CN18" s="1120">
        <f t="shared" si="65"/>
        <v>0.7</v>
      </c>
      <c r="CO18" s="1120">
        <f t="shared" si="66"/>
        <v>0.7</v>
      </c>
      <c r="CP18" s="1120">
        <f t="shared" si="67"/>
        <v>0.7</v>
      </c>
      <c r="CQ18" s="1120">
        <f t="shared" si="68"/>
        <v>0.7</v>
      </c>
      <c r="CR18" s="1120">
        <f t="shared" si="69"/>
        <v>0.7</v>
      </c>
      <c r="CS18" s="1120">
        <f t="shared" si="70"/>
        <v>0.85</v>
      </c>
      <c r="CT18" s="1120">
        <f t="shared" si="71"/>
        <v>0.85</v>
      </c>
      <c r="CU18" s="1120">
        <v>1</v>
      </c>
      <c r="CV18" s="1120"/>
      <c r="CW18" s="1120">
        <f t="shared" si="72"/>
        <v>244</v>
      </c>
      <c r="CX18" s="1120">
        <f t="shared" si="73"/>
        <v>121</v>
      </c>
      <c r="CY18" s="1135" t="s">
        <v>4883</v>
      </c>
      <c r="CZ18" s="1124" t="s">
        <v>4884</v>
      </c>
      <c r="DA18" s="1124"/>
      <c r="DB18" s="1124"/>
      <c r="DC18" s="1120" t="s">
        <v>5250</v>
      </c>
      <c r="DD18" s="1120" t="s">
        <v>591</v>
      </c>
      <c r="DE18" s="1120" t="str">
        <f t="shared" si="74"/>
        <v/>
      </c>
      <c r="DF18" s="1133">
        <v>0</v>
      </c>
      <c r="DG18" s="1125">
        <v>0</v>
      </c>
    </row>
    <row r="19" spans="1:111">
      <c r="A19" s="1120" t="s">
        <v>2934</v>
      </c>
      <c r="B19" s="1125" t="s">
        <v>3765</v>
      </c>
      <c r="C19" s="1125" t="s">
        <v>3766</v>
      </c>
      <c r="D19" s="1125" t="s">
        <v>934</v>
      </c>
      <c r="E19" s="1125">
        <v>1420</v>
      </c>
      <c r="F19" s="1125">
        <v>-95.4</v>
      </c>
      <c r="G19" s="1125">
        <v>45.88</v>
      </c>
      <c r="H19" s="1125">
        <v>-6</v>
      </c>
      <c r="I19" s="1126">
        <v>-14.260001373291017</v>
      </c>
      <c r="J19" s="1126">
        <v>85.639998626708987</v>
      </c>
      <c r="K19" s="1127">
        <v>70.519999313354489</v>
      </c>
      <c r="L19" s="1125">
        <v>8663.4</v>
      </c>
      <c r="M19" s="1125">
        <v>576</v>
      </c>
      <c r="N19" s="1128">
        <v>12.380000686645507</v>
      </c>
      <c r="O19" s="1128">
        <v>12.559999656677245</v>
      </c>
      <c r="P19" s="1128">
        <v>26.060000085830687</v>
      </c>
      <c r="Q19" s="1128">
        <v>48.740000343322755</v>
      </c>
      <c r="R19" s="1128">
        <v>57.019999313354489</v>
      </c>
      <c r="S19" s="1128">
        <v>66.919999313354495</v>
      </c>
      <c r="T19" s="1128">
        <v>67.819999313354487</v>
      </c>
      <c r="U19" s="1128">
        <v>70.33999862670899</v>
      </c>
      <c r="V19" s="1128">
        <v>62.780000686645508</v>
      </c>
      <c r="W19" s="1128">
        <v>44.420000171661378</v>
      </c>
      <c r="X19" s="1128">
        <v>33.619999957084659</v>
      </c>
      <c r="Y19" s="1128">
        <v>2.6600013732910148</v>
      </c>
      <c r="Z19" s="1128">
        <v>42.233369824918981</v>
      </c>
      <c r="AA19" s="1128">
        <f t="shared" si="0"/>
        <v>37.799704319895817</v>
      </c>
      <c r="AB19" s="1128">
        <f t="shared" si="1"/>
        <v>35.382818468486747</v>
      </c>
      <c r="AC19" s="1128">
        <f t="shared" si="2"/>
        <v>36.315626861122546</v>
      </c>
      <c r="AD19" s="1128">
        <f t="shared" si="3"/>
        <v>40.354978615250239</v>
      </c>
      <c r="AE19" s="1128">
        <f t="shared" si="4"/>
        <v>46.447954447861676</v>
      </c>
      <c r="AF19" s="1128">
        <f t="shared" si="5"/>
        <v>53.006326312586893</v>
      </c>
      <c r="AG19" s="1128">
        <f t="shared" si="6"/>
        <v>58.320553515315559</v>
      </c>
      <c r="AH19" s="1128">
        <f t="shared" si="7"/>
        <v>61.005400840936304</v>
      </c>
      <c r="AI19" s="1128">
        <f t="shared" si="8"/>
        <v>60.361021459276401</v>
      </c>
      <c r="AJ19" s="1128">
        <f t="shared" si="9"/>
        <v>56.555382786352347</v>
      </c>
      <c r="AK19" s="1128">
        <f t="shared" si="10"/>
        <v>50.58048318892898</v>
      </c>
      <c r="AL19" s="1128">
        <f t="shared" si="11"/>
        <v>43.99377232306459</v>
      </c>
      <c r="AM19" s="1125">
        <f t="shared" si="12"/>
        <v>1</v>
      </c>
      <c r="AN19" s="1125">
        <f t="shared" si="13"/>
        <v>1</v>
      </c>
      <c r="AO19" s="1125">
        <f t="shared" si="14"/>
        <v>1</v>
      </c>
      <c r="AP19" s="1125">
        <f t="shared" si="15"/>
        <v>1</v>
      </c>
      <c r="AQ19" s="1125">
        <f t="shared" si="16"/>
        <v>1</v>
      </c>
      <c r="AR19" s="1125">
        <f t="shared" si="17"/>
        <v>0</v>
      </c>
      <c r="AS19" s="1125">
        <f t="shared" si="18"/>
        <v>0</v>
      </c>
      <c r="AT19" s="1125">
        <f t="shared" si="19"/>
        <v>0</v>
      </c>
      <c r="AU19" s="1125">
        <f t="shared" si="20"/>
        <v>1</v>
      </c>
      <c r="AV19" s="1125">
        <f t="shared" si="21"/>
        <v>1</v>
      </c>
      <c r="AW19" s="1125">
        <f t="shared" si="22"/>
        <v>1</v>
      </c>
      <c r="AX19" s="1125">
        <f t="shared" si="23"/>
        <v>1</v>
      </c>
      <c r="AY19" s="1125">
        <f t="shared" si="24"/>
        <v>0</v>
      </c>
      <c r="AZ19" s="1125">
        <f t="shared" si="25"/>
        <v>0</v>
      </c>
      <c r="BA19" s="1125">
        <f t="shared" si="26"/>
        <v>0</v>
      </c>
      <c r="BB19" s="1125">
        <f t="shared" si="27"/>
        <v>0</v>
      </c>
      <c r="BC19" s="1125">
        <f t="shared" si="28"/>
        <v>0</v>
      </c>
      <c r="BD19" s="1125">
        <f t="shared" si="29"/>
        <v>1</v>
      </c>
      <c r="BE19" s="1125">
        <f t="shared" si="30"/>
        <v>1</v>
      </c>
      <c r="BF19" s="1125">
        <f t="shared" si="31"/>
        <v>1</v>
      </c>
      <c r="BG19" s="1125">
        <f t="shared" si="32"/>
        <v>0</v>
      </c>
      <c r="BH19" s="1125">
        <f t="shared" si="33"/>
        <v>0</v>
      </c>
      <c r="BI19" s="1125">
        <f t="shared" si="34"/>
        <v>0</v>
      </c>
      <c r="BJ19" s="1125">
        <f t="shared" si="35"/>
        <v>0</v>
      </c>
      <c r="BK19" s="1125">
        <f t="shared" si="36"/>
        <v>1</v>
      </c>
      <c r="BL19" s="1125">
        <f t="shared" si="37"/>
        <v>1</v>
      </c>
      <c r="BM19" s="1125">
        <f t="shared" si="38"/>
        <v>1</v>
      </c>
      <c r="BN19" s="1125">
        <f t="shared" si="39"/>
        <v>1</v>
      </c>
      <c r="BO19" s="1125">
        <f t="shared" si="40"/>
        <v>1</v>
      </c>
      <c r="BP19" s="1125">
        <f t="shared" si="41"/>
        <v>1</v>
      </c>
      <c r="BQ19" s="1125">
        <f t="shared" si="42"/>
        <v>0</v>
      </c>
      <c r="BR19" s="1125">
        <f t="shared" si="43"/>
        <v>0</v>
      </c>
      <c r="BS19" s="1125">
        <f t="shared" si="44"/>
        <v>1</v>
      </c>
      <c r="BT19" s="1125">
        <f t="shared" si="45"/>
        <v>1</v>
      </c>
      <c r="BU19" s="1125">
        <f t="shared" si="46"/>
        <v>1</v>
      </c>
      <c r="BV19" s="1125">
        <f t="shared" si="47"/>
        <v>1</v>
      </c>
      <c r="BW19" s="1125">
        <f t="shared" si="48"/>
        <v>0</v>
      </c>
      <c r="BX19" s="1125">
        <f t="shared" si="49"/>
        <v>0</v>
      </c>
      <c r="BY19" s="1125">
        <f t="shared" si="50"/>
        <v>0</v>
      </c>
      <c r="BZ19" s="1125">
        <f t="shared" si="51"/>
        <v>0</v>
      </c>
      <c r="CA19" s="1125">
        <f t="shared" si="52"/>
        <v>1</v>
      </c>
      <c r="CB19" s="1125">
        <f t="shared" si="53"/>
        <v>1</v>
      </c>
      <c r="CC19" s="1125">
        <f t="shared" si="54"/>
        <v>1</v>
      </c>
      <c r="CD19" s="1125">
        <f t="shared" si="55"/>
        <v>1</v>
      </c>
      <c r="CE19" s="1125">
        <f t="shared" si="56"/>
        <v>1</v>
      </c>
      <c r="CF19" s="1125">
        <f t="shared" si="57"/>
        <v>0</v>
      </c>
      <c r="CG19" s="1125">
        <f t="shared" si="58"/>
        <v>0</v>
      </c>
      <c r="CH19" s="1125">
        <f t="shared" si="59"/>
        <v>0</v>
      </c>
      <c r="CI19" s="1125">
        <f t="shared" si="60"/>
        <v>0.85</v>
      </c>
      <c r="CJ19" s="1125">
        <f t="shared" si="61"/>
        <v>0.85</v>
      </c>
      <c r="CK19" s="1125">
        <f t="shared" si="62"/>
        <v>0.85</v>
      </c>
      <c r="CL19" s="1125">
        <f t="shared" si="63"/>
        <v>0.85</v>
      </c>
      <c r="CM19" s="1125">
        <f t="shared" si="64"/>
        <v>0.85</v>
      </c>
      <c r="CN19" s="1125">
        <f t="shared" si="65"/>
        <v>0.85</v>
      </c>
      <c r="CO19" s="1125">
        <f t="shared" si="66"/>
        <v>0.7</v>
      </c>
      <c r="CP19" s="1125">
        <f t="shared" si="67"/>
        <v>0.7</v>
      </c>
      <c r="CQ19" s="1125">
        <f t="shared" si="68"/>
        <v>0.85</v>
      </c>
      <c r="CR19" s="1125">
        <f t="shared" si="69"/>
        <v>0.85</v>
      </c>
      <c r="CS19" s="1125">
        <f t="shared" si="70"/>
        <v>0.85</v>
      </c>
      <c r="CT19" s="1125">
        <f t="shared" si="71"/>
        <v>0.85</v>
      </c>
      <c r="CU19" s="1125">
        <v>1</v>
      </c>
      <c r="CV19" s="1125"/>
      <c r="CW19" s="1125">
        <f t="shared" si="72"/>
        <v>153</v>
      </c>
      <c r="CX19" s="1125">
        <f t="shared" si="73"/>
        <v>212</v>
      </c>
      <c r="CY19" s="1136" t="s">
        <v>4889</v>
      </c>
      <c r="CZ19" s="1129" t="s">
        <v>4899</v>
      </c>
      <c r="DA19" s="1129"/>
      <c r="DB19" s="1129"/>
      <c r="DC19" s="1125" t="s">
        <v>5320</v>
      </c>
      <c r="DD19" s="1125" t="s">
        <v>934</v>
      </c>
      <c r="DE19" s="1120" t="str">
        <f t="shared" si="74"/>
        <v/>
      </c>
      <c r="DF19" s="1133">
        <v>0</v>
      </c>
      <c r="DG19" s="1120">
        <v>0</v>
      </c>
    </row>
    <row r="20" spans="1:111">
      <c r="A20" s="1125" t="s">
        <v>609</v>
      </c>
      <c r="B20" s="1120" t="s">
        <v>3404</v>
      </c>
      <c r="C20" s="1120" t="s">
        <v>3405</v>
      </c>
      <c r="D20" s="1120" t="s">
        <v>566</v>
      </c>
      <c r="E20" s="1120">
        <v>1220</v>
      </c>
      <c r="F20" s="1120">
        <v>-94.27</v>
      </c>
      <c r="G20" s="1120">
        <v>43.08</v>
      </c>
      <c r="H20" s="1120">
        <v>-6</v>
      </c>
      <c r="I20" s="1121">
        <v>-11.380000686645509</v>
      </c>
      <c r="J20" s="1121">
        <v>89.779997253417974</v>
      </c>
      <c r="K20" s="1122">
        <v>77.180000686645513</v>
      </c>
      <c r="L20" s="1120">
        <v>6708.6</v>
      </c>
      <c r="M20" s="1120">
        <v>777.6</v>
      </c>
      <c r="N20" s="1123">
        <v>17.419999313354491</v>
      </c>
      <c r="O20" s="1123">
        <v>20.840000343322753</v>
      </c>
      <c r="P20" s="1123">
        <v>42.97999982833862</v>
      </c>
      <c r="Q20" s="1123">
        <v>48.740000343322755</v>
      </c>
      <c r="R20" s="1123">
        <v>55.580000686645505</v>
      </c>
      <c r="S20" s="1123">
        <v>69.260001373291018</v>
      </c>
      <c r="T20" s="1123">
        <v>75.2</v>
      </c>
      <c r="U20" s="1123">
        <v>71.239998626708982</v>
      </c>
      <c r="V20" s="1123">
        <v>59.9</v>
      </c>
      <c r="W20" s="1123">
        <v>52.880000686645509</v>
      </c>
      <c r="X20" s="1123">
        <v>35.060000085830687</v>
      </c>
      <c r="Y20" s="1123">
        <v>26.779999828338624</v>
      </c>
      <c r="Z20" s="1123">
        <v>48.155616525362618</v>
      </c>
      <c r="AA20" s="1123">
        <f t="shared" si="0"/>
        <v>43.154326658837491</v>
      </c>
      <c r="AB20" s="1123">
        <f t="shared" si="1"/>
        <v>41.400405499956804</v>
      </c>
      <c r="AC20" s="1123">
        <f t="shared" si="2"/>
        <v>42.971326658599978</v>
      </c>
      <c r="AD20" s="1123">
        <f t="shared" si="3"/>
        <v>47.457605326138825</v>
      </c>
      <c r="AE20" s="1123">
        <f t="shared" si="4"/>
        <v>53.689823832232364</v>
      </c>
      <c r="AF20" s="1123">
        <f t="shared" si="5"/>
        <v>60.043458381872981</v>
      </c>
      <c r="AG20" s="1123">
        <f t="shared" si="6"/>
        <v>64.862336217224652</v>
      </c>
      <c r="AH20" s="1123">
        <f t="shared" si="7"/>
        <v>66.890342569347666</v>
      </c>
      <c r="AI20" s="1123">
        <f t="shared" si="8"/>
        <v>65.598846330037262</v>
      </c>
      <c r="AJ20" s="1123">
        <f t="shared" si="9"/>
        <v>61.324495896629173</v>
      </c>
      <c r="AK20" s="1123">
        <f t="shared" si="10"/>
        <v>55.181466579325281</v>
      </c>
      <c r="AL20" s="1123">
        <f t="shared" si="11"/>
        <v>48.771033636628161</v>
      </c>
      <c r="AM20" s="1120">
        <f t="shared" si="12"/>
        <v>1</v>
      </c>
      <c r="AN20" s="1120">
        <f t="shared" si="13"/>
        <v>1</v>
      </c>
      <c r="AO20" s="1120">
        <f t="shared" si="14"/>
        <v>1</v>
      </c>
      <c r="AP20" s="1120">
        <f t="shared" si="15"/>
        <v>1</v>
      </c>
      <c r="AQ20" s="1120">
        <f t="shared" si="16"/>
        <v>1</v>
      </c>
      <c r="AR20" s="1120">
        <f t="shared" si="17"/>
        <v>0</v>
      </c>
      <c r="AS20" s="1120">
        <f t="shared" si="18"/>
        <v>0</v>
      </c>
      <c r="AT20" s="1120">
        <f t="shared" si="19"/>
        <v>0</v>
      </c>
      <c r="AU20" s="1120">
        <f t="shared" si="20"/>
        <v>1</v>
      </c>
      <c r="AV20" s="1120">
        <f t="shared" si="21"/>
        <v>1</v>
      </c>
      <c r="AW20" s="1120">
        <f t="shared" si="22"/>
        <v>1</v>
      </c>
      <c r="AX20" s="1120">
        <f t="shared" si="23"/>
        <v>1</v>
      </c>
      <c r="AY20" s="1120">
        <f t="shared" si="24"/>
        <v>0</v>
      </c>
      <c r="AZ20" s="1120">
        <f t="shared" si="25"/>
        <v>0</v>
      </c>
      <c r="BA20" s="1120">
        <f t="shared" si="26"/>
        <v>0</v>
      </c>
      <c r="BB20" s="1120">
        <f t="shared" si="27"/>
        <v>0</v>
      </c>
      <c r="BC20" s="1120">
        <f t="shared" si="28"/>
        <v>0</v>
      </c>
      <c r="BD20" s="1120">
        <f t="shared" si="29"/>
        <v>1</v>
      </c>
      <c r="BE20" s="1120">
        <f t="shared" si="30"/>
        <v>1</v>
      </c>
      <c r="BF20" s="1120">
        <f t="shared" si="31"/>
        <v>1</v>
      </c>
      <c r="BG20" s="1120">
        <f t="shared" si="32"/>
        <v>0</v>
      </c>
      <c r="BH20" s="1120">
        <f t="shared" si="33"/>
        <v>0</v>
      </c>
      <c r="BI20" s="1120">
        <f t="shared" si="34"/>
        <v>0</v>
      </c>
      <c r="BJ20" s="1120">
        <f t="shared" si="35"/>
        <v>0</v>
      </c>
      <c r="BK20" s="1120">
        <f t="shared" si="36"/>
        <v>1</v>
      </c>
      <c r="BL20" s="1120">
        <f t="shared" si="37"/>
        <v>1</v>
      </c>
      <c r="BM20" s="1120">
        <f t="shared" si="38"/>
        <v>1</v>
      </c>
      <c r="BN20" s="1120">
        <f t="shared" si="39"/>
        <v>1</v>
      </c>
      <c r="BO20" s="1120">
        <f t="shared" si="40"/>
        <v>1</v>
      </c>
      <c r="BP20" s="1120">
        <f t="shared" si="41"/>
        <v>1</v>
      </c>
      <c r="BQ20" s="1120">
        <f t="shared" si="42"/>
        <v>0</v>
      </c>
      <c r="BR20" s="1120">
        <f t="shared" si="43"/>
        <v>0</v>
      </c>
      <c r="BS20" s="1120">
        <f t="shared" si="44"/>
        <v>1</v>
      </c>
      <c r="BT20" s="1120">
        <f t="shared" si="45"/>
        <v>1</v>
      </c>
      <c r="BU20" s="1120">
        <f t="shared" si="46"/>
        <v>1</v>
      </c>
      <c r="BV20" s="1120">
        <f t="shared" si="47"/>
        <v>1</v>
      </c>
      <c r="BW20" s="1120">
        <f t="shared" si="48"/>
        <v>0</v>
      </c>
      <c r="BX20" s="1120">
        <f t="shared" si="49"/>
        <v>0</v>
      </c>
      <c r="BY20" s="1120">
        <f t="shared" si="50"/>
        <v>0</v>
      </c>
      <c r="BZ20" s="1120">
        <f t="shared" si="51"/>
        <v>0</v>
      </c>
      <c r="CA20" s="1120">
        <f t="shared" si="52"/>
        <v>1</v>
      </c>
      <c r="CB20" s="1120">
        <f t="shared" si="53"/>
        <v>1</v>
      </c>
      <c r="CC20" s="1120">
        <f t="shared" si="54"/>
        <v>1</v>
      </c>
      <c r="CD20" s="1120">
        <f t="shared" si="55"/>
        <v>1</v>
      </c>
      <c r="CE20" s="1120">
        <f t="shared" si="56"/>
        <v>1</v>
      </c>
      <c r="CF20" s="1120">
        <f t="shared" si="57"/>
        <v>0</v>
      </c>
      <c r="CG20" s="1120">
        <f t="shared" si="58"/>
        <v>0</v>
      </c>
      <c r="CH20" s="1120">
        <f t="shared" si="59"/>
        <v>0</v>
      </c>
      <c r="CI20" s="1120">
        <f t="shared" si="60"/>
        <v>0.85</v>
      </c>
      <c r="CJ20" s="1120">
        <f t="shared" si="61"/>
        <v>0.85</v>
      </c>
      <c r="CK20" s="1120">
        <f t="shared" si="62"/>
        <v>0.85</v>
      </c>
      <c r="CL20" s="1120">
        <f t="shared" si="63"/>
        <v>0.85</v>
      </c>
      <c r="CM20" s="1120">
        <f t="shared" si="64"/>
        <v>0.85</v>
      </c>
      <c r="CN20" s="1120">
        <f t="shared" si="65"/>
        <v>0.85</v>
      </c>
      <c r="CO20" s="1120">
        <f t="shared" si="66"/>
        <v>0.7</v>
      </c>
      <c r="CP20" s="1120">
        <f t="shared" si="67"/>
        <v>0.7</v>
      </c>
      <c r="CQ20" s="1120">
        <f t="shared" si="68"/>
        <v>0.85</v>
      </c>
      <c r="CR20" s="1120">
        <f t="shared" si="69"/>
        <v>0.85</v>
      </c>
      <c r="CS20" s="1120">
        <f t="shared" si="70"/>
        <v>0.85</v>
      </c>
      <c r="CT20" s="1120">
        <f t="shared" si="71"/>
        <v>0.85</v>
      </c>
      <c r="CU20" s="1120">
        <v>1</v>
      </c>
      <c r="CV20" s="1120"/>
      <c r="CW20" s="1120">
        <f t="shared" si="72"/>
        <v>153</v>
      </c>
      <c r="CX20" s="1120">
        <f t="shared" si="73"/>
        <v>212</v>
      </c>
      <c r="CY20" s="1135" t="s">
        <v>4889</v>
      </c>
      <c r="CZ20" s="1124" t="s">
        <v>4899</v>
      </c>
      <c r="DA20" s="1124"/>
      <c r="DB20" s="1124"/>
      <c r="DC20" s="1120" t="s">
        <v>5157</v>
      </c>
      <c r="DD20" s="1120" t="s">
        <v>566</v>
      </c>
      <c r="DE20" s="1120" t="str">
        <f t="shared" si="74"/>
        <v/>
      </c>
      <c r="DF20" s="1133">
        <v>0</v>
      </c>
      <c r="DG20" s="1125">
        <v>0</v>
      </c>
    </row>
    <row r="21" spans="1:111">
      <c r="A21" s="1120" t="s">
        <v>611</v>
      </c>
      <c r="B21" s="1125" t="s">
        <v>4356</v>
      </c>
      <c r="C21" s="1125" t="s">
        <v>4357</v>
      </c>
      <c r="D21" s="1125" t="s">
        <v>228</v>
      </c>
      <c r="E21" s="1125">
        <v>174</v>
      </c>
      <c r="F21" s="1125">
        <v>-98.03</v>
      </c>
      <c r="G21" s="1125">
        <v>27.73</v>
      </c>
      <c r="H21" s="1125">
        <v>-6</v>
      </c>
      <c r="I21" s="1126">
        <v>37.76000008583069</v>
      </c>
      <c r="J21" s="1126">
        <v>98.420002746582028</v>
      </c>
      <c r="K21" s="1127">
        <v>76.460001373291021</v>
      </c>
      <c r="L21" s="1125">
        <v>907.2</v>
      </c>
      <c r="M21" s="1125">
        <v>3882.6</v>
      </c>
      <c r="N21" s="1128">
        <v>59.540000343322752</v>
      </c>
      <c r="O21" s="1128">
        <v>61.519999313354496</v>
      </c>
      <c r="P21" s="1128">
        <v>64.400000000000006</v>
      </c>
      <c r="Q21" s="1128">
        <v>75.560001373291016</v>
      </c>
      <c r="R21" s="1128">
        <v>80.599999999999994</v>
      </c>
      <c r="S21" s="1128">
        <v>82.760001373291018</v>
      </c>
      <c r="T21" s="1128">
        <v>84.739998626708982</v>
      </c>
      <c r="U21" s="1128">
        <v>84.739998626708982</v>
      </c>
      <c r="V21" s="1128">
        <v>82.219999313354492</v>
      </c>
      <c r="W21" s="1128">
        <v>72.319999313354487</v>
      </c>
      <c r="X21" s="1128">
        <v>63.86000137329102</v>
      </c>
      <c r="Y21" s="1128">
        <v>57.740000343322755</v>
      </c>
      <c r="Z21" s="1128">
        <v>72.550794516785501</v>
      </c>
      <c r="AA21" s="1128">
        <f t="shared" si="0"/>
        <v>69.35337442878695</v>
      </c>
      <c r="AB21" s="1128">
        <f t="shared" si="1"/>
        <v>70.046130351264452</v>
      </c>
      <c r="AC21" s="1128">
        <f t="shared" si="2"/>
        <v>72.955758049326988</v>
      </c>
      <c r="AD21" s="1128">
        <f t="shared" si="3"/>
        <v>77.323818224754461</v>
      </c>
      <c r="AE21" s="1128">
        <f t="shared" si="4"/>
        <v>82.011708678976845</v>
      </c>
      <c r="AF21" s="1128">
        <f t="shared" si="5"/>
        <v>85.79745852252239</v>
      </c>
      <c r="AG21" s="1128">
        <f t="shared" si="6"/>
        <v>87.694253718499937</v>
      </c>
      <c r="AH21" s="1128">
        <f t="shared" si="7"/>
        <v>87.207665368579157</v>
      </c>
      <c r="AI21" s="1128">
        <f t="shared" si="8"/>
        <v>84.464530224720349</v>
      </c>
      <c r="AJ21" s="1128">
        <f t="shared" si="9"/>
        <v>80.179888735162478</v>
      </c>
      <c r="AK21" s="1128">
        <f t="shared" si="10"/>
        <v>75.470598732482827</v>
      </c>
      <c r="AL21" s="1128">
        <f t="shared" si="11"/>
        <v>71.564209228235526</v>
      </c>
      <c r="AM21" s="1125">
        <f t="shared" si="12"/>
        <v>1</v>
      </c>
      <c r="AN21" s="1125">
        <f t="shared" si="13"/>
        <v>1</v>
      </c>
      <c r="AO21" s="1125">
        <f t="shared" si="14"/>
        <v>1</v>
      </c>
      <c r="AP21" s="1125">
        <f t="shared" si="15"/>
        <v>0</v>
      </c>
      <c r="AQ21" s="1125">
        <f t="shared" si="16"/>
        <v>0</v>
      </c>
      <c r="AR21" s="1125">
        <f t="shared" si="17"/>
        <v>0</v>
      </c>
      <c r="AS21" s="1125">
        <f t="shared" si="18"/>
        <v>0</v>
      </c>
      <c r="AT21" s="1125">
        <f t="shared" si="19"/>
        <v>0</v>
      </c>
      <c r="AU21" s="1125">
        <f t="shared" si="20"/>
        <v>0</v>
      </c>
      <c r="AV21" s="1125">
        <f t="shared" si="21"/>
        <v>0</v>
      </c>
      <c r="AW21" s="1125">
        <f t="shared" si="22"/>
        <v>1</v>
      </c>
      <c r="AX21" s="1125">
        <f t="shared" si="23"/>
        <v>1</v>
      </c>
      <c r="AY21" s="1125">
        <f t="shared" si="24"/>
        <v>0</v>
      </c>
      <c r="AZ21" s="1125">
        <f t="shared" si="25"/>
        <v>0</v>
      </c>
      <c r="BA21" s="1125">
        <f t="shared" si="26"/>
        <v>0</v>
      </c>
      <c r="BB21" s="1125">
        <f t="shared" si="27"/>
        <v>1</v>
      </c>
      <c r="BC21" s="1125">
        <f t="shared" si="28"/>
        <v>1</v>
      </c>
      <c r="BD21" s="1125">
        <f t="shared" si="29"/>
        <v>1</v>
      </c>
      <c r="BE21" s="1125">
        <f t="shared" si="30"/>
        <v>1</v>
      </c>
      <c r="BF21" s="1125">
        <f t="shared" si="31"/>
        <v>1</v>
      </c>
      <c r="BG21" s="1125">
        <f t="shared" si="32"/>
        <v>1</v>
      </c>
      <c r="BH21" s="1125">
        <f t="shared" si="33"/>
        <v>1</v>
      </c>
      <c r="BI21" s="1125">
        <f t="shared" si="34"/>
        <v>0</v>
      </c>
      <c r="BJ21" s="1125">
        <f t="shared" si="35"/>
        <v>0</v>
      </c>
      <c r="BK21" s="1125">
        <f t="shared" si="36"/>
        <v>1</v>
      </c>
      <c r="BL21" s="1125">
        <f t="shared" si="37"/>
        <v>1</v>
      </c>
      <c r="BM21" s="1125">
        <f t="shared" si="38"/>
        <v>1</v>
      </c>
      <c r="BN21" s="1125">
        <f t="shared" si="39"/>
        <v>1</v>
      </c>
      <c r="BO21" s="1125">
        <f t="shared" si="40"/>
        <v>0</v>
      </c>
      <c r="BP21" s="1125">
        <f t="shared" si="41"/>
        <v>0</v>
      </c>
      <c r="BQ21" s="1125">
        <f t="shared" si="42"/>
        <v>0</v>
      </c>
      <c r="BR21" s="1125">
        <f t="shared" si="43"/>
        <v>0</v>
      </c>
      <c r="BS21" s="1125">
        <f t="shared" si="44"/>
        <v>0</v>
      </c>
      <c r="BT21" s="1125">
        <f t="shared" si="45"/>
        <v>0</v>
      </c>
      <c r="BU21" s="1125">
        <f t="shared" si="46"/>
        <v>1</v>
      </c>
      <c r="BV21" s="1125">
        <f t="shared" si="47"/>
        <v>1</v>
      </c>
      <c r="BW21" s="1125">
        <f t="shared" si="48"/>
        <v>0</v>
      </c>
      <c r="BX21" s="1125">
        <f t="shared" si="49"/>
        <v>0</v>
      </c>
      <c r="BY21" s="1125">
        <f t="shared" si="50"/>
        <v>1</v>
      </c>
      <c r="BZ21" s="1125">
        <f t="shared" si="51"/>
        <v>1</v>
      </c>
      <c r="CA21" s="1125">
        <f t="shared" si="52"/>
        <v>1</v>
      </c>
      <c r="CB21" s="1125">
        <f t="shared" si="53"/>
        <v>1</v>
      </c>
      <c r="CC21" s="1125">
        <f t="shared" si="54"/>
        <v>1</v>
      </c>
      <c r="CD21" s="1125">
        <f t="shared" si="55"/>
        <v>1</v>
      </c>
      <c r="CE21" s="1125">
        <f t="shared" si="56"/>
        <v>1</v>
      </c>
      <c r="CF21" s="1125">
        <f t="shared" si="57"/>
        <v>1</v>
      </c>
      <c r="CG21" s="1125">
        <f t="shared" si="58"/>
        <v>1</v>
      </c>
      <c r="CH21" s="1125">
        <f t="shared" si="59"/>
        <v>0</v>
      </c>
      <c r="CI21" s="1125">
        <f t="shared" si="60"/>
        <v>0.85</v>
      </c>
      <c r="CJ21" s="1125">
        <f t="shared" si="61"/>
        <v>0.85</v>
      </c>
      <c r="CK21" s="1125">
        <f t="shared" si="62"/>
        <v>0.85</v>
      </c>
      <c r="CL21" s="1125">
        <f t="shared" si="63"/>
        <v>0.85</v>
      </c>
      <c r="CM21" s="1125">
        <f t="shared" si="64"/>
        <v>0.7</v>
      </c>
      <c r="CN21" s="1125">
        <f t="shared" si="65"/>
        <v>0.7</v>
      </c>
      <c r="CO21" s="1125">
        <f t="shared" si="66"/>
        <v>0.7</v>
      </c>
      <c r="CP21" s="1125">
        <f t="shared" si="67"/>
        <v>0.7</v>
      </c>
      <c r="CQ21" s="1125">
        <f t="shared" si="68"/>
        <v>0.7</v>
      </c>
      <c r="CR21" s="1125">
        <f t="shared" si="69"/>
        <v>0.7</v>
      </c>
      <c r="CS21" s="1125">
        <f t="shared" si="70"/>
        <v>0.85</v>
      </c>
      <c r="CT21" s="1125">
        <f t="shared" si="71"/>
        <v>0.85</v>
      </c>
      <c r="CU21" s="1125">
        <v>1</v>
      </c>
      <c r="CV21" s="1125"/>
      <c r="CW21" s="1125">
        <f t="shared" si="72"/>
        <v>275</v>
      </c>
      <c r="CX21" s="1125">
        <f t="shared" si="73"/>
        <v>90</v>
      </c>
      <c r="CY21" s="1136" t="s">
        <v>4883</v>
      </c>
      <c r="CZ21" s="1129" t="s">
        <v>4884</v>
      </c>
      <c r="DA21" s="1129"/>
      <c r="DB21" s="1129"/>
      <c r="DC21" s="1125" t="s">
        <v>5574</v>
      </c>
      <c r="DD21" s="1125" t="s">
        <v>228</v>
      </c>
      <c r="DE21" s="1120" t="str">
        <f t="shared" si="74"/>
        <v/>
      </c>
      <c r="DF21" s="1133">
        <v>0</v>
      </c>
      <c r="DG21" s="1120">
        <v>0</v>
      </c>
    </row>
    <row r="22" spans="1:111">
      <c r="A22" s="1125" t="s">
        <v>2936</v>
      </c>
      <c r="B22" s="1120" t="s">
        <v>4254</v>
      </c>
      <c r="C22" s="1120" t="s">
        <v>4255</v>
      </c>
      <c r="D22" s="1120" t="s">
        <v>539</v>
      </c>
      <c r="E22" s="1120">
        <v>390</v>
      </c>
      <c r="F22" s="1120">
        <v>-75.45</v>
      </c>
      <c r="G22" s="1120">
        <v>40.65</v>
      </c>
      <c r="H22" s="1120">
        <v>-5</v>
      </c>
      <c r="I22" s="1121">
        <v>11.480000686645507</v>
      </c>
      <c r="J22" s="1121">
        <v>88.16000137329101</v>
      </c>
      <c r="K22" s="1122">
        <v>72.5</v>
      </c>
      <c r="L22" s="1120">
        <v>5468.4000000000005</v>
      </c>
      <c r="M22" s="1120">
        <v>842.4</v>
      </c>
      <c r="N22" s="1123">
        <v>24.979999828338624</v>
      </c>
      <c r="O22" s="1123">
        <v>29.660000085830688</v>
      </c>
      <c r="P22" s="1123">
        <v>41.720000171661376</v>
      </c>
      <c r="Q22" s="1123">
        <v>53.780000686645508</v>
      </c>
      <c r="R22" s="1123">
        <v>61.880000686645509</v>
      </c>
      <c r="S22" s="1123">
        <v>68.539998626708979</v>
      </c>
      <c r="T22" s="1123">
        <v>73.760001373291018</v>
      </c>
      <c r="U22" s="1123">
        <v>70.519999313354489</v>
      </c>
      <c r="V22" s="1123">
        <v>63.5</v>
      </c>
      <c r="W22" s="1123">
        <v>53.780000686645508</v>
      </c>
      <c r="X22" s="1123">
        <v>43.52000017166138</v>
      </c>
      <c r="Y22" s="1123">
        <v>33.440000021457671</v>
      </c>
      <c r="Z22" s="1123">
        <v>51.707287812265633</v>
      </c>
      <c r="AA22" s="1123">
        <f t="shared" si="0"/>
        <v>47.331478534626974</v>
      </c>
      <c r="AB22" s="1123">
        <f t="shared" si="1"/>
        <v>46.084105935410363</v>
      </c>
      <c r="AC22" s="1123">
        <f t="shared" si="2"/>
        <v>47.866494811050686</v>
      </c>
      <c r="AD22" s="1123">
        <f t="shared" si="3"/>
        <v>52.214038033668267</v>
      </c>
      <c r="AE22" s="1123">
        <f t="shared" si="4"/>
        <v>57.993481464618782</v>
      </c>
      <c r="AF22" s="1123">
        <f t="shared" si="5"/>
        <v>63.698324109705773</v>
      </c>
      <c r="AG22" s="1123">
        <f t="shared" si="6"/>
        <v>67.841510819200991</v>
      </c>
      <c r="AH22" s="1123">
        <f t="shared" si="7"/>
        <v>69.343056128834661</v>
      </c>
      <c r="AI22" s="1123">
        <f t="shared" si="8"/>
        <v>67.811559114137111</v>
      </c>
      <c r="AJ22" s="1123">
        <f t="shared" si="9"/>
        <v>63.646228073072642</v>
      </c>
      <c r="AK22" s="1123">
        <f t="shared" si="10"/>
        <v>57.932820731189068</v>
      </c>
      <c r="AL22" s="1123">
        <f t="shared" si="11"/>
        <v>52.16062475842061</v>
      </c>
      <c r="AM22" s="1120">
        <f t="shared" si="12"/>
        <v>1</v>
      </c>
      <c r="AN22" s="1120">
        <f t="shared" si="13"/>
        <v>1</v>
      </c>
      <c r="AO22" s="1120">
        <f t="shared" si="14"/>
        <v>1</v>
      </c>
      <c r="AP22" s="1120">
        <f t="shared" si="15"/>
        <v>1</v>
      </c>
      <c r="AQ22" s="1120">
        <f t="shared" si="16"/>
        <v>1</v>
      </c>
      <c r="AR22" s="1120">
        <f t="shared" si="17"/>
        <v>0</v>
      </c>
      <c r="AS22" s="1120">
        <f t="shared" si="18"/>
        <v>0</v>
      </c>
      <c r="AT22" s="1120">
        <f t="shared" si="19"/>
        <v>0</v>
      </c>
      <c r="AU22" s="1120">
        <f t="shared" si="20"/>
        <v>1</v>
      </c>
      <c r="AV22" s="1120">
        <f t="shared" si="21"/>
        <v>1</v>
      </c>
      <c r="AW22" s="1120">
        <f t="shared" si="22"/>
        <v>1</v>
      </c>
      <c r="AX22" s="1120">
        <f t="shared" si="23"/>
        <v>1</v>
      </c>
      <c r="AY22" s="1120">
        <f t="shared" si="24"/>
        <v>0</v>
      </c>
      <c r="AZ22" s="1120">
        <f t="shared" si="25"/>
        <v>0</v>
      </c>
      <c r="BA22" s="1120">
        <f t="shared" si="26"/>
        <v>0</v>
      </c>
      <c r="BB22" s="1120">
        <f t="shared" si="27"/>
        <v>0</v>
      </c>
      <c r="BC22" s="1120">
        <f t="shared" si="28"/>
        <v>0</v>
      </c>
      <c r="BD22" s="1120">
        <f t="shared" si="29"/>
        <v>1</v>
      </c>
      <c r="BE22" s="1120">
        <f t="shared" si="30"/>
        <v>1</v>
      </c>
      <c r="BF22" s="1120">
        <f t="shared" si="31"/>
        <v>1</v>
      </c>
      <c r="BG22" s="1120">
        <f t="shared" si="32"/>
        <v>0</v>
      </c>
      <c r="BH22" s="1120">
        <f t="shared" si="33"/>
        <v>0</v>
      </c>
      <c r="BI22" s="1120">
        <f t="shared" si="34"/>
        <v>0</v>
      </c>
      <c r="BJ22" s="1120">
        <f t="shared" si="35"/>
        <v>0</v>
      </c>
      <c r="BK22" s="1120">
        <f t="shared" si="36"/>
        <v>1</v>
      </c>
      <c r="BL22" s="1120">
        <f t="shared" si="37"/>
        <v>1</v>
      </c>
      <c r="BM22" s="1120">
        <f t="shared" si="38"/>
        <v>1</v>
      </c>
      <c r="BN22" s="1120">
        <f t="shared" si="39"/>
        <v>1</v>
      </c>
      <c r="BO22" s="1120">
        <f t="shared" si="40"/>
        <v>1</v>
      </c>
      <c r="BP22" s="1120">
        <f t="shared" si="41"/>
        <v>1</v>
      </c>
      <c r="BQ22" s="1120">
        <f t="shared" si="42"/>
        <v>0</v>
      </c>
      <c r="BR22" s="1120">
        <f t="shared" si="43"/>
        <v>0</v>
      </c>
      <c r="BS22" s="1120">
        <f t="shared" si="44"/>
        <v>1</v>
      </c>
      <c r="BT22" s="1120">
        <f t="shared" si="45"/>
        <v>1</v>
      </c>
      <c r="BU22" s="1120">
        <f t="shared" si="46"/>
        <v>1</v>
      </c>
      <c r="BV22" s="1120">
        <f t="shared" si="47"/>
        <v>1</v>
      </c>
      <c r="BW22" s="1120">
        <f t="shared" si="48"/>
        <v>0</v>
      </c>
      <c r="BX22" s="1120">
        <f t="shared" si="49"/>
        <v>0</v>
      </c>
      <c r="BY22" s="1120">
        <f t="shared" si="50"/>
        <v>0</v>
      </c>
      <c r="BZ22" s="1120">
        <f t="shared" si="51"/>
        <v>0</v>
      </c>
      <c r="CA22" s="1120">
        <f t="shared" si="52"/>
        <v>1</v>
      </c>
      <c r="CB22" s="1120">
        <f t="shared" si="53"/>
        <v>1</v>
      </c>
      <c r="CC22" s="1120">
        <f t="shared" si="54"/>
        <v>1</v>
      </c>
      <c r="CD22" s="1120">
        <f t="shared" si="55"/>
        <v>1</v>
      </c>
      <c r="CE22" s="1120">
        <f t="shared" si="56"/>
        <v>1</v>
      </c>
      <c r="CF22" s="1120">
        <f t="shared" si="57"/>
        <v>0</v>
      </c>
      <c r="CG22" s="1120">
        <f t="shared" si="58"/>
        <v>0</v>
      </c>
      <c r="CH22" s="1120">
        <f t="shared" si="59"/>
        <v>0</v>
      </c>
      <c r="CI22" s="1120">
        <f t="shared" si="60"/>
        <v>0.85</v>
      </c>
      <c r="CJ22" s="1120">
        <f t="shared" si="61"/>
        <v>0.85</v>
      </c>
      <c r="CK22" s="1120">
        <f t="shared" si="62"/>
        <v>0.85</v>
      </c>
      <c r="CL22" s="1120">
        <f t="shared" si="63"/>
        <v>0.85</v>
      </c>
      <c r="CM22" s="1120">
        <f t="shared" si="64"/>
        <v>0.85</v>
      </c>
      <c r="CN22" s="1120">
        <f t="shared" si="65"/>
        <v>0.85</v>
      </c>
      <c r="CO22" s="1120">
        <f t="shared" si="66"/>
        <v>0.7</v>
      </c>
      <c r="CP22" s="1120">
        <f t="shared" si="67"/>
        <v>0.7</v>
      </c>
      <c r="CQ22" s="1120">
        <f t="shared" si="68"/>
        <v>0.85</v>
      </c>
      <c r="CR22" s="1120">
        <f t="shared" si="69"/>
        <v>0.85</v>
      </c>
      <c r="CS22" s="1120">
        <f t="shared" si="70"/>
        <v>0.85</v>
      </c>
      <c r="CT22" s="1120">
        <f t="shared" si="71"/>
        <v>0.85</v>
      </c>
      <c r="CU22" s="1120">
        <v>1</v>
      </c>
      <c r="CV22" s="1120"/>
      <c r="CW22" s="1120">
        <f t="shared" si="72"/>
        <v>153</v>
      </c>
      <c r="CX22" s="1120">
        <f t="shared" si="73"/>
        <v>212</v>
      </c>
      <c r="CY22" s="1135" t="s">
        <v>4889</v>
      </c>
      <c r="CZ22" s="1124" t="s">
        <v>4897</v>
      </c>
      <c r="DA22" s="1124"/>
      <c r="DB22" s="1124"/>
      <c r="DC22" s="1120" t="s">
        <v>5529</v>
      </c>
      <c r="DD22" s="1120" t="s">
        <v>539</v>
      </c>
      <c r="DE22" s="1120" t="str">
        <f t="shared" si="74"/>
        <v/>
      </c>
      <c r="DF22" s="1133">
        <v>0</v>
      </c>
      <c r="DG22" s="1125">
        <v>0</v>
      </c>
    </row>
    <row r="23" spans="1:111">
      <c r="A23" s="1120" t="s">
        <v>2990</v>
      </c>
      <c r="B23" s="1120" t="s">
        <v>3990</v>
      </c>
      <c r="C23" s="1120" t="s">
        <v>3991</v>
      </c>
      <c r="D23" s="1120" t="s">
        <v>771</v>
      </c>
      <c r="E23" s="1120">
        <v>3929</v>
      </c>
      <c r="F23" s="1120">
        <v>-102.8</v>
      </c>
      <c r="G23" s="1120">
        <v>42.05</v>
      </c>
      <c r="H23" s="1120">
        <v>-7</v>
      </c>
      <c r="I23" s="1121">
        <v>-3.9998626708985165E-2</v>
      </c>
      <c r="J23" s="1121">
        <v>93.379997253417969</v>
      </c>
      <c r="K23" s="1122">
        <v>65.119999313354498</v>
      </c>
      <c r="L23" s="1120">
        <v>6858</v>
      </c>
      <c r="M23" s="1120">
        <v>833.4</v>
      </c>
      <c r="N23" s="1123">
        <v>26.960000085830689</v>
      </c>
      <c r="O23" s="1123">
        <v>28.76000008583069</v>
      </c>
      <c r="P23" s="1123">
        <v>39.200000000000003</v>
      </c>
      <c r="Q23" s="1123">
        <v>46.580000686645505</v>
      </c>
      <c r="R23" s="1123">
        <v>53.780000686645508</v>
      </c>
      <c r="S23" s="1123">
        <v>66.739998626708982</v>
      </c>
      <c r="T23" s="1123">
        <v>74.3</v>
      </c>
      <c r="U23" s="1123">
        <v>73.580000686645505</v>
      </c>
      <c r="V23" s="1123">
        <v>62.060001373291016</v>
      </c>
      <c r="W23" s="1123">
        <v>46.940000343322751</v>
      </c>
      <c r="X23" s="1123">
        <v>30.740000021457671</v>
      </c>
      <c r="Y23" s="1123">
        <v>23.9</v>
      </c>
      <c r="Z23" s="1123">
        <v>47.910520765814063</v>
      </c>
      <c r="AA23" s="1123">
        <f t="shared" si="0"/>
        <v>44.391357139934691</v>
      </c>
      <c r="AB23" s="1123">
        <f t="shared" si="1"/>
        <v>42.847014323621877</v>
      </c>
      <c r="AC23" s="1123">
        <f t="shared" si="2"/>
        <v>44.186544955261532</v>
      </c>
      <c r="AD23" s="1123">
        <f t="shared" si="3"/>
        <v>48.0607797329249</v>
      </c>
      <c r="AE23" s="1123">
        <f t="shared" si="4"/>
        <v>53.459839658048871</v>
      </c>
      <c r="AF23" s="1123">
        <f t="shared" si="5"/>
        <v>58.976376559117945</v>
      </c>
      <c r="AG23" s="1123">
        <f t="shared" si="6"/>
        <v>63.172420080461514</v>
      </c>
      <c r="AH23" s="1123">
        <f t="shared" si="7"/>
        <v>64.954206815253372</v>
      </c>
      <c r="AI23" s="1123">
        <f t="shared" si="8"/>
        <v>63.857286592905304</v>
      </c>
      <c r="AJ23" s="1123">
        <f t="shared" si="9"/>
        <v>60.167588573424624</v>
      </c>
      <c r="AK23" s="1123">
        <f t="shared" si="10"/>
        <v>54.846889405556603</v>
      </c>
      <c r="AL23" s="1123">
        <f t="shared" si="11"/>
        <v>49.28211132186216</v>
      </c>
      <c r="AM23" s="1120">
        <f t="shared" si="12"/>
        <v>1</v>
      </c>
      <c r="AN23" s="1120">
        <f t="shared" si="13"/>
        <v>1</v>
      </c>
      <c r="AO23" s="1120">
        <f t="shared" si="14"/>
        <v>1</v>
      </c>
      <c r="AP23" s="1120">
        <f t="shared" si="15"/>
        <v>1</v>
      </c>
      <c r="AQ23" s="1120">
        <f t="shared" si="16"/>
        <v>1</v>
      </c>
      <c r="AR23" s="1120">
        <f t="shared" si="17"/>
        <v>0</v>
      </c>
      <c r="AS23" s="1120">
        <f t="shared" si="18"/>
        <v>0</v>
      </c>
      <c r="AT23" s="1120">
        <f t="shared" si="19"/>
        <v>0</v>
      </c>
      <c r="AU23" s="1120">
        <f t="shared" si="20"/>
        <v>1</v>
      </c>
      <c r="AV23" s="1120">
        <f t="shared" si="21"/>
        <v>1</v>
      </c>
      <c r="AW23" s="1120">
        <f t="shared" si="22"/>
        <v>1</v>
      </c>
      <c r="AX23" s="1120">
        <f t="shared" si="23"/>
        <v>1</v>
      </c>
      <c r="AY23" s="1120">
        <f t="shared" si="24"/>
        <v>0</v>
      </c>
      <c r="AZ23" s="1120">
        <f t="shared" si="25"/>
        <v>0</v>
      </c>
      <c r="BA23" s="1120">
        <f t="shared" si="26"/>
        <v>0</v>
      </c>
      <c r="BB23" s="1120">
        <f t="shared" si="27"/>
        <v>0</v>
      </c>
      <c r="BC23" s="1120">
        <f t="shared" si="28"/>
        <v>0</v>
      </c>
      <c r="BD23" s="1120">
        <f t="shared" si="29"/>
        <v>1</v>
      </c>
      <c r="BE23" s="1120">
        <f t="shared" si="30"/>
        <v>1</v>
      </c>
      <c r="BF23" s="1120">
        <f t="shared" si="31"/>
        <v>1</v>
      </c>
      <c r="BG23" s="1120">
        <f t="shared" si="32"/>
        <v>0</v>
      </c>
      <c r="BH23" s="1120">
        <f t="shared" si="33"/>
        <v>0</v>
      </c>
      <c r="BI23" s="1120">
        <f t="shared" si="34"/>
        <v>0</v>
      </c>
      <c r="BJ23" s="1120">
        <f t="shared" si="35"/>
        <v>0</v>
      </c>
      <c r="BK23" s="1120">
        <f t="shared" si="36"/>
        <v>1</v>
      </c>
      <c r="BL23" s="1120">
        <f t="shared" si="37"/>
        <v>1</v>
      </c>
      <c r="BM23" s="1120">
        <f t="shared" si="38"/>
        <v>1</v>
      </c>
      <c r="BN23" s="1120">
        <f t="shared" si="39"/>
        <v>1</v>
      </c>
      <c r="BO23" s="1120">
        <f t="shared" si="40"/>
        <v>1</v>
      </c>
      <c r="BP23" s="1120">
        <f t="shared" si="41"/>
        <v>1</v>
      </c>
      <c r="BQ23" s="1120">
        <f t="shared" si="42"/>
        <v>0</v>
      </c>
      <c r="BR23" s="1120">
        <f t="shared" si="43"/>
        <v>0</v>
      </c>
      <c r="BS23" s="1120">
        <f t="shared" si="44"/>
        <v>1</v>
      </c>
      <c r="BT23" s="1120">
        <f t="shared" si="45"/>
        <v>1</v>
      </c>
      <c r="BU23" s="1120">
        <f t="shared" si="46"/>
        <v>1</v>
      </c>
      <c r="BV23" s="1120">
        <f t="shared" si="47"/>
        <v>1</v>
      </c>
      <c r="BW23" s="1120">
        <f t="shared" si="48"/>
        <v>0</v>
      </c>
      <c r="BX23" s="1120">
        <f t="shared" si="49"/>
        <v>0</v>
      </c>
      <c r="BY23" s="1120">
        <f t="shared" si="50"/>
        <v>0</v>
      </c>
      <c r="BZ23" s="1120">
        <f t="shared" si="51"/>
        <v>0</v>
      </c>
      <c r="CA23" s="1120">
        <f t="shared" si="52"/>
        <v>1</v>
      </c>
      <c r="CB23" s="1120">
        <f t="shared" si="53"/>
        <v>1</v>
      </c>
      <c r="CC23" s="1120">
        <f t="shared" si="54"/>
        <v>1</v>
      </c>
      <c r="CD23" s="1120">
        <f t="shared" si="55"/>
        <v>1</v>
      </c>
      <c r="CE23" s="1120">
        <f t="shared" si="56"/>
        <v>1</v>
      </c>
      <c r="CF23" s="1120">
        <f t="shared" si="57"/>
        <v>0</v>
      </c>
      <c r="CG23" s="1120">
        <f t="shared" si="58"/>
        <v>0</v>
      </c>
      <c r="CH23" s="1120">
        <f t="shared" si="59"/>
        <v>0</v>
      </c>
      <c r="CI23" s="1120">
        <f t="shared" si="60"/>
        <v>0.85</v>
      </c>
      <c r="CJ23" s="1120">
        <f t="shared" si="61"/>
        <v>0.85</v>
      </c>
      <c r="CK23" s="1120">
        <f t="shared" si="62"/>
        <v>0.85</v>
      </c>
      <c r="CL23" s="1120">
        <f t="shared" si="63"/>
        <v>0.85</v>
      </c>
      <c r="CM23" s="1120">
        <f t="shared" si="64"/>
        <v>0.85</v>
      </c>
      <c r="CN23" s="1120">
        <f t="shared" si="65"/>
        <v>0.85</v>
      </c>
      <c r="CO23" s="1120">
        <f t="shared" si="66"/>
        <v>0.7</v>
      </c>
      <c r="CP23" s="1120">
        <f t="shared" si="67"/>
        <v>0.7</v>
      </c>
      <c r="CQ23" s="1120">
        <f t="shared" si="68"/>
        <v>0.85</v>
      </c>
      <c r="CR23" s="1120">
        <f t="shared" si="69"/>
        <v>0.85</v>
      </c>
      <c r="CS23" s="1120">
        <f t="shared" si="70"/>
        <v>0.85</v>
      </c>
      <c r="CT23" s="1120">
        <f t="shared" si="71"/>
        <v>0.85</v>
      </c>
      <c r="CU23" s="1120">
        <v>1</v>
      </c>
      <c r="CV23" s="1120"/>
      <c r="CW23" s="1120">
        <f t="shared" si="72"/>
        <v>153</v>
      </c>
      <c r="CX23" s="1120">
        <f t="shared" si="73"/>
        <v>212</v>
      </c>
      <c r="CY23" s="1135" t="s">
        <v>4889</v>
      </c>
      <c r="CZ23" s="1124" t="s">
        <v>4897</v>
      </c>
      <c r="DA23" s="1124"/>
      <c r="DB23" s="1124"/>
      <c r="DC23" s="1120" t="s">
        <v>5412</v>
      </c>
      <c r="DD23" s="1120" t="s">
        <v>771</v>
      </c>
      <c r="DE23" s="1120" t="str">
        <f t="shared" si="74"/>
        <v/>
      </c>
      <c r="DF23" s="1133">
        <v>0</v>
      </c>
      <c r="DG23" s="1120">
        <v>0</v>
      </c>
    </row>
    <row r="24" spans="1:111">
      <c r="A24" s="1125" t="s">
        <v>613</v>
      </c>
      <c r="B24" s="1120" t="s">
        <v>3348</v>
      </c>
      <c r="C24" s="1120" t="s">
        <v>3349</v>
      </c>
      <c r="D24" s="1120" t="s">
        <v>428</v>
      </c>
      <c r="E24" s="1120">
        <v>207</v>
      </c>
      <c r="F24" s="1120">
        <v>-82.5</v>
      </c>
      <c r="G24" s="1120">
        <v>31.53</v>
      </c>
      <c r="H24" s="1120">
        <v>-5</v>
      </c>
      <c r="I24" s="1121">
        <v>23.9</v>
      </c>
      <c r="J24" s="1121">
        <v>98.060001373291016</v>
      </c>
      <c r="K24" s="1122">
        <v>78.080000686645505</v>
      </c>
      <c r="L24" s="1120">
        <v>2107.8000000000002</v>
      </c>
      <c r="M24" s="1120">
        <v>2255.4</v>
      </c>
      <c r="N24" s="1123">
        <v>46.759999656677245</v>
      </c>
      <c r="O24" s="1123">
        <v>53.059999656677249</v>
      </c>
      <c r="P24" s="1123">
        <v>56.659999656677243</v>
      </c>
      <c r="Q24" s="1123">
        <v>64.939998626708984</v>
      </c>
      <c r="R24" s="1123">
        <v>75.560001373291016</v>
      </c>
      <c r="S24" s="1123">
        <v>77.180000686645513</v>
      </c>
      <c r="T24" s="1123">
        <v>80.419999313354495</v>
      </c>
      <c r="U24" s="1123">
        <v>80.780000686645508</v>
      </c>
      <c r="V24" s="1123">
        <v>74.480000686645511</v>
      </c>
      <c r="W24" s="1123">
        <v>64.219999313354492</v>
      </c>
      <c r="X24" s="1123">
        <v>56.480000686645511</v>
      </c>
      <c r="Y24" s="1123">
        <v>46.220000171661376</v>
      </c>
      <c r="Z24" s="1123">
        <v>64.78712333235022</v>
      </c>
      <c r="AA24" s="1123">
        <f t="shared" si="0"/>
        <v>60.59573902787232</v>
      </c>
      <c r="AB24" s="1123">
        <f t="shared" si="1"/>
        <v>60.668379862674229</v>
      </c>
      <c r="AC24" s="1123">
        <f t="shared" si="2"/>
        <v>63.378627117404143</v>
      </c>
      <c r="AD24" s="1123">
        <f t="shared" si="3"/>
        <v>68.020013078942284</v>
      </c>
      <c r="AE24" s="1123">
        <f t="shared" si="4"/>
        <v>73.382688970490975</v>
      </c>
      <c r="AF24" s="1123">
        <f t="shared" si="5"/>
        <v>78.068790679581042</v>
      </c>
      <c r="AG24" s="1123">
        <f t="shared" si="6"/>
        <v>80.856813580724889</v>
      </c>
      <c r="AH24" s="1123">
        <f t="shared" si="7"/>
        <v>81.02001654000594</v>
      </c>
      <c r="AI24" s="1123">
        <f t="shared" si="8"/>
        <v>78.515858191053837</v>
      </c>
      <c r="AJ24" s="1123">
        <f t="shared" si="9"/>
        <v>73.997085997771251</v>
      </c>
      <c r="AK24" s="1123">
        <f t="shared" si="10"/>
        <v>68.641587568724631</v>
      </c>
      <c r="AL24" s="1123">
        <f t="shared" si="11"/>
        <v>63.845356100173973</v>
      </c>
      <c r="AM24" s="1120">
        <f t="shared" si="12"/>
        <v>1</v>
      </c>
      <c r="AN24" s="1120">
        <f t="shared" si="13"/>
        <v>1</v>
      </c>
      <c r="AO24" s="1120">
        <f t="shared" si="14"/>
        <v>1</v>
      </c>
      <c r="AP24" s="1120">
        <f t="shared" si="15"/>
        <v>1</v>
      </c>
      <c r="AQ24" s="1120">
        <f t="shared" si="16"/>
        <v>0</v>
      </c>
      <c r="AR24" s="1120">
        <f t="shared" si="17"/>
        <v>0</v>
      </c>
      <c r="AS24" s="1120">
        <f t="shared" si="18"/>
        <v>0</v>
      </c>
      <c r="AT24" s="1120">
        <f t="shared" si="19"/>
        <v>0</v>
      </c>
      <c r="AU24" s="1120">
        <f t="shared" si="20"/>
        <v>0</v>
      </c>
      <c r="AV24" s="1120">
        <f t="shared" si="21"/>
        <v>1</v>
      </c>
      <c r="AW24" s="1120">
        <f t="shared" si="22"/>
        <v>1</v>
      </c>
      <c r="AX24" s="1120">
        <f t="shared" si="23"/>
        <v>1</v>
      </c>
      <c r="AY24" s="1120">
        <f t="shared" si="24"/>
        <v>0</v>
      </c>
      <c r="AZ24" s="1120">
        <f t="shared" si="25"/>
        <v>0</v>
      </c>
      <c r="BA24" s="1120">
        <f t="shared" si="26"/>
        <v>0</v>
      </c>
      <c r="BB24" s="1120">
        <f t="shared" si="27"/>
        <v>0</v>
      </c>
      <c r="BC24" s="1120">
        <f t="shared" si="28"/>
        <v>1</v>
      </c>
      <c r="BD24" s="1120">
        <f t="shared" si="29"/>
        <v>1</v>
      </c>
      <c r="BE24" s="1120">
        <f t="shared" si="30"/>
        <v>1</v>
      </c>
      <c r="BF24" s="1120">
        <f t="shared" si="31"/>
        <v>1</v>
      </c>
      <c r="BG24" s="1120">
        <f t="shared" si="32"/>
        <v>1</v>
      </c>
      <c r="BH24" s="1120">
        <f t="shared" si="33"/>
        <v>0</v>
      </c>
      <c r="BI24" s="1120">
        <f t="shared" si="34"/>
        <v>0</v>
      </c>
      <c r="BJ24" s="1120">
        <f t="shared" si="35"/>
        <v>0</v>
      </c>
      <c r="BK24" s="1120">
        <f t="shared" si="36"/>
        <v>1</v>
      </c>
      <c r="BL24" s="1120">
        <f t="shared" si="37"/>
        <v>1</v>
      </c>
      <c r="BM24" s="1120">
        <f t="shared" si="38"/>
        <v>1</v>
      </c>
      <c r="BN24" s="1120">
        <f t="shared" si="39"/>
        <v>1</v>
      </c>
      <c r="BO24" s="1120">
        <f t="shared" si="40"/>
        <v>1</v>
      </c>
      <c r="BP24" s="1120">
        <f t="shared" si="41"/>
        <v>0</v>
      </c>
      <c r="BQ24" s="1120">
        <f t="shared" si="42"/>
        <v>0</v>
      </c>
      <c r="BR24" s="1120">
        <f t="shared" si="43"/>
        <v>0</v>
      </c>
      <c r="BS24" s="1120">
        <f t="shared" si="44"/>
        <v>0</v>
      </c>
      <c r="BT24" s="1120">
        <f t="shared" si="45"/>
        <v>1</v>
      </c>
      <c r="BU24" s="1120">
        <f t="shared" si="46"/>
        <v>1</v>
      </c>
      <c r="BV24" s="1120">
        <f t="shared" si="47"/>
        <v>1</v>
      </c>
      <c r="BW24" s="1120">
        <f t="shared" si="48"/>
        <v>0</v>
      </c>
      <c r="BX24" s="1120">
        <f t="shared" si="49"/>
        <v>0</v>
      </c>
      <c r="BY24" s="1120">
        <f t="shared" si="50"/>
        <v>0</v>
      </c>
      <c r="BZ24" s="1120">
        <f t="shared" si="51"/>
        <v>1</v>
      </c>
      <c r="CA24" s="1120">
        <f t="shared" si="52"/>
        <v>1</v>
      </c>
      <c r="CB24" s="1120">
        <f t="shared" si="53"/>
        <v>1</v>
      </c>
      <c r="CC24" s="1120">
        <f t="shared" si="54"/>
        <v>1</v>
      </c>
      <c r="CD24" s="1120">
        <f t="shared" si="55"/>
        <v>1</v>
      </c>
      <c r="CE24" s="1120">
        <f t="shared" si="56"/>
        <v>1</v>
      </c>
      <c r="CF24" s="1120">
        <f t="shared" si="57"/>
        <v>1</v>
      </c>
      <c r="CG24" s="1120">
        <f t="shared" si="58"/>
        <v>0</v>
      </c>
      <c r="CH24" s="1120">
        <f t="shared" si="59"/>
        <v>0</v>
      </c>
      <c r="CI24" s="1120">
        <f t="shared" si="60"/>
        <v>0.85</v>
      </c>
      <c r="CJ24" s="1120">
        <f t="shared" si="61"/>
        <v>0.85</v>
      </c>
      <c r="CK24" s="1120">
        <f t="shared" si="62"/>
        <v>0.85</v>
      </c>
      <c r="CL24" s="1120">
        <f t="shared" si="63"/>
        <v>0.85</v>
      </c>
      <c r="CM24" s="1120">
        <f t="shared" si="64"/>
        <v>0.85</v>
      </c>
      <c r="CN24" s="1120">
        <f t="shared" si="65"/>
        <v>0.7</v>
      </c>
      <c r="CO24" s="1120">
        <f t="shared" si="66"/>
        <v>0.7</v>
      </c>
      <c r="CP24" s="1120">
        <f t="shared" si="67"/>
        <v>0.7</v>
      </c>
      <c r="CQ24" s="1120">
        <f t="shared" si="68"/>
        <v>0.7</v>
      </c>
      <c r="CR24" s="1120">
        <f t="shared" si="69"/>
        <v>0.85</v>
      </c>
      <c r="CS24" s="1120">
        <f t="shared" si="70"/>
        <v>0.85</v>
      </c>
      <c r="CT24" s="1120">
        <f t="shared" si="71"/>
        <v>0.85</v>
      </c>
      <c r="CU24" s="1120">
        <v>1</v>
      </c>
      <c r="CV24" s="1120"/>
      <c r="CW24" s="1120">
        <f t="shared" si="72"/>
        <v>214</v>
      </c>
      <c r="CX24" s="1120">
        <f t="shared" si="73"/>
        <v>151</v>
      </c>
      <c r="CY24" s="1135" t="s">
        <v>4883</v>
      </c>
      <c r="CZ24" s="1124" t="s">
        <v>4884</v>
      </c>
      <c r="DA24" s="1124"/>
      <c r="DB24" s="1124"/>
      <c r="DC24" s="1120" t="s">
        <v>5131</v>
      </c>
      <c r="DD24" s="1120" t="s">
        <v>428</v>
      </c>
      <c r="DE24" s="1120" t="str">
        <f t="shared" si="74"/>
        <v/>
      </c>
      <c r="DF24" s="1133">
        <v>0</v>
      </c>
      <c r="DG24" s="1125">
        <v>0</v>
      </c>
    </row>
    <row r="25" spans="1:111">
      <c r="A25" s="1120" t="s">
        <v>2938</v>
      </c>
      <c r="B25" s="1120" t="s">
        <v>3707</v>
      </c>
      <c r="C25" s="1120" t="s">
        <v>3708</v>
      </c>
      <c r="D25" s="1120" t="s">
        <v>540</v>
      </c>
      <c r="E25" s="1120">
        <v>689</v>
      </c>
      <c r="F25" s="1120">
        <v>-83.58</v>
      </c>
      <c r="G25" s="1120">
        <v>45.07</v>
      </c>
      <c r="H25" s="1120">
        <v>-5</v>
      </c>
      <c r="I25" s="1121">
        <v>-3.9998626708985165E-2</v>
      </c>
      <c r="J25" s="1121">
        <v>84.560001373291016</v>
      </c>
      <c r="K25" s="1122">
        <v>69.619999313354498</v>
      </c>
      <c r="L25" s="1120">
        <v>7887.6</v>
      </c>
      <c r="M25" s="1120">
        <v>316.8</v>
      </c>
      <c r="N25" s="1123">
        <v>19.579999828338622</v>
      </c>
      <c r="O25" s="1123">
        <v>18.140000343322754</v>
      </c>
      <c r="P25" s="1123">
        <v>30.740000021457671</v>
      </c>
      <c r="Q25" s="1123">
        <v>44.420000171661378</v>
      </c>
      <c r="R25" s="1123">
        <v>52.519999313354489</v>
      </c>
      <c r="S25" s="1123">
        <v>61.160001373291017</v>
      </c>
      <c r="T25" s="1123">
        <v>67.460001373291021</v>
      </c>
      <c r="U25" s="1123">
        <v>64.760001373291018</v>
      </c>
      <c r="V25" s="1123">
        <v>59.359999656677246</v>
      </c>
      <c r="W25" s="1123">
        <v>45.5</v>
      </c>
      <c r="X25" s="1123">
        <v>34.160000085830688</v>
      </c>
      <c r="Y25" s="1123">
        <v>24.8</v>
      </c>
      <c r="Z25" s="1123">
        <v>43.690630431338533</v>
      </c>
      <c r="AA25" s="1123">
        <f t="shared" si="0"/>
        <v>41.654926803470659</v>
      </c>
      <c r="AB25" s="1123">
        <f t="shared" si="1"/>
        <v>39.94374738071599</v>
      </c>
      <c r="AC25" s="1123">
        <f t="shared" si="2"/>
        <v>40.773243229120538</v>
      </c>
      <c r="AD25" s="1123">
        <f t="shared" si="3"/>
        <v>43.927193472879694</v>
      </c>
      <c r="AE25" s="1123">
        <f t="shared" si="4"/>
        <v>48.583472377113146</v>
      </c>
      <c r="AF25" s="1123">
        <f t="shared" si="5"/>
        <v>53.528349090002521</v>
      </c>
      <c r="AG25" s="1123">
        <f t="shared" si="6"/>
        <v>57.472865293476417</v>
      </c>
      <c r="AH25" s="1123">
        <f t="shared" si="7"/>
        <v>59.388822052264658</v>
      </c>
      <c r="AI25" s="1123">
        <f t="shared" si="8"/>
        <v>58.776795711401704</v>
      </c>
      <c r="AJ25" s="1123">
        <f t="shared" si="9"/>
        <v>55.796320368244885</v>
      </c>
      <c r="AK25" s="1123">
        <f t="shared" si="10"/>
        <v>51.224302851503374</v>
      </c>
      <c r="AL25" s="1123">
        <f t="shared" si="11"/>
        <v>46.252509983838486</v>
      </c>
      <c r="AM25" s="1120">
        <f t="shared" si="12"/>
        <v>1</v>
      </c>
      <c r="AN25" s="1120">
        <f t="shared" si="13"/>
        <v>1</v>
      </c>
      <c r="AO25" s="1120">
        <f t="shared" si="14"/>
        <v>1</v>
      </c>
      <c r="AP25" s="1120">
        <f t="shared" si="15"/>
        <v>1</v>
      </c>
      <c r="AQ25" s="1120">
        <f t="shared" si="16"/>
        <v>1</v>
      </c>
      <c r="AR25" s="1120">
        <f t="shared" si="17"/>
        <v>1</v>
      </c>
      <c r="AS25" s="1120">
        <f t="shared" si="18"/>
        <v>0</v>
      </c>
      <c r="AT25" s="1120">
        <f t="shared" si="19"/>
        <v>1</v>
      </c>
      <c r="AU25" s="1120">
        <f t="shared" si="20"/>
        <v>1</v>
      </c>
      <c r="AV25" s="1120">
        <f t="shared" si="21"/>
        <v>1</v>
      </c>
      <c r="AW25" s="1120">
        <f t="shared" si="22"/>
        <v>1</v>
      </c>
      <c r="AX25" s="1120">
        <f t="shared" si="23"/>
        <v>1</v>
      </c>
      <c r="AY25" s="1120">
        <f t="shared" si="24"/>
        <v>0</v>
      </c>
      <c r="AZ25" s="1120">
        <f t="shared" si="25"/>
        <v>0</v>
      </c>
      <c r="BA25" s="1120">
        <f t="shared" si="26"/>
        <v>0</v>
      </c>
      <c r="BB25" s="1120">
        <f t="shared" si="27"/>
        <v>0</v>
      </c>
      <c r="BC25" s="1120">
        <f t="shared" si="28"/>
        <v>0</v>
      </c>
      <c r="BD25" s="1120">
        <f t="shared" si="29"/>
        <v>0</v>
      </c>
      <c r="BE25" s="1120">
        <f t="shared" si="30"/>
        <v>1</v>
      </c>
      <c r="BF25" s="1120">
        <f t="shared" si="31"/>
        <v>1</v>
      </c>
      <c r="BG25" s="1120">
        <f t="shared" si="32"/>
        <v>0</v>
      </c>
      <c r="BH25" s="1120">
        <f t="shared" si="33"/>
        <v>0</v>
      </c>
      <c r="BI25" s="1120">
        <f t="shared" si="34"/>
        <v>0</v>
      </c>
      <c r="BJ25" s="1120">
        <f t="shared" si="35"/>
        <v>0</v>
      </c>
      <c r="BK25" s="1120">
        <f t="shared" si="36"/>
        <v>1</v>
      </c>
      <c r="BL25" s="1120">
        <f t="shared" si="37"/>
        <v>1</v>
      </c>
      <c r="BM25" s="1120">
        <f t="shared" si="38"/>
        <v>1</v>
      </c>
      <c r="BN25" s="1120">
        <f t="shared" si="39"/>
        <v>1</v>
      </c>
      <c r="BO25" s="1120">
        <f t="shared" si="40"/>
        <v>1</v>
      </c>
      <c r="BP25" s="1120">
        <f t="shared" si="41"/>
        <v>1</v>
      </c>
      <c r="BQ25" s="1120">
        <f t="shared" si="42"/>
        <v>1</v>
      </c>
      <c r="BR25" s="1120">
        <f t="shared" si="43"/>
        <v>1</v>
      </c>
      <c r="BS25" s="1120">
        <f t="shared" si="44"/>
        <v>1</v>
      </c>
      <c r="BT25" s="1120">
        <f t="shared" si="45"/>
        <v>1</v>
      </c>
      <c r="BU25" s="1120">
        <f t="shared" si="46"/>
        <v>1</v>
      </c>
      <c r="BV25" s="1120">
        <f t="shared" si="47"/>
        <v>1</v>
      </c>
      <c r="BW25" s="1120">
        <f t="shared" si="48"/>
        <v>0</v>
      </c>
      <c r="BX25" s="1120">
        <f t="shared" si="49"/>
        <v>0</v>
      </c>
      <c r="BY25" s="1120">
        <f t="shared" si="50"/>
        <v>0</v>
      </c>
      <c r="BZ25" s="1120">
        <f t="shared" si="51"/>
        <v>0</v>
      </c>
      <c r="CA25" s="1120">
        <f t="shared" si="52"/>
        <v>0</v>
      </c>
      <c r="CB25" s="1120">
        <f t="shared" si="53"/>
        <v>1</v>
      </c>
      <c r="CC25" s="1120">
        <f t="shared" si="54"/>
        <v>1</v>
      </c>
      <c r="CD25" s="1120">
        <f t="shared" si="55"/>
        <v>1</v>
      </c>
      <c r="CE25" s="1120">
        <f t="shared" si="56"/>
        <v>0</v>
      </c>
      <c r="CF25" s="1120">
        <f t="shared" si="57"/>
        <v>0</v>
      </c>
      <c r="CG25" s="1120">
        <f t="shared" si="58"/>
        <v>0</v>
      </c>
      <c r="CH25" s="1120">
        <f t="shared" si="59"/>
        <v>0</v>
      </c>
      <c r="CI25" s="1120">
        <f t="shared" si="60"/>
        <v>0.85</v>
      </c>
      <c r="CJ25" s="1120">
        <f t="shared" si="61"/>
        <v>0.85</v>
      </c>
      <c r="CK25" s="1120">
        <f t="shared" si="62"/>
        <v>0.85</v>
      </c>
      <c r="CL25" s="1120">
        <f t="shared" si="63"/>
        <v>0.85</v>
      </c>
      <c r="CM25" s="1120">
        <f t="shared" si="64"/>
        <v>0.85</v>
      </c>
      <c r="CN25" s="1120">
        <f t="shared" si="65"/>
        <v>0.85</v>
      </c>
      <c r="CO25" s="1120">
        <f t="shared" si="66"/>
        <v>0.85</v>
      </c>
      <c r="CP25" s="1120">
        <f t="shared" si="67"/>
        <v>0.85</v>
      </c>
      <c r="CQ25" s="1120">
        <f t="shared" si="68"/>
        <v>0.85</v>
      </c>
      <c r="CR25" s="1120">
        <f t="shared" si="69"/>
        <v>0.85</v>
      </c>
      <c r="CS25" s="1120">
        <f t="shared" si="70"/>
        <v>0.85</v>
      </c>
      <c r="CT25" s="1120">
        <f t="shared" si="71"/>
        <v>0.85</v>
      </c>
      <c r="CU25" s="1120">
        <v>1</v>
      </c>
      <c r="CV25" s="1120"/>
      <c r="CW25" s="1120">
        <f t="shared" si="72"/>
        <v>92</v>
      </c>
      <c r="CX25" s="1120">
        <f t="shared" si="73"/>
        <v>273</v>
      </c>
      <c r="CY25" s="1135" t="s">
        <v>4889</v>
      </c>
      <c r="CZ25" s="1124" t="s">
        <v>4899</v>
      </c>
      <c r="DA25" s="1124"/>
      <c r="DB25" s="1124"/>
      <c r="DC25" s="1120" t="s">
        <v>5295</v>
      </c>
      <c r="DD25" s="1120" t="s">
        <v>540</v>
      </c>
      <c r="DE25" s="1120" t="str">
        <f t="shared" si="74"/>
        <v/>
      </c>
      <c r="DF25" s="1133">
        <v>0</v>
      </c>
      <c r="DG25" s="1120">
        <v>0</v>
      </c>
    </row>
    <row r="26" spans="1:111">
      <c r="A26" s="1125" t="s">
        <v>2940</v>
      </c>
      <c r="B26" s="1125" t="s">
        <v>4256</v>
      </c>
      <c r="C26" s="1125" t="s">
        <v>4257</v>
      </c>
      <c r="D26" s="1125" t="s">
        <v>539</v>
      </c>
      <c r="E26" s="1125">
        <v>1479</v>
      </c>
      <c r="F26" s="1125">
        <v>-78.319999999999993</v>
      </c>
      <c r="G26" s="1125">
        <v>40.299999999999997</v>
      </c>
      <c r="H26" s="1125">
        <v>-5</v>
      </c>
      <c r="I26" s="1126">
        <v>9.5</v>
      </c>
      <c r="J26" s="1126">
        <v>85.639998626708987</v>
      </c>
      <c r="K26" s="1127">
        <v>70.7</v>
      </c>
      <c r="L26" s="1125">
        <v>5736.6</v>
      </c>
      <c r="M26" s="1125">
        <v>648</v>
      </c>
      <c r="N26" s="1128">
        <v>26.779999828338624</v>
      </c>
      <c r="O26" s="1128">
        <v>33.980000042915343</v>
      </c>
      <c r="P26" s="1128">
        <v>42.079999828338622</v>
      </c>
      <c r="Q26" s="1128">
        <v>50.9</v>
      </c>
      <c r="R26" s="1128">
        <v>56.659999656677243</v>
      </c>
      <c r="S26" s="1128">
        <v>64.219999313354492</v>
      </c>
      <c r="T26" s="1128">
        <v>72.860001373291013</v>
      </c>
      <c r="U26" s="1128">
        <v>68.719999313354492</v>
      </c>
      <c r="V26" s="1128">
        <v>64.939998626708984</v>
      </c>
      <c r="W26" s="1128">
        <v>49.459999656677248</v>
      </c>
      <c r="X26" s="1128">
        <v>45.320000171661377</v>
      </c>
      <c r="Y26" s="1128">
        <v>28.4</v>
      </c>
      <c r="Z26" s="1128">
        <v>50.429040914822934</v>
      </c>
      <c r="AA26" s="1128">
        <f t="shared" si="0"/>
        <v>46.998955959383153</v>
      </c>
      <c r="AB26" s="1128">
        <f t="shared" si="1"/>
        <v>45.735024111725444</v>
      </c>
      <c r="AC26" s="1128">
        <f t="shared" si="2"/>
        <v>47.258652543582485</v>
      </c>
      <c r="AD26" s="1128">
        <f t="shared" si="3"/>
        <v>51.172684024365864</v>
      </c>
      <c r="AE26" s="1128">
        <f t="shared" si="4"/>
        <v>56.456865931558504</v>
      </c>
      <c r="AF26" s="1128">
        <f t="shared" si="5"/>
        <v>61.733794819342528</v>
      </c>
      <c r="AG26" s="1128">
        <f t="shared" si="6"/>
        <v>65.627957853181343</v>
      </c>
      <c r="AH26" s="1128">
        <f t="shared" si="7"/>
        <v>67.124281427435989</v>
      </c>
      <c r="AI26" s="1128">
        <f t="shared" si="8"/>
        <v>65.832725743432718</v>
      </c>
      <c r="AJ26" s="1128">
        <f t="shared" si="9"/>
        <v>62.089954693682564</v>
      </c>
      <c r="AK26" s="1128">
        <f t="shared" si="10"/>
        <v>56.871579230150658</v>
      </c>
      <c r="AL26" s="1128">
        <f t="shared" si="11"/>
        <v>51.537849335006712</v>
      </c>
      <c r="AM26" s="1125">
        <f t="shared" si="12"/>
        <v>1</v>
      </c>
      <c r="AN26" s="1125">
        <f t="shared" si="13"/>
        <v>1</v>
      </c>
      <c r="AO26" s="1125">
        <f t="shared" si="14"/>
        <v>1</v>
      </c>
      <c r="AP26" s="1125">
        <f t="shared" si="15"/>
        <v>1</v>
      </c>
      <c r="AQ26" s="1125">
        <f t="shared" si="16"/>
        <v>1</v>
      </c>
      <c r="AR26" s="1125">
        <f t="shared" si="17"/>
        <v>1</v>
      </c>
      <c r="AS26" s="1125">
        <f t="shared" si="18"/>
        <v>0</v>
      </c>
      <c r="AT26" s="1125">
        <f t="shared" si="19"/>
        <v>0</v>
      </c>
      <c r="AU26" s="1125">
        <f t="shared" si="20"/>
        <v>1</v>
      </c>
      <c r="AV26" s="1125">
        <f t="shared" si="21"/>
        <v>1</v>
      </c>
      <c r="AW26" s="1125">
        <f t="shared" si="22"/>
        <v>1</v>
      </c>
      <c r="AX26" s="1125">
        <f t="shared" si="23"/>
        <v>1</v>
      </c>
      <c r="AY26" s="1125">
        <f t="shared" si="24"/>
        <v>0</v>
      </c>
      <c r="AZ26" s="1125">
        <f t="shared" si="25"/>
        <v>0</v>
      </c>
      <c r="BA26" s="1125">
        <f t="shared" si="26"/>
        <v>0</v>
      </c>
      <c r="BB26" s="1125">
        <f t="shared" si="27"/>
        <v>0</v>
      </c>
      <c r="BC26" s="1125">
        <f t="shared" si="28"/>
        <v>0</v>
      </c>
      <c r="BD26" s="1125">
        <f t="shared" si="29"/>
        <v>0</v>
      </c>
      <c r="BE26" s="1125">
        <f t="shared" si="30"/>
        <v>1</v>
      </c>
      <c r="BF26" s="1125">
        <f t="shared" si="31"/>
        <v>1</v>
      </c>
      <c r="BG26" s="1125">
        <f t="shared" si="32"/>
        <v>0</v>
      </c>
      <c r="BH26" s="1125">
        <f t="shared" si="33"/>
        <v>0</v>
      </c>
      <c r="BI26" s="1125">
        <f t="shared" si="34"/>
        <v>0</v>
      </c>
      <c r="BJ26" s="1125">
        <f t="shared" si="35"/>
        <v>0</v>
      </c>
      <c r="BK26" s="1125">
        <f t="shared" si="36"/>
        <v>1</v>
      </c>
      <c r="BL26" s="1125">
        <f t="shared" si="37"/>
        <v>1</v>
      </c>
      <c r="BM26" s="1125">
        <f t="shared" si="38"/>
        <v>1</v>
      </c>
      <c r="BN26" s="1125">
        <f t="shared" si="39"/>
        <v>1</v>
      </c>
      <c r="BO26" s="1125">
        <f t="shared" si="40"/>
        <v>1</v>
      </c>
      <c r="BP26" s="1125">
        <f t="shared" si="41"/>
        <v>1</v>
      </c>
      <c r="BQ26" s="1125">
        <f t="shared" si="42"/>
        <v>1</v>
      </c>
      <c r="BR26" s="1125">
        <f t="shared" si="43"/>
        <v>0</v>
      </c>
      <c r="BS26" s="1125">
        <f t="shared" si="44"/>
        <v>1</v>
      </c>
      <c r="BT26" s="1125">
        <f t="shared" si="45"/>
        <v>1</v>
      </c>
      <c r="BU26" s="1125">
        <f t="shared" si="46"/>
        <v>1</v>
      </c>
      <c r="BV26" s="1125">
        <f t="shared" si="47"/>
        <v>1</v>
      </c>
      <c r="BW26" s="1125">
        <f t="shared" si="48"/>
        <v>0</v>
      </c>
      <c r="BX26" s="1125">
        <f t="shared" si="49"/>
        <v>0</v>
      </c>
      <c r="BY26" s="1125">
        <f t="shared" si="50"/>
        <v>0</v>
      </c>
      <c r="BZ26" s="1125">
        <f t="shared" si="51"/>
        <v>0</v>
      </c>
      <c r="CA26" s="1125">
        <f t="shared" si="52"/>
        <v>0</v>
      </c>
      <c r="CB26" s="1125">
        <f t="shared" si="53"/>
        <v>1</v>
      </c>
      <c r="CC26" s="1125">
        <f t="shared" si="54"/>
        <v>1</v>
      </c>
      <c r="CD26" s="1125">
        <f t="shared" si="55"/>
        <v>1</v>
      </c>
      <c r="CE26" s="1125">
        <f t="shared" si="56"/>
        <v>1</v>
      </c>
      <c r="CF26" s="1125">
        <f t="shared" si="57"/>
        <v>0</v>
      </c>
      <c r="CG26" s="1125">
        <f t="shared" si="58"/>
        <v>0</v>
      </c>
      <c r="CH26" s="1125">
        <f t="shared" si="59"/>
        <v>0</v>
      </c>
      <c r="CI26" s="1125">
        <f t="shared" si="60"/>
        <v>0.85</v>
      </c>
      <c r="CJ26" s="1125">
        <f t="shared" si="61"/>
        <v>0.85</v>
      </c>
      <c r="CK26" s="1125">
        <f t="shared" si="62"/>
        <v>0.85</v>
      </c>
      <c r="CL26" s="1125">
        <f t="shared" si="63"/>
        <v>0.85</v>
      </c>
      <c r="CM26" s="1125">
        <f t="shared" si="64"/>
        <v>0.85</v>
      </c>
      <c r="CN26" s="1125">
        <f t="shared" si="65"/>
        <v>0.85</v>
      </c>
      <c r="CO26" s="1125">
        <f t="shared" si="66"/>
        <v>0.85</v>
      </c>
      <c r="CP26" s="1125">
        <f t="shared" si="67"/>
        <v>0.7</v>
      </c>
      <c r="CQ26" s="1125">
        <f t="shared" si="68"/>
        <v>0.85</v>
      </c>
      <c r="CR26" s="1125">
        <f t="shared" si="69"/>
        <v>0.85</v>
      </c>
      <c r="CS26" s="1125">
        <f t="shared" si="70"/>
        <v>0.85</v>
      </c>
      <c r="CT26" s="1125">
        <f t="shared" si="71"/>
        <v>0.85</v>
      </c>
      <c r="CU26" s="1125">
        <v>1</v>
      </c>
      <c r="CV26" s="1125"/>
      <c r="CW26" s="1125">
        <f t="shared" si="72"/>
        <v>122</v>
      </c>
      <c r="CX26" s="1125">
        <f t="shared" si="73"/>
        <v>243</v>
      </c>
      <c r="CY26" s="1136" t="s">
        <v>4889</v>
      </c>
      <c r="CZ26" s="1129" t="s">
        <v>4897</v>
      </c>
      <c r="DA26" s="1129"/>
      <c r="DB26" s="1129"/>
      <c r="DC26" s="1125" t="s">
        <v>5530</v>
      </c>
      <c r="DD26" s="1125" t="s">
        <v>539</v>
      </c>
      <c r="DE26" s="1120" t="str">
        <f t="shared" si="74"/>
        <v/>
      </c>
      <c r="DF26" s="1133">
        <v>0</v>
      </c>
      <c r="DG26" s="1125">
        <v>0</v>
      </c>
    </row>
    <row r="27" spans="1:111">
      <c r="A27" s="1120" t="s">
        <v>615</v>
      </c>
      <c r="B27" s="1120" t="s">
        <v>983</v>
      </c>
      <c r="C27" s="1120" t="s">
        <v>984</v>
      </c>
      <c r="D27" s="1120" t="s">
        <v>954</v>
      </c>
      <c r="E27" s="1120">
        <v>4398</v>
      </c>
      <c r="F27" s="1120">
        <v>-120.53</v>
      </c>
      <c r="G27" s="1120">
        <v>41.5</v>
      </c>
      <c r="H27" s="1120">
        <v>-8</v>
      </c>
      <c r="I27" s="1121">
        <v>4.8199993133544918</v>
      </c>
      <c r="J27" s="1121">
        <v>96.979997253417977</v>
      </c>
      <c r="K27" s="1122">
        <v>59.180000686645506</v>
      </c>
      <c r="L27" s="1120">
        <v>6278.4000000000005</v>
      </c>
      <c r="M27" s="1120">
        <v>473.40000000000003</v>
      </c>
      <c r="N27" s="1123">
        <v>32</v>
      </c>
      <c r="O27" s="1123">
        <v>34.880000042915341</v>
      </c>
      <c r="P27" s="1123">
        <v>40.1</v>
      </c>
      <c r="Q27" s="1123">
        <v>45.679999828338623</v>
      </c>
      <c r="R27" s="1123">
        <v>52.159999656677243</v>
      </c>
      <c r="S27" s="1123">
        <v>63.139998626708987</v>
      </c>
      <c r="T27" s="1123">
        <v>72.319999313354487</v>
      </c>
      <c r="U27" s="1123">
        <v>67.280000686645508</v>
      </c>
      <c r="V27" s="1123">
        <v>60.440000343322751</v>
      </c>
      <c r="W27" s="1123">
        <v>46.040000343322752</v>
      </c>
      <c r="X27" s="1123">
        <v>35.419999957084656</v>
      </c>
      <c r="Y27" s="1123">
        <v>31.279999989271165</v>
      </c>
      <c r="Z27" s="1123">
        <v>48.475671132966262</v>
      </c>
      <c r="AA27" s="1123">
        <f t="shared" si="0"/>
        <v>46.57970608498934</v>
      </c>
      <c r="AB27" s="1123">
        <f t="shared" si="1"/>
        <v>45.349635087493489</v>
      </c>
      <c r="AC27" s="1123">
        <f t="shared" si="2"/>
        <v>46.498406021722602</v>
      </c>
      <c r="AD27" s="1123">
        <f t="shared" si="3"/>
        <v>49.726574040573901</v>
      </c>
      <c r="AE27" s="1123">
        <f t="shared" si="4"/>
        <v>54.192667402358779</v>
      </c>
      <c r="AF27" s="1123">
        <f t="shared" si="5"/>
        <v>58.732530047745996</v>
      </c>
      <c r="AG27" s="1123">
        <f t="shared" si="6"/>
        <v>62.162776816814308</v>
      </c>
      <c r="AH27" s="1123">
        <f t="shared" si="7"/>
        <v>63.58926102750322</v>
      </c>
      <c r="AI27" s="1123">
        <f t="shared" si="8"/>
        <v>62.640147587509574</v>
      </c>
      <c r="AJ27" s="1123">
        <f t="shared" si="9"/>
        <v>59.562837541248562</v>
      </c>
      <c r="AK27" s="1123">
        <f t="shared" si="10"/>
        <v>55.159479175061399</v>
      </c>
      <c r="AL27" s="1123">
        <f t="shared" si="11"/>
        <v>50.577875704901238</v>
      </c>
      <c r="AM27" s="1120">
        <f t="shared" si="12"/>
        <v>1</v>
      </c>
      <c r="AN27" s="1120">
        <f t="shared" si="13"/>
        <v>1</v>
      </c>
      <c r="AO27" s="1120">
        <f t="shared" si="14"/>
        <v>1</v>
      </c>
      <c r="AP27" s="1120">
        <f t="shared" si="15"/>
        <v>1</v>
      </c>
      <c r="AQ27" s="1120">
        <f t="shared" si="16"/>
        <v>1</v>
      </c>
      <c r="AR27" s="1120">
        <f t="shared" si="17"/>
        <v>1</v>
      </c>
      <c r="AS27" s="1120">
        <f t="shared" si="18"/>
        <v>0</v>
      </c>
      <c r="AT27" s="1120">
        <f t="shared" si="19"/>
        <v>0</v>
      </c>
      <c r="AU27" s="1120">
        <f t="shared" si="20"/>
        <v>1</v>
      </c>
      <c r="AV27" s="1120">
        <f t="shared" si="21"/>
        <v>1</v>
      </c>
      <c r="AW27" s="1120">
        <f t="shared" si="22"/>
        <v>1</v>
      </c>
      <c r="AX27" s="1120">
        <f t="shared" si="23"/>
        <v>1</v>
      </c>
      <c r="AY27" s="1120">
        <f t="shared" si="24"/>
        <v>0</v>
      </c>
      <c r="AZ27" s="1120">
        <f t="shared" si="25"/>
        <v>0</v>
      </c>
      <c r="BA27" s="1120">
        <f t="shared" si="26"/>
        <v>0</v>
      </c>
      <c r="BB27" s="1120">
        <f t="shared" si="27"/>
        <v>0</v>
      </c>
      <c r="BC27" s="1120">
        <f t="shared" si="28"/>
        <v>0</v>
      </c>
      <c r="BD27" s="1120">
        <f t="shared" si="29"/>
        <v>0</v>
      </c>
      <c r="BE27" s="1120">
        <f t="shared" si="30"/>
        <v>1</v>
      </c>
      <c r="BF27" s="1120">
        <f t="shared" si="31"/>
        <v>1</v>
      </c>
      <c r="BG27" s="1120">
        <f t="shared" si="32"/>
        <v>0</v>
      </c>
      <c r="BH27" s="1120">
        <f t="shared" si="33"/>
        <v>0</v>
      </c>
      <c r="BI27" s="1120">
        <f t="shared" si="34"/>
        <v>0</v>
      </c>
      <c r="BJ27" s="1120">
        <f t="shared" si="35"/>
        <v>0</v>
      </c>
      <c r="BK27" s="1120">
        <f t="shared" si="36"/>
        <v>1</v>
      </c>
      <c r="BL27" s="1120">
        <f t="shared" si="37"/>
        <v>1</v>
      </c>
      <c r="BM27" s="1120">
        <f t="shared" si="38"/>
        <v>1</v>
      </c>
      <c r="BN27" s="1120">
        <f t="shared" si="39"/>
        <v>1</v>
      </c>
      <c r="BO27" s="1120">
        <f t="shared" si="40"/>
        <v>1</v>
      </c>
      <c r="BP27" s="1120">
        <f t="shared" si="41"/>
        <v>1</v>
      </c>
      <c r="BQ27" s="1120">
        <f t="shared" si="42"/>
        <v>1</v>
      </c>
      <c r="BR27" s="1120">
        <f t="shared" si="43"/>
        <v>0</v>
      </c>
      <c r="BS27" s="1120">
        <f t="shared" si="44"/>
        <v>1</v>
      </c>
      <c r="BT27" s="1120">
        <f t="shared" si="45"/>
        <v>1</v>
      </c>
      <c r="BU27" s="1120">
        <f t="shared" si="46"/>
        <v>1</v>
      </c>
      <c r="BV27" s="1120">
        <f t="shared" si="47"/>
        <v>1</v>
      </c>
      <c r="BW27" s="1120">
        <f t="shared" si="48"/>
        <v>0</v>
      </c>
      <c r="BX27" s="1120">
        <f t="shared" si="49"/>
        <v>0</v>
      </c>
      <c r="BY27" s="1120">
        <f t="shared" si="50"/>
        <v>0</v>
      </c>
      <c r="BZ27" s="1120">
        <f t="shared" si="51"/>
        <v>0</v>
      </c>
      <c r="CA27" s="1120">
        <f t="shared" si="52"/>
        <v>0</v>
      </c>
      <c r="CB27" s="1120">
        <f t="shared" si="53"/>
        <v>1</v>
      </c>
      <c r="CC27" s="1120">
        <f t="shared" si="54"/>
        <v>1</v>
      </c>
      <c r="CD27" s="1120">
        <f t="shared" si="55"/>
        <v>1</v>
      </c>
      <c r="CE27" s="1120">
        <f t="shared" si="56"/>
        <v>1</v>
      </c>
      <c r="CF27" s="1120">
        <f t="shared" si="57"/>
        <v>0</v>
      </c>
      <c r="CG27" s="1120">
        <f t="shared" si="58"/>
        <v>0</v>
      </c>
      <c r="CH27" s="1120">
        <f t="shared" si="59"/>
        <v>0</v>
      </c>
      <c r="CI27" s="1120">
        <f t="shared" si="60"/>
        <v>0.85</v>
      </c>
      <c r="CJ27" s="1120">
        <f t="shared" si="61"/>
        <v>0.85</v>
      </c>
      <c r="CK27" s="1120">
        <f t="shared" si="62"/>
        <v>0.85</v>
      </c>
      <c r="CL27" s="1120">
        <f t="shared" si="63"/>
        <v>0.85</v>
      </c>
      <c r="CM27" s="1120">
        <f t="shared" si="64"/>
        <v>0.85</v>
      </c>
      <c r="CN27" s="1120">
        <f t="shared" si="65"/>
        <v>0.85</v>
      </c>
      <c r="CO27" s="1120">
        <f t="shared" si="66"/>
        <v>0.85</v>
      </c>
      <c r="CP27" s="1120">
        <f t="shared" si="67"/>
        <v>0.7</v>
      </c>
      <c r="CQ27" s="1120">
        <f t="shared" si="68"/>
        <v>0.85</v>
      </c>
      <c r="CR27" s="1120">
        <f t="shared" si="69"/>
        <v>0.85</v>
      </c>
      <c r="CS27" s="1120">
        <f t="shared" si="70"/>
        <v>0.85</v>
      </c>
      <c r="CT27" s="1120">
        <f t="shared" si="71"/>
        <v>0.85</v>
      </c>
      <c r="CU27" s="1120">
        <v>1</v>
      </c>
      <c r="CV27" s="1120"/>
      <c r="CW27" s="1120">
        <f t="shared" si="72"/>
        <v>122</v>
      </c>
      <c r="CX27" s="1120">
        <f t="shared" si="73"/>
        <v>243</v>
      </c>
      <c r="CY27" s="1135" t="s">
        <v>4889</v>
      </c>
      <c r="CZ27" s="1124" t="s">
        <v>4890</v>
      </c>
      <c r="DA27" s="1124"/>
      <c r="DB27" s="1124"/>
      <c r="DC27" s="1120" t="s">
        <v>5010</v>
      </c>
      <c r="DD27" s="1120" t="s">
        <v>954</v>
      </c>
      <c r="DE27" s="1120" t="str">
        <f t="shared" si="74"/>
        <v/>
      </c>
      <c r="DF27" s="1120">
        <v>0</v>
      </c>
      <c r="DG27" s="1120">
        <v>0</v>
      </c>
    </row>
    <row r="28" spans="1:111">
      <c r="A28" s="1125" t="s">
        <v>617</v>
      </c>
      <c r="B28" s="1120" t="s">
        <v>4190</v>
      </c>
      <c r="C28" s="1120" t="s">
        <v>4191</v>
      </c>
      <c r="D28" s="1120" t="s">
        <v>61</v>
      </c>
      <c r="E28" s="1120">
        <v>1358</v>
      </c>
      <c r="F28" s="1120">
        <v>-99.27</v>
      </c>
      <c r="G28" s="1120">
        <v>34.65</v>
      </c>
      <c r="H28" s="1120">
        <v>-6</v>
      </c>
      <c r="I28" s="1121">
        <v>19.759999656677245</v>
      </c>
      <c r="J28" s="1121">
        <v>100.4</v>
      </c>
      <c r="K28" s="1122">
        <v>73.760001373291018</v>
      </c>
      <c r="L28" s="1120">
        <v>3150</v>
      </c>
      <c r="M28" s="1120">
        <v>2673</v>
      </c>
      <c r="N28" s="1123">
        <v>39.379999828338626</v>
      </c>
      <c r="O28" s="1123">
        <v>42.620000171661374</v>
      </c>
      <c r="P28" s="1123">
        <v>51.980000686645511</v>
      </c>
      <c r="Q28" s="1123">
        <v>61.7</v>
      </c>
      <c r="R28" s="1123">
        <v>73.760001373291018</v>
      </c>
      <c r="S28" s="1123">
        <v>86.539998626708979</v>
      </c>
      <c r="T28" s="1123">
        <v>83.83999862670899</v>
      </c>
      <c r="U28" s="1123">
        <v>84.560001373291016</v>
      </c>
      <c r="V28" s="1123">
        <v>75.380000686645502</v>
      </c>
      <c r="W28" s="1123">
        <v>62.780000686645508</v>
      </c>
      <c r="X28" s="1123">
        <v>51.619999313354491</v>
      </c>
      <c r="Y28" s="1123">
        <v>42.079999828338622</v>
      </c>
      <c r="Z28" s="1123">
        <v>63.124219282489932</v>
      </c>
      <c r="AA28" s="1123">
        <f t="shared" si="0"/>
        <v>55.699805377012524</v>
      </c>
      <c r="AB28" s="1123">
        <f t="shared" si="1"/>
        <v>55.592533931825329</v>
      </c>
      <c r="AC28" s="1123">
        <f t="shared" si="2"/>
        <v>59.012504802872257</v>
      </c>
      <c r="AD28" s="1123">
        <f t="shared" si="3"/>
        <v>65.068249879268492</v>
      </c>
      <c r="AE28" s="1123">
        <f t="shared" si="4"/>
        <v>72.18124588499488</v>
      </c>
      <c r="AF28" s="1123">
        <f t="shared" si="5"/>
        <v>78.497380796572401</v>
      </c>
      <c r="AG28" s="1123">
        <f t="shared" si="6"/>
        <v>82.370256714713079</v>
      </c>
      <c r="AH28" s="1123">
        <f t="shared" si="7"/>
        <v>82.790348848529078</v>
      </c>
      <c r="AI28" s="1123">
        <f t="shared" si="8"/>
        <v>79.648153709525516</v>
      </c>
      <c r="AJ28" s="1123">
        <f t="shared" si="9"/>
        <v>73.762732883376486</v>
      </c>
      <c r="AK28" s="1123">
        <f t="shared" si="10"/>
        <v>66.668212005498063</v>
      </c>
      <c r="AL28" s="1123">
        <f t="shared" si="11"/>
        <v>60.21388727258536</v>
      </c>
      <c r="AM28" s="1120">
        <f t="shared" si="12"/>
        <v>1</v>
      </c>
      <c r="AN28" s="1120">
        <f t="shared" si="13"/>
        <v>1</v>
      </c>
      <c r="AO28" s="1120">
        <f t="shared" si="14"/>
        <v>1</v>
      </c>
      <c r="AP28" s="1120">
        <f t="shared" si="15"/>
        <v>1</v>
      </c>
      <c r="AQ28" s="1120">
        <f t="shared" si="16"/>
        <v>0</v>
      </c>
      <c r="AR28" s="1120">
        <f t="shared" si="17"/>
        <v>0</v>
      </c>
      <c r="AS28" s="1120">
        <f t="shared" si="18"/>
        <v>0</v>
      </c>
      <c r="AT28" s="1120">
        <f t="shared" si="19"/>
        <v>0</v>
      </c>
      <c r="AU28" s="1120">
        <f t="shared" si="20"/>
        <v>0</v>
      </c>
      <c r="AV28" s="1120">
        <f t="shared" si="21"/>
        <v>1</v>
      </c>
      <c r="AW28" s="1120">
        <f t="shared" si="22"/>
        <v>1</v>
      </c>
      <c r="AX28" s="1120">
        <f t="shared" si="23"/>
        <v>1</v>
      </c>
      <c r="AY28" s="1120">
        <f t="shared" si="24"/>
        <v>0</v>
      </c>
      <c r="AZ28" s="1120">
        <f t="shared" si="25"/>
        <v>0</v>
      </c>
      <c r="BA28" s="1120">
        <f t="shared" si="26"/>
        <v>0</v>
      </c>
      <c r="BB28" s="1120">
        <f t="shared" si="27"/>
        <v>0</v>
      </c>
      <c r="BC28" s="1120">
        <f t="shared" si="28"/>
        <v>1</v>
      </c>
      <c r="BD28" s="1120">
        <f t="shared" si="29"/>
        <v>1</v>
      </c>
      <c r="BE28" s="1120">
        <f t="shared" si="30"/>
        <v>1</v>
      </c>
      <c r="BF28" s="1120">
        <f t="shared" si="31"/>
        <v>1</v>
      </c>
      <c r="BG28" s="1120">
        <f t="shared" si="32"/>
        <v>1</v>
      </c>
      <c r="BH28" s="1120">
        <f t="shared" si="33"/>
        <v>0</v>
      </c>
      <c r="BI28" s="1120">
        <f t="shared" si="34"/>
        <v>0</v>
      </c>
      <c r="BJ28" s="1120">
        <f t="shared" si="35"/>
        <v>0</v>
      </c>
      <c r="BK28" s="1120">
        <f t="shared" si="36"/>
        <v>1</v>
      </c>
      <c r="BL28" s="1120">
        <f t="shared" si="37"/>
        <v>1</v>
      </c>
      <c r="BM28" s="1120">
        <f t="shared" si="38"/>
        <v>1</v>
      </c>
      <c r="BN28" s="1120">
        <f t="shared" si="39"/>
        <v>1</v>
      </c>
      <c r="BO28" s="1120">
        <f t="shared" si="40"/>
        <v>1</v>
      </c>
      <c r="BP28" s="1120">
        <f t="shared" si="41"/>
        <v>0</v>
      </c>
      <c r="BQ28" s="1120">
        <f t="shared" si="42"/>
        <v>0</v>
      </c>
      <c r="BR28" s="1120">
        <f t="shared" si="43"/>
        <v>0</v>
      </c>
      <c r="BS28" s="1120">
        <f t="shared" si="44"/>
        <v>0</v>
      </c>
      <c r="BT28" s="1120">
        <f t="shared" si="45"/>
        <v>1</v>
      </c>
      <c r="BU28" s="1120">
        <f t="shared" si="46"/>
        <v>1</v>
      </c>
      <c r="BV28" s="1120">
        <f t="shared" si="47"/>
        <v>1</v>
      </c>
      <c r="BW28" s="1120">
        <f t="shared" si="48"/>
        <v>0</v>
      </c>
      <c r="BX28" s="1120">
        <f t="shared" si="49"/>
        <v>0</v>
      </c>
      <c r="BY28" s="1120">
        <f t="shared" si="50"/>
        <v>0</v>
      </c>
      <c r="BZ28" s="1120">
        <f t="shared" si="51"/>
        <v>1</v>
      </c>
      <c r="CA28" s="1120">
        <f t="shared" si="52"/>
        <v>1</v>
      </c>
      <c r="CB28" s="1120">
        <f t="shared" si="53"/>
        <v>1</v>
      </c>
      <c r="CC28" s="1120">
        <f t="shared" si="54"/>
        <v>1</v>
      </c>
      <c r="CD28" s="1120">
        <f t="shared" si="55"/>
        <v>1</v>
      </c>
      <c r="CE28" s="1120">
        <f t="shared" si="56"/>
        <v>1</v>
      </c>
      <c r="CF28" s="1120">
        <f t="shared" si="57"/>
        <v>1</v>
      </c>
      <c r="CG28" s="1120">
        <f t="shared" si="58"/>
        <v>0</v>
      </c>
      <c r="CH28" s="1120">
        <f t="shared" si="59"/>
        <v>0</v>
      </c>
      <c r="CI28" s="1120">
        <f t="shared" si="60"/>
        <v>0.85</v>
      </c>
      <c r="CJ28" s="1120">
        <f t="shared" si="61"/>
        <v>0.85</v>
      </c>
      <c r="CK28" s="1120">
        <f t="shared" si="62"/>
        <v>0.85</v>
      </c>
      <c r="CL28" s="1120">
        <f t="shared" si="63"/>
        <v>0.85</v>
      </c>
      <c r="CM28" s="1120">
        <f t="shared" si="64"/>
        <v>0.85</v>
      </c>
      <c r="CN28" s="1120">
        <f t="shared" si="65"/>
        <v>0.7</v>
      </c>
      <c r="CO28" s="1120">
        <f t="shared" si="66"/>
        <v>0.7</v>
      </c>
      <c r="CP28" s="1120">
        <f t="shared" si="67"/>
        <v>0.7</v>
      </c>
      <c r="CQ28" s="1120">
        <f t="shared" si="68"/>
        <v>0.7</v>
      </c>
      <c r="CR28" s="1120">
        <f t="shared" si="69"/>
        <v>0.85</v>
      </c>
      <c r="CS28" s="1120">
        <f t="shared" si="70"/>
        <v>0.85</v>
      </c>
      <c r="CT28" s="1120">
        <f t="shared" si="71"/>
        <v>0.85</v>
      </c>
      <c r="CU28" s="1120">
        <v>1</v>
      </c>
      <c r="CV28" s="1120"/>
      <c r="CW28" s="1120">
        <f t="shared" si="72"/>
        <v>214</v>
      </c>
      <c r="CX28" s="1120">
        <f t="shared" si="73"/>
        <v>151</v>
      </c>
      <c r="CY28" s="1135" t="s">
        <v>4881</v>
      </c>
      <c r="CZ28" s="1124" t="s">
        <v>4882</v>
      </c>
      <c r="DA28" s="1124"/>
      <c r="DB28" s="1124"/>
      <c r="DC28" s="1120" t="s">
        <v>5501</v>
      </c>
      <c r="DD28" s="1120" t="s">
        <v>61</v>
      </c>
      <c r="DE28" s="1120" t="str">
        <f t="shared" si="74"/>
        <v/>
      </c>
      <c r="DF28" s="1133">
        <v>0</v>
      </c>
      <c r="DG28" s="1125">
        <v>0</v>
      </c>
    </row>
    <row r="29" spans="1:111">
      <c r="A29" s="1120" t="s">
        <v>2942</v>
      </c>
      <c r="B29" s="1120" t="s">
        <v>4358</v>
      </c>
      <c r="C29" s="1120" t="s">
        <v>4359</v>
      </c>
      <c r="D29" s="1120" t="s">
        <v>228</v>
      </c>
      <c r="E29" s="1120">
        <v>3503</v>
      </c>
      <c r="F29" s="1120">
        <v>-101.9</v>
      </c>
      <c r="G29" s="1120">
        <v>34.99</v>
      </c>
      <c r="H29" s="1120">
        <v>-6</v>
      </c>
      <c r="I29" s="1121">
        <v>13.640000343322754</v>
      </c>
      <c r="J29" s="1121">
        <v>94.820002746582034</v>
      </c>
      <c r="K29" s="1122">
        <v>66.2</v>
      </c>
      <c r="L29" s="1120">
        <v>4181.4000000000005</v>
      </c>
      <c r="M29" s="1120">
        <v>1431</v>
      </c>
      <c r="N29" s="1123">
        <v>36.5</v>
      </c>
      <c r="O29" s="1123">
        <v>39.740000343322755</v>
      </c>
      <c r="P29" s="1123">
        <v>46.759999656677245</v>
      </c>
      <c r="Q29" s="1123">
        <v>59</v>
      </c>
      <c r="R29" s="1123">
        <v>63.139998626708987</v>
      </c>
      <c r="S29" s="1123">
        <v>74.83999862670899</v>
      </c>
      <c r="T29" s="1123">
        <v>78.260001373291018</v>
      </c>
      <c r="U29" s="1123">
        <v>75.560001373291016</v>
      </c>
      <c r="V29" s="1123">
        <v>69.8</v>
      </c>
      <c r="W29" s="1123">
        <v>57.019999313354489</v>
      </c>
      <c r="X29" s="1123">
        <v>43.52000017166138</v>
      </c>
      <c r="Y29" s="1123">
        <v>37.039999914169314</v>
      </c>
      <c r="Z29" s="1123">
        <v>56.849862963140829</v>
      </c>
      <c r="AA29" s="1123">
        <f t="shared" si="0"/>
        <v>52.606839815477471</v>
      </c>
      <c r="AB29" s="1123">
        <f t="shared" si="1"/>
        <v>51.915346044008771</v>
      </c>
      <c r="AC29" s="1123">
        <f t="shared" si="2"/>
        <v>54.074102613518207</v>
      </c>
      <c r="AD29" s="1123">
        <f t="shared" si="3"/>
        <v>58.520396356717399</v>
      </c>
      <c r="AE29" s="1123">
        <f t="shared" si="4"/>
        <v>64.095232289980828</v>
      </c>
      <c r="AF29" s="1123">
        <f t="shared" si="5"/>
        <v>69.345443516481168</v>
      </c>
      <c r="AG29" s="1123">
        <f t="shared" si="6"/>
        <v>72.90248157182701</v>
      </c>
      <c r="AH29" s="1123">
        <f t="shared" si="7"/>
        <v>73.8391496712768</v>
      </c>
      <c r="AI29" s="1123">
        <f t="shared" si="8"/>
        <v>71.91129084021658</v>
      </c>
      <c r="AJ29" s="1123">
        <f t="shared" si="9"/>
        <v>67.621431192166099</v>
      </c>
      <c r="AK29" s="1123">
        <f t="shared" si="10"/>
        <v>62.087788753127967</v>
      </c>
      <c r="AL29" s="1123">
        <f t="shared" si="11"/>
        <v>56.752792700848758</v>
      </c>
      <c r="AM29" s="1120">
        <f t="shared" si="12"/>
        <v>1</v>
      </c>
      <c r="AN29" s="1120">
        <f t="shared" si="13"/>
        <v>1</v>
      </c>
      <c r="AO29" s="1120">
        <f t="shared" si="14"/>
        <v>1</v>
      </c>
      <c r="AP29" s="1120">
        <f t="shared" si="15"/>
        <v>1</v>
      </c>
      <c r="AQ29" s="1120">
        <f t="shared" si="16"/>
        <v>1</v>
      </c>
      <c r="AR29" s="1120">
        <f t="shared" si="17"/>
        <v>0</v>
      </c>
      <c r="AS29" s="1120">
        <f t="shared" si="18"/>
        <v>0</v>
      </c>
      <c r="AT29" s="1120">
        <f t="shared" si="19"/>
        <v>0</v>
      </c>
      <c r="AU29" s="1120">
        <f t="shared" si="20"/>
        <v>0</v>
      </c>
      <c r="AV29" s="1120">
        <f t="shared" si="21"/>
        <v>1</v>
      </c>
      <c r="AW29" s="1120">
        <f t="shared" si="22"/>
        <v>1</v>
      </c>
      <c r="AX29" s="1120">
        <f t="shared" si="23"/>
        <v>1</v>
      </c>
      <c r="AY29" s="1120">
        <f t="shared" si="24"/>
        <v>0</v>
      </c>
      <c r="AZ29" s="1120">
        <f t="shared" si="25"/>
        <v>0</v>
      </c>
      <c r="BA29" s="1120">
        <f t="shared" si="26"/>
        <v>0</v>
      </c>
      <c r="BB29" s="1120">
        <f t="shared" si="27"/>
        <v>0</v>
      </c>
      <c r="BC29" s="1120">
        <f t="shared" si="28"/>
        <v>0</v>
      </c>
      <c r="BD29" s="1120">
        <f t="shared" si="29"/>
        <v>1</v>
      </c>
      <c r="BE29" s="1120">
        <f t="shared" si="30"/>
        <v>1</v>
      </c>
      <c r="BF29" s="1120">
        <f t="shared" si="31"/>
        <v>1</v>
      </c>
      <c r="BG29" s="1120">
        <f t="shared" si="32"/>
        <v>1</v>
      </c>
      <c r="BH29" s="1120">
        <f t="shared" si="33"/>
        <v>0</v>
      </c>
      <c r="BI29" s="1120">
        <f t="shared" si="34"/>
        <v>0</v>
      </c>
      <c r="BJ29" s="1120">
        <f t="shared" si="35"/>
        <v>0</v>
      </c>
      <c r="BK29" s="1120">
        <f t="shared" si="36"/>
        <v>1</v>
      </c>
      <c r="BL29" s="1120">
        <f t="shared" si="37"/>
        <v>1</v>
      </c>
      <c r="BM29" s="1120">
        <f t="shared" si="38"/>
        <v>1</v>
      </c>
      <c r="BN29" s="1120">
        <f t="shared" si="39"/>
        <v>1</v>
      </c>
      <c r="BO29" s="1120">
        <f t="shared" si="40"/>
        <v>1</v>
      </c>
      <c r="BP29" s="1120">
        <f t="shared" si="41"/>
        <v>1</v>
      </c>
      <c r="BQ29" s="1120">
        <f t="shared" si="42"/>
        <v>0</v>
      </c>
      <c r="BR29" s="1120">
        <f t="shared" si="43"/>
        <v>0</v>
      </c>
      <c r="BS29" s="1120">
        <f t="shared" si="44"/>
        <v>0</v>
      </c>
      <c r="BT29" s="1120">
        <f t="shared" si="45"/>
        <v>1</v>
      </c>
      <c r="BU29" s="1120">
        <f t="shared" si="46"/>
        <v>1</v>
      </c>
      <c r="BV29" s="1120">
        <f t="shared" si="47"/>
        <v>1</v>
      </c>
      <c r="BW29" s="1120">
        <f t="shared" si="48"/>
        <v>0</v>
      </c>
      <c r="BX29" s="1120">
        <f t="shared" si="49"/>
        <v>0</v>
      </c>
      <c r="BY29" s="1120">
        <f t="shared" si="50"/>
        <v>0</v>
      </c>
      <c r="BZ29" s="1120">
        <f t="shared" si="51"/>
        <v>0</v>
      </c>
      <c r="CA29" s="1120">
        <f t="shared" si="52"/>
        <v>1</v>
      </c>
      <c r="CB29" s="1120">
        <f t="shared" si="53"/>
        <v>1</v>
      </c>
      <c r="CC29" s="1120">
        <f t="shared" si="54"/>
        <v>1</v>
      </c>
      <c r="CD29" s="1120">
        <f t="shared" si="55"/>
        <v>1</v>
      </c>
      <c r="CE29" s="1120">
        <f t="shared" si="56"/>
        <v>1</v>
      </c>
      <c r="CF29" s="1120">
        <f t="shared" si="57"/>
        <v>1</v>
      </c>
      <c r="CG29" s="1120">
        <f t="shared" si="58"/>
        <v>0</v>
      </c>
      <c r="CH29" s="1120">
        <f t="shared" si="59"/>
        <v>0</v>
      </c>
      <c r="CI29" s="1120">
        <f t="shared" si="60"/>
        <v>0.85</v>
      </c>
      <c r="CJ29" s="1120">
        <f t="shared" si="61"/>
        <v>0.85</v>
      </c>
      <c r="CK29" s="1120">
        <f t="shared" si="62"/>
        <v>0.85</v>
      </c>
      <c r="CL29" s="1120">
        <f t="shared" si="63"/>
        <v>0.85</v>
      </c>
      <c r="CM29" s="1120">
        <f t="shared" si="64"/>
        <v>0.85</v>
      </c>
      <c r="CN29" s="1120">
        <f t="shared" si="65"/>
        <v>0.85</v>
      </c>
      <c r="CO29" s="1120">
        <f t="shared" si="66"/>
        <v>0.7</v>
      </c>
      <c r="CP29" s="1120">
        <f t="shared" si="67"/>
        <v>0.7</v>
      </c>
      <c r="CQ29" s="1120">
        <f t="shared" si="68"/>
        <v>0.7</v>
      </c>
      <c r="CR29" s="1120">
        <f t="shared" si="69"/>
        <v>0.85</v>
      </c>
      <c r="CS29" s="1120">
        <f t="shared" si="70"/>
        <v>0.85</v>
      </c>
      <c r="CT29" s="1120">
        <f t="shared" si="71"/>
        <v>0.85</v>
      </c>
      <c r="CU29" s="1120">
        <v>1</v>
      </c>
      <c r="CV29" s="1120"/>
      <c r="CW29" s="1120">
        <f t="shared" si="72"/>
        <v>184</v>
      </c>
      <c r="CX29" s="1120">
        <f t="shared" si="73"/>
        <v>181</v>
      </c>
      <c r="CY29" s="1135" t="s">
        <v>4891</v>
      </c>
      <c r="CZ29" s="1124" t="s">
        <v>4892</v>
      </c>
      <c r="DA29" s="1124"/>
      <c r="DB29" s="1124"/>
      <c r="DC29" s="1120" t="s">
        <v>5575</v>
      </c>
      <c r="DD29" s="1120" t="s">
        <v>228</v>
      </c>
      <c r="DE29" s="1120" t="b">
        <f t="shared" si="74"/>
        <v>0</v>
      </c>
      <c r="DF29" s="1133">
        <v>0</v>
      </c>
      <c r="DG29" s="1120">
        <v>0</v>
      </c>
    </row>
    <row r="30" spans="1:111">
      <c r="A30" s="1125" t="s">
        <v>1181</v>
      </c>
      <c r="B30" s="1125" t="s">
        <v>365</v>
      </c>
      <c r="C30" s="1125" t="s">
        <v>366</v>
      </c>
      <c r="D30" s="1125" t="s">
        <v>953</v>
      </c>
      <c r="E30" s="1125">
        <v>289</v>
      </c>
      <c r="F30" s="1125">
        <v>-157.85</v>
      </c>
      <c r="G30" s="1125">
        <v>67.099999999999994</v>
      </c>
      <c r="H30" s="1125">
        <v>-9</v>
      </c>
      <c r="I30" s="1126">
        <v>-38.200000000000003</v>
      </c>
      <c r="J30" s="1126">
        <v>73.039998626708979</v>
      </c>
      <c r="K30" s="1127">
        <v>57.380000686645509</v>
      </c>
      <c r="L30" s="1125">
        <v>13879.800000000001</v>
      </c>
      <c r="M30" s="1125">
        <v>9</v>
      </c>
      <c r="N30" s="1128">
        <v>-9.4</v>
      </c>
      <c r="O30" s="1128">
        <v>4.640000343322753</v>
      </c>
      <c r="P30" s="1128">
        <v>17.600000000000001</v>
      </c>
      <c r="Q30" s="1128">
        <v>23</v>
      </c>
      <c r="R30" s="1128">
        <v>41</v>
      </c>
      <c r="S30" s="1128">
        <v>54.680000686645506</v>
      </c>
      <c r="T30" s="1128">
        <v>53.240000343322755</v>
      </c>
      <c r="U30" s="1128">
        <v>48.559999656677249</v>
      </c>
      <c r="V30" s="1128">
        <v>36.860000085830691</v>
      </c>
      <c r="W30" s="1128">
        <v>30.919999957084656</v>
      </c>
      <c r="X30" s="1128">
        <v>8.0599996566772454</v>
      </c>
      <c r="Y30" s="1128">
        <v>6.0800006866455067</v>
      </c>
      <c r="Z30" s="1128">
        <v>26.399780938200756</v>
      </c>
      <c r="AA30" s="1128">
        <f t="shared" si="0"/>
        <v>32</v>
      </c>
      <c r="AB30" s="1128">
        <f t="shared" si="1"/>
        <v>32</v>
      </c>
      <c r="AC30" s="1128">
        <f t="shared" si="2"/>
        <v>32</v>
      </c>
      <c r="AD30" s="1128">
        <f t="shared" si="3"/>
        <v>32</v>
      </c>
      <c r="AE30" s="1128">
        <f t="shared" si="4"/>
        <v>32</v>
      </c>
      <c r="AF30" s="1128">
        <f t="shared" si="5"/>
        <v>33.154477651865093</v>
      </c>
      <c r="AG30" s="1128">
        <f t="shared" si="6"/>
        <v>36.579261559954588</v>
      </c>
      <c r="AH30" s="1128">
        <f t="shared" si="7"/>
        <v>38.914599436237957</v>
      </c>
      <c r="AI30" s="1128">
        <f t="shared" si="8"/>
        <v>39.551749474615903</v>
      </c>
      <c r="AJ30" s="1128">
        <f t="shared" si="9"/>
        <v>38.32462869880591</v>
      </c>
      <c r="AK30" s="1128">
        <f t="shared" si="10"/>
        <v>35.553105049526422</v>
      </c>
      <c r="AL30" s="1128">
        <f t="shared" si="11"/>
        <v>32</v>
      </c>
      <c r="AM30" s="1125">
        <f t="shared" si="12"/>
        <v>1</v>
      </c>
      <c r="AN30" s="1125">
        <f t="shared" si="13"/>
        <v>1</v>
      </c>
      <c r="AO30" s="1125">
        <f t="shared" si="14"/>
        <v>1</v>
      </c>
      <c r="AP30" s="1125">
        <f t="shared" si="15"/>
        <v>1</v>
      </c>
      <c r="AQ30" s="1125">
        <f t="shared" si="16"/>
        <v>1</v>
      </c>
      <c r="AR30" s="1125">
        <f t="shared" si="17"/>
        <v>1</v>
      </c>
      <c r="AS30" s="1125">
        <f t="shared" si="18"/>
        <v>1</v>
      </c>
      <c r="AT30" s="1125">
        <f t="shared" si="19"/>
        <v>1</v>
      </c>
      <c r="AU30" s="1125">
        <f t="shared" si="20"/>
        <v>1</v>
      </c>
      <c r="AV30" s="1125">
        <f t="shared" si="21"/>
        <v>1</v>
      </c>
      <c r="AW30" s="1125">
        <f t="shared" si="22"/>
        <v>1</v>
      </c>
      <c r="AX30" s="1125">
        <f t="shared" si="23"/>
        <v>1</v>
      </c>
      <c r="AY30" s="1125">
        <f t="shared" si="24"/>
        <v>0</v>
      </c>
      <c r="AZ30" s="1125">
        <f t="shared" si="25"/>
        <v>0</v>
      </c>
      <c r="BA30" s="1125">
        <f t="shared" si="26"/>
        <v>0</v>
      </c>
      <c r="BB30" s="1125">
        <f t="shared" si="27"/>
        <v>0</v>
      </c>
      <c r="BC30" s="1125">
        <f t="shared" si="28"/>
        <v>0</v>
      </c>
      <c r="BD30" s="1125">
        <f t="shared" si="29"/>
        <v>0</v>
      </c>
      <c r="BE30" s="1125">
        <f t="shared" si="30"/>
        <v>1</v>
      </c>
      <c r="BF30" s="1125">
        <f t="shared" si="31"/>
        <v>1</v>
      </c>
      <c r="BG30" s="1125">
        <f t="shared" si="32"/>
        <v>0</v>
      </c>
      <c r="BH30" s="1125">
        <f t="shared" si="33"/>
        <v>0</v>
      </c>
      <c r="BI30" s="1125">
        <f t="shared" si="34"/>
        <v>0</v>
      </c>
      <c r="BJ30" s="1125">
        <f t="shared" si="35"/>
        <v>0</v>
      </c>
      <c r="BK30" s="1125">
        <f t="shared" si="36"/>
        <v>1</v>
      </c>
      <c r="BL30" s="1125">
        <f t="shared" si="37"/>
        <v>1</v>
      </c>
      <c r="BM30" s="1125">
        <f t="shared" si="38"/>
        <v>1</v>
      </c>
      <c r="BN30" s="1125">
        <f t="shared" si="39"/>
        <v>1</v>
      </c>
      <c r="BO30" s="1125">
        <f t="shared" si="40"/>
        <v>1</v>
      </c>
      <c r="BP30" s="1125">
        <f t="shared" si="41"/>
        <v>1</v>
      </c>
      <c r="BQ30" s="1125">
        <f t="shared" si="42"/>
        <v>1</v>
      </c>
      <c r="BR30" s="1125">
        <f t="shared" si="43"/>
        <v>1</v>
      </c>
      <c r="BS30" s="1125">
        <f t="shared" si="44"/>
        <v>1</v>
      </c>
      <c r="BT30" s="1125">
        <f t="shared" si="45"/>
        <v>1</v>
      </c>
      <c r="BU30" s="1125">
        <f t="shared" si="46"/>
        <v>1</v>
      </c>
      <c r="BV30" s="1125">
        <f t="shared" si="47"/>
        <v>1</v>
      </c>
      <c r="BW30" s="1125">
        <f t="shared" si="48"/>
        <v>0</v>
      </c>
      <c r="BX30" s="1125">
        <f t="shared" si="49"/>
        <v>0</v>
      </c>
      <c r="BY30" s="1125">
        <f t="shared" si="50"/>
        <v>0</v>
      </c>
      <c r="BZ30" s="1125">
        <f t="shared" si="51"/>
        <v>0</v>
      </c>
      <c r="CA30" s="1125">
        <f t="shared" si="52"/>
        <v>0</v>
      </c>
      <c r="CB30" s="1125">
        <f t="shared" si="53"/>
        <v>0</v>
      </c>
      <c r="CC30" s="1125">
        <f t="shared" si="54"/>
        <v>1</v>
      </c>
      <c r="CD30" s="1125">
        <f t="shared" si="55"/>
        <v>1</v>
      </c>
      <c r="CE30" s="1125">
        <f t="shared" si="56"/>
        <v>0</v>
      </c>
      <c r="CF30" s="1125">
        <f t="shared" si="57"/>
        <v>0</v>
      </c>
      <c r="CG30" s="1125">
        <f t="shared" si="58"/>
        <v>0</v>
      </c>
      <c r="CH30" s="1125">
        <f t="shared" si="59"/>
        <v>0</v>
      </c>
      <c r="CI30" s="1125">
        <f t="shared" si="60"/>
        <v>0.85</v>
      </c>
      <c r="CJ30" s="1125">
        <f t="shared" si="61"/>
        <v>0.85</v>
      </c>
      <c r="CK30" s="1125">
        <f t="shared" si="62"/>
        <v>0.85</v>
      </c>
      <c r="CL30" s="1125">
        <f t="shared" si="63"/>
        <v>0.85</v>
      </c>
      <c r="CM30" s="1125">
        <f t="shared" si="64"/>
        <v>0.85</v>
      </c>
      <c r="CN30" s="1125">
        <f t="shared" si="65"/>
        <v>0.85</v>
      </c>
      <c r="CO30" s="1125">
        <f t="shared" si="66"/>
        <v>0.85</v>
      </c>
      <c r="CP30" s="1125">
        <f t="shared" si="67"/>
        <v>0.85</v>
      </c>
      <c r="CQ30" s="1125">
        <f t="shared" si="68"/>
        <v>0.85</v>
      </c>
      <c r="CR30" s="1125">
        <f t="shared" si="69"/>
        <v>0.85</v>
      </c>
      <c r="CS30" s="1125">
        <f t="shared" si="70"/>
        <v>0.85</v>
      </c>
      <c r="CT30" s="1125">
        <f t="shared" si="71"/>
        <v>0.85</v>
      </c>
      <c r="CU30" s="1125">
        <v>1</v>
      </c>
      <c r="CV30" s="1125"/>
      <c r="CW30" s="1125">
        <f t="shared" si="72"/>
        <v>62</v>
      </c>
      <c r="CX30" s="1125">
        <f t="shared" si="73"/>
        <v>303</v>
      </c>
      <c r="CY30" s="1136" t="s">
        <v>4880</v>
      </c>
      <c r="CZ30" s="1129">
        <v>8</v>
      </c>
      <c r="DA30" s="1129"/>
      <c r="DB30" s="1129"/>
      <c r="DC30" s="1125" t="s">
        <v>4902</v>
      </c>
      <c r="DD30" s="1125" t="s">
        <v>953</v>
      </c>
      <c r="DE30" s="1125" t="str">
        <f t="shared" si="74"/>
        <v/>
      </c>
      <c r="DF30" s="1125">
        <v>0</v>
      </c>
      <c r="DG30" s="1125">
        <v>0</v>
      </c>
    </row>
    <row r="31" spans="1:111">
      <c r="A31" s="1120" t="s">
        <v>1183</v>
      </c>
      <c r="B31" s="1120" t="s">
        <v>929</v>
      </c>
      <c r="C31" s="1120" t="s">
        <v>930</v>
      </c>
      <c r="D31" s="1120" t="s">
        <v>953</v>
      </c>
      <c r="E31" s="1120">
        <v>2155</v>
      </c>
      <c r="F31" s="1120">
        <v>-151.72999999999999</v>
      </c>
      <c r="G31" s="1120">
        <v>68.13</v>
      </c>
      <c r="H31" s="1120">
        <v>-9</v>
      </c>
      <c r="I31" s="1121">
        <v>-35.139998626708987</v>
      </c>
      <c r="J31" s="1121">
        <v>66.380000686645502</v>
      </c>
      <c r="K31" s="1122">
        <v>52.519999313354489</v>
      </c>
      <c r="L31" s="1120">
        <v>16070.4</v>
      </c>
      <c r="M31" s="1120">
        <v>0</v>
      </c>
      <c r="N31" s="1123">
        <v>-7.6000000000000014</v>
      </c>
      <c r="O31" s="1123">
        <v>-4.9000000000000012</v>
      </c>
      <c r="P31" s="1123">
        <v>6.4400003433227528</v>
      </c>
      <c r="Q31" s="1123">
        <v>15.799999999999999</v>
      </c>
      <c r="R31" s="1123">
        <v>35.960000085830686</v>
      </c>
      <c r="S31" s="1123">
        <v>45.5</v>
      </c>
      <c r="T31" s="1123">
        <v>49.819999313354494</v>
      </c>
      <c r="U31" s="1123">
        <v>41.540000343322752</v>
      </c>
      <c r="V31" s="1123">
        <v>35.23999991416931</v>
      </c>
      <c r="W31" s="1123">
        <v>20.659999656677247</v>
      </c>
      <c r="X31" s="1123">
        <v>7.1599996566772459</v>
      </c>
      <c r="Y31" s="1123">
        <v>-2.7399986267089851</v>
      </c>
      <c r="Z31" s="1123">
        <v>20.384328826616887</v>
      </c>
      <c r="AA31" s="1123">
        <f t="shared" si="0"/>
        <v>32</v>
      </c>
      <c r="AB31" s="1123">
        <f t="shared" si="1"/>
        <v>32</v>
      </c>
      <c r="AC31" s="1123">
        <f t="shared" si="2"/>
        <v>32</v>
      </c>
      <c r="AD31" s="1123">
        <f t="shared" si="3"/>
        <v>32</v>
      </c>
      <c r="AE31" s="1123">
        <f t="shared" si="4"/>
        <v>32</v>
      </c>
      <c r="AF31" s="1123">
        <f t="shared" si="5"/>
        <v>32</v>
      </c>
      <c r="AG31" s="1123">
        <f t="shared" si="6"/>
        <v>32</v>
      </c>
      <c r="AH31" s="1123">
        <f t="shared" si="7"/>
        <v>32</v>
      </c>
      <c r="AI31" s="1123">
        <f t="shared" si="8"/>
        <v>32</v>
      </c>
      <c r="AJ31" s="1123">
        <f t="shared" si="9"/>
        <v>32</v>
      </c>
      <c r="AK31" s="1123">
        <f t="shared" si="10"/>
        <v>32</v>
      </c>
      <c r="AL31" s="1123">
        <f t="shared" si="11"/>
        <v>32</v>
      </c>
      <c r="AM31" s="1120">
        <f t="shared" si="12"/>
        <v>1</v>
      </c>
      <c r="AN31" s="1120">
        <f t="shared" si="13"/>
        <v>1</v>
      </c>
      <c r="AO31" s="1120">
        <f t="shared" si="14"/>
        <v>1</v>
      </c>
      <c r="AP31" s="1120">
        <f t="shared" si="15"/>
        <v>1</v>
      </c>
      <c r="AQ31" s="1120">
        <f t="shared" si="16"/>
        <v>1</v>
      </c>
      <c r="AR31" s="1120">
        <f t="shared" si="17"/>
        <v>1</v>
      </c>
      <c r="AS31" s="1120">
        <f t="shared" si="18"/>
        <v>1</v>
      </c>
      <c r="AT31" s="1120">
        <f t="shared" si="19"/>
        <v>1</v>
      </c>
      <c r="AU31" s="1120">
        <f t="shared" si="20"/>
        <v>1</v>
      </c>
      <c r="AV31" s="1120">
        <f t="shared" si="21"/>
        <v>1</v>
      </c>
      <c r="AW31" s="1120">
        <f t="shared" si="22"/>
        <v>1</v>
      </c>
      <c r="AX31" s="1120">
        <f t="shared" si="23"/>
        <v>1</v>
      </c>
      <c r="AY31" s="1120">
        <f t="shared" si="24"/>
        <v>0</v>
      </c>
      <c r="AZ31" s="1120">
        <f t="shared" si="25"/>
        <v>0</v>
      </c>
      <c r="BA31" s="1120">
        <f t="shared" si="26"/>
        <v>0</v>
      </c>
      <c r="BB31" s="1120">
        <f t="shared" si="27"/>
        <v>0</v>
      </c>
      <c r="BC31" s="1120">
        <f t="shared" si="28"/>
        <v>0</v>
      </c>
      <c r="BD31" s="1120">
        <f t="shared" si="29"/>
        <v>0</v>
      </c>
      <c r="BE31" s="1120">
        <f t="shared" si="30"/>
        <v>1</v>
      </c>
      <c r="BF31" s="1120">
        <f t="shared" si="31"/>
        <v>1</v>
      </c>
      <c r="BG31" s="1120">
        <f t="shared" si="32"/>
        <v>0</v>
      </c>
      <c r="BH31" s="1120">
        <f t="shared" si="33"/>
        <v>0</v>
      </c>
      <c r="BI31" s="1120">
        <f t="shared" si="34"/>
        <v>0</v>
      </c>
      <c r="BJ31" s="1120">
        <f t="shared" si="35"/>
        <v>0</v>
      </c>
      <c r="BK31" s="1120">
        <f t="shared" si="36"/>
        <v>1</v>
      </c>
      <c r="BL31" s="1120">
        <f t="shared" si="37"/>
        <v>1</v>
      </c>
      <c r="BM31" s="1120">
        <f t="shared" si="38"/>
        <v>1</v>
      </c>
      <c r="BN31" s="1120">
        <f t="shared" si="39"/>
        <v>1</v>
      </c>
      <c r="BO31" s="1120">
        <f t="shared" si="40"/>
        <v>1</v>
      </c>
      <c r="BP31" s="1120">
        <f t="shared" si="41"/>
        <v>1</v>
      </c>
      <c r="BQ31" s="1120">
        <f t="shared" si="42"/>
        <v>1</v>
      </c>
      <c r="BR31" s="1120">
        <f t="shared" si="43"/>
        <v>1</v>
      </c>
      <c r="BS31" s="1120">
        <f t="shared" si="44"/>
        <v>1</v>
      </c>
      <c r="BT31" s="1120">
        <f t="shared" si="45"/>
        <v>1</v>
      </c>
      <c r="BU31" s="1120">
        <f t="shared" si="46"/>
        <v>1</v>
      </c>
      <c r="BV31" s="1120">
        <f t="shared" si="47"/>
        <v>1</v>
      </c>
      <c r="BW31" s="1120">
        <f t="shared" si="48"/>
        <v>0</v>
      </c>
      <c r="BX31" s="1120">
        <f t="shared" si="49"/>
        <v>0</v>
      </c>
      <c r="BY31" s="1120">
        <f t="shared" si="50"/>
        <v>0</v>
      </c>
      <c r="BZ31" s="1120">
        <f t="shared" si="51"/>
        <v>0</v>
      </c>
      <c r="CA31" s="1120">
        <f t="shared" si="52"/>
        <v>0</v>
      </c>
      <c r="CB31" s="1120">
        <f t="shared" si="53"/>
        <v>0</v>
      </c>
      <c r="CC31" s="1120">
        <f t="shared" si="54"/>
        <v>1</v>
      </c>
      <c r="CD31" s="1120">
        <f t="shared" si="55"/>
        <v>1</v>
      </c>
      <c r="CE31" s="1120">
        <f t="shared" si="56"/>
        <v>0</v>
      </c>
      <c r="CF31" s="1120">
        <f t="shared" si="57"/>
        <v>0</v>
      </c>
      <c r="CG31" s="1120">
        <f t="shared" si="58"/>
        <v>0</v>
      </c>
      <c r="CH31" s="1120">
        <f t="shared" si="59"/>
        <v>0</v>
      </c>
      <c r="CI31" s="1120">
        <f t="shared" si="60"/>
        <v>0.85</v>
      </c>
      <c r="CJ31" s="1120">
        <f t="shared" si="61"/>
        <v>0.85</v>
      </c>
      <c r="CK31" s="1120">
        <f t="shared" si="62"/>
        <v>0.85</v>
      </c>
      <c r="CL31" s="1120">
        <f t="shared" si="63"/>
        <v>0.85</v>
      </c>
      <c r="CM31" s="1120">
        <f t="shared" si="64"/>
        <v>0.85</v>
      </c>
      <c r="CN31" s="1120">
        <f t="shared" si="65"/>
        <v>0.85</v>
      </c>
      <c r="CO31" s="1120">
        <f t="shared" si="66"/>
        <v>0.85</v>
      </c>
      <c r="CP31" s="1120">
        <f t="shared" si="67"/>
        <v>0.85</v>
      </c>
      <c r="CQ31" s="1120">
        <f t="shared" si="68"/>
        <v>0.85</v>
      </c>
      <c r="CR31" s="1120">
        <f t="shared" si="69"/>
        <v>0.85</v>
      </c>
      <c r="CS31" s="1120">
        <f t="shared" si="70"/>
        <v>0.85</v>
      </c>
      <c r="CT31" s="1120">
        <f t="shared" si="71"/>
        <v>0.85</v>
      </c>
      <c r="CU31" s="1120">
        <v>1</v>
      </c>
      <c r="CV31" s="1120"/>
      <c r="CW31" s="1120">
        <f t="shared" si="72"/>
        <v>62</v>
      </c>
      <c r="CX31" s="1120">
        <f t="shared" si="73"/>
        <v>303</v>
      </c>
      <c r="CY31" s="1135" t="s">
        <v>4880</v>
      </c>
      <c r="CZ31" s="1124">
        <v>8</v>
      </c>
      <c r="DA31" s="1124"/>
      <c r="DB31" s="1124"/>
      <c r="DC31" s="1120" t="s">
        <v>4903</v>
      </c>
      <c r="DD31" s="1120" t="s">
        <v>953</v>
      </c>
      <c r="DE31" s="1120" t="str">
        <f t="shared" si="74"/>
        <v/>
      </c>
      <c r="DF31" s="1120">
        <v>0</v>
      </c>
      <c r="DG31" s="1120">
        <v>0</v>
      </c>
    </row>
    <row r="32" spans="1:111">
      <c r="A32" s="1125" t="s">
        <v>2944</v>
      </c>
      <c r="B32" s="1125" t="s">
        <v>2916</v>
      </c>
      <c r="C32" s="1125" t="s">
        <v>2917</v>
      </c>
      <c r="D32" s="1125" t="s">
        <v>953</v>
      </c>
      <c r="E32" s="1125">
        <v>194</v>
      </c>
      <c r="F32" s="1125">
        <v>-149.80000000000001</v>
      </c>
      <c r="G32" s="1125">
        <v>61.25</v>
      </c>
      <c r="H32" s="1125">
        <v>-9</v>
      </c>
      <c r="I32" s="1126">
        <v>-9.4</v>
      </c>
      <c r="J32" s="1126">
        <v>71.239998626708982</v>
      </c>
      <c r="K32" s="1127">
        <v>57.559999656677249</v>
      </c>
      <c r="L32" s="1125">
        <v>8730</v>
      </c>
      <c r="M32" s="1125">
        <v>7.2</v>
      </c>
      <c r="N32" s="1128">
        <v>27.860000085830688</v>
      </c>
      <c r="O32" s="1128">
        <v>30.919999957084656</v>
      </c>
      <c r="P32" s="1128">
        <v>30.019999957084657</v>
      </c>
      <c r="Q32" s="1128">
        <v>42.440000343322751</v>
      </c>
      <c r="R32" s="1128">
        <v>46.4</v>
      </c>
      <c r="S32" s="1128">
        <v>57.019999313354489</v>
      </c>
      <c r="T32" s="1128">
        <v>61.339998626708983</v>
      </c>
      <c r="U32" s="1128">
        <v>59.180000686645506</v>
      </c>
      <c r="V32" s="1128">
        <v>44.959999656677248</v>
      </c>
      <c r="W32" s="1128">
        <v>29.839999914169312</v>
      </c>
      <c r="X32" s="1128">
        <v>33.440000021457671</v>
      </c>
      <c r="Y32" s="1128">
        <v>22.279999828338624</v>
      </c>
      <c r="Z32" s="1128">
        <v>40.509808084670809</v>
      </c>
      <c r="AA32" s="1128">
        <f t="shared" si="0"/>
        <v>40.887276519270408</v>
      </c>
      <c r="AB32" s="1128">
        <f t="shared" si="1"/>
        <v>39.455414624378122</v>
      </c>
      <c r="AC32" s="1128">
        <f t="shared" si="2"/>
        <v>39.86238909640501</v>
      </c>
      <c r="AD32" s="1128">
        <f t="shared" si="3"/>
        <v>42.002115767550819</v>
      </c>
      <c r="AE32" s="1128">
        <f t="shared" si="4"/>
        <v>45.316841906795261</v>
      </c>
      <c r="AF32" s="1128">
        <f t="shared" si="5"/>
        <v>48.942533064468257</v>
      </c>
      <c r="AG32" s="1128">
        <f t="shared" si="6"/>
        <v>51.934096966730309</v>
      </c>
      <c r="AH32" s="1128">
        <f t="shared" si="7"/>
        <v>53.51173638106161</v>
      </c>
      <c r="AI32" s="1128">
        <f t="shared" si="8"/>
        <v>53.264215281957405</v>
      </c>
      <c r="AJ32" s="1128">
        <f t="shared" si="9"/>
        <v>51.2560538583148</v>
      </c>
      <c r="AK32" s="1128">
        <f t="shared" si="10"/>
        <v>48.010710331910538</v>
      </c>
      <c r="AL32" s="1128">
        <f t="shared" si="11"/>
        <v>44.374133505159477</v>
      </c>
      <c r="AM32" s="1125">
        <f t="shared" si="12"/>
        <v>1</v>
      </c>
      <c r="AN32" s="1125">
        <f t="shared" si="13"/>
        <v>1</v>
      </c>
      <c r="AO32" s="1125">
        <f t="shared" si="14"/>
        <v>1</v>
      </c>
      <c r="AP32" s="1125">
        <f t="shared" si="15"/>
        <v>1</v>
      </c>
      <c r="AQ32" s="1125">
        <f t="shared" si="16"/>
        <v>1</v>
      </c>
      <c r="AR32" s="1125">
        <f t="shared" si="17"/>
        <v>1</v>
      </c>
      <c r="AS32" s="1125">
        <f t="shared" si="18"/>
        <v>1</v>
      </c>
      <c r="AT32" s="1125">
        <f t="shared" si="19"/>
        <v>1</v>
      </c>
      <c r="AU32" s="1125">
        <f t="shared" si="20"/>
        <v>1</v>
      </c>
      <c r="AV32" s="1125">
        <f t="shared" si="21"/>
        <v>1</v>
      </c>
      <c r="AW32" s="1125">
        <f t="shared" si="22"/>
        <v>1</v>
      </c>
      <c r="AX32" s="1125">
        <f t="shared" si="23"/>
        <v>1</v>
      </c>
      <c r="AY32" s="1125">
        <f t="shared" si="24"/>
        <v>0</v>
      </c>
      <c r="AZ32" s="1125">
        <f t="shared" si="25"/>
        <v>0</v>
      </c>
      <c r="BA32" s="1125">
        <f t="shared" si="26"/>
        <v>0</v>
      </c>
      <c r="BB32" s="1125">
        <f t="shared" si="27"/>
        <v>0</v>
      </c>
      <c r="BC32" s="1125">
        <f t="shared" si="28"/>
        <v>0</v>
      </c>
      <c r="BD32" s="1125">
        <f t="shared" si="29"/>
        <v>0</v>
      </c>
      <c r="BE32" s="1125">
        <f t="shared" si="30"/>
        <v>1</v>
      </c>
      <c r="BF32" s="1125">
        <f t="shared" si="31"/>
        <v>1</v>
      </c>
      <c r="BG32" s="1125">
        <f t="shared" si="32"/>
        <v>0</v>
      </c>
      <c r="BH32" s="1125">
        <f t="shared" si="33"/>
        <v>0</v>
      </c>
      <c r="BI32" s="1125">
        <f t="shared" si="34"/>
        <v>0</v>
      </c>
      <c r="BJ32" s="1125">
        <f t="shared" si="35"/>
        <v>0</v>
      </c>
      <c r="BK32" s="1125">
        <f t="shared" si="36"/>
        <v>1</v>
      </c>
      <c r="BL32" s="1125">
        <f t="shared" si="37"/>
        <v>1</v>
      </c>
      <c r="BM32" s="1125">
        <f t="shared" si="38"/>
        <v>1</v>
      </c>
      <c r="BN32" s="1125">
        <f t="shared" si="39"/>
        <v>1</v>
      </c>
      <c r="BO32" s="1125">
        <f t="shared" si="40"/>
        <v>1</v>
      </c>
      <c r="BP32" s="1125">
        <f t="shared" si="41"/>
        <v>1</v>
      </c>
      <c r="BQ32" s="1125">
        <f t="shared" si="42"/>
        <v>1</v>
      </c>
      <c r="BR32" s="1125">
        <f t="shared" si="43"/>
        <v>1</v>
      </c>
      <c r="BS32" s="1125">
        <f t="shared" si="44"/>
        <v>1</v>
      </c>
      <c r="BT32" s="1125">
        <f t="shared" si="45"/>
        <v>1</v>
      </c>
      <c r="BU32" s="1125">
        <f t="shared" si="46"/>
        <v>1</v>
      </c>
      <c r="BV32" s="1125">
        <f t="shared" si="47"/>
        <v>1</v>
      </c>
      <c r="BW32" s="1125">
        <f t="shared" si="48"/>
        <v>0</v>
      </c>
      <c r="BX32" s="1125">
        <f t="shared" si="49"/>
        <v>0</v>
      </c>
      <c r="BY32" s="1125">
        <f t="shared" si="50"/>
        <v>0</v>
      </c>
      <c r="BZ32" s="1125">
        <f t="shared" si="51"/>
        <v>0</v>
      </c>
      <c r="CA32" s="1125">
        <f t="shared" si="52"/>
        <v>0</v>
      </c>
      <c r="CB32" s="1125">
        <f t="shared" si="53"/>
        <v>0</v>
      </c>
      <c r="CC32" s="1125">
        <f t="shared" si="54"/>
        <v>1</v>
      </c>
      <c r="CD32" s="1125">
        <f t="shared" si="55"/>
        <v>1</v>
      </c>
      <c r="CE32" s="1125">
        <f t="shared" si="56"/>
        <v>0</v>
      </c>
      <c r="CF32" s="1125">
        <f t="shared" si="57"/>
        <v>0</v>
      </c>
      <c r="CG32" s="1125">
        <f t="shared" si="58"/>
        <v>0</v>
      </c>
      <c r="CH32" s="1125">
        <f t="shared" si="59"/>
        <v>0</v>
      </c>
      <c r="CI32" s="1125">
        <f t="shared" si="60"/>
        <v>0.85</v>
      </c>
      <c r="CJ32" s="1125">
        <f t="shared" si="61"/>
        <v>0.85</v>
      </c>
      <c r="CK32" s="1125">
        <f t="shared" si="62"/>
        <v>0.85</v>
      </c>
      <c r="CL32" s="1125">
        <f t="shared" si="63"/>
        <v>0.85</v>
      </c>
      <c r="CM32" s="1125">
        <f t="shared" si="64"/>
        <v>0.85</v>
      </c>
      <c r="CN32" s="1125">
        <f t="shared" si="65"/>
        <v>0.85</v>
      </c>
      <c r="CO32" s="1125">
        <f t="shared" si="66"/>
        <v>0.85</v>
      </c>
      <c r="CP32" s="1125">
        <f t="shared" si="67"/>
        <v>0.85</v>
      </c>
      <c r="CQ32" s="1125">
        <f t="shared" si="68"/>
        <v>0.85</v>
      </c>
      <c r="CR32" s="1125">
        <f t="shared" si="69"/>
        <v>0.85</v>
      </c>
      <c r="CS32" s="1125">
        <f t="shared" si="70"/>
        <v>0.85</v>
      </c>
      <c r="CT32" s="1125">
        <f t="shared" si="71"/>
        <v>0.85</v>
      </c>
      <c r="CU32" s="1125">
        <v>1</v>
      </c>
      <c r="CV32" s="1125"/>
      <c r="CW32" s="1125">
        <f t="shared" si="72"/>
        <v>62</v>
      </c>
      <c r="CX32" s="1125">
        <f t="shared" si="73"/>
        <v>303</v>
      </c>
      <c r="CY32" s="1136" t="s">
        <v>4879</v>
      </c>
      <c r="CZ32" s="1129">
        <v>7</v>
      </c>
      <c r="DA32" s="1129"/>
      <c r="DB32" s="1129"/>
      <c r="DC32" s="1125" t="s">
        <v>4904</v>
      </c>
      <c r="DD32" s="1125" t="s">
        <v>953</v>
      </c>
      <c r="DE32" s="1125" t="b">
        <f t="shared" si="74"/>
        <v>0</v>
      </c>
      <c r="DF32" s="1125">
        <v>0</v>
      </c>
      <c r="DG32" s="1125">
        <v>0</v>
      </c>
    </row>
    <row r="33" spans="1:111">
      <c r="A33" s="1120" t="s">
        <v>2946</v>
      </c>
      <c r="B33" s="1120" t="s">
        <v>2922</v>
      </c>
      <c r="C33" s="1120" t="s">
        <v>2923</v>
      </c>
      <c r="D33" s="1120" t="s">
        <v>953</v>
      </c>
      <c r="E33" s="1120">
        <v>115</v>
      </c>
      <c r="F33" s="1120">
        <v>-150</v>
      </c>
      <c r="G33" s="1120">
        <v>61.18</v>
      </c>
      <c r="H33" s="1120">
        <v>-9</v>
      </c>
      <c r="I33" s="1121">
        <v>-4.3600013732910163</v>
      </c>
      <c r="J33" s="1121">
        <v>68.360001373291013</v>
      </c>
      <c r="K33" s="1122">
        <v>57.2</v>
      </c>
      <c r="L33" s="1120">
        <v>9880.2000000000007</v>
      </c>
      <c r="M33" s="1120">
        <v>0</v>
      </c>
      <c r="N33" s="1123">
        <v>17.600000000000001</v>
      </c>
      <c r="O33" s="1123">
        <v>17.959999656677248</v>
      </c>
      <c r="P33" s="1123">
        <v>25.879999828338622</v>
      </c>
      <c r="Q33" s="1123">
        <v>37.939999914169313</v>
      </c>
      <c r="R33" s="1123">
        <v>49.280000686645508</v>
      </c>
      <c r="S33" s="1123">
        <v>56.659999656677243</v>
      </c>
      <c r="T33" s="1123">
        <v>58.819999313354494</v>
      </c>
      <c r="U33" s="1123">
        <v>56.659999656677243</v>
      </c>
      <c r="V33" s="1123">
        <v>51.259999656677245</v>
      </c>
      <c r="W33" s="1123">
        <v>33.980000042915343</v>
      </c>
      <c r="X33" s="1123">
        <v>22.1</v>
      </c>
      <c r="Y33" s="1123">
        <v>18.859999656677246</v>
      </c>
      <c r="Z33" s="1123">
        <v>37.356602580645315</v>
      </c>
      <c r="AA33" s="1123">
        <f t="shared" si="0"/>
        <v>38.172885136613587</v>
      </c>
      <c r="AB33" s="1123">
        <f t="shared" si="1"/>
        <v>36.619351743320699</v>
      </c>
      <c r="AC33" s="1123">
        <f t="shared" si="2"/>
        <v>36.821986604954603</v>
      </c>
      <c r="AD33" s="1123">
        <f t="shared" si="3"/>
        <v>38.727969822132685</v>
      </c>
      <c r="AE33" s="1123">
        <f t="shared" si="4"/>
        <v>41.840477497207019</v>
      </c>
      <c r="AF33" s="1123">
        <f t="shared" si="5"/>
        <v>45.348186539474305</v>
      </c>
      <c r="AG33" s="1123">
        <f t="shared" si="6"/>
        <v>48.336758531634999</v>
      </c>
      <c r="AH33" s="1123">
        <f t="shared" si="7"/>
        <v>50.027176128643923</v>
      </c>
      <c r="AI33" s="1123">
        <f t="shared" si="8"/>
        <v>49.978805933717013</v>
      </c>
      <c r="AJ33" s="1123">
        <f t="shared" si="9"/>
        <v>48.204256383569231</v>
      </c>
      <c r="AK33" s="1123">
        <f t="shared" si="10"/>
        <v>45.166091165082932</v>
      </c>
      <c r="AL33" s="1123">
        <f t="shared" si="11"/>
        <v>41.656254861999813</v>
      </c>
      <c r="AM33" s="1120">
        <f t="shared" si="12"/>
        <v>1</v>
      </c>
      <c r="AN33" s="1120">
        <f t="shared" si="13"/>
        <v>1</v>
      </c>
      <c r="AO33" s="1120">
        <f t="shared" si="14"/>
        <v>1</v>
      </c>
      <c r="AP33" s="1120">
        <f t="shared" si="15"/>
        <v>1</v>
      </c>
      <c r="AQ33" s="1120">
        <f t="shared" si="16"/>
        <v>1</v>
      </c>
      <c r="AR33" s="1120">
        <f t="shared" si="17"/>
        <v>1</v>
      </c>
      <c r="AS33" s="1120">
        <f t="shared" si="18"/>
        <v>1</v>
      </c>
      <c r="AT33" s="1120">
        <f t="shared" si="19"/>
        <v>1</v>
      </c>
      <c r="AU33" s="1120">
        <f t="shared" si="20"/>
        <v>1</v>
      </c>
      <c r="AV33" s="1120">
        <f t="shared" si="21"/>
        <v>1</v>
      </c>
      <c r="AW33" s="1120">
        <f t="shared" si="22"/>
        <v>1</v>
      </c>
      <c r="AX33" s="1120">
        <f t="shared" si="23"/>
        <v>1</v>
      </c>
      <c r="AY33" s="1120">
        <f t="shared" si="24"/>
        <v>0</v>
      </c>
      <c r="AZ33" s="1120">
        <f t="shared" si="25"/>
        <v>0</v>
      </c>
      <c r="BA33" s="1120">
        <f t="shared" si="26"/>
        <v>0</v>
      </c>
      <c r="BB33" s="1120">
        <f t="shared" si="27"/>
        <v>0</v>
      </c>
      <c r="BC33" s="1120">
        <f t="shared" si="28"/>
        <v>0</v>
      </c>
      <c r="BD33" s="1120">
        <f t="shared" si="29"/>
        <v>0</v>
      </c>
      <c r="BE33" s="1120">
        <f t="shared" si="30"/>
        <v>1</v>
      </c>
      <c r="BF33" s="1120">
        <f t="shared" si="31"/>
        <v>1</v>
      </c>
      <c r="BG33" s="1120">
        <f t="shared" si="32"/>
        <v>0</v>
      </c>
      <c r="BH33" s="1120">
        <f t="shared" si="33"/>
        <v>0</v>
      </c>
      <c r="BI33" s="1120">
        <f t="shared" si="34"/>
        <v>0</v>
      </c>
      <c r="BJ33" s="1120">
        <f t="shared" si="35"/>
        <v>0</v>
      </c>
      <c r="BK33" s="1120">
        <f t="shared" si="36"/>
        <v>1</v>
      </c>
      <c r="BL33" s="1120">
        <f t="shared" si="37"/>
        <v>1</v>
      </c>
      <c r="BM33" s="1120">
        <f t="shared" si="38"/>
        <v>1</v>
      </c>
      <c r="BN33" s="1120">
        <f t="shared" si="39"/>
        <v>1</v>
      </c>
      <c r="BO33" s="1120">
        <f t="shared" si="40"/>
        <v>1</v>
      </c>
      <c r="BP33" s="1120">
        <f t="shared" si="41"/>
        <v>1</v>
      </c>
      <c r="BQ33" s="1120">
        <f t="shared" si="42"/>
        <v>1</v>
      </c>
      <c r="BR33" s="1120">
        <f t="shared" si="43"/>
        <v>1</v>
      </c>
      <c r="BS33" s="1120">
        <f t="shared" si="44"/>
        <v>1</v>
      </c>
      <c r="BT33" s="1120">
        <f t="shared" si="45"/>
        <v>1</v>
      </c>
      <c r="BU33" s="1120">
        <f t="shared" si="46"/>
        <v>1</v>
      </c>
      <c r="BV33" s="1120">
        <f t="shared" si="47"/>
        <v>1</v>
      </c>
      <c r="BW33" s="1120">
        <f t="shared" si="48"/>
        <v>0</v>
      </c>
      <c r="BX33" s="1120">
        <f t="shared" si="49"/>
        <v>0</v>
      </c>
      <c r="BY33" s="1120">
        <f t="shared" si="50"/>
        <v>0</v>
      </c>
      <c r="BZ33" s="1120">
        <f t="shared" si="51"/>
        <v>0</v>
      </c>
      <c r="CA33" s="1120">
        <f t="shared" si="52"/>
        <v>0</v>
      </c>
      <c r="CB33" s="1120">
        <f t="shared" si="53"/>
        <v>0</v>
      </c>
      <c r="CC33" s="1120">
        <f t="shared" si="54"/>
        <v>1</v>
      </c>
      <c r="CD33" s="1120">
        <f t="shared" si="55"/>
        <v>1</v>
      </c>
      <c r="CE33" s="1120">
        <f t="shared" si="56"/>
        <v>0</v>
      </c>
      <c r="CF33" s="1120">
        <f t="shared" si="57"/>
        <v>0</v>
      </c>
      <c r="CG33" s="1120">
        <f t="shared" si="58"/>
        <v>0</v>
      </c>
      <c r="CH33" s="1120">
        <f t="shared" si="59"/>
        <v>0</v>
      </c>
      <c r="CI33" s="1120">
        <f t="shared" si="60"/>
        <v>0.85</v>
      </c>
      <c r="CJ33" s="1120">
        <f t="shared" si="61"/>
        <v>0.85</v>
      </c>
      <c r="CK33" s="1120">
        <f t="shared" si="62"/>
        <v>0.85</v>
      </c>
      <c r="CL33" s="1120">
        <f t="shared" si="63"/>
        <v>0.85</v>
      </c>
      <c r="CM33" s="1120">
        <f t="shared" si="64"/>
        <v>0.85</v>
      </c>
      <c r="CN33" s="1120">
        <f t="shared" si="65"/>
        <v>0.85</v>
      </c>
      <c r="CO33" s="1120">
        <f t="shared" si="66"/>
        <v>0.85</v>
      </c>
      <c r="CP33" s="1120">
        <f t="shared" si="67"/>
        <v>0.85</v>
      </c>
      <c r="CQ33" s="1120">
        <f t="shared" si="68"/>
        <v>0.85</v>
      </c>
      <c r="CR33" s="1120">
        <f t="shared" si="69"/>
        <v>0.85</v>
      </c>
      <c r="CS33" s="1120">
        <f t="shared" si="70"/>
        <v>0.85</v>
      </c>
      <c r="CT33" s="1120">
        <f t="shared" si="71"/>
        <v>0.85</v>
      </c>
      <c r="CU33" s="1120">
        <v>1</v>
      </c>
      <c r="CV33" s="1120"/>
      <c r="CW33" s="1120">
        <f t="shared" si="72"/>
        <v>62</v>
      </c>
      <c r="CX33" s="1120">
        <f t="shared" si="73"/>
        <v>303</v>
      </c>
      <c r="CY33" s="1135" t="s">
        <v>4879</v>
      </c>
      <c r="CZ33" s="1124">
        <v>7</v>
      </c>
      <c r="DA33" s="1124"/>
      <c r="DB33" s="1124"/>
      <c r="DC33" s="1120" t="s">
        <v>4905</v>
      </c>
      <c r="DD33" s="1120" t="s">
        <v>953</v>
      </c>
      <c r="DE33" s="1120" t="b">
        <f t="shared" si="74"/>
        <v>0</v>
      </c>
      <c r="DF33" s="1120">
        <v>0</v>
      </c>
      <c r="DG33" s="1120">
        <v>0</v>
      </c>
    </row>
    <row r="34" spans="1:111">
      <c r="A34" s="1125" t="s">
        <v>1185</v>
      </c>
      <c r="B34" s="1125" t="s">
        <v>2920</v>
      </c>
      <c r="C34" s="1125" t="s">
        <v>2921</v>
      </c>
      <c r="D34" s="1125" t="s">
        <v>953</v>
      </c>
      <c r="E34" s="1125">
        <v>138</v>
      </c>
      <c r="F34" s="1125">
        <v>-149.85</v>
      </c>
      <c r="G34" s="1125">
        <v>61.22</v>
      </c>
      <c r="H34" s="1125">
        <v>-9</v>
      </c>
      <c r="I34" s="1126">
        <v>-6.8800006866455083</v>
      </c>
      <c r="J34" s="1126">
        <v>70.33999862670899</v>
      </c>
      <c r="K34" s="1127">
        <v>58.1</v>
      </c>
      <c r="L34" s="1125">
        <v>8881.2000000000007</v>
      </c>
      <c r="M34" s="1125">
        <v>10.8</v>
      </c>
      <c r="N34" s="1128">
        <v>28.4</v>
      </c>
      <c r="O34" s="1128">
        <v>21.559999656677245</v>
      </c>
      <c r="P34" s="1128">
        <v>28.580000042915344</v>
      </c>
      <c r="Q34" s="1128">
        <v>36.679999828338623</v>
      </c>
      <c r="R34" s="1128">
        <v>48.380000686645509</v>
      </c>
      <c r="S34" s="1128">
        <v>59.540000343322752</v>
      </c>
      <c r="T34" s="1128">
        <v>57.740000343322755</v>
      </c>
      <c r="U34" s="1128">
        <v>60.980000686645511</v>
      </c>
      <c r="V34" s="1128">
        <v>44.959999656677248</v>
      </c>
      <c r="W34" s="1128">
        <v>35.060000085830687</v>
      </c>
      <c r="X34" s="1128">
        <v>34.339999914169312</v>
      </c>
      <c r="Y34" s="1128">
        <v>23.540000343322752</v>
      </c>
      <c r="Z34" s="1128">
        <v>40.088657672633865</v>
      </c>
      <c r="AA34" s="1128">
        <f t="shared" si="0"/>
        <v>40.511611728925473</v>
      </c>
      <c r="AB34" s="1128">
        <f t="shared" si="1"/>
        <v>39.059060838854265</v>
      </c>
      <c r="AC34" s="1128">
        <f t="shared" si="2"/>
        <v>39.438882692874024</v>
      </c>
      <c r="AD34" s="1128">
        <f t="shared" si="3"/>
        <v>41.552070871502544</v>
      </c>
      <c r="AE34" s="1128">
        <f t="shared" si="4"/>
        <v>44.847790310764736</v>
      </c>
      <c r="AF34" s="1128">
        <f t="shared" si="5"/>
        <v>48.466960950242992</v>
      </c>
      <c r="AG34" s="1128">
        <f t="shared" si="6"/>
        <v>51.46619018964951</v>
      </c>
      <c r="AH34" s="1128">
        <f t="shared" si="7"/>
        <v>53.063682708211353</v>
      </c>
      <c r="AI34" s="1128">
        <f t="shared" si="8"/>
        <v>52.843027462860476</v>
      </c>
      <c r="AJ34" s="1128">
        <f t="shared" si="9"/>
        <v>50.861741643697854</v>
      </c>
      <c r="AK34" s="1128">
        <f t="shared" si="10"/>
        <v>47.636277932026893</v>
      </c>
      <c r="AL34" s="1128">
        <f t="shared" si="11"/>
        <v>44.007403150195032</v>
      </c>
      <c r="AM34" s="1125">
        <f t="shared" si="12"/>
        <v>1</v>
      </c>
      <c r="AN34" s="1125">
        <f t="shared" si="13"/>
        <v>1</v>
      </c>
      <c r="AO34" s="1125">
        <f t="shared" si="14"/>
        <v>1</v>
      </c>
      <c r="AP34" s="1125">
        <f t="shared" si="15"/>
        <v>1</v>
      </c>
      <c r="AQ34" s="1125">
        <f t="shared" si="16"/>
        <v>1</v>
      </c>
      <c r="AR34" s="1125">
        <f t="shared" si="17"/>
        <v>1</v>
      </c>
      <c r="AS34" s="1125">
        <f t="shared" si="18"/>
        <v>1</v>
      </c>
      <c r="AT34" s="1125">
        <f t="shared" si="19"/>
        <v>1</v>
      </c>
      <c r="AU34" s="1125">
        <f t="shared" si="20"/>
        <v>1</v>
      </c>
      <c r="AV34" s="1125">
        <f t="shared" si="21"/>
        <v>1</v>
      </c>
      <c r="AW34" s="1125">
        <f t="shared" si="22"/>
        <v>1</v>
      </c>
      <c r="AX34" s="1125">
        <f t="shared" si="23"/>
        <v>1</v>
      </c>
      <c r="AY34" s="1125">
        <f t="shared" si="24"/>
        <v>0</v>
      </c>
      <c r="AZ34" s="1125">
        <f t="shared" si="25"/>
        <v>0</v>
      </c>
      <c r="BA34" s="1125">
        <f t="shared" si="26"/>
        <v>0</v>
      </c>
      <c r="BB34" s="1125">
        <f t="shared" si="27"/>
        <v>0</v>
      </c>
      <c r="BC34" s="1125">
        <f t="shared" si="28"/>
        <v>0</v>
      </c>
      <c r="BD34" s="1125">
        <f t="shared" si="29"/>
        <v>0</v>
      </c>
      <c r="BE34" s="1125">
        <f t="shared" si="30"/>
        <v>1</v>
      </c>
      <c r="BF34" s="1125">
        <f t="shared" si="31"/>
        <v>1</v>
      </c>
      <c r="BG34" s="1125">
        <f t="shared" si="32"/>
        <v>0</v>
      </c>
      <c r="BH34" s="1125">
        <f t="shared" si="33"/>
        <v>0</v>
      </c>
      <c r="BI34" s="1125">
        <f t="shared" si="34"/>
        <v>0</v>
      </c>
      <c r="BJ34" s="1125">
        <f t="shared" si="35"/>
        <v>0</v>
      </c>
      <c r="BK34" s="1125">
        <f t="shared" si="36"/>
        <v>1</v>
      </c>
      <c r="BL34" s="1125">
        <f t="shared" si="37"/>
        <v>1</v>
      </c>
      <c r="BM34" s="1125">
        <f t="shared" si="38"/>
        <v>1</v>
      </c>
      <c r="BN34" s="1125">
        <f t="shared" si="39"/>
        <v>1</v>
      </c>
      <c r="BO34" s="1125">
        <f t="shared" si="40"/>
        <v>1</v>
      </c>
      <c r="BP34" s="1125">
        <f t="shared" si="41"/>
        <v>1</v>
      </c>
      <c r="BQ34" s="1125">
        <f t="shared" si="42"/>
        <v>1</v>
      </c>
      <c r="BR34" s="1125">
        <f t="shared" si="43"/>
        <v>1</v>
      </c>
      <c r="BS34" s="1125">
        <f t="shared" si="44"/>
        <v>1</v>
      </c>
      <c r="BT34" s="1125">
        <f t="shared" si="45"/>
        <v>1</v>
      </c>
      <c r="BU34" s="1125">
        <f t="shared" si="46"/>
        <v>1</v>
      </c>
      <c r="BV34" s="1125">
        <f t="shared" si="47"/>
        <v>1</v>
      </c>
      <c r="BW34" s="1125">
        <f t="shared" si="48"/>
        <v>0</v>
      </c>
      <c r="BX34" s="1125">
        <f t="shared" si="49"/>
        <v>0</v>
      </c>
      <c r="BY34" s="1125">
        <f t="shared" si="50"/>
        <v>0</v>
      </c>
      <c r="BZ34" s="1125">
        <f t="shared" si="51"/>
        <v>0</v>
      </c>
      <c r="CA34" s="1125">
        <f t="shared" si="52"/>
        <v>0</v>
      </c>
      <c r="CB34" s="1125">
        <f t="shared" si="53"/>
        <v>0</v>
      </c>
      <c r="CC34" s="1125">
        <f t="shared" si="54"/>
        <v>1</v>
      </c>
      <c r="CD34" s="1125">
        <f t="shared" si="55"/>
        <v>1</v>
      </c>
      <c r="CE34" s="1125">
        <f t="shared" si="56"/>
        <v>0</v>
      </c>
      <c r="CF34" s="1125">
        <f t="shared" si="57"/>
        <v>0</v>
      </c>
      <c r="CG34" s="1125">
        <f t="shared" si="58"/>
        <v>0</v>
      </c>
      <c r="CH34" s="1125">
        <f t="shared" si="59"/>
        <v>0</v>
      </c>
      <c r="CI34" s="1125">
        <f t="shared" si="60"/>
        <v>0.85</v>
      </c>
      <c r="CJ34" s="1125">
        <f t="shared" si="61"/>
        <v>0.85</v>
      </c>
      <c r="CK34" s="1125">
        <f t="shared" si="62"/>
        <v>0.85</v>
      </c>
      <c r="CL34" s="1125">
        <f t="shared" si="63"/>
        <v>0.85</v>
      </c>
      <c r="CM34" s="1125">
        <f t="shared" si="64"/>
        <v>0.85</v>
      </c>
      <c r="CN34" s="1125">
        <f t="shared" si="65"/>
        <v>0.85</v>
      </c>
      <c r="CO34" s="1125">
        <f t="shared" si="66"/>
        <v>0.85</v>
      </c>
      <c r="CP34" s="1125">
        <f t="shared" si="67"/>
        <v>0.85</v>
      </c>
      <c r="CQ34" s="1125">
        <f t="shared" si="68"/>
        <v>0.85</v>
      </c>
      <c r="CR34" s="1125">
        <f t="shared" si="69"/>
        <v>0.85</v>
      </c>
      <c r="CS34" s="1125">
        <f t="shared" si="70"/>
        <v>0.85</v>
      </c>
      <c r="CT34" s="1125">
        <f t="shared" si="71"/>
        <v>0.85</v>
      </c>
      <c r="CU34" s="1125">
        <v>1</v>
      </c>
      <c r="CV34" s="1125"/>
      <c r="CW34" s="1125">
        <f t="shared" si="72"/>
        <v>62</v>
      </c>
      <c r="CX34" s="1125">
        <f t="shared" si="73"/>
        <v>303</v>
      </c>
      <c r="CY34" s="1136" t="s">
        <v>4879</v>
      </c>
      <c r="CZ34" s="1129">
        <v>7</v>
      </c>
      <c r="DA34" s="1129"/>
      <c r="DB34" s="1129"/>
      <c r="DC34" s="1125" t="s">
        <v>4906</v>
      </c>
      <c r="DD34" s="1125" t="s">
        <v>953</v>
      </c>
      <c r="DE34" s="1125" t="b">
        <f t="shared" si="74"/>
        <v>0</v>
      </c>
      <c r="DF34" s="1125">
        <v>0</v>
      </c>
      <c r="DG34" s="1125">
        <v>0</v>
      </c>
    </row>
    <row r="35" spans="1:111">
      <c r="A35" s="1120" t="s">
        <v>1187</v>
      </c>
      <c r="B35" s="1120" t="s">
        <v>4296</v>
      </c>
      <c r="C35" s="1120" t="s">
        <v>4297</v>
      </c>
      <c r="D35" s="1120" t="s">
        <v>512</v>
      </c>
      <c r="E35" s="1120">
        <v>761</v>
      </c>
      <c r="F35" s="1120">
        <v>-82.72</v>
      </c>
      <c r="G35" s="1120">
        <v>34.5</v>
      </c>
      <c r="H35" s="1120">
        <v>-5</v>
      </c>
      <c r="I35" s="1121">
        <v>25.7</v>
      </c>
      <c r="J35" s="1121">
        <v>92.660001373291024</v>
      </c>
      <c r="K35" s="1122">
        <v>74.3</v>
      </c>
      <c r="L35" s="1120">
        <v>3328.2000000000003</v>
      </c>
      <c r="M35" s="1120">
        <v>1587.6000000000001</v>
      </c>
      <c r="N35" s="1123">
        <v>37.76000008583069</v>
      </c>
      <c r="O35" s="1123">
        <v>43.7</v>
      </c>
      <c r="P35" s="1123">
        <v>48.019999313354489</v>
      </c>
      <c r="Q35" s="1123">
        <v>58.280000686645508</v>
      </c>
      <c r="R35" s="1123">
        <v>66.739998626708982</v>
      </c>
      <c r="S35" s="1123">
        <v>74.119999313354498</v>
      </c>
      <c r="T35" s="1123">
        <v>79.7</v>
      </c>
      <c r="U35" s="1123">
        <v>78.080000686645505</v>
      </c>
      <c r="V35" s="1123">
        <v>72.5</v>
      </c>
      <c r="W35" s="1123">
        <v>58.640000343322754</v>
      </c>
      <c r="X35" s="1123">
        <v>56.480000686645511</v>
      </c>
      <c r="Y35" s="1123">
        <v>40.820000171661377</v>
      </c>
      <c r="Z35" s="1123">
        <v>59.637150675760559</v>
      </c>
      <c r="AA35" s="1123">
        <f t="shared" si="0"/>
        <v>54.61177902756225</v>
      </c>
      <c r="AB35" s="1123">
        <f t="shared" si="1"/>
        <v>54.164970541936661</v>
      </c>
      <c r="AC35" s="1123">
        <f t="shared" si="2"/>
        <v>56.708562599839567</v>
      </c>
      <c r="AD35" s="1123">
        <f t="shared" si="3"/>
        <v>61.579528733438451</v>
      </c>
      <c r="AE35" s="1123">
        <f t="shared" si="4"/>
        <v>67.508176556150488</v>
      </c>
      <c r="AF35" s="1123">
        <f t="shared" si="5"/>
        <v>72.949112649757296</v>
      </c>
      <c r="AG35" s="1123">
        <f t="shared" si="6"/>
        <v>76.484073174097006</v>
      </c>
      <c r="AH35" s="1123">
        <f t="shared" si="7"/>
        <v>77.191616193109851</v>
      </c>
      <c r="AI35" s="1123">
        <f t="shared" si="8"/>
        <v>74.887309715322161</v>
      </c>
      <c r="AJ35" s="1123">
        <f t="shared" si="9"/>
        <v>70.171806734607003</v>
      </c>
      <c r="AK35" s="1123">
        <f t="shared" si="10"/>
        <v>64.274275770988368</v>
      </c>
      <c r="AL35" s="1123">
        <f t="shared" si="11"/>
        <v>58.731999153836632</v>
      </c>
      <c r="AM35" s="1120">
        <f t="shared" si="12"/>
        <v>1</v>
      </c>
      <c r="AN35" s="1120">
        <f t="shared" si="13"/>
        <v>1</v>
      </c>
      <c r="AO35" s="1120">
        <f t="shared" si="14"/>
        <v>1</v>
      </c>
      <c r="AP35" s="1120">
        <f t="shared" si="15"/>
        <v>1</v>
      </c>
      <c r="AQ35" s="1120">
        <f t="shared" si="16"/>
        <v>0</v>
      </c>
      <c r="AR35" s="1120">
        <f t="shared" si="17"/>
        <v>0</v>
      </c>
      <c r="AS35" s="1120">
        <f t="shared" si="18"/>
        <v>0</v>
      </c>
      <c r="AT35" s="1120">
        <f t="shared" si="19"/>
        <v>0</v>
      </c>
      <c r="AU35" s="1120">
        <f t="shared" si="20"/>
        <v>0</v>
      </c>
      <c r="AV35" s="1120">
        <f t="shared" si="21"/>
        <v>1</v>
      </c>
      <c r="AW35" s="1120">
        <f t="shared" si="22"/>
        <v>1</v>
      </c>
      <c r="AX35" s="1120">
        <f t="shared" si="23"/>
        <v>1</v>
      </c>
      <c r="AY35" s="1120">
        <f t="shared" si="24"/>
        <v>0</v>
      </c>
      <c r="AZ35" s="1120">
        <f t="shared" si="25"/>
        <v>0</v>
      </c>
      <c r="BA35" s="1120">
        <f t="shared" si="26"/>
        <v>0</v>
      </c>
      <c r="BB35" s="1120">
        <f t="shared" si="27"/>
        <v>0</v>
      </c>
      <c r="BC35" s="1120">
        <f t="shared" si="28"/>
        <v>1</v>
      </c>
      <c r="BD35" s="1120">
        <f t="shared" si="29"/>
        <v>1</v>
      </c>
      <c r="BE35" s="1120">
        <f t="shared" si="30"/>
        <v>1</v>
      </c>
      <c r="BF35" s="1120">
        <f t="shared" si="31"/>
        <v>1</v>
      </c>
      <c r="BG35" s="1120">
        <f t="shared" si="32"/>
        <v>1</v>
      </c>
      <c r="BH35" s="1120">
        <f t="shared" si="33"/>
        <v>0</v>
      </c>
      <c r="BI35" s="1120">
        <f t="shared" si="34"/>
        <v>0</v>
      </c>
      <c r="BJ35" s="1120">
        <f t="shared" si="35"/>
        <v>0</v>
      </c>
      <c r="BK35" s="1120">
        <f t="shared" si="36"/>
        <v>1</v>
      </c>
      <c r="BL35" s="1120">
        <f t="shared" si="37"/>
        <v>1</v>
      </c>
      <c r="BM35" s="1120">
        <f t="shared" si="38"/>
        <v>1</v>
      </c>
      <c r="BN35" s="1120">
        <f t="shared" si="39"/>
        <v>1</v>
      </c>
      <c r="BO35" s="1120">
        <f t="shared" si="40"/>
        <v>1</v>
      </c>
      <c r="BP35" s="1120">
        <f t="shared" si="41"/>
        <v>0</v>
      </c>
      <c r="BQ35" s="1120">
        <f t="shared" si="42"/>
        <v>0</v>
      </c>
      <c r="BR35" s="1120">
        <f t="shared" si="43"/>
        <v>0</v>
      </c>
      <c r="BS35" s="1120">
        <f t="shared" si="44"/>
        <v>0</v>
      </c>
      <c r="BT35" s="1120">
        <f t="shared" si="45"/>
        <v>1</v>
      </c>
      <c r="BU35" s="1120">
        <f t="shared" si="46"/>
        <v>1</v>
      </c>
      <c r="BV35" s="1120">
        <f t="shared" si="47"/>
        <v>1</v>
      </c>
      <c r="BW35" s="1120">
        <f t="shared" si="48"/>
        <v>0</v>
      </c>
      <c r="BX35" s="1120">
        <f t="shared" si="49"/>
        <v>0</v>
      </c>
      <c r="BY35" s="1120">
        <f t="shared" si="50"/>
        <v>0</v>
      </c>
      <c r="BZ35" s="1120">
        <f t="shared" si="51"/>
        <v>1</v>
      </c>
      <c r="CA35" s="1120">
        <f t="shared" si="52"/>
        <v>1</v>
      </c>
      <c r="CB35" s="1120">
        <f t="shared" si="53"/>
        <v>1</v>
      </c>
      <c r="CC35" s="1120">
        <f t="shared" si="54"/>
        <v>1</v>
      </c>
      <c r="CD35" s="1120">
        <f t="shared" si="55"/>
        <v>1</v>
      </c>
      <c r="CE35" s="1120">
        <f t="shared" si="56"/>
        <v>1</v>
      </c>
      <c r="CF35" s="1120">
        <f t="shared" si="57"/>
        <v>1</v>
      </c>
      <c r="CG35" s="1120">
        <f t="shared" si="58"/>
        <v>0</v>
      </c>
      <c r="CH35" s="1120">
        <f t="shared" si="59"/>
        <v>0</v>
      </c>
      <c r="CI35" s="1120">
        <f t="shared" si="60"/>
        <v>0.85</v>
      </c>
      <c r="CJ35" s="1120">
        <f t="shared" si="61"/>
        <v>0.85</v>
      </c>
      <c r="CK35" s="1120">
        <f t="shared" si="62"/>
        <v>0.85</v>
      </c>
      <c r="CL35" s="1120">
        <f t="shared" si="63"/>
        <v>0.85</v>
      </c>
      <c r="CM35" s="1120">
        <f t="shared" si="64"/>
        <v>0.85</v>
      </c>
      <c r="CN35" s="1120">
        <f t="shared" si="65"/>
        <v>0.7</v>
      </c>
      <c r="CO35" s="1120">
        <f t="shared" si="66"/>
        <v>0.7</v>
      </c>
      <c r="CP35" s="1120">
        <f t="shared" si="67"/>
        <v>0.7</v>
      </c>
      <c r="CQ35" s="1120">
        <f t="shared" si="68"/>
        <v>0.7</v>
      </c>
      <c r="CR35" s="1120">
        <f t="shared" si="69"/>
        <v>0.85</v>
      </c>
      <c r="CS35" s="1120">
        <f t="shared" si="70"/>
        <v>0.85</v>
      </c>
      <c r="CT35" s="1120">
        <f t="shared" si="71"/>
        <v>0.85</v>
      </c>
      <c r="CU35" s="1120">
        <v>1</v>
      </c>
      <c r="CV35" s="1120"/>
      <c r="CW35" s="1120">
        <f t="shared" si="72"/>
        <v>214</v>
      </c>
      <c r="CX35" s="1120">
        <f t="shared" si="73"/>
        <v>151</v>
      </c>
      <c r="CY35" s="1135" t="s">
        <v>4881</v>
      </c>
      <c r="CZ35" s="1124" t="s">
        <v>4882</v>
      </c>
      <c r="DA35" s="1124"/>
      <c r="DB35" s="1124"/>
      <c r="DC35" s="1120" t="s">
        <v>5548</v>
      </c>
      <c r="DD35" s="1120" t="s">
        <v>512</v>
      </c>
      <c r="DE35" s="1120" t="str">
        <f t="shared" si="74"/>
        <v/>
      </c>
      <c r="DF35" s="1133">
        <v>0</v>
      </c>
      <c r="DG35" s="1120">
        <v>0</v>
      </c>
    </row>
    <row r="36" spans="1:111">
      <c r="A36" s="1125" t="s">
        <v>1189</v>
      </c>
      <c r="B36" s="1120" t="s">
        <v>3675</v>
      </c>
      <c r="C36" s="1120" t="s">
        <v>3676</v>
      </c>
      <c r="D36" s="1120" t="s">
        <v>590</v>
      </c>
      <c r="E36" s="1120">
        <v>282</v>
      </c>
      <c r="F36" s="1120">
        <v>-76.87</v>
      </c>
      <c r="G36" s="1120">
        <v>38.82</v>
      </c>
      <c r="H36" s="1120">
        <v>-5</v>
      </c>
      <c r="I36" s="1121">
        <v>18.320000171661377</v>
      </c>
      <c r="J36" s="1121">
        <v>91.039998626708993</v>
      </c>
      <c r="K36" s="1122">
        <v>74.3</v>
      </c>
      <c r="L36" s="1120">
        <v>4483.8</v>
      </c>
      <c r="M36" s="1120">
        <v>1215</v>
      </c>
      <c r="N36" s="1123">
        <v>34.160000085830688</v>
      </c>
      <c r="O36" s="1123">
        <v>39.379999828338626</v>
      </c>
      <c r="P36" s="1123">
        <v>41</v>
      </c>
      <c r="Q36" s="1123">
        <v>52.159999656677243</v>
      </c>
      <c r="R36" s="1123">
        <v>63.319999313354494</v>
      </c>
      <c r="S36" s="1123">
        <v>75.019999313354489</v>
      </c>
      <c r="T36" s="1123">
        <v>77.180000686645513</v>
      </c>
      <c r="U36" s="1123">
        <v>72.680000686645513</v>
      </c>
      <c r="V36" s="1123">
        <v>66.919999313354495</v>
      </c>
      <c r="W36" s="1123">
        <v>57.380000686645509</v>
      </c>
      <c r="X36" s="1123">
        <v>42.97999982833862</v>
      </c>
      <c r="Y36" s="1123">
        <v>42.259999656677245</v>
      </c>
      <c r="Z36" s="1123">
        <v>55.458684857904096</v>
      </c>
      <c r="AA36" s="1123">
        <f t="shared" si="0"/>
        <v>51.285886804831598</v>
      </c>
      <c r="AB36" s="1123">
        <f t="shared" si="1"/>
        <v>50.458221277795552</v>
      </c>
      <c r="AC36" s="1123">
        <f t="shared" si="2"/>
        <v>52.497996105189962</v>
      </c>
      <c r="AD36" s="1123">
        <f t="shared" si="3"/>
        <v>56.873512544372893</v>
      </c>
      <c r="AE36" s="1123">
        <f t="shared" si="4"/>
        <v>62.444224806721934</v>
      </c>
      <c r="AF36" s="1123">
        <f t="shared" si="5"/>
        <v>67.758040893781271</v>
      </c>
      <c r="AG36" s="1123">
        <f t="shared" si="6"/>
        <v>71.429832754074241</v>
      </c>
      <c r="AH36" s="1123">
        <f t="shared" si="7"/>
        <v>72.502491255190122</v>
      </c>
      <c r="AI36" s="1123">
        <f t="shared" si="8"/>
        <v>70.69641142864522</v>
      </c>
      <c r="AJ36" s="1123">
        <f t="shared" si="9"/>
        <v>66.482375813761053</v>
      </c>
      <c r="AK36" s="1123">
        <f t="shared" si="10"/>
        <v>60.958837733811741</v>
      </c>
      <c r="AL36" s="1123">
        <f t="shared" si="11"/>
        <v>55.565592509634442</v>
      </c>
      <c r="AM36" s="1120">
        <f t="shared" si="12"/>
        <v>1</v>
      </c>
      <c r="AN36" s="1120">
        <f t="shared" si="13"/>
        <v>1</v>
      </c>
      <c r="AO36" s="1120">
        <f t="shared" si="14"/>
        <v>1</v>
      </c>
      <c r="AP36" s="1120">
        <f t="shared" si="15"/>
        <v>1</v>
      </c>
      <c r="AQ36" s="1120">
        <f t="shared" si="16"/>
        <v>1</v>
      </c>
      <c r="AR36" s="1120">
        <f t="shared" si="17"/>
        <v>0</v>
      </c>
      <c r="AS36" s="1120">
        <f t="shared" si="18"/>
        <v>0</v>
      </c>
      <c r="AT36" s="1120">
        <f t="shared" si="19"/>
        <v>0</v>
      </c>
      <c r="AU36" s="1120">
        <f t="shared" si="20"/>
        <v>0</v>
      </c>
      <c r="AV36" s="1120">
        <f t="shared" si="21"/>
        <v>1</v>
      </c>
      <c r="AW36" s="1120">
        <f t="shared" si="22"/>
        <v>1</v>
      </c>
      <c r="AX36" s="1120">
        <f t="shared" si="23"/>
        <v>1</v>
      </c>
      <c r="AY36" s="1120">
        <f t="shared" si="24"/>
        <v>0</v>
      </c>
      <c r="AZ36" s="1120">
        <f t="shared" si="25"/>
        <v>0</v>
      </c>
      <c r="BA36" s="1120">
        <f t="shared" si="26"/>
        <v>0</v>
      </c>
      <c r="BB36" s="1120">
        <f t="shared" si="27"/>
        <v>0</v>
      </c>
      <c r="BC36" s="1120">
        <f t="shared" si="28"/>
        <v>0</v>
      </c>
      <c r="BD36" s="1120">
        <f t="shared" si="29"/>
        <v>1</v>
      </c>
      <c r="BE36" s="1120">
        <f t="shared" si="30"/>
        <v>1</v>
      </c>
      <c r="BF36" s="1120">
        <f t="shared" si="31"/>
        <v>1</v>
      </c>
      <c r="BG36" s="1120">
        <f t="shared" si="32"/>
        <v>1</v>
      </c>
      <c r="BH36" s="1120">
        <f t="shared" si="33"/>
        <v>0</v>
      </c>
      <c r="BI36" s="1120">
        <f t="shared" si="34"/>
        <v>0</v>
      </c>
      <c r="BJ36" s="1120">
        <f t="shared" si="35"/>
        <v>0</v>
      </c>
      <c r="BK36" s="1120">
        <f t="shared" si="36"/>
        <v>1</v>
      </c>
      <c r="BL36" s="1120">
        <f t="shared" si="37"/>
        <v>1</v>
      </c>
      <c r="BM36" s="1120">
        <f t="shared" si="38"/>
        <v>1</v>
      </c>
      <c r="BN36" s="1120">
        <f t="shared" si="39"/>
        <v>1</v>
      </c>
      <c r="BO36" s="1120">
        <f t="shared" si="40"/>
        <v>1</v>
      </c>
      <c r="BP36" s="1120">
        <f t="shared" si="41"/>
        <v>1</v>
      </c>
      <c r="BQ36" s="1120">
        <f t="shared" si="42"/>
        <v>0</v>
      </c>
      <c r="BR36" s="1120">
        <f t="shared" si="43"/>
        <v>0</v>
      </c>
      <c r="BS36" s="1120">
        <f t="shared" si="44"/>
        <v>0</v>
      </c>
      <c r="BT36" s="1120">
        <f t="shared" si="45"/>
        <v>1</v>
      </c>
      <c r="BU36" s="1120">
        <f t="shared" si="46"/>
        <v>1</v>
      </c>
      <c r="BV36" s="1120">
        <f t="shared" si="47"/>
        <v>1</v>
      </c>
      <c r="BW36" s="1120">
        <f t="shared" si="48"/>
        <v>0</v>
      </c>
      <c r="BX36" s="1120">
        <f t="shared" si="49"/>
        <v>0</v>
      </c>
      <c r="BY36" s="1120">
        <f t="shared" si="50"/>
        <v>0</v>
      </c>
      <c r="BZ36" s="1120">
        <f t="shared" si="51"/>
        <v>0</v>
      </c>
      <c r="CA36" s="1120">
        <f t="shared" si="52"/>
        <v>1</v>
      </c>
      <c r="CB36" s="1120">
        <f t="shared" si="53"/>
        <v>1</v>
      </c>
      <c r="CC36" s="1120">
        <f t="shared" si="54"/>
        <v>1</v>
      </c>
      <c r="CD36" s="1120">
        <f t="shared" si="55"/>
        <v>1</v>
      </c>
      <c r="CE36" s="1120">
        <f t="shared" si="56"/>
        <v>1</v>
      </c>
      <c r="CF36" s="1120">
        <f t="shared" si="57"/>
        <v>1</v>
      </c>
      <c r="CG36" s="1120">
        <f t="shared" si="58"/>
        <v>0</v>
      </c>
      <c r="CH36" s="1120">
        <f t="shared" si="59"/>
        <v>0</v>
      </c>
      <c r="CI36" s="1120">
        <f t="shared" si="60"/>
        <v>0.85</v>
      </c>
      <c r="CJ36" s="1120">
        <f t="shared" si="61"/>
        <v>0.85</v>
      </c>
      <c r="CK36" s="1120">
        <f t="shared" si="62"/>
        <v>0.85</v>
      </c>
      <c r="CL36" s="1120">
        <f t="shared" si="63"/>
        <v>0.85</v>
      </c>
      <c r="CM36" s="1120">
        <f t="shared" si="64"/>
        <v>0.85</v>
      </c>
      <c r="CN36" s="1120">
        <f t="shared" si="65"/>
        <v>0.85</v>
      </c>
      <c r="CO36" s="1120">
        <f t="shared" si="66"/>
        <v>0.7</v>
      </c>
      <c r="CP36" s="1120">
        <f t="shared" si="67"/>
        <v>0.7</v>
      </c>
      <c r="CQ36" s="1120">
        <f t="shared" si="68"/>
        <v>0.7</v>
      </c>
      <c r="CR36" s="1120">
        <f t="shared" si="69"/>
        <v>0.85</v>
      </c>
      <c r="CS36" s="1120">
        <f t="shared" si="70"/>
        <v>0.85</v>
      </c>
      <c r="CT36" s="1120">
        <f t="shared" si="71"/>
        <v>0.85</v>
      </c>
      <c r="CU36" s="1120">
        <v>1</v>
      </c>
      <c r="CV36" s="1120"/>
      <c r="CW36" s="1120">
        <f t="shared" si="72"/>
        <v>184</v>
      </c>
      <c r="CX36" s="1120">
        <f t="shared" si="73"/>
        <v>181</v>
      </c>
      <c r="CY36" s="1135" t="s">
        <v>4881</v>
      </c>
      <c r="CZ36" s="1124" t="s">
        <v>4885</v>
      </c>
      <c r="DA36" s="1124"/>
      <c r="DB36" s="1124"/>
      <c r="DC36" s="1120" t="s">
        <v>5279</v>
      </c>
      <c r="DD36" s="1120" t="s">
        <v>590</v>
      </c>
      <c r="DE36" s="1120" t="str">
        <f t="shared" si="74"/>
        <v/>
      </c>
      <c r="DF36" s="1133">
        <v>0</v>
      </c>
      <c r="DG36" s="1125">
        <v>0</v>
      </c>
    </row>
    <row r="37" spans="1:111">
      <c r="A37" s="1120" t="s">
        <v>2948</v>
      </c>
      <c r="B37" s="1120" t="s">
        <v>2924</v>
      </c>
      <c r="C37" s="1120" t="s">
        <v>2925</v>
      </c>
      <c r="D37" s="1120" t="s">
        <v>953</v>
      </c>
      <c r="E37" s="1120">
        <v>85</v>
      </c>
      <c r="F37" s="1120">
        <v>-159.53</v>
      </c>
      <c r="G37" s="1120">
        <v>61.58</v>
      </c>
      <c r="H37" s="1120">
        <v>-9</v>
      </c>
      <c r="I37" s="1121">
        <v>-31.720002746582033</v>
      </c>
      <c r="J37" s="1121">
        <v>69.619999313354498</v>
      </c>
      <c r="K37" s="1122">
        <v>53.780000686645508</v>
      </c>
      <c r="L37" s="1120">
        <v>11219.4</v>
      </c>
      <c r="M37" s="1120">
        <v>0</v>
      </c>
      <c r="N37" s="1123">
        <v>12.019999313354491</v>
      </c>
      <c r="O37" s="1123">
        <v>27.860000085830688</v>
      </c>
      <c r="P37" s="1123">
        <v>22.820000171661377</v>
      </c>
      <c r="Q37" s="1123">
        <v>29.480000042915343</v>
      </c>
      <c r="R37" s="1123">
        <v>41.179999828338623</v>
      </c>
      <c r="S37" s="1123">
        <v>52.7</v>
      </c>
      <c r="T37" s="1123">
        <v>55.040000343322752</v>
      </c>
      <c r="U37" s="1123">
        <v>52.7</v>
      </c>
      <c r="V37" s="1123">
        <v>37.76000008583069</v>
      </c>
      <c r="W37" s="1123">
        <v>30.019999957084657</v>
      </c>
      <c r="X37" s="1123">
        <v>27.320000171661377</v>
      </c>
      <c r="Y37" s="1123">
        <v>15.080000686645507</v>
      </c>
      <c r="Z37" s="1123">
        <v>33.678191837611266</v>
      </c>
      <c r="AA37" s="1123">
        <f t="shared" si="0"/>
        <v>35.139609954155993</v>
      </c>
      <c r="AB37" s="1123">
        <f t="shared" si="1"/>
        <v>33.515039736289808</v>
      </c>
      <c r="AC37" s="1123">
        <f t="shared" si="2"/>
        <v>33.496990090681876</v>
      </c>
      <c r="AD37" s="1123">
        <f t="shared" si="3"/>
        <v>35.090165935613364</v>
      </c>
      <c r="AE37" s="1123">
        <f t="shared" si="4"/>
        <v>37.879281435519928</v>
      </c>
      <c r="AF37" s="1123">
        <f t="shared" si="5"/>
        <v>41.137310653780041</v>
      </c>
      <c r="AG37" s="1123">
        <f t="shared" si="6"/>
        <v>44.014998066904162</v>
      </c>
      <c r="AH37" s="1123">
        <f t="shared" si="7"/>
        <v>45.76223010415611</v>
      </c>
      <c r="AI37" s="1123">
        <f t="shared" si="8"/>
        <v>45.923563809365426</v>
      </c>
      <c r="AJ37" s="1123">
        <f t="shared" si="9"/>
        <v>44.456945066041648</v>
      </c>
      <c r="AK37" s="1123">
        <f t="shared" si="10"/>
        <v>41.744670650911097</v>
      </c>
      <c r="AL37" s="1123">
        <f t="shared" si="11"/>
        <v>38.493736687691481</v>
      </c>
      <c r="AM37" s="1120">
        <f t="shared" si="12"/>
        <v>1</v>
      </c>
      <c r="AN37" s="1120">
        <f t="shared" si="13"/>
        <v>1</v>
      </c>
      <c r="AO37" s="1120">
        <f t="shared" si="14"/>
        <v>1</v>
      </c>
      <c r="AP37" s="1120">
        <f t="shared" si="15"/>
        <v>1</v>
      </c>
      <c r="AQ37" s="1120">
        <f t="shared" si="16"/>
        <v>1</v>
      </c>
      <c r="AR37" s="1120">
        <f t="shared" si="17"/>
        <v>1</v>
      </c>
      <c r="AS37" s="1120">
        <f t="shared" si="18"/>
        <v>1</v>
      </c>
      <c r="AT37" s="1120">
        <f t="shared" si="19"/>
        <v>1</v>
      </c>
      <c r="AU37" s="1120">
        <f t="shared" si="20"/>
        <v>1</v>
      </c>
      <c r="AV37" s="1120">
        <f t="shared" si="21"/>
        <v>1</v>
      </c>
      <c r="AW37" s="1120">
        <f t="shared" si="22"/>
        <v>1</v>
      </c>
      <c r="AX37" s="1120">
        <f t="shared" si="23"/>
        <v>1</v>
      </c>
      <c r="AY37" s="1120">
        <f t="shared" si="24"/>
        <v>0</v>
      </c>
      <c r="AZ37" s="1120">
        <f t="shared" si="25"/>
        <v>0</v>
      </c>
      <c r="BA37" s="1120">
        <f t="shared" si="26"/>
        <v>0</v>
      </c>
      <c r="BB37" s="1120">
        <f t="shared" si="27"/>
        <v>0</v>
      </c>
      <c r="BC37" s="1120">
        <f t="shared" si="28"/>
        <v>0</v>
      </c>
      <c r="BD37" s="1120">
        <f t="shared" si="29"/>
        <v>0</v>
      </c>
      <c r="BE37" s="1120">
        <f t="shared" si="30"/>
        <v>1</v>
      </c>
      <c r="BF37" s="1120">
        <f t="shared" si="31"/>
        <v>1</v>
      </c>
      <c r="BG37" s="1120">
        <f t="shared" si="32"/>
        <v>0</v>
      </c>
      <c r="BH37" s="1120">
        <f t="shared" si="33"/>
        <v>0</v>
      </c>
      <c r="BI37" s="1120">
        <f t="shared" si="34"/>
        <v>0</v>
      </c>
      <c r="BJ37" s="1120">
        <f t="shared" si="35"/>
        <v>0</v>
      </c>
      <c r="BK37" s="1120">
        <f t="shared" si="36"/>
        <v>1</v>
      </c>
      <c r="BL37" s="1120">
        <f t="shared" si="37"/>
        <v>1</v>
      </c>
      <c r="BM37" s="1120">
        <f t="shared" si="38"/>
        <v>1</v>
      </c>
      <c r="BN37" s="1120">
        <f t="shared" si="39"/>
        <v>1</v>
      </c>
      <c r="BO37" s="1120">
        <f t="shared" si="40"/>
        <v>1</v>
      </c>
      <c r="BP37" s="1120">
        <f t="shared" si="41"/>
        <v>1</v>
      </c>
      <c r="BQ37" s="1120">
        <f t="shared" si="42"/>
        <v>1</v>
      </c>
      <c r="BR37" s="1120">
        <f t="shared" si="43"/>
        <v>1</v>
      </c>
      <c r="BS37" s="1120">
        <f t="shared" si="44"/>
        <v>1</v>
      </c>
      <c r="BT37" s="1120">
        <f t="shared" si="45"/>
        <v>1</v>
      </c>
      <c r="BU37" s="1120">
        <f t="shared" si="46"/>
        <v>1</v>
      </c>
      <c r="BV37" s="1120">
        <f t="shared" si="47"/>
        <v>1</v>
      </c>
      <c r="BW37" s="1120">
        <f t="shared" si="48"/>
        <v>0</v>
      </c>
      <c r="BX37" s="1120">
        <f t="shared" si="49"/>
        <v>0</v>
      </c>
      <c r="BY37" s="1120">
        <f t="shared" si="50"/>
        <v>0</v>
      </c>
      <c r="BZ37" s="1120">
        <f t="shared" si="51"/>
        <v>0</v>
      </c>
      <c r="CA37" s="1120">
        <f t="shared" si="52"/>
        <v>0</v>
      </c>
      <c r="CB37" s="1120">
        <f t="shared" si="53"/>
        <v>0</v>
      </c>
      <c r="CC37" s="1120">
        <f t="shared" si="54"/>
        <v>1</v>
      </c>
      <c r="CD37" s="1120">
        <f t="shared" si="55"/>
        <v>1</v>
      </c>
      <c r="CE37" s="1120">
        <f t="shared" si="56"/>
        <v>0</v>
      </c>
      <c r="CF37" s="1120">
        <f t="shared" si="57"/>
        <v>0</v>
      </c>
      <c r="CG37" s="1120">
        <f t="shared" si="58"/>
        <v>0</v>
      </c>
      <c r="CH37" s="1120">
        <f t="shared" si="59"/>
        <v>0</v>
      </c>
      <c r="CI37" s="1120">
        <f t="shared" si="60"/>
        <v>0.85</v>
      </c>
      <c r="CJ37" s="1120">
        <f t="shared" si="61"/>
        <v>0.85</v>
      </c>
      <c r="CK37" s="1120">
        <f t="shared" si="62"/>
        <v>0.85</v>
      </c>
      <c r="CL37" s="1120">
        <f t="shared" si="63"/>
        <v>0.85</v>
      </c>
      <c r="CM37" s="1120">
        <f t="shared" si="64"/>
        <v>0.85</v>
      </c>
      <c r="CN37" s="1120">
        <f t="shared" si="65"/>
        <v>0.85</v>
      </c>
      <c r="CO37" s="1120">
        <f t="shared" si="66"/>
        <v>0.85</v>
      </c>
      <c r="CP37" s="1120">
        <f t="shared" si="67"/>
        <v>0.85</v>
      </c>
      <c r="CQ37" s="1120">
        <f t="shared" si="68"/>
        <v>0.85</v>
      </c>
      <c r="CR37" s="1120">
        <f t="shared" si="69"/>
        <v>0.85</v>
      </c>
      <c r="CS37" s="1120">
        <f t="shared" si="70"/>
        <v>0.85</v>
      </c>
      <c r="CT37" s="1120">
        <f t="shared" si="71"/>
        <v>0.85</v>
      </c>
      <c r="CU37" s="1120">
        <v>1</v>
      </c>
      <c r="CV37" s="1120"/>
      <c r="CW37" s="1120">
        <f t="shared" si="72"/>
        <v>62</v>
      </c>
      <c r="CX37" s="1120">
        <f t="shared" si="73"/>
        <v>303</v>
      </c>
      <c r="CY37" s="1135" t="s">
        <v>4880</v>
      </c>
      <c r="CZ37" s="1124">
        <v>8</v>
      </c>
      <c r="DA37" s="1124"/>
      <c r="DB37" s="1124"/>
      <c r="DC37" s="1120" t="s">
        <v>4907</v>
      </c>
      <c r="DD37" s="1120" t="s">
        <v>953</v>
      </c>
      <c r="DE37" s="1120" t="str">
        <f t="shared" si="74"/>
        <v/>
      </c>
      <c r="DF37" s="1120">
        <v>0</v>
      </c>
      <c r="DG37" s="1120">
        <v>0</v>
      </c>
    </row>
    <row r="38" spans="1:111">
      <c r="A38" s="1125" t="s">
        <v>2950</v>
      </c>
      <c r="B38" s="1125" t="s">
        <v>3709</v>
      </c>
      <c r="C38" s="1125" t="s">
        <v>3710</v>
      </c>
      <c r="D38" s="1125" t="s">
        <v>540</v>
      </c>
      <c r="E38" s="1125">
        <v>840</v>
      </c>
      <c r="F38" s="1125">
        <v>-83.75</v>
      </c>
      <c r="G38" s="1125">
        <v>42.22</v>
      </c>
      <c r="H38" s="1125">
        <v>-5</v>
      </c>
      <c r="I38" s="1126">
        <v>1.2199993133544915</v>
      </c>
      <c r="J38" s="1126">
        <v>89.779997253417974</v>
      </c>
      <c r="K38" s="1127">
        <v>73.580000686645505</v>
      </c>
      <c r="L38" s="1125">
        <v>6100.2</v>
      </c>
      <c r="M38" s="1125">
        <v>568.80000000000007</v>
      </c>
      <c r="N38" s="1128">
        <v>24.259999656677245</v>
      </c>
      <c r="O38" s="1128">
        <v>23.9</v>
      </c>
      <c r="P38" s="1128">
        <v>42.079999828338622</v>
      </c>
      <c r="Q38" s="1128">
        <v>49.280000686645508</v>
      </c>
      <c r="R38" s="1128">
        <v>52.7</v>
      </c>
      <c r="S38" s="1128">
        <v>68.539998626708979</v>
      </c>
      <c r="T38" s="1128">
        <v>68</v>
      </c>
      <c r="U38" s="1128">
        <v>70.519999313354489</v>
      </c>
      <c r="V38" s="1128">
        <v>60.980000686645511</v>
      </c>
      <c r="W38" s="1128">
        <v>50.359999656677246</v>
      </c>
      <c r="X38" s="1128">
        <v>45.679999828338623</v>
      </c>
      <c r="Y38" s="1128">
        <v>33.080000042915344</v>
      </c>
      <c r="Z38" s="1128">
        <v>49.245479310375373</v>
      </c>
      <c r="AA38" s="1128">
        <f t="shared" si="0"/>
        <v>46.05142927615087</v>
      </c>
      <c r="AB38" s="1128">
        <f t="shared" si="1"/>
        <v>44.698852346167868</v>
      </c>
      <c r="AC38" s="1128">
        <f t="shared" si="2"/>
        <v>46.095416262846769</v>
      </c>
      <c r="AD38" s="1128">
        <f t="shared" si="3"/>
        <v>49.877085119603798</v>
      </c>
      <c r="AE38" s="1128">
        <f t="shared" si="4"/>
        <v>55.058108651644119</v>
      </c>
      <c r="AF38" s="1128">
        <f t="shared" si="5"/>
        <v>60.287973233351991</v>
      </c>
      <c r="AG38" s="1128">
        <f t="shared" si="6"/>
        <v>64.203434066852481</v>
      </c>
      <c r="AH38" s="1128">
        <f t="shared" si="7"/>
        <v>65.783865946815794</v>
      </c>
      <c r="AI38" s="1128">
        <f t="shared" si="8"/>
        <v>64.617304948536983</v>
      </c>
      <c r="AJ38" s="1128">
        <f t="shared" si="9"/>
        <v>61.007833173466594</v>
      </c>
      <c r="AK38" s="1128">
        <f t="shared" si="10"/>
        <v>55.896315063420474</v>
      </c>
      <c r="AL38" s="1128">
        <f t="shared" si="11"/>
        <v>50.6151465846606</v>
      </c>
      <c r="AM38" s="1125">
        <f t="shared" si="12"/>
        <v>1</v>
      </c>
      <c r="AN38" s="1125">
        <f t="shared" si="13"/>
        <v>1</v>
      </c>
      <c r="AO38" s="1125">
        <f t="shared" si="14"/>
        <v>1</v>
      </c>
      <c r="AP38" s="1125">
        <f t="shared" si="15"/>
        <v>1</v>
      </c>
      <c r="AQ38" s="1125">
        <f t="shared" si="16"/>
        <v>1</v>
      </c>
      <c r="AR38" s="1125">
        <f t="shared" si="17"/>
        <v>0</v>
      </c>
      <c r="AS38" s="1125">
        <f t="shared" si="18"/>
        <v>0</v>
      </c>
      <c r="AT38" s="1125">
        <f t="shared" si="19"/>
        <v>0</v>
      </c>
      <c r="AU38" s="1125">
        <f t="shared" si="20"/>
        <v>1</v>
      </c>
      <c r="AV38" s="1125">
        <f t="shared" si="21"/>
        <v>1</v>
      </c>
      <c r="AW38" s="1125">
        <f t="shared" si="22"/>
        <v>1</v>
      </c>
      <c r="AX38" s="1125">
        <f t="shared" si="23"/>
        <v>1</v>
      </c>
      <c r="AY38" s="1125">
        <f t="shared" si="24"/>
        <v>0</v>
      </c>
      <c r="AZ38" s="1125">
        <f t="shared" si="25"/>
        <v>0</v>
      </c>
      <c r="BA38" s="1125">
        <f t="shared" si="26"/>
        <v>0</v>
      </c>
      <c r="BB38" s="1125">
        <f t="shared" si="27"/>
        <v>0</v>
      </c>
      <c r="BC38" s="1125">
        <f t="shared" si="28"/>
        <v>0</v>
      </c>
      <c r="BD38" s="1125">
        <f t="shared" si="29"/>
        <v>1</v>
      </c>
      <c r="BE38" s="1125">
        <f t="shared" si="30"/>
        <v>1</v>
      </c>
      <c r="BF38" s="1125">
        <f t="shared" si="31"/>
        <v>1</v>
      </c>
      <c r="BG38" s="1125">
        <f t="shared" si="32"/>
        <v>0</v>
      </c>
      <c r="BH38" s="1125">
        <f t="shared" si="33"/>
        <v>0</v>
      </c>
      <c r="BI38" s="1125">
        <f t="shared" si="34"/>
        <v>0</v>
      </c>
      <c r="BJ38" s="1125">
        <f t="shared" si="35"/>
        <v>0</v>
      </c>
      <c r="BK38" s="1125">
        <f t="shared" si="36"/>
        <v>1</v>
      </c>
      <c r="BL38" s="1125">
        <f t="shared" si="37"/>
        <v>1</v>
      </c>
      <c r="BM38" s="1125">
        <f t="shared" si="38"/>
        <v>1</v>
      </c>
      <c r="BN38" s="1125">
        <f t="shared" si="39"/>
        <v>1</v>
      </c>
      <c r="BO38" s="1125">
        <f t="shared" si="40"/>
        <v>1</v>
      </c>
      <c r="BP38" s="1125">
        <f t="shared" si="41"/>
        <v>1</v>
      </c>
      <c r="BQ38" s="1125">
        <f t="shared" si="42"/>
        <v>0</v>
      </c>
      <c r="BR38" s="1125">
        <f t="shared" si="43"/>
        <v>0</v>
      </c>
      <c r="BS38" s="1125">
        <f t="shared" si="44"/>
        <v>1</v>
      </c>
      <c r="BT38" s="1125">
        <f t="shared" si="45"/>
        <v>1</v>
      </c>
      <c r="BU38" s="1125">
        <f t="shared" si="46"/>
        <v>1</v>
      </c>
      <c r="BV38" s="1125">
        <f t="shared" si="47"/>
        <v>1</v>
      </c>
      <c r="BW38" s="1125">
        <f t="shared" si="48"/>
        <v>0</v>
      </c>
      <c r="BX38" s="1125">
        <f t="shared" si="49"/>
        <v>0</v>
      </c>
      <c r="BY38" s="1125">
        <f t="shared" si="50"/>
        <v>0</v>
      </c>
      <c r="BZ38" s="1125">
        <f t="shared" si="51"/>
        <v>0</v>
      </c>
      <c r="CA38" s="1125">
        <f t="shared" si="52"/>
        <v>1</v>
      </c>
      <c r="CB38" s="1125">
        <f t="shared" si="53"/>
        <v>1</v>
      </c>
      <c r="CC38" s="1125">
        <f t="shared" si="54"/>
        <v>1</v>
      </c>
      <c r="CD38" s="1125">
        <f t="shared" si="55"/>
        <v>1</v>
      </c>
      <c r="CE38" s="1125">
        <f t="shared" si="56"/>
        <v>1</v>
      </c>
      <c r="CF38" s="1125">
        <f t="shared" si="57"/>
        <v>0</v>
      </c>
      <c r="CG38" s="1125">
        <f t="shared" si="58"/>
        <v>0</v>
      </c>
      <c r="CH38" s="1125">
        <f t="shared" si="59"/>
        <v>0</v>
      </c>
      <c r="CI38" s="1125">
        <f t="shared" si="60"/>
        <v>0.85</v>
      </c>
      <c r="CJ38" s="1125">
        <f t="shared" si="61"/>
        <v>0.85</v>
      </c>
      <c r="CK38" s="1125">
        <f t="shared" si="62"/>
        <v>0.85</v>
      </c>
      <c r="CL38" s="1125">
        <f t="shared" si="63"/>
        <v>0.85</v>
      </c>
      <c r="CM38" s="1125">
        <f t="shared" si="64"/>
        <v>0.85</v>
      </c>
      <c r="CN38" s="1125">
        <f t="shared" si="65"/>
        <v>0.85</v>
      </c>
      <c r="CO38" s="1125">
        <f t="shared" si="66"/>
        <v>0.7</v>
      </c>
      <c r="CP38" s="1125">
        <f t="shared" si="67"/>
        <v>0.7</v>
      </c>
      <c r="CQ38" s="1125">
        <f t="shared" si="68"/>
        <v>0.85</v>
      </c>
      <c r="CR38" s="1125">
        <f t="shared" si="69"/>
        <v>0.85</v>
      </c>
      <c r="CS38" s="1125">
        <f t="shared" si="70"/>
        <v>0.85</v>
      </c>
      <c r="CT38" s="1125">
        <f t="shared" si="71"/>
        <v>0.85</v>
      </c>
      <c r="CU38" s="1125">
        <v>1</v>
      </c>
      <c r="CV38" s="1125"/>
      <c r="CW38" s="1125">
        <f t="shared" si="72"/>
        <v>153</v>
      </c>
      <c r="CX38" s="1125">
        <f t="shared" si="73"/>
        <v>212</v>
      </c>
      <c r="CY38" s="1136" t="s">
        <v>4889</v>
      </c>
      <c r="CZ38" s="1129" t="s">
        <v>4897</v>
      </c>
      <c r="DA38" s="1129"/>
      <c r="DB38" s="1129"/>
      <c r="DC38" s="1125" t="s">
        <v>5296</v>
      </c>
      <c r="DD38" s="1125" t="s">
        <v>540</v>
      </c>
      <c r="DE38" s="1120" t="str">
        <f t="shared" si="74"/>
        <v/>
      </c>
      <c r="DF38" s="1133">
        <v>0</v>
      </c>
      <c r="DG38" s="1125">
        <v>0</v>
      </c>
    </row>
    <row r="39" spans="1:111">
      <c r="A39" s="1120" t="s">
        <v>2952</v>
      </c>
      <c r="B39" s="1125" t="s">
        <v>2926</v>
      </c>
      <c r="C39" s="1125" t="s">
        <v>2927</v>
      </c>
      <c r="D39" s="1125" t="s">
        <v>953</v>
      </c>
      <c r="E39" s="1125">
        <v>108</v>
      </c>
      <c r="F39" s="1125">
        <v>-131.57</v>
      </c>
      <c r="G39" s="1125">
        <v>55.05</v>
      </c>
      <c r="H39" s="1125">
        <v>-9</v>
      </c>
      <c r="I39" s="1126">
        <v>20.3</v>
      </c>
      <c r="J39" s="1126">
        <v>68.900000000000006</v>
      </c>
      <c r="K39" s="1127">
        <v>59</v>
      </c>
      <c r="L39" s="1125">
        <v>6627.6</v>
      </c>
      <c r="M39" s="1125">
        <v>14.4</v>
      </c>
      <c r="N39" s="1128">
        <v>35.779999828338624</v>
      </c>
      <c r="O39" s="1128">
        <v>40.820000171661377</v>
      </c>
      <c r="P39" s="1128">
        <v>38.299999999999997</v>
      </c>
      <c r="Q39" s="1128">
        <v>43.7</v>
      </c>
      <c r="R39" s="1128">
        <v>49.459999656677248</v>
      </c>
      <c r="S39" s="1128">
        <v>52.340000343322757</v>
      </c>
      <c r="T39" s="1128">
        <v>57.740000343322755</v>
      </c>
      <c r="U39" s="1128">
        <v>57.559999656677249</v>
      </c>
      <c r="V39" s="1128">
        <v>53.780000686645508</v>
      </c>
      <c r="W39" s="1128">
        <v>46.759999656677245</v>
      </c>
      <c r="X39" s="1128">
        <v>41</v>
      </c>
      <c r="Y39" s="1128">
        <v>38.120000171661374</v>
      </c>
      <c r="Z39" s="1128">
        <v>46.309260313478234</v>
      </c>
      <c r="AA39" s="1128">
        <f t="shared" si="0"/>
        <v>48.379651259035938</v>
      </c>
      <c r="AB39" s="1128">
        <f t="shared" si="1"/>
        <v>47.668682880657052</v>
      </c>
      <c r="AC39" s="1128">
        <f t="shared" si="2"/>
        <v>48.167352523605942</v>
      </c>
      <c r="AD39" s="1128">
        <f t="shared" si="3"/>
        <v>49.745674260716164</v>
      </c>
      <c r="AE39" s="1128">
        <f t="shared" si="4"/>
        <v>51.992234208535734</v>
      </c>
      <c r="AF39" s="1128">
        <f t="shared" si="5"/>
        <v>54.321431896128722</v>
      </c>
      <c r="AG39" s="1128">
        <f t="shared" si="6"/>
        <v>56.126126052201158</v>
      </c>
      <c r="AH39" s="1128">
        <f t="shared" si="7"/>
        <v>56.935895333793972</v>
      </c>
      <c r="AI39" s="1128">
        <f t="shared" si="8"/>
        <v>56.539660898737637</v>
      </c>
      <c r="AJ39" s="1128">
        <f t="shared" si="9"/>
        <v>55.040707358687058</v>
      </c>
      <c r="AK39" s="1128">
        <f t="shared" si="10"/>
        <v>52.829760053429688</v>
      </c>
      <c r="AL39" s="1128">
        <f t="shared" si="11"/>
        <v>50.483136469810191</v>
      </c>
      <c r="AM39" s="1125">
        <f t="shared" si="12"/>
        <v>1</v>
      </c>
      <c r="AN39" s="1125">
        <f t="shared" si="13"/>
        <v>1</v>
      </c>
      <c r="AO39" s="1125">
        <f t="shared" si="14"/>
        <v>1</v>
      </c>
      <c r="AP39" s="1125">
        <f t="shared" si="15"/>
        <v>1</v>
      </c>
      <c r="AQ39" s="1125">
        <f t="shared" si="16"/>
        <v>1</v>
      </c>
      <c r="AR39" s="1125">
        <f t="shared" si="17"/>
        <v>1</v>
      </c>
      <c r="AS39" s="1125">
        <f t="shared" si="18"/>
        <v>1</v>
      </c>
      <c r="AT39" s="1125">
        <f t="shared" si="19"/>
        <v>1</v>
      </c>
      <c r="AU39" s="1125">
        <f t="shared" si="20"/>
        <v>1</v>
      </c>
      <c r="AV39" s="1125">
        <f t="shared" si="21"/>
        <v>1</v>
      </c>
      <c r="AW39" s="1125">
        <f t="shared" si="22"/>
        <v>1</v>
      </c>
      <c r="AX39" s="1125">
        <f t="shared" si="23"/>
        <v>1</v>
      </c>
      <c r="AY39" s="1125">
        <f t="shared" si="24"/>
        <v>0</v>
      </c>
      <c r="AZ39" s="1125">
        <f t="shared" si="25"/>
        <v>0</v>
      </c>
      <c r="BA39" s="1125">
        <f t="shared" si="26"/>
        <v>0</v>
      </c>
      <c r="BB39" s="1125">
        <f t="shared" si="27"/>
        <v>0</v>
      </c>
      <c r="BC39" s="1125">
        <f t="shared" si="28"/>
        <v>0</v>
      </c>
      <c r="BD39" s="1125">
        <f t="shared" si="29"/>
        <v>0</v>
      </c>
      <c r="BE39" s="1125">
        <f t="shared" si="30"/>
        <v>1</v>
      </c>
      <c r="BF39" s="1125">
        <f t="shared" si="31"/>
        <v>1</v>
      </c>
      <c r="BG39" s="1125">
        <f t="shared" si="32"/>
        <v>0</v>
      </c>
      <c r="BH39" s="1125">
        <f t="shared" si="33"/>
        <v>0</v>
      </c>
      <c r="BI39" s="1125">
        <f t="shared" si="34"/>
        <v>0</v>
      </c>
      <c r="BJ39" s="1125">
        <f t="shared" si="35"/>
        <v>0</v>
      </c>
      <c r="BK39" s="1125">
        <f t="shared" si="36"/>
        <v>1</v>
      </c>
      <c r="BL39" s="1125">
        <f t="shared" si="37"/>
        <v>1</v>
      </c>
      <c r="BM39" s="1125">
        <f t="shared" si="38"/>
        <v>1</v>
      </c>
      <c r="BN39" s="1125">
        <f t="shared" si="39"/>
        <v>1</v>
      </c>
      <c r="BO39" s="1125">
        <f t="shared" si="40"/>
        <v>1</v>
      </c>
      <c r="BP39" s="1125">
        <f t="shared" si="41"/>
        <v>1</v>
      </c>
      <c r="BQ39" s="1125">
        <f t="shared" si="42"/>
        <v>1</v>
      </c>
      <c r="BR39" s="1125">
        <f t="shared" si="43"/>
        <v>1</v>
      </c>
      <c r="BS39" s="1125">
        <f t="shared" si="44"/>
        <v>1</v>
      </c>
      <c r="BT39" s="1125">
        <f t="shared" si="45"/>
        <v>1</v>
      </c>
      <c r="BU39" s="1125">
        <f t="shared" si="46"/>
        <v>1</v>
      </c>
      <c r="BV39" s="1125">
        <f t="shared" si="47"/>
        <v>1</v>
      </c>
      <c r="BW39" s="1125">
        <f t="shared" si="48"/>
        <v>0</v>
      </c>
      <c r="BX39" s="1125">
        <f t="shared" si="49"/>
        <v>0</v>
      </c>
      <c r="BY39" s="1125">
        <f t="shared" si="50"/>
        <v>0</v>
      </c>
      <c r="BZ39" s="1125">
        <f t="shared" si="51"/>
        <v>0</v>
      </c>
      <c r="CA39" s="1125">
        <f t="shared" si="52"/>
        <v>0</v>
      </c>
      <c r="CB39" s="1125">
        <f t="shared" si="53"/>
        <v>0</v>
      </c>
      <c r="CC39" s="1125">
        <f t="shared" si="54"/>
        <v>1</v>
      </c>
      <c r="CD39" s="1125">
        <f t="shared" si="55"/>
        <v>1</v>
      </c>
      <c r="CE39" s="1125">
        <f t="shared" si="56"/>
        <v>0</v>
      </c>
      <c r="CF39" s="1125">
        <f t="shared" si="57"/>
        <v>0</v>
      </c>
      <c r="CG39" s="1125">
        <f t="shared" si="58"/>
        <v>0</v>
      </c>
      <c r="CH39" s="1125">
        <f t="shared" si="59"/>
        <v>0</v>
      </c>
      <c r="CI39" s="1125">
        <f t="shared" si="60"/>
        <v>0.85</v>
      </c>
      <c r="CJ39" s="1125">
        <f t="shared" si="61"/>
        <v>0.85</v>
      </c>
      <c r="CK39" s="1125">
        <f t="shared" si="62"/>
        <v>0.85</v>
      </c>
      <c r="CL39" s="1125">
        <f t="shared" si="63"/>
        <v>0.85</v>
      </c>
      <c r="CM39" s="1125">
        <f t="shared" si="64"/>
        <v>0.85</v>
      </c>
      <c r="CN39" s="1125">
        <f t="shared" si="65"/>
        <v>0.85</v>
      </c>
      <c r="CO39" s="1125">
        <f t="shared" si="66"/>
        <v>0.85</v>
      </c>
      <c r="CP39" s="1125">
        <f t="shared" si="67"/>
        <v>0.85</v>
      </c>
      <c r="CQ39" s="1125">
        <f t="shared" si="68"/>
        <v>0.85</v>
      </c>
      <c r="CR39" s="1125">
        <f t="shared" si="69"/>
        <v>0.85</v>
      </c>
      <c r="CS39" s="1125">
        <f t="shared" si="70"/>
        <v>0.85</v>
      </c>
      <c r="CT39" s="1125">
        <f t="shared" si="71"/>
        <v>0.85</v>
      </c>
      <c r="CU39" s="1125">
        <v>1</v>
      </c>
      <c r="CV39" s="1125"/>
      <c r="CW39" s="1125">
        <f t="shared" si="72"/>
        <v>62</v>
      </c>
      <c r="CX39" s="1125">
        <f t="shared" si="73"/>
        <v>303</v>
      </c>
      <c r="CY39" s="1136" t="s">
        <v>4879</v>
      </c>
      <c r="CZ39" s="1129">
        <v>7</v>
      </c>
      <c r="DA39" s="1129"/>
      <c r="DB39" s="1129"/>
      <c r="DC39" s="1125" t="s">
        <v>4908</v>
      </c>
      <c r="DD39" s="1125" t="s">
        <v>953</v>
      </c>
      <c r="DE39" s="1125" t="str">
        <f t="shared" si="74"/>
        <v/>
      </c>
      <c r="DF39" s="1125">
        <v>0</v>
      </c>
      <c r="DG39" s="1120">
        <v>0</v>
      </c>
    </row>
    <row r="40" spans="1:111">
      <c r="A40" s="1125" t="s">
        <v>1191</v>
      </c>
      <c r="B40" s="1120" t="s">
        <v>2998</v>
      </c>
      <c r="C40" s="1120" t="s">
        <v>2999</v>
      </c>
      <c r="D40" s="1120" t="s">
        <v>247</v>
      </c>
      <c r="E40" s="1120">
        <v>610</v>
      </c>
      <c r="F40" s="1120">
        <v>-85.85</v>
      </c>
      <c r="G40" s="1120">
        <v>33.58</v>
      </c>
      <c r="H40" s="1120">
        <v>-6</v>
      </c>
      <c r="I40" s="1121">
        <v>24.440000343322755</v>
      </c>
      <c r="J40" s="1121">
        <v>92.3</v>
      </c>
      <c r="K40" s="1122">
        <v>75.380000686645502</v>
      </c>
      <c r="L40" s="1120">
        <v>2518.2000000000003</v>
      </c>
      <c r="M40" s="1120">
        <v>16.2</v>
      </c>
      <c r="N40" s="1123">
        <v>44.6</v>
      </c>
      <c r="O40" s="1123">
        <v>50.719999313354492</v>
      </c>
      <c r="P40" s="1123">
        <v>55.040000343322752</v>
      </c>
      <c r="Q40" s="1123">
        <v>64.760001373291018</v>
      </c>
      <c r="R40" s="1123">
        <v>71.780000686645508</v>
      </c>
      <c r="S40" s="1123">
        <v>74.83999862670899</v>
      </c>
      <c r="T40" s="1123">
        <v>76.460001373291021</v>
      </c>
      <c r="U40" s="1123">
        <v>76.460001373291021</v>
      </c>
      <c r="V40" s="1123">
        <v>70.519999313354489</v>
      </c>
      <c r="W40" s="1123">
        <v>59.180000686645506</v>
      </c>
      <c r="X40" s="1123">
        <v>56.840000343322757</v>
      </c>
      <c r="Y40" s="1123">
        <v>42.8</v>
      </c>
      <c r="Z40" s="1123">
        <v>62.040767421461133</v>
      </c>
      <c r="AA40" s="1123">
        <f t="shared" si="0"/>
        <v>58.685575625382505</v>
      </c>
      <c r="AB40" s="1123">
        <f t="shared" si="1"/>
        <v>58.517456558076525</v>
      </c>
      <c r="AC40" s="1123">
        <f t="shared" si="2"/>
        <v>60.831735225974498</v>
      </c>
      <c r="AD40" s="1123">
        <f t="shared" si="3"/>
        <v>65.025159230174992</v>
      </c>
      <c r="AE40" s="1123">
        <f t="shared" si="4"/>
        <v>70.004647981363149</v>
      </c>
      <c r="AF40" s="1123">
        <f t="shared" si="5"/>
        <v>74.472221000297324</v>
      </c>
      <c r="AG40" s="1123">
        <f t="shared" si="6"/>
        <v>77.263336532208115</v>
      </c>
      <c r="AH40" s="1123">
        <f t="shared" si="7"/>
        <v>77.650447301310649</v>
      </c>
      <c r="AI40" s="1123">
        <f t="shared" si="8"/>
        <v>75.532646920080822</v>
      </c>
      <c r="AJ40" s="1123">
        <f t="shared" si="9"/>
        <v>71.461972694177959</v>
      </c>
      <c r="AK40" s="1123">
        <f t="shared" si="10"/>
        <v>66.499508591572322</v>
      </c>
      <c r="AL40" s="1123">
        <f t="shared" si="11"/>
        <v>61.938797354494717</v>
      </c>
      <c r="AM40" s="1120">
        <f t="shared" si="12"/>
        <v>1</v>
      </c>
      <c r="AN40" s="1120">
        <f t="shared" si="13"/>
        <v>1</v>
      </c>
      <c r="AO40" s="1120">
        <f t="shared" si="14"/>
        <v>1</v>
      </c>
      <c r="AP40" s="1120">
        <f t="shared" si="15"/>
        <v>1</v>
      </c>
      <c r="AQ40" s="1120">
        <f t="shared" si="16"/>
        <v>0</v>
      </c>
      <c r="AR40" s="1120">
        <f t="shared" si="17"/>
        <v>0</v>
      </c>
      <c r="AS40" s="1120">
        <f t="shared" si="18"/>
        <v>0</v>
      </c>
      <c r="AT40" s="1120">
        <f t="shared" si="19"/>
        <v>0</v>
      </c>
      <c r="AU40" s="1120">
        <f t="shared" si="20"/>
        <v>0</v>
      </c>
      <c r="AV40" s="1120">
        <f t="shared" si="21"/>
        <v>1</v>
      </c>
      <c r="AW40" s="1120">
        <f t="shared" si="22"/>
        <v>1</v>
      </c>
      <c r="AX40" s="1120">
        <f t="shared" si="23"/>
        <v>1</v>
      </c>
      <c r="AY40" s="1120">
        <f t="shared" si="24"/>
        <v>0</v>
      </c>
      <c r="AZ40" s="1120">
        <f t="shared" si="25"/>
        <v>0</v>
      </c>
      <c r="BA40" s="1120">
        <f t="shared" si="26"/>
        <v>0</v>
      </c>
      <c r="BB40" s="1120">
        <f t="shared" si="27"/>
        <v>0</v>
      </c>
      <c r="BC40" s="1120">
        <f t="shared" si="28"/>
        <v>1</v>
      </c>
      <c r="BD40" s="1120">
        <f t="shared" si="29"/>
        <v>1</v>
      </c>
      <c r="BE40" s="1120">
        <f t="shared" si="30"/>
        <v>1</v>
      </c>
      <c r="BF40" s="1120">
        <f t="shared" si="31"/>
        <v>1</v>
      </c>
      <c r="BG40" s="1120">
        <f t="shared" si="32"/>
        <v>1</v>
      </c>
      <c r="BH40" s="1120">
        <f t="shared" si="33"/>
        <v>0</v>
      </c>
      <c r="BI40" s="1120">
        <f t="shared" si="34"/>
        <v>0</v>
      </c>
      <c r="BJ40" s="1120">
        <f t="shared" si="35"/>
        <v>0</v>
      </c>
      <c r="BK40" s="1120">
        <f t="shared" si="36"/>
        <v>1</v>
      </c>
      <c r="BL40" s="1120">
        <f t="shared" si="37"/>
        <v>1</v>
      </c>
      <c r="BM40" s="1120">
        <f t="shared" si="38"/>
        <v>1</v>
      </c>
      <c r="BN40" s="1120">
        <f t="shared" si="39"/>
        <v>1</v>
      </c>
      <c r="BO40" s="1120">
        <f t="shared" si="40"/>
        <v>1</v>
      </c>
      <c r="BP40" s="1120">
        <f t="shared" si="41"/>
        <v>0</v>
      </c>
      <c r="BQ40" s="1120">
        <f t="shared" si="42"/>
        <v>0</v>
      </c>
      <c r="BR40" s="1120">
        <f t="shared" si="43"/>
        <v>0</v>
      </c>
      <c r="BS40" s="1120">
        <f t="shared" si="44"/>
        <v>0</v>
      </c>
      <c r="BT40" s="1120">
        <f t="shared" si="45"/>
        <v>1</v>
      </c>
      <c r="BU40" s="1120">
        <f t="shared" si="46"/>
        <v>1</v>
      </c>
      <c r="BV40" s="1120">
        <f t="shared" si="47"/>
        <v>1</v>
      </c>
      <c r="BW40" s="1120">
        <f t="shared" si="48"/>
        <v>0</v>
      </c>
      <c r="BX40" s="1120">
        <f t="shared" si="49"/>
        <v>0</v>
      </c>
      <c r="BY40" s="1120">
        <f t="shared" si="50"/>
        <v>0</v>
      </c>
      <c r="BZ40" s="1120">
        <f t="shared" si="51"/>
        <v>1</v>
      </c>
      <c r="CA40" s="1120">
        <f t="shared" si="52"/>
        <v>1</v>
      </c>
      <c r="CB40" s="1120">
        <f t="shared" si="53"/>
        <v>1</v>
      </c>
      <c r="CC40" s="1120">
        <f t="shared" si="54"/>
        <v>1</v>
      </c>
      <c r="CD40" s="1120">
        <f t="shared" si="55"/>
        <v>1</v>
      </c>
      <c r="CE40" s="1120">
        <f t="shared" si="56"/>
        <v>1</v>
      </c>
      <c r="CF40" s="1120">
        <f t="shared" si="57"/>
        <v>1</v>
      </c>
      <c r="CG40" s="1120">
        <f t="shared" si="58"/>
        <v>0</v>
      </c>
      <c r="CH40" s="1120">
        <f t="shared" si="59"/>
        <v>0</v>
      </c>
      <c r="CI40" s="1120">
        <f t="shared" si="60"/>
        <v>0.85</v>
      </c>
      <c r="CJ40" s="1120">
        <f t="shared" si="61"/>
        <v>0.85</v>
      </c>
      <c r="CK40" s="1120">
        <f t="shared" si="62"/>
        <v>0.85</v>
      </c>
      <c r="CL40" s="1120">
        <f t="shared" si="63"/>
        <v>0.85</v>
      </c>
      <c r="CM40" s="1120">
        <f t="shared" si="64"/>
        <v>0.85</v>
      </c>
      <c r="CN40" s="1120">
        <f t="shared" si="65"/>
        <v>0.7</v>
      </c>
      <c r="CO40" s="1120">
        <f t="shared" si="66"/>
        <v>0.7</v>
      </c>
      <c r="CP40" s="1120">
        <f t="shared" si="67"/>
        <v>0.7</v>
      </c>
      <c r="CQ40" s="1120">
        <f t="shared" si="68"/>
        <v>0.7</v>
      </c>
      <c r="CR40" s="1120">
        <f t="shared" si="69"/>
        <v>0.85</v>
      </c>
      <c r="CS40" s="1120">
        <f t="shared" si="70"/>
        <v>0.85</v>
      </c>
      <c r="CT40" s="1120">
        <f t="shared" si="71"/>
        <v>0.85</v>
      </c>
      <c r="CU40" s="1120">
        <v>1</v>
      </c>
      <c r="CV40" s="1120"/>
      <c r="CW40" s="1120">
        <f t="shared" si="72"/>
        <v>214</v>
      </c>
      <c r="CX40" s="1120">
        <f t="shared" si="73"/>
        <v>151</v>
      </c>
      <c r="CY40" s="1135" t="s">
        <v>4881</v>
      </c>
      <c r="CZ40" s="1124" t="s">
        <v>4882</v>
      </c>
      <c r="DA40" s="1124"/>
      <c r="DB40" s="1124"/>
      <c r="DC40" s="1120" t="s">
        <v>4974</v>
      </c>
      <c r="DD40" s="1120" t="s">
        <v>247</v>
      </c>
      <c r="DE40" s="1120" t="str">
        <f t="shared" si="74"/>
        <v/>
      </c>
      <c r="DF40" s="1120">
        <v>0</v>
      </c>
      <c r="DG40" s="1125">
        <v>0</v>
      </c>
    </row>
    <row r="41" spans="1:111">
      <c r="A41" s="1120" t="s">
        <v>2954</v>
      </c>
      <c r="B41" s="1125" t="s">
        <v>4610</v>
      </c>
      <c r="C41" s="1125" t="s">
        <v>4611</v>
      </c>
      <c r="D41" s="1125" t="s">
        <v>1278</v>
      </c>
      <c r="E41" s="1125">
        <v>1522</v>
      </c>
      <c r="F41" s="1125">
        <v>-87.15</v>
      </c>
      <c r="G41" s="1125">
        <v>45.15</v>
      </c>
      <c r="H41" s="1125">
        <v>-5</v>
      </c>
      <c r="I41" s="1126">
        <v>-7.9600013732910169</v>
      </c>
      <c r="J41" s="1126">
        <v>82.039998626708979</v>
      </c>
      <c r="K41" s="1127">
        <v>70.519999313354489</v>
      </c>
      <c r="L41" s="1125">
        <v>8391.6</v>
      </c>
      <c r="M41" s="1125">
        <v>493.2</v>
      </c>
      <c r="N41" s="1128">
        <v>18.5</v>
      </c>
      <c r="O41" s="1128">
        <v>18.859999656677246</v>
      </c>
      <c r="P41" s="1128">
        <v>30.559999978542329</v>
      </c>
      <c r="Q41" s="1128">
        <v>40.1</v>
      </c>
      <c r="R41" s="1128">
        <v>55.4</v>
      </c>
      <c r="S41" s="1128">
        <v>67.639998626708987</v>
      </c>
      <c r="T41" s="1128">
        <v>69.980000686645511</v>
      </c>
      <c r="U41" s="1128">
        <v>66.739998626708982</v>
      </c>
      <c r="V41" s="1128">
        <v>61.339998626708983</v>
      </c>
      <c r="W41" s="1128">
        <v>41.540000343322752</v>
      </c>
      <c r="X41" s="1128">
        <v>28.580000042915344</v>
      </c>
      <c r="Y41" s="1128">
        <v>12.559999656677245</v>
      </c>
      <c r="Z41" s="1128">
        <v>42.771396951577437</v>
      </c>
      <c r="AA41" s="1128">
        <f t="shared" si="0"/>
        <v>39.734304378937253</v>
      </c>
      <c r="AB41" s="1128">
        <f t="shared" si="1"/>
        <v>37.704012183722142</v>
      </c>
      <c r="AC41" s="1128">
        <f t="shared" si="2"/>
        <v>38.558604381810405</v>
      </c>
      <c r="AD41" s="1128">
        <f t="shared" si="3"/>
        <v>42.075318347105906</v>
      </c>
      <c r="AE41" s="1128">
        <f t="shared" si="4"/>
        <v>47.337468390351738</v>
      </c>
      <c r="AF41" s="1128">
        <f t="shared" si="5"/>
        <v>52.973394010589061</v>
      </c>
      <c r="AG41" s="1128">
        <f t="shared" si="6"/>
        <v>57.514004342660215</v>
      </c>
      <c r="AH41" s="1128">
        <f t="shared" si="7"/>
        <v>59.775719330587577</v>
      </c>
      <c r="AI41" s="1128">
        <f t="shared" si="8"/>
        <v>59.168988108684886</v>
      </c>
      <c r="AJ41" s="1128">
        <f t="shared" si="9"/>
        <v>55.851964519952233</v>
      </c>
      <c r="AK41" s="1128">
        <f t="shared" si="10"/>
        <v>50.68928187967358</v>
      </c>
      <c r="AL41" s="1128">
        <f t="shared" si="11"/>
        <v>45.026672977385289</v>
      </c>
      <c r="AM41" s="1125">
        <f t="shared" si="12"/>
        <v>1</v>
      </c>
      <c r="AN41" s="1125">
        <f t="shared" si="13"/>
        <v>1</v>
      </c>
      <c r="AO41" s="1125">
        <f t="shared" si="14"/>
        <v>1</v>
      </c>
      <c r="AP41" s="1125">
        <f t="shared" si="15"/>
        <v>1</v>
      </c>
      <c r="AQ41" s="1125">
        <f t="shared" si="16"/>
        <v>1</v>
      </c>
      <c r="AR41" s="1125">
        <f t="shared" si="17"/>
        <v>0</v>
      </c>
      <c r="AS41" s="1125">
        <f t="shared" si="18"/>
        <v>0</v>
      </c>
      <c r="AT41" s="1125">
        <f t="shared" si="19"/>
        <v>0</v>
      </c>
      <c r="AU41" s="1125">
        <f t="shared" si="20"/>
        <v>1</v>
      </c>
      <c r="AV41" s="1125">
        <f t="shared" si="21"/>
        <v>1</v>
      </c>
      <c r="AW41" s="1125">
        <f t="shared" si="22"/>
        <v>1</v>
      </c>
      <c r="AX41" s="1125">
        <f t="shared" si="23"/>
        <v>1</v>
      </c>
      <c r="AY41" s="1125">
        <f t="shared" si="24"/>
        <v>0</v>
      </c>
      <c r="AZ41" s="1125">
        <f t="shared" si="25"/>
        <v>0</v>
      </c>
      <c r="BA41" s="1125">
        <f t="shared" si="26"/>
        <v>0</v>
      </c>
      <c r="BB41" s="1125">
        <f t="shared" si="27"/>
        <v>0</v>
      </c>
      <c r="BC41" s="1125">
        <f t="shared" si="28"/>
        <v>0</v>
      </c>
      <c r="BD41" s="1125">
        <f t="shared" si="29"/>
        <v>1</v>
      </c>
      <c r="BE41" s="1125">
        <f t="shared" si="30"/>
        <v>1</v>
      </c>
      <c r="BF41" s="1125">
        <f t="shared" si="31"/>
        <v>1</v>
      </c>
      <c r="BG41" s="1125">
        <f t="shared" si="32"/>
        <v>0</v>
      </c>
      <c r="BH41" s="1125">
        <f t="shared" si="33"/>
        <v>0</v>
      </c>
      <c r="BI41" s="1125">
        <f t="shared" si="34"/>
        <v>0</v>
      </c>
      <c r="BJ41" s="1125">
        <f t="shared" si="35"/>
        <v>0</v>
      </c>
      <c r="BK41" s="1125">
        <f t="shared" si="36"/>
        <v>1</v>
      </c>
      <c r="BL41" s="1125">
        <f t="shared" si="37"/>
        <v>1</v>
      </c>
      <c r="BM41" s="1125">
        <f t="shared" si="38"/>
        <v>1</v>
      </c>
      <c r="BN41" s="1125">
        <f t="shared" si="39"/>
        <v>1</v>
      </c>
      <c r="BO41" s="1125">
        <f t="shared" si="40"/>
        <v>1</v>
      </c>
      <c r="BP41" s="1125">
        <f t="shared" si="41"/>
        <v>1</v>
      </c>
      <c r="BQ41" s="1125">
        <f t="shared" si="42"/>
        <v>0</v>
      </c>
      <c r="BR41" s="1125">
        <f t="shared" si="43"/>
        <v>0</v>
      </c>
      <c r="BS41" s="1125">
        <f t="shared" si="44"/>
        <v>1</v>
      </c>
      <c r="BT41" s="1125">
        <f t="shared" si="45"/>
        <v>1</v>
      </c>
      <c r="BU41" s="1125">
        <f t="shared" si="46"/>
        <v>1</v>
      </c>
      <c r="BV41" s="1125">
        <f t="shared" si="47"/>
        <v>1</v>
      </c>
      <c r="BW41" s="1125">
        <f t="shared" si="48"/>
        <v>0</v>
      </c>
      <c r="BX41" s="1125">
        <f t="shared" si="49"/>
        <v>0</v>
      </c>
      <c r="BY41" s="1125">
        <f t="shared" si="50"/>
        <v>0</v>
      </c>
      <c r="BZ41" s="1125">
        <f t="shared" si="51"/>
        <v>0</v>
      </c>
      <c r="CA41" s="1125">
        <f t="shared" si="52"/>
        <v>1</v>
      </c>
      <c r="CB41" s="1125">
        <f t="shared" si="53"/>
        <v>1</v>
      </c>
      <c r="CC41" s="1125">
        <f t="shared" si="54"/>
        <v>1</v>
      </c>
      <c r="CD41" s="1125">
        <f t="shared" si="55"/>
        <v>1</v>
      </c>
      <c r="CE41" s="1125">
        <f t="shared" si="56"/>
        <v>1</v>
      </c>
      <c r="CF41" s="1125">
        <f t="shared" si="57"/>
        <v>0</v>
      </c>
      <c r="CG41" s="1125">
        <f t="shared" si="58"/>
        <v>0</v>
      </c>
      <c r="CH41" s="1125">
        <f t="shared" si="59"/>
        <v>0</v>
      </c>
      <c r="CI41" s="1125">
        <f t="shared" si="60"/>
        <v>0.85</v>
      </c>
      <c r="CJ41" s="1125">
        <f t="shared" si="61"/>
        <v>0.85</v>
      </c>
      <c r="CK41" s="1125">
        <f t="shared" si="62"/>
        <v>0.85</v>
      </c>
      <c r="CL41" s="1125">
        <f t="shared" si="63"/>
        <v>0.85</v>
      </c>
      <c r="CM41" s="1125">
        <f t="shared" si="64"/>
        <v>0.85</v>
      </c>
      <c r="CN41" s="1125">
        <f t="shared" si="65"/>
        <v>0.85</v>
      </c>
      <c r="CO41" s="1125">
        <f t="shared" si="66"/>
        <v>0.7</v>
      </c>
      <c r="CP41" s="1125">
        <f t="shared" si="67"/>
        <v>0.7</v>
      </c>
      <c r="CQ41" s="1125">
        <f t="shared" si="68"/>
        <v>0.85</v>
      </c>
      <c r="CR41" s="1125">
        <f t="shared" si="69"/>
        <v>0.85</v>
      </c>
      <c r="CS41" s="1125">
        <f t="shared" si="70"/>
        <v>0.85</v>
      </c>
      <c r="CT41" s="1125">
        <f t="shared" si="71"/>
        <v>0.85</v>
      </c>
      <c r="CU41" s="1125">
        <v>1</v>
      </c>
      <c r="CV41" s="1125"/>
      <c r="CW41" s="1125">
        <f t="shared" si="72"/>
        <v>153</v>
      </c>
      <c r="CX41" s="1125">
        <f t="shared" si="73"/>
        <v>212</v>
      </c>
      <c r="CY41" s="1135" t="s">
        <v>4889</v>
      </c>
      <c r="CZ41" s="1124" t="s">
        <v>4899</v>
      </c>
      <c r="DA41" s="1124"/>
      <c r="DB41" s="1124"/>
      <c r="DC41" s="1120" t="s">
        <v>5790</v>
      </c>
      <c r="DD41" s="1120" t="s">
        <v>1278</v>
      </c>
      <c r="DE41" s="1120" t="b">
        <f t="shared" si="74"/>
        <v>0</v>
      </c>
      <c r="DF41" s="1133">
        <v>0</v>
      </c>
      <c r="DG41" s="1120">
        <v>0</v>
      </c>
    </row>
    <row r="42" spans="1:111">
      <c r="A42" s="1125" t="s">
        <v>2956</v>
      </c>
      <c r="B42" s="1120" t="s">
        <v>1338</v>
      </c>
      <c r="C42" s="1120" t="s">
        <v>1339</v>
      </c>
      <c r="D42" s="1120" t="s">
        <v>953</v>
      </c>
      <c r="E42" s="1120">
        <v>325</v>
      </c>
      <c r="F42" s="1120">
        <v>-160.18</v>
      </c>
      <c r="G42" s="1120">
        <v>62.65</v>
      </c>
      <c r="H42" s="1120">
        <v>-9</v>
      </c>
      <c r="I42" s="1121">
        <v>-22.18000068664551</v>
      </c>
      <c r="J42" s="1121">
        <v>70.519999313354489</v>
      </c>
      <c r="K42" s="1122">
        <v>55.759999656677245</v>
      </c>
      <c r="L42" s="1120">
        <v>11368.800000000001</v>
      </c>
      <c r="M42" s="1120">
        <v>28.8</v>
      </c>
      <c r="N42" s="1123">
        <v>12.559999656677245</v>
      </c>
      <c r="O42" s="1123">
        <v>17.959999656677248</v>
      </c>
      <c r="P42" s="1123">
        <v>25.160000085830688</v>
      </c>
      <c r="Q42" s="1123">
        <v>31.81999999731779</v>
      </c>
      <c r="R42" s="1123">
        <v>42.440000343322751</v>
      </c>
      <c r="S42" s="1123">
        <v>51.080000686645505</v>
      </c>
      <c r="T42" s="1123">
        <v>54.5</v>
      </c>
      <c r="U42" s="1123">
        <v>53.780000686645508</v>
      </c>
      <c r="V42" s="1123">
        <v>42.079999828338622</v>
      </c>
      <c r="W42" s="1123">
        <v>33.799999999999997</v>
      </c>
      <c r="X42" s="1123">
        <v>20.479999828338624</v>
      </c>
      <c r="Y42" s="1123">
        <v>13.1</v>
      </c>
      <c r="Z42" s="1123">
        <v>33.321150752199841</v>
      </c>
      <c r="AA42" s="1123">
        <f t="shared" si="0"/>
        <v>34.976388571169835</v>
      </c>
      <c r="AB42" s="1123">
        <f t="shared" si="1"/>
        <v>33.394964413999467</v>
      </c>
      <c r="AC42" s="1123">
        <f t="shared" si="2"/>
        <v>33.358292051176889</v>
      </c>
      <c r="AD42" s="1123">
        <f t="shared" si="3"/>
        <v>34.875930699210031</v>
      </c>
      <c r="AE42" s="1123">
        <f t="shared" si="4"/>
        <v>37.552284456969552</v>
      </c>
      <c r="AF42" s="1123">
        <f t="shared" si="5"/>
        <v>40.689720473635575</v>
      </c>
      <c r="AG42" s="1123">
        <f t="shared" si="6"/>
        <v>43.470417702111575</v>
      </c>
      <c r="AH42" s="1123">
        <f t="shared" si="7"/>
        <v>45.16954455795387</v>
      </c>
      <c r="AI42" s="1123">
        <f t="shared" si="8"/>
        <v>45.344197441849722</v>
      </c>
      <c r="AJ42" s="1123">
        <f t="shared" si="9"/>
        <v>43.948850388129273</v>
      </c>
      <c r="AK42" s="1123">
        <f t="shared" si="10"/>
        <v>41.347222109293739</v>
      </c>
      <c r="AL42" s="1123">
        <f t="shared" si="11"/>
        <v>38.217467108526961</v>
      </c>
      <c r="AM42" s="1120">
        <f t="shared" si="12"/>
        <v>1</v>
      </c>
      <c r="AN42" s="1120">
        <f t="shared" si="13"/>
        <v>1</v>
      </c>
      <c r="AO42" s="1120">
        <f t="shared" si="14"/>
        <v>1</v>
      </c>
      <c r="AP42" s="1120">
        <f t="shared" si="15"/>
        <v>1</v>
      </c>
      <c r="AQ42" s="1120">
        <f t="shared" si="16"/>
        <v>1</v>
      </c>
      <c r="AR42" s="1120">
        <f t="shared" si="17"/>
        <v>1</v>
      </c>
      <c r="AS42" s="1120">
        <f t="shared" si="18"/>
        <v>1</v>
      </c>
      <c r="AT42" s="1120">
        <f t="shared" si="19"/>
        <v>1</v>
      </c>
      <c r="AU42" s="1120">
        <f t="shared" si="20"/>
        <v>1</v>
      </c>
      <c r="AV42" s="1120">
        <f t="shared" si="21"/>
        <v>1</v>
      </c>
      <c r="AW42" s="1120">
        <f t="shared" si="22"/>
        <v>1</v>
      </c>
      <c r="AX42" s="1120">
        <f t="shared" si="23"/>
        <v>1</v>
      </c>
      <c r="AY42" s="1120">
        <f t="shared" si="24"/>
        <v>0</v>
      </c>
      <c r="AZ42" s="1120">
        <f t="shared" si="25"/>
        <v>0</v>
      </c>
      <c r="BA42" s="1120">
        <f t="shared" si="26"/>
        <v>0</v>
      </c>
      <c r="BB42" s="1120">
        <f t="shared" si="27"/>
        <v>0</v>
      </c>
      <c r="BC42" s="1120">
        <f t="shared" si="28"/>
        <v>0</v>
      </c>
      <c r="BD42" s="1120">
        <f t="shared" si="29"/>
        <v>0</v>
      </c>
      <c r="BE42" s="1120">
        <f t="shared" si="30"/>
        <v>1</v>
      </c>
      <c r="BF42" s="1120">
        <f t="shared" si="31"/>
        <v>1</v>
      </c>
      <c r="BG42" s="1120">
        <f t="shared" si="32"/>
        <v>0</v>
      </c>
      <c r="BH42" s="1120">
        <f t="shared" si="33"/>
        <v>0</v>
      </c>
      <c r="BI42" s="1120">
        <f t="shared" si="34"/>
        <v>0</v>
      </c>
      <c r="BJ42" s="1120">
        <f t="shared" si="35"/>
        <v>0</v>
      </c>
      <c r="BK42" s="1120">
        <f t="shared" si="36"/>
        <v>1</v>
      </c>
      <c r="BL42" s="1120">
        <f t="shared" si="37"/>
        <v>1</v>
      </c>
      <c r="BM42" s="1120">
        <f t="shared" si="38"/>
        <v>1</v>
      </c>
      <c r="BN42" s="1120">
        <f t="shared" si="39"/>
        <v>1</v>
      </c>
      <c r="BO42" s="1120">
        <f t="shared" si="40"/>
        <v>1</v>
      </c>
      <c r="BP42" s="1120">
        <f t="shared" si="41"/>
        <v>1</v>
      </c>
      <c r="BQ42" s="1120">
        <f t="shared" si="42"/>
        <v>1</v>
      </c>
      <c r="BR42" s="1120">
        <f t="shared" si="43"/>
        <v>1</v>
      </c>
      <c r="BS42" s="1120">
        <f t="shared" si="44"/>
        <v>1</v>
      </c>
      <c r="BT42" s="1120">
        <f t="shared" si="45"/>
        <v>1</v>
      </c>
      <c r="BU42" s="1120">
        <f t="shared" si="46"/>
        <v>1</v>
      </c>
      <c r="BV42" s="1120">
        <f t="shared" si="47"/>
        <v>1</v>
      </c>
      <c r="BW42" s="1120">
        <f t="shared" si="48"/>
        <v>0</v>
      </c>
      <c r="BX42" s="1120">
        <f t="shared" si="49"/>
        <v>0</v>
      </c>
      <c r="BY42" s="1120">
        <f t="shared" si="50"/>
        <v>0</v>
      </c>
      <c r="BZ42" s="1120">
        <f t="shared" si="51"/>
        <v>0</v>
      </c>
      <c r="CA42" s="1120">
        <f t="shared" si="52"/>
        <v>0</v>
      </c>
      <c r="CB42" s="1120">
        <f t="shared" si="53"/>
        <v>0</v>
      </c>
      <c r="CC42" s="1120">
        <f t="shared" si="54"/>
        <v>1</v>
      </c>
      <c r="CD42" s="1120">
        <f t="shared" si="55"/>
        <v>1</v>
      </c>
      <c r="CE42" s="1120">
        <f t="shared" si="56"/>
        <v>0</v>
      </c>
      <c r="CF42" s="1120">
        <f t="shared" si="57"/>
        <v>0</v>
      </c>
      <c r="CG42" s="1120">
        <f t="shared" si="58"/>
        <v>0</v>
      </c>
      <c r="CH42" s="1120">
        <f t="shared" si="59"/>
        <v>0</v>
      </c>
      <c r="CI42" s="1120">
        <f t="shared" si="60"/>
        <v>0.85</v>
      </c>
      <c r="CJ42" s="1120">
        <f t="shared" si="61"/>
        <v>0.85</v>
      </c>
      <c r="CK42" s="1120">
        <f t="shared" si="62"/>
        <v>0.85</v>
      </c>
      <c r="CL42" s="1120">
        <f t="shared" si="63"/>
        <v>0.85</v>
      </c>
      <c r="CM42" s="1120">
        <f t="shared" si="64"/>
        <v>0.85</v>
      </c>
      <c r="CN42" s="1120">
        <f t="shared" si="65"/>
        <v>0.85</v>
      </c>
      <c r="CO42" s="1120">
        <f t="shared" si="66"/>
        <v>0.85</v>
      </c>
      <c r="CP42" s="1120">
        <f t="shared" si="67"/>
        <v>0.85</v>
      </c>
      <c r="CQ42" s="1120">
        <f t="shared" si="68"/>
        <v>0.85</v>
      </c>
      <c r="CR42" s="1120">
        <f t="shared" si="69"/>
        <v>0.85</v>
      </c>
      <c r="CS42" s="1120">
        <f t="shared" si="70"/>
        <v>0.85</v>
      </c>
      <c r="CT42" s="1120">
        <f t="shared" si="71"/>
        <v>0.85</v>
      </c>
      <c r="CU42" s="1120">
        <v>1</v>
      </c>
      <c r="CV42" s="1120"/>
      <c r="CW42" s="1120">
        <f t="shared" si="72"/>
        <v>62</v>
      </c>
      <c r="CX42" s="1120">
        <f t="shared" si="73"/>
        <v>303</v>
      </c>
      <c r="CY42" s="1135" t="s">
        <v>4880</v>
      </c>
      <c r="CZ42" s="1124">
        <v>8</v>
      </c>
      <c r="DA42" s="1124"/>
      <c r="DB42" s="1124"/>
      <c r="DC42" s="1120" t="s">
        <v>4909</v>
      </c>
      <c r="DD42" s="1120" t="s">
        <v>953</v>
      </c>
      <c r="DE42" s="1120" t="str">
        <f t="shared" si="74"/>
        <v/>
      </c>
      <c r="DF42" s="1120">
        <v>0</v>
      </c>
      <c r="DG42" s="1125">
        <v>0</v>
      </c>
    </row>
    <row r="43" spans="1:111">
      <c r="A43" s="1120" t="s">
        <v>2958</v>
      </c>
      <c r="B43" s="1120" t="s">
        <v>4606</v>
      </c>
      <c r="C43" s="1120" t="s">
        <v>4607</v>
      </c>
      <c r="D43" s="1120" t="s">
        <v>1278</v>
      </c>
      <c r="E43" s="1120">
        <v>918</v>
      </c>
      <c r="F43" s="1120">
        <v>-88.52</v>
      </c>
      <c r="G43" s="1120">
        <v>44.25</v>
      </c>
      <c r="H43" s="1120">
        <v>-6</v>
      </c>
      <c r="I43" s="1121">
        <v>-3.9998626708985165E-2</v>
      </c>
      <c r="J43" s="1121">
        <v>85.460001373291021</v>
      </c>
      <c r="K43" s="1122">
        <v>73.039998626708979</v>
      </c>
      <c r="L43" s="1120">
        <v>6829.2</v>
      </c>
      <c r="M43" s="1120">
        <v>5.4</v>
      </c>
      <c r="N43" s="1123">
        <v>22.820000171661377</v>
      </c>
      <c r="O43" s="1123">
        <v>32.180000002682206</v>
      </c>
      <c r="P43" s="1123">
        <v>32.360000005364419</v>
      </c>
      <c r="Q43" s="1123">
        <v>44.240000343322755</v>
      </c>
      <c r="R43" s="1123">
        <v>53.240000343322755</v>
      </c>
      <c r="S43" s="1123">
        <v>68.900000000000006</v>
      </c>
      <c r="T43" s="1123">
        <v>70.519999313354489</v>
      </c>
      <c r="U43" s="1123">
        <v>66.560001373291016</v>
      </c>
      <c r="V43" s="1123">
        <v>58.640000343322754</v>
      </c>
      <c r="W43" s="1123">
        <v>49.459999656677248</v>
      </c>
      <c r="X43" s="1123">
        <v>36.320000171661377</v>
      </c>
      <c r="Y43" s="1123">
        <v>31.279999989271165</v>
      </c>
      <c r="Z43" s="1123">
        <v>47.280767266480893</v>
      </c>
      <c r="AA43" s="1123">
        <f t="shared" si="0"/>
        <v>44.458323975011908</v>
      </c>
      <c r="AB43" s="1123">
        <f t="shared" si="1"/>
        <v>42.962821973705019</v>
      </c>
      <c r="AC43" s="1123">
        <f t="shared" si="2"/>
        <v>44.156851417310151</v>
      </c>
      <c r="AD43" s="1123">
        <f t="shared" si="3"/>
        <v>47.729170130800917</v>
      </c>
      <c r="AE43" s="1123">
        <f t="shared" si="4"/>
        <v>52.748598190408181</v>
      </c>
      <c r="AF43" s="1123">
        <f t="shared" si="5"/>
        <v>57.906744320667507</v>
      </c>
      <c r="AG43" s="1123">
        <f t="shared" si="6"/>
        <v>61.8590582432888</v>
      </c>
      <c r="AH43" s="1123">
        <f t="shared" si="7"/>
        <v>63.575308427339635</v>
      </c>
      <c r="AI43" s="1123">
        <f t="shared" si="8"/>
        <v>62.608127814131251</v>
      </c>
      <c r="AJ43" s="1123">
        <f t="shared" si="9"/>
        <v>59.209626935200816</v>
      </c>
      <c r="AK43" s="1123">
        <f t="shared" si="10"/>
        <v>54.265677417125396</v>
      </c>
      <c r="AL43" s="1123">
        <f t="shared" si="11"/>
        <v>49.06499589035964</v>
      </c>
      <c r="AM43" s="1120">
        <f t="shared" si="12"/>
        <v>1</v>
      </c>
      <c r="AN43" s="1120">
        <f t="shared" si="13"/>
        <v>1</v>
      </c>
      <c r="AO43" s="1120">
        <f t="shared" si="14"/>
        <v>1</v>
      </c>
      <c r="AP43" s="1120">
        <f t="shared" si="15"/>
        <v>1</v>
      </c>
      <c r="AQ43" s="1120">
        <f t="shared" si="16"/>
        <v>1</v>
      </c>
      <c r="AR43" s="1120">
        <f t="shared" si="17"/>
        <v>0</v>
      </c>
      <c r="AS43" s="1120">
        <f t="shared" si="18"/>
        <v>0</v>
      </c>
      <c r="AT43" s="1120">
        <f t="shared" si="19"/>
        <v>0</v>
      </c>
      <c r="AU43" s="1120">
        <f t="shared" si="20"/>
        <v>1</v>
      </c>
      <c r="AV43" s="1120">
        <f t="shared" si="21"/>
        <v>1</v>
      </c>
      <c r="AW43" s="1120">
        <f t="shared" si="22"/>
        <v>1</v>
      </c>
      <c r="AX43" s="1120">
        <f t="shared" si="23"/>
        <v>1</v>
      </c>
      <c r="AY43" s="1120">
        <f t="shared" si="24"/>
        <v>0</v>
      </c>
      <c r="AZ43" s="1120">
        <f t="shared" si="25"/>
        <v>0</v>
      </c>
      <c r="BA43" s="1120">
        <f t="shared" si="26"/>
        <v>0</v>
      </c>
      <c r="BB43" s="1120">
        <f t="shared" si="27"/>
        <v>0</v>
      </c>
      <c r="BC43" s="1120">
        <f t="shared" si="28"/>
        <v>0</v>
      </c>
      <c r="BD43" s="1120">
        <f t="shared" si="29"/>
        <v>1</v>
      </c>
      <c r="BE43" s="1120">
        <f t="shared" si="30"/>
        <v>1</v>
      </c>
      <c r="BF43" s="1120">
        <f t="shared" si="31"/>
        <v>1</v>
      </c>
      <c r="BG43" s="1120">
        <f t="shared" si="32"/>
        <v>0</v>
      </c>
      <c r="BH43" s="1120">
        <f t="shared" si="33"/>
        <v>0</v>
      </c>
      <c r="BI43" s="1120">
        <f t="shared" si="34"/>
        <v>0</v>
      </c>
      <c r="BJ43" s="1120">
        <f t="shared" si="35"/>
        <v>0</v>
      </c>
      <c r="BK43" s="1120">
        <f t="shared" si="36"/>
        <v>1</v>
      </c>
      <c r="BL43" s="1120">
        <f t="shared" si="37"/>
        <v>1</v>
      </c>
      <c r="BM43" s="1120">
        <f t="shared" si="38"/>
        <v>1</v>
      </c>
      <c r="BN43" s="1120">
        <f t="shared" si="39"/>
        <v>1</v>
      </c>
      <c r="BO43" s="1120">
        <f t="shared" si="40"/>
        <v>1</v>
      </c>
      <c r="BP43" s="1120">
        <f t="shared" si="41"/>
        <v>1</v>
      </c>
      <c r="BQ43" s="1120">
        <f t="shared" si="42"/>
        <v>0</v>
      </c>
      <c r="BR43" s="1120">
        <f t="shared" si="43"/>
        <v>0</v>
      </c>
      <c r="BS43" s="1120">
        <f t="shared" si="44"/>
        <v>1</v>
      </c>
      <c r="BT43" s="1120">
        <f t="shared" si="45"/>
        <v>1</v>
      </c>
      <c r="BU43" s="1120">
        <f t="shared" si="46"/>
        <v>1</v>
      </c>
      <c r="BV43" s="1120">
        <f t="shared" si="47"/>
        <v>1</v>
      </c>
      <c r="BW43" s="1120">
        <f t="shared" si="48"/>
        <v>0</v>
      </c>
      <c r="BX43" s="1120">
        <f t="shared" si="49"/>
        <v>0</v>
      </c>
      <c r="BY43" s="1120">
        <f t="shared" si="50"/>
        <v>0</v>
      </c>
      <c r="BZ43" s="1120">
        <f t="shared" si="51"/>
        <v>0</v>
      </c>
      <c r="CA43" s="1120">
        <f t="shared" si="52"/>
        <v>1</v>
      </c>
      <c r="CB43" s="1120">
        <f t="shared" si="53"/>
        <v>1</v>
      </c>
      <c r="CC43" s="1120">
        <f t="shared" si="54"/>
        <v>1</v>
      </c>
      <c r="CD43" s="1120">
        <f t="shared" si="55"/>
        <v>1</v>
      </c>
      <c r="CE43" s="1120">
        <f t="shared" si="56"/>
        <v>1</v>
      </c>
      <c r="CF43" s="1120">
        <f t="shared" si="57"/>
        <v>0</v>
      </c>
      <c r="CG43" s="1120">
        <f t="shared" si="58"/>
        <v>0</v>
      </c>
      <c r="CH43" s="1120">
        <f t="shared" si="59"/>
        <v>0</v>
      </c>
      <c r="CI43" s="1120">
        <f t="shared" si="60"/>
        <v>0.85</v>
      </c>
      <c r="CJ43" s="1120">
        <f t="shared" si="61"/>
        <v>0.85</v>
      </c>
      <c r="CK43" s="1120">
        <f t="shared" si="62"/>
        <v>0.85</v>
      </c>
      <c r="CL43" s="1120">
        <f t="shared" si="63"/>
        <v>0.85</v>
      </c>
      <c r="CM43" s="1120">
        <f t="shared" si="64"/>
        <v>0.85</v>
      </c>
      <c r="CN43" s="1120">
        <f t="shared" si="65"/>
        <v>0.85</v>
      </c>
      <c r="CO43" s="1120">
        <f t="shared" si="66"/>
        <v>0.7</v>
      </c>
      <c r="CP43" s="1120">
        <f t="shared" si="67"/>
        <v>0.7</v>
      </c>
      <c r="CQ43" s="1120">
        <f t="shared" si="68"/>
        <v>0.85</v>
      </c>
      <c r="CR43" s="1120">
        <f t="shared" si="69"/>
        <v>0.85</v>
      </c>
      <c r="CS43" s="1120">
        <f t="shared" si="70"/>
        <v>0.85</v>
      </c>
      <c r="CT43" s="1120">
        <f t="shared" si="71"/>
        <v>0.85</v>
      </c>
      <c r="CU43" s="1120">
        <v>1</v>
      </c>
      <c r="CV43" s="1120"/>
      <c r="CW43" s="1120">
        <f t="shared" si="72"/>
        <v>153</v>
      </c>
      <c r="CX43" s="1120">
        <f t="shared" si="73"/>
        <v>212</v>
      </c>
      <c r="CY43" s="1136" t="s">
        <v>4889</v>
      </c>
      <c r="CZ43" s="1129" t="s">
        <v>4899</v>
      </c>
      <c r="DA43" s="1129"/>
      <c r="DB43" s="1129"/>
      <c r="DC43" s="1125" t="s">
        <v>6019</v>
      </c>
      <c r="DD43" s="1125" t="s">
        <v>1278</v>
      </c>
      <c r="DE43" s="1120" t="str">
        <f t="shared" si="74"/>
        <v/>
      </c>
      <c r="DF43" s="1133">
        <v>0</v>
      </c>
      <c r="DG43" s="1120">
        <v>0</v>
      </c>
    </row>
    <row r="44" spans="1:111">
      <c r="A44" s="1125" t="s">
        <v>2960</v>
      </c>
      <c r="B44" s="1125" t="s">
        <v>3082</v>
      </c>
      <c r="C44" s="1125" t="s">
        <v>3083</v>
      </c>
      <c r="D44" s="1125" t="s">
        <v>954</v>
      </c>
      <c r="E44" s="1125">
        <v>203</v>
      </c>
      <c r="F44" s="1125">
        <v>-124.1</v>
      </c>
      <c r="G44" s="1125">
        <v>40.98</v>
      </c>
      <c r="H44" s="1125">
        <v>-8</v>
      </c>
      <c r="I44" s="1126">
        <v>33.080000042915344</v>
      </c>
      <c r="J44" s="1126">
        <v>67.819999313354487</v>
      </c>
      <c r="K44" s="1127">
        <v>59.180000686645506</v>
      </c>
      <c r="L44" s="1125">
        <v>4770</v>
      </c>
      <c r="M44" s="1125">
        <v>1.8</v>
      </c>
      <c r="N44" s="1128">
        <v>46.940000343322751</v>
      </c>
      <c r="O44" s="1128">
        <v>46.220000171661376</v>
      </c>
      <c r="P44" s="1128">
        <v>48.019999313354489</v>
      </c>
      <c r="Q44" s="1128">
        <v>49.640000343322754</v>
      </c>
      <c r="R44" s="1128">
        <v>50.719999313354492</v>
      </c>
      <c r="S44" s="1128">
        <v>54.140000343322754</v>
      </c>
      <c r="T44" s="1128">
        <v>56.480000686645511</v>
      </c>
      <c r="U44" s="1128">
        <v>56.119999313354491</v>
      </c>
      <c r="V44" s="1128">
        <v>56.480000686645511</v>
      </c>
      <c r="W44" s="1128">
        <v>52.340000343322757</v>
      </c>
      <c r="X44" s="1128">
        <v>50.719999313354492</v>
      </c>
      <c r="Y44" s="1128">
        <v>47.840000343322757</v>
      </c>
      <c r="Z44" s="1128">
        <v>51.331013739076383</v>
      </c>
      <c r="AA44" s="1128">
        <f t="shared" si="0"/>
        <v>55.173021881718</v>
      </c>
      <c r="AB44" s="1128">
        <f t="shared" si="1"/>
        <v>54.904885931462843</v>
      </c>
      <c r="AC44" s="1128">
        <f t="shared" si="2"/>
        <v>55.269157582023389</v>
      </c>
      <c r="AD44" s="1128">
        <f t="shared" si="3"/>
        <v>56.170883814084974</v>
      </c>
      <c r="AE44" s="1128">
        <f t="shared" si="4"/>
        <v>57.37501578923888</v>
      </c>
      <c r="AF44" s="1128">
        <f t="shared" si="5"/>
        <v>58.567677951925816</v>
      </c>
      <c r="AG44" s="1128">
        <f t="shared" si="6"/>
        <v>59.437984529961156</v>
      </c>
      <c r="AH44" s="1128">
        <f t="shared" si="7"/>
        <v>59.759076701949652</v>
      </c>
      <c r="AI44" s="1128">
        <f t="shared" si="8"/>
        <v>59.44725684508235</v>
      </c>
      <c r="AJ44" s="1128">
        <f t="shared" si="9"/>
        <v>58.583805610341166</v>
      </c>
      <c r="AK44" s="1128">
        <f t="shared" si="10"/>
        <v>57.393794868247689</v>
      </c>
      <c r="AL44" s="1128">
        <f t="shared" si="11"/>
        <v>56.187419257349227</v>
      </c>
      <c r="AM44" s="1125">
        <f t="shared" si="12"/>
        <v>1</v>
      </c>
      <c r="AN44" s="1125">
        <f t="shared" si="13"/>
        <v>1</v>
      </c>
      <c r="AO44" s="1125">
        <f t="shared" si="14"/>
        <v>1</v>
      </c>
      <c r="AP44" s="1125">
        <f t="shared" si="15"/>
        <v>1</v>
      </c>
      <c r="AQ44" s="1125">
        <f t="shared" si="16"/>
        <v>1</v>
      </c>
      <c r="AR44" s="1125">
        <f t="shared" si="17"/>
        <v>1</v>
      </c>
      <c r="AS44" s="1125">
        <f t="shared" si="18"/>
        <v>1</v>
      </c>
      <c r="AT44" s="1125">
        <f t="shared" si="19"/>
        <v>1</v>
      </c>
      <c r="AU44" s="1125">
        <f t="shared" si="20"/>
        <v>1</v>
      </c>
      <c r="AV44" s="1125">
        <f t="shared" si="21"/>
        <v>1</v>
      </c>
      <c r="AW44" s="1125">
        <f t="shared" si="22"/>
        <v>1</v>
      </c>
      <c r="AX44" s="1125">
        <f t="shared" si="23"/>
        <v>1</v>
      </c>
      <c r="AY44" s="1125">
        <f t="shared" si="24"/>
        <v>0</v>
      </c>
      <c r="AZ44" s="1125">
        <f t="shared" si="25"/>
        <v>0</v>
      </c>
      <c r="BA44" s="1125">
        <f t="shared" si="26"/>
        <v>0</v>
      </c>
      <c r="BB44" s="1125">
        <f t="shared" si="27"/>
        <v>0</v>
      </c>
      <c r="BC44" s="1125">
        <f t="shared" si="28"/>
        <v>0</v>
      </c>
      <c r="BD44" s="1125">
        <f t="shared" si="29"/>
        <v>0</v>
      </c>
      <c r="BE44" s="1125">
        <f t="shared" si="30"/>
        <v>1</v>
      </c>
      <c r="BF44" s="1125">
        <f t="shared" si="31"/>
        <v>1</v>
      </c>
      <c r="BG44" s="1125">
        <f t="shared" si="32"/>
        <v>0</v>
      </c>
      <c r="BH44" s="1125">
        <f t="shared" si="33"/>
        <v>0</v>
      </c>
      <c r="BI44" s="1125">
        <f t="shared" si="34"/>
        <v>0</v>
      </c>
      <c r="BJ44" s="1125">
        <f t="shared" si="35"/>
        <v>0</v>
      </c>
      <c r="BK44" s="1125">
        <f t="shared" si="36"/>
        <v>1</v>
      </c>
      <c r="BL44" s="1125">
        <f t="shared" si="37"/>
        <v>1</v>
      </c>
      <c r="BM44" s="1125">
        <f t="shared" si="38"/>
        <v>1</v>
      </c>
      <c r="BN44" s="1125">
        <f t="shared" si="39"/>
        <v>1</v>
      </c>
      <c r="BO44" s="1125">
        <f t="shared" si="40"/>
        <v>1</v>
      </c>
      <c r="BP44" s="1125">
        <f t="shared" si="41"/>
        <v>1</v>
      </c>
      <c r="BQ44" s="1125">
        <f t="shared" si="42"/>
        <v>1</v>
      </c>
      <c r="BR44" s="1125">
        <f t="shared" si="43"/>
        <v>1</v>
      </c>
      <c r="BS44" s="1125">
        <f t="shared" si="44"/>
        <v>1</v>
      </c>
      <c r="BT44" s="1125">
        <f t="shared" si="45"/>
        <v>1</v>
      </c>
      <c r="BU44" s="1125">
        <f t="shared" si="46"/>
        <v>1</v>
      </c>
      <c r="BV44" s="1125">
        <f t="shared" si="47"/>
        <v>1</v>
      </c>
      <c r="BW44" s="1125">
        <f t="shared" si="48"/>
        <v>0</v>
      </c>
      <c r="BX44" s="1125">
        <f t="shared" si="49"/>
        <v>0</v>
      </c>
      <c r="BY44" s="1125">
        <f t="shared" si="50"/>
        <v>0</v>
      </c>
      <c r="BZ44" s="1125">
        <f t="shared" si="51"/>
        <v>0</v>
      </c>
      <c r="CA44" s="1125">
        <f t="shared" si="52"/>
        <v>0</v>
      </c>
      <c r="CB44" s="1125">
        <f t="shared" si="53"/>
        <v>0</v>
      </c>
      <c r="CC44" s="1125">
        <f t="shared" si="54"/>
        <v>1</v>
      </c>
      <c r="CD44" s="1125">
        <f t="shared" si="55"/>
        <v>1</v>
      </c>
      <c r="CE44" s="1125">
        <f t="shared" si="56"/>
        <v>0</v>
      </c>
      <c r="CF44" s="1125">
        <f t="shared" si="57"/>
        <v>0</v>
      </c>
      <c r="CG44" s="1125">
        <f t="shared" si="58"/>
        <v>0</v>
      </c>
      <c r="CH44" s="1125">
        <f t="shared" si="59"/>
        <v>0</v>
      </c>
      <c r="CI44" s="1125">
        <f t="shared" si="60"/>
        <v>0.85</v>
      </c>
      <c r="CJ44" s="1125">
        <f t="shared" si="61"/>
        <v>0.85</v>
      </c>
      <c r="CK44" s="1125">
        <f t="shared" si="62"/>
        <v>0.85</v>
      </c>
      <c r="CL44" s="1125">
        <f t="shared" si="63"/>
        <v>0.85</v>
      </c>
      <c r="CM44" s="1125">
        <f t="shared" si="64"/>
        <v>0.85</v>
      </c>
      <c r="CN44" s="1125">
        <f t="shared" si="65"/>
        <v>0.85</v>
      </c>
      <c r="CO44" s="1125">
        <f t="shared" si="66"/>
        <v>0.85</v>
      </c>
      <c r="CP44" s="1125">
        <f t="shared" si="67"/>
        <v>0.85</v>
      </c>
      <c r="CQ44" s="1125">
        <f t="shared" si="68"/>
        <v>0.85</v>
      </c>
      <c r="CR44" s="1125">
        <f t="shared" si="69"/>
        <v>0.85</v>
      </c>
      <c r="CS44" s="1125">
        <f t="shared" si="70"/>
        <v>0.85</v>
      </c>
      <c r="CT44" s="1125">
        <f t="shared" si="71"/>
        <v>0.85</v>
      </c>
      <c r="CU44" s="1125">
        <v>1</v>
      </c>
      <c r="CV44" s="1125"/>
      <c r="CW44" s="1125">
        <f t="shared" si="72"/>
        <v>62</v>
      </c>
      <c r="CX44" s="1125">
        <f t="shared" si="73"/>
        <v>303</v>
      </c>
      <c r="CY44" s="1136" t="s">
        <v>4893</v>
      </c>
      <c r="CZ44" s="1129" t="s">
        <v>4894</v>
      </c>
      <c r="DA44" s="1129"/>
      <c r="DB44" s="1129"/>
      <c r="DC44" s="1125" t="s">
        <v>5011</v>
      </c>
      <c r="DD44" s="1125" t="s">
        <v>954</v>
      </c>
      <c r="DE44" s="1125" t="str">
        <f t="shared" si="74"/>
        <v/>
      </c>
      <c r="DF44" s="1125">
        <v>0</v>
      </c>
      <c r="DG44" s="1125">
        <v>0</v>
      </c>
    </row>
    <row r="45" spans="1:111">
      <c r="A45" s="1120" t="s">
        <v>2962</v>
      </c>
      <c r="B45" s="1125" t="s">
        <v>3928</v>
      </c>
      <c r="C45" s="1125" t="s">
        <v>3929</v>
      </c>
      <c r="D45" s="1125" t="s">
        <v>426</v>
      </c>
      <c r="E45" s="1125">
        <v>2139</v>
      </c>
      <c r="F45" s="1125">
        <v>-82.53</v>
      </c>
      <c r="G45" s="1125">
        <v>35.43</v>
      </c>
      <c r="H45" s="1125">
        <v>-5</v>
      </c>
      <c r="I45" s="1126">
        <v>18.5</v>
      </c>
      <c r="J45" s="1126">
        <v>85.819999313354487</v>
      </c>
      <c r="K45" s="1127">
        <v>70.880000686645502</v>
      </c>
      <c r="L45" s="1125">
        <v>4194</v>
      </c>
      <c r="M45" s="1125">
        <v>768.6</v>
      </c>
      <c r="N45" s="1128">
        <v>34.519999957084657</v>
      </c>
      <c r="O45" s="1128">
        <v>40.279999828338624</v>
      </c>
      <c r="P45" s="1128">
        <v>47.119999313354491</v>
      </c>
      <c r="Q45" s="1128">
        <v>56.840000343322757</v>
      </c>
      <c r="R45" s="1128">
        <v>62.239998626708989</v>
      </c>
      <c r="S45" s="1128">
        <v>69.980000686645511</v>
      </c>
      <c r="T45" s="1128">
        <v>72.5</v>
      </c>
      <c r="U45" s="1128">
        <v>71.960001373291021</v>
      </c>
      <c r="V45" s="1128">
        <v>65.480000686645511</v>
      </c>
      <c r="W45" s="1128">
        <v>54.5</v>
      </c>
      <c r="X45" s="1128">
        <v>45.679999828338623</v>
      </c>
      <c r="Y45" s="1128">
        <v>38.299999999999997</v>
      </c>
      <c r="Z45" s="1128">
        <v>55.020767175138815</v>
      </c>
      <c r="AA45" s="1128">
        <f t="shared" si="0"/>
        <v>52.145221021035042</v>
      </c>
      <c r="AB45" s="1128">
        <f t="shared" si="1"/>
        <v>51.383883057309021</v>
      </c>
      <c r="AC45" s="1128">
        <f t="shared" si="2"/>
        <v>53.134547447774914</v>
      </c>
      <c r="AD45" s="1128">
        <f t="shared" si="3"/>
        <v>56.940876540502899</v>
      </c>
      <c r="AE45" s="1128">
        <f t="shared" si="4"/>
        <v>61.810692000166569</v>
      </c>
      <c r="AF45" s="1128">
        <f t="shared" si="5"/>
        <v>66.474601381076724</v>
      </c>
      <c r="AG45" s="1128">
        <f t="shared" si="6"/>
        <v>69.716884830079991</v>
      </c>
      <c r="AH45" s="1128">
        <f t="shared" si="7"/>
        <v>70.692391201093301</v>
      </c>
      <c r="AI45" s="1128">
        <f t="shared" si="8"/>
        <v>69.146839725503796</v>
      </c>
      <c r="AJ45" s="1128">
        <f t="shared" si="9"/>
        <v>65.483102213093076</v>
      </c>
      <c r="AK45" s="1128">
        <f t="shared" si="10"/>
        <v>60.656188306375107</v>
      </c>
      <c r="AL45" s="1128">
        <f t="shared" si="11"/>
        <v>55.924307500130823</v>
      </c>
      <c r="AM45" s="1125">
        <f t="shared" si="12"/>
        <v>1</v>
      </c>
      <c r="AN45" s="1125">
        <f t="shared" si="13"/>
        <v>1</v>
      </c>
      <c r="AO45" s="1125">
        <f t="shared" si="14"/>
        <v>1</v>
      </c>
      <c r="AP45" s="1125">
        <f t="shared" si="15"/>
        <v>1</v>
      </c>
      <c r="AQ45" s="1125">
        <f t="shared" si="16"/>
        <v>1</v>
      </c>
      <c r="AR45" s="1125">
        <f t="shared" si="17"/>
        <v>0</v>
      </c>
      <c r="AS45" s="1125">
        <f t="shared" si="18"/>
        <v>0</v>
      </c>
      <c r="AT45" s="1125">
        <f t="shared" si="19"/>
        <v>0</v>
      </c>
      <c r="AU45" s="1125">
        <f t="shared" si="20"/>
        <v>1</v>
      </c>
      <c r="AV45" s="1125">
        <f t="shared" si="21"/>
        <v>1</v>
      </c>
      <c r="AW45" s="1125">
        <f t="shared" si="22"/>
        <v>1</v>
      </c>
      <c r="AX45" s="1125">
        <f t="shared" si="23"/>
        <v>1</v>
      </c>
      <c r="AY45" s="1125">
        <f t="shared" si="24"/>
        <v>0</v>
      </c>
      <c r="AZ45" s="1125">
        <f t="shared" si="25"/>
        <v>0</v>
      </c>
      <c r="BA45" s="1125">
        <f t="shared" si="26"/>
        <v>0</v>
      </c>
      <c r="BB45" s="1125">
        <f t="shared" si="27"/>
        <v>0</v>
      </c>
      <c r="BC45" s="1125">
        <f t="shared" si="28"/>
        <v>0</v>
      </c>
      <c r="BD45" s="1125">
        <f t="shared" si="29"/>
        <v>1</v>
      </c>
      <c r="BE45" s="1125">
        <f t="shared" si="30"/>
        <v>1</v>
      </c>
      <c r="BF45" s="1125">
        <f t="shared" si="31"/>
        <v>1</v>
      </c>
      <c r="BG45" s="1125">
        <f t="shared" si="32"/>
        <v>0</v>
      </c>
      <c r="BH45" s="1125">
        <f t="shared" si="33"/>
        <v>0</v>
      </c>
      <c r="BI45" s="1125">
        <f t="shared" si="34"/>
        <v>0</v>
      </c>
      <c r="BJ45" s="1125">
        <f t="shared" si="35"/>
        <v>0</v>
      </c>
      <c r="BK45" s="1125">
        <f t="shared" si="36"/>
        <v>1</v>
      </c>
      <c r="BL45" s="1125">
        <f t="shared" si="37"/>
        <v>1</v>
      </c>
      <c r="BM45" s="1125">
        <f t="shared" si="38"/>
        <v>1</v>
      </c>
      <c r="BN45" s="1125">
        <f t="shared" si="39"/>
        <v>1</v>
      </c>
      <c r="BO45" s="1125">
        <f t="shared" si="40"/>
        <v>1</v>
      </c>
      <c r="BP45" s="1125">
        <f t="shared" si="41"/>
        <v>1</v>
      </c>
      <c r="BQ45" s="1125">
        <f t="shared" si="42"/>
        <v>0</v>
      </c>
      <c r="BR45" s="1125">
        <f t="shared" si="43"/>
        <v>0</v>
      </c>
      <c r="BS45" s="1125">
        <f t="shared" si="44"/>
        <v>1</v>
      </c>
      <c r="BT45" s="1125">
        <f t="shared" si="45"/>
        <v>1</v>
      </c>
      <c r="BU45" s="1125">
        <f t="shared" si="46"/>
        <v>1</v>
      </c>
      <c r="BV45" s="1125">
        <f t="shared" si="47"/>
        <v>1</v>
      </c>
      <c r="BW45" s="1125">
        <f t="shared" si="48"/>
        <v>0</v>
      </c>
      <c r="BX45" s="1125">
        <f t="shared" si="49"/>
        <v>0</v>
      </c>
      <c r="BY45" s="1125">
        <f t="shared" si="50"/>
        <v>0</v>
      </c>
      <c r="BZ45" s="1125">
        <f t="shared" si="51"/>
        <v>0</v>
      </c>
      <c r="CA45" s="1125">
        <f t="shared" si="52"/>
        <v>1</v>
      </c>
      <c r="CB45" s="1125">
        <f t="shared" si="53"/>
        <v>1</v>
      </c>
      <c r="CC45" s="1125">
        <f t="shared" si="54"/>
        <v>1</v>
      </c>
      <c r="CD45" s="1125">
        <f t="shared" si="55"/>
        <v>1</v>
      </c>
      <c r="CE45" s="1125">
        <f t="shared" si="56"/>
        <v>1</v>
      </c>
      <c r="CF45" s="1125">
        <f t="shared" si="57"/>
        <v>0</v>
      </c>
      <c r="CG45" s="1125">
        <f t="shared" si="58"/>
        <v>0</v>
      </c>
      <c r="CH45" s="1125">
        <f t="shared" si="59"/>
        <v>0</v>
      </c>
      <c r="CI45" s="1125">
        <f t="shared" si="60"/>
        <v>0.85</v>
      </c>
      <c r="CJ45" s="1125">
        <f t="shared" si="61"/>
        <v>0.85</v>
      </c>
      <c r="CK45" s="1125">
        <f t="shared" si="62"/>
        <v>0.85</v>
      </c>
      <c r="CL45" s="1125">
        <f t="shared" si="63"/>
        <v>0.85</v>
      </c>
      <c r="CM45" s="1125">
        <f t="shared" si="64"/>
        <v>0.85</v>
      </c>
      <c r="CN45" s="1125">
        <f t="shared" si="65"/>
        <v>0.85</v>
      </c>
      <c r="CO45" s="1125">
        <f t="shared" si="66"/>
        <v>0.7</v>
      </c>
      <c r="CP45" s="1125">
        <f t="shared" si="67"/>
        <v>0.7</v>
      </c>
      <c r="CQ45" s="1125">
        <f t="shared" si="68"/>
        <v>0.85</v>
      </c>
      <c r="CR45" s="1125">
        <f t="shared" si="69"/>
        <v>0.85</v>
      </c>
      <c r="CS45" s="1125">
        <f t="shared" si="70"/>
        <v>0.85</v>
      </c>
      <c r="CT45" s="1125">
        <f t="shared" si="71"/>
        <v>0.85</v>
      </c>
      <c r="CU45" s="1125">
        <v>1</v>
      </c>
      <c r="CV45" s="1125"/>
      <c r="CW45" s="1125">
        <f t="shared" si="72"/>
        <v>153</v>
      </c>
      <c r="CX45" s="1125">
        <f t="shared" si="73"/>
        <v>212</v>
      </c>
      <c r="CY45" s="1136" t="s">
        <v>4881</v>
      </c>
      <c r="CZ45" s="1129" t="s">
        <v>4885</v>
      </c>
      <c r="DA45" s="1129"/>
      <c r="DB45" s="1129"/>
      <c r="DC45" s="1125" t="s">
        <v>5384</v>
      </c>
      <c r="DD45" s="1125" t="s">
        <v>426</v>
      </c>
      <c r="DE45" s="1120" t="str">
        <f t="shared" si="74"/>
        <v/>
      </c>
      <c r="DF45" s="1133">
        <v>0</v>
      </c>
      <c r="DG45" s="1120">
        <v>0</v>
      </c>
    </row>
    <row r="46" spans="1:111">
      <c r="A46" s="1125" t="s">
        <v>2918</v>
      </c>
      <c r="B46" s="1125" t="s">
        <v>3212</v>
      </c>
      <c r="C46" s="1125" t="s">
        <v>3213</v>
      </c>
      <c r="D46" s="1125" t="s">
        <v>536</v>
      </c>
      <c r="E46" s="1125">
        <v>8016</v>
      </c>
      <c r="F46" s="1125">
        <v>-106.87</v>
      </c>
      <c r="G46" s="1125">
        <v>39.22</v>
      </c>
      <c r="H46" s="1125">
        <v>-7</v>
      </c>
      <c r="I46" s="1126">
        <v>1.0399986267089836</v>
      </c>
      <c r="J46" s="1126">
        <v>82.039998626708979</v>
      </c>
      <c r="K46" s="1127">
        <v>53.959999656677248</v>
      </c>
      <c r="L46" s="1125">
        <v>8181</v>
      </c>
      <c r="M46" s="1125">
        <v>77.400000000000006</v>
      </c>
      <c r="N46" s="1128">
        <v>23.540000343322752</v>
      </c>
      <c r="O46" s="1128">
        <v>22.820000171661377</v>
      </c>
      <c r="P46" s="1128">
        <v>32.360000005364419</v>
      </c>
      <c r="Q46" s="1128">
        <v>43.7</v>
      </c>
      <c r="R46" s="1128">
        <v>50.9</v>
      </c>
      <c r="S46" s="1128">
        <v>59.180000686645506</v>
      </c>
      <c r="T46" s="1128">
        <v>64.039998626708979</v>
      </c>
      <c r="U46" s="1128">
        <v>62.239998626708989</v>
      </c>
      <c r="V46" s="1128">
        <v>50.359999656677246</v>
      </c>
      <c r="W46" s="1128">
        <v>42.8</v>
      </c>
      <c r="X46" s="1128">
        <v>30.559999978542329</v>
      </c>
      <c r="Y46" s="1128">
        <v>22.640000343322754</v>
      </c>
      <c r="Z46" s="1128">
        <v>42.211177947317083</v>
      </c>
      <c r="AA46" s="1128">
        <f t="shared" si="0"/>
        <v>41.834373774711473</v>
      </c>
      <c r="AB46" s="1128">
        <f t="shared" si="1"/>
        <v>40.355382486469274</v>
      </c>
      <c r="AC46" s="1128">
        <f t="shared" si="2"/>
        <v>40.924125346569618</v>
      </c>
      <c r="AD46" s="1128">
        <f t="shared" si="3"/>
        <v>43.392350763934559</v>
      </c>
      <c r="AE46" s="1128">
        <f t="shared" si="4"/>
        <v>47.116677747022891</v>
      </c>
      <c r="AF46" s="1128">
        <f t="shared" si="5"/>
        <v>51.126303074076546</v>
      </c>
      <c r="AG46" s="1128">
        <f t="shared" si="6"/>
        <v>54.376056113402321</v>
      </c>
      <c r="AH46" s="1128">
        <f t="shared" si="7"/>
        <v>56.018838655089709</v>
      </c>
      <c r="AI46" s="1128">
        <f t="shared" si="8"/>
        <v>55.626434113602599</v>
      </c>
      <c r="AJ46" s="1128">
        <f t="shared" si="9"/>
        <v>53.301128779816651</v>
      </c>
      <c r="AK46" s="1128">
        <f t="shared" si="10"/>
        <v>49.649049323023043</v>
      </c>
      <c r="AL46" s="1128">
        <f t="shared" si="11"/>
        <v>45.62216653388306</v>
      </c>
      <c r="AM46" s="1125">
        <f t="shared" si="12"/>
        <v>1</v>
      </c>
      <c r="AN46" s="1125">
        <f t="shared" si="13"/>
        <v>1</v>
      </c>
      <c r="AO46" s="1125">
        <f t="shared" si="14"/>
        <v>1</v>
      </c>
      <c r="AP46" s="1125">
        <f t="shared" si="15"/>
        <v>1</v>
      </c>
      <c r="AQ46" s="1125">
        <f t="shared" si="16"/>
        <v>1</v>
      </c>
      <c r="AR46" s="1125">
        <f t="shared" si="17"/>
        <v>1</v>
      </c>
      <c r="AS46" s="1125">
        <f t="shared" si="18"/>
        <v>1</v>
      </c>
      <c r="AT46" s="1125">
        <f t="shared" si="19"/>
        <v>1</v>
      </c>
      <c r="AU46" s="1125">
        <f t="shared" si="20"/>
        <v>1</v>
      </c>
      <c r="AV46" s="1125">
        <f t="shared" si="21"/>
        <v>1</v>
      </c>
      <c r="AW46" s="1125">
        <f t="shared" si="22"/>
        <v>1</v>
      </c>
      <c r="AX46" s="1125">
        <f t="shared" si="23"/>
        <v>1</v>
      </c>
      <c r="AY46" s="1125">
        <f t="shared" si="24"/>
        <v>0</v>
      </c>
      <c r="AZ46" s="1125">
        <f t="shared" si="25"/>
        <v>0</v>
      </c>
      <c r="BA46" s="1125">
        <f t="shared" si="26"/>
        <v>0</v>
      </c>
      <c r="BB46" s="1125">
        <f t="shared" si="27"/>
        <v>0</v>
      </c>
      <c r="BC46" s="1125">
        <f t="shared" si="28"/>
        <v>0</v>
      </c>
      <c r="BD46" s="1125">
        <f t="shared" si="29"/>
        <v>0</v>
      </c>
      <c r="BE46" s="1125">
        <f t="shared" si="30"/>
        <v>1</v>
      </c>
      <c r="BF46" s="1125">
        <f t="shared" si="31"/>
        <v>1</v>
      </c>
      <c r="BG46" s="1125">
        <f t="shared" si="32"/>
        <v>0</v>
      </c>
      <c r="BH46" s="1125">
        <f t="shared" si="33"/>
        <v>0</v>
      </c>
      <c r="BI46" s="1125">
        <f t="shared" si="34"/>
        <v>0</v>
      </c>
      <c r="BJ46" s="1125">
        <f t="shared" si="35"/>
        <v>0</v>
      </c>
      <c r="BK46" s="1125">
        <f t="shared" si="36"/>
        <v>1</v>
      </c>
      <c r="BL46" s="1125">
        <f t="shared" si="37"/>
        <v>1</v>
      </c>
      <c r="BM46" s="1125">
        <f t="shared" si="38"/>
        <v>1</v>
      </c>
      <c r="BN46" s="1125">
        <f t="shared" si="39"/>
        <v>1</v>
      </c>
      <c r="BO46" s="1125">
        <f t="shared" si="40"/>
        <v>1</v>
      </c>
      <c r="BP46" s="1125">
        <f t="shared" si="41"/>
        <v>1</v>
      </c>
      <c r="BQ46" s="1125">
        <f t="shared" si="42"/>
        <v>1</v>
      </c>
      <c r="BR46" s="1125">
        <f t="shared" si="43"/>
        <v>1</v>
      </c>
      <c r="BS46" s="1125">
        <f t="shared" si="44"/>
        <v>1</v>
      </c>
      <c r="BT46" s="1125">
        <f t="shared" si="45"/>
        <v>1</v>
      </c>
      <c r="BU46" s="1125">
        <f t="shared" si="46"/>
        <v>1</v>
      </c>
      <c r="BV46" s="1125">
        <f t="shared" si="47"/>
        <v>1</v>
      </c>
      <c r="BW46" s="1125">
        <f t="shared" si="48"/>
        <v>0</v>
      </c>
      <c r="BX46" s="1125">
        <f t="shared" si="49"/>
        <v>0</v>
      </c>
      <c r="BY46" s="1125">
        <f t="shared" si="50"/>
        <v>0</v>
      </c>
      <c r="BZ46" s="1125">
        <f t="shared" si="51"/>
        <v>0</v>
      </c>
      <c r="CA46" s="1125">
        <f t="shared" si="52"/>
        <v>0</v>
      </c>
      <c r="CB46" s="1125">
        <f t="shared" si="53"/>
        <v>0</v>
      </c>
      <c r="CC46" s="1125">
        <f t="shared" si="54"/>
        <v>1</v>
      </c>
      <c r="CD46" s="1125">
        <f t="shared" si="55"/>
        <v>1</v>
      </c>
      <c r="CE46" s="1125">
        <f t="shared" si="56"/>
        <v>0</v>
      </c>
      <c r="CF46" s="1125">
        <f t="shared" si="57"/>
        <v>0</v>
      </c>
      <c r="CG46" s="1125">
        <f t="shared" si="58"/>
        <v>0</v>
      </c>
      <c r="CH46" s="1125">
        <f t="shared" si="59"/>
        <v>0</v>
      </c>
      <c r="CI46" s="1125">
        <f t="shared" si="60"/>
        <v>0.85</v>
      </c>
      <c r="CJ46" s="1125">
        <f t="shared" si="61"/>
        <v>0.85</v>
      </c>
      <c r="CK46" s="1125">
        <f t="shared" si="62"/>
        <v>0.85</v>
      </c>
      <c r="CL46" s="1125">
        <f t="shared" si="63"/>
        <v>0.85</v>
      </c>
      <c r="CM46" s="1125">
        <f t="shared" si="64"/>
        <v>0.85</v>
      </c>
      <c r="CN46" s="1125">
        <f t="shared" si="65"/>
        <v>0.85</v>
      </c>
      <c r="CO46" s="1125">
        <f t="shared" si="66"/>
        <v>0.85</v>
      </c>
      <c r="CP46" s="1125">
        <f t="shared" si="67"/>
        <v>0.85</v>
      </c>
      <c r="CQ46" s="1125">
        <f t="shared" si="68"/>
        <v>0.85</v>
      </c>
      <c r="CR46" s="1125">
        <f t="shared" si="69"/>
        <v>0.85</v>
      </c>
      <c r="CS46" s="1125">
        <f t="shared" si="70"/>
        <v>0.85</v>
      </c>
      <c r="CT46" s="1125">
        <f t="shared" si="71"/>
        <v>0.85</v>
      </c>
      <c r="CU46" s="1125">
        <v>1</v>
      </c>
      <c r="CV46" s="1125"/>
      <c r="CW46" s="1125">
        <f t="shared" si="72"/>
        <v>62</v>
      </c>
      <c r="CX46" s="1125">
        <f t="shared" si="73"/>
        <v>303</v>
      </c>
      <c r="CY46" s="1136" t="s">
        <v>4879</v>
      </c>
      <c r="CZ46" s="1129">
        <v>7</v>
      </c>
      <c r="DA46" s="1129"/>
      <c r="DB46" s="1129"/>
      <c r="DC46" s="1125" t="s">
        <v>5072</v>
      </c>
      <c r="DD46" s="1125" t="s">
        <v>536</v>
      </c>
      <c r="DE46" s="1120" t="str">
        <f t="shared" si="74"/>
        <v/>
      </c>
      <c r="DF46" s="1125">
        <v>0</v>
      </c>
      <c r="DG46" s="1125">
        <v>0</v>
      </c>
    </row>
    <row r="47" spans="1:111">
      <c r="A47" s="1120" t="s">
        <v>2964</v>
      </c>
      <c r="B47" s="1125" t="s">
        <v>4220</v>
      </c>
      <c r="C47" s="1125" t="s">
        <v>4221</v>
      </c>
      <c r="D47" s="1125" t="s">
        <v>427</v>
      </c>
      <c r="E47" s="1125">
        <v>10</v>
      </c>
      <c r="F47" s="1125">
        <v>-123.88</v>
      </c>
      <c r="G47" s="1125">
        <v>46.15</v>
      </c>
      <c r="H47" s="1125">
        <v>-8</v>
      </c>
      <c r="I47" s="1126">
        <v>30.2</v>
      </c>
      <c r="J47" s="1126">
        <v>72.319999313354487</v>
      </c>
      <c r="K47" s="1127">
        <v>62.060001373291016</v>
      </c>
      <c r="L47" s="1125">
        <v>4752</v>
      </c>
      <c r="M47" s="1125">
        <v>37.800000000000004</v>
      </c>
      <c r="N47" s="1128">
        <v>43.340000343322757</v>
      </c>
      <c r="O47" s="1128">
        <v>44.959999656677248</v>
      </c>
      <c r="P47" s="1128">
        <v>47.840000343322757</v>
      </c>
      <c r="Q47" s="1128">
        <v>49.819999313354494</v>
      </c>
      <c r="R47" s="1128">
        <v>52.7</v>
      </c>
      <c r="S47" s="1128">
        <v>56.3</v>
      </c>
      <c r="T47" s="1128">
        <v>60.259999656677245</v>
      </c>
      <c r="U47" s="1128">
        <v>62.239998626708989</v>
      </c>
      <c r="V47" s="1128">
        <v>57.740000343322755</v>
      </c>
      <c r="W47" s="1128">
        <v>52.7</v>
      </c>
      <c r="X47" s="1128">
        <v>46.040000343322752</v>
      </c>
      <c r="Y47" s="1128">
        <v>43.52000017166138</v>
      </c>
      <c r="Z47" s="1128">
        <v>51.497205380217672</v>
      </c>
      <c r="AA47" s="1128">
        <f t="shared" si="0"/>
        <v>53.502131943925683</v>
      </c>
      <c r="AB47" s="1128">
        <f t="shared" si="1"/>
        <v>53.012863882652034</v>
      </c>
      <c r="AC47" s="1128">
        <f t="shared" si="2"/>
        <v>53.69250853851316</v>
      </c>
      <c r="AD47" s="1128">
        <f t="shared" si="3"/>
        <v>55.363906058317674</v>
      </c>
      <c r="AE47" s="1128">
        <f t="shared" si="4"/>
        <v>57.5913809215131</v>
      </c>
      <c r="AF47" s="1128">
        <f t="shared" si="5"/>
        <v>59.794307478580848</v>
      </c>
      <c r="AG47" s="1128">
        <f t="shared" si="6"/>
        <v>61.398458974295373</v>
      </c>
      <c r="AH47" s="1128">
        <f t="shared" si="7"/>
        <v>61.985688600575834</v>
      </c>
      <c r="AI47" s="1128">
        <f t="shared" si="8"/>
        <v>61.40292590584977</v>
      </c>
      <c r="AJ47" s="1128">
        <f t="shared" si="9"/>
        <v>59.80207696714249</v>
      </c>
      <c r="AK47" s="1128">
        <f t="shared" si="10"/>
        <v>57.600427730156952</v>
      </c>
      <c r="AL47" s="1128">
        <f t="shared" si="11"/>
        <v>55.371871996955178</v>
      </c>
      <c r="AM47" s="1125">
        <f t="shared" si="12"/>
        <v>1</v>
      </c>
      <c r="AN47" s="1125">
        <f t="shared" si="13"/>
        <v>1</v>
      </c>
      <c r="AO47" s="1125">
        <f t="shared" si="14"/>
        <v>1</v>
      </c>
      <c r="AP47" s="1125">
        <f t="shared" si="15"/>
        <v>1</v>
      </c>
      <c r="AQ47" s="1125">
        <f t="shared" si="16"/>
        <v>1</v>
      </c>
      <c r="AR47" s="1125">
        <f t="shared" si="17"/>
        <v>1</v>
      </c>
      <c r="AS47" s="1125">
        <f t="shared" si="18"/>
        <v>1</v>
      </c>
      <c r="AT47" s="1125">
        <f t="shared" si="19"/>
        <v>1</v>
      </c>
      <c r="AU47" s="1125">
        <f t="shared" si="20"/>
        <v>1</v>
      </c>
      <c r="AV47" s="1125">
        <f t="shared" si="21"/>
        <v>1</v>
      </c>
      <c r="AW47" s="1125">
        <f t="shared" si="22"/>
        <v>1</v>
      </c>
      <c r="AX47" s="1125">
        <f t="shared" si="23"/>
        <v>1</v>
      </c>
      <c r="AY47" s="1125">
        <f t="shared" si="24"/>
        <v>0</v>
      </c>
      <c r="AZ47" s="1125">
        <f t="shared" si="25"/>
        <v>0</v>
      </c>
      <c r="BA47" s="1125">
        <f t="shared" si="26"/>
        <v>0</v>
      </c>
      <c r="BB47" s="1125">
        <f t="shared" si="27"/>
        <v>0</v>
      </c>
      <c r="BC47" s="1125">
        <f t="shared" si="28"/>
        <v>0</v>
      </c>
      <c r="BD47" s="1125">
        <f t="shared" si="29"/>
        <v>0</v>
      </c>
      <c r="BE47" s="1125">
        <f t="shared" si="30"/>
        <v>1</v>
      </c>
      <c r="BF47" s="1125">
        <f t="shared" si="31"/>
        <v>1</v>
      </c>
      <c r="BG47" s="1125">
        <f t="shared" si="32"/>
        <v>0</v>
      </c>
      <c r="BH47" s="1125">
        <f t="shared" si="33"/>
        <v>0</v>
      </c>
      <c r="BI47" s="1125">
        <f t="shared" si="34"/>
        <v>0</v>
      </c>
      <c r="BJ47" s="1125">
        <f t="shared" si="35"/>
        <v>0</v>
      </c>
      <c r="BK47" s="1125">
        <f t="shared" si="36"/>
        <v>1</v>
      </c>
      <c r="BL47" s="1125">
        <f t="shared" si="37"/>
        <v>1</v>
      </c>
      <c r="BM47" s="1125">
        <f t="shared" si="38"/>
        <v>1</v>
      </c>
      <c r="BN47" s="1125">
        <f t="shared" si="39"/>
        <v>1</v>
      </c>
      <c r="BO47" s="1125">
        <f t="shared" si="40"/>
        <v>1</v>
      </c>
      <c r="BP47" s="1125">
        <f t="shared" si="41"/>
        <v>1</v>
      </c>
      <c r="BQ47" s="1125">
        <f t="shared" si="42"/>
        <v>1</v>
      </c>
      <c r="BR47" s="1125">
        <f t="shared" si="43"/>
        <v>1</v>
      </c>
      <c r="BS47" s="1125">
        <f t="shared" si="44"/>
        <v>1</v>
      </c>
      <c r="BT47" s="1125">
        <f t="shared" si="45"/>
        <v>1</v>
      </c>
      <c r="BU47" s="1125">
        <f t="shared" si="46"/>
        <v>1</v>
      </c>
      <c r="BV47" s="1125">
        <f t="shared" si="47"/>
        <v>1</v>
      </c>
      <c r="BW47" s="1125">
        <f t="shared" si="48"/>
        <v>0</v>
      </c>
      <c r="BX47" s="1125">
        <f t="shared" si="49"/>
        <v>0</v>
      </c>
      <c r="BY47" s="1125">
        <f t="shared" si="50"/>
        <v>0</v>
      </c>
      <c r="BZ47" s="1125">
        <f t="shared" si="51"/>
        <v>0</v>
      </c>
      <c r="CA47" s="1125">
        <f t="shared" si="52"/>
        <v>0</v>
      </c>
      <c r="CB47" s="1125">
        <f t="shared" si="53"/>
        <v>0</v>
      </c>
      <c r="CC47" s="1125">
        <f t="shared" si="54"/>
        <v>1</v>
      </c>
      <c r="CD47" s="1125">
        <f t="shared" si="55"/>
        <v>1</v>
      </c>
      <c r="CE47" s="1125">
        <f t="shared" si="56"/>
        <v>0</v>
      </c>
      <c r="CF47" s="1125">
        <f t="shared" si="57"/>
        <v>0</v>
      </c>
      <c r="CG47" s="1125">
        <f t="shared" si="58"/>
        <v>0</v>
      </c>
      <c r="CH47" s="1125">
        <f t="shared" si="59"/>
        <v>0</v>
      </c>
      <c r="CI47" s="1125">
        <f t="shared" si="60"/>
        <v>0.85</v>
      </c>
      <c r="CJ47" s="1125">
        <f t="shared" si="61"/>
        <v>0.85</v>
      </c>
      <c r="CK47" s="1125">
        <f t="shared" si="62"/>
        <v>0.85</v>
      </c>
      <c r="CL47" s="1125">
        <f t="shared" si="63"/>
        <v>0.85</v>
      </c>
      <c r="CM47" s="1125">
        <f t="shared" si="64"/>
        <v>0.85</v>
      </c>
      <c r="CN47" s="1125">
        <f t="shared" si="65"/>
        <v>0.85</v>
      </c>
      <c r="CO47" s="1125">
        <f t="shared" si="66"/>
        <v>0.85</v>
      </c>
      <c r="CP47" s="1125">
        <f t="shared" si="67"/>
        <v>0.85</v>
      </c>
      <c r="CQ47" s="1125">
        <f t="shared" si="68"/>
        <v>0.85</v>
      </c>
      <c r="CR47" s="1125">
        <f t="shared" si="69"/>
        <v>0.85</v>
      </c>
      <c r="CS47" s="1125">
        <f t="shared" si="70"/>
        <v>0.85</v>
      </c>
      <c r="CT47" s="1125">
        <f t="shared" si="71"/>
        <v>0.85</v>
      </c>
      <c r="CU47" s="1125">
        <v>1</v>
      </c>
      <c r="CV47" s="1125"/>
      <c r="CW47" s="1125">
        <f t="shared" si="72"/>
        <v>62</v>
      </c>
      <c r="CX47" s="1125">
        <f t="shared" si="73"/>
        <v>303</v>
      </c>
      <c r="CY47" s="1136" t="s">
        <v>4893</v>
      </c>
      <c r="CZ47" s="1129" t="s">
        <v>4894</v>
      </c>
      <c r="DA47" s="1129"/>
      <c r="DB47" s="1129"/>
      <c r="DC47" s="1125" t="s">
        <v>5513</v>
      </c>
      <c r="DD47" s="1125" t="s">
        <v>427</v>
      </c>
      <c r="DE47" s="1120" t="str">
        <f t="shared" si="74"/>
        <v/>
      </c>
      <c r="DF47" s="1133">
        <v>0</v>
      </c>
      <c r="DG47" s="1120">
        <v>0</v>
      </c>
    </row>
    <row r="48" spans="1:111">
      <c r="A48" s="1125" t="s">
        <v>1193</v>
      </c>
      <c r="B48" s="1125" t="s">
        <v>3350</v>
      </c>
      <c r="C48" s="1125" t="s">
        <v>3351</v>
      </c>
      <c r="D48" s="1125" t="s">
        <v>428</v>
      </c>
      <c r="E48" s="1125">
        <v>800</v>
      </c>
      <c r="F48" s="1125">
        <v>-83.33</v>
      </c>
      <c r="G48" s="1125">
        <v>33.950000000000003</v>
      </c>
      <c r="H48" s="1125">
        <v>-5</v>
      </c>
      <c r="I48" s="1126">
        <v>26.060000085830687</v>
      </c>
      <c r="J48" s="1126">
        <v>92.660001373291024</v>
      </c>
      <c r="K48" s="1127">
        <v>74.66000137329101</v>
      </c>
      <c r="L48" s="1125">
        <v>2624.4</v>
      </c>
      <c r="M48" s="1125">
        <v>1693.8</v>
      </c>
      <c r="N48" s="1128">
        <v>38.660000085830688</v>
      </c>
      <c r="O48" s="1128">
        <v>48.919999313354495</v>
      </c>
      <c r="P48" s="1128">
        <v>56.3</v>
      </c>
      <c r="Q48" s="1128">
        <v>63.5</v>
      </c>
      <c r="R48" s="1128">
        <v>69.080000686645505</v>
      </c>
      <c r="S48" s="1128">
        <v>76.819999313354487</v>
      </c>
      <c r="T48" s="1128">
        <v>79.16000137329101</v>
      </c>
      <c r="U48" s="1128">
        <v>77</v>
      </c>
      <c r="V48" s="1128">
        <v>70.7</v>
      </c>
      <c r="W48" s="1128">
        <v>61.160001373291017</v>
      </c>
      <c r="X48" s="1128">
        <v>54.5</v>
      </c>
      <c r="Y48" s="1128">
        <v>45.679999828338623</v>
      </c>
      <c r="Z48" s="1128">
        <v>61.845479627243463</v>
      </c>
      <c r="AA48" s="1128">
        <f t="shared" si="0"/>
        <v>56.638496404402012</v>
      </c>
      <c r="AB48" s="1128">
        <f t="shared" si="1"/>
        <v>56.416808729252828</v>
      </c>
      <c r="AC48" s="1128">
        <f t="shared" si="2"/>
        <v>59.174180244814579</v>
      </c>
      <c r="AD48" s="1128">
        <f t="shared" si="3"/>
        <v>64.19185957317481</v>
      </c>
      <c r="AE48" s="1128">
        <f t="shared" si="4"/>
        <v>70.161911272617374</v>
      </c>
      <c r="AF48" s="1128">
        <f t="shared" si="5"/>
        <v>75.528149366401038</v>
      </c>
      <c r="AG48" s="1128">
        <f t="shared" si="6"/>
        <v>78.891781199148838</v>
      </c>
      <c r="AH48" s="1128">
        <f t="shared" si="7"/>
        <v>79.376024298519511</v>
      </c>
      <c r="AI48" s="1128">
        <f t="shared" si="8"/>
        <v>76.854653238250037</v>
      </c>
      <c r="AJ48" s="1128">
        <f t="shared" si="9"/>
        <v>71.984902240703832</v>
      </c>
      <c r="AK48" s="1128">
        <f t="shared" si="10"/>
        <v>66.036146948525797</v>
      </c>
      <c r="AL48" s="1128">
        <f t="shared" si="11"/>
        <v>60.559022101716096</v>
      </c>
      <c r="AM48" s="1125">
        <f t="shared" si="12"/>
        <v>1</v>
      </c>
      <c r="AN48" s="1125">
        <f t="shared" si="13"/>
        <v>1</v>
      </c>
      <c r="AO48" s="1125">
        <f t="shared" si="14"/>
        <v>1</v>
      </c>
      <c r="AP48" s="1125">
        <f t="shared" si="15"/>
        <v>1</v>
      </c>
      <c r="AQ48" s="1125">
        <f t="shared" si="16"/>
        <v>0</v>
      </c>
      <c r="AR48" s="1125">
        <f t="shared" si="17"/>
        <v>0</v>
      </c>
      <c r="AS48" s="1125">
        <f t="shared" si="18"/>
        <v>0</v>
      </c>
      <c r="AT48" s="1125">
        <f t="shared" si="19"/>
        <v>0</v>
      </c>
      <c r="AU48" s="1125">
        <f t="shared" si="20"/>
        <v>0</v>
      </c>
      <c r="AV48" s="1125">
        <f t="shared" si="21"/>
        <v>1</v>
      </c>
      <c r="AW48" s="1125">
        <f t="shared" si="22"/>
        <v>1</v>
      </c>
      <c r="AX48" s="1125">
        <f t="shared" si="23"/>
        <v>1</v>
      </c>
      <c r="AY48" s="1125">
        <f t="shared" si="24"/>
        <v>0</v>
      </c>
      <c r="AZ48" s="1125">
        <f t="shared" si="25"/>
        <v>0</v>
      </c>
      <c r="BA48" s="1125">
        <f t="shared" si="26"/>
        <v>0</v>
      </c>
      <c r="BB48" s="1125">
        <f t="shared" si="27"/>
        <v>0</v>
      </c>
      <c r="BC48" s="1125">
        <f t="shared" si="28"/>
        <v>1</v>
      </c>
      <c r="BD48" s="1125">
        <f t="shared" si="29"/>
        <v>1</v>
      </c>
      <c r="BE48" s="1125">
        <f t="shared" si="30"/>
        <v>1</v>
      </c>
      <c r="BF48" s="1125">
        <f t="shared" si="31"/>
        <v>1</v>
      </c>
      <c r="BG48" s="1125">
        <f t="shared" si="32"/>
        <v>1</v>
      </c>
      <c r="BH48" s="1125">
        <f t="shared" si="33"/>
        <v>0</v>
      </c>
      <c r="BI48" s="1125">
        <f t="shared" si="34"/>
        <v>0</v>
      </c>
      <c r="BJ48" s="1125">
        <f t="shared" si="35"/>
        <v>0</v>
      </c>
      <c r="BK48" s="1125">
        <f t="shared" si="36"/>
        <v>1</v>
      </c>
      <c r="BL48" s="1125">
        <f t="shared" si="37"/>
        <v>1</v>
      </c>
      <c r="BM48" s="1125">
        <f t="shared" si="38"/>
        <v>1</v>
      </c>
      <c r="BN48" s="1125">
        <f t="shared" si="39"/>
        <v>1</v>
      </c>
      <c r="BO48" s="1125">
        <f t="shared" si="40"/>
        <v>1</v>
      </c>
      <c r="BP48" s="1125">
        <f t="shared" si="41"/>
        <v>0</v>
      </c>
      <c r="BQ48" s="1125">
        <f t="shared" si="42"/>
        <v>0</v>
      </c>
      <c r="BR48" s="1125">
        <f t="shared" si="43"/>
        <v>0</v>
      </c>
      <c r="BS48" s="1125">
        <f t="shared" si="44"/>
        <v>0</v>
      </c>
      <c r="BT48" s="1125">
        <f t="shared" si="45"/>
        <v>1</v>
      </c>
      <c r="BU48" s="1125">
        <f t="shared" si="46"/>
        <v>1</v>
      </c>
      <c r="BV48" s="1125">
        <f t="shared" si="47"/>
        <v>1</v>
      </c>
      <c r="BW48" s="1125">
        <f t="shared" si="48"/>
        <v>0</v>
      </c>
      <c r="BX48" s="1125">
        <f t="shared" si="49"/>
        <v>0</v>
      </c>
      <c r="BY48" s="1125">
        <f t="shared" si="50"/>
        <v>0</v>
      </c>
      <c r="BZ48" s="1125">
        <f t="shared" si="51"/>
        <v>1</v>
      </c>
      <c r="CA48" s="1125">
        <f t="shared" si="52"/>
        <v>1</v>
      </c>
      <c r="CB48" s="1125">
        <f t="shared" si="53"/>
        <v>1</v>
      </c>
      <c r="CC48" s="1125">
        <f t="shared" si="54"/>
        <v>1</v>
      </c>
      <c r="CD48" s="1125">
        <f t="shared" si="55"/>
        <v>1</v>
      </c>
      <c r="CE48" s="1125">
        <f t="shared" si="56"/>
        <v>1</v>
      </c>
      <c r="CF48" s="1125">
        <f t="shared" si="57"/>
        <v>1</v>
      </c>
      <c r="CG48" s="1125">
        <f t="shared" si="58"/>
        <v>0</v>
      </c>
      <c r="CH48" s="1125">
        <f t="shared" si="59"/>
        <v>0</v>
      </c>
      <c r="CI48" s="1125">
        <f t="shared" si="60"/>
        <v>0.85</v>
      </c>
      <c r="CJ48" s="1125">
        <f t="shared" si="61"/>
        <v>0.85</v>
      </c>
      <c r="CK48" s="1125">
        <f t="shared" si="62"/>
        <v>0.85</v>
      </c>
      <c r="CL48" s="1125">
        <f t="shared" si="63"/>
        <v>0.85</v>
      </c>
      <c r="CM48" s="1125">
        <f t="shared" si="64"/>
        <v>0.85</v>
      </c>
      <c r="CN48" s="1125">
        <f t="shared" si="65"/>
        <v>0.7</v>
      </c>
      <c r="CO48" s="1125">
        <f t="shared" si="66"/>
        <v>0.7</v>
      </c>
      <c r="CP48" s="1125">
        <f t="shared" si="67"/>
        <v>0.7</v>
      </c>
      <c r="CQ48" s="1125">
        <f t="shared" si="68"/>
        <v>0.7</v>
      </c>
      <c r="CR48" s="1125">
        <f t="shared" si="69"/>
        <v>0.85</v>
      </c>
      <c r="CS48" s="1125">
        <f t="shared" si="70"/>
        <v>0.85</v>
      </c>
      <c r="CT48" s="1125">
        <f t="shared" si="71"/>
        <v>0.85</v>
      </c>
      <c r="CU48" s="1125">
        <v>1</v>
      </c>
      <c r="CV48" s="1125"/>
      <c r="CW48" s="1125">
        <f t="shared" si="72"/>
        <v>214</v>
      </c>
      <c r="CX48" s="1125">
        <f t="shared" si="73"/>
        <v>151</v>
      </c>
      <c r="CY48" s="1136" t="s">
        <v>4881</v>
      </c>
      <c r="CZ48" s="1129" t="s">
        <v>4882</v>
      </c>
      <c r="DA48" s="1129"/>
      <c r="DB48" s="1129"/>
      <c r="DC48" s="1125" t="s">
        <v>5132</v>
      </c>
      <c r="DD48" s="1125" t="s">
        <v>428</v>
      </c>
      <c r="DE48" s="1120" t="str">
        <f t="shared" si="74"/>
        <v/>
      </c>
      <c r="DF48" s="1133">
        <v>0</v>
      </c>
      <c r="DG48" s="1125">
        <v>0</v>
      </c>
    </row>
    <row r="49" spans="1:111">
      <c r="A49" s="1120" t="s">
        <v>2966</v>
      </c>
      <c r="B49" s="1120" t="s">
        <v>3352</v>
      </c>
      <c r="C49" s="1120" t="s">
        <v>3353</v>
      </c>
      <c r="D49" s="1120" t="s">
        <v>428</v>
      </c>
      <c r="E49" s="1120">
        <v>1010</v>
      </c>
      <c r="F49" s="1120">
        <v>-84.43</v>
      </c>
      <c r="G49" s="1120">
        <v>33.630000000000003</v>
      </c>
      <c r="H49" s="1120">
        <v>-5</v>
      </c>
      <c r="I49" s="1121">
        <v>25.7</v>
      </c>
      <c r="J49" s="1121">
        <v>91.4</v>
      </c>
      <c r="K49" s="1122">
        <v>73.939998626708984</v>
      </c>
      <c r="L49" s="1120">
        <v>2714.4</v>
      </c>
      <c r="M49" s="1120">
        <v>1830.6000000000001</v>
      </c>
      <c r="N49" s="1123">
        <v>39.200000000000003</v>
      </c>
      <c r="O49" s="1123">
        <v>46.220000171661376</v>
      </c>
      <c r="P49" s="1123">
        <v>56.840000343322757</v>
      </c>
      <c r="Q49" s="1123">
        <v>62.960001373291014</v>
      </c>
      <c r="R49" s="1123">
        <v>69.439998626708984</v>
      </c>
      <c r="S49" s="1123">
        <v>76.639998626708987</v>
      </c>
      <c r="T49" s="1123">
        <v>78.980000686645511</v>
      </c>
      <c r="U49" s="1123">
        <v>79.7</v>
      </c>
      <c r="V49" s="1123">
        <v>72.5</v>
      </c>
      <c r="W49" s="1123">
        <v>60.8</v>
      </c>
      <c r="X49" s="1123">
        <v>53.419999313354495</v>
      </c>
      <c r="Y49" s="1123">
        <v>45.859999656677246</v>
      </c>
      <c r="Z49" s="1123">
        <v>61.959397158688063</v>
      </c>
      <c r="AA49" s="1123">
        <f t="shared" si="0"/>
        <v>56.723671270799223</v>
      </c>
      <c r="AB49" s="1123">
        <f t="shared" si="1"/>
        <v>56.513286598687955</v>
      </c>
      <c r="AC49" s="1123">
        <f t="shared" si="2"/>
        <v>59.286507033943721</v>
      </c>
      <c r="AD49" s="1123">
        <f t="shared" si="3"/>
        <v>64.320449933496576</v>
      </c>
      <c r="AE49" s="1123">
        <f t="shared" si="4"/>
        <v>70.302940505169786</v>
      </c>
      <c r="AF49" s="1123">
        <f t="shared" si="5"/>
        <v>75.674550388486381</v>
      </c>
      <c r="AG49" s="1123">
        <f t="shared" si="6"/>
        <v>79.035086688345871</v>
      </c>
      <c r="AH49" s="1123">
        <f t="shared" si="7"/>
        <v>79.508573830757925</v>
      </c>
      <c r="AI49" s="1123">
        <f t="shared" si="8"/>
        <v>76.971590095395086</v>
      </c>
      <c r="AJ49" s="1123">
        <f t="shared" si="9"/>
        <v>72.085439388982493</v>
      </c>
      <c r="AK49" s="1123">
        <f t="shared" si="10"/>
        <v>66.1237721910082</v>
      </c>
      <c r="AL49" s="1123">
        <f t="shared" si="11"/>
        <v>60.640588928696687</v>
      </c>
      <c r="AM49" s="1120">
        <f t="shared" si="12"/>
        <v>1</v>
      </c>
      <c r="AN49" s="1120">
        <f t="shared" si="13"/>
        <v>1</v>
      </c>
      <c r="AO49" s="1120">
        <f t="shared" si="14"/>
        <v>1</v>
      </c>
      <c r="AP49" s="1120">
        <f t="shared" si="15"/>
        <v>1</v>
      </c>
      <c r="AQ49" s="1120">
        <f t="shared" si="16"/>
        <v>0</v>
      </c>
      <c r="AR49" s="1120">
        <f t="shared" si="17"/>
        <v>0</v>
      </c>
      <c r="AS49" s="1120">
        <f t="shared" si="18"/>
        <v>0</v>
      </c>
      <c r="AT49" s="1120">
        <f t="shared" si="19"/>
        <v>0</v>
      </c>
      <c r="AU49" s="1120">
        <f t="shared" si="20"/>
        <v>0</v>
      </c>
      <c r="AV49" s="1120">
        <f t="shared" si="21"/>
        <v>1</v>
      </c>
      <c r="AW49" s="1120">
        <f t="shared" si="22"/>
        <v>1</v>
      </c>
      <c r="AX49" s="1120">
        <f t="shared" si="23"/>
        <v>1</v>
      </c>
      <c r="AY49" s="1120">
        <f t="shared" si="24"/>
        <v>0</v>
      </c>
      <c r="AZ49" s="1120">
        <f t="shared" si="25"/>
        <v>0</v>
      </c>
      <c r="BA49" s="1120">
        <f t="shared" si="26"/>
        <v>0</v>
      </c>
      <c r="BB49" s="1120">
        <f t="shared" si="27"/>
        <v>0</v>
      </c>
      <c r="BC49" s="1120">
        <f t="shared" si="28"/>
        <v>1</v>
      </c>
      <c r="BD49" s="1120">
        <f t="shared" si="29"/>
        <v>1</v>
      </c>
      <c r="BE49" s="1120">
        <f t="shared" si="30"/>
        <v>1</v>
      </c>
      <c r="BF49" s="1120">
        <f t="shared" si="31"/>
        <v>1</v>
      </c>
      <c r="BG49" s="1120">
        <f t="shared" si="32"/>
        <v>1</v>
      </c>
      <c r="BH49" s="1120">
        <f t="shared" si="33"/>
        <v>0</v>
      </c>
      <c r="BI49" s="1120">
        <f t="shared" si="34"/>
        <v>0</v>
      </c>
      <c r="BJ49" s="1120">
        <f t="shared" si="35"/>
        <v>0</v>
      </c>
      <c r="BK49" s="1120">
        <f t="shared" si="36"/>
        <v>1</v>
      </c>
      <c r="BL49" s="1120">
        <f t="shared" si="37"/>
        <v>1</v>
      </c>
      <c r="BM49" s="1120">
        <f t="shared" si="38"/>
        <v>1</v>
      </c>
      <c r="BN49" s="1120">
        <f t="shared" si="39"/>
        <v>1</v>
      </c>
      <c r="BO49" s="1120">
        <f t="shared" si="40"/>
        <v>1</v>
      </c>
      <c r="BP49" s="1120">
        <f t="shared" si="41"/>
        <v>0</v>
      </c>
      <c r="BQ49" s="1120">
        <f t="shared" si="42"/>
        <v>0</v>
      </c>
      <c r="BR49" s="1120">
        <f t="shared" si="43"/>
        <v>0</v>
      </c>
      <c r="BS49" s="1120">
        <f t="shared" si="44"/>
        <v>0</v>
      </c>
      <c r="BT49" s="1120">
        <f t="shared" si="45"/>
        <v>1</v>
      </c>
      <c r="BU49" s="1120">
        <f t="shared" si="46"/>
        <v>1</v>
      </c>
      <c r="BV49" s="1120">
        <f t="shared" si="47"/>
        <v>1</v>
      </c>
      <c r="BW49" s="1120">
        <f t="shared" si="48"/>
        <v>0</v>
      </c>
      <c r="BX49" s="1120">
        <f t="shared" si="49"/>
        <v>0</v>
      </c>
      <c r="BY49" s="1120">
        <f t="shared" si="50"/>
        <v>0</v>
      </c>
      <c r="BZ49" s="1120">
        <f t="shared" si="51"/>
        <v>1</v>
      </c>
      <c r="CA49" s="1120">
        <f t="shared" si="52"/>
        <v>1</v>
      </c>
      <c r="CB49" s="1120">
        <f t="shared" si="53"/>
        <v>1</v>
      </c>
      <c r="CC49" s="1120">
        <f t="shared" si="54"/>
        <v>1</v>
      </c>
      <c r="CD49" s="1120">
        <f t="shared" si="55"/>
        <v>1</v>
      </c>
      <c r="CE49" s="1120">
        <f t="shared" si="56"/>
        <v>1</v>
      </c>
      <c r="CF49" s="1120">
        <f t="shared" si="57"/>
        <v>1</v>
      </c>
      <c r="CG49" s="1120">
        <f t="shared" si="58"/>
        <v>0</v>
      </c>
      <c r="CH49" s="1120">
        <f t="shared" si="59"/>
        <v>0</v>
      </c>
      <c r="CI49" s="1120">
        <f t="shared" si="60"/>
        <v>0.85</v>
      </c>
      <c r="CJ49" s="1120">
        <f t="shared" si="61"/>
        <v>0.85</v>
      </c>
      <c r="CK49" s="1120">
        <f t="shared" si="62"/>
        <v>0.85</v>
      </c>
      <c r="CL49" s="1120">
        <f t="shared" si="63"/>
        <v>0.85</v>
      </c>
      <c r="CM49" s="1120">
        <f t="shared" si="64"/>
        <v>0.85</v>
      </c>
      <c r="CN49" s="1120">
        <f t="shared" si="65"/>
        <v>0.7</v>
      </c>
      <c r="CO49" s="1120">
        <f t="shared" si="66"/>
        <v>0.7</v>
      </c>
      <c r="CP49" s="1120">
        <f t="shared" si="67"/>
        <v>0.7</v>
      </c>
      <c r="CQ49" s="1120">
        <f t="shared" si="68"/>
        <v>0.7</v>
      </c>
      <c r="CR49" s="1120">
        <f t="shared" si="69"/>
        <v>0.85</v>
      </c>
      <c r="CS49" s="1120">
        <f t="shared" si="70"/>
        <v>0.85</v>
      </c>
      <c r="CT49" s="1120">
        <f t="shared" si="71"/>
        <v>0.85</v>
      </c>
      <c r="CU49" s="1120">
        <v>1</v>
      </c>
      <c r="CV49" s="1120"/>
      <c r="CW49" s="1120">
        <f t="shared" si="72"/>
        <v>214</v>
      </c>
      <c r="CX49" s="1120">
        <f t="shared" si="73"/>
        <v>151</v>
      </c>
      <c r="CY49" s="1135" t="s">
        <v>4881</v>
      </c>
      <c r="CZ49" s="1124" t="s">
        <v>4882</v>
      </c>
      <c r="DA49" s="1124"/>
      <c r="DB49" s="1124"/>
      <c r="DC49" s="1120" t="s">
        <v>5133</v>
      </c>
      <c r="DD49" s="1120" t="s">
        <v>428</v>
      </c>
      <c r="DE49" s="1120" t="str">
        <f t="shared" si="74"/>
        <v/>
      </c>
      <c r="DF49" s="1133">
        <v>0</v>
      </c>
      <c r="DG49" s="1120">
        <v>0</v>
      </c>
    </row>
    <row r="50" spans="1:111">
      <c r="A50" s="1125" t="s">
        <v>1197</v>
      </c>
      <c r="B50" s="1125" t="s">
        <v>4050</v>
      </c>
      <c r="C50" s="1125" t="s">
        <v>4051</v>
      </c>
      <c r="D50" s="1125" t="s">
        <v>589</v>
      </c>
      <c r="E50" s="1125">
        <v>59</v>
      </c>
      <c r="F50" s="1125">
        <v>-74.569999999999993</v>
      </c>
      <c r="G50" s="1125">
        <v>39.450000000000003</v>
      </c>
      <c r="H50" s="1125">
        <v>-5</v>
      </c>
      <c r="I50" s="1126">
        <v>14.9</v>
      </c>
      <c r="J50" s="1126">
        <v>89.419999313354495</v>
      </c>
      <c r="K50" s="1127">
        <v>73.939998626708984</v>
      </c>
      <c r="L50" s="1125">
        <v>4872.6000000000004</v>
      </c>
      <c r="M50" s="1125">
        <v>977.4</v>
      </c>
      <c r="N50" s="1128">
        <v>30.380000042915345</v>
      </c>
      <c r="O50" s="1128">
        <v>34.700000000000003</v>
      </c>
      <c r="P50" s="1128">
        <v>42.259999656677245</v>
      </c>
      <c r="Q50" s="1128">
        <v>51.8</v>
      </c>
      <c r="R50" s="1128">
        <v>62.060001373291016</v>
      </c>
      <c r="S50" s="1128">
        <v>70.519999313354489</v>
      </c>
      <c r="T50" s="1128">
        <v>75.019999313354489</v>
      </c>
      <c r="U50" s="1128">
        <v>73.580000686645505</v>
      </c>
      <c r="V50" s="1128">
        <v>65.480000686645511</v>
      </c>
      <c r="W50" s="1128">
        <v>54.140000343322754</v>
      </c>
      <c r="X50" s="1128">
        <v>47.840000343322757</v>
      </c>
      <c r="Y50" s="1128">
        <v>35.779999828338624</v>
      </c>
      <c r="Z50" s="1128">
        <v>53.727726161316653</v>
      </c>
      <c r="AA50" s="1128">
        <f t="shared" si="0"/>
        <v>49.661743895787055</v>
      </c>
      <c r="AB50" s="1128">
        <f t="shared" si="1"/>
        <v>48.665212261075027</v>
      </c>
      <c r="AC50" s="1128">
        <f t="shared" si="2"/>
        <v>50.552295352960527</v>
      </c>
      <c r="AD50" s="1128">
        <f t="shared" si="3"/>
        <v>54.831095882712873</v>
      </c>
      <c r="AE50" s="1128">
        <f t="shared" si="4"/>
        <v>60.386278553940031</v>
      </c>
      <c r="AF50" s="1128">
        <f t="shared" si="5"/>
        <v>65.76979939543034</v>
      </c>
      <c r="AG50" s="1128">
        <f t="shared" si="6"/>
        <v>69.578360737281912</v>
      </c>
      <c r="AH50" s="1128">
        <f t="shared" si="7"/>
        <v>70.819202374034305</v>
      </c>
      <c r="AI50" s="1128">
        <f t="shared" si="8"/>
        <v>69.168879811119552</v>
      </c>
      <c r="AJ50" s="1128">
        <f t="shared" si="9"/>
        <v>65.057575056801909</v>
      </c>
      <c r="AK50" s="1128">
        <f t="shared" si="10"/>
        <v>59.556963052418332</v>
      </c>
      <c r="AL50" s="1128">
        <f t="shared" si="11"/>
        <v>54.100863083908258</v>
      </c>
      <c r="AM50" s="1125">
        <f t="shared" si="12"/>
        <v>1</v>
      </c>
      <c r="AN50" s="1125">
        <f t="shared" si="13"/>
        <v>1</v>
      </c>
      <c r="AO50" s="1125">
        <f t="shared" si="14"/>
        <v>1</v>
      </c>
      <c r="AP50" s="1125">
        <f t="shared" si="15"/>
        <v>1</v>
      </c>
      <c r="AQ50" s="1125">
        <f t="shared" si="16"/>
        <v>1</v>
      </c>
      <c r="AR50" s="1125">
        <f t="shared" si="17"/>
        <v>0</v>
      </c>
      <c r="AS50" s="1125">
        <f t="shared" si="18"/>
        <v>0</v>
      </c>
      <c r="AT50" s="1125">
        <f t="shared" si="19"/>
        <v>0</v>
      </c>
      <c r="AU50" s="1125">
        <f t="shared" si="20"/>
        <v>1</v>
      </c>
      <c r="AV50" s="1125">
        <f t="shared" si="21"/>
        <v>1</v>
      </c>
      <c r="AW50" s="1125">
        <f t="shared" si="22"/>
        <v>1</v>
      </c>
      <c r="AX50" s="1125">
        <f t="shared" si="23"/>
        <v>1</v>
      </c>
      <c r="AY50" s="1125">
        <f t="shared" si="24"/>
        <v>0</v>
      </c>
      <c r="AZ50" s="1125">
        <f t="shared" si="25"/>
        <v>0</v>
      </c>
      <c r="BA50" s="1125">
        <f t="shared" si="26"/>
        <v>0</v>
      </c>
      <c r="BB50" s="1125">
        <f t="shared" si="27"/>
        <v>0</v>
      </c>
      <c r="BC50" s="1125">
        <f t="shared" si="28"/>
        <v>0</v>
      </c>
      <c r="BD50" s="1125">
        <f t="shared" si="29"/>
        <v>1</v>
      </c>
      <c r="BE50" s="1125">
        <f t="shared" si="30"/>
        <v>1</v>
      </c>
      <c r="BF50" s="1125">
        <f t="shared" si="31"/>
        <v>1</v>
      </c>
      <c r="BG50" s="1125">
        <f t="shared" si="32"/>
        <v>0</v>
      </c>
      <c r="BH50" s="1125">
        <f t="shared" si="33"/>
        <v>0</v>
      </c>
      <c r="BI50" s="1125">
        <f t="shared" si="34"/>
        <v>0</v>
      </c>
      <c r="BJ50" s="1125">
        <f t="shared" si="35"/>
        <v>0</v>
      </c>
      <c r="BK50" s="1125">
        <f t="shared" si="36"/>
        <v>1</v>
      </c>
      <c r="BL50" s="1125">
        <f t="shared" si="37"/>
        <v>1</v>
      </c>
      <c r="BM50" s="1125">
        <f t="shared" si="38"/>
        <v>1</v>
      </c>
      <c r="BN50" s="1125">
        <f t="shared" si="39"/>
        <v>1</v>
      </c>
      <c r="BO50" s="1125">
        <f t="shared" si="40"/>
        <v>1</v>
      </c>
      <c r="BP50" s="1125">
        <f t="shared" si="41"/>
        <v>1</v>
      </c>
      <c r="BQ50" s="1125">
        <f t="shared" si="42"/>
        <v>0</v>
      </c>
      <c r="BR50" s="1125">
        <f t="shared" si="43"/>
        <v>0</v>
      </c>
      <c r="BS50" s="1125">
        <f t="shared" si="44"/>
        <v>1</v>
      </c>
      <c r="BT50" s="1125">
        <f t="shared" si="45"/>
        <v>1</v>
      </c>
      <c r="BU50" s="1125">
        <f t="shared" si="46"/>
        <v>1</v>
      </c>
      <c r="BV50" s="1125">
        <f t="shared" si="47"/>
        <v>1</v>
      </c>
      <c r="BW50" s="1125">
        <f t="shared" si="48"/>
        <v>0</v>
      </c>
      <c r="BX50" s="1125">
        <f t="shared" si="49"/>
        <v>0</v>
      </c>
      <c r="BY50" s="1125">
        <f t="shared" si="50"/>
        <v>0</v>
      </c>
      <c r="BZ50" s="1125">
        <f t="shared" si="51"/>
        <v>0</v>
      </c>
      <c r="CA50" s="1125">
        <f t="shared" si="52"/>
        <v>1</v>
      </c>
      <c r="CB50" s="1125">
        <f t="shared" si="53"/>
        <v>1</v>
      </c>
      <c r="CC50" s="1125">
        <f t="shared" si="54"/>
        <v>1</v>
      </c>
      <c r="CD50" s="1125">
        <f t="shared" si="55"/>
        <v>1</v>
      </c>
      <c r="CE50" s="1125">
        <f t="shared" si="56"/>
        <v>1</v>
      </c>
      <c r="CF50" s="1125">
        <f t="shared" si="57"/>
        <v>0</v>
      </c>
      <c r="CG50" s="1125">
        <f t="shared" si="58"/>
        <v>0</v>
      </c>
      <c r="CH50" s="1125">
        <f t="shared" si="59"/>
        <v>0</v>
      </c>
      <c r="CI50" s="1125">
        <f t="shared" si="60"/>
        <v>0.85</v>
      </c>
      <c r="CJ50" s="1125">
        <f t="shared" si="61"/>
        <v>0.85</v>
      </c>
      <c r="CK50" s="1125">
        <f t="shared" si="62"/>
        <v>0.85</v>
      </c>
      <c r="CL50" s="1125">
        <f t="shared" si="63"/>
        <v>0.85</v>
      </c>
      <c r="CM50" s="1125">
        <f t="shared" si="64"/>
        <v>0.85</v>
      </c>
      <c r="CN50" s="1125">
        <f t="shared" si="65"/>
        <v>0.85</v>
      </c>
      <c r="CO50" s="1125">
        <f t="shared" si="66"/>
        <v>0.7</v>
      </c>
      <c r="CP50" s="1125">
        <f t="shared" si="67"/>
        <v>0.7</v>
      </c>
      <c r="CQ50" s="1125">
        <f t="shared" si="68"/>
        <v>0.85</v>
      </c>
      <c r="CR50" s="1125">
        <f t="shared" si="69"/>
        <v>0.85</v>
      </c>
      <c r="CS50" s="1125">
        <f t="shared" si="70"/>
        <v>0.85</v>
      </c>
      <c r="CT50" s="1125">
        <f t="shared" si="71"/>
        <v>0.85</v>
      </c>
      <c r="CU50" s="1125">
        <v>1</v>
      </c>
      <c r="CV50" s="1125"/>
      <c r="CW50" s="1125">
        <f t="shared" si="72"/>
        <v>153</v>
      </c>
      <c r="CX50" s="1125">
        <f t="shared" si="73"/>
        <v>212</v>
      </c>
      <c r="CY50" s="1136" t="s">
        <v>4881</v>
      </c>
      <c r="CZ50" s="1129" t="s">
        <v>4885</v>
      </c>
      <c r="DA50" s="1129"/>
      <c r="DB50" s="1129"/>
      <c r="DC50" s="1125" t="s">
        <v>5439</v>
      </c>
      <c r="DD50" s="1125" t="s">
        <v>589</v>
      </c>
      <c r="DE50" s="1120" t="str">
        <f t="shared" si="74"/>
        <v/>
      </c>
      <c r="DF50" s="1133">
        <v>0</v>
      </c>
      <c r="DG50" s="1125">
        <v>0</v>
      </c>
    </row>
    <row r="51" spans="1:111">
      <c r="A51" s="1120" t="s">
        <v>2968</v>
      </c>
      <c r="B51" s="1125" t="s">
        <v>3406</v>
      </c>
      <c r="C51" s="1125" t="s">
        <v>3407</v>
      </c>
      <c r="D51" s="1125" t="s">
        <v>566</v>
      </c>
      <c r="E51" s="1125">
        <v>1181</v>
      </c>
      <c r="F51" s="1125">
        <v>-95.05</v>
      </c>
      <c r="G51" s="1125">
        <v>41.4</v>
      </c>
      <c r="H51" s="1125">
        <v>-6</v>
      </c>
      <c r="I51" s="1126">
        <v>0.13999862670898358</v>
      </c>
      <c r="J51" s="1126">
        <v>90.679997253417966</v>
      </c>
      <c r="K51" s="1127">
        <v>76.819999313354487</v>
      </c>
      <c r="L51" s="1125">
        <v>6462</v>
      </c>
      <c r="M51" s="1125">
        <v>936</v>
      </c>
      <c r="N51" s="1128">
        <v>24.979999828338624</v>
      </c>
      <c r="O51" s="1128">
        <v>19.399999999999999</v>
      </c>
      <c r="P51" s="1128">
        <v>40.279999828338624</v>
      </c>
      <c r="Q51" s="1128">
        <v>52.340000343322757</v>
      </c>
      <c r="R51" s="1128">
        <v>63.680000686645506</v>
      </c>
      <c r="S51" s="1128">
        <v>70.16000137329101</v>
      </c>
      <c r="T51" s="1128">
        <v>69.980000686645511</v>
      </c>
      <c r="U51" s="1128">
        <v>75.739998626708982</v>
      </c>
      <c r="V51" s="1128">
        <v>62.6</v>
      </c>
      <c r="W51" s="1128">
        <v>51.8</v>
      </c>
      <c r="X51" s="1128">
        <v>34.339999914169312</v>
      </c>
      <c r="Y51" s="1128">
        <v>23.9</v>
      </c>
      <c r="Z51" s="1128">
        <v>49.280986406247912</v>
      </c>
      <c r="AA51" s="1128">
        <f t="shared" si="0"/>
        <v>44.157494022266896</v>
      </c>
      <c r="AB51" s="1128">
        <f t="shared" si="1"/>
        <v>42.525481971734287</v>
      </c>
      <c r="AC51" s="1128">
        <f t="shared" si="2"/>
        <v>44.218388720331063</v>
      </c>
      <c r="AD51" s="1128">
        <f t="shared" si="3"/>
        <v>48.794932035552783</v>
      </c>
      <c r="AE51" s="1128">
        <f t="shared" si="4"/>
        <v>55.062165375619593</v>
      </c>
      <c r="AF51" s="1128">
        <f t="shared" si="5"/>
        <v>61.386437789453836</v>
      </c>
      <c r="AG51" s="1128">
        <f t="shared" si="6"/>
        <v>66.119230212401618</v>
      </c>
      <c r="AH51" s="1128">
        <f t="shared" si="7"/>
        <v>68.026867364882662</v>
      </c>
      <c r="AI51" s="1128">
        <f t="shared" si="8"/>
        <v>66.612094225524402</v>
      </c>
      <c r="AJ51" s="1128">
        <f t="shared" si="9"/>
        <v>62.243693215414602</v>
      </c>
      <c r="AK51" s="1128">
        <f t="shared" si="10"/>
        <v>56.060355376935675</v>
      </c>
      <c r="AL51" s="1128">
        <f t="shared" si="11"/>
        <v>49.67386300580759</v>
      </c>
      <c r="AM51" s="1125">
        <f t="shared" si="12"/>
        <v>1</v>
      </c>
      <c r="AN51" s="1125">
        <f t="shared" si="13"/>
        <v>1</v>
      </c>
      <c r="AO51" s="1125">
        <f t="shared" si="14"/>
        <v>1</v>
      </c>
      <c r="AP51" s="1125">
        <f t="shared" si="15"/>
        <v>1</v>
      </c>
      <c r="AQ51" s="1125">
        <f t="shared" si="16"/>
        <v>1</v>
      </c>
      <c r="AR51" s="1125">
        <f t="shared" si="17"/>
        <v>0</v>
      </c>
      <c r="AS51" s="1125">
        <f t="shared" si="18"/>
        <v>0</v>
      </c>
      <c r="AT51" s="1125">
        <f t="shared" si="19"/>
        <v>0</v>
      </c>
      <c r="AU51" s="1125">
        <f t="shared" si="20"/>
        <v>1</v>
      </c>
      <c r="AV51" s="1125">
        <f t="shared" si="21"/>
        <v>1</v>
      </c>
      <c r="AW51" s="1125">
        <f t="shared" si="22"/>
        <v>1</v>
      </c>
      <c r="AX51" s="1125">
        <f t="shared" si="23"/>
        <v>1</v>
      </c>
      <c r="AY51" s="1125">
        <f t="shared" si="24"/>
        <v>0</v>
      </c>
      <c r="AZ51" s="1125">
        <f t="shared" si="25"/>
        <v>0</v>
      </c>
      <c r="BA51" s="1125">
        <f t="shared" si="26"/>
        <v>0</v>
      </c>
      <c r="BB51" s="1125">
        <f t="shared" si="27"/>
        <v>0</v>
      </c>
      <c r="BC51" s="1125">
        <f t="shared" si="28"/>
        <v>0</v>
      </c>
      <c r="BD51" s="1125">
        <f t="shared" si="29"/>
        <v>1</v>
      </c>
      <c r="BE51" s="1125">
        <f t="shared" si="30"/>
        <v>1</v>
      </c>
      <c r="BF51" s="1125">
        <f t="shared" si="31"/>
        <v>1</v>
      </c>
      <c r="BG51" s="1125">
        <f t="shared" si="32"/>
        <v>0</v>
      </c>
      <c r="BH51" s="1125">
        <f t="shared" si="33"/>
        <v>0</v>
      </c>
      <c r="BI51" s="1125">
        <f t="shared" si="34"/>
        <v>0</v>
      </c>
      <c r="BJ51" s="1125">
        <f t="shared" si="35"/>
        <v>0</v>
      </c>
      <c r="BK51" s="1125">
        <f t="shared" si="36"/>
        <v>1</v>
      </c>
      <c r="BL51" s="1125">
        <f t="shared" si="37"/>
        <v>1</v>
      </c>
      <c r="BM51" s="1125">
        <f t="shared" si="38"/>
        <v>1</v>
      </c>
      <c r="BN51" s="1125">
        <f t="shared" si="39"/>
        <v>1</v>
      </c>
      <c r="BO51" s="1125">
        <f t="shared" si="40"/>
        <v>1</v>
      </c>
      <c r="BP51" s="1125">
        <f t="shared" si="41"/>
        <v>1</v>
      </c>
      <c r="BQ51" s="1125">
        <f t="shared" si="42"/>
        <v>0</v>
      </c>
      <c r="BR51" s="1125">
        <f t="shared" si="43"/>
        <v>0</v>
      </c>
      <c r="BS51" s="1125">
        <f t="shared" si="44"/>
        <v>1</v>
      </c>
      <c r="BT51" s="1125">
        <f t="shared" si="45"/>
        <v>1</v>
      </c>
      <c r="BU51" s="1125">
        <f t="shared" si="46"/>
        <v>1</v>
      </c>
      <c r="BV51" s="1125">
        <f t="shared" si="47"/>
        <v>1</v>
      </c>
      <c r="BW51" s="1125">
        <f t="shared" si="48"/>
        <v>0</v>
      </c>
      <c r="BX51" s="1125">
        <f t="shared" si="49"/>
        <v>0</v>
      </c>
      <c r="BY51" s="1125">
        <f t="shared" si="50"/>
        <v>0</v>
      </c>
      <c r="BZ51" s="1125">
        <f t="shared" si="51"/>
        <v>0</v>
      </c>
      <c r="CA51" s="1125">
        <f t="shared" si="52"/>
        <v>1</v>
      </c>
      <c r="CB51" s="1125">
        <f t="shared" si="53"/>
        <v>1</v>
      </c>
      <c r="CC51" s="1125">
        <f t="shared" si="54"/>
        <v>1</v>
      </c>
      <c r="CD51" s="1125">
        <f t="shared" si="55"/>
        <v>1</v>
      </c>
      <c r="CE51" s="1125">
        <f t="shared" si="56"/>
        <v>1</v>
      </c>
      <c r="CF51" s="1125">
        <f t="shared" si="57"/>
        <v>0</v>
      </c>
      <c r="CG51" s="1125">
        <f t="shared" si="58"/>
        <v>0</v>
      </c>
      <c r="CH51" s="1125">
        <f t="shared" si="59"/>
        <v>0</v>
      </c>
      <c r="CI51" s="1125">
        <f t="shared" si="60"/>
        <v>0.85</v>
      </c>
      <c r="CJ51" s="1125">
        <f t="shared" si="61"/>
        <v>0.85</v>
      </c>
      <c r="CK51" s="1125">
        <f t="shared" si="62"/>
        <v>0.85</v>
      </c>
      <c r="CL51" s="1125">
        <f t="shared" si="63"/>
        <v>0.85</v>
      </c>
      <c r="CM51" s="1125">
        <f t="shared" si="64"/>
        <v>0.85</v>
      </c>
      <c r="CN51" s="1125">
        <f t="shared" si="65"/>
        <v>0.85</v>
      </c>
      <c r="CO51" s="1125">
        <f t="shared" si="66"/>
        <v>0.7</v>
      </c>
      <c r="CP51" s="1125">
        <f t="shared" si="67"/>
        <v>0.7</v>
      </c>
      <c r="CQ51" s="1125">
        <f t="shared" si="68"/>
        <v>0.85</v>
      </c>
      <c r="CR51" s="1125">
        <f t="shared" si="69"/>
        <v>0.85</v>
      </c>
      <c r="CS51" s="1125">
        <f t="shared" si="70"/>
        <v>0.85</v>
      </c>
      <c r="CT51" s="1125">
        <f t="shared" si="71"/>
        <v>0.85</v>
      </c>
      <c r="CU51" s="1125">
        <v>1</v>
      </c>
      <c r="CV51" s="1125"/>
      <c r="CW51" s="1125">
        <f t="shared" si="72"/>
        <v>153</v>
      </c>
      <c r="CX51" s="1125">
        <f t="shared" si="73"/>
        <v>212</v>
      </c>
      <c r="CY51" s="1136" t="s">
        <v>4889</v>
      </c>
      <c r="CZ51" s="1129" t="s">
        <v>4897</v>
      </c>
      <c r="DA51" s="1129"/>
      <c r="DB51" s="1129"/>
      <c r="DC51" s="1125" t="s">
        <v>5158</v>
      </c>
      <c r="DD51" s="1125" t="s">
        <v>566</v>
      </c>
      <c r="DE51" s="1120" t="str">
        <f t="shared" si="74"/>
        <v/>
      </c>
      <c r="DF51" s="1133">
        <v>0</v>
      </c>
      <c r="DG51" s="1120">
        <v>0</v>
      </c>
    </row>
    <row r="52" spans="1:111">
      <c r="A52" s="1125" t="s">
        <v>2970</v>
      </c>
      <c r="B52" s="1125" t="s">
        <v>3685</v>
      </c>
      <c r="C52" s="1125" t="s">
        <v>3686</v>
      </c>
      <c r="D52" s="1125" t="s">
        <v>903</v>
      </c>
      <c r="E52" s="1125">
        <v>289</v>
      </c>
      <c r="F52" s="1125">
        <v>-70.28</v>
      </c>
      <c r="G52" s="1125">
        <v>44.05</v>
      </c>
      <c r="H52" s="1125">
        <v>-5</v>
      </c>
      <c r="I52" s="1126">
        <v>-0.76000137329101647</v>
      </c>
      <c r="J52" s="1126">
        <v>83.66000137329101</v>
      </c>
      <c r="K52" s="1127">
        <v>69.080000686645505</v>
      </c>
      <c r="L52" s="1125">
        <v>7412.4000000000005</v>
      </c>
      <c r="M52" s="1125">
        <v>343.8</v>
      </c>
      <c r="N52" s="1128">
        <v>24.620000171661378</v>
      </c>
      <c r="O52" s="1128">
        <v>21.2</v>
      </c>
      <c r="P52" s="1128">
        <v>35.6</v>
      </c>
      <c r="Q52" s="1128">
        <v>42.8</v>
      </c>
      <c r="R52" s="1128">
        <v>52.340000343322757</v>
      </c>
      <c r="S52" s="1128">
        <v>60.980000686645511</v>
      </c>
      <c r="T52" s="1128">
        <v>70.880000686645502</v>
      </c>
      <c r="U52" s="1128">
        <v>60.8</v>
      </c>
      <c r="V52" s="1128">
        <v>57.740000343322755</v>
      </c>
      <c r="W52" s="1128">
        <v>44.779999828338624</v>
      </c>
      <c r="X52" s="1128">
        <v>37.4</v>
      </c>
      <c r="Y52" s="1128">
        <v>29.480000042915343</v>
      </c>
      <c r="Z52" s="1128">
        <v>45.026575518242304</v>
      </c>
      <c r="AA52" s="1128">
        <f t="shared" si="0"/>
        <v>42.52822754513231</v>
      </c>
      <c r="AB52" s="1128">
        <f t="shared" si="1"/>
        <v>40.859389323164422</v>
      </c>
      <c r="AC52" s="1128">
        <f t="shared" si="2"/>
        <v>41.840784864025537</v>
      </c>
      <c r="AD52" s="1128">
        <f t="shared" si="3"/>
        <v>45.21659829622714</v>
      </c>
      <c r="AE52" s="1128">
        <f t="shared" si="4"/>
        <v>50.106871825806174</v>
      </c>
      <c r="AF52" s="1128">
        <f t="shared" si="5"/>
        <v>55.236880295881598</v>
      </c>
      <c r="AG52" s="1128">
        <f t="shared" si="6"/>
        <v>59.269407942904735</v>
      </c>
      <c r="AH52" s="1128">
        <f t="shared" si="7"/>
        <v>61.153314292546902</v>
      </c>
      <c r="AI52" s="1128">
        <f t="shared" si="8"/>
        <v>60.397530122898232</v>
      </c>
      <c r="AJ52" s="1128">
        <f t="shared" si="9"/>
        <v>57.199062224764262</v>
      </c>
      <c r="AK52" s="1128">
        <f t="shared" si="10"/>
        <v>52.391640545675919</v>
      </c>
      <c r="AL52" s="1128">
        <f t="shared" si="11"/>
        <v>47.228393630898154</v>
      </c>
      <c r="AM52" s="1125">
        <f t="shared" si="12"/>
        <v>1</v>
      </c>
      <c r="AN52" s="1125">
        <f t="shared" si="13"/>
        <v>1</v>
      </c>
      <c r="AO52" s="1125">
        <f t="shared" si="14"/>
        <v>1</v>
      </c>
      <c r="AP52" s="1125">
        <f t="shared" si="15"/>
        <v>1</v>
      </c>
      <c r="AQ52" s="1125">
        <f t="shared" si="16"/>
        <v>1</v>
      </c>
      <c r="AR52" s="1125">
        <f t="shared" si="17"/>
        <v>1</v>
      </c>
      <c r="AS52" s="1125">
        <f t="shared" si="18"/>
        <v>0</v>
      </c>
      <c r="AT52" s="1125">
        <f t="shared" si="19"/>
        <v>1</v>
      </c>
      <c r="AU52" s="1125">
        <f t="shared" si="20"/>
        <v>1</v>
      </c>
      <c r="AV52" s="1125">
        <f t="shared" si="21"/>
        <v>1</v>
      </c>
      <c r="AW52" s="1125">
        <f t="shared" si="22"/>
        <v>1</v>
      </c>
      <c r="AX52" s="1125">
        <f t="shared" si="23"/>
        <v>1</v>
      </c>
      <c r="AY52" s="1125">
        <f t="shared" si="24"/>
        <v>0</v>
      </c>
      <c r="AZ52" s="1125">
        <f t="shared" si="25"/>
        <v>0</v>
      </c>
      <c r="BA52" s="1125">
        <f t="shared" si="26"/>
        <v>0</v>
      </c>
      <c r="BB52" s="1125">
        <f t="shared" si="27"/>
        <v>0</v>
      </c>
      <c r="BC52" s="1125">
        <f t="shared" si="28"/>
        <v>0</v>
      </c>
      <c r="BD52" s="1125">
        <f t="shared" si="29"/>
        <v>0</v>
      </c>
      <c r="BE52" s="1125">
        <f t="shared" si="30"/>
        <v>1</v>
      </c>
      <c r="BF52" s="1125">
        <f t="shared" si="31"/>
        <v>1</v>
      </c>
      <c r="BG52" s="1125">
        <f t="shared" si="32"/>
        <v>0</v>
      </c>
      <c r="BH52" s="1125">
        <f t="shared" si="33"/>
        <v>0</v>
      </c>
      <c r="BI52" s="1125">
        <f t="shared" si="34"/>
        <v>0</v>
      </c>
      <c r="BJ52" s="1125">
        <f t="shared" si="35"/>
        <v>0</v>
      </c>
      <c r="BK52" s="1125">
        <f t="shared" si="36"/>
        <v>1</v>
      </c>
      <c r="BL52" s="1125">
        <f t="shared" si="37"/>
        <v>1</v>
      </c>
      <c r="BM52" s="1125">
        <f t="shared" si="38"/>
        <v>1</v>
      </c>
      <c r="BN52" s="1125">
        <f t="shared" si="39"/>
        <v>1</v>
      </c>
      <c r="BO52" s="1125">
        <f t="shared" si="40"/>
        <v>1</v>
      </c>
      <c r="BP52" s="1125">
        <f t="shared" si="41"/>
        <v>1</v>
      </c>
      <c r="BQ52" s="1125">
        <f t="shared" si="42"/>
        <v>1</v>
      </c>
      <c r="BR52" s="1125">
        <f t="shared" si="43"/>
        <v>1</v>
      </c>
      <c r="BS52" s="1125">
        <f t="shared" si="44"/>
        <v>1</v>
      </c>
      <c r="BT52" s="1125">
        <f t="shared" si="45"/>
        <v>1</v>
      </c>
      <c r="BU52" s="1125">
        <f t="shared" si="46"/>
        <v>1</v>
      </c>
      <c r="BV52" s="1125">
        <f t="shared" si="47"/>
        <v>1</v>
      </c>
      <c r="BW52" s="1125">
        <f t="shared" si="48"/>
        <v>0</v>
      </c>
      <c r="BX52" s="1125">
        <f t="shared" si="49"/>
        <v>0</v>
      </c>
      <c r="BY52" s="1125">
        <f t="shared" si="50"/>
        <v>0</v>
      </c>
      <c r="BZ52" s="1125">
        <f t="shared" si="51"/>
        <v>0</v>
      </c>
      <c r="CA52" s="1125">
        <f t="shared" si="52"/>
        <v>0</v>
      </c>
      <c r="CB52" s="1125">
        <f t="shared" si="53"/>
        <v>1</v>
      </c>
      <c r="CC52" s="1125">
        <f t="shared" si="54"/>
        <v>1</v>
      </c>
      <c r="CD52" s="1125">
        <f t="shared" si="55"/>
        <v>1</v>
      </c>
      <c r="CE52" s="1125">
        <f t="shared" si="56"/>
        <v>0</v>
      </c>
      <c r="CF52" s="1125">
        <f t="shared" si="57"/>
        <v>0</v>
      </c>
      <c r="CG52" s="1125">
        <f t="shared" si="58"/>
        <v>0</v>
      </c>
      <c r="CH52" s="1125">
        <f t="shared" si="59"/>
        <v>0</v>
      </c>
      <c r="CI52" s="1125">
        <f t="shared" si="60"/>
        <v>0.85</v>
      </c>
      <c r="CJ52" s="1125">
        <f t="shared" si="61"/>
        <v>0.85</v>
      </c>
      <c r="CK52" s="1125">
        <f t="shared" si="62"/>
        <v>0.85</v>
      </c>
      <c r="CL52" s="1125">
        <f t="shared" si="63"/>
        <v>0.85</v>
      </c>
      <c r="CM52" s="1125">
        <f t="shared" si="64"/>
        <v>0.85</v>
      </c>
      <c r="CN52" s="1125">
        <f t="shared" si="65"/>
        <v>0.85</v>
      </c>
      <c r="CO52" s="1125">
        <f t="shared" si="66"/>
        <v>0.85</v>
      </c>
      <c r="CP52" s="1125">
        <f t="shared" si="67"/>
        <v>0.85</v>
      </c>
      <c r="CQ52" s="1125">
        <f t="shared" si="68"/>
        <v>0.85</v>
      </c>
      <c r="CR52" s="1125">
        <f t="shared" si="69"/>
        <v>0.85</v>
      </c>
      <c r="CS52" s="1125">
        <f t="shared" si="70"/>
        <v>0.85</v>
      </c>
      <c r="CT52" s="1125">
        <f t="shared" si="71"/>
        <v>0.85</v>
      </c>
      <c r="CU52" s="1125">
        <v>1</v>
      </c>
      <c r="CV52" s="1125"/>
      <c r="CW52" s="1125">
        <f t="shared" si="72"/>
        <v>92</v>
      </c>
      <c r="CX52" s="1125">
        <f t="shared" si="73"/>
        <v>273</v>
      </c>
      <c r="CY52" s="1135" t="s">
        <v>4889</v>
      </c>
      <c r="CZ52" s="1124" t="s">
        <v>4899</v>
      </c>
      <c r="DA52" s="1124"/>
      <c r="DB52" s="1124"/>
      <c r="DC52" s="1120" t="s">
        <v>6035</v>
      </c>
      <c r="DD52" s="1120" t="s">
        <v>903</v>
      </c>
      <c r="DE52" s="1120" t="str">
        <f t="shared" si="74"/>
        <v/>
      </c>
      <c r="DF52" s="1133">
        <v>0</v>
      </c>
      <c r="DG52" s="1125">
        <v>0</v>
      </c>
    </row>
    <row r="53" spans="1:111">
      <c r="A53" s="1120" t="s">
        <v>2972</v>
      </c>
      <c r="B53" s="1125" t="s">
        <v>3000</v>
      </c>
      <c r="C53" s="1125" t="s">
        <v>3001</v>
      </c>
      <c r="D53" s="1125" t="s">
        <v>247</v>
      </c>
      <c r="E53" s="1125">
        <v>774</v>
      </c>
      <c r="F53" s="1125">
        <v>-85.43</v>
      </c>
      <c r="G53" s="1125">
        <v>32.619999999999997</v>
      </c>
      <c r="H53" s="1125">
        <v>-6</v>
      </c>
      <c r="I53" s="1126">
        <v>27.679999828338623</v>
      </c>
      <c r="J53" s="1126">
        <v>90.679997253417966</v>
      </c>
      <c r="K53" s="1127">
        <v>73.580000686645505</v>
      </c>
      <c r="L53" s="1125">
        <v>2579.4</v>
      </c>
      <c r="M53" s="1125">
        <v>1427.4</v>
      </c>
      <c r="N53" s="1128">
        <v>41.9</v>
      </c>
      <c r="O53" s="1128">
        <v>48.2</v>
      </c>
      <c r="P53" s="1128">
        <v>50.719999313354492</v>
      </c>
      <c r="Q53" s="1128">
        <v>62.780000686645508</v>
      </c>
      <c r="R53" s="1128">
        <v>67.639998626708987</v>
      </c>
      <c r="S53" s="1128">
        <v>74.83999862670899</v>
      </c>
      <c r="T53" s="1128">
        <v>74.480000686645511</v>
      </c>
      <c r="U53" s="1128">
        <v>75.019999313354489</v>
      </c>
      <c r="V53" s="1128">
        <v>71.060001373291016</v>
      </c>
      <c r="W53" s="1128">
        <v>62.6</v>
      </c>
      <c r="X53" s="1128">
        <v>56.3</v>
      </c>
      <c r="Y53" s="1128">
        <v>48.559999656677249</v>
      </c>
      <c r="Z53" s="1128">
        <v>61.226082044105006</v>
      </c>
      <c r="AA53" s="1128">
        <f t="shared" si="0"/>
        <v>58.189299210144469</v>
      </c>
      <c r="AB53" s="1128">
        <f t="shared" si="1"/>
        <v>57.958423108868928</v>
      </c>
      <c r="AC53" s="1128">
        <f t="shared" si="2"/>
        <v>60.143305128009963</v>
      </c>
      <c r="AD53" s="1128">
        <f t="shared" si="3"/>
        <v>64.174422099227343</v>
      </c>
      <c r="AE53" s="1128">
        <f t="shared" si="4"/>
        <v>69.00100126258036</v>
      </c>
      <c r="AF53" s="1128">
        <f t="shared" si="5"/>
        <v>73.364920379304664</v>
      </c>
      <c r="AG53" s="1128">
        <f t="shared" si="6"/>
        <v>76.128656681596837</v>
      </c>
      <c r="AH53" s="1128">
        <f t="shared" si="7"/>
        <v>76.571799711798803</v>
      </c>
      <c r="AI53" s="1128">
        <f t="shared" si="8"/>
        <v>74.578837410047626</v>
      </c>
      <c r="AJ53" s="1128">
        <f t="shared" si="9"/>
        <v>70.669266112773457</v>
      </c>
      <c r="AK53" s="1128">
        <f t="shared" si="10"/>
        <v>65.862175826928222</v>
      </c>
      <c r="AL53" s="1128">
        <f t="shared" si="11"/>
        <v>61.410608715021134</v>
      </c>
      <c r="AM53" s="1125">
        <f t="shared" si="12"/>
        <v>1</v>
      </c>
      <c r="AN53" s="1125">
        <f t="shared" si="13"/>
        <v>1</v>
      </c>
      <c r="AO53" s="1125">
        <f t="shared" si="14"/>
        <v>1</v>
      </c>
      <c r="AP53" s="1125">
        <f t="shared" si="15"/>
        <v>1</v>
      </c>
      <c r="AQ53" s="1125">
        <f t="shared" si="16"/>
        <v>0</v>
      </c>
      <c r="AR53" s="1125">
        <f t="shared" si="17"/>
        <v>0</v>
      </c>
      <c r="AS53" s="1125">
        <f t="shared" si="18"/>
        <v>0</v>
      </c>
      <c r="AT53" s="1125">
        <f t="shared" si="19"/>
        <v>0</v>
      </c>
      <c r="AU53" s="1125">
        <f t="shared" si="20"/>
        <v>0</v>
      </c>
      <c r="AV53" s="1125">
        <f t="shared" si="21"/>
        <v>1</v>
      </c>
      <c r="AW53" s="1125">
        <f t="shared" si="22"/>
        <v>1</v>
      </c>
      <c r="AX53" s="1125">
        <f t="shared" si="23"/>
        <v>1</v>
      </c>
      <c r="AY53" s="1125">
        <f t="shared" si="24"/>
        <v>0</v>
      </c>
      <c r="AZ53" s="1125">
        <f t="shared" si="25"/>
        <v>0</v>
      </c>
      <c r="BA53" s="1125">
        <f t="shared" si="26"/>
        <v>0</v>
      </c>
      <c r="BB53" s="1125">
        <f t="shared" si="27"/>
        <v>0</v>
      </c>
      <c r="BC53" s="1125">
        <f t="shared" si="28"/>
        <v>1</v>
      </c>
      <c r="BD53" s="1125">
        <f t="shared" si="29"/>
        <v>1</v>
      </c>
      <c r="BE53" s="1125">
        <f t="shared" si="30"/>
        <v>1</v>
      </c>
      <c r="BF53" s="1125">
        <f t="shared" si="31"/>
        <v>1</v>
      </c>
      <c r="BG53" s="1125">
        <f t="shared" si="32"/>
        <v>1</v>
      </c>
      <c r="BH53" s="1125">
        <f t="shared" si="33"/>
        <v>0</v>
      </c>
      <c r="BI53" s="1125">
        <f t="shared" si="34"/>
        <v>0</v>
      </c>
      <c r="BJ53" s="1125">
        <f t="shared" si="35"/>
        <v>0</v>
      </c>
      <c r="BK53" s="1125">
        <f t="shared" si="36"/>
        <v>1</v>
      </c>
      <c r="BL53" s="1125">
        <f t="shared" si="37"/>
        <v>1</v>
      </c>
      <c r="BM53" s="1125">
        <f t="shared" si="38"/>
        <v>1</v>
      </c>
      <c r="BN53" s="1125">
        <f t="shared" si="39"/>
        <v>1</v>
      </c>
      <c r="BO53" s="1125">
        <f t="shared" si="40"/>
        <v>1</v>
      </c>
      <c r="BP53" s="1125">
        <f t="shared" si="41"/>
        <v>0</v>
      </c>
      <c r="BQ53" s="1125">
        <f t="shared" si="42"/>
        <v>0</v>
      </c>
      <c r="BR53" s="1125">
        <f t="shared" si="43"/>
        <v>0</v>
      </c>
      <c r="BS53" s="1125">
        <f t="shared" si="44"/>
        <v>0</v>
      </c>
      <c r="BT53" s="1125">
        <f t="shared" si="45"/>
        <v>1</v>
      </c>
      <c r="BU53" s="1125">
        <f t="shared" si="46"/>
        <v>1</v>
      </c>
      <c r="BV53" s="1125">
        <f t="shared" si="47"/>
        <v>1</v>
      </c>
      <c r="BW53" s="1125">
        <f t="shared" si="48"/>
        <v>0</v>
      </c>
      <c r="BX53" s="1125">
        <f t="shared" si="49"/>
        <v>0</v>
      </c>
      <c r="BY53" s="1125">
        <f t="shared" si="50"/>
        <v>0</v>
      </c>
      <c r="BZ53" s="1125">
        <f t="shared" si="51"/>
        <v>1</v>
      </c>
      <c r="CA53" s="1125">
        <f t="shared" si="52"/>
        <v>1</v>
      </c>
      <c r="CB53" s="1125">
        <f t="shared" si="53"/>
        <v>1</v>
      </c>
      <c r="CC53" s="1125">
        <f t="shared" si="54"/>
        <v>1</v>
      </c>
      <c r="CD53" s="1125">
        <f t="shared" si="55"/>
        <v>1</v>
      </c>
      <c r="CE53" s="1125">
        <f t="shared" si="56"/>
        <v>1</v>
      </c>
      <c r="CF53" s="1125">
        <f t="shared" si="57"/>
        <v>1</v>
      </c>
      <c r="CG53" s="1125">
        <f t="shared" si="58"/>
        <v>0</v>
      </c>
      <c r="CH53" s="1125">
        <f t="shared" si="59"/>
        <v>0</v>
      </c>
      <c r="CI53" s="1125">
        <f t="shared" si="60"/>
        <v>0.85</v>
      </c>
      <c r="CJ53" s="1125">
        <f t="shared" si="61"/>
        <v>0.85</v>
      </c>
      <c r="CK53" s="1125">
        <f t="shared" si="62"/>
        <v>0.85</v>
      </c>
      <c r="CL53" s="1125">
        <f t="shared" si="63"/>
        <v>0.85</v>
      </c>
      <c r="CM53" s="1125">
        <f t="shared" si="64"/>
        <v>0.85</v>
      </c>
      <c r="CN53" s="1125">
        <f t="shared" si="65"/>
        <v>0.7</v>
      </c>
      <c r="CO53" s="1125">
        <f t="shared" si="66"/>
        <v>0.7</v>
      </c>
      <c r="CP53" s="1125">
        <f t="shared" si="67"/>
        <v>0.7</v>
      </c>
      <c r="CQ53" s="1125">
        <f t="shared" si="68"/>
        <v>0.7</v>
      </c>
      <c r="CR53" s="1125">
        <f t="shared" si="69"/>
        <v>0.85</v>
      </c>
      <c r="CS53" s="1125">
        <f t="shared" si="70"/>
        <v>0.85</v>
      </c>
      <c r="CT53" s="1125">
        <f t="shared" si="71"/>
        <v>0.85</v>
      </c>
      <c r="CU53" s="1125">
        <v>1</v>
      </c>
      <c r="CV53" s="1125"/>
      <c r="CW53" s="1125">
        <f t="shared" si="72"/>
        <v>214</v>
      </c>
      <c r="CX53" s="1125">
        <f t="shared" si="73"/>
        <v>151</v>
      </c>
      <c r="CY53" s="1136" t="s">
        <v>4881</v>
      </c>
      <c r="CZ53" s="1129" t="s">
        <v>4882</v>
      </c>
      <c r="DA53" s="1129"/>
      <c r="DB53" s="1129"/>
      <c r="DC53" s="1125" t="s">
        <v>4975</v>
      </c>
      <c r="DD53" s="1125" t="s">
        <v>247</v>
      </c>
      <c r="DE53" s="1125" t="b">
        <f t="shared" si="74"/>
        <v>0</v>
      </c>
      <c r="DF53" s="1125">
        <v>0</v>
      </c>
      <c r="DG53" s="1120">
        <v>0</v>
      </c>
    </row>
    <row r="54" spans="1:111">
      <c r="A54" s="1125" t="s">
        <v>2974</v>
      </c>
      <c r="B54" s="1120" t="s">
        <v>3687</v>
      </c>
      <c r="C54" s="1120" t="s">
        <v>3688</v>
      </c>
      <c r="D54" s="1120" t="s">
        <v>903</v>
      </c>
      <c r="E54" s="1120">
        <v>351</v>
      </c>
      <c r="F54" s="1120">
        <v>-69.8</v>
      </c>
      <c r="G54" s="1120">
        <v>44.32</v>
      </c>
      <c r="H54" s="1120">
        <v>-5</v>
      </c>
      <c r="I54" s="1121">
        <v>0.86000137329101489</v>
      </c>
      <c r="J54" s="1121">
        <v>83.66000137329101</v>
      </c>
      <c r="K54" s="1122">
        <v>69.080000686645505</v>
      </c>
      <c r="L54" s="1120">
        <v>7345.8</v>
      </c>
      <c r="M54" s="1120">
        <v>3.6</v>
      </c>
      <c r="N54" s="1123">
        <v>10.399999999999999</v>
      </c>
      <c r="O54" s="1123">
        <v>16.880000686645506</v>
      </c>
      <c r="P54" s="1123">
        <v>38.299999999999997</v>
      </c>
      <c r="Q54" s="1123">
        <v>44.240000343322755</v>
      </c>
      <c r="R54" s="1123">
        <v>54.319999313354494</v>
      </c>
      <c r="S54" s="1123">
        <v>61.519999313354496</v>
      </c>
      <c r="T54" s="1123">
        <v>66.919999313354495</v>
      </c>
      <c r="U54" s="1123">
        <v>68.539998626708979</v>
      </c>
      <c r="V54" s="1123">
        <v>65.480000686645511</v>
      </c>
      <c r="W54" s="1123">
        <v>49.459999656677248</v>
      </c>
      <c r="X54" s="1123">
        <v>39.740000343322755</v>
      </c>
      <c r="Y54" s="1123">
        <v>26.420000171661378</v>
      </c>
      <c r="Z54" s="1123">
        <v>45.334794381807932</v>
      </c>
      <c r="AA54" s="1123">
        <f t="shared" si="0"/>
        <v>41.279512671106183</v>
      </c>
      <c r="AB54" s="1123">
        <f t="shared" si="1"/>
        <v>39.342664115642535</v>
      </c>
      <c r="AC54" s="1123">
        <f t="shared" si="2"/>
        <v>40.531749118376275</v>
      </c>
      <c r="AD54" s="1123">
        <f t="shared" si="3"/>
        <v>44.536814348990298</v>
      </c>
      <c r="AE54" s="1123">
        <f t="shared" si="4"/>
        <v>50.313877835201602</v>
      </c>
      <c r="AF54" s="1123">
        <f t="shared" si="5"/>
        <v>56.357058952086049</v>
      </c>
      <c r="AG54" s="1123">
        <f t="shared" si="6"/>
        <v>61.091109413287739</v>
      </c>
      <c r="AH54" s="1123">
        <f t="shared" si="7"/>
        <v>63.282026012168551</v>
      </c>
      <c r="AI54" s="1123">
        <f t="shared" si="8"/>
        <v>62.358712574183407</v>
      </c>
      <c r="AJ54" s="1123">
        <f t="shared" si="9"/>
        <v>58.56184497563391</v>
      </c>
      <c r="AK54" s="1123">
        <f t="shared" si="10"/>
        <v>52.88113526758282</v>
      </c>
      <c r="AL54" s="1123">
        <f t="shared" si="11"/>
        <v>46.797347977820124</v>
      </c>
      <c r="AM54" s="1120">
        <f t="shared" si="12"/>
        <v>1</v>
      </c>
      <c r="AN54" s="1120">
        <f t="shared" si="13"/>
        <v>1</v>
      </c>
      <c r="AO54" s="1120">
        <f t="shared" si="14"/>
        <v>1</v>
      </c>
      <c r="AP54" s="1120">
        <f t="shared" si="15"/>
        <v>1</v>
      </c>
      <c r="AQ54" s="1120">
        <f t="shared" si="16"/>
        <v>1</v>
      </c>
      <c r="AR54" s="1120">
        <f t="shared" si="17"/>
        <v>1</v>
      </c>
      <c r="AS54" s="1120">
        <f t="shared" si="18"/>
        <v>0</v>
      </c>
      <c r="AT54" s="1120">
        <f t="shared" si="19"/>
        <v>0</v>
      </c>
      <c r="AU54" s="1120">
        <f t="shared" si="20"/>
        <v>1</v>
      </c>
      <c r="AV54" s="1120">
        <f t="shared" si="21"/>
        <v>1</v>
      </c>
      <c r="AW54" s="1120">
        <f t="shared" si="22"/>
        <v>1</v>
      </c>
      <c r="AX54" s="1120">
        <f t="shared" si="23"/>
        <v>1</v>
      </c>
      <c r="AY54" s="1120">
        <f t="shared" si="24"/>
        <v>0</v>
      </c>
      <c r="AZ54" s="1120">
        <f t="shared" si="25"/>
        <v>0</v>
      </c>
      <c r="BA54" s="1120">
        <f t="shared" si="26"/>
        <v>0</v>
      </c>
      <c r="BB54" s="1120">
        <f t="shared" si="27"/>
        <v>0</v>
      </c>
      <c r="BC54" s="1120">
        <f t="shared" si="28"/>
        <v>0</v>
      </c>
      <c r="BD54" s="1120">
        <f t="shared" si="29"/>
        <v>0</v>
      </c>
      <c r="BE54" s="1120">
        <f t="shared" si="30"/>
        <v>1</v>
      </c>
      <c r="BF54" s="1120">
        <f t="shared" si="31"/>
        <v>1</v>
      </c>
      <c r="BG54" s="1120">
        <f t="shared" si="32"/>
        <v>0</v>
      </c>
      <c r="BH54" s="1120">
        <f t="shared" si="33"/>
        <v>0</v>
      </c>
      <c r="BI54" s="1120">
        <f t="shared" si="34"/>
        <v>0</v>
      </c>
      <c r="BJ54" s="1120">
        <f t="shared" si="35"/>
        <v>0</v>
      </c>
      <c r="BK54" s="1120">
        <f t="shared" si="36"/>
        <v>1</v>
      </c>
      <c r="BL54" s="1120">
        <f t="shared" si="37"/>
        <v>1</v>
      </c>
      <c r="BM54" s="1120">
        <f t="shared" si="38"/>
        <v>1</v>
      </c>
      <c r="BN54" s="1120">
        <f t="shared" si="39"/>
        <v>1</v>
      </c>
      <c r="BO54" s="1120">
        <f t="shared" si="40"/>
        <v>1</v>
      </c>
      <c r="BP54" s="1120">
        <f t="shared" si="41"/>
        <v>1</v>
      </c>
      <c r="BQ54" s="1120">
        <f t="shared" si="42"/>
        <v>1</v>
      </c>
      <c r="BR54" s="1120">
        <f t="shared" si="43"/>
        <v>0</v>
      </c>
      <c r="BS54" s="1120">
        <f t="shared" si="44"/>
        <v>1</v>
      </c>
      <c r="BT54" s="1120">
        <f t="shared" si="45"/>
        <v>1</v>
      </c>
      <c r="BU54" s="1120">
        <f t="shared" si="46"/>
        <v>1</v>
      </c>
      <c r="BV54" s="1120">
        <f t="shared" si="47"/>
        <v>1</v>
      </c>
      <c r="BW54" s="1120">
        <f t="shared" si="48"/>
        <v>0</v>
      </c>
      <c r="BX54" s="1120">
        <f t="shared" si="49"/>
        <v>0</v>
      </c>
      <c r="BY54" s="1120">
        <f t="shared" si="50"/>
        <v>0</v>
      </c>
      <c r="BZ54" s="1120">
        <f t="shared" si="51"/>
        <v>0</v>
      </c>
      <c r="CA54" s="1120">
        <f t="shared" si="52"/>
        <v>0</v>
      </c>
      <c r="CB54" s="1120">
        <f t="shared" si="53"/>
        <v>1</v>
      </c>
      <c r="CC54" s="1120">
        <f t="shared" si="54"/>
        <v>1</v>
      </c>
      <c r="CD54" s="1120">
        <f t="shared" si="55"/>
        <v>1</v>
      </c>
      <c r="CE54" s="1120">
        <f t="shared" si="56"/>
        <v>1</v>
      </c>
      <c r="CF54" s="1120">
        <f t="shared" si="57"/>
        <v>0</v>
      </c>
      <c r="CG54" s="1120">
        <f t="shared" si="58"/>
        <v>0</v>
      </c>
      <c r="CH54" s="1120">
        <f t="shared" si="59"/>
        <v>0</v>
      </c>
      <c r="CI54" s="1120">
        <f t="shared" si="60"/>
        <v>0.85</v>
      </c>
      <c r="CJ54" s="1120">
        <f t="shared" si="61"/>
        <v>0.85</v>
      </c>
      <c r="CK54" s="1120">
        <f t="shared" si="62"/>
        <v>0.85</v>
      </c>
      <c r="CL54" s="1120">
        <f t="shared" si="63"/>
        <v>0.85</v>
      </c>
      <c r="CM54" s="1120">
        <f t="shared" si="64"/>
        <v>0.85</v>
      </c>
      <c r="CN54" s="1120">
        <f t="shared" si="65"/>
        <v>0.85</v>
      </c>
      <c r="CO54" s="1120">
        <f t="shared" si="66"/>
        <v>0.85</v>
      </c>
      <c r="CP54" s="1120">
        <f t="shared" si="67"/>
        <v>0.7</v>
      </c>
      <c r="CQ54" s="1120">
        <f t="shared" si="68"/>
        <v>0.85</v>
      </c>
      <c r="CR54" s="1120">
        <f t="shared" si="69"/>
        <v>0.85</v>
      </c>
      <c r="CS54" s="1120">
        <f t="shared" si="70"/>
        <v>0.85</v>
      </c>
      <c r="CT54" s="1120">
        <f t="shared" si="71"/>
        <v>0.85</v>
      </c>
      <c r="CU54" s="1120">
        <v>1</v>
      </c>
      <c r="CV54" s="1120"/>
      <c r="CW54" s="1120">
        <f t="shared" si="72"/>
        <v>122</v>
      </c>
      <c r="CX54" s="1120">
        <f t="shared" si="73"/>
        <v>243</v>
      </c>
      <c r="CY54" s="1136" t="s">
        <v>4889</v>
      </c>
      <c r="CZ54" s="1129" t="s">
        <v>4899</v>
      </c>
      <c r="DA54" s="1129"/>
      <c r="DB54" s="1129"/>
      <c r="DC54" s="1125" t="s">
        <v>5284</v>
      </c>
      <c r="DD54" s="1125" t="s">
        <v>903</v>
      </c>
      <c r="DE54" s="1120" t="str">
        <f t="shared" si="74"/>
        <v/>
      </c>
      <c r="DF54" s="1133">
        <v>0</v>
      </c>
      <c r="DG54" s="1125">
        <v>0</v>
      </c>
    </row>
    <row r="55" spans="1:111">
      <c r="A55" s="1120" t="s">
        <v>266</v>
      </c>
      <c r="B55" s="1125" t="s">
        <v>3354</v>
      </c>
      <c r="C55" s="1125" t="s">
        <v>3355</v>
      </c>
      <c r="D55" s="1125" t="s">
        <v>428</v>
      </c>
      <c r="E55" s="1125">
        <v>131</v>
      </c>
      <c r="F55" s="1125">
        <v>-81.97</v>
      </c>
      <c r="G55" s="1125">
        <v>33.369999999999997</v>
      </c>
      <c r="H55" s="1125">
        <v>-5</v>
      </c>
      <c r="I55" s="1126">
        <v>25.879999828338622</v>
      </c>
      <c r="J55" s="1126">
        <v>94.639998626708987</v>
      </c>
      <c r="K55" s="1127">
        <v>75.919999313354495</v>
      </c>
      <c r="L55" s="1125">
        <v>2473.2000000000003</v>
      </c>
      <c r="M55" s="1125">
        <v>2025</v>
      </c>
      <c r="N55" s="1128">
        <v>44.240000343322755</v>
      </c>
      <c r="O55" s="1128">
        <v>48.019999313354489</v>
      </c>
      <c r="P55" s="1128">
        <v>56.119999313354491</v>
      </c>
      <c r="Q55" s="1128">
        <v>63.139998626708987</v>
      </c>
      <c r="R55" s="1128">
        <v>71.599999999999994</v>
      </c>
      <c r="S55" s="1128">
        <v>78.619999313354498</v>
      </c>
      <c r="T55" s="1128">
        <v>80.419999313354495</v>
      </c>
      <c r="U55" s="1128">
        <v>79.33999862670899</v>
      </c>
      <c r="V55" s="1128">
        <v>74.3</v>
      </c>
      <c r="W55" s="1128">
        <v>60.080000686645505</v>
      </c>
      <c r="X55" s="1128">
        <v>55.759999656677245</v>
      </c>
      <c r="Y55" s="1128">
        <v>45.679999828338623</v>
      </c>
      <c r="Z55" s="1128">
        <v>63.180931096272928</v>
      </c>
      <c r="AA55" s="1128">
        <f t="shared" si="0"/>
        <v>58.869355778820292</v>
      </c>
      <c r="AB55" s="1128">
        <f t="shared" si="1"/>
        <v>58.792314693805295</v>
      </c>
      <c r="AC55" s="1128">
        <f t="shared" si="2"/>
        <v>61.423226567518242</v>
      </c>
      <c r="AD55" s="1128">
        <f t="shared" si="3"/>
        <v>66.076303676496622</v>
      </c>
      <c r="AE55" s="1128">
        <f t="shared" si="4"/>
        <v>71.538649766196457</v>
      </c>
      <c r="AF55" s="1128">
        <f t="shared" si="5"/>
        <v>76.386420151036219</v>
      </c>
      <c r="AG55" s="1128">
        <f t="shared" si="6"/>
        <v>79.355968773804435</v>
      </c>
      <c r="AH55" s="1128">
        <f t="shared" si="7"/>
        <v>79.673237023847093</v>
      </c>
      <c r="AI55" s="1128">
        <f t="shared" si="8"/>
        <v>77.255524042538852</v>
      </c>
      <c r="AJ55" s="1128">
        <f t="shared" si="9"/>
        <v>72.733043976542533</v>
      </c>
      <c r="AK55" s="1128">
        <f t="shared" si="10"/>
        <v>67.284650948587498</v>
      </c>
      <c r="AL55" s="1128">
        <f t="shared" si="11"/>
        <v>62.3305525636883</v>
      </c>
      <c r="AM55" s="1125">
        <f t="shared" si="12"/>
        <v>1</v>
      </c>
      <c r="AN55" s="1125">
        <f t="shared" si="13"/>
        <v>1</v>
      </c>
      <c r="AO55" s="1125">
        <f t="shared" si="14"/>
        <v>1</v>
      </c>
      <c r="AP55" s="1125">
        <f t="shared" si="15"/>
        <v>1</v>
      </c>
      <c r="AQ55" s="1125">
        <f t="shared" si="16"/>
        <v>0</v>
      </c>
      <c r="AR55" s="1125">
        <f t="shared" si="17"/>
        <v>0</v>
      </c>
      <c r="AS55" s="1125">
        <f t="shared" si="18"/>
        <v>0</v>
      </c>
      <c r="AT55" s="1125">
        <f t="shared" si="19"/>
        <v>0</v>
      </c>
      <c r="AU55" s="1125">
        <f t="shared" si="20"/>
        <v>0</v>
      </c>
      <c r="AV55" s="1125">
        <f t="shared" si="21"/>
        <v>1</v>
      </c>
      <c r="AW55" s="1125">
        <f t="shared" si="22"/>
        <v>1</v>
      </c>
      <c r="AX55" s="1125">
        <f t="shared" si="23"/>
        <v>1</v>
      </c>
      <c r="AY55" s="1125">
        <f t="shared" si="24"/>
        <v>0</v>
      </c>
      <c r="AZ55" s="1125">
        <f t="shared" si="25"/>
        <v>0</v>
      </c>
      <c r="BA55" s="1125">
        <f t="shared" si="26"/>
        <v>0</v>
      </c>
      <c r="BB55" s="1125">
        <f t="shared" si="27"/>
        <v>0</v>
      </c>
      <c r="BC55" s="1125">
        <f t="shared" si="28"/>
        <v>1</v>
      </c>
      <c r="BD55" s="1125">
        <f t="shared" si="29"/>
        <v>1</v>
      </c>
      <c r="BE55" s="1125">
        <f t="shared" si="30"/>
        <v>1</v>
      </c>
      <c r="BF55" s="1125">
        <f t="shared" si="31"/>
        <v>1</v>
      </c>
      <c r="BG55" s="1125">
        <f t="shared" si="32"/>
        <v>1</v>
      </c>
      <c r="BH55" s="1125">
        <f t="shared" si="33"/>
        <v>0</v>
      </c>
      <c r="BI55" s="1125">
        <f t="shared" si="34"/>
        <v>0</v>
      </c>
      <c r="BJ55" s="1125">
        <f t="shared" si="35"/>
        <v>0</v>
      </c>
      <c r="BK55" s="1125">
        <f t="shared" si="36"/>
        <v>1</v>
      </c>
      <c r="BL55" s="1125">
        <f t="shared" si="37"/>
        <v>1</v>
      </c>
      <c r="BM55" s="1125">
        <f t="shared" si="38"/>
        <v>1</v>
      </c>
      <c r="BN55" s="1125">
        <f t="shared" si="39"/>
        <v>1</v>
      </c>
      <c r="BO55" s="1125">
        <f t="shared" si="40"/>
        <v>1</v>
      </c>
      <c r="BP55" s="1125">
        <f t="shared" si="41"/>
        <v>0</v>
      </c>
      <c r="BQ55" s="1125">
        <f t="shared" si="42"/>
        <v>0</v>
      </c>
      <c r="BR55" s="1125">
        <f t="shared" si="43"/>
        <v>0</v>
      </c>
      <c r="BS55" s="1125">
        <f t="shared" si="44"/>
        <v>0</v>
      </c>
      <c r="BT55" s="1125">
        <f t="shared" si="45"/>
        <v>1</v>
      </c>
      <c r="BU55" s="1125">
        <f t="shared" si="46"/>
        <v>1</v>
      </c>
      <c r="BV55" s="1125">
        <f t="shared" si="47"/>
        <v>1</v>
      </c>
      <c r="BW55" s="1125">
        <f t="shared" si="48"/>
        <v>0</v>
      </c>
      <c r="BX55" s="1125">
        <f t="shared" si="49"/>
        <v>0</v>
      </c>
      <c r="BY55" s="1125">
        <f t="shared" si="50"/>
        <v>0</v>
      </c>
      <c r="BZ55" s="1125">
        <f t="shared" si="51"/>
        <v>1</v>
      </c>
      <c r="CA55" s="1125">
        <f t="shared" si="52"/>
        <v>1</v>
      </c>
      <c r="CB55" s="1125">
        <f t="shared" si="53"/>
        <v>1</v>
      </c>
      <c r="CC55" s="1125">
        <f t="shared" si="54"/>
        <v>1</v>
      </c>
      <c r="CD55" s="1125">
        <f t="shared" si="55"/>
        <v>1</v>
      </c>
      <c r="CE55" s="1125">
        <f t="shared" si="56"/>
        <v>1</v>
      </c>
      <c r="CF55" s="1125">
        <f t="shared" si="57"/>
        <v>1</v>
      </c>
      <c r="CG55" s="1125">
        <f t="shared" si="58"/>
        <v>0</v>
      </c>
      <c r="CH55" s="1125">
        <f t="shared" si="59"/>
        <v>0</v>
      </c>
      <c r="CI55" s="1125">
        <f t="shared" si="60"/>
        <v>0.85</v>
      </c>
      <c r="CJ55" s="1125">
        <f t="shared" si="61"/>
        <v>0.85</v>
      </c>
      <c r="CK55" s="1125">
        <f t="shared" si="62"/>
        <v>0.85</v>
      </c>
      <c r="CL55" s="1125">
        <f t="shared" si="63"/>
        <v>0.85</v>
      </c>
      <c r="CM55" s="1125">
        <f t="shared" si="64"/>
        <v>0.85</v>
      </c>
      <c r="CN55" s="1125">
        <f t="shared" si="65"/>
        <v>0.7</v>
      </c>
      <c r="CO55" s="1125">
        <f t="shared" si="66"/>
        <v>0.7</v>
      </c>
      <c r="CP55" s="1125">
        <f t="shared" si="67"/>
        <v>0.7</v>
      </c>
      <c r="CQ55" s="1125">
        <f t="shared" si="68"/>
        <v>0.7</v>
      </c>
      <c r="CR55" s="1125">
        <f t="shared" si="69"/>
        <v>0.85</v>
      </c>
      <c r="CS55" s="1125">
        <f t="shared" si="70"/>
        <v>0.85</v>
      </c>
      <c r="CT55" s="1125">
        <f t="shared" si="71"/>
        <v>0.85</v>
      </c>
      <c r="CU55" s="1125">
        <v>1</v>
      </c>
      <c r="CV55" s="1125"/>
      <c r="CW55" s="1125">
        <f t="shared" si="72"/>
        <v>214</v>
      </c>
      <c r="CX55" s="1125">
        <f t="shared" si="73"/>
        <v>151</v>
      </c>
      <c r="CY55" s="1136" t="s">
        <v>4881</v>
      </c>
      <c r="CZ55" s="1129" t="s">
        <v>4882</v>
      </c>
      <c r="DA55" s="1129"/>
      <c r="DB55" s="1129"/>
      <c r="DC55" s="1125" t="s">
        <v>5134</v>
      </c>
      <c r="DD55" s="1125" t="s">
        <v>428</v>
      </c>
      <c r="DE55" s="1120" t="str">
        <f t="shared" si="74"/>
        <v/>
      </c>
      <c r="DF55" s="1133">
        <v>0</v>
      </c>
      <c r="DG55" s="1120">
        <v>0</v>
      </c>
    </row>
    <row r="56" spans="1:111">
      <c r="A56" s="1125" t="s">
        <v>5792</v>
      </c>
      <c r="B56" s="1120" t="s">
        <v>3214</v>
      </c>
      <c r="C56" s="1120" t="s">
        <v>3215</v>
      </c>
      <c r="D56" s="1120" t="s">
        <v>536</v>
      </c>
      <c r="E56" s="1120">
        <v>5661</v>
      </c>
      <c r="F56" s="1120">
        <v>-104.75</v>
      </c>
      <c r="G56" s="1120">
        <v>39.72</v>
      </c>
      <c r="H56" s="1120">
        <v>-7</v>
      </c>
      <c r="I56" s="1121">
        <v>6.6199993133544917</v>
      </c>
      <c r="J56" s="1121">
        <v>90.320002746582034</v>
      </c>
      <c r="K56" s="1122">
        <v>58.819999313354494</v>
      </c>
      <c r="L56" s="1120">
        <v>6064.2</v>
      </c>
      <c r="M56" s="1120">
        <v>820.80000000000007</v>
      </c>
      <c r="N56" s="1123">
        <v>33.440000021457671</v>
      </c>
      <c r="O56" s="1123">
        <v>31.639999994635581</v>
      </c>
      <c r="P56" s="1123">
        <v>40.640000343322754</v>
      </c>
      <c r="Q56" s="1123">
        <v>42.97999982833862</v>
      </c>
      <c r="R56" s="1123">
        <v>56.659999656677243</v>
      </c>
      <c r="S56" s="1123">
        <v>71.960001373291021</v>
      </c>
      <c r="T56" s="1123">
        <v>72.860001373291013</v>
      </c>
      <c r="U56" s="1123">
        <v>71.060001373291016</v>
      </c>
      <c r="V56" s="1123">
        <v>65.3</v>
      </c>
      <c r="W56" s="1123">
        <v>44.779999828338624</v>
      </c>
      <c r="X56" s="1123">
        <v>37.4</v>
      </c>
      <c r="Y56" s="1123">
        <v>30.2</v>
      </c>
      <c r="Z56" s="1123">
        <v>50.010849633935379</v>
      </c>
      <c r="AA56" s="1123">
        <f t="shared" si="0"/>
        <v>47.39285539018249</v>
      </c>
      <c r="AB56" s="1123">
        <f t="shared" si="1"/>
        <v>46.198219972790262</v>
      </c>
      <c r="AC56" s="1123">
        <f t="shared" si="2"/>
        <v>47.561397693775902</v>
      </c>
      <c r="AD56" s="1123">
        <f t="shared" si="3"/>
        <v>51.127055272959922</v>
      </c>
      <c r="AE56" s="1123">
        <f t="shared" si="4"/>
        <v>55.965749113881451</v>
      </c>
      <c r="AF56" s="1123">
        <f t="shared" si="5"/>
        <v>60.816199100375087</v>
      </c>
      <c r="AG56" s="1123">
        <f t="shared" si="6"/>
        <v>64.414060695764377</v>
      </c>
      <c r="AH56" s="1123">
        <f t="shared" si="7"/>
        <v>65.821495830485631</v>
      </c>
      <c r="AI56" s="1123">
        <f t="shared" si="8"/>
        <v>64.67163484744178</v>
      </c>
      <c r="AJ56" s="1123">
        <f t="shared" si="9"/>
        <v>61.264206731757355</v>
      </c>
      <c r="AK56" s="1123">
        <f t="shared" si="10"/>
        <v>56.487410131842203</v>
      </c>
      <c r="AL56" s="1123">
        <f t="shared" si="11"/>
        <v>51.58639069412807</v>
      </c>
      <c r="AM56" s="1120">
        <f t="shared" si="12"/>
        <v>1</v>
      </c>
      <c r="AN56" s="1120">
        <f t="shared" si="13"/>
        <v>1</v>
      </c>
      <c r="AO56" s="1120">
        <f t="shared" si="14"/>
        <v>1</v>
      </c>
      <c r="AP56" s="1120">
        <f t="shared" si="15"/>
        <v>1</v>
      </c>
      <c r="AQ56" s="1120">
        <f t="shared" si="16"/>
        <v>1</v>
      </c>
      <c r="AR56" s="1120">
        <f t="shared" si="17"/>
        <v>0</v>
      </c>
      <c r="AS56" s="1120">
        <f t="shared" si="18"/>
        <v>0</v>
      </c>
      <c r="AT56" s="1120">
        <f t="shared" si="19"/>
        <v>0</v>
      </c>
      <c r="AU56" s="1120">
        <f t="shared" si="20"/>
        <v>1</v>
      </c>
      <c r="AV56" s="1120">
        <f t="shared" si="21"/>
        <v>1</v>
      </c>
      <c r="AW56" s="1120">
        <f t="shared" si="22"/>
        <v>1</v>
      </c>
      <c r="AX56" s="1120">
        <f t="shared" si="23"/>
        <v>1</v>
      </c>
      <c r="AY56" s="1120">
        <f t="shared" si="24"/>
        <v>0</v>
      </c>
      <c r="AZ56" s="1120">
        <f t="shared" si="25"/>
        <v>0</v>
      </c>
      <c r="BA56" s="1120">
        <f t="shared" si="26"/>
        <v>0</v>
      </c>
      <c r="BB56" s="1120">
        <f t="shared" si="27"/>
        <v>0</v>
      </c>
      <c r="BC56" s="1120">
        <f t="shared" si="28"/>
        <v>0</v>
      </c>
      <c r="BD56" s="1120">
        <f t="shared" si="29"/>
        <v>1</v>
      </c>
      <c r="BE56" s="1120">
        <f t="shared" si="30"/>
        <v>1</v>
      </c>
      <c r="BF56" s="1120">
        <f t="shared" si="31"/>
        <v>1</v>
      </c>
      <c r="BG56" s="1120">
        <f t="shared" si="32"/>
        <v>0</v>
      </c>
      <c r="BH56" s="1120">
        <f t="shared" si="33"/>
        <v>0</v>
      </c>
      <c r="BI56" s="1120">
        <f t="shared" si="34"/>
        <v>0</v>
      </c>
      <c r="BJ56" s="1120">
        <f t="shared" si="35"/>
        <v>0</v>
      </c>
      <c r="BK56" s="1120">
        <f t="shared" si="36"/>
        <v>1</v>
      </c>
      <c r="BL56" s="1120">
        <f t="shared" si="37"/>
        <v>1</v>
      </c>
      <c r="BM56" s="1120">
        <f t="shared" si="38"/>
        <v>1</v>
      </c>
      <c r="BN56" s="1120">
        <f t="shared" si="39"/>
        <v>1</v>
      </c>
      <c r="BO56" s="1120">
        <f t="shared" si="40"/>
        <v>1</v>
      </c>
      <c r="BP56" s="1120">
        <f t="shared" si="41"/>
        <v>1</v>
      </c>
      <c r="BQ56" s="1120">
        <f t="shared" si="42"/>
        <v>0</v>
      </c>
      <c r="BR56" s="1120">
        <f t="shared" si="43"/>
        <v>0</v>
      </c>
      <c r="BS56" s="1120">
        <f t="shared" si="44"/>
        <v>1</v>
      </c>
      <c r="BT56" s="1120">
        <f t="shared" si="45"/>
        <v>1</v>
      </c>
      <c r="BU56" s="1120">
        <f t="shared" si="46"/>
        <v>1</v>
      </c>
      <c r="BV56" s="1120">
        <f t="shared" si="47"/>
        <v>1</v>
      </c>
      <c r="BW56" s="1120">
        <f t="shared" si="48"/>
        <v>0</v>
      </c>
      <c r="BX56" s="1120">
        <f t="shared" si="49"/>
        <v>0</v>
      </c>
      <c r="BY56" s="1120">
        <f t="shared" si="50"/>
        <v>0</v>
      </c>
      <c r="BZ56" s="1120">
        <f t="shared" si="51"/>
        <v>0</v>
      </c>
      <c r="CA56" s="1120">
        <f t="shared" si="52"/>
        <v>1</v>
      </c>
      <c r="CB56" s="1120">
        <f t="shared" si="53"/>
        <v>1</v>
      </c>
      <c r="CC56" s="1120">
        <f t="shared" si="54"/>
        <v>1</v>
      </c>
      <c r="CD56" s="1120">
        <f t="shared" si="55"/>
        <v>1</v>
      </c>
      <c r="CE56" s="1120">
        <f t="shared" si="56"/>
        <v>1</v>
      </c>
      <c r="CF56" s="1120">
        <f t="shared" si="57"/>
        <v>0</v>
      </c>
      <c r="CG56" s="1120">
        <f t="shared" si="58"/>
        <v>0</v>
      </c>
      <c r="CH56" s="1120">
        <f t="shared" si="59"/>
        <v>0</v>
      </c>
      <c r="CI56" s="1120">
        <f t="shared" si="60"/>
        <v>0.85</v>
      </c>
      <c r="CJ56" s="1120">
        <f t="shared" si="61"/>
        <v>0.85</v>
      </c>
      <c r="CK56" s="1120">
        <f t="shared" si="62"/>
        <v>0.85</v>
      </c>
      <c r="CL56" s="1120">
        <f t="shared" si="63"/>
        <v>0.85</v>
      </c>
      <c r="CM56" s="1120">
        <f t="shared" si="64"/>
        <v>0.85</v>
      </c>
      <c r="CN56" s="1120">
        <f t="shared" si="65"/>
        <v>0.85</v>
      </c>
      <c r="CO56" s="1120">
        <f t="shared" si="66"/>
        <v>0.7</v>
      </c>
      <c r="CP56" s="1120">
        <f t="shared" si="67"/>
        <v>0.7</v>
      </c>
      <c r="CQ56" s="1120">
        <f t="shared" si="68"/>
        <v>0.85</v>
      </c>
      <c r="CR56" s="1120">
        <f t="shared" si="69"/>
        <v>0.85</v>
      </c>
      <c r="CS56" s="1120">
        <f t="shared" si="70"/>
        <v>0.85</v>
      </c>
      <c r="CT56" s="1120">
        <f t="shared" si="71"/>
        <v>0.85</v>
      </c>
      <c r="CU56" s="1120">
        <v>1</v>
      </c>
      <c r="CV56" s="1120"/>
      <c r="CW56" s="1120">
        <f t="shared" si="72"/>
        <v>153</v>
      </c>
      <c r="CX56" s="1120">
        <f t="shared" si="73"/>
        <v>212</v>
      </c>
      <c r="CY56" s="1135" t="s">
        <v>4889</v>
      </c>
      <c r="CZ56" s="1124" t="s">
        <v>4890</v>
      </c>
      <c r="DA56" s="1124"/>
      <c r="DB56" s="1124"/>
      <c r="DC56" s="1120" t="s">
        <v>6028</v>
      </c>
      <c r="DD56" s="1120" t="s">
        <v>536</v>
      </c>
      <c r="DE56" s="1120" t="b">
        <f t="shared" si="74"/>
        <v>0</v>
      </c>
      <c r="DF56" s="1133">
        <v>0</v>
      </c>
      <c r="DG56" s="1125">
        <v>0</v>
      </c>
    </row>
    <row r="57" spans="1:111">
      <c r="A57" s="1120" t="s">
        <v>268</v>
      </c>
      <c r="B57" s="1120" t="s">
        <v>3497</v>
      </c>
      <c r="C57" s="1120" t="s">
        <v>3498</v>
      </c>
      <c r="D57" s="1120" t="s">
        <v>932</v>
      </c>
      <c r="E57" s="1120">
        <v>705</v>
      </c>
      <c r="F57" s="1120">
        <v>-88.47</v>
      </c>
      <c r="G57" s="1120">
        <v>41.77</v>
      </c>
      <c r="H57" s="1120">
        <v>-6</v>
      </c>
      <c r="I57" s="1121">
        <v>1.3999999999999992</v>
      </c>
      <c r="J57" s="1121">
        <v>88.519999313354489</v>
      </c>
      <c r="K57" s="1122">
        <v>73.400000000000006</v>
      </c>
      <c r="L57" s="1120">
        <v>6532.2</v>
      </c>
      <c r="M57" s="1120">
        <v>799.2</v>
      </c>
      <c r="N57" s="1123">
        <v>19.759999656677245</v>
      </c>
      <c r="O57" s="1123">
        <v>25.7</v>
      </c>
      <c r="P57" s="1123">
        <v>43.159999656677243</v>
      </c>
      <c r="Q57" s="1123">
        <v>51.440000343322751</v>
      </c>
      <c r="R57" s="1123">
        <v>57.2</v>
      </c>
      <c r="S57" s="1123">
        <v>67.460001373291021</v>
      </c>
      <c r="T57" s="1123">
        <v>74.3</v>
      </c>
      <c r="U57" s="1123">
        <v>71.599999999999994</v>
      </c>
      <c r="V57" s="1123">
        <v>65.83999862670899</v>
      </c>
      <c r="W57" s="1123">
        <v>50.359999656677246</v>
      </c>
      <c r="X57" s="1123">
        <v>42.079999828338622</v>
      </c>
      <c r="Y57" s="1123">
        <v>14.180000686645508</v>
      </c>
      <c r="Z57" s="1123">
        <v>48.689205464402292</v>
      </c>
      <c r="AA57" s="1123">
        <f t="shared" si="0"/>
        <v>43.042098855473057</v>
      </c>
      <c r="AB57" s="1123">
        <f t="shared" si="1"/>
        <v>41.25582259439112</v>
      </c>
      <c r="AC57" s="1123">
        <f t="shared" si="2"/>
        <v>42.971164593073908</v>
      </c>
      <c r="AD57" s="1123">
        <f t="shared" si="3"/>
        <v>47.740994525344391</v>
      </c>
      <c r="AE57" s="1123">
        <f t="shared" si="4"/>
        <v>54.32198271405202</v>
      </c>
      <c r="AF57" s="1123">
        <f t="shared" si="5"/>
        <v>60.998693171712333</v>
      </c>
      <c r="AG57" s="1123">
        <f t="shared" si="6"/>
        <v>66.030738426313519</v>
      </c>
      <c r="AH57" s="1123">
        <f t="shared" si="7"/>
        <v>68.106438336079108</v>
      </c>
      <c r="AI57" s="1123">
        <f t="shared" si="8"/>
        <v>66.684729732024834</v>
      </c>
      <c r="AJ57" s="1123">
        <f t="shared" si="9"/>
        <v>62.136202870990225</v>
      </c>
      <c r="AK57" s="1123">
        <f t="shared" si="10"/>
        <v>55.646501374224613</v>
      </c>
      <c r="AL57" s="1123">
        <f t="shared" si="11"/>
        <v>48.907265946187302</v>
      </c>
      <c r="AM57" s="1120">
        <f t="shared" si="12"/>
        <v>1</v>
      </c>
      <c r="AN57" s="1120">
        <f t="shared" si="13"/>
        <v>1</v>
      </c>
      <c r="AO57" s="1120">
        <f t="shared" si="14"/>
        <v>1</v>
      </c>
      <c r="AP57" s="1120">
        <f t="shared" si="15"/>
        <v>1</v>
      </c>
      <c r="AQ57" s="1120">
        <f t="shared" si="16"/>
        <v>1</v>
      </c>
      <c r="AR57" s="1120">
        <f t="shared" si="17"/>
        <v>0</v>
      </c>
      <c r="AS57" s="1120">
        <f t="shared" si="18"/>
        <v>0</v>
      </c>
      <c r="AT57" s="1120">
        <f t="shared" si="19"/>
        <v>0</v>
      </c>
      <c r="AU57" s="1120">
        <f t="shared" si="20"/>
        <v>1</v>
      </c>
      <c r="AV57" s="1120">
        <f t="shared" si="21"/>
        <v>1</v>
      </c>
      <c r="AW57" s="1120">
        <f t="shared" si="22"/>
        <v>1</v>
      </c>
      <c r="AX57" s="1120">
        <f t="shared" si="23"/>
        <v>1</v>
      </c>
      <c r="AY57" s="1120">
        <f t="shared" si="24"/>
        <v>0</v>
      </c>
      <c r="AZ57" s="1120">
        <f t="shared" si="25"/>
        <v>0</v>
      </c>
      <c r="BA57" s="1120">
        <f t="shared" si="26"/>
        <v>0</v>
      </c>
      <c r="BB57" s="1120">
        <f t="shared" si="27"/>
        <v>0</v>
      </c>
      <c r="BC57" s="1120">
        <f t="shared" si="28"/>
        <v>0</v>
      </c>
      <c r="BD57" s="1120">
        <f t="shared" si="29"/>
        <v>1</v>
      </c>
      <c r="BE57" s="1120">
        <f t="shared" si="30"/>
        <v>1</v>
      </c>
      <c r="BF57" s="1120">
        <f t="shared" si="31"/>
        <v>1</v>
      </c>
      <c r="BG57" s="1120">
        <f t="shared" si="32"/>
        <v>0</v>
      </c>
      <c r="BH57" s="1120">
        <f t="shared" si="33"/>
        <v>0</v>
      </c>
      <c r="BI57" s="1120">
        <f t="shared" si="34"/>
        <v>0</v>
      </c>
      <c r="BJ57" s="1120">
        <f t="shared" si="35"/>
        <v>0</v>
      </c>
      <c r="BK57" s="1120">
        <f t="shared" si="36"/>
        <v>1</v>
      </c>
      <c r="BL57" s="1120">
        <f t="shared" si="37"/>
        <v>1</v>
      </c>
      <c r="BM57" s="1120">
        <f t="shared" si="38"/>
        <v>1</v>
      </c>
      <c r="BN57" s="1120">
        <f t="shared" si="39"/>
        <v>1</v>
      </c>
      <c r="BO57" s="1120">
        <f t="shared" si="40"/>
        <v>1</v>
      </c>
      <c r="BP57" s="1120">
        <f t="shared" si="41"/>
        <v>1</v>
      </c>
      <c r="BQ57" s="1120">
        <f t="shared" si="42"/>
        <v>0</v>
      </c>
      <c r="BR57" s="1120">
        <f t="shared" si="43"/>
        <v>0</v>
      </c>
      <c r="BS57" s="1120">
        <f t="shared" si="44"/>
        <v>1</v>
      </c>
      <c r="BT57" s="1120">
        <f t="shared" si="45"/>
        <v>1</v>
      </c>
      <c r="BU57" s="1120">
        <f t="shared" si="46"/>
        <v>1</v>
      </c>
      <c r="BV57" s="1120">
        <f t="shared" si="47"/>
        <v>1</v>
      </c>
      <c r="BW57" s="1120">
        <f t="shared" si="48"/>
        <v>0</v>
      </c>
      <c r="BX57" s="1120">
        <f t="shared" si="49"/>
        <v>0</v>
      </c>
      <c r="BY57" s="1120">
        <f t="shared" si="50"/>
        <v>0</v>
      </c>
      <c r="BZ57" s="1120">
        <f t="shared" si="51"/>
        <v>0</v>
      </c>
      <c r="CA57" s="1120">
        <f t="shared" si="52"/>
        <v>1</v>
      </c>
      <c r="CB57" s="1120">
        <f t="shared" si="53"/>
        <v>1</v>
      </c>
      <c r="CC57" s="1120">
        <f t="shared" si="54"/>
        <v>1</v>
      </c>
      <c r="CD57" s="1120">
        <f t="shared" si="55"/>
        <v>1</v>
      </c>
      <c r="CE57" s="1120">
        <f t="shared" si="56"/>
        <v>1</v>
      </c>
      <c r="CF57" s="1120">
        <f t="shared" si="57"/>
        <v>0</v>
      </c>
      <c r="CG57" s="1120">
        <f t="shared" si="58"/>
        <v>0</v>
      </c>
      <c r="CH57" s="1120">
        <f t="shared" si="59"/>
        <v>0</v>
      </c>
      <c r="CI57" s="1120">
        <f t="shared" si="60"/>
        <v>0.85</v>
      </c>
      <c r="CJ57" s="1120">
        <f t="shared" si="61"/>
        <v>0.85</v>
      </c>
      <c r="CK57" s="1120">
        <f t="shared" si="62"/>
        <v>0.85</v>
      </c>
      <c r="CL57" s="1120">
        <f t="shared" si="63"/>
        <v>0.85</v>
      </c>
      <c r="CM57" s="1120">
        <f t="shared" si="64"/>
        <v>0.85</v>
      </c>
      <c r="CN57" s="1120">
        <f t="shared" si="65"/>
        <v>0.85</v>
      </c>
      <c r="CO57" s="1120">
        <f t="shared" si="66"/>
        <v>0.7</v>
      </c>
      <c r="CP57" s="1120">
        <f t="shared" si="67"/>
        <v>0.7</v>
      </c>
      <c r="CQ57" s="1120">
        <f t="shared" si="68"/>
        <v>0.85</v>
      </c>
      <c r="CR57" s="1120">
        <f t="shared" si="69"/>
        <v>0.85</v>
      </c>
      <c r="CS57" s="1120">
        <f t="shared" si="70"/>
        <v>0.85</v>
      </c>
      <c r="CT57" s="1120">
        <f t="shared" si="71"/>
        <v>0.85</v>
      </c>
      <c r="CU57" s="1120">
        <v>1</v>
      </c>
      <c r="CV57" s="1120"/>
      <c r="CW57" s="1120">
        <f t="shared" si="72"/>
        <v>153</v>
      </c>
      <c r="CX57" s="1120">
        <f t="shared" si="73"/>
        <v>212</v>
      </c>
      <c r="CY57" s="1135" t="s">
        <v>4889</v>
      </c>
      <c r="CZ57" s="1124" t="s">
        <v>4897</v>
      </c>
      <c r="DA57" s="1124"/>
      <c r="DB57" s="1124"/>
      <c r="DC57" s="1120" t="s">
        <v>5202</v>
      </c>
      <c r="DD57" s="1120" t="s">
        <v>932</v>
      </c>
      <c r="DE57" s="1120" t="str">
        <f t="shared" si="74"/>
        <v/>
      </c>
      <c r="DF57" s="1133">
        <v>0</v>
      </c>
      <c r="DG57" s="1120">
        <v>0</v>
      </c>
    </row>
    <row r="58" spans="1:111">
      <c r="A58" s="1125" t="s">
        <v>5794</v>
      </c>
      <c r="B58" s="1120" t="s">
        <v>4222</v>
      </c>
      <c r="C58" s="1120" t="s">
        <v>4223</v>
      </c>
      <c r="D58" s="1120" t="s">
        <v>427</v>
      </c>
      <c r="E58" s="1120">
        <v>197</v>
      </c>
      <c r="F58" s="1120">
        <v>-122.77</v>
      </c>
      <c r="G58" s="1120">
        <v>45.25</v>
      </c>
      <c r="H58" s="1120">
        <v>-8</v>
      </c>
      <c r="I58" s="1121">
        <v>29.660000085830688</v>
      </c>
      <c r="J58" s="1121">
        <v>88.16000137329101</v>
      </c>
      <c r="K58" s="1122">
        <v>67.099999999999994</v>
      </c>
      <c r="L58" s="1120">
        <v>4190.4000000000005</v>
      </c>
      <c r="M58" s="1120">
        <v>343.8</v>
      </c>
      <c r="N58" s="1123">
        <v>41.540000343322752</v>
      </c>
      <c r="O58" s="1123">
        <v>44.059999656677249</v>
      </c>
      <c r="P58" s="1123">
        <v>48.559999656677249</v>
      </c>
      <c r="Q58" s="1123">
        <v>51.8</v>
      </c>
      <c r="R58" s="1123">
        <v>55.4</v>
      </c>
      <c r="S58" s="1123">
        <v>63.5</v>
      </c>
      <c r="T58" s="1123">
        <v>68.900000000000006</v>
      </c>
      <c r="U58" s="1123">
        <v>67.819999313354487</v>
      </c>
      <c r="V58" s="1123">
        <v>60.8</v>
      </c>
      <c r="W58" s="1123">
        <v>52.340000343322757</v>
      </c>
      <c r="X58" s="1123">
        <v>48.019999313354489</v>
      </c>
      <c r="Y58" s="1123">
        <v>42.8</v>
      </c>
      <c r="Z58" s="1123">
        <v>53.85052043601258</v>
      </c>
      <c r="AA58" s="1123">
        <f t="shared" si="0"/>
        <v>53.659755070283914</v>
      </c>
      <c r="AB58" s="1123">
        <f t="shared" si="1"/>
        <v>53.054713597669334</v>
      </c>
      <c r="AC58" s="1123">
        <f t="shared" si="2"/>
        <v>54.221103904022343</v>
      </c>
      <c r="AD58" s="1123">
        <f t="shared" si="3"/>
        <v>56.854888381373321</v>
      </c>
      <c r="AE58" s="1123">
        <f t="shared" si="4"/>
        <v>60.269530517853362</v>
      </c>
      <c r="AF58" s="1123">
        <f t="shared" si="5"/>
        <v>63.574951219360784</v>
      </c>
      <c r="AG58" s="1123">
        <f t="shared" si="6"/>
        <v>65.909541641972794</v>
      </c>
      <c r="AH58" s="1123">
        <f t="shared" si="7"/>
        <v>66.664754814908122</v>
      </c>
      <c r="AI58" s="1123">
        <f t="shared" si="8"/>
        <v>65.64373278645391</v>
      </c>
      <c r="AJ58" s="1123">
        <f t="shared" si="9"/>
        <v>63.112620682752485</v>
      </c>
      <c r="AK58" s="1123">
        <f t="shared" si="10"/>
        <v>59.731191879251824</v>
      </c>
      <c r="AL58" s="1123">
        <f t="shared" si="11"/>
        <v>56.380867902979574</v>
      </c>
      <c r="AM58" s="1120">
        <f t="shared" si="12"/>
        <v>1</v>
      </c>
      <c r="AN58" s="1120">
        <f t="shared" si="13"/>
        <v>1</v>
      </c>
      <c r="AO58" s="1120">
        <f t="shared" si="14"/>
        <v>1</v>
      </c>
      <c r="AP58" s="1120">
        <f t="shared" si="15"/>
        <v>1</v>
      </c>
      <c r="AQ58" s="1120">
        <f t="shared" si="16"/>
        <v>1</v>
      </c>
      <c r="AR58" s="1120">
        <f t="shared" si="17"/>
        <v>1</v>
      </c>
      <c r="AS58" s="1120">
        <f t="shared" si="18"/>
        <v>0</v>
      </c>
      <c r="AT58" s="1120">
        <f t="shared" si="19"/>
        <v>0</v>
      </c>
      <c r="AU58" s="1120">
        <f t="shared" si="20"/>
        <v>1</v>
      </c>
      <c r="AV58" s="1120">
        <f t="shared" si="21"/>
        <v>1</v>
      </c>
      <c r="AW58" s="1120">
        <f t="shared" si="22"/>
        <v>1</v>
      </c>
      <c r="AX58" s="1120">
        <f t="shared" si="23"/>
        <v>1</v>
      </c>
      <c r="AY58" s="1120">
        <f t="shared" si="24"/>
        <v>0</v>
      </c>
      <c r="AZ58" s="1120">
        <f t="shared" si="25"/>
        <v>0</v>
      </c>
      <c r="BA58" s="1120">
        <f t="shared" si="26"/>
        <v>0</v>
      </c>
      <c r="BB58" s="1120">
        <f t="shared" si="27"/>
        <v>0</v>
      </c>
      <c r="BC58" s="1120">
        <f t="shared" si="28"/>
        <v>0</v>
      </c>
      <c r="BD58" s="1120">
        <f t="shared" si="29"/>
        <v>0</v>
      </c>
      <c r="BE58" s="1120">
        <f t="shared" si="30"/>
        <v>1</v>
      </c>
      <c r="BF58" s="1120">
        <f t="shared" si="31"/>
        <v>1</v>
      </c>
      <c r="BG58" s="1120">
        <f t="shared" si="32"/>
        <v>0</v>
      </c>
      <c r="BH58" s="1120">
        <f t="shared" si="33"/>
        <v>0</v>
      </c>
      <c r="BI58" s="1120">
        <f t="shared" si="34"/>
        <v>0</v>
      </c>
      <c r="BJ58" s="1120">
        <f t="shared" si="35"/>
        <v>0</v>
      </c>
      <c r="BK58" s="1120">
        <f t="shared" si="36"/>
        <v>1</v>
      </c>
      <c r="BL58" s="1120">
        <f t="shared" si="37"/>
        <v>1</v>
      </c>
      <c r="BM58" s="1120">
        <f t="shared" si="38"/>
        <v>1</v>
      </c>
      <c r="BN58" s="1120">
        <f t="shared" si="39"/>
        <v>1</v>
      </c>
      <c r="BO58" s="1120">
        <f t="shared" si="40"/>
        <v>1</v>
      </c>
      <c r="BP58" s="1120">
        <f t="shared" si="41"/>
        <v>1</v>
      </c>
      <c r="BQ58" s="1120">
        <f t="shared" si="42"/>
        <v>1</v>
      </c>
      <c r="BR58" s="1120">
        <f t="shared" si="43"/>
        <v>0</v>
      </c>
      <c r="BS58" s="1120">
        <f t="shared" si="44"/>
        <v>1</v>
      </c>
      <c r="BT58" s="1120">
        <f t="shared" si="45"/>
        <v>1</v>
      </c>
      <c r="BU58" s="1120">
        <f t="shared" si="46"/>
        <v>1</v>
      </c>
      <c r="BV58" s="1120">
        <f t="shared" si="47"/>
        <v>1</v>
      </c>
      <c r="BW58" s="1120">
        <f t="shared" si="48"/>
        <v>0</v>
      </c>
      <c r="BX58" s="1120">
        <f t="shared" si="49"/>
        <v>0</v>
      </c>
      <c r="BY58" s="1120">
        <f t="shared" si="50"/>
        <v>0</v>
      </c>
      <c r="BZ58" s="1120">
        <f t="shared" si="51"/>
        <v>0</v>
      </c>
      <c r="CA58" s="1120">
        <f t="shared" si="52"/>
        <v>0</v>
      </c>
      <c r="CB58" s="1120">
        <f t="shared" si="53"/>
        <v>1</v>
      </c>
      <c r="CC58" s="1120">
        <f t="shared" si="54"/>
        <v>1</v>
      </c>
      <c r="CD58" s="1120">
        <f t="shared" si="55"/>
        <v>1</v>
      </c>
      <c r="CE58" s="1120">
        <f t="shared" si="56"/>
        <v>1</v>
      </c>
      <c r="CF58" s="1120">
        <f t="shared" si="57"/>
        <v>0</v>
      </c>
      <c r="CG58" s="1120">
        <f t="shared" si="58"/>
        <v>0</v>
      </c>
      <c r="CH58" s="1120">
        <f t="shared" si="59"/>
        <v>0</v>
      </c>
      <c r="CI58" s="1120">
        <f t="shared" si="60"/>
        <v>0.85</v>
      </c>
      <c r="CJ58" s="1120">
        <f t="shared" si="61"/>
        <v>0.85</v>
      </c>
      <c r="CK58" s="1120">
        <f t="shared" si="62"/>
        <v>0.85</v>
      </c>
      <c r="CL58" s="1120">
        <f t="shared" si="63"/>
        <v>0.85</v>
      </c>
      <c r="CM58" s="1120">
        <f t="shared" si="64"/>
        <v>0.85</v>
      </c>
      <c r="CN58" s="1120">
        <f t="shared" si="65"/>
        <v>0.85</v>
      </c>
      <c r="CO58" s="1120">
        <f t="shared" si="66"/>
        <v>0.85</v>
      </c>
      <c r="CP58" s="1120">
        <f t="shared" si="67"/>
        <v>0.7</v>
      </c>
      <c r="CQ58" s="1120">
        <f t="shared" si="68"/>
        <v>0.85</v>
      </c>
      <c r="CR58" s="1120">
        <f t="shared" si="69"/>
        <v>0.85</v>
      </c>
      <c r="CS58" s="1120">
        <f t="shared" si="70"/>
        <v>0.85</v>
      </c>
      <c r="CT58" s="1120">
        <f t="shared" si="71"/>
        <v>0.85</v>
      </c>
      <c r="CU58" s="1120">
        <v>1</v>
      </c>
      <c r="CV58" s="1120"/>
      <c r="CW58" s="1120">
        <f t="shared" si="72"/>
        <v>122</v>
      </c>
      <c r="CX58" s="1120">
        <f t="shared" si="73"/>
        <v>243</v>
      </c>
      <c r="CY58" s="1135" t="s">
        <v>4893</v>
      </c>
      <c r="CZ58" s="1124" t="s">
        <v>4894</v>
      </c>
      <c r="DA58" s="1124"/>
      <c r="DB58" s="1124"/>
      <c r="DC58" s="1120" t="s">
        <v>5514</v>
      </c>
      <c r="DD58" s="1120" t="s">
        <v>427</v>
      </c>
      <c r="DE58" s="1120" t="str">
        <f t="shared" si="74"/>
        <v/>
      </c>
      <c r="DF58" s="1133">
        <v>0</v>
      </c>
      <c r="DG58" s="1125">
        <v>0</v>
      </c>
    </row>
    <row r="59" spans="1:111">
      <c r="A59" s="1120" t="s">
        <v>270</v>
      </c>
      <c r="B59" s="1125" t="s">
        <v>4362</v>
      </c>
      <c r="C59" s="1125" t="s">
        <v>4363</v>
      </c>
      <c r="D59" s="1125" t="s">
        <v>228</v>
      </c>
      <c r="E59" s="1125">
        <v>699</v>
      </c>
      <c r="F59" s="1125">
        <v>-97.74</v>
      </c>
      <c r="G59" s="1125">
        <v>30.29</v>
      </c>
      <c r="H59" s="1125">
        <v>-6</v>
      </c>
      <c r="I59" s="1126">
        <v>29.660000085830688</v>
      </c>
      <c r="J59" s="1126">
        <v>97.879997253417969</v>
      </c>
      <c r="K59" s="1127">
        <v>75.2</v>
      </c>
      <c r="L59" s="1125">
        <v>1249.2</v>
      </c>
      <c r="M59" s="1125">
        <v>2892.6</v>
      </c>
      <c r="N59" s="1128">
        <v>51.619999313354491</v>
      </c>
      <c r="O59" s="1128">
        <v>56.3</v>
      </c>
      <c r="P59" s="1128">
        <v>62.239998626708989</v>
      </c>
      <c r="Q59" s="1128">
        <v>70.880000686645502</v>
      </c>
      <c r="R59" s="1128">
        <v>74.3</v>
      </c>
      <c r="S59" s="1128">
        <v>80.419999313354495</v>
      </c>
      <c r="T59" s="1128">
        <v>84.019999313354489</v>
      </c>
      <c r="U59" s="1128">
        <v>81.139998626708987</v>
      </c>
      <c r="V59" s="1128">
        <v>76.280000686645508</v>
      </c>
      <c r="W59" s="1128">
        <v>71.060001373291016</v>
      </c>
      <c r="X59" s="1128">
        <v>63.319999313354494</v>
      </c>
      <c r="Y59" s="1128">
        <v>54.140000343322754</v>
      </c>
      <c r="Z59" s="1128">
        <v>68.869917604106746</v>
      </c>
      <c r="AA59" s="1128">
        <f t="shared" si="0"/>
        <v>64.520271502288523</v>
      </c>
      <c r="AB59" s="1128">
        <f t="shared" si="1"/>
        <v>64.969396744588153</v>
      </c>
      <c r="AC59" s="1128">
        <f t="shared" si="2"/>
        <v>67.999245320566047</v>
      </c>
      <c r="AD59" s="1128">
        <f t="shared" si="3"/>
        <v>72.820040507513681</v>
      </c>
      <c r="AE59" s="1128">
        <f t="shared" si="4"/>
        <v>78.175167749250576</v>
      </c>
      <c r="AF59" s="1128">
        <f t="shared" si="5"/>
        <v>82.668730605209177</v>
      </c>
      <c r="AG59" s="1128">
        <f t="shared" si="6"/>
        <v>85.129412669084175</v>
      </c>
      <c r="AH59" s="1128">
        <f t="shared" si="7"/>
        <v>84.915799240668093</v>
      </c>
      <c r="AI59" s="1128">
        <f t="shared" si="8"/>
        <v>82.083571951960167</v>
      </c>
      <c r="AJ59" s="1128">
        <f t="shared" si="9"/>
        <v>77.370994491705787</v>
      </c>
      <c r="AK59" s="1128">
        <f t="shared" si="10"/>
        <v>72.006472797937207</v>
      </c>
      <c r="AL59" s="1128">
        <f t="shared" si="11"/>
        <v>67.388352119916888</v>
      </c>
      <c r="AM59" s="1125">
        <f t="shared" si="12"/>
        <v>1</v>
      </c>
      <c r="AN59" s="1125">
        <f t="shared" si="13"/>
        <v>1</v>
      </c>
      <c r="AO59" s="1125">
        <f t="shared" si="14"/>
        <v>1</v>
      </c>
      <c r="AP59" s="1125">
        <f t="shared" si="15"/>
        <v>0</v>
      </c>
      <c r="AQ59" s="1125">
        <f t="shared" si="16"/>
        <v>0</v>
      </c>
      <c r="AR59" s="1125">
        <f t="shared" si="17"/>
        <v>0</v>
      </c>
      <c r="AS59" s="1125">
        <f t="shared" si="18"/>
        <v>0</v>
      </c>
      <c r="AT59" s="1125">
        <f t="shared" si="19"/>
        <v>0</v>
      </c>
      <c r="AU59" s="1125">
        <f t="shared" si="20"/>
        <v>0</v>
      </c>
      <c r="AV59" s="1125">
        <f t="shared" si="21"/>
        <v>0</v>
      </c>
      <c r="AW59" s="1125">
        <f t="shared" si="22"/>
        <v>1</v>
      </c>
      <c r="AX59" s="1125">
        <f t="shared" si="23"/>
        <v>1</v>
      </c>
      <c r="AY59" s="1125">
        <f t="shared" si="24"/>
        <v>0</v>
      </c>
      <c r="AZ59" s="1125">
        <f t="shared" si="25"/>
        <v>0</v>
      </c>
      <c r="BA59" s="1125">
        <f t="shared" si="26"/>
        <v>0</v>
      </c>
      <c r="BB59" s="1125">
        <f t="shared" si="27"/>
        <v>1</v>
      </c>
      <c r="BC59" s="1125">
        <f t="shared" si="28"/>
        <v>1</v>
      </c>
      <c r="BD59" s="1125">
        <f t="shared" si="29"/>
        <v>1</v>
      </c>
      <c r="BE59" s="1125">
        <f t="shared" si="30"/>
        <v>1</v>
      </c>
      <c r="BF59" s="1125">
        <f t="shared" si="31"/>
        <v>1</v>
      </c>
      <c r="BG59" s="1125">
        <f t="shared" si="32"/>
        <v>1</v>
      </c>
      <c r="BH59" s="1125">
        <f t="shared" si="33"/>
        <v>1</v>
      </c>
      <c r="BI59" s="1125">
        <f t="shared" si="34"/>
        <v>0</v>
      </c>
      <c r="BJ59" s="1125">
        <f t="shared" si="35"/>
        <v>0</v>
      </c>
      <c r="BK59" s="1125">
        <f t="shared" si="36"/>
        <v>1</v>
      </c>
      <c r="BL59" s="1125">
        <f t="shared" si="37"/>
        <v>1</v>
      </c>
      <c r="BM59" s="1125">
        <f t="shared" si="38"/>
        <v>1</v>
      </c>
      <c r="BN59" s="1125">
        <f t="shared" si="39"/>
        <v>1</v>
      </c>
      <c r="BO59" s="1125">
        <f t="shared" si="40"/>
        <v>0</v>
      </c>
      <c r="BP59" s="1125">
        <f t="shared" si="41"/>
        <v>0</v>
      </c>
      <c r="BQ59" s="1125">
        <f t="shared" si="42"/>
        <v>0</v>
      </c>
      <c r="BR59" s="1125">
        <f t="shared" si="43"/>
        <v>0</v>
      </c>
      <c r="BS59" s="1125">
        <f t="shared" si="44"/>
        <v>0</v>
      </c>
      <c r="BT59" s="1125">
        <f t="shared" si="45"/>
        <v>0</v>
      </c>
      <c r="BU59" s="1125">
        <f t="shared" si="46"/>
        <v>1</v>
      </c>
      <c r="BV59" s="1125">
        <f t="shared" si="47"/>
        <v>1</v>
      </c>
      <c r="BW59" s="1125">
        <f t="shared" si="48"/>
        <v>0</v>
      </c>
      <c r="BX59" s="1125">
        <f t="shared" si="49"/>
        <v>0</v>
      </c>
      <c r="BY59" s="1125">
        <f t="shared" si="50"/>
        <v>1</v>
      </c>
      <c r="BZ59" s="1125">
        <f t="shared" si="51"/>
        <v>1</v>
      </c>
      <c r="CA59" s="1125">
        <f t="shared" si="52"/>
        <v>1</v>
      </c>
      <c r="CB59" s="1125">
        <f t="shared" si="53"/>
        <v>1</v>
      </c>
      <c r="CC59" s="1125">
        <f t="shared" si="54"/>
        <v>1</v>
      </c>
      <c r="CD59" s="1125">
        <f t="shared" si="55"/>
        <v>1</v>
      </c>
      <c r="CE59" s="1125">
        <f t="shared" si="56"/>
        <v>1</v>
      </c>
      <c r="CF59" s="1125">
        <f t="shared" si="57"/>
        <v>1</v>
      </c>
      <c r="CG59" s="1125">
        <f t="shared" si="58"/>
        <v>1</v>
      </c>
      <c r="CH59" s="1125">
        <f t="shared" si="59"/>
        <v>0</v>
      </c>
      <c r="CI59" s="1125">
        <f t="shared" si="60"/>
        <v>0.85</v>
      </c>
      <c r="CJ59" s="1125">
        <f t="shared" si="61"/>
        <v>0.85</v>
      </c>
      <c r="CK59" s="1125">
        <f t="shared" si="62"/>
        <v>0.85</v>
      </c>
      <c r="CL59" s="1125">
        <f t="shared" si="63"/>
        <v>0.85</v>
      </c>
      <c r="CM59" s="1125">
        <f t="shared" si="64"/>
        <v>0.7</v>
      </c>
      <c r="CN59" s="1125">
        <f t="shared" si="65"/>
        <v>0.7</v>
      </c>
      <c r="CO59" s="1125">
        <f t="shared" si="66"/>
        <v>0.7</v>
      </c>
      <c r="CP59" s="1125">
        <f t="shared" si="67"/>
        <v>0.7</v>
      </c>
      <c r="CQ59" s="1125">
        <f t="shared" si="68"/>
        <v>0.7</v>
      </c>
      <c r="CR59" s="1125">
        <f t="shared" si="69"/>
        <v>0.7</v>
      </c>
      <c r="CS59" s="1125">
        <f t="shared" si="70"/>
        <v>0.85</v>
      </c>
      <c r="CT59" s="1125">
        <f t="shared" si="71"/>
        <v>0.85</v>
      </c>
      <c r="CU59" s="1125">
        <v>1</v>
      </c>
      <c r="CV59" s="1125"/>
      <c r="CW59" s="1125">
        <f t="shared" si="72"/>
        <v>275</v>
      </c>
      <c r="CX59" s="1125">
        <f t="shared" si="73"/>
        <v>90</v>
      </c>
      <c r="CY59" s="1136" t="s">
        <v>4883</v>
      </c>
      <c r="CZ59" s="1129" t="s">
        <v>4884</v>
      </c>
      <c r="DA59" s="1129"/>
      <c r="DB59" s="1129"/>
      <c r="DC59" s="1125" t="s">
        <v>5994</v>
      </c>
      <c r="DD59" s="1125" t="s">
        <v>228</v>
      </c>
      <c r="DE59" s="1120" t="b">
        <f t="shared" si="74"/>
        <v>0</v>
      </c>
      <c r="DF59" s="1133">
        <v>0</v>
      </c>
      <c r="DG59" s="1120">
        <v>0</v>
      </c>
    </row>
    <row r="60" spans="1:111">
      <c r="A60" s="1125" t="s">
        <v>272</v>
      </c>
      <c r="B60" s="1120" t="s">
        <v>3767</v>
      </c>
      <c r="C60" s="1120" t="s">
        <v>3768</v>
      </c>
      <c r="D60" s="1120" t="s">
        <v>934</v>
      </c>
      <c r="E60" s="1120">
        <v>1230</v>
      </c>
      <c r="F60" s="1120">
        <v>-92.93</v>
      </c>
      <c r="G60" s="1120">
        <v>43.67</v>
      </c>
      <c r="H60" s="1120">
        <v>-6</v>
      </c>
      <c r="I60" s="1121">
        <v>-7.4199993133544933</v>
      </c>
      <c r="J60" s="1121">
        <v>85.819999313354487</v>
      </c>
      <c r="K60" s="1122">
        <v>73.580000686645505</v>
      </c>
      <c r="L60" s="1120">
        <v>7650</v>
      </c>
      <c r="M60" s="1120">
        <v>601.20000000000005</v>
      </c>
      <c r="N60" s="1123">
        <v>21.740000343322755</v>
      </c>
      <c r="O60" s="1123">
        <v>16.880000686645506</v>
      </c>
      <c r="P60" s="1123">
        <v>34.160000085830688</v>
      </c>
      <c r="Q60" s="1123">
        <v>52.340000343322757</v>
      </c>
      <c r="R60" s="1123">
        <v>53.959999656677248</v>
      </c>
      <c r="S60" s="1123">
        <v>65.83999862670899</v>
      </c>
      <c r="T60" s="1123">
        <v>69.980000686645511</v>
      </c>
      <c r="U60" s="1123">
        <v>70.519999313354489</v>
      </c>
      <c r="V60" s="1123">
        <v>65.119999313354498</v>
      </c>
      <c r="W60" s="1123">
        <v>44.779999828338624</v>
      </c>
      <c r="X60" s="1123">
        <v>33.259999978542325</v>
      </c>
      <c r="Y60" s="1123">
        <v>10.759999656677246</v>
      </c>
      <c r="Z60" s="1123">
        <v>45.074903982959384</v>
      </c>
      <c r="AA60" s="1123">
        <f t="shared" si="0"/>
        <v>40.834581685379973</v>
      </c>
      <c r="AB60" s="1123">
        <f t="shared" si="1"/>
        <v>38.829710697657305</v>
      </c>
      <c r="AC60" s="1123">
        <f t="shared" si="2"/>
        <v>40.016738043889184</v>
      </c>
      <c r="AD60" s="1123">
        <f t="shared" si="3"/>
        <v>44.086246753635137</v>
      </c>
      <c r="AE60" s="1123">
        <f t="shared" si="4"/>
        <v>49.977456668672367</v>
      </c>
      <c r="AF60" s="1123">
        <f t="shared" si="5"/>
        <v>56.154733138353549</v>
      </c>
      <c r="AG60" s="1123">
        <f t="shared" si="6"/>
        <v>61.007873856144364</v>
      </c>
      <c r="AH60" s="1123">
        <f t="shared" si="7"/>
        <v>63.27183290479033</v>
      </c>
      <c r="AI60" s="1123">
        <f t="shared" si="8"/>
        <v>62.356474469596861</v>
      </c>
      <c r="AJ60" s="1123">
        <f t="shared" si="9"/>
        <v>58.500400832797609</v>
      </c>
      <c r="AK60" s="1123">
        <f t="shared" si="10"/>
        <v>52.708757011717793</v>
      </c>
      <c r="AL60" s="1123">
        <f t="shared" si="11"/>
        <v>46.491224220254779</v>
      </c>
      <c r="AM60" s="1120">
        <f t="shared" si="12"/>
        <v>1</v>
      </c>
      <c r="AN60" s="1120">
        <f t="shared" si="13"/>
        <v>1</v>
      </c>
      <c r="AO60" s="1120">
        <f t="shared" si="14"/>
        <v>1</v>
      </c>
      <c r="AP60" s="1120">
        <f t="shared" si="15"/>
        <v>1</v>
      </c>
      <c r="AQ60" s="1120">
        <f t="shared" si="16"/>
        <v>1</v>
      </c>
      <c r="AR60" s="1120">
        <f t="shared" si="17"/>
        <v>1</v>
      </c>
      <c r="AS60" s="1120">
        <f t="shared" si="18"/>
        <v>0</v>
      </c>
      <c r="AT60" s="1120">
        <f t="shared" si="19"/>
        <v>0</v>
      </c>
      <c r="AU60" s="1120">
        <f t="shared" si="20"/>
        <v>1</v>
      </c>
      <c r="AV60" s="1120">
        <f t="shared" si="21"/>
        <v>1</v>
      </c>
      <c r="AW60" s="1120">
        <f t="shared" si="22"/>
        <v>1</v>
      </c>
      <c r="AX60" s="1120">
        <f t="shared" si="23"/>
        <v>1</v>
      </c>
      <c r="AY60" s="1120">
        <f t="shared" si="24"/>
        <v>0</v>
      </c>
      <c r="AZ60" s="1120">
        <f t="shared" si="25"/>
        <v>0</v>
      </c>
      <c r="BA60" s="1120">
        <f t="shared" si="26"/>
        <v>0</v>
      </c>
      <c r="BB60" s="1120">
        <f t="shared" si="27"/>
        <v>0</v>
      </c>
      <c r="BC60" s="1120">
        <f t="shared" si="28"/>
        <v>0</v>
      </c>
      <c r="BD60" s="1120">
        <f t="shared" si="29"/>
        <v>0</v>
      </c>
      <c r="BE60" s="1120">
        <f t="shared" si="30"/>
        <v>1</v>
      </c>
      <c r="BF60" s="1120">
        <f t="shared" si="31"/>
        <v>1</v>
      </c>
      <c r="BG60" s="1120">
        <f t="shared" si="32"/>
        <v>0</v>
      </c>
      <c r="BH60" s="1120">
        <f t="shared" si="33"/>
        <v>0</v>
      </c>
      <c r="BI60" s="1120">
        <f t="shared" si="34"/>
        <v>0</v>
      </c>
      <c r="BJ60" s="1120">
        <f t="shared" si="35"/>
        <v>0</v>
      </c>
      <c r="BK60" s="1120">
        <f t="shared" si="36"/>
        <v>1</v>
      </c>
      <c r="BL60" s="1120">
        <f t="shared" si="37"/>
        <v>1</v>
      </c>
      <c r="BM60" s="1120">
        <f t="shared" si="38"/>
        <v>1</v>
      </c>
      <c r="BN60" s="1120">
        <f t="shared" si="39"/>
        <v>1</v>
      </c>
      <c r="BO60" s="1120">
        <f t="shared" si="40"/>
        <v>1</v>
      </c>
      <c r="BP60" s="1120">
        <f t="shared" si="41"/>
        <v>1</v>
      </c>
      <c r="BQ60" s="1120">
        <f t="shared" si="42"/>
        <v>1</v>
      </c>
      <c r="BR60" s="1120">
        <f t="shared" si="43"/>
        <v>0</v>
      </c>
      <c r="BS60" s="1120">
        <f t="shared" si="44"/>
        <v>1</v>
      </c>
      <c r="BT60" s="1120">
        <f t="shared" si="45"/>
        <v>1</v>
      </c>
      <c r="BU60" s="1120">
        <f t="shared" si="46"/>
        <v>1</v>
      </c>
      <c r="BV60" s="1120">
        <f t="shared" si="47"/>
        <v>1</v>
      </c>
      <c r="BW60" s="1120">
        <f t="shared" si="48"/>
        <v>0</v>
      </c>
      <c r="BX60" s="1120">
        <f t="shared" si="49"/>
        <v>0</v>
      </c>
      <c r="BY60" s="1120">
        <f t="shared" si="50"/>
        <v>0</v>
      </c>
      <c r="BZ60" s="1120">
        <f t="shared" si="51"/>
        <v>0</v>
      </c>
      <c r="CA60" s="1120">
        <f t="shared" si="52"/>
        <v>0</v>
      </c>
      <c r="CB60" s="1120">
        <f t="shared" si="53"/>
        <v>1</v>
      </c>
      <c r="CC60" s="1120">
        <f t="shared" si="54"/>
        <v>1</v>
      </c>
      <c r="CD60" s="1120">
        <f t="shared" si="55"/>
        <v>1</v>
      </c>
      <c r="CE60" s="1120">
        <f t="shared" si="56"/>
        <v>1</v>
      </c>
      <c r="CF60" s="1120">
        <f t="shared" si="57"/>
        <v>0</v>
      </c>
      <c r="CG60" s="1120">
        <f t="shared" si="58"/>
        <v>0</v>
      </c>
      <c r="CH60" s="1120">
        <f t="shared" si="59"/>
        <v>0</v>
      </c>
      <c r="CI60" s="1120">
        <f t="shared" si="60"/>
        <v>0.85</v>
      </c>
      <c r="CJ60" s="1120">
        <f t="shared" si="61"/>
        <v>0.85</v>
      </c>
      <c r="CK60" s="1120">
        <f t="shared" si="62"/>
        <v>0.85</v>
      </c>
      <c r="CL60" s="1120">
        <f t="shared" si="63"/>
        <v>0.85</v>
      </c>
      <c r="CM60" s="1120">
        <f t="shared" si="64"/>
        <v>0.85</v>
      </c>
      <c r="CN60" s="1120">
        <f t="shared" si="65"/>
        <v>0.85</v>
      </c>
      <c r="CO60" s="1120">
        <f t="shared" si="66"/>
        <v>0.85</v>
      </c>
      <c r="CP60" s="1120">
        <f t="shared" si="67"/>
        <v>0.7</v>
      </c>
      <c r="CQ60" s="1120">
        <f t="shared" si="68"/>
        <v>0.85</v>
      </c>
      <c r="CR60" s="1120">
        <f t="shared" si="69"/>
        <v>0.85</v>
      </c>
      <c r="CS60" s="1120">
        <f t="shared" si="70"/>
        <v>0.85</v>
      </c>
      <c r="CT60" s="1120">
        <f t="shared" si="71"/>
        <v>0.85</v>
      </c>
      <c r="CU60" s="1120">
        <v>1</v>
      </c>
      <c r="CV60" s="1120"/>
      <c r="CW60" s="1120">
        <f t="shared" si="72"/>
        <v>122</v>
      </c>
      <c r="CX60" s="1120">
        <f t="shared" si="73"/>
        <v>243</v>
      </c>
      <c r="CY60" s="1135" t="s">
        <v>4889</v>
      </c>
      <c r="CZ60" s="1124" t="s">
        <v>4899</v>
      </c>
      <c r="DA60" s="1124"/>
      <c r="DB60" s="1124"/>
      <c r="DC60" s="1120" t="s">
        <v>5321</v>
      </c>
      <c r="DD60" s="1120" t="s">
        <v>934</v>
      </c>
      <c r="DE60" s="1120" t="str">
        <f t="shared" si="74"/>
        <v/>
      </c>
      <c r="DF60" s="1133">
        <v>0</v>
      </c>
      <c r="DG60" s="1125">
        <v>0</v>
      </c>
    </row>
    <row r="61" spans="1:111">
      <c r="A61" s="1120" t="s">
        <v>274</v>
      </c>
      <c r="B61" s="1125" t="s">
        <v>4224</v>
      </c>
      <c r="C61" s="1125" t="s">
        <v>4225</v>
      </c>
      <c r="D61" s="1125" t="s">
        <v>427</v>
      </c>
      <c r="E61" s="1125">
        <v>3369</v>
      </c>
      <c r="F61" s="1125">
        <v>-117.82</v>
      </c>
      <c r="G61" s="1125">
        <v>44.83</v>
      </c>
      <c r="H61" s="1125">
        <v>-8</v>
      </c>
      <c r="I61" s="1126">
        <v>6.6199993133544917</v>
      </c>
      <c r="J61" s="1126">
        <v>89.960001373291021</v>
      </c>
      <c r="K61" s="1127">
        <v>62.239998626708989</v>
      </c>
      <c r="L61" s="1125">
        <v>6948</v>
      </c>
      <c r="M61" s="1125">
        <v>282.60000000000002</v>
      </c>
      <c r="N61" s="1128">
        <v>30.559999978542329</v>
      </c>
      <c r="O61" s="1128">
        <v>27.5</v>
      </c>
      <c r="P61" s="1128">
        <v>34.519999957084657</v>
      </c>
      <c r="Q61" s="1128">
        <v>44.959999656677248</v>
      </c>
      <c r="R61" s="1128">
        <v>50</v>
      </c>
      <c r="S61" s="1128">
        <v>60.080000686645505</v>
      </c>
      <c r="T61" s="1128">
        <v>68.180000686645513</v>
      </c>
      <c r="U61" s="1128">
        <v>67.099999999999994</v>
      </c>
      <c r="V61" s="1128">
        <v>59</v>
      </c>
      <c r="W61" s="1128">
        <v>45.5</v>
      </c>
      <c r="X61" s="1128">
        <v>33.259999978542325</v>
      </c>
      <c r="Y61" s="1128">
        <v>31.459999978542328</v>
      </c>
      <c r="Z61" s="1128">
        <v>46.125808296660857</v>
      </c>
      <c r="AA61" s="1128">
        <f t="shared" si="0"/>
        <v>44.892396006222299</v>
      </c>
      <c r="AB61" s="1128">
        <f t="shared" si="1"/>
        <v>43.567897765057943</v>
      </c>
      <c r="AC61" s="1128">
        <f t="shared" si="2"/>
        <v>44.474150785349195</v>
      </c>
      <c r="AD61" s="1128">
        <f t="shared" si="3"/>
        <v>47.37492625157536</v>
      </c>
      <c r="AE61" s="1128">
        <f t="shared" si="4"/>
        <v>51.514092336161518</v>
      </c>
      <c r="AF61" s="1128">
        <f t="shared" si="5"/>
        <v>55.812711612680133</v>
      </c>
      <c r="AG61" s="1128">
        <f t="shared" si="6"/>
        <v>59.150282722978389</v>
      </c>
      <c r="AH61" s="1128">
        <f t="shared" si="7"/>
        <v>60.656816323629357</v>
      </c>
      <c r="AI61" s="1128">
        <f t="shared" si="8"/>
        <v>59.939611215237825</v>
      </c>
      <c r="AJ61" s="1128">
        <f t="shared" si="9"/>
        <v>57.185617961771321</v>
      </c>
      <c r="AK61" s="1128">
        <f t="shared" si="10"/>
        <v>53.112707345066582</v>
      </c>
      <c r="AL61" s="1128">
        <f t="shared" si="11"/>
        <v>48.782546282820192</v>
      </c>
      <c r="AM61" s="1125">
        <f t="shared" si="12"/>
        <v>1</v>
      </c>
      <c r="AN61" s="1125">
        <f t="shared" si="13"/>
        <v>1</v>
      </c>
      <c r="AO61" s="1125">
        <f t="shared" si="14"/>
        <v>1</v>
      </c>
      <c r="AP61" s="1125">
        <f t="shared" si="15"/>
        <v>1</v>
      </c>
      <c r="AQ61" s="1125">
        <f t="shared" si="16"/>
        <v>1</v>
      </c>
      <c r="AR61" s="1125">
        <f t="shared" si="17"/>
        <v>1</v>
      </c>
      <c r="AS61" s="1125">
        <f t="shared" si="18"/>
        <v>0</v>
      </c>
      <c r="AT61" s="1125">
        <f t="shared" si="19"/>
        <v>0</v>
      </c>
      <c r="AU61" s="1125">
        <f t="shared" si="20"/>
        <v>1</v>
      </c>
      <c r="AV61" s="1125">
        <f t="shared" si="21"/>
        <v>1</v>
      </c>
      <c r="AW61" s="1125">
        <f t="shared" si="22"/>
        <v>1</v>
      </c>
      <c r="AX61" s="1125">
        <f t="shared" si="23"/>
        <v>1</v>
      </c>
      <c r="AY61" s="1125">
        <f t="shared" si="24"/>
        <v>0</v>
      </c>
      <c r="AZ61" s="1125">
        <f t="shared" si="25"/>
        <v>0</v>
      </c>
      <c r="BA61" s="1125">
        <f t="shared" si="26"/>
        <v>0</v>
      </c>
      <c r="BB61" s="1125">
        <f t="shared" si="27"/>
        <v>0</v>
      </c>
      <c r="BC61" s="1125">
        <f t="shared" si="28"/>
        <v>0</v>
      </c>
      <c r="BD61" s="1125">
        <f t="shared" si="29"/>
        <v>0</v>
      </c>
      <c r="BE61" s="1125">
        <f t="shared" si="30"/>
        <v>1</v>
      </c>
      <c r="BF61" s="1125">
        <f t="shared" si="31"/>
        <v>1</v>
      </c>
      <c r="BG61" s="1125">
        <f t="shared" si="32"/>
        <v>0</v>
      </c>
      <c r="BH61" s="1125">
        <f t="shared" si="33"/>
        <v>0</v>
      </c>
      <c r="BI61" s="1125">
        <f t="shared" si="34"/>
        <v>0</v>
      </c>
      <c r="BJ61" s="1125">
        <f t="shared" si="35"/>
        <v>0</v>
      </c>
      <c r="BK61" s="1125">
        <f t="shared" si="36"/>
        <v>1</v>
      </c>
      <c r="BL61" s="1125">
        <f t="shared" si="37"/>
        <v>1</v>
      </c>
      <c r="BM61" s="1125">
        <f t="shared" si="38"/>
        <v>1</v>
      </c>
      <c r="BN61" s="1125">
        <f t="shared" si="39"/>
        <v>1</v>
      </c>
      <c r="BO61" s="1125">
        <f t="shared" si="40"/>
        <v>1</v>
      </c>
      <c r="BP61" s="1125">
        <f t="shared" si="41"/>
        <v>1</v>
      </c>
      <c r="BQ61" s="1125">
        <f t="shared" si="42"/>
        <v>1</v>
      </c>
      <c r="BR61" s="1125">
        <f t="shared" si="43"/>
        <v>0</v>
      </c>
      <c r="BS61" s="1125">
        <f t="shared" si="44"/>
        <v>1</v>
      </c>
      <c r="BT61" s="1125">
        <f t="shared" si="45"/>
        <v>1</v>
      </c>
      <c r="BU61" s="1125">
        <f t="shared" si="46"/>
        <v>1</v>
      </c>
      <c r="BV61" s="1125">
        <f t="shared" si="47"/>
        <v>1</v>
      </c>
      <c r="BW61" s="1125">
        <f t="shared" si="48"/>
        <v>0</v>
      </c>
      <c r="BX61" s="1125">
        <f t="shared" si="49"/>
        <v>0</v>
      </c>
      <c r="BY61" s="1125">
        <f t="shared" si="50"/>
        <v>0</v>
      </c>
      <c r="BZ61" s="1125">
        <f t="shared" si="51"/>
        <v>0</v>
      </c>
      <c r="CA61" s="1125">
        <f t="shared" si="52"/>
        <v>0</v>
      </c>
      <c r="CB61" s="1125">
        <f t="shared" si="53"/>
        <v>1</v>
      </c>
      <c r="CC61" s="1125">
        <f t="shared" si="54"/>
        <v>1</v>
      </c>
      <c r="CD61" s="1125">
        <f t="shared" si="55"/>
        <v>1</v>
      </c>
      <c r="CE61" s="1125">
        <f t="shared" si="56"/>
        <v>1</v>
      </c>
      <c r="CF61" s="1125">
        <f t="shared" si="57"/>
        <v>0</v>
      </c>
      <c r="CG61" s="1125">
        <f t="shared" si="58"/>
        <v>0</v>
      </c>
      <c r="CH61" s="1125">
        <f t="shared" si="59"/>
        <v>0</v>
      </c>
      <c r="CI61" s="1125">
        <f t="shared" si="60"/>
        <v>0.85</v>
      </c>
      <c r="CJ61" s="1125">
        <f t="shared" si="61"/>
        <v>0.85</v>
      </c>
      <c r="CK61" s="1125">
        <f t="shared" si="62"/>
        <v>0.85</v>
      </c>
      <c r="CL61" s="1125">
        <f t="shared" si="63"/>
        <v>0.85</v>
      </c>
      <c r="CM61" s="1125">
        <f t="shared" si="64"/>
        <v>0.85</v>
      </c>
      <c r="CN61" s="1125">
        <f t="shared" si="65"/>
        <v>0.85</v>
      </c>
      <c r="CO61" s="1125">
        <f t="shared" si="66"/>
        <v>0.85</v>
      </c>
      <c r="CP61" s="1125">
        <f t="shared" si="67"/>
        <v>0.7</v>
      </c>
      <c r="CQ61" s="1125">
        <f t="shared" si="68"/>
        <v>0.85</v>
      </c>
      <c r="CR61" s="1125">
        <f t="shared" si="69"/>
        <v>0.85</v>
      </c>
      <c r="CS61" s="1125">
        <f t="shared" si="70"/>
        <v>0.85</v>
      </c>
      <c r="CT61" s="1125">
        <f t="shared" si="71"/>
        <v>0.85</v>
      </c>
      <c r="CU61" s="1125">
        <v>1</v>
      </c>
      <c r="CV61" s="1125"/>
      <c r="CW61" s="1125">
        <f t="shared" si="72"/>
        <v>122</v>
      </c>
      <c r="CX61" s="1125">
        <f t="shared" si="73"/>
        <v>243</v>
      </c>
      <c r="CY61" s="1136" t="s">
        <v>4889</v>
      </c>
      <c r="CZ61" s="1129" t="s">
        <v>4890</v>
      </c>
      <c r="DA61" s="1129"/>
      <c r="DB61" s="1129"/>
      <c r="DC61" s="1125" t="s">
        <v>5515</v>
      </c>
      <c r="DD61" s="1125" t="s">
        <v>427</v>
      </c>
      <c r="DE61" s="1120" t="str">
        <f t="shared" si="74"/>
        <v/>
      </c>
      <c r="DF61" s="1133">
        <v>0</v>
      </c>
      <c r="DG61" s="1120">
        <v>0</v>
      </c>
    </row>
    <row r="62" spans="1:111">
      <c r="A62" s="1125" t="s">
        <v>276</v>
      </c>
      <c r="B62" s="1120" t="s">
        <v>3084</v>
      </c>
      <c r="C62" s="1120" t="s">
        <v>3085</v>
      </c>
      <c r="D62" s="1120" t="s">
        <v>954</v>
      </c>
      <c r="E62" s="1120">
        <v>489</v>
      </c>
      <c r="F62" s="1120">
        <v>-119.05</v>
      </c>
      <c r="G62" s="1120">
        <v>35.43</v>
      </c>
      <c r="H62" s="1120">
        <v>-8</v>
      </c>
      <c r="I62" s="1121">
        <v>34.880000042915341</v>
      </c>
      <c r="J62" s="1121">
        <v>100.57999725341797</v>
      </c>
      <c r="K62" s="1122">
        <v>70.16000137329101</v>
      </c>
      <c r="L62" s="1120">
        <v>1999.8</v>
      </c>
      <c r="M62" s="1120">
        <v>2332.8000000000002</v>
      </c>
      <c r="N62" s="1123">
        <v>47.840000343322757</v>
      </c>
      <c r="O62" s="1123">
        <v>51.619999313354491</v>
      </c>
      <c r="P62" s="1123">
        <v>56.480000686645511</v>
      </c>
      <c r="Q62" s="1123">
        <v>64.219999313354492</v>
      </c>
      <c r="R62" s="1123">
        <v>70.33999862670899</v>
      </c>
      <c r="S62" s="1123">
        <v>79.16000137329101</v>
      </c>
      <c r="T62" s="1123">
        <v>81.319999313354487</v>
      </c>
      <c r="U62" s="1123">
        <v>81.319999313354487</v>
      </c>
      <c r="V62" s="1123">
        <v>77</v>
      </c>
      <c r="W62" s="1123">
        <v>69.260001373291018</v>
      </c>
      <c r="X62" s="1123">
        <v>56.119999313354491</v>
      </c>
      <c r="Y62" s="1123">
        <v>48.2</v>
      </c>
      <c r="Z62" s="1123">
        <v>65.309369781180607</v>
      </c>
      <c r="AA62" s="1123">
        <f t="shared" si="0"/>
        <v>61.329710873209166</v>
      </c>
      <c r="AB62" s="1123">
        <f t="shared" si="1"/>
        <v>61.447771161586481</v>
      </c>
      <c r="AC62" s="1123">
        <f t="shared" si="2"/>
        <v>64.136409101995881</v>
      </c>
      <c r="AD62" s="1123">
        <f t="shared" si="3"/>
        <v>68.69478978210482</v>
      </c>
      <c r="AE62" s="1123">
        <f t="shared" si="4"/>
        <v>73.934701030870272</v>
      </c>
      <c r="AF62" s="1123">
        <f t="shared" si="5"/>
        <v>78.490279231824914</v>
      </c>
      <c r="AG62" s="1123">
        <f t="shared" si="6"/>
        <v>81.174042723304808</v>
      </c>
      <c r="AH62" s="1123">
        <f t="shared" si="7"/>
        <v>81.286427193208397</v>
      </c>
      <c r="AI62" s="1123">
        <f t="shared" si="8"/>
        <v>78.79813789755822</v>
      </c>
      <c r="AJ62" s="1123">
        <f t="shared" si="9"/>
        <v>74.357785786964243</v>
      </c>
      <c r="AK62" s="1123">
        <f t="shared" si="10"/>
        <v>69.12281706695012</v>
      </c>
      <c r="AL62" s="1123">
        <f t="shared" si="11"/>
        <v>64.457807007697468</v>
      </c>
      <c r="AM62" s="1120">
        <f t="shared" si="12"/>
        <v>1</v>
      </c>
      <c r="AN62" s="1120">
        <f t="shared" si="13"/>
        <v>1</v>
      </c>
      <c r="AO62" s="1120">
        <f t="shared" si="14"/>
        <v>1</v>
      </c>
      <c r="AP62" s="1120">
        <f t="shared" si="15"/>
        <v>1</v>
      </c>
      <c r="AQ62" s="1120">
        <f t="shared" si="16"/>
        <v>0</v>
      </c>
      <c r="AR62" s="1120">
        <f t="shared" si="17"/>
        <v>0</v>
      </c>
      <c r="AS62" s="1120">
        <f t="shared" si="18"/>
        <v>0</v>
      </c>
      <c r="AT62" s="1120">
        <f t="shared" si="19"/>
        <v>0</v>
      </c>
      <c r="AU62" s="1120">
        <f t="shared" si="20"/>
        <v>0</v>
      </c>
      <c r="AV62" s="1120">
        <f t="shared" si="21"/>
        <v>0</v>
      </c>
      <c r="AW62" s="1120">
        <f t="shared" si="22"/>
        <v>1</v>
      </c>
      <c r="AX62" s="1120">
        <f t="shared" si="23"/>
        <v>1</v>
      </c>
      <c r="AY62" s="1120">
        <f t="shared" si="24"/>
        <v>0</v>
      </c>
      <c r="AZ62" s="1120">
        <f t="shared" si="25"/>
        <v>0</v>
      </c>
      <c r="BA62" s="1120">
        <f t="shared" si="26"/>
        <v>0</v>
      </c>
      <c r="BB62" s="1120">
        <f t="shared" si="27"/>
        <v>0</v>
      </c>
      <c r="BC62" s="1120">
        <f t="shared" si="28"/>
        <v>1</v>
      </c>
      <c r="BD62" s="1120">
        <f t="shared" si="29"/>
        <v>1</v>
      </c>
      <c r="BE62" s="1120">
        <f t="shared" si="30"/>
        <v>1</v>
      </c>
      <c r="BF62" s="1120">
        <f t="shared" si="31"/>
        <v>1</v>
      </c>
      <c r="BG62" s="1120">
        <f t="shared" si="32"/>
        <v>1</v>
      </c>
      <c r="BH62" s="1120">
        <f t="shared" si="33"/>
        <v>1</v>
      </c>
      <c r="BI62" s="1120">
        <f t="shared" si="34"/>
        <v>0</v>
      </c>
      <c r="BJ62" s="1120">
        <f t="shared" si="35"/>
        <v>0</v>
      </c>
      <c r="BK62" s="1120">
        <f t="shared" si="36"/>
        <v>1</v>
      </c>
      <c r="BL62" s="1120">
        <f t="shared" si="37"/>
        <v>1</v>
      </c>
      <c r="BM62" s="1120">
        <f t="shared" si="38"/>
        <v>1</v>
      </c>
      <c r="BN62" s="1120">
        <f t="shared" si="39"/>
        <v>1</v>
      </c>
      <c r="BO62" s="1120">
        <f t="shared" si="40"/>
        <v>1</v>
      </c>
      <c r="BP62" s="1120">
        <f t="shared" si="41"/>
        <v>0</v>
      </c>
      <c r="BQ62" s="1120">
        <f t="shared" si="42"/>
        <v>0</v>
      </c>
      <c r="BR62" s="1120">
        <f t="shared" si="43"/>
        <v>0</v>
      </c>
      <c r="BS62" s="1120">
        <f t="shared" si="44"/>
        <v>0</v>
      </c>
      <c r="BT62" s="1120">
        <f t="shared" si="45"/>
        <v>0</v>
      </c>
      <c r="BU62" s="1120">
        <f t="shared" si="46"/>
        <v>1</v>
      </c>
      <c r="BV62" s="1120">
        <f t="shared" si="47"/>
        <v>1</v>
      </c>
      <c r="BW62" s="1120">
        <f t="shared" si="48"/>
        <v>0</v>
      </c>
      <c r="BX62" s="1120">
        <f t="shared" si="49"/>
        <v>0</v>
      </c>
      <c r="BY62" s="1120">
        <f t="shared" si="50"/>
        <v>0</v>
      </c>
      <c r="BZ62" s="1120">
        <f t="shared" si="51"/>
        <v>1</v>
      </c>
      <c r="CA62" s="1120">
        <f t="shared" si="52"/>
        <v>1</v>
      </c>
      <c r="CB62" s="1120">
        <f t="shared" si="53"/>
        <v>1</v>
      </c>
      <c r="CC62" s="1120">
        <f t="shared" si="54"/>
        <v>1</v>
      </c>
      <c r="CD62" s="1120">
        <f t="shared" si="55"/>
        <v>1</v>
      </c>
      <c r="CE62" s="1120">
        <f t="shared" si="56"/>
        <v>1</v>
      </c>
      <c r="CF62" s="1120">
        <f t="shared" si="57"/>
        <v>1</v>
      </c>
      <c r="CG62" s="1120">
        <f t="shared" si="58"/>
        <v>1</v>
      </c>
      <c r="CH62" s="1120">
        <f t="shared" si="59"/>
        <v>0</v>
      </c>
      <c r="CI62" s="1120">
        <f t="shared" si="60"/>
        <v>0.85</v>
      </c>
      <c r="CJ62" s="1120">
        <f t="shared" si="61"/>
        <v>0.85</v>
      </c>
      <c r="CK62" s="1120">
        <f t="shared" si="62"/>
        <v>0.85</v>
      </c>
      <c r="CL62" s="1120">
        <f t="shared" si="63"/>
        <v>0.85</v>
      </c>
      <c r="CM62" s="1120">
        <f t="shared" si="64"/>
        <v>0.85</v>
      </c>
      <c r="CN62" s="1120">
        <f t="shared" si="65"/>
        <v>0.7</v>
      </c>
      <c r="CO62" s="1120">
        <f t="shared" si="66"/>
        <v>0.7</v>
      </c>
      <c r="CP62" s="1120">
        <f t="shared" si="67"/>
        <v>0.7</v>
      </c>
      <c r="CQ62" s="1120">
        <f t="shared" si="68"/>
        <v>0.7</v>
      </c>
      <c r="CR62" s="1120">
        <f t="shared" si="69"/>
        <v>0.7</v>
      </c>
      <c r="CS62" s="1120">
        <f t="shared" si="70"/>
        <v>0.85</v>
      </c>
      <c r="CT62" s="1120">
        <f t="shared" si="71"/>
        <v>0.85</v>
      </c>
      <c r="CU62" s="1120">
        <v>1</v>
      </c>
      <c r="CV62" s="1120"/>
      <c r="CW62" s="1120">
        <f t="shared" si="72"/>
        <v>244</v>
      </c>
      <c r="CX62" s="1120">
        <f t="shared" si="73"/>
        <v>121</v>
      </c>
      <c r="CY62" s="1135" t="s">
        <v>4886</v>
      </c>
      <c r="CZ62" s="1124" t="s">
        <v>4888</v>
      </c>
      <c r="DA62" s="1124"/>
      <c r="DB62" s="1124"/>
      <c r="DC62" s="1120" t="s">
        <v>5012</v>
      </c>
      <c r="DD62" s="1120" t="s">
        <v>954</v>
      </c>
      <c r="DE62" s="1120" t="str">
        <f t="shared" si="74"/>
        <v/>
      </c>
      <c r="DF62" s="1120">
        <v>0</v>
      </c>
      <c r="DG62" s="1125">
        <v>0</v>
      </c>
    </row>
    <row r="63" spans="1:111">
      <c r="A63" s="1120" t="s">
        <v>2976</v>
      </c>
      <c r="B63" s="1125" t="s">
        <v>3677</v>
      </c>
      <c r="C63" s="1125" t="s">
        <v>3678</v>
      </c>
      <c r="D63" s="1125" t="s">
        <v>590</v>
      </c>
      <c r="E63" s="1125">
        <v>148</v>
      </c>
      <c r="F63" s="1125">
        <v>-76.680000000000007</v>
      </c>
      <c r="G63" s="1125">
        <v>39.17</v>
      </c>
      <c r="H63" s="1125">
        <v>-5</v>
      </c>
      <c r="I63" s="1126">
        <v>17.240000343322752</v>
      </c>
      <c r="J63" s="1126">
        <v>91.22000274658204</v>
      </c>
      <c r="K63" s="1127">
        <v>74.3</v>
      </c>
      <c r="L63" s="1125">
        <v>4460.4000000000005</v>
      </c>
      <c r="M63" s="1125">
        <v>1314</v>
      </c>
      <c r="N63" s="1128">
        <v>31.1</v>
      </c>
      <c r="O63" s="1128">
        <v>35.960000085830686</v>
      </c>
      <c r="P63" s="1128">
        <v>46.4</v>
      </c>
      <c r="Q63" s="1128">
        <v>55.759999656677245</v>
      </c>
      <c r="R63" s="1128">
        <v>64.939998626708984</v>
      </c>
      <c r="S63" s="1128">
        <v>73.219999313354492</v>
      </c>
      <c r="T63" s="1128">
        <v>77.539998626708979</v>
      </c>
      <c r="U63" s="1128">
        <v>75.739998626708982</v>
      </c>
      <c r="V63" s="1128">
        <v>68.719999313354492</v>
      </c>
      <c r="W63" s="1128">
        <v>54.859999656677246</v>
      </c>
      <c r="X63" s="1128">
        <v>48.019999313354489</v>
      </c>
      <c r="Y63" s="1128">
        <v>35.779999828338624</v>
      </c>
      <c r="Z63" s="1128">
        <v>55.768876127739475</v>
      </c>
      <c r="AA63" s="1128">
        <f t="shared" si="0"/>
        <v>50.696033376050764</v>
      </c>
      <c r="AB63" s="1128">
        <f t="shared" si="1"/>
        <v>49.829604779757439</v>
      </c>
      <c r="AC63" s="1128">
        <f t="shared" si="2"/>
        <v>52.075331250056422</v>
      </c>
      <c r="AD63" s="1128">
        <f t="shared" si="3"/>
        <v>56.847829574771815</v>
      </c>
      <c r="AE63" s="1128">
        <f t="shared" si="4"/>
        <v>62.903074519141136</v>
      </c>
      <c r="AF63" s="1128">
        <f t="shared" si="5"/>
        <v>68.662673174265336</v>
      </c>
      <c r="AG63" s="1128">
        <f t="shared" si="6"/>
        <v>72.625297392584315</v>
      </c>
      <c r="AH63" s="1128">
        <f t="shared" si="7"/>
        <v>73.758028105705606</v>
      </c>
      <c r="AI63" s="1128">
        <f t="shared" si="8"/>
        <v>71.765601597345452</v>
      </c>
      <c r="AJ63" s="1128">
        <f t="shared" si="9"/>
        <v>67.167374541129831</v>
      </c>
      <c r="AK63" s="1128">
        <f t="shared" si="10"/>
        <v>61.161945680085218</v>
      </c>
      <c r="AL63" s="1128">
        <f t="shared" si="11"/>
        <v>55.314722593302996</v>
      </c>
      <c r="AM63" s="1125">
        <f t="shared" si="12"/>
        <v>1</v>
      </c>
      <c r="AN63" s="1125">
        <f t="shared" si="13"/>
        <v>1</v>
      </c>
      <c r="AO63" s="1125">
        <f t="shared" si="14"/>
        <v>1</v>
      </c>
      <c r="AP63" s="1125">
        <f t="shared" si="15"/>
        <v>1</v>
      </c>
      <c r="AQ63" s="1125">
        <f t="shared" si="16"/>
        <v>1</v>
      </c>
      <c r="AR63" s="1125">
        <f t="shared" si="17"/>
        <v>0</v>
      </c>
      <c r="AS63" s="1125">
        <f t="shared" si="18"/>
        <v>0</v>
      </c>
      <c r="AT63" s="1125">
        <f t="shared" si="19"/>
        <v>0</v>
      </c>
      <c r="AU63" s="1125">
        <f t="shared" si="20"/>
        <v>0</v>
      </c>
      <c r="AV63" s="1125">
        <f t="shared" si="21"/>
        <v>1</v>
      </c>
      <c r="AW63" s="1125">
        <f t="shared" si="22"/>
        <v>1</v>
      </c>
      <c r="AX63" s="1125">
        <f t="shared" si="23"/>
        <v>1</v>
      </c>
      <c r="AY63" s="1125">
        <f t="shared" si="24"/>
        <v>0</v>
      </c>
      <c r="AZ63" s="1125">
        <f t="shared" si="25"/>
        <v>0</v>
      </c>
      <c r="BA63" s="1125">
        <f t="shared" si="26"/>
        <v>0</v>
      </c>
      <c r="BB63" s="1125">
        <f t="shared" si="27"/>
        <v>0</v>
      </c>
      <c r="BC63" s="1125">
        <f t="shared" si="28"/>
        <v>0</v>
      </c>
      <c r="BD63" s="1125">
        <f t="shared" si="29"/>
        <v>1</v>
      </c>
      <c r="BE63" s="1125">
        <f t="shared" si="30"/>
        <v>1</v>
      </c>
      <c r="BF63" s="1125">
        <f t="shared" si="31"/>
        <v>1</v>
      </c>
      <c r="BG63" s="1125">
        <f t="shared" si="32"/>
        <v>1</v>
      </c>
      <c r="BH63" s="1125">
        <f t="shared" si="33"/>
        <v>0</v>
      </c>
      <c r="BI63" s="1125">
        <f t="shared" si="34"/>
        <v>0</v>
      </c>
      <c r="BJ63" s="1125">
        <f t="shared" si="35"/>
        <v>0</v>
      </c>
      <c r="BK63" s="1125">
        <f t="shared" si="36"/>
        <v>1</v>
      </c>
      <c r="BL63" s="1125">
        <f t="shared" si="37"/>
        <v>1</v>
      </c>
      <c r="BM63" s="1125">
        <f t="shared" si="38"/>
        <v>1</v>
      </c>
      <c r="BN63" s="1125">
        <f t="shared" si="39"/>
        <v>1</v>
      </c>
      <c r="BO63" s="1125">
        <f t="shared" si="40"/>
        <v>1</v>
      </c>
      <c r="BP63" s="1125">
        <f t="shared" si="41"/>
        <v>1</v>
      </c>
      <c r="BQ63" s="1125">
        <f t="shared" si="42"/>
        <v>0</v>
      </c>
      <c r="BR63" s="1125">
        <f t="shared" si="43"/>
        <v>0</v>
      </c>
      <c r="BS63" s="1125">
        <f t="shared" si="44"/>
        <v>0</v>
      </c>
      <c r="BT63" s="1125">
        <f t="shared" si="45"/>
        <v>1</v>
      </c>
      <c r="BU63" s="1125">
        <f t="shared" si="46"/>
        <v>1</v>
      </c>
      <c r="BV63" s="1125">
        <f t="shared" si="47"/>
        <v>1</v>
      </c>
      <c r="BW63" s="1125">
        <f t="shared" si="48"/>
        <v>0</v>
      </c>
      <c r="BX63" s="1125">
        <f t="shared" si="49"/>
        <v>0</v>
      </c>
      <c r="BY63" s="1125">
        <f t="shared" si="50"/>
        <v>0</v>
      </c>
      <c r="BZ63" s="1125">
        <f t="shared" si="51"/>
        <v>0</v>
      </c>
      <c r="CA63" s="1125">
        <f t="shared" si="52"/>
        <v>1</v>
      </c>
      <c r="CB63" s="1125">
        <f t="shared" si="53"/>
        <v>1</v>
      </c>
      <c r="CC63" s="1125">
        <f t="shared" si="54"/>
        <v>1</v>
      </c>
      <c r="CD63" s="1125">
        <f t="shared" si="55"/>
        <v>1</v>
      </c>
      <c r="CE63" s="1125">
        <f t="shared" si="56"/>
        <v>1</v>
      </c>
      <c r="CF63" s="1125">
        <f t="shared" si="57"/>
        <v>1</v>
      </c>
      <c r="CG63" s="1125">
        <f t="shared" si="58"/>
        <v>0</v>
      </c>
      <c r="CH63" s="1125">
        <f t="shared" si="59"/>
        <v>0</v>
      </c>
      <c r="CI63" s="1125">
        <f t="shared" si="60"/>
        <v>0.85</v>
      </c>
      <c r="CJ63" s="1125">
        <f t="shared" si="61"/>
        <v>0.85</v>
      </c>
      <c r="CK63" s="1125">
        <f t="shared" si="62"/>
        <v>0.85</v>
      </c>
      <c r="CL63" s="1125">
        <f t="shared" si="63"/>
        <v>0.85</v>
      </c>
      <c r="CM63" s="1125">
        <f t="shared" si="64"/>
        <v>0.85</v>
      </c>
      <c r="CN63" s="1125">
        <f t="shared" si="65"/>
        <v>0.85</v>
      </c>
      <c r="CO63" s="1125">
        <f t="shared" si="66"/>
        <v>0.7</v>
      </c>
      <c r="CP63" s="1125">
        <f t="shared" si="67"/>
        <v>0.7</v>
      </c>
      <c r="CQ63" s="1125">
        <f t="shared" si="68"/>
        <v>0.7</v>
      </c>
      <c r="CR63" s="1125">
        <f t="shared" si="69"/>
        <v>0.85</v>
      </c>
      <c r="CS63" s="1125">
        <f t="shared" si="70"/>
        <v>0.85</v>
      </c>
      <c r="CT63" s="1125">
        <f t="shared" si="71"/>
        <v>0.85</v>
      </c>
      <c r="CU63" s="1125">
        <v>1</v>
      </c>
      <c r="CV63" s="1125"/>
      <c r="CW63" s="1125">
        <f t="shared" si="72"/>
        <v>184</v>
      </c>
      <c r="CX63" s="1125">
        <f t="shared" si="73"/>
        <v>181</v>
      </c>
      <c r="CY63" s="1136" t="s">
        <v>4881</v>
      </c>
      <c r="CZ63" s="1129" t="s">
        <v>4885</v>
      </c>
      <c r="DA63" s="1129"/>
      <c r="DB63" s="1129"/>
      <c r="DC63" s="1125" t="s">
        <v>6034</v>
      </c>
      <c r="DD63" s="1125" t="s">
        <v>590</v>
      </c>
      <c r="DE63" s="1120" t="b">
        <f t="shared" si="74"/>
        <v>0</v>
      </c>
      <c r="DF63" s="1133">
        <v>0</v>
      </c>
      <c r="DG63" s="1120">
        <v>0</v>
      </c>
    </row>
    <row r="64" spans="1:111">
      <c r="A64" s="1125" t="s">
        <v>5796</v>
      </c>
      <c r="B64" s="1125" t="s">
        <v>3689</v>
      </c>
      <c r="C64" s="1125" t="s">
        <v>3690</v>
      </c>
      <c r="D64" s="1125" t="s">
        <v>903</v>
      </c>
      <c r="E64" s="1125">
        <v>184</v>
      </c>
      <c r="F64" s="1125">
        <v>-68.819999999999993</v>
      </c>
      <c r="G64" s="1125">
        <v>44.8</v>
      </c>
      <c r="H64" s="1125">
        <v>-5</v>
      </c>
      <c r="I64" s="1126">
        <v>-2.2000000000000011</v>
      </c>
      <c r="J64" s="1126">
        <v>84.2</v>
      </c>
      <c r="K64" s="1127">
        <v>69.080000686645505</v>
      </c>
      <c r="L64" s="1125">
        <v>7396.2</v>
      </c>
      <c r="M64" s="1125">
        <v>478.8</v>
      </c>
      <c r="N64" s="1128">
        <v>20.659999656677247</v>
      </c>
      <c r="O64" s="1128">
        <v>18.140000343322754</v>
      </c>
      <c r="P64" s="1128">
        <v>31.279999989271165</v>
      </c>
      <c r="Q64" s="1128">
        <v>43.340000343322757</v>
      </c>
      <c r="R64" s="1128">
        <v>52.519999313354489</v>
      </c>
      <c r="S64" s="1128">
        <v>65.83999862670899</v>
      </c>
      <c r="T64" s="1128">
        <v>72.680000686645513</v>
      </c>
      <c r="U64" s="1128">
        <v>67.099999999999994</v>
      </c>
      <c r="V64" s="1128">
        <v>58.280000686645508</v>
      </c>
      <c r="W64" s="1128">
        <v>48.019999313354489</v>
      </c>
      <c r="X64" s="1128">
        <v>38.120000171661374</v>
      </c>
      <c r="Y64" s="1128">
        <v>27.5</v>
      </c>
      <c r="Z64" s="1128">
        <v>45.446246499182429</v>
      </c>
      <c r="AA64" s="1128">
        <f t="shared" si="0"/>
        <v>41.976298456257503</v>
      </c>
      <c r="AB64" s="1128">
        <f t="shared" si="1"/>
        <v>40.164984455824914</v>
      </c>
      <c r="AC64" s="1128">
        <f t="shared" si="2"/>
        <v>41.294305256503925</v>
      </c>
      <c r="AD64" s="1128">
        <f t="shared" si="3"/>
        <v>45.069885988237225</v>
      </c>
      <c r="AE64" s="1128">
        <f t="shared" si="4"/>
        <v>50.50756334983825</v>
      </c>
      <c r="AF64" s="1128">
        <f t="shared" si="5"/>
        <v>56.189922939861042</v>
      </c>
      <c r="AG64" s="1128">
        <f t="shared" si="6"/>
        <v>60.635770163354209</v>
      </c>
      <c r="AH64" s="1128">
        <f t="shared" si="7"/>
        <v>62.686226428934688</v>
      </c>
      <c r="AI64" s="1128">
        <f t="shared" si="8"/>
        <v>61.80680871249141</v>
      </c>
      <c r="AJ64" s="1128">
        <f t="shared" si="9"/>
        <v>58.226750794052535</v>
      </c>
      <c r="AK64" s="1128">
        <f t="shared" si="10"/>
        <v>52.879249940421666</v>
      </c>
      <c r="AL64" s="1128">
        <f t="shared" si="11"/>
        <v>47.158214656580313</v>
      </c>
      <c r="AM64" s="1125">
        <f t="shared" si="12"/>
        <v>1</v>
      </c>
      <c r="AN64" s="1125">
        <f t="shared" si="13"/>
        <v>1</v>
      </c>
      <c r="AO64" s="1125">
        <f t="shared" si="14"/>
        <v>1</v>
      </c>
      <c r="AP64" s="1125">
        <f t="shared" si="15"/>
        <v>1</v>
      </c>
      <c r="AQ64" s="1125">
        <f t="shared" si="16"/>
        <v>1</v>
      </c>
      <c r="AR64" s="1125">
        <f t="shared" si="17"/>
        <v>1</v>
      </c>
      <c r="AS64" s="1125">
        <f t="shared" si="18"/>
        <v>0</v>
      </c>
      <c r="AT64" s="1125">
        <f t="shared" si="19"/>
        <v>0</v>
      </c>
      <c r="AU64" s="1125">
        <f t="shared" si="20"/>
        <v>1</v>
      </c>
      <c r="AV64" s="1125">
        <f t="shared" si="21"/>
        <v>1</v>
      </c>
      <c r="AW64" s="1125">
        <f t="shared" si="22"/>
        <v>1</v>
      </c>
      <c r="AX64" s="1125">
        <f t="shared" si="23"/>
        <v>1</v>
      </c>
      <c r="AY64" s="1125">
        <f t="shared" si="24"/>
        <v>0</v>
      </c>
      <c r="AZ64" s="1125">
        <f t="shared" si="25"/>
        <v>0</v>
      </c>
      <c r="BA64" s="1125">
        <f t="shared" si="26"/>
        <v>0</v>
      </c>
      <c r="BB64" s="1125">
        <f t="shared" si="27"/>
        <v>0</v>
      </c>
      <c r="BC64" s="1125">
        <f t="shared" si="28"/>
        <v>0</v>
      </c>
      <c r="BD64" s="1125">
        <f t="shared" si="29"/>
        <v>0</v>
      </c>
      <c r="BE64" s="1125">
        <f t="shared" si="30"/>
        <v>1</v>
      </c>
      <c r="BF64" s="1125">
        <f t="shared" si="31"/>
        <v>1</v>
      </c>
      <c r="BG64" s="1125">
        <f t="shared" si="32"/>
        <v>0</v>
      </c>
      <c r="BH64" s="1125">
        <f t="shared" si="33"/>
        <v>0</v>
      </c>
      <c r="BI64" s="1125">
        <f t="shared" si="34"/>
        <v>0</v>
      </c>
      <c r="BJ64" s="1125">
        <f t="shared" si="35"/>
        <v>0</v>
      </c>
      <c r="BK64" s="1125">
        <f t="shared" si="36"/>
        <v>1</v>
      </c>
      <c r="BL64" s="1125">
        <f t="shared" si="37"/>
        <v>1</v>
      </c>
      <c r="BM64" s="1125">
        <f t="shared" si="38"/>
        <v>1</v>
      </c>
      <c r="BN64" s="1125">
        <f t="shared" si="39"/>
        <v>1</v>
      </c>
      <c r="BO64" s="1125">
        <f t="shared" si="40"/>
        <v>1</v>
      </c>
      <c r="BP64" s="1125">
        <f t="shared" si="41"/>
        <v>1</v>
      </c>
      <c r="BQ64" s="1125">
        <f t="shared" si="42"/>
        <v>1</v>
      </c>
      <c r="BR64" s="1125">
        <f t="shared" si="43"/>
        <v>0</v>
      </c>
      <c r="BS64" s="1125">
        <f t="shared" si="44"/>
        <v>1</v>
      </c>
      <c r="BT64" s="1125">
        <f t="shared" si="45"/>
        <v>1</v>
      </c>
      <c r="BU64" s="1125">
        <f t="shared" si="46"/>
        <v>1</v>
      </c>
      <c r="BV64" s="1125">
        <f t="shared" si="47"/>
        <v>1</v>
      </c>
      <c r="BW64" s="1125">
        <f t="shared" si="48"/>
        <v>0</v>
      </c>
      <c r="BX64" s="1125">
        <f t="shared" si="49"/>
        <v>0</v>
      </c>
      <c r="BY64" s="1125">
        <f t="shared" si="50"/>
        <v>0</v>
      </c>
      <c r="BZ64" s="1125">
        <f t="shared" si="51"/>
        <v>0</v>
      </c>
      <c r="CA64" s="1125">
        <f t="shared" si="52"/>
        <v>0</v>
      </c>
      <c r="CB64" s="1125">
        <f t="shared" si="53"/>
        <v>1</v>
      </c>
      <c r="CC64" s="1125">
        <f t="shared" si="54"/>
        <v>1</v>
      </c>
      <c r="CD64" s="1125">
        <f t="shared" si="55"/>
        <v>1</v>
      </c>
      <c r="CE64" s="1125">
        <f t="shared" si="56"/>
        <v>1</v>
      </c>
      <c r="CF64" s="1125">
        <f t="shared" si="57"/>
        <v>0</v>
      </c>
      <c r="CG64" s="1125">
        <f t="shared" si="58"/>
        <v>0</v>
      </c>
      <c r="CH64" s="1125">
        <f t="shared" si="59"/>
        <v>0</v>
      </c>
      <c r="CI64" s="1125">
        <f t="shared" si="60"/>
        <v>0.85</v>
      </c>
      <c r="CJ64" s="1125">
        <f t="shared" si="61"/>
        <v>0.85</v>
      </c>
      <c r="CK64" s="1125">
        <f t="shared" si="62"/>
        <v>0.85</v>
      </c>
      <c r="CL64" s="1125">
        <f t="shared" si="63"/>
        <v>0.85</v>
      </c>
      <c r="CM64" s="1125">
        <f t="shared" si="64"/>
        <v>0.85</v>
      </c>
      <c r="CN64" s="1125">
        <f t="shared" si="65"/>
        <v>0.85</v>
      </c>
      <c r="CO64" s="1125">
        <f t="shared" si="66"/>
        <v>0.85</v>
      </c>
      <c r="CP64" s="1125">
        <f t="shared" si="67"/>
        <v>0.7</v>
      </c>
      <c r="CQ64" s="1125">
        <f t="shared" si="68"/>
        <v>0.85</v>
      </c>
      <c r="CR64" s="1125">
        <f t="shared" si="69"/>
        <v>0.85</v>
      </c>
      <c r="CS64" s="1125">
        <f t="shared" si="70"/>
        <v>0.85</v>
      </c>
      <c r="CT64" s="1125">
        <f t="shared" si="71"/>
        <v>0.85</v>
      </c>
      <c r="CU64" s="1125">
        <v>1</v>
      </c>
      <c r="CV64" s="1125"/>
      <c r="CW64" s="1125">
        <f t="shared" si="72"/>
        <v>122</v>
      </c>
      <c r="CX64" s="1125">
        <f t="shared" si="73"/>
        <v>243</v>
      </c>
      <c r="CY64" s="1135" t="s">
        <v>4889</v>
      </c>
      <c r="CZ64" s="1124" t="s">
        <v>4899</v>
      </c>
      <c r="DA64" s="1124"/>
      <c r="DB64" s="1124"/>
      <c r="DC64" s="1120" t="s">
        <v>5285</v>
      </c>
      <c r="DD64" s="1120" t="s">
        <v>903</v>
      </c>
      <c r="DE64" s="1120" t="str">
        <f t="shared" si="74"/>
        <v/>
      </c>
      <c r="DF64" s="1133">
        <v>0</v>
      </c>
      <c r="DG64" s="1125">
        <v>0</v>
      </c>
    </row>
    <row r="65" spans="1:111">
      <c r="A65" s="1120" t="s">
        <v>2978</v>
      </c>
      <c r="B65" s="1120" t="s">
        <v>5854</v>
      </c>
      <c r="C65" s="1120" t="s">
        <v>5855</v>
      </c>
      <c r="D65" s="1120" t="s">
        <v>903</v>
      </c>
      <c r="E65" s="1120">
        <v>85</v>
      </c>
      <c r="F65" s="1120">
        <v>-68.37</v>
      </c>
      <c r="G65" s="1120">
        <v>44.45</v>
      </c>
      <c r="H65" s="1120">
        <v>-5</v>
      </c>
      <c r="I65" s="1121">
        <v>0.86000137329101489</v>
      </c>
      <c r="J65" s="1121">
        <v>78.8</v>
      </c>
      <c r="K65" s="1122">
        <v>65.480000686645511</v>
      </c>
      <c r="L65" s="1120">
        <v>7677</v>
      </c>
      <c r="M65" s="1120">
        <v>75.600000000000009</v>
      </c>
      <c r="N65" s="1123">
        <v>25.339999914169312</v>
      </c>
      <c r="O65" s="1123">
        <v>24.440000343322755</v>
      </c>
      <c r="P65" s="1123">
        <v>30.019999957084657</v>
      </c>
      <c r="Q65" s="1123">
        <v>38.120000171661374</v>
      </c>
      <c r="R65" s="1123">
        <v>49.640000343322754</v>
      </c>
      <c r="S65" s="1123">
        <v>55.219999313354492</v>
      </c>
      <c r="T65" s="1123">
        <v>62.239998626708989</v>
      </c>
      <c r="U65" s="1123">
        <v>64.219999313354492</v>
      </c>
      <c r="V65" s="1123">
        <v>55.940000343322751</v>
      </c>
      <c r="W65" s="1123">
        <v>45.679999828338623</v>
      </c>
      <c r="X65" s="1123">
        <v>36.860000085830691</v>
      </c>
      <c r="Y65" s="1123">
        <v>33.440000021457671</v>
      </c>
      <c r="Z65" s="1123">
        <v>43.55205464431684</v>
      </c>
      <c r="AA65" s="1123">
        <f t="shared" si="0"/>
        <v>43.10406102618736</v>
      </c>
      <c r="AB65" s="1123">
        <f t="shared" si="1"/>
        <v>41.719699722734141</v>
      </c>
      <c r="AC65" s="1123">
        <f t="shared" si="2"/>
        <v>42.376962429834357</v>
      </c>
      <c r="AD65" s="1123">
        <f t="shared" si="3"/>
        <v>44.904523494157431</v>
      </c>
      <c r="AE65" s="1123">
        <f t="shared" si="4"/>
        <v>48.643535173392515</v>
      </c>
      <c r="AF65" s="1123">
        <f t="shared" si="5"/>
        <v>52.619366453432868</v>
      </c>
      <c r="AG65" s="1123">
        <f t="shared" si="6"/>
        <v>55.795655641721339</v>
      </c>
      <c r="AH65" s="1123">
        <f t="shared" si="7"/>
        <v>57.3444540132325</v>
      </c>
      <c r="AI65" s="1123">
        <f t="shared" si="8"/>
        <v>56.862043404726592</v>
      </c>
      <c r="AJ65" s="1123">
        <f t="shared" si="9"/>
        <v>54.47417157548319</v>
      </c>
      <c r="AK65" s="1123">
        <f t="shared" si="10"/>
        <v>50.803274116013341</v>
      </c>
      <c r="AL65" s="1123">
        <f t="shared" si="11"/>
        <v>46.806227019370077</v>
      </c>
      <c r="AM65" s="1120">
        <f t="shared" si="12"/>
        <v>1</v>
      </c>
      <c r="AN65" s="1120">
        <f t="shared" si="13"/>
        <v>1</v>
      </c>
      <c r="AO65" s="1120">
        <f t="shared" si="14"/>
        <v>1</v>
      </c>
      <c r="AP65" s="1120">
        <f t="shared" si="15"/>
        <v>1</v>
      </c>
      <c r="AQ65" s="1120">
        <f t="shared" si="16"/>
        <v>1</v>
      </c>
      <c r="AR65" s="1120">
        <f t="shared" si="17"/>
        <v>1</v>
      </c>
      <c r="AS65" s="1120">
        <f t="shared" si="18"/>
        <v>1</v>
      </c>
      <c r="AT65" s="1120">
        <f t="shared" si="19"/>
        <v>1</v>
      </c>
      <c r="AU65" s="1120">
        <f t="shared" si="20"/>
        <v>1</v>
      </c>
      <c r="AV65" s="1120">
        <f t="shared" si="21"/>
        <v>1</v>
      </c>
      <c r="AW65" s="1120">
        <f t="shared" si="22"/>
        <v>1</v>
      </c>
      <c r="AX65" s="1120">
        <f t="shared" si="23"/>
        <v>1</v>
      </c>
      <c r="AY65" s="1120">
        <f t="shared" si="24"/>
        <v>0</v>
      </c>
      <c r="AZ65" s="1120">
        <f t="shared" si="25"/>
        <v>0</v>
      </c>
      <c r="BA65" s="1120">
        <f t="shared" si="26"/>
        <v>0</v>
      </c>
      <c r="BB65" s="1120">
        <f t="shared" si="27"/>
        <v>0</v>
      </c>
      <c r="BC65" s="1120">
        <f t="shared" si="28"/>
        <v>0</v>
      </c>
      <c r="BD65" s="1120">
        <f t="shared" si="29"/>
        <v>0</v>
      </c>
      <c r="BE65" s="1120">
        <f t="shared" si="30"/>
        <v>1</v>
      </c>
      <c r="BF65" s="1120">
        <f t="shared" si="31"/>
        <v>1</v>
      </c>
      <c r="BG65" s="1120">
        <f t="shared" si="32"/>
        <v>0</v>
      </c>
      <c r="BH65" s="1120">
        <f t="shared" si="33"/>
        <v>0</v>
      </c>
      <c r="BI65" s="1120">
        <f t="shared" si="34"/>
        <v>0</v>
      </c>
      <c r="BJ65" s="1120">
        <f t="shared" si="35"/>
        <v>0</v>
      </c>
      <c r="BK65" s="1120">
        <f t="shared" si="36"/>
        <v>1</v>
      </c>
      <c r="BL65" s="1120">
        <f t="shared" si="37"/>
        <v>1</v>
      </c>
      <c r="BM65" s="1120">
        <f t="shared" si="38"/>
        <v>1</v>
      </c>
      <c r="BN65" s="1120">
        <f t="shared" si="39"/>
        <v>1</v>
      </c>
      <c r="BO65" s="1120">
        <f t="shared" si="40"/>
        <v>1</v>
      </c>
      <c r="BP65" s="1120">
        <f t="shared" si="41"/>
        <v>1</v>
      </c>
      <c r="BQ65" s="1120">
        <f t="shared" si="42"/>
        <v>1</v>
      </c>
      <c r="BR65" s="1120">
        <f t="shared" si="43"/>
        <v>1</v>
      </c>
      <c r="BS65" s="1120">
        <f t="shared" si="44"/>
        <v>1</v>
      </c>
      <c r="BT65" s="1120">
        <f t="shared" si="45"/>
        <v>1</v>
      </c>
      <c r="BU65" s="1120">
        <f t="shared" si="46"/>
        <v>1</v>
      </c>
      <c r="BV65" s="1120">
        <f t="shared" si="47"/>
        <v>1</v>
      </c>
      <c r="BW65" s="1120">
        <f t="shared" si="48"/>
        <v>0</v>
      </c>
      <c r="BX65" s="1120">
        <f t="shared" si="49"/>
        <v>0</v>
      </c>
      <c r="BY65" s="1120">
        <f t="shared" si="50"/>
        <v>0</v>
      </c>
      <c r="BZ65" s="1120">
        <f t="shared" si="51"/>
        <v>0</v>
      </c>
      <c r="CA65" s="1120">
        <f t="shared" si="52"/>
        <v>0</v>
      </c>
      <c r="CB65" s="1120">
        <f t="shared" si="53"/>
        <v>0</v>
      </c>
      <c r="CC65" s="1120">
        <f t="shared" si="54"/>
        <v>1</v>
      </c>
      <c r="CD65" s="1120">
        <f t="shared" si="55"/>
        <v>1</v>
      </c>
      <c r="CE65" s="1120">
        <f t="shared" si="56"/>
        <v>0</v>
      </c>
      <c r="CF65" s="1120">
        <f t="shared" si="57"/>
        <v>0</v>
      </c>
      <c r="CG65" s="1120">
        <f t="shared" si="58"/>
        <v>0</v>
      </c>
      <c r="CH65" s="1120">
        <f t="shared" si="59"/>
        <v>0</v>
      </c>
      <c r="CI65" s="1120">
        <f t="shared" si="60"/>
        <v>0.85</v>
      </c>
      <c r="CJ65" s="1120">
        <f t="shared" si="61"/>
        <v>0.85</v>
      </c>
      <c r="CK65" s="1120">
        <f t="shared" si="62"/>
        <v>0.85</v>
      </c>
      <c r="CL65" s="1120">
        <f t="shared" si="63"/>
        <v>0.85</v>
      </c>
      <c r="CM65" s="1120">
        <f t="shared" si="64"/>
        <v>0.85</v>
      </c>
      <c r="CN65" s="1120">
        <f t="shared" si="65"/>
        <v>0.85</v>
      </c>
      <c r="CO65" s="1120">
        <f t="shared" si="66"/>
        <v>0.85</v>
      </c>
      <c r="CP65" s="1120">
        <f t="shared" si="67"/>
        <v>0.85</v>
      </c>
      <c r="CQ65" s="1120">
        <f t="shared" si="68"/>
        <v>0.85</v>
      </c>
      <c r="CR65" s="1120">
        <f t="shared" si="69"/>
        <v>0.85</v>
      </c>
      <c r="CS65" s="1120">
        <f t="shared" si="70"/>
        <v>0.85</v>
      </c>
      <c r="CT65" s="1120">
        <f t="shared" si="71"/>
        <v>0.85</v>
      </c>
      <c r="CU65" s="1120">
        <v>1</v>
      </c>
      <c r="CV65" s="1120"/>
      <c r="CW65" s="1120">
        <f t="shared" si="72"/>
        <v>62</v>
      </c>
      <c r="CX65" s="1120">
        <f t="shared" si="73"/>
        <v>303</v>
      </c>
      <c r="CY65" s="1136" t="s">
        <v>4889</v>
      </c>
      <c r="CZ65" s="1129" t="s">
        <v>4899</v>
      </c>
      <c r="DA65" s="1129"/>
      <c r="DB65" s="1129"/>
      <c r="DC65" s="1125" t="s">
        <v>5737</v>
      </c>
      <c r="DD65" s="1125" t="s">
        <v>903</v>
      </c>
      <c r="DE65" s="1120" t="str">
        <f t="shared" si="74"/>
        <v/>
      </c>
      <c r="DF65" s="1133">
        <v>0</v>
      </c>
      <c r="DG65" s="1120">
        <v>0</v>
      </c>
    </row>
    <row r="66" spans="1:111">
      <c r="A66" s="1125" t="s">
        <v>2980</v>
      </c>
      <c r="B66" s="1120" t="s">
        <v>3384</v>
      </c>
      <c r="C66" s="1120" t="s">
        <v>3385</v>
      </c>
      <c r="D66" s="1120" t="s">
        <v>122</v>
      </c>
      <c r="E66" s="1120">
        <v>49</v>
      </c>
      <c r="F66" s="1120">
        <v>-158.07</v>
      </c>
      <c r="G66" s="1120">
        <v>21.32</v>
      </c>
      <c r="H66" s="1120">
        <v>-10</v>
      </c>
      <c r="I66" s="1121">
        <v>61.7</v>
      </c>
      <c r="J66" s="1121">
        <v>89.960001373291021</v>
      </c>
      <c r="K66" s="1122">
        <v>73.039998626708979</v>
      </c>
      <c r="L66" s="1120">
        <v>10.8</v>
      </c>
      <c r="M66" s="1120">
        <v>4444.2</v>
      </c>
      <c r="N66" s="1123">
        <v>70.33999862670899</v>
      </c>
      <c r="O66" s="1123">
        <v>71.060001373291016</v>
      </c>
      <c r="P66" s="1123">
        <v>72.860001373291013</v>
      </c>
      <c r="Q66" s="1123">
        <v>73.400000000000006</v>
      </c>
      <c r="R66" s="1123">
        <v>78.619999313354498</v>
      </c>
      <c r="S66" s="1123">
        <v>80.599999999999994</v>
      </c>
      <c r="T66" s="1123">
        <v>81.139998626708987</v>
      </c>
      <c r="U66" s="1123">
        <v>81.139998626708987</v>
      </c>
      <c r="V66" s="1123">
        <v>80.960001373291021</v>
      </c>
      <c r="W66" s="1123">
        <v>78.619999313354498</v>
      </c>
      <c r="X66" s="1123">
        <v>76.819999313354487</v>
      </c>
      <c r="Y66" s="1123">
        <v>72.860001373291013</v>
      </c>
      <c r="Z66" s="1123">
        <v>76.564547873719093</v>
      </c>
      <c r="AA66" s="1123">
        <f t="shared" si="0"/>
        <v>78.649503350107764</v>
      </c>
      <c r="AB66" s="1123">
        <f t="shared" si="1"/>
        <v>79.078715271221284</v>
      </c>
      <c r="AC66" s="1123">
        <f t="shared" si="2"/>
        <v>80.41656317848232</v>
      </c>
      <c r="AD66" s="1123">
        <f t="shared" si="3"/>
        <v>82.314316398002944</v>
      </c>
      <c r="AE66" s="1123">
        <f t="shared" si="4"/>
        <v>84.277296307852737</v>
      </c>
      <c r="AF66" s="1123">
        <f t="shared" si="5"/>
        <v>85.793821944093295</v>
      </c>
      <c r="AG66" s="1123">
        <f t="shared" si="6"/>
        <v>86.468587529271019</v>
      </c>
      <c r="AH66" s="1123">
        <f t="shared" si="7"/>
        <v>86.125705015156925</v>
      </c>
      <c r="AI66" s="1123">
        <f t="shared" si="8"/>
        <v>84.854552013034336</v>
      </c>
      <c r="AJ66" s="1123">
        <f t="shared" si="9"/>
        <v>82.986474141967221</v>
      </c>
      <c r="AK66" s="1123">
        <f t="shared" si="10"/>
        <v>81.008414687000624</v>
      </c>
      <c r="AL66" s="1123">
        <f t="shared" si="11"/>
        <v>79.435985327890492</v>
      </c>
      <c r="AM66" s="1120">
        <f t="shared" si="12"/>
        <v>0</v>
      </c>
      <c r="AN66" s="1120">
        <f t="shared" si="13"/>
        <v>0</v>
      </c>
      <c r="AO66" s="1120">
        <f t="shared" si="14"/>
        <v>0</v>
      </c>
      <c r="AP66" s="1120">
        <f t="shared" si="15"/>
        <v>0</v>
      </c>
      <c r="AQ66" s="1120">
        <f t="shared" si="16"/>
        <v>0</v>
      </c>
      <c r="AR66" s="1120">
        <f t="shared" si="17"/>
        <v>0</v>
      </c>
      <c r="AS66" s="1120">
        <f t="shared" si="18"/>
        <v>0</v>
      </c>
      <c r="AT66" s="1120">
        <f t="shared" si="19"/>
        <v>0</v>
      </c>
      <c r="AU66" s="1120">
        <f t="shared" si="20"/>
        <v>0</v>
      </c>
      <c r="AV66" s="1120">
        <f t="shared" si="21"/>
        <v>0</v>
      </c>
      <c r="AW66" s="1120">
        <f t="shared" si="22"/>
        <v>0</v>
      </c>
      <c r="AX66" s="1120">
        <f t="shared" si="23"/>
        <v>0</v>
      </c>
      <c r="AY66" s="1120">
        <f t="shared" si="24"/>
        <v>1</v>
      </c>
      <c r="AZ66" s="1120">
        <f t="shared" si="25"/>
        <v>1</v>
      </c>
      <c r="BA66" s="1120">
        <f t="shared" si="26"/>
        <v>1</v>
      </c>
      <c r="BB66" s="1120">
        <f t="shared" si="27"/>
        <v>1</v>
      </c>
      <c r="BC66" s="1120">
        <f t="shared" si="28"/>
        <v>1</v>
      </c>
      <c r="BD66" s="1120">
        <f t="shared" si="29"/>
        <v>1</v>
      </c>
      <c r="BE66" s="1120">
        <f t="shared" si="30"/>
        <v>1</v>
      </c>
      <c r="BF66" s="1120">
        <f t="shared" si="31"/>
        <v>1</v>
      </c>
      <c r="BG66" s="1120">
        <f t="shared" si="32"/>
        <v>1</v>
      </c>
      <c r="BH66" s="1120">
        <f t="shared" si="33"/>
        <v>1</v>
      </c>
      <c r="BI66" s="1120">
        <f t="shared" si="34"/>
        <v>1</v>
      </c>
      <c r="BJ66" s="1120">
        <f t="shared" si="35"/>
        <v>1</v>
      </c>
      <c r="BK66" s="1120">
        <f t="shared" si="36"/>
        <v>0</v>
      </c>
      <c r="BL66" s="1120">
        <f t="shared" si="37"/>
        <v>0</v>
      </c>
      <c r="BM66" s="1120">
        <f t="shared" si="38"/>
        <v>0</v>
      </c>
      <c r="BN66" s="1120">
        <f t="shared" si="39"/>
        <v>0</v>
      </c>
      <c r="BO66" s="1120">
        <f t="shared" si="40"/>
        <v>0</v>
      </c>
      <c r="BP66" s="1120">
        <f t="shared" si="41"/>
        <v>0</v>
      </c>
      <c r="BQ66" s="1120">
        <f t="shared" si="42"/>
        <v>0</v>
      </c>
      <c r="BR66" s="1120">
        <f t="shared" si="43"/>
        <v>0</v>
      </c>
      <c r="BS66" s="1120">
        <f t="shared" si="44"/>
        <v>0</v>
      </c>
      <c r="BT66" s="1120">
        <f t="shared" si="45"/>
        <v>0</v>
      </c>
      <c r="BU66" s="1120">
        <f t="shared" si="46"/>
        <v>0</v>
      </c>
      <c r="BV66" s="1120">
        <f t="shared" si="47"/>
        <v>0</v>
      </c>
      <c r="BW66" s="1120">
        <f t="shared" si="48"/>
        <v>1</v>
      </c>
      <c r="BX66" s="1120">
        <f t="shared" si="49"/>
        <v>1</v>
      </c>
      <c r="BY66" s="1120">
        <f t="shared" si="50"/>
        <v>1</v>
      </c>
      <c r="BZ66" s="1120">
        <f t="shared" si="51"/>
        <v>1</v>
      </c>
      <c r="CA66" s="1120">
        <f t="shared" si="52"/>
        <v>1</v>
      </c>
      <c r="CB66" s="1120">
        <f t="shared" si="53"/>
        <v>1</v>
      </c>
      <c r="CC66" s="1120">
        <f t="shared" si="54"/>
        <v>1</v>
      </c>
      <c r="CD66" s="1120">
        <f t="shared" si="55"/>
        <v>1</v>
      </c>
      <c r="CE66" s="1120">
        <f t="shared" si="56"/>
        <v>1</v>
      </c>
      <c r="CF66" s="1120">
        <f t="shared" si="57"/>
        <v>1</v>
      </c>
      <c r="CG66" s="1120">
        <f t="shared" si="58"/>
        <v>1</v>
      </c>
      <c r="CH66" s="1120">
        <f t="shared" si="59"/>
        <v>1</v>
      </c>
      <c r="CI66" s="1120">
        <f t="shared" si="60"/>
        <v>0.7</v>
      </c>
      <c r="CJ66" s="1120">
        <f t="shared" si="61"/>
        <v>0.7</v>
      </c>
      <c r="CK66" s="1120">
        <f t="shared" si="62"/>
        <v>0.7</v>
      </c>
      <c r="CL66" s="1120">
        <f t="shared" si="63"/>
        <v>0.7</v>
      </c>
      <c r="CM66" s="1120">
        <f t="shared" si="64"/>
        <v>0.7</v>
      </c>
      <c r="CN66" s="1120">
        <f t="shared" si="65"/>
        <v>0.7</v>
      </c>
      <c r="CO66" s="1120">
        <f t="shared" si="66"/>
        <v>0.7</v>
      </c>
      <c r="CP66" s="1120">
        <f t="shared" si="67"/>
        <v>0.7</v>
      </c>
      <c r="CQ66" s="1120">
        <f t="shared" si="68"/>
        <v>0.7</v>
      </c>
      <c r="CR66" s="1120">
        <f t="shared" si="69"/>
        <v>0.7</v>
      </c>
      <c r="CS66" s="1120">
        <f t="shared" si="70"/>
        <v>0.7</v>
      </c>
      <c r="CT66" s="1120">
        <f t="shared" si="71"/>
        <v>0.7</v>
      </c>
      <c r="CU66" s="1120">
        <v>1</v>
      </c>
      <c r="CV66" s="1120"/>
      <c r="CW66" s="1120">
        <f t="shared" si="72"/>
        <v>365</v>
      </c>
      <c r="CX66" s="1120">
        <f t="shared" si="73"/>
        <v>0</v>
      </c>
      <c r="CY66" s="1135" t="s">
        <v>4883</v>
      </c>
      <c r="CZ66" s="1124" t="s">
        <v>4898</v>
      </c>
      <c r="DA66" s="1124"/>
      <c r="DB66" s="1124"/>
      <c r="DC66" s="1120" t="s">
        <v>5147</v>
      </c>
      <c r="DD66" s="1120" t="s">
        <v>122</v>
      </c>
      <c r="DE66" s="1120" t="str">
        <f t="shared" si="74"/>
        <v/>
      </c>
      <c r="DF66" s="1133">
        <v>0</v>
      </c>
      <c r="DG66" s="1125">
        <v>0</v>
      </c>
    </row>
    <row r="67" spans="1:111">
      <c r="A67" s="1120" t="s">
        <v>1254</v>
      </c>
      <c r="B67" s="1125" t="s">
        <v>3619</v>
      </c>
      <c r="C67" s="1125" t="s">
        <v>3620</v>
      </c>
      <c r="D67" s="1125" t="s">
        <v>591</v>
      </c>
      <c r="E67" s="1125">
        <v>177</v>
      </c>
      <c r="F67" s="1125">
        <v>-93.67</v>
      </c>
      <c r="G67" s="1125">
        <v>32.5</v>
      </c>
      <c r="H67" s="1125">
        <v>-6</v>
      </c>
      <c r="I67" s="1126">
        <v>26.779999828338624</v>
      </c>
      <c r="J67" s="1126">
        <v>95</v>
      </c>
      <c r="K67" s="1127">
        <v>76.280000686645508</v>
      </c>
      <c r="L67" s="1125">
        <v>2466</v>
      </c>
      <c r="M67" s="1125">
        <v>2280.6</v>
      </c>
      <c r="N67" s="1128">
        <v>43.879999828338626</v>
      </c>
      <c r="O67" s="1128">
        <v>51.080000686645505</v>
      </c>
      <c r="P67" s="1128">
        <v>51.980000686645511</v>
      </c>
      <c r="Q67" s="1128">
        <v>61.880000686645509</v>
      </c>
      <c r="R67" s="1128">
        <v>74.119999313354498</v>
      </c>
      <c r="S67" s="1128">
        <v>79.519999313354489</v>
      </c>
      <c r="T67" s="1128">
        <v>81.319999313354487</v>
      </c>
      <c r="U67" s="1128">
        <v>77.539998626708979</v>
      </c>
      <c r="V67" s="1128">
        <v>74.66000137329101</v>
      </c>
      <c r="W67" s="1128">
        <v>62.780000686645508</v>
      </c>
      <c r="X67" s="1128">
        <v>60.8</v>
      </c>
      <c r="Y67" s="1128">
        <v>46.4</v>
      </c>
      <c r="Z67" s="1128">
        <v>63.875780856250081</v>
      </c>
      <c r="AA67" s="1128">
        <f t="shared" ref="AA67:AA130" si="75">MAX($Z67+6+(0.4+0.01*($Z67-44))*(MAX($N67:$Y67)-MIN($N67:$Y67))/2*SIN((0.986*((1*30-15)-15-(35-1*($Z67-44)))-90)*PI()/180),32)</f>
        <v>59.044544860569317</v>
      </c>
      <c r="AB67" s="1128">
        <f t="shared" ref="AB67:AB130" si="76">MAX($Z67+6+(0.4+0.01*($Z67-44))*(MAX($N67:$Y67)-MIN($N67:$Y67))/2*SIN((0.986*((2*30-15)-15-(35-1*($Z67-44)))-90)*PI()/180),32)</f>
        <v>59.032311628504175</v>
      </c>
      <c r="AC67" s="1128">
        <f t="shared" ref="AC67:AC130" si="77">MAX($Z67+6+(0.4+0.01*($Z67-44))*(MAX($N67:$Y67)-MIN($N67:$Y67))/2*SIN((0.986*((3*30-15)-15-(35-1*($Z67-44)))-90)*PI()/180),32)</f>
        <v>61.846595753569964</v>
      </c>
      <c r="AD67" s="1128">
        <f t="shared" ref="AD67:AD130" si="78">MAX($Z67+6+(0.4+0.01*($Z67-44))*(MAX($N67:$Y67)-MIN($N67:$Y67))/2*SIN((0.986*((4*30-15)-15-(35-1*($Z67-44)))-90)*PI()/180),32)</f>
        <v>66.753810709137142</v>
      </c>
      <c r="AE67" s="1128">
        <f t="shared" ref="AE67:AE130" si="79">MAX($Z67+6+(0.4+0.01*($Z67-44))*(MAX($N67:$Y67)-MIN($N67:$Y67))/2*SIN((0.986*((5*30-15)-15-(35-1*($Z67-44)))-90)*PI()/180),32)</f>
        <v>72.474815294565587</v>
      </c>
      <c r="AF67" s="1128">
        <f t="shared" ref="AF67:AF130" si="80">MAX($Z67+6+(0.4+0.01*($Z67-44))*(MAX($N67:$Y67)-MIN($N67:$Y67))/2*SIN((0.986*((6*30-15)-15-(35-1*($Z67-44)))-90)*PI()/180),32)</f>
        <v>77.518341501314026</v>
      </c>
      <c r="AG67" s="1128">
        <f t="shared" ref="AG67:AG130" si="81">MAX($Z67+6+(0.4+0.01*($Z67-44))*(MAX($N67:$Y67)-MIN($N67:$Y67))/2*SIN((0.986*((7*30-15)-15-(35-1*($Z67-44)))-90)*PI()/180),32)</f>
        <v>80.569716500501983</v>
      </c>
      <c r="AH67" s="1128">
        <f t="shared" ref="AH67:AH130" si="82">MAX($Z67+6+(0.4+0.01*($Z67-44))*(MAX($N67:$Y67)-MIN($N67:$Y67))/2*SIN((0.986*((8*30-15)-15-(35-1*($Z67-44)))-90)*PI()/180),32)</f>
        <v>80.833552375478988</v>
      </c>
      <c r="AI67" s="1128">
        <f t="shared" ref="AI67:AI130" si="83">MAX($Z67+6+(0.4+0.01*($Z67-44))*(MAX($N67:$Y67)-MIN($N67:$Y67))/2*SIN((0.986*((9*30-15)-15-(35-1*($Z67-44)))-90)*PI()/180),32)</f>
        <v>78.241076239598385</v>
      </c>
      <c r="AJ67" s="1128">
        <f t="shared" ref="AJ67:AJ130" si="84">MAX($Z67+6+(0.4+0.01*($Z67-44))*(MAX($N67:$Y67)-MIN($N67:$Y67))/2*SIN((0.986*((10*30-15)-15-(35-1*($Z67-44)))-90)*PI()/180),32)</f>
        <v>73.468056948944039</v>
      </c>
      <c r="AK67" s="1128">
        <f t="shared" ref="AK67:AK130" si="85">MAX($Z67+6+(0.4+0.01*($Z67-44))*(MAX($N67:$Y67)-MIN($N67:$Y67))/2*SIN((0.986*((11*30-15)-15-(35-1*($Z67-44)))-90)*PI()/180),32)</f>
        <v>67.75865553607872</v>
      </c>
      <c r="AL67" s="1128">
        <f t="shared" ref="AL67:AL130" si="86">MAX($Z67+6+(0.4+0.01*($Z67-44))*(MAX($N67:$Y67)-MIN($N67:$Y67))/2*SIN((0.986*((12*30-15)-15-(35-1*($Z67-44)))-90)*PI()/180),32)</f>
        <v>62.601115463804838</v>
      </c>
      <c r="AM67" s="1125">
        <f t="shared" ref="AM67:AM130" si="87">IF(AND(OR(LEFT(AM$1,3)="Jan",LEFT(AM$1,3)="Dec"),I67&lt;59),1,IF(N67&lt;66,1,0))</f>
        <v>1</v>
      </c>
      <c r="AN67" s="1125">
        <f t="shared" ref="AN67:AN130" si="88">IF(AND(OR(LEFT(AN$1,3)="Jan",LEFT(AN$1,3)="Dec"),J67&lt;59),1,IF(O67&lt;66,1,0))</f>
        <v>1</v>
      </c>
      <c r="AO67" s="1125">
        <f t="shared" ref="AO67:AO130" si="89">IF(AND(OR(LEFT(AO$1,3)="Jan",LEFT(AO$1,3)="Dec"),K67&lt;59),1,IF(P67&lt;66,1,0))</f>
        <v>1</v>
      </c>
      <c r="AP67" s="1125">
        <f t="shared" ref="AP67:AP130" si="90">IF(AND(OR(LEFT(AP$1,3)="Jan",LEFT(AP$1,3)="Dec"),L67&lt;59),1,IF(Q67&lt;66,1,0))</f>
        <v>1</v>
      </c>
      <c r="AQ67" s="1125">
        <f t="shared" ref="AQ67:AQ130" si="91">IF(AND(OR(LEFT(AQ$1,3)="Jan",LEFT(AQ$1,3)="Dec"),M67&lt;59),1,IF(R67&lt;66,1,0))</f>
        <v>0</v>
      </c>
      <c r="AR67" s="1125">
        <f t="shared" ref="AR67:AR130" si="92">IF(AND(OR(LEFT(AR$1,3)="Jan",LEFT(AR$1,3)="Dec"),N67&lt;59),1,IF(S67&lt;66,1,0))</f>
        <v>0</v>
      </c>
      <c r="AS67" s="1125">
        <f t="shared" ref="AS67:AS130" si="93">IF(AND(OR(LEFT(AS$1,3)="Jan",LEFT(AS$1,3)="Dec"),O67&lt;59),1,IF(T67&lt;66,1,0))</f>
        <v>0</v>
      </c>
      <c r="AT67" s="1125">
        <f t="shared" ref="AT67:AT130" si="94">IF(AND(OR(LEFT(AT$1,3)="Jan",LEFT(AT$1,3)="Dec"),P67&lt;59),1,IF(U67&lt;66,1,0))</f>
        <v>0</v>
      </c>
      <c r="AU67" s="1125">
        <f t="shared" ref="AU67:AU130" si="95">IF(AND(OR(LEFT(AU$1,3)="Jan",LEFT(AU$1,3)="Dec"),Q67&lt;59),1,IF(V67&lt;66,1,0))</f>
        <v>0</v>
      </c>
      <c r="AV67" s="1125">
        <f t="shared" ref="AV67:AV130" si="96">IF(AND(OR(LEFT(AV$1,3)="Jan",LEFT(AV$1,3)="Dec"),R67&lt;59),1,IF(W67&lt;66,1,0))</f>
        <v>1</v>
      </c>
      <c r="AW67" s="1125">
        <f t="shared" ref="AW67:AW130" si="97">IF(AND(OR(LEFT(AW$1,3)="Jan",LEFT(AW$1,3)="Dec"),S67&lt;59),1,IF(X67&lt;66,1,0))</f>
        <v>1</v>
      </c>
      <c r="AX67" s="1125">
        <f t="shared" ref="AX67:AX130" si="98">IF(AND(OR(LEFT(AX$1,3)="Jan",LEFT(AX$1,3)="Dec"),T67&lt;59),1,IF(Y67&lt;66,1,0))</f>
        <v>1</v>
      </c>
      <c r="AY67" s="1125">
        <f t="shared" ref="AY67:AY130" si="99">IF(OR(LEFT(AY$1,3)="Jul", LEFT(AY$1,3)="Aug"),1,IF(N67&gt;66,1,0))</f>
        <v>0</v>
      </c>
      <c r="AZ67" s="1125">
        <f t="shared" ref="AZ67:AZ130" si="100">IF(OR(LEFT(AZ$1,3)="Jul", LEFT(AZ$1,3)="Aug"),1,IF(O67&gt;66,1,0))</f>
        <v>0</v>
      </c>
      <c r="BA67" s="1125">
        <f t="shared" ref="BA67:BA130" si="101">IF(OR(LEFT(BA$1,3)="Jul", LEFT(BA$1,3)="Aug"),1,IF(P67&gt;66,1,0))</f>
        <v>0</v>
      </c>
      <c r="BB67" s="1125">
        <f t="shared" ref="BB67:BB130" si="102">IF(OR(LEFT(BB$1,3)="Jul", LEFT(BB$1,3)="Aug"),1,IF(Q67&gt;66,1,0))</f>
        <v>0</v>
      </c>
      <c r="BC67" s="1125">
        <f t="shared" ref="BC67:BC130" si="103">IF(OR(LEFT(BC$1,3)="Jul", LEFT(BC$1,3)="Aug"),1,IF(R67&gt;66,1,0))</f>
        <v>1</v>
      </c>
      <c r="BD67" s="1125">
        <f t="shared" ref="BD67:BD130" si="104">IF(OR(LEFT(BD$1,3)="Jul", LEFT(BD$1,3)="Aug"),1,IF(S67&gt;66,1,0))</f>
        <v>1</v>
      </c>
      <c r="BE67" s="1125">
        <f t="shared" ref="BE67:BE130" si="105">IF(OR(LEFT(BE$1,3)="Jul", LEFT(BE$1,3)="Aug"),1,IF(T67&gt;66,1,0))</f>
        <v>1</v>
      </c>
      <c r="BF67" s="1125">
        <f t="shared" ref="BF67:BF130" si="106">IF(OR(LEFT(BF$1,3)="Jul", LEFT(BF$1,3)="Aug"),1,IF(U67&gt;66,1,0))</f>
        <v>1</v>
      </c>
      <c r="BG67" s="1125">
        <f t="shared" ref="BG67:BG130" si="107">IF(OR(LEFT(BG$1,3)="Jul", LEFT(BG$1,3)="Aug"),1,IF(V67&gt;66,1,0))</f>
        <v>1</v>
      </c>
      <c r="BH67" s="1125">
        <f t="shared" ref="BH67:BH130" si="108">IF(OR(LEFT(BH$1,3)="Jul", LEFT(BH$1,3)="Aug"),1,IF(W67&gt;66,1,0))</f>
        <v>0</v>
      </c>
      <c r="BI67" s="1125">
        <f t="shared" ref="BI67:BI130" si="109">IF(OR(LEFT(BI$1,3)="Jul", LEFT(BI$1,3)="Aug"),1,IF(X67&gt;66,1,0))</f>
        <v>0</v>
      </c>
      <c r="BJ67" s="1125">
        <f t="shared" ref="BJ67:BJ130" si="110">IF(OR(LEFT(BJ$1,3)="Jul", LEFT(BJ$1,3)="Aug"),1,IF(Y67&gt;66,1,0))</f>
        <v>0</v>
      </c>
      <c r="BK67" s="1125">
        <f t="shared" ref="BK67:BK130" si="111">IF(AND(AY67=1,BJ67=0),1,AM67)</f>
        <v>1</v>
      </c>
      <c r="BL67" s="1125">
        <f t="shared" ref="BL67:BL130" si="112">IF(AND(AY67=0,AZ67=1),1,AN67)</f>
        <v>1</v>
      </c>
      <c r="BM67" s="1125">
        <f t="shared" ref="BM67:BM130" si="113">IF(AND(AZ67=0,BA67=1),1,AO67)</f>
        <v>1</v>
      </c>
      <c r="BN67" s="1125">
        <f t="shared" ref="BN67:BN130" si="114">IF(AND(BA67=0,BB67=1),1,AP67)</f>
        <v>1</v>
      </c>
      <c r="BO67" s="1125">
        <f t="shared" ref="BO67:BO130" si="115">IF(AND(BB67=0,BC67=1),1,AQ67)</f>
        <v>1</v>
      </c>
      <c r="BP67" s="1125">
        <f t="shared" ref="BP67:BP130" si="116">IF(AND(BC67=0,BD67=1),1,AR67)</f>
        <v>0</v>
      </c>
      <c r="BQ67" s="1125">
        <f t="shared" ref="BQ67:BQ130" si="117">IF(AND(BD67=0,BE67=1),1,AS67)</f>
        <v>0</v>
      </c>
      <c r="BR67" s="1125">
        <f t="shared" ref="BR67:BR130" si="118">IF(AND(BE67=0,BF67=1),1,AT67)</f>
        <v>0</v>
      </c>
      <c r="BS67" s="1125">
        <f t="shared" ref="BS67:BS130" si="119">IF(AND(BF67=0,BG67=1),1,AU67)</f>
        <v>0</v>
      </c>
      <c r="BT67" s="1125">
        <f t="shared" ref="BT67:BT130" si="120">IF(AND(BG67=0,BH67=1),1,AV67)</f>
        <v>1</v>
      </c>
      <c r="BU67" s="1125">
        <f t="shared" ref="BU67:BU130" si="121">IF(AND(BH67=0,BI67=1),1,AW67)</f>
        <v>1</v>
      </c>
      <c r="BV67" s="1125">
        <f t="shared" ref="BV67:BV130" si="122">IF(AND(BI67=0,BJ67=1),1,AX67)</f>
        <v>1</v>
      </c>
      <c r="BW67" s="1125">
        <f t="shared" ref="BW67:BW130" si="123">IF(OR(AND(AX67=0,AM67=1),AND(AM67=1,AN67=0)),1,AY67)</f>
        <v>0</v>
      </c>
      <c r="BX67" s="1125">
        <f t="shared" ref="BX67:BX130" si="124">IF(OR(AND(AM67=0,AN67=1),AND(AN67=1,AO67=0)),1,AZ67)</f>
        <v>0</v>
      </c>
      <c r="BY67" s="1125">
        <f t="shared" ref="BY67:BY130" si="125">IF(OR(AND(AN67=0,AO67=1),AND(AO67=1,AP67=0)),1,BA67)</f>
        <v>0</v>
      </c>
      <c r="BZ67" s="1125">
        <f t="shared" ref="BZ67:BZ130" si="126">IF(OR(AND(AO67=0,AP67=1),AND(AP67=1,AQ67=0)),1,BB67)</f>
        <v>1</v>
      </c>
      <c r="CA67" s="1125">
        <f t="shared" ref="CA67:CA130" si="127">IF(OR(AND(AP67=0,AQ67=1),AND(AQ67=1,AR67=0)),1,BC67)</f>
        <v>1</v>
      </c>
      <c r="CB67" s="1125">
        <f t="shared" ref="CB67:CB130" si="128">IF(OR(AND(AQ67=0,AR67=1),AND(AR67=1,AS67=0)),1,BD67)</f>
        <v>1</v>
      </c>
      <c r="CC67" s="1125">
        <f t="shared" ref="CC67:CC130" si="129">IF(OR(AND(AR67=0,AS67=1),AND(AS67=1,AT67=0)),1,BE67)</f>
        <v>1</v>
      </c>
      <c r="CD67" s="1125">
        <f t="shared" ref="CD67:CD130" si="130">IF(OR(AND(AS67=0,AT67=1),AND(AT67=1,AU67=0)),1,BF67)</f>
        <v>1</v>
      </c>
      <c r="CE67" s="1125">
        <f t="shared" ref="CE67:CE130" si="131">IF(OR(AND(AT67=0,AU67=1),AND(AU67=1,AV67=0)),1,BG67)</f>
        <v>1</v>
      </c>
      <c r="CF67" s="1125">
        <f t="shared" ref="CF67:CF130" si="132">IF(OR(AND(AU67=0,AV67=1),AND(AV67=1,AW67=0)),1,BH67)</f>
        <v>1</v>
      </c>
      <c r="CG67" s="1125">
        <f t="shared" ref="CG67:CG130" si="133">IF(OR(AND(AV67=0,AW67=1),AND(AW67=1,AX67=0)),1,BI67)</f>
        <v>0</v>
      </c>
      <c r="CH67" s="1125">
        <f t="shared" ref="CH67:CH130" si="134">IF(OR(AND(AW67=0,AX67=1),AND(AX67=1,AM67=0)),1,BJ67)</f>
        <v>0</v>
      </c>
      <c r="CI67" s="1125">
        <f t="shared" ref="CI67:CI130" si="135">IF(BK67=1,0.85,0.7)</f>
        <v>0.85</v>
      </c>
      <c r="CJ67" s="1125">
        <f t="shared" ref="CJ67:CJ130" si="136">IF(BL67=1,0.85,0.7)</f>
        <v>0.85</v>
      </c>
      <c r="CK67" s="1125">
        <f t="shared" ref="CK67:CK130" si="137">IF(BM67=1,0.85,0.7)</f>
        <v>0.85</v>
      </c>
      <c r="CL67" s="1125">
        <f t="shared" ref="CL67:CL130" si="138">IF(BN67=1,0.85,0.7)</f>
        <v>0.85</v>
      </c>
      <c r="CM67" s="1125">
        <f t="shared" ref="CM67:CM130" si="139">IF(BO67=1,0.85,0.7)</f>
        <v>0.85</v>
      </c>
      <c r="CN67" s="1125">
        <f t="shared" ref="CN67:CN130" si="140">IF(BP67=1,0.85,0.7)</f>
        <v>0.7</v>
      </c>
      <c r="CO67" s="1125">
        <f t="shared" ref="CO67:CO130" si="141">IF(BQ67=1,0.85,0.7)</f>
        <v>0.7</v>
      </c>
      <c r="CP67" s="1125">
        <f t="shared" ref="CP67:CP130" si="142">IF(BR67=1,0.85,0.7)</f>
        <v>0.7</v>
      </c>
      <c r="CQ67" s="1125">
        <f t="shared" ref="CQ67:CQ130" si="143">IF(BS67=1,0.85,0.7)</f>
        <v>0.7</v>
      </c>
      <c r="CR67" s="1125">
        <f t="shared" ref="CR67:CR130" si="144">IF(BT67=1,0.85,0.7)</f>
        <v>0.85</v>
      </c>
      <c r="CS67" s="1125">
        <f t="shared" ref="CS67:CS130" si="145">IF(BU67=1,0.85,0.7)</f>
        <v>0.85</v>
      </c>
      <c r="CT67" s="1125">
        <f t="shared" ref="CT67:CT130" si="146">IF(BV67=1,0.85,0.7)</f>
        <v>0.85</v>
      </c>
      <c r="CU67" s="1125">
        <v>1</v>
      </c>
      <c r="CV67" s="1125"/>
      <c r="CW67" s="1125">
        <f t="shared" ref="CW67:CW130" si="147">BW67*31+BX67*28+BY67*31+BZ67*30+CA67*31+CB67*30+CC67*31+CD67*31+CE67*30+CF67*31+CG67*30+CH67*31</f>
        <v>214</v>
      </c>
      <c r="CX67" s="1125">
        <f t="shared" ref="CX67:CX130" si="148">365-CW67</f>
        <v>151</v>
      </c>
      <c r="CY67" s="1135" t="s">
        <v>4900</v>
      </c>
      <c r="CZ67" s="1124" t="s">
        <v>4882</v>
      </c>
      <c r="DA67" s="1124"/>
      <c r="DB67" s="1124"/>
      <c r="DC67" s="1120" t="s">
        <v>5251</v>
      </c>
      <c r="DD67" s="1120" t="s">
        <v>591</v>
      </c>
      <c r="DE67" s="1120" t="str">
        <f t="shared" ref="DE67:DE130" si="149">IF(AND(C67=DC67,D67=DD67),"",FALSE)</f>
        <v/>
      </c>
      <c r="DF67" s="1133">
        <v>0</v>
      </c>
      <c r="DG67" s="1120">
        <v>0</v>
      </c>
    </row>
    <row r="68" spans="1:111">
      <c r="A68" s="1125" t="s">
        <v>1256</v>
      </c>
      <c r="B68" s="1125" t="s">
        <v>3647</v>
      </c>
      <c r="C68" s="1125" t="s">
        <v>3648</v>
      </c>
      <c r="D68" s="1125" t="s">
        <v>250</v>
      </c>
      <c r="E68" s="1125">
        <v>56</v>
      </c>
      <c r="F68" s="1125">
        <v>-70.28</v>
      </c>
      <c r="G68" s="1125">
        <v>41.67</v>
      </c>
      <c r="H68" s="1125">
        <v>-5</v>
      </c>
      <c r="I68" s="1126">
        <v>14</v>
      </c>
      <c r="J68" s="1126">
        <v>81.319999313354487</v>
      </c>
      <c r="K68" s="1127">
        <v>71.419999313354495</v>
      </c>
      <c r="L68" s="1125">
        <v>5423.4000000000005</v>
      </c>
      <c r="M68" s="1125">
        <v>471.6</v>
      </c>
      <c r="N68" s="1128">
        <v>35.779999828338624</v>
      </c>
      <c r="O68" s="1128">
        <v>27.679999828338623</v>
      </c>
      <c r="P68" s="1128">
        <v>39.379999828338626</v>
      </c>
      <c r="Q68" s="1128">
        <v>48.2</v>
      </c>
      <c r="R68" s="1128">
        <v>54.140000343322754</v>
      </c>
      <c r="S68" s="1128">
        <v>62.6</v>
      </c>
      <c r="T68" s="1128">
        <v>70.33999862670899</v>
      </c>
      <c r="U68" s="1128">
        <v>69.260001373291018</v>
      </c>
      <c r="V68" s="1128">
        <v>62.239998626708989</v>
      </c>
      <c r="W68" s="1128">
        <v>57.2</v>
      </c>
      <c r="X68" s="1128">
        <v>44.059999656677249</v>
      </c>
      <c r="Y68" s="1128">
        <v>37.220000171661376</v>
      </c>
      <c r="Z68" s="1128">
        <v>50.824547805524851</v>
      </c>
      <c r="AA68" s="1128">
        <f t="shared" si="75"/>
        <v>47.988095295800505</v>
      </c>
      <c r="AB68" s="1128">
        <f t="shared" si="76"/>
        <v>46.841794903712675</v>
      </c>
      <c r="AC68" s="1128">
        <f t="shared" si="77"/>
        <v>48.297652894361065</v>
      </c>
      <c r="AD68" s="1128">
        <f t="shared" si="78"/>
        <v>51.97617744703242</v>
      </c>
      <c r="AE68" s="1128">
        <f t="shared" si="79"/>
        <v>56.918504449293678</v>
      </c>
      <c r="AF68" s="1128">
        <f t="shared" si="80"/>
        <v>61.836340204440887</v>
      </c>
      <c r="AG68" s="1128">
        <f t="shared" si="81"/>
        <v>65.447775036751906</v>
      </c>
      <c r="AH68" s="1128">
        <f t="shared" si="82"/>
        <v>66.811432803289478</v>
      </c>
      <c r="AI68" s="1128">
        <f t="shared" si="83"/>
        <v>65.571855092603286</v>
      </c>
      <c r="AJ68" s="1128">
        <f t="shared" si="84"/>
        <v>62.052156937454455</v>
      </c>
      <c r="AK68" s="1128">
        <f t="shared" si="85"/>
        <v>57.169801902172921</v>
      </c>
      <c r="AL68" s="1128">
        <f t="shared" si="86"/>
        <v>52.19745106607337</v>
      </c>
      <c r="AM68" s="1125">
        <f t="shared" si="87"/>
        <v>1</v>
      </c>
      <c r="AN68" s="1125">
        <f t="shared" si="88"/>
        <v>1</v>
      </c>
      <c r="AO68" s="1125">
        <f t="shared" si="89"/>
        <v>1</v>
      </c>
      <c r="AP68" s="1125">
        <f t="shared" si="90"/>
        <v>1</v>
      </c>
      <c r="AQ68" s="1125">
        <f t="shared" si="91"/>
        <v>1</v>
      </c>
      <c r="AR68" s="1125">
        <f t="shared" si="92"/>
        <v>1</v>
      </c>
      <c r="AS68" s="1125">
        <f t="shared" si="93"/>
        <v>0</v>
      </c>
      <c r="AT68" s="1125">
        <f t="shared" si="94"/>
        <v>0</v>
      </c>
      <c r="AU68" s="1125">
        <f t="shared" si="95"/>
        <v>1</v>
      </c>
      <c r="AV68" s="1125">
        <f t="shared" si="96"/>
        <v>1</v>
      </c>
      <c r="AW68" s="1125">
        <f t="shared" si="97"/>
        <v>1</v>
      </c>
      <c r="AX68" s="1125">
        <f t="shared" si="98"/>
        <v>1</v>
      </c>
      <c r="AY68" s="1125">
        <f t="shared" si="99"/>
        <v>0</v>
      </c>
      <c r="AZ68" s="1125">
        <f t="shared" si="100"/>
        <v>0</v>
      </c>
      <c r="BA68" s="1125">
        <f t="shared" si="101"/>
        <v>0</v>
      </c>
      <c r="BB68" s="1125">
        <f t="shared" si="102"/>
        <v>0</v>
      </c>
      <c r="BC68" s="1125">
        <f t="shared" si="103"/>
        <v>0</v>
      </c>
      <c r="BD68" s="1125">
        <f t="shared" si="104"/>
        <v>0</v>
      </c>
      <c r="BE68" s="1125">
        <f t="shared" si="105"/>
        <v>1</v>
      </c>
      <c r="BF68" s="1125">
        <f t="shared" si="106"/>
        <v>1</v>
      </c>
      <c r="BG68" s="1125">
        <f t="shared" si="107"/>
        <v>0</v>
      </c>
      <c r="BH68" s="1125">
        <f t="shared" si="108"/>
        <v>0</v>
      </c>
      <c r="BI68" s="1125">
        <f t="shared" si="109"/>
        <v>0</v>
      </c>
      <c r="BJ68" s="1125">
        <f t="shared" si="110"/>
        <v>0</v>
      </c>
      <c r="BK68" s="1125">
        <f t="shared" si="111"/>
        <v>1</v>
      </c>
      <c r="BL68" s="1125">
        <f t="shared" si="112"/>
        <v>1</v>
      </c>
      <c r="BM68" s="1125">
        <f t="shared" si="113"/>
        <v>1</v>
      </c>
      <c r="BN68" s="1125">
        <f t="shared" si="114"/>
        <v>1</v>
      </c>
      <c r="BO68" s="1125">
        <f t="shared" si="115"/>
        <v>1</v>
      </c>
      <c r="BP68" s="1125">
        <f t="shared" si="116"/>
        <v>1</v>
      </c>
      <c r="BQ68" s="1125">
        <f t="shared" si="117"/>
        <v>1</v>
      </c>
      <c r="BR68" s="1125">
        <f t="shared" si="118"/>
        <v>0</v>
      </c>
      <c r="BS68" s="1125">
        <f t="shared" si="119"/>
        <v>1</v>
      </c>
      <c r="BT68" s="1125">
        <f t="shared" si="120"/>
        <v>1</v>
      </c>
      <c r="BU68" s="1125">
        <f t="shared" si="121"/>
        <v>1</v>
      </c>
      <c r="BV68" s="1125">
        <f t="shared" si="122"/>
        <v>1</v>
      </c>
      <c r="BW68" s="1125">
        <f t="shared" si="123"/>
        <v>0</v>
      </c>
      <c r="BX68" s="1125">
        <f t="shared" si="124"/>
        <v>0</v>
      </c>
      <c r="BY68" s="1125">
        <f t="shared" si="125"/>
        <v>0</v>
      </c>
      <c r="BZ68" s="1125">
        <f t="shared" si="126"/>
        <v>0</v>
      </c>
      <c r="CA68" s="1125">
        <f t="shared" si="127"/>
        <v>0</v>
      </c>
      <c r="CB68" s="1125">
        <f t="shared" si="128"/>
        <v>1</v>
      </c>
      <c r="CC68" s="1125">
        <f t="shared" si="129"/>
        <v>1</v>
      </c>
      <c r="CD68" s="1125">
        <f t="shared" si="130"/>
        <v>1</v>
      </c>
      <c r="CE68" s="1125">
        <f t="shared" si="131"/>
        <v>1</v>
      </c>
      <c r="CF68" s="1125">
        <f t="shared" si="132"/>
        <v>0</v>
      </c>
      <c r="CG68" s="1125">
        <f t="shared" si="133"/>
        <v>0</v>
      </c>
      <c r="CH68" s="1125">
        <f t="shared" si="134"/>
        <v>0</v>
      </c>
      <c r="CI68" s="1125">
        <f t="shared" si="135"/>
        <v>0.85</v>
      </c>
      <c r="CJ68" s="1125">
        <f t="shared" si="136"/>
        <v>0.85</v>
      </c>
      <c r="CK68" s="1125">
        <f t="shared" si="137"/>
        <v>0.85</v>
      </c>
      <c r="CL68" s="1125">
        <f t="shared" si="138"/>
        <v>0.85</v>
      </c>
      <c r="CM68" s="1125">
        <f t="shared" si="139"/>
        <v>0.85</v>
      </c>
      <c r="CN68" s="1125">
        <f t="shared" si="140"/>
        <v>0.85</v>
      </c>
      <c r="CO68" s="1125">
        <f t="shared" si="141"/>
        <v>0.85</v>
      </c>
      <c r="CP68" s="1125">
        <f t="shared" si="142"/>
        <v>0.7</v>
      </c>
      <c r="CQ68" s="1125">
        <f t="shared" si="143"/>
        <v>0.85</v>
      </c>
      <c r="CR68" s="1125">
        <f t="shared" si="144"/>
        <v>0.85</v>
      </c>
      <c r="CS68" s="1125">
        <f t="shared" si="145"/>
        <v>0.85</v>
      </c>
      <c r="CT68" s="1125">
        <f t="shared" si="146"/>
        <v>0.85</v>
      </c>
      <c r="CU68" s="1125">
        <v>1</v>
      </c>
      <c r="CV68" s="1125"/>
      <c r="CW68" s="1125">
        <f t="shared" si="147"/>
        <v>122</v>
      </c>
      <c r="CX68" s="1125">
        <f t="shared" si="148"/>
        <v>243</v>
      </c>
      <c r="CY68" s="1136" t="s">
        <v>4889</v>
      </c>
      <c r="CZ68" s="1129" t="s">
        <v>4897</v>
      </c>
      <c r="DA68" s="1129"/>
      <c r="DB68" s="1129"/>
      <c r="DC68" s="1125" t="s">
        <v>5265</v>
      </c>
      <c r="DD68" s="1125" t="s">
        <v>250</v>
      </c>
      <c r="DE68" s="1120" t="str">
        <f t="shared" si="149"/>
        <v/>
      </c>
      <c r="DF68" s="1133">
        <v>0</v>
      </c>
      <c r="DG68" s="1125">
        <v>0</v>
      </c>
    </row>
    <row r="69" spans="1:111">
      <c r="A69" s="1120" t="s">
        <v>2982</v>
      </c>
      <c r="B69" s="1125" t="s">
        <v>2928</v>
      </c>
      <c r="C69" s="1125" t="s">
        <v>2929</v>
      </c>
      <c r="D69" s="1125" t="s">
        <v>953</v>
      </c>
      <c r="E69" s="1125">
        <v>33</v>
      </c>
      <c r="F69" s="1125">
        <v>-156.62</v>
      </c>
      <c r="G69" s="1125">
        <v>71.319999999999993</v>
      </c>
      <c r="H69" s="1125">
        <v>-9</v>
      </c>
      <c r="I69" s="1126">
        <v>-35.679997253417973</v>
      </c>
      <c r="J69" s="1126">
        <v>53.419999313354495</v>
      </c>
      <c r="K69" s="1127">
        <v>49.640000343322754</v>
      </c>
      <c r="L69" s="1125">
        <v>19589.400000000001</v>
      </c>
      <c r="M69" s="1125">
        <v>0</v>
      </c>
      <c r="N69" s="1128">
        <v>-10.839998626708985</v>
      </c>
      <c r="O69" s="1128">
        <v>-14.8</v>
      </c>
      <c r="P69" s="1128">
        <v>-10.839998626708985</v>
      </c>
      <c r="Q69" s="1128">
        <v>-0.93999862670898515</v>
      </c>
      <c r="R69" s="1128">
        <v>20.479999828338624</v>
      </c>
      <c r="S69" s="1128">
        <v>33.259999978542325</v>
      </c>
      <c r="T69" s="1128">
        <v>38.47999982833862</v>
      </c>
      <c r="U69" s="1128">
        <v>39.559999656677249</v>
      </c>
      <c r="V69" s="1128">
        <v>31.81999999731779</v>
      </c>
      <c r="W69" s="1128">
        <v>14.359999656677246</v>
      </c>
      <c r="X69" s="1128">
        <v>-4.7199993133544931</v>
      </c>
      <c r="Y69" s="1128">
        <v>-8.8600013732910163</v>
      </c>
      <c r="Z69" s="1128">
        <v>10.741753621142204</v>
      </c>
      <c r="AA69" s="1128">
        <f t="shared" si="75"/>
        <v>32</v>
      </c>
      <c r="AB69" s="1128">
        <f t="shared" si="76"/>
        <v>32</v>
      </c>
      <c r="AC69" s="1128">
        <f t="shared" si="77"/>
        <v>32</v>
      </c>
      <c r="AD69" s="1128">
        <f t="shared" si="78"/>
        <v>32</v>
      </c>
      <c r="AE69" s="1128">
        <f t="shared" si="79"/>
        <v>32</v>
      </c>
      <c r="AF69" s="1128">
        <f t="shared" si="80"/>
        <v>32</v>
      </c>
      <c r="AG69" s="1128">
        <f t="shared" si="81"/>
        <v>32</v>
      </c>
      <c r="AH69" s="1128">
        <f t="shared" si="82"/>
        <v>32</v>
      </c>
      <c r="AI69" s="1128">
        <f t="shared" si="83"/>
        <v>32</v>
      </c>
      <c r="AJ69" s="1128">
        <f t="shared" si="84"/>
        <v>32</v>
      </c>
      <c r="AK69" s="1128">
        <f t="shared" si="85"/>
        <v>32</v>
      </c>
      <c r="AL69" s="1128">
        <f t="shared" si="86"/>
        <v>32</v>
      </c>
      <c r="AM69" s="1125">
        <f t="shared" si="87"/>
        <v>1</v>
      </c>
      <c r="AN69" s="1125">
        <f t="shared" si="88"/>
        <v>1</v>
      </c>
      <c r="AO69" s="1125">
        <f t="shared" si="89"/>
        <v>1</v>
      </c>
      <c r="AP69" s="1125">
        <f t="shared" si="90"/>
        <v>1</v>
      </c>
      <c r="AQ69" s="1125">
        <f t="shared" si="91"/>
        <v>1</v>
      </c>
      <c r="AR69" s="1125">
        <f t="shared" si="92"/>
        <v>1</v>
      </c>
      <c r="AS69" s="1125">
        <f t="shared" si="93"/>
        <v>1</v>
      </c>
      <c r="AT69" s="1125">
        <f t="shared" si="94"/>
        <v>1</v>
      </c>
      <c r="AU69" s="1125">
        <f t="shared" si="95"/>
        <v>1</v>
      </c>
      <c r="AV69" s="1125">
        <f t="shared" si="96"/>
        <v>1</v>
      </c>
      <c r="AW69" s="1125">
        <f t="shared" si="97"/>
        <v>1</v>
      </c>
      <c r="AX69" s="1125">
        <f t="shared" si="98"/>
        <v>1</v>
      </c>
      <c r="AY69" s="1125">
        <f t="shared" si="99"/>
        <v>0</v>
      </c>
      <c r="AZ69" s="1125">
        <f t="shared" si="100"/>
        <v>0</v>
      </c>
      <c r="BA69" s="1125">
        <f t="shared" si="101"/>
        <v>0</v>
      </c>
      <c r="BB69" s="1125">
        <f t="shared" si="102"/>
        <v>0</v>
      </c>
      <c r="BC69" s="1125">
        <f t="shared" si="103"/>
        <v>0</v>
      </c>
      <c r="BD69" s="1125">
        <f t="shared" si="104"/>
        <v>0</v>
      </c>
      <c r="BE69" s="1125">
        <f t="shared" si="105"/>
        <v>1</v>
      </c>
      <c r="BF69" s="1125">
        <f t="shared" si="106"/>
        <v>1</v>
      </c>
      <c r="BG69" s="1125">
        <f t="shared" si="107"/>
        <v>0</v>
      </c>
      <c r="BH69" s="1125">
        <f t="shared" si="108"/>
        <v>0</v>
      </c>
      <c r="BI69" s="1125">
        <f t="shared" si="109"/>
        <v>0</v>
      </c>
      <c r="BJ69" s="1125">
        <f t="shared" si="110"/>
        <v>0</v>
      </c>
      <c r="BK69" s="1125">
        <f t="shared" si="111"/>
        <v>1</v>
      </c>
      <c r="BL69" s="1125">
        <f t="shared" si="112"/>
        <v>1</v>
      </c>
      <c r="BM69" s="1125">
        <f t="shared" si="113"/>
        <v>1</v>
      </c>
      <c r="BN69" s="1125">
        <f t="shared" si="114"/>
        <v>1</v>
      </c>
      <c r="BO69" s="1125">
        <f t="shared" si="115"/>
        <v>1</v>
      </c>
      <c r="BP69" s="1125">
        <f t="shared" si="116"/>
        <v>1</v>
      </c>
      <c r="BQ69" s="1125">
        <f t="shared" si="117"/>
        <v>1</v>
      </c>
      <c r="BR69" s="1125">
        <f t="shared" si="118"/>
        <v>1</v>
      </c>
      <c r="BS69" s="1125">
        <f t="shared" si="119"/>
        <v>1</v>
      </c>
      <c r="BT69" s="1125">
        <f t="shared" si="120"/>
        <v>1</v>
      </c>
      <c r="BU69" s="1125">
        <f t="shared" si="121"/>
        <v>1</v>
      </c>
      <c r="BV69" s="1125">
        <f t="shared" si="122"/>
        <v>1</v>
      </c>
      <c r="BW69" s="1125">
        <f t="shared" si="123"/>
        <v>0</v>
      </c>
      <c r="BX69" s="1125">
        <f t="shared" si="124"/>
        <v>0</v>
      </c>
      <c r="BY69" s="1125">
        <f t="shared" si="125"/>
        <v>0</v>
      </c>
      <c r="BZ69" s="1125">
        <f t="shared" si="126"/>
        <v>0</v>
      </c>
      <c r="CA69" s="1125">
        <f t="shared" si="127"/>
        <v>0</v>
      </c>
      <c r="CB69" s="1125">
        <f t="shared" si="128"/>
        <v>0</v>
      </c>
      <c r="CC69" s="1125">
        <f t="shared" si="129"/>
        <v>1</v>
      </c>
      <c r="CD69" s="1125">
        <f t="shared" si="130"/>
        <v>1</v>
      </c>
      <c r="CE69" s="1125">
        <f t="shared" si="131"/>
        <v>0</v>
      </c>
      <c r="CF69" s="1125">
        <f t="shared" si="132"/>
        <v>0</v>
      </c>
      <c r="CG69" s="1125">
        <f t="shared" si="133"/>
        <v>0</v>
      </c>
      <c r="CH69" s="1125">
        <f t="shared" si="134"/>
        <v>0</v>
      </c>
      <c r="CI69" s="1125">
        <f t="shared" si="135"/>
        <v>0.85</v>
      </c>
      <c r="CJ69" s="1125">
        <f t="shared" si="136"/>
        <v>0.85</v>
      </c>
      <c r="CK69" s="1125">
        <f t="shared" si="137"/>
        <v>0.85</v>
      </c>
      <c r="CL69" s="1125">
        <f t="shared" si="138"/>
        <v>0.85</v>
      </c>
      <c r="CM69" s="1125">
        <f t="shared" si="139"/>
        <v>0.85</v>
      </c>
      <c r="CN69" s="1125">
        <f t="shared" si="140"/>
        <v>0.85</v>
      </c>
      <c r="CO69" s="1125">
        <f t="shared" si="141"/>
        <v>0.85</v>
      </c>
      <c r="CP69" s="1125">
        <f t="shared" si="142"/>
        <v>0.85</v>
      </c>
      <c r="CQ69" s="1125">
        <f t="shared" si="143"/>
        <v>0.85</v>
      </c>
      <c r="CR69" s="1125">
        <f t="shared" si="144"/>
        <v>0.85</v>
      </c>
      <c r="CS69" s="1125">
        <f t="shared" si="145"/>
        <v>0.85</v>
      </c>
      <c r="CT69" s="1125">
        <f t="shared" si="146"/>
        <v>0.85</v>
      </c>
      <c r="CU69" s="1125">
        <v>1</v>
      </c>
      <c r="CV69" s="1125"/>
      <c r="CW69" s="1125">
        <f t="shared" si="147"/>
        <v>62</v>
      </c>
      <c r="CX69" s="1125">
        <f t="shared" si="148"/>
        <v>303</v>
      </c>
      <c r="CY69" s="1136" t="s">
        <v>4880</v>
      </c>
      <c r="CZ69" s="1129">
        <v>8</v>
      </c>
      <c r="DA69" s="1129"/>
      <c r="DB69" s="1129"/>
      <c r="DC69" s="1125" t="s">
        <v>4910</v>
      </c>
      <c r="DD69" s="1125" t="s">
        <v>953</v>
      </c>
      <c r="DE69" s="1125" t="b">
        <f t="shared" si="149"/>
        <v>0</v>
      </c>
      <c r="DF69" s="1125">
        <v>0</v>
      </c>
      <c r="DG69" s="1120">
        <v>0</v>
      </c>
    </row>
    <row r="70" spans="1:111">
      <c r="A70" s="1125" t="s">
        <v>2984</v>
      </c>
      <c r="B70" s="1125" t="s">
        <v>4192</v>
      </c>
      <c r="C70" s="1125" t="s">
        <v>4193</v>
      </c>
      <c r="D70" s="1125" t="s">
        <v>61</v>
      </c>
      <c r="E70" s="1125">
        <v>715</v>
      </c>
      <c r="F70" s="1125">
        <v>-96.02</v>
      </c>
      <c r="G70" s="1125">
        <v>36.770000000000003</v>
      </c>
      <c r="H70" s="1125">
        <v>-6</v>
      </c>
      <c r="I70" s="1126">
        <v>6.6199993133544917</v>
      </c>
      <c r="J70" s="1126">
        <v>96.620002746582031</v>
      </c>
      <c r="K70" s="1127">
        <v>73.580000686645505</v>
      </c>
      <c r="L70" s="1125">
        <v>4150.8</v>
      </c>
      <c r="M70" s="1125">
        <v>1735.2</v>
      </c>
      <c r="N70" s="1128">
        <v>34.700000000000003</v>
      </c>
      <c r="O70" s="1128">
        <v>39.740000343322755</v>
      </c>
      <c r="P70" s="1128">
        <v>46.040000343322752</v>
      </c>
      <c r="Q70" s="1128">
        <v>64.580000686645505</v>
      </c>
      <c r="R70" s="1128">
        <v>69.8</v>
      </c>
      <c r="S70" s="1128">
        <v>76.099999999999994</v>
      </c>
      <c r="T70" s="1128">
        <v>80.060001373291016</v>
      </c>
      <c r="U70" s="1128">
        <v>76.819999313354487</v>
      </c>
      <c r="V70" s="1128">
        <v>66.919999313354495</v>
      </c>
      <c r="W70" s="1128">
        <v>58.280000686645508</v>
      </c>
      <c r="X70" s="1128">
        <v>44.779999828338624</v>
      </c>
      <c r="Y70" s="1128">
        <v>34.880000042915341</v>
      </c>
      <c r="Z70" s="1128">
        <v>57.813972764407119</v>
      </c>
      <c r="AA70" s="1128">
        <f t="shared" si="75"/>
        <v>52.411194802240807</v>
      </c>
      <c r="AB70" s="1128">
        <f t="shared" si="76"/>
        <v>51.749092138825354</v>
      </c>
      <c r="AC70" s="1128">
        <f t="shared" si="77"/>
        <v>54.231886535906149</v>
      </c>
      <c r="AD70" s="1128">
        <f t="shared" si="78"/>
        <v>59.212399372864262</v>
      </c>
      <c r="AE70" s="1128">
        <f t="shared" si="79"/>
        <v>65.392383226720483</v>
      </c>
      <c r="AF70" s="1128">
        <f t="shared" si="80"/>
        <v>71.160930069533222</v>
      </c>
      <c r="AG70" s="1128">
        <f t="shared" si="81"/>
        <v>75.014379270725627</v>
      </c>
      <c r="AH70" s="1128">
        <f t="shared" si="82"/>
        <v>75.948269912557194</v>
      </c>
      <c r="AI70" s="1128">
        <f t="shared" si="83"/>
        <v>73.719169007544082</v>
      </c>
      <c r="AJ70" s="1128">
        <f t="shared" si="84"/>
        <v>68.908126058062734</v>
      </c>
      <c r="AK70" s="1128">
        <f t="shared" si="85"/>
        <v>62.769213549311516</v>
      </c>
      <c r="AL70" s="1128">
        <f t="shared" si="86"/>
        <v>56.902633630201827</v>
      </c>
      <c r="AM70" s="1125">
        <f t="shared" si="87"/>
        <v>1</v>
      </c>
      <c r="AN70" s="1125">
        <f t="shared" si="88"/>
        <v>1</v>
      </c>
      <c r="AO70" s="1125">
        <f t="shared" si="89"/>
        <v>1</v>
      </c>
      <c r="AP70" s="1125">
        <f t="shared" si="90"/>
        <v>1</v>
      </c>
      <c r="AQ70" s="1125">
        <f t="shared" si="91"/>
        <v>0</v>
      </c>
      <c r="AR70" s="1125">
        <f t="shared" si="92"/>
        <v>0</v>
      </c>
      <c r="AS70" s="1125">
        <f t="shared" si="93"/>
        <v>0</v>
      </c>
      <c r="AT70" s="1125">
        <f t="shared" si="94"/>
        <v>0</v>
      </c>
      <c r="AU70" s="1125">
        <f t="shared" si="95"/>
        <v>0</v>
      </c>
      <c r="AV70" s="1125">
        <f t="shared" si="96"/>
        <v>1</v>
      </c>
      <c r="AW70" s="1125">
        <f t="shared" si="97"/>
        <v>1</v>
      </c>
      <c r="AX70" s="1125">
        <f t="shared" si="98"/>
        <v>1</v>
      </c>
      <c r="AY70" s="1125">
        <f t="shared" si="99"/>
        <v>0</v>
      </c>
      <c r="AZ70" s="1125">
        <f t="shared" si="100"/>
        <v>0</v>
      </c>
      <c r="BA70" s="1125">
        <f t="shared" si="101"/>
        <v>0</v>
      </c>
      <c r="BB70" s="1125">
        <f t="shared" si="102"/>
        <v>0</v>
      </c>
      <c r="BC70" s="1125">
        <f t="shared" si="103"/>
        <v>1</v>
      </c>
      <c r="BD70" s="1125">
        <f t="shared" si="104"/>
        <v>1</v>
      </c>
      <c r="BE70" s="1125">
        <f t="shared" si="105"/>
        <v>1</v>
      </c>
      <c r="BF70" s="1125">
        <f t="shared" si="106"/>
        <v>1</v>
      </c>
      <c r="BG70" s="1125">
        <f t="shared" si="107"/>
        <v>1</v>
      </c>
      <c r="BH70" s="1125">
        <f t="shared" si="108"/>
        <v>0</v>
      </c>
      <c r="BI70" s="1125">
        <f t="shared" si="109"/>
        <v>0</v>
      </c>
      <c r="BJ70" s="1125">
        <f t="shared" si="110"/>
        <v>0</v>
      </c>
      <c r="BK70" s="1125">
        <f t="shared" si="111"/>
        <v>1</v>
      </c>
      <c r="BL70" s="1125">
        <f t="shared" si="112"/>
        <v>1</v>
      </c>
      <c r="BM70" s="1125">
        <f t="shared" si="113"/>
        <v>1</v>
      </c>
      <c r="BN70" s="1125">
        <f t="shared" si="114"/>
        <v>1</v>
      </c>
      <c r="BO70" s="1125">
        <f t="shared" si="115"/>
        <v>1</v>
      </c>
      <c r="BP70" s="1125">
        <f t="shared" si="116"/>
        <v>0</v>
      </c>
      <c r="BQ70" s="1125">
        <f t="shared" si="117"/>
        <v>0</v>
      </c>
      <c r="BR70" s="1125">
        <f t="shared" si="118"/>
        <v>0</v>
      </c>
      <c r="BS70" s="1125">
        <f t="shared" si="119"/>
        <v>0</v>
      </c>
      <c r="BT70" s="1125">
        <f t="shared" si="120"/>
        <v>1</v>
      </c>
      <c r="BU70" s="1125">
        <f t="shared" si="121"/>
        <v>1</v>
      </c>
      <c r="BV70" s="1125">
        <f t="shared" si="122"/>
        <v>1</v>
      </c>
      <c r="BW70" s="1125">
        <f t="shared" si="123"/>
        <v>0</v>
      </c>
      <c r="BX70" s="1125">
        <f t="shared" si="124"/>
        <v>0</v>
      </c>
      <c r="BY70" s="1125">
        <f t="shared" si="125"/>
        <v>0</v>
      </c>
      <c r="BZ70" s="1125">
        <f t="shared" si="126"/>
        <v>1</v>
      </c>
      <c r="CA70" s="1125">
        <f t="shared" si="127"/>
        <v>1</v>
      </c>
      <c r="CB70" s="1125">
        <f t="shared" si="128"/>
        <v>1</v>
      </c>
      <c r="CC70" s="1125">
        <f t="shared" si="129"/>
        <v>1</v>
      </c>
      <c r="CD70" s="1125">
        <f t="shared" si="130"/>
        <v>1</v>
      </c>
      <c r="CE70" s="1125">
        <f t="shared" si="131"/>
        <v>1</v>
      </c>
      <c r="CF70" s="1125">
        <f t="shared" si="132"/>
        <v>1</v>
      </c>
      <c r="CG70" s="1125">
        <f t="shared" si="133"/>
        <v>0</v>
      </c>
      <c r="CH70" s="1125">
        <f t="shared" si="134"/>
        <v>0</v>
      </c>
      <c r="CI70" s="1125">
        <f t="shared" si="135"/>
        <v>0.85</v>
      </c>
      <c r="CJ70" s="1125">
        <f t="shared" si="136"/>
        <v>0.85</v>
      </c>
      <c r="CK70" s="1125">
        <f t="shared" si="137"/>
        <v>0.85</v>
      </c>
      <c r="CL70" s="1125">
        <f t="shared" si="138"/>
        <v>0.85</v>
      </c>
      <c r="CM70" s="1125">
        <f t="shared" si="139"/>
        <v>0.85</v>
      </c>
      <c r="CN70" s="1125">
        <f t="shared" si="140"/>
        <v>0.7</v>
      </c>
      <c r="CO70" s="1125">
        <f t="shared" si="141"/>
        <v>0.7</v>
      </c>
      <c r="CP70" s="1125">
        <f t="shared" si="142"/>
        <v>0.7</v>
      </c>
      <c r="CQ70" s="1125">
        <f t="shared" si="143"/>
        <v>0.7</v>
      </c>
      <c r="CR70" s="1125">
        <f t="shared" si="144"/>
        <v>0.85</v>
      </c>
      <c r="CS70" s="1125">
        <f t="shared" si="145"/>
        <v>0.85</v>
      </c>
      <c r="CT70" s="1125">
        <f t="shared" si="146"/>
        <v>0.85</v>
      </c>
      <c r="CU70" s="1125">
        <v>1</v>
      </c>
      <c r="CV70" s="1125"/>
      <c r="CW70" s="1125">
        <f t="shared" si="147"/>
        <v>214</v>
      </c>
      <c r="CX70" s="1125">
        <f t="shared" si="148"/>
        <v>151</v>
      </c>
      <c r="CY70" s="1136" t="s">
        <v>4881</v>
      </c>
      <c r="CZ70" s="1129" t="s">
        <v>4882</v>
      </c>
      <c r="DA70" s="1129"/>
      <c r="DB70" s="1129"/>
      <c r="DC70" s="1125" t="s">
        <v>5989</v>
      </c>
      <c r="DD70" s="1125" t="s">
        <v>61</v>
      </c>
      <c r="DE70" s="1120" t="str">
        <f t="shared" si="149"/>
        <v/>
      </c>
      <c r="DF70" s="1133">
        <v>0</v>
      </c>
      <c r="DG70" s="1125">
        <v>0</v>
      </c>
    </row>
    <row r="71" spans="1:111">
      <c r="A71" s="1120" t="s">
        <v>2986</v>
      </c>
      <c r="B71" s="1120" t="s">
        <v>5800</v>
      </c>
      <c r="C71" s="1120" t="s">
        <v>5801</v>
      </c>
      <c r="D71" s="1120" t="s">
        <v>1176</v>
      </c>
      <c r="E71" s="1120">
        <v>462</v>
      </c>
      <c r="F71" s="1120">
        <v>-91.65</v>
      </c>
      <c r="G71" s="1120">
        <v>35.729999999999997</v>
      </c>
      <c r="H71" s="1120">
        <v>-6</v>
      </c>
      <c r="I71" s="1121">
        <v>19.759999656677245</v>
      </c>
      <c r="J71" s="1121">
        <v>94.460001373291021</v>
      </c>
      <c r="K71" s="1122">
        <v>75.380000686645502</v>
      </c>
      <c r="L71" s="1120">
        <v>3605.4</v>
      </c>
      <c r="M71" s="1120">
        <v>1746</v>
      </c>
      <c r="N71" s="1123">
        <v>40.640000343322754</v>
      </c>
      <c r="O71" s="1123">
        <v>43.52000017166138</v>
      </c>
      <c r="P71" s="1123">
        <v>45.859999656677246</v>
      </c>
      <c r="Q71" s="1123">
        <v>57.919999313354495</v>
      </c>
      <c r="R71" s="1123">
        <v>67.280000686645508</v>
      </c>
      <c r="S71" s="1123">
        <v>77.900000000000006</v>
      </c>
      <c r="T71" s="1123">
        <v>77.539998626708979</v>
      </c>
      <c r="U71" s="1123">
        <v>74.3</v>
      </c>
      <c r="V71" s="1123">
        <v>75.739998626708982</v>
      </c>
      <c r="W71" s="1123">
        <v>59.359999656677246</v>
      </c>
      <c r="X71" s="1123">
        <v>48.019999313354489</v>
      </c>
      <c r="Y71" s="1123">
        <v>42.259999656677245</v>
      </c>
      <c r="Z71" s="1123">
        <v>59.261369533800099</v>
      </c>
      <c r="AA71" s="1123">
        <f t="shared" si="75"/>
        <v>55.554433638040926</v>
      </c>
      <c r="AB71" s="1123">
        <f t="shared" si="76"/>
        <v>55.126277789670183</v>
      </c>
      <c r="AC71" s="1123">
        <f t="shared" si="77"/>
        <v>57.3399897908984</v>
      </c>
      <c r="AD71" s="1123">
        <f t="shared" si="78"/>
        <v>61.618531494270869</v>
      </c>
      <c r="AE71" s="1123">
        <f t="shared" si="79"/>
        <v>66.846635070480104</v>
      </c>
      <c r="AF71" s="1123">
        <f t="shared" si="80"/>
        <v>71.661514754872286</v>
      </c>
      <c r="AG71" s="1123">
        <f t="shared" si="81"/>
        <v>74.808097958168673</v>
      </c>
      <c r="AH71" s="1123">
        <f t="shared" si="82"/>
        <v>75.466179278115092</v>
      </c>
      <c r="AI71" s="1123">
        <f t="shared" si="83"/>
        <v>73.464219677327407</v>
      </c>
      <c r="AJ71" s="1123">
        <f t="shared" si="84"/>
        <v>69.32406077688222</v>
      </c>
      <c r="AK71" s="1123">
        <f t="shared" si="85"/>
        <v>64.12489879596049</v>
      </c>
      <c r="AL71" s="1123">
        <f t="shared" si="86"/>
        <v>59.221975426400853</v>
      </c>
      <c r="AM71" s="1120">
        <f t="shared" si="87"/>
        <v>1</v>
      </c>
      <c r="AN71" s="1120">
        <f t="shared" si="88"/>
        <v>1</v>
      </c>
      <c r="AO71" s="1120">
        <f t="shared" si="89"/>
        <v>1</v>
      </c>
      <c r="AP71" s="1120">
        <f t="shared" si="90"/>
        <v>1</v>
      </c>
      <c r="AQ71" s="1120">
        <f t="shared" si="91"/>
        <v>0</v>
      </c>
      <c r="AR71" s="1120">
        <f t="shared" si="92"/>
        <v>0</v>
      </c>
      <c r="AS71" s="1120">
        <f t="shared" si="93"/>
        <v>0</v>
      </c>
      <c r="AT71" s="1120">
        <f t="shared" si="94"/>
        <v>0</v>
      </c>
      <c r="AU71" s="1120">
        <f t="shared" si="95"/>
        <v>0</v>
      </c>
      <c r="AV71" s="1120">
        <f t="shared" si="96"/>
        <v>1</v>
      </c>
      <c r="AW71" s="1120">
        <f t="shared" si="97"/>
        <v>1</v>
      </c>
      <c r="AX71" s="1120">
        <f t="shared" si="98"/>
        <v>1</v>
      </c>
      <c r="AY71" s="1120">
        <f t="shared" si="99"/>
        <v>0</v>
      </c>
      <c r="AZ71" s="1120">
        <f t="shared" si="100"/>
        <v>0</v>
      </c>
      <c r="BA71" s="1120">
        <f t="shared" si="101"/>
        <v>0</v>
      </c>
      <c r="BB71" s="1120">
        <f t="shared" si="102"/>
        <v>0</v>
      </c>
      <c r="BC71" s="1120">
        <f t="shared" si="103"/>
        <v>1</v>
      </c>
      <c r="BD71" s="1120">
        <f t="shared" si="104"/>
        <v>1</v>
      </c>
      <c r="BE71" s="1120">
        <f t="shared" si="105"/>
        <v>1</v>
      </c>
      <c r="BF71" s="1120">
        <f t="shared" si="106"/>
        <v>1</v>
      </c>
      <c r="BG71" s="1120">
        <f t="shared" si="107"/>
        <v>1</v>
      </c>
      <c r="BH71" s="1120">
        <f t="shared" si="108"/>
        <v>0</v>
      </c>
      <c r="BI71" s="1120">
        <f t="shared" si="109"/>
        <v>0</v>
      </c>
      <c r="BJ71" s="1120">
        <f t="shared" si="110"/>
        <v>0</v>
      </c>
      <c r="BK71" s="1120">
        <f t="shared" si="111"/>
        <v>1</v>
      </c>
      <c r="BL71" s="1120">
        <f t="shared" si="112"/>
        <v>1</v>
      </c>
      <c r="BM71" s="1120">
        <f t="shared" si="113"/>
        <v>1</v>
      </c>
      <c r="BN71" s="1120">
        <f t="shared" si="114"/>
        <v>1</v>
      </c>
      <c r="BO71" s="1120">
        <f t="shared" si="115"/>
        <v>1</v>
      </c>
      <c r="BP71" s="1120">
        <f t="shared" si="116"/>
        <v>0</v>
      </c>
      <c r="BQ71" s="1120">
        <f t="shared" si="117"/>
        <v>0</v>
      </c>
      <c r="BR71" s="1120">
        <f t="shared" si="118"/>
        <v>0</v>
      </c>
      <c r="BS71" s="1120">
        <f t="shared" si="119"/>
        <v>0</v>
      </c>
      <c r="BT71" s="1120">
        <f t="shared" si="120"/>
        <v>1</v>
      </c>
      <c r="BU71" s="1120">
        <f t="shared" si="121"/>
        <v>1</v>
      </c>
      <c r="BV71" s="1120">
        <f t="shared" si="122"/>
        <v>1</v>
      </c>
      <c r="BW71" s="1120">
        <f t="shared" si="123"/>
        <v>0</v>
      </c>
      <c r="BX71" s="1120">
        <f t="shared" si="124"/>
        <v>0</v>
      </c>
      <c r="BY71" s="1120">
        <f t="shared" si="125"/>
        <v>0</v>
      </c>
      <c r="BZ71" s="1120">
        <f t="shared" si="126"/>
        <v>1</v>
      </c>
      <c r="CA71" s="1120">
        <f t="shared" si="127"/>
        <v>1</v>
      </c>
      <c r="CB71" s="1120">
        <f t="shared" si="128"/>
        <v>1</v>
      </c>
      <c r="CC71" s="1120">
        <f t="shared" si="129"/>
        <v>1</v>
      </c>
      <c r="CD71" s="1120">
        <f t="shared" si="130"/>
        <v>1</v>
      </c>
      <c r="CE71" s="1120">
        <f t="shared" si="131"/>
        <v>1</v>
      </c>
      <c r="CF71" s="1120">
        <f t="shared" si="132"/>
        <v>1</v>
      </c>
      <c r="CG71" s="1120">
        <f t="shared" si="133"/>
        <v>0</v>
      </c>
      <c r="CH71" s="1120">
        <f t="shared" si="134"/>
        <v>0</v>
      </c>
      <c r="CI71" s="1120">
        <f t="shared" si="135"/>
        <v>0.85</v>
      </c>
      <c r="CJ71" s="1120">
        <f t="shared" si="136"/>
        <v>0.85</v>
      </c>
      <c r="CK71" s="1120">
        <f t="shared" si="137"/>
        <v>0.85</v>
      </c>
      <c r="CL71" s="1120">
        <f t="shared" si="138"/>
        <v>0.85</v>
      </c>
      <c r="CM71" s="1120">
        <f t="shared" si="139"/>
        <v>0.85</v>
      </c>
      <c r="CN71" s="1120">
        <f t="shared" si="140"/>
        <v>0.7</v>
      </c>
      <c r="CO71" s="1120">
        <f t="shared" si="141"/>
        <v>0.7</v>
      </c>
      <c r="CP71" s="1120">
        <f t="shared" si="142"/>
        <v>0.7</v>
      </c>
      <c r="CQ71" s="1120">
        <f t="shared" si="143"/>
        <v>0.7</v>
      </c>
      <c r="CR71" s="1120">
        <f t="shared" si="144"/>
        <v>0.85</v>
      </c>
      <c r="CS71" s="1120">
        <f t="shared" si="145"/>
        <v>0.85</v>
      </c>
      <c r="CT71" s="1120">
        <f t="shared" si="146"/>
        <v>0.85</v>
      </c>
      <c r="CU71" s="1120">
        <v>1</v>
      </c>
      <c r="CV71" s="1120"/>
      <c r="CW71" s="1120">
        <f t="shared" si="147"/>
        <v>214</v>
      </c>
      <c r="CX71" s="1120">
        <f t="shared" si="148"/>
        <v>151</v>
      </c>
      <c r="CY71" s="1135" t="s">
        <v>4881</v>
      </c>
      <c r="CZ71" s="1124" t="s">
        <v>4882</v>
      </c>
      <c r="DA71" s="1124"/>
      <c r="DB71" s="1124"/>
      <c r="DC71" s="1120" t="s">
        <v>5710</v>
      </c>
      <c r="DD71" s="1120" t="s">
        <v>1176</v>
      </c>
      <c r="DE71" s="1120" t="str">
        <f t="shared" si="149"/>
        <v/>
      </c>
      <c r="DF71" s="1120">
        <v>0</v>
      </c>
      <c r="DG71" s="1120">
        <v>0</v>
      </c>
    </row>
    <row r="72" spans="1:111">
      <c r="A72" s="1125" t="s">
        <v>2988</v>
      </c>
      <c r="B72" s="1120" t="s">
        <v>3621</v>
      </c>
      <c r="C72" s="1120" t="s">
        <v>3622</v>
      </c>
      <c r="D72" s="1120" t="s">
        <v>591</v>
      </c>
      <c r="E72" s="1120">
        <v>66</v>
      </c>
      <c r="F72" s="1120">
        <v>-91.15</v>
      </c>
      <c r="G72" s="1120">
        <v>30.53</v>
      </c>
      <c r="H72" s="1120">
        <v>-6</v>
      </c>
      <c r="I72" s="1121">
        <v>31.1</v>
      </c>
      <c r="J72" s="1121">
        <v>92.83999862670899</v>
      </c>
      <c r="K72" s="1122">
        <v>77.180000686645513</v>
      </c>
      <c r="L72" s="1120">
        <v>1708.2</v>
      </c>
      <c r="M72" s="1120">
        <v>2595.6</v>
      </c>
      <c r="N72" s="1123">
        <v>50.540000343322752</v>
      </c>
      <c r="O72" s="1123">
        <v>51.8</v>
      </c>
      <c r="P72" s="1123">
        <v>62.6</v>
      </c>
      <c r="Q72" s="1123">
        <v>67.639998626708987</v>
      </c>
      <c r="R72" s="1123">
        <v>75.739998626708982</v>
      </c>
      <c r="S72" s="1123">
        <v>79.16000137329101</v>
      </c>
      <c r="T72" s="1123">
        <v>80.780000686645508</v>
      </c>
      <c r="U72" s="1123">
        <v>80.239998626708982</v>
      </c>
      <c r="V72" s="1123">
        <v>76.460001373291021</v>
      </c>
      <c r="W72" s="1123">
        <v>67.099999999999994</v>
      </c>
      <c r="X72" s="1123">
        <v>59.359999656677246</v>
      </c>
      <c r="Y72" s="1123">
        <v>49.459999656677248</v>
      </c>
      <c r="Z72" s="1123">
        <v>66.819890320660321</v>
      </c>
      <c r="AA72" s="1123">
        <f t="shared" si="75"/>
        <v>63.197612643268556</v>
      </c>
      <c r="AB72" s="1123">
        <f t="shared" si="76"/>
        <v>63.441251571807683</v>
      </c>
      <c r="AC72" s="1123">
        <f t="shared" si="77"/>
        <v>66.129577219433216</v>
      </c>
      <c r="AD72" s="1123">
        <f t="shared" si="78"/>
        <v>70.561836077739329</v>
      </c>
      <c r="AE72" s="1123">
        <f t="shared" si="79"/>
        <v>75.582691572132006</v>
      </c>
      <c r="AF72" s="1123">
        <f t="shared" si="80"/>
        <v>79.883380344272524</v>
      </c>
      <c r="AG72" s="1123">
        <f t="shared" si="81"/>
        <v>82.34286159008235</v>
      </c>
      <c r="AH72" s="1123">
        <f t="shared" si="82"/>
        <v>82.320033621087873</v>
      </c>
      <c r="AI72" s="1123">
        <f t="shared" si="83"/>
        <v>79.82084689919715</v>
      </c>
      <c r="AJ72" s="1123">
        <f t="shared" si="84"/>
        <v>75.496752957104206</v>
      </c>
      <c r="AK72" s="1123">
        <f t="shared" si="85"/>
        <v>70.474893517120236</v>
      </c>
      <c r="AL72" s="1123">
        <f t="shared" si="86"/>
        <v>66.064293631473603</v>
      </c>
      <c r="AM72" s="1120">
        <f t="shared" si="87"/>
        <v>1</v>
      </c>
      <c r="AN72" s="1120">
        <f t="shared" si="88"/>
        <v>1</v>
      </c>
      <c r="AO72" s="1120">
        <f t="shared" si="89"/>
        <v>1</v>
      </c>
      <c r="AP72" s="1120">
        <f t="shared" si="90"/>
        <v>0</v>
      </c>
      <c r="AQ72" s="1120">
        <f t="shared" si="91"/>
        <v>0</v>
      </c>
      <c r="AR72" s="1120">
        <f t="shared" si="92"/>
        <v>0</v>
      </c>
      <c r="AS72" s="1120">
        <f t="shared" si="93"/>
        <v>0</v>
      </c>
      <c r="AT72" s="1120">
        <f t="shared" si="94"/>
        <v>0</v>
      </c>
      <c r="AU72" s="1120">
        <f t="shared" si="95"/>
        <v>0</v>
      </c>
      <c r="AV72" s="1120">
        <f t="shared" si="96"/>
        <v>0</v>
      </c>
      <c r="AW72" s="1120">
        <f t="shared" si="97"/>
        <v>1</v>
      </c>
      <c r="AX72" s="1120">
        <f t="shared" si="98"/>
        <v>1</v>
      </c>
      <c r="AY72" s="1120">
        <f t="shared" si="99"/>
        <v>0</v>
      </c>
      <c r="AZ72" s="1120">
        <f t="shared" si="100"/>
        <v>0</v>
      </c>
      <c r="BA72" s="1120">
        <f t="shared" si="101"/>
        <v>0</v>
      </c>
      <c r="BB72" s="1120">
        <f t="shared" si="102"/>
        <v>1</v>
      </c>
      <c r="BC72" s="1120">
        <f t="shared" si="103"/>
        <v>1</v>
      </c>
      <c r="BD72" s="1120">
        <f t="shared" si="104"/>
        <v>1</v>
      </c>
      <c r="BE72" s="1120">
        <f t="shared" si="105"/>
        <v>1</v>
      </c>
      <c r="BF72" s="1120">
        <f t="shared" si="106"/>
        <v>1</v>
      </c>
      <c r="BG72" s="1120">
        <f t="shared" si="107"/>
        <v>1</v>
      </c>
      <c r="BH72" s="1120">
        <f t="shared" si="108"/>
        <v>1</v>
      </c>
      <c r="BI72" s="1120">
        <f t="shared" si="109"/>
        <v>0</v>
      </c>
      <c r="BJ72" s="1120">
        <f t="shared" si="110"/>
        <v>0</v>
      </c>
      <c r="BK72" s="1120">
        <f t="shared" si="111"/>
        <v>1</v>
      </c>
      <c r="BL72" s="1120">
        <f t="shared" si="112"/>
        <v>1</v>
      </c>
      <c r="BM72" s="1120">
        <f t="shared" si="113"/>
        <v>1</v>
      </c>
      <c r="BN72" s="1120">
        <f t="shared" si="114"/>
        <v>1</v>
      </c>
      <c r="BO72" s="1120">
        <f t="shared" si="115"/>
        <v>0</v>
      </c>
      <c r="BP72" s="1120">
        <f t="shared" si="116"/>
        <v>0</v>
      </c>
      <c r="BQ72" s="1120">
        <f t="shared" si="117"/>
        <v>0</v>
      </c>
      <c r="BR72" s="1120">
        <f t="shared" si="118"/>
        <v>0</v>
      </c>
      <c r="BS72" s="1120">
        <f t="shared" si="119"/>
        <v>0</v>
      </c>
      <c r="BT72" s="1120">
        <f t="shared" si="120"/>
        <v>0</v>
      </c>
      <c r="BU72" s="1120">
        <f t="shared" si="121"/>
        <v>1</v>
      </c>
      <c r="BV72" s="1120">
        <f t="shared" si="122"/>
        <v>1</v>
      </c>
      <c r="BW72" s="1120">
        <f t="shared" si="123"/>
        <v>0</v>
      </c>
      <c r="BX72" s="1120">
        <f t="shared" si="124"/>
        <v>0</v>
      </c>
      <c r="BY72" s="1120">
        <f t="shared" si="125"/>
        <v>1</v>
      </c>
      <c r="BZ72" s="1120">
        <f t="shared" si="126"/>
        <v>1</v>
      </c>
      <c r="CA72" s="1120">
        <f t="shared" si="127"/>
        <v>1</v>
      </c>
      <c r="CB72" s="1120">
        <f t="shared" si="128"/>
        <v>1</v>
      </c>
      <c r="CC72" s="1120">
        <f t="shared" si="129"/>
        <v>1</v>
      </c>
      <c r="CD72" s="1120">
        <f t="shared" si="130"/>
        <v>1</v>
      </c>
      <c r="CE72" s="1120">
        <f t="shared" si="131"/>
        <v>1</v>
      </c>
      <c r="CF72" s="1120">
        <f t="shared" si="132"/>
        <v>1</v>
      </c>
      <c r="CG72" s="1120">
        <f t="shared" si="133"/>
        <v>1</v>
      </c>
      <c r="CH72" s="1120">
        <f t="shared" si="134"/>
        <v>0</v>
      </c>
      <c r="CI72" s="1120">
        <f t="shared" si="135"/>
        <v>0.85</v>
      </c>
      <c r="CJ72" s="1120">
        <f t="shared" si="136"/>
        <v>0.85</v>
      </c>
      <c r="CK72" s="1120">
        <f t="shared" si="137"/>
        <v>0.85</v>
      </c>
      <c r="CL72" s="1120">
        <f t="shared" si="138"/>
        <v>0.85</v>
      </c>
      <c r="CM72" s="1120">
        <f t="shared" si="139"/>
        <v>0.7</v>
      </c>
      <c r="CN72" s="1120">
        <f t="shared" si="140"/>
        <v>0.7</v>
      </c>
      <c r="CO72" s="1120">
        <f t="shared" si="141"/>
        <v>0.7</v>
      </c>
      <c r="CP72" s="1120">
        <f t="shared" si="142"/>
        <v>0.7</v>
      </c>
      <c r="CQ72" s="1120">
        <f t="shared" si="143"/>
        <v>0.7</v>
      </c>
      <c r="CR72" s="1120">
        <f t="shared" si="144"/>
        <v>0.7</v>
      </c>
      <c r="CS72" s="1120">
        <f t="shared" si="145"/>
        <v>0.85</v>
      </c>
      <c r="CT72" s="1120">
        <f t="shared" si="146"/>
        <v>0.85</v>
      </c>
      <c r="CU72" s="1120">
        <v>1</v>
      </c>
      <c r="CV72" s="1120"/>
      <c r="CW72" s="1120">
        <f t="shared" si="147"/>
        <v>275</v>
      </c>
      <c r="CX72" s="1120">
        <f t="shared" si="148"/>
        <v>90</v>
      </c>
      <c r="CY72" s="1136" t="s">
        <v>4883</v>
      </c>
      <c r="CZ72" s="1129" t="s">
        <v>4884</v>
      </c>
      <c r="DA72" s="1129"/>
      <c r="DB72" s="1129"/>
      <c r="DC72" s="1125" t="s">
        <v>5252</v>
      </c>
      <c r="DD72" s="1125" t="s">
        <v>591</v>
      </c>
      <c r="DE72" s="1120" t="str">
        <f t="shared" si="149"/>
        <v/>
      </c>
      <c r="DF72" s="1133">
        <v>0</v>
      </c>
      <c r="DG72" s="1125">
        <v>0</v>
      </c>
    </row>
    <row r="73" spans="1:111">
      <c r="A73" s="1120" t="s">
        <v>1258</v>
      </c>
      <c r="B73" s="1120" t="s">
        <v>3711</v>
      </c>
      <c r="C73" s="1120" t="s">
        <v>3712</v>
      </c>
      <c r="D73" s="1120" t="s">
        <v>540</v>
      </c>
      <c r="E73" s="1120">
        <v>928</v>
      </c>
      <c r="F73" s="1120">
        <v>-85.25</v>
      </c>
      <c r="G73" s="1120">
        <v>42.3</v>
      </c>
      <c r="H73" s="1120">
        <v>-5</v>
      </c>
      <c r="I73" s="1121">
        <v>6.0800006866455067</v>
      </c>
      <c r="J73" s="1121">
        <v>87.980000686645511</v>
      </c>
      <c r="K73" s="1122">
        <v>73.580000686645505</v>
      </c>
      <c r="L73" s="1120">
        <v>6015.6</v>
      </c>
      <c r="M73" s="1120">
        <v>694.80000000000007</v>
      </c>
      <c r="N73" s="1123">
        <v>23.359999656677246</v>
      </c>
      <c r="O73" s="1123">
        <v>31.1</v>
      </c>
      <c r="P73" s="1123">
        <v>39.379999828338626</v>
      </c>
      <c r="Q73" s="1123">
        <v>51.440000343322751</v>
      </c>
      <c r="R73" s="1123">
        <v>56.119999313354491</v>
      </c>
      <c r="S73" s="1123">
        <v>69.980000686645511</v>
      </c>
      <c r="T73" s="1123">
        <v>68.719999313354492</v>
      </c>
      <c r="U73" s="1123">
        <v>71.060001373291016</v>
      </c>
      <c r="V73" s="1123">
        <v>66.019999313354489</v>
      </c>
      <c r="W73" s="1123">
        <v>52.519999313354489</v>
      </c>
      <c r="X73" s="1123">
        <v>41.9</v>
      </c>
      <c r="Y73" s="1123">
        <v>25.520000171661376</v>
      </c>
      <c r="Z73" s="1123">
        <v>49.830356105125112</v>
      </c>
      <c r="AA73" s="1123">
        <f t="shared" si="75"/>
        <v>46.248293167414701</v>
      </c>
      <c r="AB73" s="1123">
        <f t="shared" si="76"/>
        <v>44.900931722567719</v>
      </c>
      <c r="AC73" s="1123">
        <f t="shared" si="77"/>
        <v>46.402493170562323</v>
      </c>
      <c r="AD73" s="1123">
        <f t="shared" si="78"/>
        <v>50.361572380216352</v>
      </c>
      <c r="AE73" s="1123">
        <f t="shared" si="79"/>
        <v>55.746174344276085</v>
      </c>
      <c r="AF73" s="1123">
        <f t="shared" si="80"/>
        <v>61.152719581581323</v>
      </c>
      <c r="AG73" s="1123">
        <f t="shared" si="81"/>
        <v>65.171908758644335</v>
      </c>
      <c r="AH73" s="1123">
        <f t="shared" si="82"/>
        <v>66.756078278883621</v>
      </c>
      <c r="AI73" s="1123">
        <f t="shared" si="83"/>
        <v>65.492289944057518</v>
      </c>
      <c r="AJ73" s="1123">
        <f t="shared" si="84"/>
        <v>61.709969659206216</v>
      </c>
      <c r="AK73" s="1123">
        <f t="shared" si="85"/>
        <v>56.395037493896133</v>
      </c>
      <c r="AL73" s="1123">
        <f t="shared" si="86"/>
        <v>50.932912422599273</v>
      </c>
      <c r="AM73" s="1120">
        <f t="shared" si="87"/>
        <v>1</v>
      </c>
      <c r="AN73" s="1120">
        <f t="shared" si="88"/>
        <v>1</v>
      </c>
      <c r="AO73" s="1120">
        <f t="shared" si="89"/>
        <v>1</v>
      </c>
      <c r="AP73" s="1120">
        <f t="shared" si="90"/>
        <v>1</v>
      </c>
      <c r="AQ73" s="1120">
        <f t="shared" si="91"/>
        <v>1</v>
      </c>
      <c r="AR73" s="1120">
        <f t="shared" si="92"/>
        <v>0</v>
      </c>
      <c r="AS73" s="1120">
        <f t="shared" si="93"/>
        <v>0</v>
      </c>
      <c r="AT73" s="1120">
        <f t="shared" si="94"/>
        <v>0</v>
      </c>
      <c r="AU73" s="1120">
        <f t="shared" si="95"/>
        <v>0</v>
      </c>
      <c r="AV73" s="1120">
        <f t="shared" si="96"/>
        <v>1</v>
      </c>
      <c r="AW73" s="1120">
        <f t="shared" si="97"/>
        <v>1</v>
      </c>
      <c r="AX73" s="1120">
        <f t="shared" si="98"/>
        <v>1</v>
      </c>
      <c r="AY73" s="1120">
        <f t="shared" si="99"/>
        <v>0</v>
      </c>
      <c r="AZ73" s="1120">
        <f t="shared" si="100"/>
        <v>0</v>
      </c>
      <c r="BA73" s="1120">
        <f t="shared" si="101"/>
        <v>0</v>
      </c>
      <c r="BB73" s="1120">
        <f t="shared" si="102"/>
        <v>0</v>
      </c>
      <c r="BC73" s="1120">
        <f t="shared" si="103"/>
        <v>0</v>
      </c>
      <c r="BD73" s="1120">
        <f t="shared" si="104"/>
        <v>1</v>
      </c>
      <c r="BE73" s="1120">
        <f t="shared" si="105"/>
        <v>1</v>
      </c>
      <c r="BF73" s="1120">
        <f t="shared" si="106"/>
        <v>1</v>
      </c>
      <c r="BG73" s="1120">
        <f t="shared" si="107"/>
        <v>1</v>
      </c>
      <c r="BH73" s="1120">
        <f t="shared" si="108"/>
        <v>0</v>
      </c>
      <c r="BI73" s="1120">
        <f t="shared" si="109"/>
        <v>0</v>
      </c>
      <c r="BJ73" s="1120">
        <f t="shared" si="110"/>
        <v>0</v>
      </c>
      <c r="BK73" s="1120">
        <f t="shared" si="111"/>
        <v>1</v>
      </c>
      <c r="BL73" s="1120">
        <f t="shared" si="112"/>
        <v>1</v>
      </c>
      <c r="BM73" s="1120">
        <f t="shared" si="113"/>
        <v>1</v>
      </c>
      <c r="BN73" s="1120">
        <f t="shared" si="114"/>
        <v>1</v>
      </c>
      <c r="BO73" s="1120">
        <f t="shared" si="115"/>
        <v>1</v>
      </c>
      <c r="BP73" s="1120">
        <f t="shared" si="116"/>
        <v>1</v>
      </c>
      <c r="BQ73" s="1120">
        <f t="shared" si="117"/>
        <v>0</v>
      </c>
      <c r="BR73" s="1120">
        <f t="shared" si="118"/>
        <v>0</v>
      </c>
      <c r="BS73" s="1120">
        <f t="shared" si="119"/>
        <v>0</v>
      </c>
      <c r="BT73" s="1120">
        <f t="shared" si="120"/>
        <v>1</v>
      </c>
      <c r="BU73" s="1120">
        <f t="shared" si="121"/>
        <v>1</v>
      </c>
      <c r="BV73" s="1120">
        <f t="shared" si="122"/>
        <v>1</v>
      </c>
      <c r="BW73" s="1120">
        <f t="shared" si="123"/>
        <v>0</v>
      </c>
      <c r="BX73" s="1120">
        <f t="shared" si="124"/>
        <v>0</v>
      </c>
      <c r="BY73" s="1120">
        <f t="shared" si="125"/>
        <v>0</v>
      </c>
      <c r="BZ73" s="1120">
        <f t="shared" si="126"/>
        <v>0</v>
      </c>
      <c r="CA73" s="1120">
        <f t="shared" si="127"/>
        <v>1</v>
      </c>
      <c r="CB73" s="1120">
        <f t="shared" si="128"/>
        <v>1</v>
      </c>
      <c r="CC73" s="1120">
        <f t="shared" si="129"/>
        <v>1</v>
      </c>
      <c r="CD73" s="1120">
        <f t="shared" si="130"/>
        <v>1</v>
      </c>
      <c r="CE73" s="1120">
        <f t="shared" si="131"/>
        <v>1</v>
      </c>
      <c r="CF73" s="1120">
        <f t="shared" si="132"/>
        <v>1</v>
      </c>
      <c r="CG73" s="1120">
        <f t="shared" si="133"/>
        <v>0</v>
      </c>
      <c r="CH73" s="1120">
        <f t="shared" si="134"/>
        <v>0</v>
      </c>
      <c r="CI73" s="1120">
        <f t="shared" si="135"/>
        <v>0.85</v>
      </c>
      <c r="CJ73" s="1120">
        <f t="shared" si="136"/>
        <v>0.85</v>
      </c>
      <c r="CK73" s="1120">
        <f t="shared" si="137"/>
        <v>0.85</v>
      </c>
      <c r="CL73" s="1120">
        <f t="shared" si="138"/>
        <v>0.85</v>
      </c>
      <c r="CM73" s="1120">
        <f t="shared" si="139"/>
        <v>0.85</v>
      </c>
      <c r="CN73" s="1120">
        <f t="shared" si="140"/>
        <v>0.85</v>
      </c>
      <c r="CO73" s="1120">
        <f t="shared" si="141"/>
        <v>0.7</v>
      </c>
      <c r="CP73" s="1120">
        <f t="shared" si="142"/>
        <v>0.7</v>
      </c>
      <c r="CQ73" s="1120">
        <f t="shared" si="143"/>
        <v>0.7</v>
      </c>
      <c r="CR73" s="1120">
        <f t="shared" si="144"/>
        <v>0.85</v>
      </c>
      <c r="CS73" s="1120">
        <f t="shared" si="145"/>
        <v>0.85</v>
      </c>
      <c r="CT73" s="1120">
        <f t="shared" si="146"/>
        <v>0.85</v>
      </c>
      <c r="CU73" s="1120">
        <v>1</v>
      </c>
      <c r="CV73" s="1120"/>
      <c r="CW73" s="1120">
        <f t="shared" si="147"/>
        <v>184</v>
      </c>
      <c r="CX73" s="1120">
        <f t="shared" si="148"/>
        <v>181</v>
      </c>
      <c r="CY73" s="1135" t="s">
        <v>4889</v>
      </c>
      <c r="CZ73" s="1124" t="s">
        <v>4897</v>
      </c>
      <c r="DA73" s="1124"/>
      <c r="DB73" s="1124"/>
      <c r="DC73" s="1120" t="s">
        <v>5297</v>
      </c>
      <c r="DD73" s="1120" t="s">
        <v>540</v>
      </c>
      <c r="DE73" s="1120" t="str">
        <f t="shared" si="149"/>
        <v/>
      </c>
      <c r="DF73" s="1133">
        <v>0</v>
      </c>
      <c r="DG73" s="1120">
        <v>0</v>
      </c>
    </row>
    <row r="74" spans="1:111">
      <c r="A74" s="1125" t="s">
        <v>2992</v>
      </c>
      <c r="B74" s="1125" t="s">
        <v>3769</v>
      </c>
      <c r="C74" s="1125" t="s">
        <v>3770</v>
      </c>
      <c r="D74" s="1125" t="s">
        <v>934</v>
      </c>
      <c r="E74" s="1125">
        <v>1082</v>
      </c>
      <c r="F74" s="1125">
        <v>-94.6</v>
      </c>
      <c r="G74" s="1125">
        <v>48.72</v>
      </c>
      <c r="H74" s="1125">
        <v>-6</v>
      </c>
      <c r="I74" s="1126">
        <v>-19.119999313354494</v>
      </c>
      <c r="J74" s="1126">
        <v>82.219999313354492</v>
      </c>
      <c r="K74" s="1127">
        <v>68.719999313354492</v>
      </c>
      <c r="L74" s="1125">
        <v>8508.6</v>
      </c>
      <c r="M74" s="1125">
        <v>160.20000000000002</v>
      </c>
      <c r="N74" s="1128">
        <v>14.180000686645508</v>
      </c>
      <c r="O74" s="1128">
        <v>17.419999313354491</v>
      </c>
      <c r="P74" s="1128">
        <v>25.160000085830688</v>
      </c>
      <c r="Q74" s="1128">
        <v>45.679999828338623</v>
      </c>
      <c r="R74" s="1128">
        <v>54.680000686645506</v>
      </c>
      <c r="S74" s="1128">
        <v>64.580000686645505</v>
      </c>
      <c r="T74" s="1128">
        <v>62.6</v>
      </c>
      <c r="U74" s="1128">
        <v>66.2</v>
      </c>
      <c r="V74" s="1128">
        <v>57.380000686645509</v>
      </c>
      <c r="W74" s="1128">
        <v>41.720000171661376</v>
      </c>
      <c r="X74" s="1128">
        <v>28.580000042915344</v>
      </c>
      <c r="Y74" s="1128">
        <v>18.679999828338623</v>
      </c>
      <c r="Z74" s="1128">
        <v>41.518301543405613</v>
      </c>
      <c r="AA74" s="1128">
        <f t="shared" si="75"/>
        <v>39.720398904204913</v>
      </c>
      <c r="AB74" s="1128">
        <f t="shared" si="76"/>
        <v>37.840563742227303</v>
      </c>
      <c r="AC74" s="1128">
        <f t="shared" si="77"/>
        <v>38.48338007658073</v>
      </c>
      <c r="AD74" s="1128">
        <f t="shared" si="78"/>
        <v>41.481287923616385</v>
      </c>
      <c r="AE74" s="1128">
        <f t="shared" si="79"/>
        <v>46.052836403846079</v>
      </c>
      <c r="AF74" s="1128">
        <f t="shared" si="80"/>
        <v>51.006380956203365</v>
      </c>
      <c r="AG74" s="1128">
        <f t="shared" si="81"/>
        <v>55.050703856684073</v>
      </c>
      <c r="AH74" s="1128">
        <f t="shared" si="82"/>
        <v>57.131590016375455</v>
      </c>
      <c r="AI74" s="1128">
        <f t="shared" si="83"/>
        <v>56.706624390327562</v>
      </c>
      <c r="AJ74" s="1128">
        <f t="shared" si="84"/>
        <v>53.886580817888309</v>
      </c>
      <c r="AK74" s="1128">
        <f t="shared" si="85"/>
        <v>49.406547114400901</v>
      </c>
      <c r="AL74" s="1128">
        <f t="shared" si="86"/>
        <v>44.434313104088503</v>
      </c>
      <c r="AM74" s="1125">
        <f t="shared" si="87"/>
        <v>1</v>
      </c>
      <c r="AN74" s="1125">
        <f t="shared" si="88"/>
        <v>1</v>
      </c>
      <c r="AO74" s="1125">
        <f t="shared" si="89"/>
        <v>1</v>
      </c>
      <c r="AP74" s="1125">
        <f t="shared" si="90"/>
        <v>1</v>
      </c>
      <c r="AQ74" s="1125">
        <f t="shared" si="91"/>
        <v>1</v>
      </c>
      <c r="AR74" s="1125">
        <f t="shared" si="92"/>
        <v>1</v>
      </c>
      <c r="AS74" s="1125">
        <f t="shared" si="93"/>
        <v>1</v>
      </c>
      <c r="AT74" s="1125">
        <f t="shared" si="94"/>
        <v>0</v>
      </c>
      <c r="AU74" s="1125">
        <f t="shared" si="95"/>
        <v>1</v>
      </c>
      <c r="AV74" s="1125">
        <f t="shared" si="96"/>
        <v>1</v>
      </c>
      <c r="AW74" s="1125">
        <f t="shared" si="97"/>
        <v>1</v>
      </c>
      <c r="AX74" s="1125">
        <f t="shared" si="98"/>
        <v>1</v>
      </c>
      <c r="AY74" s="1125">
        <f t="shared" si="99"/>
        <v>0</v>
      </c>
      <c r="AZ74" s="1125">
        <f t="shared" si="100"/>
        <v>0</v>
      </c>
      <c r="BA74" s="1125">
        <f t="shared" si="101"/>
        <v>0</v>
      </c>
      <c r="BB74" s="1125">
        <f t="shared" si="102"/>
        <v>0</v>
      </c>
      <c r="BC74" s="1125">
        <f t="shared" si="103"/>
        <v>0</v>
      </c>
      <c r="BD74" s="1125">
        <f t="shared" si="104"/>
        <v>0</v>
      </c>
      <c r="BE74" s="1125">
        <f t="shared" si="105"/>
        <v>1</v>
      </c>
      <c r="BF74" s="1125">
        <f t="shared" si="106"/>
        <v>1</v>
      </c>
      <c r="BG74" s="1125">
        <f t="shared" si="107"/>
        <v>0</v>
      </c>
      <c r="BH74" s="1125">
        <f t="shared" si="108"/>
        <v>0</v>
      </c>
      <c r="BI74" s="1125">
        <f t="shared" si="109"/>
        <v>0</v>
      </c>
      <c r="BJ74" s="1125">
        <f t="shared" si="110"/>
        <v>0</v>
      </c>
      <c r="BK74" s="1125">
        <f t="shared" si="111"/>
        <v>1</v>
      </c>
      <c r="BL74" s="1125">
        <f t="shared" si="112"/>
        <v>1</v>
      </c>
      <c r="BM74" s="1125">
        <f t="shared" si="113"/>
        <v>1</v>
      </c>
      <c r="BN74" s="1125">
        <f t="shared" si="114"/>
        <v>1</v>
      </c>
      <c r="BO74" s="1125">
        <f t="shared" si="115"/>
        <v>1</v>
      </c>
      <c r="BP74" s="1125">
        <f t="shared" si="116"/>
        <v>1</v>
      </c>
      <c r="BQ74" s="1125">
        <f t="shared" si="117"/>
        <v>1</v>
      </c>
      <c r="BR74" s="1125">
        <f t="shared" si="118"/>
        <v>0</v>
      </c>
      <c r="BS74" s="1125">
        <f t="shared" si="119"/>
        <v>1</v>
      </c>
      <c r="BT74" s="1125">
        <f t="shared" si="120"/>
        <v>1</v>
      </c>
      <c r="BU74" s="1125">
        <f t="shared" si="121"/>
        <v>1</v>
      </c>
      <c r="BV74" s="1125">
        <f t="shared" si="122"/>
        <v>1</v>
      </c>
      <c r="BW74" s="1125">
        <f t="shared" si="123"/>
        <v>0</v>
      </c>
      <c r="BX74" s="1125">
        <f t="shared" si="124"/>
        <v>0</v>
      </c>
      <c r="BY74" s="1125">
        <f t="shared" si="125"/>
        <v>0</v>
      </c>
      <c r="BZ74" s="1125">
        <f t="shared" si="126"/>
        <v>0</v>
      </c>
      <c r="CA74" s="1125">
        <f t="shared" si="127"/>
        <v>0</v>
      </c>
      <c r="CB74" s="1125">
        <f t="shared" si="128"/>
        <v>0</v>
      </c>
      <c r="CC74" s="1125">
        <f t="shared" si="129"/>
        <v>1</v>
      </c>
      <c r="CD74" s="1125">
        <f t="shared" si="130"/>
        <v>1</v>
      </c>
      <c r="CE74" s="1125">
        <f t="shared" si="131"/>
        <v>1</v>
      </c>
      <c r="CF74" s="1125">
        <f t="shared" si="132"/>
        <v>0</v>
      </c>
      <c r="CG74" s="1125">
        <f t="shared" si="133"/>
        <v>0</v>
      </c>
      <c r="CH74" s="1125">
        <f t="shared" si="134"/>
        <v>0</v>
      </c>
      <c r="CI74" s="1125">
        <f t="shared" si="135"/>
        <v>0.85</v>
      </c>
      <c r="CJ74" s="1125">
        <f t="shared" si="136"/>
        <v>0.85</v>
      </c>
      <c r="CK74" s="1125">
        <f t="shared" si="137"/>
        <v>0.85</v>
      </c>
      <c r="CL74" s="1125">
        <f t="shared" si="138"/>
        <v>0.85</v>
      </c>
      <c r="CM74" s="1125">
        <f t="shared" si="139"/>
        <v>0.85</v>
      </c>
      <c r="CN74" s="1125">
        <f t="shared" si="140"/>
        <v>0.85</v>
      </c>
      <c r="CO74" s="1125">
        <f t="shared" si="141"/>
        <v>0.85</v>
      </c>
      <c r="CP74" s="1125">
        <f t="shared" si="142"/>
        <v>0.7</v>
      </c>
      <c r="CQ74" s="1125">
        <f t="shared" si="143"/>
        <v>0.85</v>
      </c>
      <c r="CR74" s="1125">
        <f t="shared" si="144"/>
        <v>0.85</v>
      </c>
      <c r="CS74" s="1125">
        <f t="shared" si="145"/>
        <v>0.85</v>
      </c>
      <c r="CT74" s="1125">
        <f t="shared" si="146"/>
        <v>0.85</v>
      </c>
      <c r="CU74" s="1125">
        <v>1</v>
      </c>
      <c r="CV74" s="1125"/>
      <c r="CW74" s="1125">
        <f t="shared" si="147"/>
        <v>92</v>
      </c>
      <c r="CX74" s="1125">
        <f t="shared" si="148"/>
        <v>273</v>
      </c>
      <c r="CY74" s="1136" t="s">
        <v>4879</v>
      </c>
      <c r="CZ74" s="1129">
        <v>7</v>
      </c>
      <c r="DA74" s="1129"/>
      <c r="DB74" s="1129"/>
      <c r="DC74" s="1125" t="s">
        <v>5322</v>
      </c>
      <c r="DD74" s="1125" t="s">
        <v>934</v>
      </c>
      <c r="DE74" s="1120" t="str">
        <f t="shared" si="149"/>
        <v/>
      </c>
      <c r="DF74" s="1133">
        <v>0</v>
      </c>
      <c r="DG74" s="1125">
        <v>0</v>
      </c>
    </row>
    <row r="75" spans="1:111">
      <c r="A75" s="1120" t="s">
        <v>2994</v>
      </c>
      <c r="B75" s="1125" t="s">
        <v>3088</v>
      </c>
      <c r="C75" s="1125" t="s">
        <v>3089</v>
      </c>
      <c r="D75" s="1125" t="s">
        <v>954</v>
      </c>
      <c r="E75" s="1125">
        <v>125</v>
      </c>
      <c r="F75" s="1125">
        <v>-121.43</v>
      </c>
      <c r="G75" s="1125">
        <v>39.130000000000003</v>
      </c>
      <c r="H75" s="1125">
        <v>-8</v>
      </c>
      <c r="I75" s="1126">
        <v>34.519999957084657</v>
      </c>
      <c r="J75" s="1126">
        <v>98.060001373291016</v>
      </c>
      <c r="K75" s="1127">
        <v>69.260001373291018</v>
      </c>
      <c r="L75" s="1125">
        <v>2615.4</v>
      </c>
      <c r="M75" s="1125">
        <v>1854</v>
      </c>
      <c r="N75" s="1128">
        <v>46.940000343322751</v>
      </c>
      <c r="O75" s="1128">
        <v>50.180000686645506</v>
      </c>
      <c r="P75" s="1128">
        <v>57.380000686645509</v>
      </c>
      <c r="Q75" s="1128">
        <v>58.819999313354494</v>
      </c>
      <c r="R75" s="1128">
        <v>66.739998626708982</v>
      </c>
      <c r="S75" s="1128">
        <v>75.380000686645502</v>
      </c>
      <c r="T75" s="1128">
        <v>82.939998626708984</v>
      </c>
      <c r="U75" s="1128">
        <v>77.539998626708979</v>
      </c>
      <c r="V75" s="1128">
        <v>74.480000686645511</v>
      </c>
      <c r="W75" s="1128">
        <v>64.400000000000006</v>
      </c>
      <c r="X75" s="1128">
        <v>48.740000343322755</v>
      </c>
      <c r="Y75" s="1128">
        <v>43.340000343322757</v>
      </c>
      <c r="Z75" s="1128">
        <v>62.315945109537203</v>
      </c>
      <c r="AA75" s="1128">
        <f t="shared" si="75"/>
        <v>57.242048427685745</v>
      </c>
      <c r="AB75" s="1128">
        <f t="shared" si="76"/>
        <v>57.071226380110666</v>
      </c>
      <c r="AC75" s="1128">
        <f t="shared" si="77"/>
        <v>59.831513555721571</v>
      </c>
      <c r="AD75" s="1128">
        <f t="shared" si="78"/>
        <v>64.803398564882514</v>
      </c>
      <c r="AE75" s="1128">
        <f t="shared" si="79"/>
        <v>70.690882960888445</v>
      </c>
      <c r="AF75" s="1128">
        <f t="shared" si="80"/>
        <v>75.959303207039554</v>
      </c>
      <c r="AG75" s="1128">
        <f t="shared" si="81"/>
        <v>79.235364377362998</v>
      </c>
      <c r="AH75" s="1128">
        <f t="shared" si="82"/>
        <v>79.665110642183137</v>
      </c>
      <c r="AI75" s="1128">
        <f t="shared" si="83"/>
        <v>77.136522014984195</v>
      </c>
      <c r="AJ75" s="1128">
        <f t="shared" si="84"/>
        <v>72.308714088175847</v>
      </c>
      <c r="AK75" s="1128">
        <f t="shared" si="85"/>
        <v>66.440129396652864</v>
      </c>
      <c r="AL75" s="1128">
        <f t="shared" si="86"/>
        <v>61.060504977888343</v>
      </c>
      <c r="AM75" s="1125">
        <f t="shared" si="87"/>
        <v>1</v>
      </c>
      <c r="AN75" s="1125">
        <f t="shared" si="88"/>
        <v>1</v>
      </c>
      <c r="AO75" s="1125">
        <f t="shared" si="89"/>
        <v>1</v>
      </c>
      <c r="AP75" s="1125">
        <f t="shared" si="90"/>
        <v>1</v>
      </c>
      <c r="AQ75" s="1125">
        <f t="shared" si="91"/>
        <v>0</v>
      </c>
      <c r="AR75" s="1125">
        <f t="shared" si="92"/>
        <v>0</v>
      </c>
      <c r="AS75" s="1125">
        <f t="shared" si="93"/>
        <v>0</v>
      </c>
      <c r="AT75" s="1125">
        <f t="shared" si="94"/>
        <v>0</v>
      </c>
      <c r="AU75" s="1125">
        <f t="shared" si="95"/>
        <v>0</v>
      </c>
      <c r="AV75" s="1125">
        <f t="shared" si="96"/>
        <v>1</v>
      </c>
      <c r="AW75" s="1125">
        <f t="shared" si="97"/>
        <v>1</v>
      </c>
      <c r="AX75" s="1125">
        <f t="shared" si="98"/>
        <v>1</v>
      </c>
      <c r="AY75" s="1125">
        <f t="shared" si="99"/>
        <v>0</v>
      </c>
      <c r="AZ75" s="1125">
        <f t="shared" si="100"/>
        <v>0</v>
      </c>
      <c r="BA75" s="1125">
        <f t="shared" si="101"/>
        <v>0</v>
      </c>
      <c r="BB75" s="1125">
        <f t="shared" si="102"/>
        <v>0</v>
      </c>
      <c r="BC75" s="1125">
        <f t="shared" si="103"/>
        <v>1</v>
      </c>
      <c r="BD75" s="1125">
        <f t="shared" si="104"/>
        <v>1</v>
      </c>
      <c r="BE75" s="1125">
        <f t="shared" si="105"/>
        <v>1</v>
      </c>
      <c r="BF75" s="1125">
        <f t="shared" si="106"/>
        <v>1</v>
      </c>
      <c r="BG75" s="1125">
        <f t="shared" si="107"/>
        <v>1</v>
      </c>
      <c r="BH75" s="1125">
        <f t="shared" si="108"/>
        <v>0</v>
      </c>
      <c r="BI75" s="1125">
        <f t="shared" si="109"/>
        <v>0</v>
      </c>
      <c r="BJ75" s="1125">
        <f t="shared" si="110"/>
        <v>0</v>
      </c>
      <c r="BK75" s="1125">
        <f t="shared" si="111"/>
        <v>1</v>
      </c>
      <c r="BL75" s="1125">
        <f t="shared" si="112"/>
        <v>1</v>
      </c>
      <c r="BM75" s="1125">
        <f t="shared" si="113"/>
        <v>1</v>
      </c>
      <c r="BN75" s="1125">
        <f t="shared" si="114"/>
        <v>1</v>
      </c>
      <c r="BO75" s="1125">
        <f t="shared" si="115"/>
        <v>1</v>
      </c>
      <c r="BP75" s="1125">
        <f t="shared" si="116"/>
        <v>0</v>
      </c>
      <c r="BQ75" s="1125">
        <f t="shared" si="117"/>
        <v>0</v>
      </c>
      <c r="BR75" s="1125">
        <f t="shared" si="118"/>
        <v>0</v>
      </c>
      <c r="BS75" s="1125">
        <f t="shared" si="119"/>
        <v>0</v>
      </c>
      <c r="BT75" s="1125">
        <f t="shared" si="120"/>
        <v>1</v>
      </c>
      <c r="BU75" s="1125">
        <f t="shared" si="121"/>
        <v>1</v>
      </c>
      <c r="BV75" s="1125">
        <f t="shared" si="122"/>
        <v>1</v>
      </c>
      <c r="BW75" s="1125">
        <f t="shared" si="123"/>
        <v>0</v>
      </c>
      <c r="BX75" s="1125">
        <f t="shared" si="124"/>
        <v>0</v>
      </c>
      <c r="BY75" s="1125">
        <f t="shared" si="125"/>
        <v>0</v>
      </c>
      <c r="BZ75" s="1125">
        <f t="shared" si="126"/>
        <v>1</v>
      </c>
      <c r="CA75" s="1125">
        <f t="shared" si="127"/>
        <v>1</v>
      </c>
      <c r="CB75" s="1125">
        <f t="shared" si="128"/>
        <v>1</v>
      </c>
      <c r="CC75" s="1125">
        <f t="shared" si="129"/>
        <v>1</v>
      </c>
      <c r="CD75" s="1125">
        <f t="shared" si="130"/>
        <v>1</v>
      </c>
      <c r="CE75" s="1125">
        <f t="shared" si="131"/>
        <v>1</v>
      </c>
      <c r="CF75" s="1125">
        <f t="shared" si="132"/>
        <v>1</v>
      </c>
      <c r="CG75" s="1125">
        <f t="shared" si="133"/>
        <v>0</v>
      </c>
      <c r="CH75" s="1125">
        <f t="shared" si="134"/>
        <v>0</v>
      </c>
      <c r="CI75" s="1125">
        <f t="shared" si="135"/>
        <v>0.85</v>
      </c>
      <c r="CJ75" s="1125">
        <f t="shared" si="136"/>
        <v>0.85</v>
      </c>
      <c r="CK75" s="1125">
        <f t="shared" si="137"/>
        <v>0.85</v>
      </c>
      <c r="CL75" s="1125">
        <f t="shared" si="138"/>
        <v>0.85</v>
      </c>
      <c r="CM75" s="1125">
        <f t="shared" si="139"/>
        <v>0.85</v>
      </c>
      <c r="CN75" s="1125">
        <f t="shared" si="140"/>
        <v>0.7</v>
      </c>
      <c r="CO75" s="1125">
        <f t="shared" si="141"/>
        <v>0.7</v>
      </c>
      <c r="CP75" s="1125">
        <f t="shared" si="142"/>
        <v>0.7</v>
      </c>
      <c r="CQ75" s="1125">
        <f t="shared" si="143"/>
        <v>0.7</v>
      </c>
      <c r="CR75" s="1125">
        <f t="shared" si="144"/>
        <v>0.85</v>
      </c>
      <c r="CS75" s="1125">
        <f t="shared" si="145"/>
        <v>0.85</v>
      </c>
      <c r="CT75" s="1125">
        <f t="shared" si="146"/>
        <v>0.85</v>
      </c>
      <c r="CU75" s="1125">
        <v>1</v>
      </c>
      <c r="CV75" s="1125"/>
      <c r="CW75" s="1125">
        <f t="shared" si="147"/>
        <v>214</v>
      </c>
      <c r="CX75" s="1125">
        <f t="shared" si="148"/>
        <v>151</v>
      </c>
      <c r="CY75" s="1136" t="s">
        <v>4886</v>
      </c>
      <c r="CZ75" s="1129" t="s">
        <v>4888</v>
      </c>
      <c r="DA75" s="1129"/>
      <c r="DB75" s="1129"/>
      <c r="DC75" s="1125" t="s">
        <v>5942</v>
      </c>
      <c r="DD75" s="1125" t="s">
        <v>954</v>
      </c>
      <c r="DE75" s="1125" t="b">
        <f t="shared" si="149"/>
        <v>0</v>
      </c>
      <c r="DF75" s="1125">
        <v>0</v>
      </c>
      <c r="DG75" s="1120">
        <v>0</v>
      </c>
    </row>
    <row r="76" spans="1:111">
      <c r="A76" s="1125" t="s">
        <v>62</v>
      </c>
      <c r="B76" s="1125" t="s">
        <v>3992</v>
      </c>
      <c r="C76" s="1125" t="s">
        <v>3993</v>
      </c>
      <c r="D76" s="1125" t="s">
        <v>771</v>
      </c>
      <c r="E76" s="1125">
        <v>1322</v>
      </c>
      <c r="F76" s="1125">
        <v>-96.75</v>
      </c>
      <c r="G76" s="1125">
        <v>40.299999999999997</v>
      </c>
      <c r="H76" s="1125">
        <v>-6</v>
      </c>
      <c r="I76" s="1126">
        <v>2.8399986267089838</v>
      </c>
      <c r="J76" s="1126">
        <v>93.379997253417969</v>
      </c>
      <c r="K76" s="1127">
        <v>73.580000686645505</v>
      </c>
      <c r="L76" s="1125">
        <v>5506.2</v>
      </c>
      <c r="M76" s="1125">
        <v>1175.4000000000001</v>
      </c>
      <c r="N76" s="1128">
        <v>27.320000171661377</v>
      </c>
      <c r="O76" s="1128">
        <v>26.23999991416931</v>
      </c>
      <c r="P76" s="1128">
        <v>44.959999656677248</v>
      </c>
      <c r="Q76" s="1128">
        <v>56.840000343322757</v>
      </c>
      <c r="R76" s="1128">
        <v>59.719999313354492</v>
      </c>
      <c r="S76" s="1128">
        <v>68.900000000000006</v>
      </c>
      <c r="T76" s="1128">
        <v>80.780000686645508</v>
      </c>
      <c r="U76" s="1128">
        <v>74.119999313354498</v>
      </c>
      <c r="V76" s="1128">
        <v>63.139998626708987</v>
      </c>
      <c r="W76" s="1128">
        <v>54.319999313354494</v>
      </c>
      <c r="X76" s="1128">
        <v>42.620000171661374</v>
      </c>
      <c r="Y76" s="1128">
        <v>29.839999914169312</v>
      </c>
      <c r="Z76" s="1128">
        <v>52.555013482995228</v>
      </c>
      <c r="AA76" s="1128">
        <f t="shared" si="75"/>
        <v>46.661707820171827</v>
      </c>
      <c r="AB76" s="1128">
        <f t="shared" si="76"/>
        <v>45.338832192718954</v>
      </c>
      <c r="AC76" s="1128">
        <f t="shared" si="77"/>
        <v>47.460957886095237</v>
      </c>
      <c r="AD76" s="1128">
        <f t="shared" si="78"/>
        <v>52.474920135375299</v>
      </c>
      <c r="AE76" s="1128">
        <f t="shared" si="79"/>
        <v>59.073752412787179</v>
      </c>
      <c r="AF76" s="1128">
        <f t="shared" si="80"/>
        <v>65.537367394139892</v>
      </c>
      <c r="AG76" s="1128">
        <f t="shared" si="81"/>
        <v>70.180924227221922</v>
      </c>
      <c r="AH76" s="1128">
        <f t="shared" si="82"/>
        <v>71.794008264113543</v>
      </c>
      <c r="AI76" s="1128">
        <f t="shared" si="83"/>
        <v>69.956144292221495</v>
      </c>
      <c r="AJ76" s="1128">
        <f t="shared" si="84"/>
        <v>65.146399878160551</v>
      </c>
      <c r="AK76" s="1128">
        <f t="shared" si="85"/>
        <v>58.618509023860724</v>
      </c>
      <c r="AL76" s="1128">
        <f t="shared" si="86"/>
        <v>52.074067078338423</v>
      </c>
      <c r="AM76" s="1125">
        <f t="shared" si="87"/>
        <v>1</v>
      </c>
      <c r="AN76" s="1125">
        <f t="shared" si="88"/>
        <v>1</v>
      </c>
      <c r="AO76" s="1125">
        <f t="shared" si="89"/>
        <v>1</v>
      </c>
      <c r="AP76" s="1125">
        <f t="shared" si="90"/>
        <v>1</v>
      </c>
      <c r="AQ76" s="1125">
        <f t="shared" si="91"/>
        <v>1</v>
      </c>
      <c r="AR76" s="1125">
        <f t="shared" si="92"/>
        <v>0</v>
      </c>
      <c r="AS76" s="1125">
        <f t="shared" si="93"/>
        <v>0</v>
      </c>
      <c r="AT76" s="1125">
        <f t="shared" si="94"/>
        <v>0</v>
      </c>
      <c r="AU76" s="1125">
        <f t="shared" si="95"/>
        <v>1</v>
      </c>
      <c r="AV76" s="1125">
        <f t="shared" si="96"/>
        <v>1</v>
      </c>
      <c r="AW76" s="1125">
        <f t="shared" si="97"/>
        <v>1</v>
      </c>
      <c r="AX76" s="1125">
        <f t="shared" si="98"/>
        <v>1</v>
      </c>
      <c r="AY76" s="1125">
        <f t="shared" si="99"/>
        <v>0</v>
      </c>
      <c r="AZ76" s="1125">
        <f t="shared" si="100"/>
        <v>0</v>
      </c>
      <c r="BA76" s="1125">
        <f t="shared" si="101"/>
        <v>0</v>
      </c>
      <c r="BB76" s="1125">
        <f t="shared" si="102"/>
        <v>0</v>
      </c>
      <c r="BC76" s="1125">
        <f t="shared" si="103"/>
        <v>0</v>
      </c>
      <c r="BD76" s="1125">
        <f t="shared" si="104"/>
        <v>1</v>
      </c>
      <c r="BE76" s="1125">
        <f t="shared" si="105"/>
        <v>1</v>
      </c>
      <c r="BF76" s="1125">
        <f t="shared" si="106"/>
        <v>1</v>
      </c>
      <c r="BG76" s="1125">
        <f t="shared" si="107"/>
        <v>0</v>
      </c>
      <c r="BH76" s="1125">
        <f t="shared" si="108"/>
        <v>0</v>
      </c>
      <c r="BI76" s="1125">
        <f t="shared" si="109"/>
        <v>0</v>
      </c>
      <c r="BJ76" s="1125">
        <f t="shared" si="110"/>
        <v>0</v>
      </c>
      <c r="BK76" s="1125">
        <f t="shared" si="111"/>
        <v>1</v>
      </c>
      <c r="BL76" s="1125">
        <f t="shared" si="112"/>
        <v>1</v>
      </c>
      <c r="BM76" s="1125">
        <f t="shared" si="113"/>
        <v>1</v>
      </c>
      <c r="BN76" s="1125">
        <f t="shared" si="114"/>
        <v>1</v>
      </c>
      <c r="BO76" s="1125">
        <f t="shared" si="115"/>
        <v>1</v>
      </c>
      <c r="BP76" s="1125">
        <f t="shared" si="116"/>
        <v>1</v>
      </c>
      <c r="BQ76" s="1125">
        <f t="shared" si="117"/>
        <v>0</v>
      </c>
      <c r="BR76" s="1125">
        <f t="shared" si="118"/>
        <v>0</v>
      </c>
      <c r="BS76" s="1125">
        <f t="shared" si="119"/>
        <v>1</v>
      </c>
      <c r="BT76" s="1125">
        <f t="shared" si="120"/>
        <v>1</v>
      </c>
      <c r="BU76" s="1125">
        <f t="shared" si="121"/>
        <v>1</v>
      </c>
      <c r="BV76" s="1125">
        <f t="shared" si="122"/>
        <v>1</v>
      </c>
      <c r="BW76" s="1125">
        <f t="shared" si="123"/>
        <v>0</v>
      </c>
      <c r="BX76" s="1125">
        <f t="shared" si="124"/>
        <v>0</v>
      </c>
      <c r="BY76" s="1125">
        <f t="shared" si="125"/>
        <v>0</v>
      </c>
      <c r="BZ76" s="1125">
        <f t="shared" si="126"/>
        <v>0</v>
      </c>
      <c r="CA76" s="1125">
        <f t="shared" si="127"/>
        <v>1</v>
      </c>
      <c r="CB76" s="1125">
        <f t="shared" si="128"/>
        <v>1</v>
      </c>
      <c r="CC76" s="1125">
        <f t="shared" si="129"/>
        <v>1</v>
      </c>
      <c r="CD76" s="1125">
        <f t="shared" si="130"/>
        <v>1</v>
      </c>
      <c r="CE76" s="1125">
        <f t="shared" si="131"/>
        <v>1</v>
      </c>
      <c r="CF76" s="1125">
        <f t="shared" si="132"/>
        <v>0</v>
      </c>
      <c r="CG76" s="1125">
        <f t="shared" si="133"/>
        <v>0</v>
      </c>
      <c r="CH76" s="1125">
        <f t="shared" si="134"/>
        <v>0</v>
      </c>
      <c r="CI76" s="1125">
        <f t="shared" si="135"/>
        <v>0.85</v>
      </c>
      <c r="CJ76" s="1125">
        <f t="shared" si="136"/>
        <v>0.85</v>
      </c>
      <c r="CK76" s="1125">
        <f t="shared" si="137"/>
        <v>0.85</v>
      </c>
      <c r="CL76" s="1125">
        <f t="shared" si="138"/>
        <v>0.85</v>
      </c>
      <c r="CM76" s="1125">
        <f t="shared" si="139"/>
        <v>0.85</v>
      </c>
      <c r="CN76" s="1125">
        <f t="shared" si="140"/>
        <v>0.85</v>
      </c>
      <c r="CO76" s="1125">
        <f t="shared" si="141"/>
        <v>0.7</v>
      </c>
      <c r="CP76" s="1125">
        <f t="shared" si="142"/>
        <v>0.7</v>
      </c>
      <c r="CQ76" s="1125">
        <f t="shared" si="143"/>
        <v>0.85</v>
      </c>
      <c r="CR76" s="1125">
        <f t="shared" si="144"/>
        <v>0.85</v>
      </c>
      <c r="CS76" s="1125">
        <f t="shared" si="145"/>
        <v>0.85</v>
      </c>
      <c r="CT76" s="1125">
        <f t="shared" si="146"/>
        <v>0.85</v>
      </c>
      <c r="CU76" s="1125">
        <v>1</v>
      </c>
      <c r="CV76" s="1125"/>
      <c r="CW76" s="1125">
        <f t="shared" si="147"/>
        <v>153</v>
      </c>
      <c r="CX76" s="1125">
        <f t="shared" si="148"/>
        <v>212</v>
      </c>
      <c r="CY76" s="1136" t="s">
        <v>4889</v>
      </c>
      <c r="CZ76" s="1129" t="s">
        <v>4897</v>
      </c>
      <c r="DA76" s="1129"/>
      <c r="DB76" s="1129"/>
      <c r="DC76" s="1125" t="s">
        <v>5413</v>
      </c>
      <c r="DD76" s="1125" t="s">
        <v>771</v>
      </c>
      <c r="DE76" s="1120" t="str">
        <f t="shared" si="149"/>
        <v/>
      </c>
      <c r="DF76" s="1133">
        <v>0</v>
      </c>
      <c r="DG76" s="1125">
        <v>0</v>
      </c>
    </row>
    <row r="77" spans="1:111">
      <c r="A77" s="1120" t="s">
        <v>64</v>
      </c>
      <c r="B77" s="1125" t="s">
        <v>4298</v>
      </c>
      <c r="C77" s="1125" t="s">
        <v>4299</v>
      </c>
      <c r="D77" s="1125" t="s">
        <v>512</v>
      </c>
      <c r="E77" s="1125">
        <v>33</v>
      </c>
      <c r="F77" s="1125">
        <v>-80.72</v>
      </c>
      <c r="G77" s="1125">
        <v>32.479999999999997</v>
      </c>
      <c r="H77" s="1125">
        <v>-5</v>
      </c>
      <c r="I77" s="1126">
        <v>31.1</v>
      </c>
      <c r="J77" s="1126">
        <v>92.660001373291024</v>
      </c>
      <c r="K77" s="1127">
        <v>77.719999313354492</v>
      </c>
      <c r="L77" s="1125">
        <v>2050.2000000000003</v>
      </c>
      <c r="M77" s="1125">
        <v>2170.8000000000002</v>
      </c>
      <c r="N77" s="1128">
        <v>46.940000343322751</v>
      </c>
      <c r="O77" s="1128">
        <v>51.980000686645511</v>
      </c>
      <c r="P77" s="1128">
        <v>55.940000343322751</v>
      </c>
      <c r="Q77" s="1128">
        <v>65.3</v>
      </c>
      <c r="R77" s="1128">
        <v>71.960001373291021</v>
      </c>
      <c r="S77" s="1128">
        <v>78.260001373291018</v>
      </c>
      <c r="T77" s="1128">
        <v>81.319999313354487</v>
      </c>
      <c r="U77" s="1128">
        <v>78.619999313354498</v>
      </c>
      <c r="V77" s="1128">
        <v>73.580000686645505</v>
      </c>
      <c r="W77" s="1128">
        <v>65.66000137329101</v>
      </c>
      <c r="X77" s="1128">
        <v>59.540000343322752</v>
      </c>
      <c r="Y77" s="1128">
        <v>47.3</v>
      </c>
      <c r="Z77" s="1128">
        <v>64.755562068991466</v>
      </c>
      <c r="AA77" s="1128">
        <f t="shared" si="75"/>
        <v>60.623897370346086</v>
      </c>
      <c r="AB77" s="1128">
        <f t="shared" si="76"/>
        <v>60.693226508566759</v>
      </c>
      <c r="AC77" s="1128">
        <f t="shared" si="77"/>
        <v>63.385458475896904</v>
      </c>
      <c r="AD77" s="1128">
        <f t="shared" si="78"/>
        <v>67.998821521501455</v>
      </c>
      <c r="AE77" s="1128">
        <f t="shared" si="79"/>
        <v>73.330771473467053</v>
      </c>
      <c r="AF77" s="1128">
        <f t="shared" si="80"/>
        <v>77.991453408977918</v>
      </c>
      <c r="AG77" s="1128">
        <f t="shared" si="81"/>
        <v>80.76598875826042</v>
      </c>
      <c r="AH77" s="1128">
        <f t="shared" si="82"/>
        <v>80.931152125640111</v>
      </c>
      <c r="AI77" s="1128">
        <f t="shared" si="83"/>
        <v>78.443891134164957</v>
      </c>
      <c r="AJ77" s="1128">
        <f t="shared" si="84"/>
        <v>73.952548691115041</v>
      </c>
      <c r="AK77" s="1128">
        <f t="shared" si="85"/>
        <v>68.62786241795348</v>
      </c>
      <c r="AL77" s="1128">
        <f t="shared" si="86"/>
        <v>63.857793847679098</v>
      </c>
      <c r="AM77" s="1125">
        <f t="shared" si="87"/>
        <v>1</v>
      </c>
      <c r="AN77" s="1125">
        <f t="shared" si="88"/>
        <v>1</v>
      </c>
      <c r="AO77" s="1125">
        <f t="shared" si="89"/>
        <v>1</v>
      </c>
      <c r="AP77" s="1125">
        <f t="shared" si="90"/>
        <v>1</v>
      </c>
      <c r="AQ77" s="1125">
        <f t="shared" si="91"/>
        <v>0</v>
      </c>
      <c r="AR77" s="1125">
        <f t="shared" si="92"/>
        <v>0</v>
      </c>
      <c r="AS77" s="1125">
        <f t="shared" si="93"/>
        <v>0</v>
      </c>
      <c r="AT77" s="1125">
        <f t="shared" si="94"/>
        <v>0</v>
      </c>
      <c r="AU77" s="1125">
        <f t="shared" si="95"/>
        <v>0</v>
      </c>
      <c r="AV77" s="1125">
        <f t="shared" si="96"/>
        <v>1</v>
      </c>
      <c r="AW77" s="1125">
        <f t="shared" si="97"/>
        <v>1</v>
      </c>
      <c r="AX77" s="1125">
        <f t="shared" si="98"/>
        <v>1</v>
      </c>
      <c r="AY77" s="1125">
        <f t="shared" si="99"/>
        <v>0</v>
      </c>
      <c r="AZ77" s="1125">
        <f t="shared" si="100"/>
        <v>0</v>
      </c>
      <c r="BA77" s="1125">
        <f t="shared" si="101"/>
        <v>0</v>
      </c>
      <c r="BB77" s="1125">
        <f t="shared" si="102"/>
        <v>0</v>
      </c>
      <c r="BC77" s="1125">
        <f t="shared" si="103"/>
        <v>1</v>
      </c>
      <c r="BD77" s="1125">
        <f t="shared" si="104"/>
        <v>1</v>
      </c>
      <c r="BE77" s="1125">
        <f t="shared" si="105"/>
        <v>1</v>
      </c>
      <c r="BF77" s="1125">
        <f t="shared" si="106"/>
        <v>1</v>
      </c>
      <c r="BG77" s="1125">
        <f t="shared" si="107"/>
        <v>1</v>
      </c>
      <c r="BH77" s="1125">
        <f t="shared" si="108"/>
        <v>0</v>
      </c>
      <c r="BI77" s="1125">
        <f t="shared" si="109"/>
        <v>0</v>
      </c>
      <c r="BJ77" s="1125">
        <f t="shared" si="110"/>
        <v>0</v>
      </c>
      <c r="BK77" s="1125">
        <f t="shared" si="111"/>
        <v>1</v>
      </c>
      <c r="BL77" s="1125">
        <f t="shared" si="112"/>
        <v>1</v>
      </c>
      <c r="BM77" s="1125">
        <f t="shared" si="113"/>
        <v>1</v>
      </c>
      <c r="BN77" s="1125">
        <f t="shared" si="114"/>
        <v>1</v>
      </c>
      <c r="BO77" s="1125">
        <f t="shared" si="115"/>
        <v>1</v>
      </c>
      <c r="BP77" s="1125">
        <f t="shared" si="116"/>
        <v>0</v>
      </c>
      <c r="BQ77" s="1125">
        <f t="shared" si="117"/>
        <v>0</v>
      </c>
      <c r="BR77" s="1125">
        <f t="shared" si="118"/>
        <v>0</v>
      </c>
      <c r="BS77" s="1125">
        <f t="shared" si="119"/>
        <v>0</v>
      </c>
      <c r="BT77" s="1125">
        <f t="shared" si="120"/>
        <v>1</v>
      </c>
      <c r="BU77" s="1125">
        <f t="shared" si="121"/>
        <v>1</v>
      </c>
      <c r="BV77" s="1125">
        <f t="shared" si="122"/>
        <v>1</v>
      </c>
      <c r="BW77" s="1125">
        <f t="shared" si="123"/>
        <v>0</v>
      </c>
      <c r="BX77" s="1125">
        <f t="shared" si="124"/>
        <v>0</v>
      </c>
      <c r="BY77" s="1125">
        <f t="shared" si="125"/>
        <v>0</v>
      </c>
      <c r="BZ77" s="1125">
        <f t="shared" si="126"/>
        <v>1</v>
      </c>
      <c r="CA77" s="1125">
        <f t="shared" si="127"/>
        <v>1</v>
      </c>
      <c r="CB77" s="1125">
        <f t="shared" si="128"/>
        <v>1</v>
      </c>
      <c r="CC77" s="1125">
        <f t="shared" si="129"/>
        <v>1</v>
      </c>
      <c r="CD77" s="1125">
        <f t="shared" si="130"/>
        <v>1</v>
      </c>
      <c r="CE77" s="1125">
        <f t="shared" si="131"/>
        <v>1</v>
      </c>
      <c r="CF77" s="1125">
        <f t="shared" si="132"/>
        <v>1</v>
      </c>
      <c r="CG77" s="1125">
        <f t="shared" si="133"/>
        <v>0</v>
      </c>
      <c r="CH77" s="1125">
        <f t="shared" si="134"/>
        <v>0</v>
      </c>
      <c r="CI77" s="1125">
        <f t="shared" si="135"/>
        <v>0.85</v>
      </c>
      <c r="CJ77" s="1125">
        <f t="shared" si="136"/>
        <v>0.85</v>
      </c>
      <c r="CK77" s="1125">
        <f t="shared" si="137"/>
        <v>0.85</v>
      </c>
      <c r="CL77" s="1125">
        <f t="shared" si="138"/>
        <v>0.85</v>
      </c>
      <c r="CM77" s="1125">
        <f t="shared" si="139"/>
        <v>0.85</v>
      </c>
      <c r="CN77" s="1125">
        <f t="shared" si="140"/>
        <v>0.7</v>
      </c>
      <c r="CO77" s="1125">
        <f t="shared" si="141"/>
        <v>0.7</v>
      </c>
      <c r="CP77" s="1125">
        <f t="shared" si="142"/>
        <v>0.7</v>
      </c>
      <c r="CQ77" s="1125">
        <f t="shared" si="143"/>
        <v>0.7</v>
      </c>
      <c r="CR77" s="1125">
        <f t="shared" si="144"/>
        <v>0.85</v>
      </c>
      <c r="CS77" s="1125">
        <f t="shared" si="145"/>
        <v>0.85</v>
      </c>
      <c r="CT77" s="1125">
        <f t="shared" si="146"/>
        <v>0.85</v>
      </c>
      <c r="CU77" s="1125">
        <v>1</v>
      </c>
      <c r="CV77" s="1125"/>
      <c r="CW77" s="1125">
        <f t="shared" si="147"/>
        <v>214</v>
      </c>
      <c r="CX77" s="1125">
        <f t="shared" si="148"/>
        <v>151</v>
      </c>
      <c r="CY77" s="1136" t="s">
        <v>4883</v>
      </c>
      <c r="CZ77" s="1129" t="s">
        <v>4882</v>
      </c>
      <c r="DA77" s="1129"/>
      <c r="DB77" s="1129"/>
      <c r="DC77" s="1125" t="s">
        <v>5549</v>
      </c>
      <c r="DD77" s="1125" t="s">
        <v>512</v>
      </c>
      <c r="DE77" s="1120" t="str">
        <f t="shared" si="149"/>
        <v/>
      </c>
      <c r="DF77" s="1133">
        <v>0</v>
      </c>
      <c r="DG77" s="1120">
        <v>0</v>
      </c>
    </row>
    <row r="78" spans="1:111">
      <c r="A78" s="1125" t="s">
        <v>2996</v>
      </c>
      <c r="B78" s="1125" t="s">
        <v>4643</v>
      </c>
      <c r="C78" s="1125" t="s">
        <v>4644</v>
      </c>
      <c r="D78" s="1125" t="s">
        <v>513</v>
      </c>
      <c r="E78" s="1125">
        <v>2503</v>
      </c>
      <c r="F78" s="1125">
        <v>-81.12</v>
      </c>
      <c r="G78" s="1125">
        <v>37.799999999999997</v>
      </c>
      <c r="H78" s="1125">
        <v>-5</v>
      </c>
      <c r="I78" s="1126">
        <v>11.480000686645507</v>
      </c>
      <c r="J78" s="1126">
        <v>82.4</v>
      </c>
      <c r="K78" s="1127">
        <v>69.080000686645505</v>
      </c>
      <c r="L78" s="1125">
        <v>5212.8</v>
      </c>
      <c r="M78" s="1125">
        <v>628.20000000000005</v>
      </c>
      <c r="N78" s="1128">
        <v>33.799999999999997</v>
      </c>
      <c r="O78" s="1128">
        <v>35.779999828338624</v>
      </c>
      <c r="P78" s="1128">
        <v>44.779999828338624</v>
      </c>
      <c r="Q78" s="1128">
        <v>55.219999313354492</v>
      </c>
      <c r="R78" s="1128">
        <v>57.740000343322755</v>
      </c>
      <c r="S78" s="1128">
        <v>68.539998626708979</v>
      </c>
      <c r="T78" s="1128">
        <v>71.419999313354495</v>
      </c>
      <c r="U78" s="1128">
        <v>69.8</v>
      </c>
      <c r="V78" s="1128">
        <v>60.980000686645511</v>
      </c>
      <c r="W78" s="1128">
        <v>53.240000343322755</v>
      </c>
      <c r="X78" s="1128">
        <v>45.320000171661377</v>
      </c>
      <c r="Y78" s="1128">
        <v>24.620000171661378</v>
      </c>
      <c r="Z78" s="1128">
        <v>51.838465641492036</v>
      </c>
      <c r="AA78" s="1128">
        <f t="shared" si="75"/>
        <v>47.845031651055052</v>
      </c>
      <c r="AB78" s="1128">
        <f t="shared" si="76"/>
        <v>46.657617079302035</v>
      </c>
      <c r="AC78" s="1128">
        <f t="shared" si="77"/>
        <v>48.384662987375727</v>
      </c>
      <c r="AD78" s="1128">
        <f t="shared" si="78"/>
        <v>52.57598824475366</v>
      </c>
      <c r="AE78" s="1128">
        <f t="shared" si="79"/>
        <v>58.139059332822924</v>
      </c>
      <c r="AF78" s="1128">
        <f t="shared" si="80"/>
        <v>63.623776042957793</v>
      </c>
      <c r="AG78" s="1128">
        <f t="shared" si="81"/>
        <v>67.60046244261865</v>
      </c>
      <c r="AH78" s="1128">
        <f t="shared" si="82"/>
        <v>69.032533939141459</v>
      </c>
      <c r="AI78" s="1128">
        <f t="shared" si="83"/>
        <v>67.546699028067763</v>
      </c>
      <c r="AJ78" s="1128">
        <f t="shared" si="84"/>
        <v>63.530263476378025</v>
      </c>
      <c r="AK78" s="1128">
        <f t="shared" si="85"/>
        <v>58.030173105765556</v>
      </c>
      <c r="AL78" s="1128">
        <f t="shared" si="86"/>
        <v>52.480111230288749</v>
      </c>
      <c r="AM78" s="1125">
        <f t="shared" si="87"/>
        <v>1</v>
      </c>
      <c r="AN78" s="1125">
        <f t="shared" si="88"/>
        <v>1</v>
      </c>
      <c r="AO78" s="1125">
        <f t="shared" si="89"/>
        <v>1</v>
      </c>
      <c r="AP78" s="1125">
        <f t="shared" si="90"/>
        <v>1</v>
      </c>
      <c r="AQ78" s="1125">
        <f t="shared" si="91"/>
        <v>1</v>
      </c>
      <c r="AR78" s="1125">
        <f t="shared" si="92"/>
        <v>0</v>
      </c>
      <c r="AS78" s="1125">
        <f t="shared" si="93"/>
        <v>0</v>
      </c>
      <c r="AT78" s="1125">
        <f t="shared" si="94"/>
        <v>0</v>
      </c>
      <c r="AU78" s="1125">
        <f t="shared" si="95"/>
        <v>1</v>
      </c>
      <c r="AV78" s="1125">
        <f t="shared" si="96"/>
        <v>1</v>
      </c>
      <c r="AW78" s="1125">
        <f t="shared" si="97"/>
        <v>1</v>
      </c>
      <c r="AX78" s="1125">
        <f t="shared" si="98"/>
        <v>1</v>
      </c>
      <c r="AY78" s="1125">
        <f t="shared" si="99"/>
        <v>0</v>
      </c>
      <c r="AZ78" s="1125">
        <f t="shared" si="100"/>
        <v>0</v>
      </c>
      <c r="BA78" s="1125">
        <f t="shared" si="101"/>
        <v>0</v>
      </c>
      <c r="BB78" s="1125">
        <f t="shared" si="102"/>
        <v>0</v>
      </c>
      <c r="BC78" s="1125">
        <f t="shared" si="103"/>
        <v>0</v>
      </c>
      <c r="BD78" s="1125">
        <f t="shared" si="104"/>
        <v>1</v>
      </c>
      <c r="BE78" s="1125">
        <f t="shared" si="105"/>
        <v>1</v>
      </c>
      <c r="BF78" s="1125">
        <f t="shared" si="106"/>
        <v>1</v>
      </c>
      <c r="BG78" s="1125">
        <f t="shared" si="107"/>
        <v>0</v>
      </c>
      <c r="BH78" s="1125">
        <f t="shared" si="108"/>
        <v>0</v>
      </c>
      <c r="BI78" s="1125">
        <f t="shared" si="109"/>
        <v>0</v>
      </c>
      <c r="BJ78" s="1125">
        <f t="shared" si="110"/>
        <v>0</v>
      </c>
      <c r="BK78" s="1125">
        <f t="shared" si="111"/>
        <v>1</v>
      </c>
      <c r="BL78" s="1125">
        <f t="shared" si="112"/>
        <v>1</v>
      </c>
      <c r="BM78" s="1125">
        <f t="shared" si="113"/>
        <v>1</v>
      </c>
      <c r="BN78" s="1125">
        <f t="shared" si="114"/>
        <v>1</v>
      </c>
      <c r="BO78" s="1125">
        <f t="shared" si="115"/>
        <v>1</v>
      </c>
      <c r="BP78" s="1125">
        <f t="shared" si="116"/>
        <v>1</v>
      </c>
      <c r="BQ78" s="1125">
        <f t="shared" si="117"/>
        <v>0</v>
      </c>
      <c r="BR78" s="1125">
        <f t="shared" si="118"/>
        <v>0</v>
      </c>
      <c r="BS78" s="1125">
        <f t="shared" si="119"/>
        <v>1</v>
      </c>
      <c r="BT78" s="1125">
        <f t="shared" si="120"/>
        <v>1</v>
      </c>
      <c r="BU78" s="1125">
        <f t="shared" si="121"/>
        <v>1</v>
      </c>
      <c r="BV78" s="1125">
        <f t="shared" si="122"/>
        <v>1</v>
      </c>
      <c r="BW78" s="1125">
        <f t="shared" si="123"/>
        <v>0</v>
      </c>
      <c r="BX78" s="1125">
        <f t="shared" si="124"/>
        <v>0</v>
      </c>
      <c r="BY78" s="1125">
        <f t="shared" si="125"/>
        <v>0</v>
      </c>
      <c r="BZ78" s="1125">
        <f t="shared" si="126"/>
        <v>0</v>
      </c>
      <c r="CA78" s="1125">
        <f t="shared" si="127"/>
        <v>1</v>
      </c>
      <c r="CB78" s="1125">
        <f t="shared" si="128"/>
        <v>1</v>
      </c>
      <c r="CC78" s="1125">
        <f t="shared" si="129"/>
        <v>1</v>
      </c>
      <c r="CD78" s="1125">
        <f t="shared" si="130"/>
        <v>1</v>
      </c>
      <c r="CE78" s="1125">
        <f t="shared" si="131"/>
        <v>1</v>
      </c>
      <c r="CF78" s="1125">
        <f t="shared" si="132"/>
        <v>0</v>
      </c>
      <c r="CG78" s="1125">
        <f t="shared" si="133"/>
        <v>0</v>
      </c>
      <c r="CH78" s="1125">
        <f t="shared" si="134"/>
        <v>0</v>
      </c>
      <c r="CI78" s="1125">
        <f t="shared" si="135"/>
        <v>0.85</v>
      </c>
      <c r="CJ78" s="1125">
        <f t="shared" si="136"/>
        <v>0.85</v>
      </c>
      <c r="CK78" s="1125">
        <f t="shared" si="137"/>
        <v>0.85</v>
      </c>
      <c r="CL78" s="1125">
        <f t="shared" si="138"/>
        <v>0.85</v>
      </c>
      <c r="CM78" s="1125">
        <f t="shared" si="139"/>
        <v>0.85</v>
      </c>
      <c r="CN78" s="1125">
        <f t="shared" si="140"/>
        <v>0.85</v>
      </c>
      <c r="CO78" s="1125">
        <f t="shared" si="141"/>
        <v>0.7</v>
      </c>
      <c r="CP78" s="1125">
        <f t="shared" si="142"/>
        <v>0.7</v>
      </c>
      <c r="CQ78" s="1125">
        <f t="shared" si="143"/>
        <v>0.85</v>
      </c>
      <c r="CR78" s="1125">
        <f t="shared" si="144"/>
        <v>0.85</v>
      </c>
      <c r="CS78" s="1125">
        <f t="shared" si="145"/>
        <v>0.85</v>
      </c>
      <c r="CT78" s="1125">
        <f t="shared" si="146"/>
        <v>0.85</v>
      </c>
      <c r="CU78" s="1125">
        <v>1</v>
      </c>
      <c r="CV78" s="1125"/>
      <c r="CW78" s="1125">
        <f t="shared" si="147"/>
        <v>153</v>
      </c>
      <c r="CX78" s="1125">
        <f t="shared" si="148"/>
        <v>212</v>
      </c>
      <c r="CY78" s="1135" t="s">
        <v>4889</v>
      </c>
      <c r="CZ78" s="1124" t="s">
        <v>4897</v>
      </c>
      <c r="DA78" s="1124"/>
      <c r="DB78" s="1124"/>
      <c r="DC78" s="1120" t="s">
        <v>5688</v>
      </c>
      <c r="DD78" s="1120" t="s">
        <v>513</v>
      </c>
      <c r="DE78" s="1120" t="str">
        <f t="shared" si="149"/>
        <v/>
      </c>
      <c r="DF78" s="1133">
        <v>0</v>
      </c>
      <c r="DG78" s="1125">
        <v>0</v>
      </c>
    </row>
    <row r="79" spans="1:111">
      <c r="A79" s="1120" t="s">
        <v>2998</v>
      </c>
      <c r="B79" s="1125" t="s">
        <v>3499</v>
      </c>
      <c r="C79" s="1125" t="s">
        <v>3500</v>
      </c>
      <c r="D79" s="1125" t="s">
        <v>932</v>
      </c>
      <c r="E79" s="1125">
        <v>443</v>
      </c>
      <c r="F79" s="1125">
        <v>-89.85</v>
      </c>
      <c r="G79" s="1125">
        <v>38.549999999999997</v>
      </c>
      <c r="H79" s="1125">
        <v>-6</v>
      </c>
      <c r="I79" s="1126">
        <v>10.399999999999999</v>
      </c>
      <c r="J79" s="1126">
        <v>92.660001373291024</v>
      </c>
      <c r="K79" s="1127">
        <v>76.639998626708987</v>
      </c>
      <c r="L79" s="1125">
        <v>5142.6000000000004</v>
      </c>
      <c r="M79" s="1125">
        <v>1310.4000000000001</v>
      </c>
      <c r="N79" s="1128">
        <v>31.639999994635581</v>
      </c>
      <c r="O79" s="1128">
        <v>36.139999914169309</v>
      </c>
      <c r="P79" s="1128">
        <v>38.47999982833862</v>
      </c>
      <c r="Q79" s="1128">
        <v>50.9</v>
      </c>
      <c r="R79" s="1128">
        <v>61.880000686645509</v>
      </c>
      <c r="S79" s="1128">
        <v>77.180000686645513</v>
      </c>
      <c r="T79" s="1128">
        <v>78.439998626708984</v>
      </c>
      <c r="U79" s="1128">
        <v>74.480000686645511</v>
      </c>
      <c r="V79" s="1128">
        <v>65.3</v>
      </c>
      <c r="W79" s="1128">
        <v>57.740000343322755</v>
      </c>
      <c r="X79" s="1128">
        <v>41.720000171661376</v>
      </c>
      <c r="Y79" s="1128">
        <v>31.639999994635581</v>
      </c>
      <c r="Z79" s="1128">
        <v>53.885534324205082</v>
      </c>
      <c r="AA79" s="1128">
        <f t="shared" si="75"/>
        <v>49.28568153015253</v>
      </c>
      <c r="AB79" s="1128">
        <f t="shared" si="76"/>
        <v>48.253551912958251</v>
      </c>
      <c r="AC79" s="1128">
        <f t="shared" si="77"/>
        <v>50.253477765530398</v>
      </c>
      <c r="AD79" s="1128">
        <f t="shared" si="78"/>
        <v>54.764147594605738</v>
      </c>
      <c r="AE79" s="1128">
        <f t="shared" si="79"/>
        <v>60.609785797709634</v>
      </c>
      <c r="AF79" s="1128">
        <f t="shared" si="80"/>
        <v>66.266636693191515</v>
      </c>
      <c r="AG79" s="1128">
        <f t="shared" si="81"/>
        <v>70.260154920432981</v>
      </c>
      <c r="AH79" s="1128">
        <f t="shared" si="82"/>
        <v>71.549368411524796</v>
      </c>
      <c r="AI79" s="1128">
        <f t="shared" si="83"/>
        <v>69.798223802632606</v>
      </c>
      <c r="AJ79" s="1128">
        <f t="shared" si="84"/>
        <v>65.463183922019439</v>
      </c>
      <c r="AK79" s="1128">
        <f t="shared" si="85"/>
        <v>59.674243719553843</v>
      </c>
      <c r="AL79" s="1128">
        <f t="shared" si="86"/>
        <v>53.94037966927737</v>
      </c>
      <c r="AM79" s="1125">
        <f t="shared" si="87"/>
        <v>1</v>
      </c>
      <c r="AN79" s="1125">
        <f t="shared" si="88"/>
        <v>1</v>
      </c>
      <c r="AO79" s="1125">
        <f t="shared" si="89"/>
        <v>1</v>
      </c>
      <c r="AP79" s="1125">
        <f t="shared" si="90"/>
        <v>1</v>
      </c>
      <c r="AQ79" s="1125">
        <f t="shared" si="91"/>
        <v>1</v>
      </c>
      <c r="AR79" s="1125">
        <f t="shared" si="92"/>
        <v>0</v>
      </c>
      <c r="AS79" s="1125">
        <f t="shared" si="93"/>
        <v>0</v>
      </c>
      <c r="AT79" s="1125">
        <f t="shared" si="94"/>
        <v>0</v>
      </c>
      <c r="AU79" s="1125">
        <f t="shared" si="95"/>
        <v>1</v>
      </c>
      <c r="AV79" s="1125">
        <f t="shared" si="96"/>
        <v>1</v>
      </c>
      <c r="AW79" s="1125">
        <f t="shared" si="97"/>
        <v>1</v>
      </c>
      <c r="AX79" s="1125">
        <f t="shared" si="98"/>
        <v>1</v>
      </c>
      <c r="AY79" s="1125">
        <f t="shared" si="99"/>
        <v>0</v>
      </c>
      <c r="AZ79" s="1125">
        <f t="shared" si="100"/>
        <v>0</v>
      </c>
      <c r="BA79" s="1125">
        <f t="shared" si="101"/>
        <v>0</v>
      </c>
      <c r="BB79" s="1125">
        <f t="shared" si="102"/>
        <v>0</v>
      </c>
      <c r="BC79" s="1125">
        <f t="shared" si="103"/>
        <v>0</v>
      </c>
      <c r="BD79" s="1125">
        <f t="shared" si="104"/>
        <v>1</v>
      </c>
      <c r="BE79" s="1125">
        <f t="shared" si="105"/>
        <v>1</v>
      </c>
      <c r="BF79" s="1125">
        <f t="shared" si="106"/>
        <v>1</v>
      </c>
      <c r="BG79" s="1125">
        <f t="shared" si="107"/>
        <v>0</v>
      </c>
      <c r="BH79" s="1125">
        <f t="shared" si="108"/>
        <v>0</v>
      </c>
      <c r="BI79" s="1125">
        <f t="shared" si="109"/>
        <v>0</v>
      </c>
      <c r="BJ79" s="1125">
        <f t="shared" si="110"/>
        <v>0</v>
      </c>
      <c r="BK79" s="1125">
        <f t="shared" si="111"/>
        <v>1</v>
      </c>
      <c r="BL79" s="1125">
        <f t="shared" si="112"/>
        <v>1</v>
      </c>
      <c r="BM79" s="1125">
        <f t="shared" si="113"/>
        <v>1</v>
      </c>
      <c r="BN79" s="1125">
        <f t="shared" si="114"/>
        <v>1</v>
      </c>
      <c r="BO79" s="1125">
        <f t="shared" si="115"/>
        <v>1</v>
      </c>
      <c r="BP79" s="1125">
        <f t="shared" si="116"/>
        <v>1</v>
      </c>
      <c r="BQ79" s="1125">
        <f t="shared" si="117"/>
        <v>0</v>
      </c>
      <c r="BR79" s="1125">
        <f t="shared" si="118"/>
        <v>0</v>
      </c>
      <c r="BS79" s="1125">
        <f t="shared" si="119"/>
        <v>1</v>
      </c>
      <c r="BT79" s="1125">
        <f t="shared" si="120"/>
        <v>1</v>
      </c>
      <c r="BU79" s="1125">
        <f t="shared" si="121"/>
        <v>1</v>
      </c>
      <c r="BV79" s="1125">
        <f t="shared" si="122"/>
        <v>1</v>
      </c>
      <c r="BW79" s="1125">
        <f t="shared" si="123"/>
        <v>0</v>
      </c>
      <c r="BX79" s="1125">
        <f t="shared" si="124"/>
        <v>0</v>
      </c>
      <c r="BY79" s="1125">
        <f t="shared" si="125"/>
        <v>0</v>
      </c>
      <c r="BZ79" s="1125">
        <f t="shared" si="126"/>
        <v>0</v>
      </c>
      <c r="CA79" s="1125">
        <f t="shared" si="127"/>
        <v>1</v>
      </c>
      <c r="CB79" s="1125">
        <f t="shared" si="128"/>
        <v>1</v>
      </c>
      <c r="CC79" s="1125">
        <f t="shared" si="129"/>
        <v>1</v>
      </c>
      <c r="CD79" s="1125">
        <f t="shared" si="130"/>
        <v>1</v>
      </c>
      <c r="CE79" s="1125">
        <f t="shared" si="131"/>
        <v>1</v>
      </c>
      <c r="CF79" s="1125">
        <f t="shared" si="132"/>
        <v>0</v>
      </c>
      <c r="CG79" s="1125">
        <f t="shared" si="133"/>
        <v>0</v>
      </c>
      <c r="CH79" s="1125">
        <f t="shared" si="134"/>
        <v>0</v>
      </c>
      <c r="CI79" s="1125">
        <f t="shared" si="135"/>
        <v>0.85</v>
      </c>
      <c r="CJ79" s="1125">
        <f t="shared" si="136"/>
        <v>0.85</v>
      </c>
      <c r="CK79" s="1125">
        <f t="shared" si="137"/>
        <v>0.85</v>
      </c>
      <c r="CL79" s="1125">
        <f t="shared" si="138"/>
        <v>0.85</v>
      </c>
      <c r="CM79" s="1125">
        <f t="shared" si="139"/>
        <v>0.85</v>
      </c>
      <c r="CN79" s="1125">
        <f t="shared" si="140"/>
        <v>0.85</v>
      </c>
      <c r="CO79" s="1125">
        <f t="shared" si="141"/>
        <v>0.7</v>
      </c>
      <c r="CP79" s="1125">
        <f t="shared" si="142"/>
        <v>0.7</v>
      </c>
      <c r="CQ79" s="1125">
        <f t="shared" si="143"/>
        <v>0.85</v>
      </c>
      <c r="CR79" s="1125">
        <f t="shared" si="144"/>
        <v>0.85</v>
      </c>
      <c r="CS79" s="1125">
        <f t="shared" si="145"/>
        <v>0.85</v>
      </c>
      <c r="CT79" s="1125">
        <f t="shared" si="146"/>
        <v>0.85</v>
      </c>
      <c r="CU79" s="1125">
        <v>1</v>
      </c>
      <c r="CV79" s="1125"/>
      <c r="CW79" s="1125">
        <f t="shared" si="147"/>
        <v>153</v>
      </c>
      <c r="CX79" s="1125">
        <f t="shared" si="148"/>
        <v>212</v>
      </c>
      <c r="CY79" s="1136" t="s">
        <v>4881</v>
      </c>
      <c r="CZ79" s="1129" t="s">
        <v>4885</v>
      </c>
      <c r="DA79" s="1129"/>
      <c r="DB79" s="1129"/>
      <c r="DC79" s="1125" t="s">
        <v>5966</v>
      </c>
      <c r="DD79" s="1125" t="s">
        <v>932</v>
      </c>
      <c r="DE79" s="1120" t="b">
        <f t="shared" si="149"/>
        <v>0</v>
      </c>
      <c r="DF79" s="1133">
        <v>1</v>
      </c>
      <c r="DG79" s="1120">
        <v>0</v>
      </c>
    </row>
    <row r="80" spans="1:111">
      <c r="A80" s="1125" t="s">
        <v>3000</v>
      </c>
      <c r="B80" s="1120" t="s">
        <v>3994</v>
      </c>
      <c r="C80" s="1120" t="s">
        <v>3995</v>
      </c>
      <c r="D80" s="1120" t="s">
        <v>771</v>
      </c>
      <c r="E80" s="1120">
        <v>1046</v>
      </c>
      <c r="F80" s="1120">
        <v>-95.92</v>
      </c>
      <c r="G80" s="1120">
        <v>41.12</v>
      </c>
      <c r="H80" s="1120">
        <v>-6</v>
      </c>
      <c r="I80" s="1121">
        <v>1.580000686645507</v>
      </c>
      <c r="J80" s="1121">
        <v>91.22000274658204</v>
      </c>
      <c r="K80" s="1122">
        <v>75.560001373291016</v>
      </c>
      <c r="L80" s="1120">
        <v>6150.6</v>
      </c>
      <c r="M80" s="1120">
        <v>1206</v>
      </c>
      <c r="N80" s="1123">
        <v>20.120000171661378</v>
      </c>
      <c r="O80" s="1123">
        <v>37.039999914169314</v>
      </c>
      <c r="P80" s="1123">
        <v>41.179999828338623</v>
      </c>
      <c r="Q80" s="1123">
        <v>47.119999313354491</v>
      </c>
      <c r="R80" s="1123">
        <v>60.440000343322751</v>
      </c>
      <c r="S80" s="1123">
        <v>75.019999313354489</v>
      </c>
      <c r="T80" s="1123">
        <v>76.819999313354487</v>
      </c>
      <c r="U80" s="1123">
        <v>73.760001373291018</v>
      </c>
      <c r="V80" s="1123">
        <v>65.66000137329101</v>
      </c>
      <c r="W80" s="1123">
        <v>46.940000343322751</v>
      </c>
      <c r="X80" s="1123">
        <v>33.799999999999997</v>
      </c>
      <c r="Y80" s="1123">
        <v>31.81999999731779</v>
      </c>
      <c r="Z80" s="1123">
        <v>50.872876822152364</v>
      </c>
      <c r="AA80" s="1123">
        <f t="shared" si="75"/>
        <v>45.110955443945713</v>
      </c>
      <c r="AB80" s="1123">
        <f t="shared" si="76"/>
        <v>43.591317794497606</v>
      </c>
      <c r="AC80" s="1123">
        <f t="shared" si="77"/>
        <v>45.533723180627788</v>
      </c>
      <c r="AD80" s="1123">
        <f t="shared" si="78"/>
        <v>50.431853705068349</v>
      </c>
      <c r="AE80" s="1123">
        <f t="shared" si="79"/>
        <v>57.008936164147649</v>
      </c>
      <c r="AF80" s="1123">
        <f t="shared" si="80"/>
        <v>63.550552658997944</v>
      </c>
      <c r="AG80" s="1123">
        <f t="shared" si="81"/>
        <v>68.351530040874849</v>
      </c>
      <c r="AH80" s="1123">
        <f t="shared" si="82"/>
        <v>70.160419569891189</v>
      </c>
      <c r="AI80" s="1123">
        <f t="shared" si="83"/>
        <v>68.505706314477408</v>
      </c>
      <c r="AJ80" s="1123">
        <f t="shared" si="84"/>
        <v>63.818716784560245</v>
      </c>
      <c r="AK80" s="1123">
        <f t="shared" si="85"/>
        <v>57.321187029807625</v>
      </c>
      <c r="AL80" s="1123">
        <f t="shared" si="86"/>
        <v>50.70679831076022</v>
      </c>
      <c r="AM80" s="1120">
        <f t="shared" si="87"/>
        <v>1</v>
      </c>
      <c r="AN80" s="1120">
        <f t="shared" si="88"/>
        <v>1</v>
      </c>
      <c r="AO80" s="1120">
        <f t="shared" si="89"/>
        <v>1</v>
      </c>
      <c r="AP80" s="1120">
        <f t="shared" si="90"/>
        <v>1</v>
      </c>
      <c r="AQ80" s="1120">
        <f t="shared" si="91"/>
        <v>1</v>
      </c>
      <c r="AR80" s="1120">
        <f t="shared" si="92"/>
        <v>0</v>
      </c>
      <c r="AS80" s="1120">
        <f t="shared" si="93"/>
        <v>0</v>
      </c>
      <c r="AT80" s="1120">
        <f t="shared" si="94"/>
        <v>0</v>
      </c>
      <c r="AU80" s="1120">
        <f t="shared" si="95"/>
        <v>1</v>
      </c>
      <c r="AV80" s="1120">
        <f t="shared" si="96"/>
        <v>1</v>
      </c>
      <c r="AW80" s="1120">
        <f t="shared" si="97"/>
        <v>1</v>
      </c>
      <c r="AX80" s="1120">
        <f t="shared" si="98"/>
        <v>1</v>
      </c>
      <c r="AY80" s="1120">
        <f t="shared" si="99"/>
        <v>0</v>
      </c>
      <c r="AZ80" s="1120">
        <f t="shared" si="100"/>
        <v>0</v>
      </c>
      <c r="BA80" s="1120">
        <f t="shared" si="101"/>
        <v>0</v>
      </c>
      <c r="BB80" s="1120">
        <f t="shared" si="102"/>
        <v>0</v>
      </c>
      <c r="BC80" s="1120">
        <f t="shared" si="103"/>
        <v>0</v>
      </c>
      <c r="BD80" s="1120">
        <f t="shared" si="104"/>
        <v>1</v>
      </c>
      <c r="BE80" s="1120">
        <f t="shared" si="105"/>
        <v>1</v>
      </c>
      <c r="BF80" s="1120">
        <f t="shared" si="106"/>
        <v>1</v>
      </c>
      <c r="BG80" s="1120">
        <f t="shared" si="107"/>
        <v>0</v>
      </c>
      <c r="BH80" s="1120">
        <f t="shared" si="108"/>
        <v>0</v>
      </c>
      <c r="BI80" s="1120">
        <f t="shared" si="109"/>
        <v>0</v>
      </c>
      <c r="BJ80" s="1120">
        <f t="shared" si="110"/>
        <v>0</v>
      </c>
      <c r="BK80" s="1120">
        <f t="shared" si="111"/>
        <v>1</v>
      </c>
      <c r="BL80" s="1120">
        <f t="shared" si="112"/>
        <v>1</v>
      </c>
      <c r="BM80" s="1120">
        <f t="shared" si="113"/>
        <v>1</v>
      </c>
      <c r="BN80" s="1120">
        <f t="shared" si="114"/>
        <v>1</v>
      </c>
      <c r="BO80" s="1120">
        <f t="shared" si="115"/>
        <v>1</v>
      </c>
      <c r="BP80" s="1120">
        <f t="shared" si="116"/>
        <v>1</v>
      </c>
      <c r="BQ80" s="1120">
        <f t="shared" si="117"/>
        <v>0</v>
      </c>
      <c r="BR80" s="1120">
        <f t="shared" si="118"/>
        <v>0</v>
      </c>
      <c r="BS80" s="1120">
        <f t="shared" si="119"/>
        <v>1</v>
      </c>
      <c r="BT80" s="1120">
        <f t="shared" si="120"/>
        <v>1</v>
      </c>
      <c r="BU80" s="1120">
        <f t="shared" si="121"/>
        <v>1</v>
      </c>
      <c r="BV80" s="1120">
        <f t="shared" si="122"/>
        <v>1</v>
      </c>
      <c r="BW80" s="1120">
        <f t="shared" si="123"/>
        <v>0</v>
      </c>
      <c r="BX80" s="1120">
        <f t="shared" si="124"/>
        <v>0</v>
      </c>
      <c r="BY80" s="1120">
        <f t="shared" si="125"/>
        <v>0</v>
      </c>
      <c r="BZ80" s="1120">
        <f t="shared" si="126"/>
        <v>0</v>
      </c>
      <c r="CA80" s="1120">
        <f t="shared" si="127"/>
        <v>1</v>
      </c>
      <c r="CB80" s="1120">
        <f t="shared" si="128"/>
        <v>1</v>
      </c>
      <c r="CC80" s="1120">
        <f t="shared" si="129"/>
        <v>1</v>
      </c>
      <c r="CD80" s="1120">
        <f t="shared" si="130"/>
        <v>1</v>
      </c>
      <c r="CE80" s="1120">
        <f t="shared" si="131"/>
        <v>1</v>
      </c>
      <c r="CF80" s="1120">
        <f t="shared" si="132"/>
        <v>0</v>
      </c>
      <c r="CG80" s="1120">
        <f t="shared" si="133"/>
        <v>0</v>
      </c>
      <c r="CH80" s="1120">
        <f t="shared" si="134"/>
        <v>0</v>
      </c>
      <c r="CI80" s="1120">
        <f t="shared" si="135"/>
        <v>0.85</v>
      </c>
      <c r="CJ80" s="1120">
        <f t="shared" si="136"/>
        <v>0.85</v>
      </c>
      <c r="CK80" s="1120">
        <f t="shared" si="137"/>
        <v>0.85</v>
      </c>
      <c r="CL80" s="1120">
        <f t="shared" si="138"/>
        <v>0.85</v>
      </c>
      <c r="CM80" s="1120">
        <f t="shared" si="139"/>
        <v>0.85</v>
      </c>
      <c r="CN80" s="1120">
        <f t="shared" si="140"/>
        <v>0.85</v>
      </c>
      <c r="CO80" s="1120">
        <f t="shared" si="141"/>
        <v>0.7</v>
      </c>
      <c r="CP80" s="1120">
        <f t="shared" si="142"/>
        <v>0.7</v>
      </c>
      <c r="CQ80" s="1120">
        <f t="shared" si="143"/>
        <v>0.85</v>
      </c>
      <c r="CR80" s="1120">
        <f t="shared" si="144"/>
        <v>0.85</v>
      </c>
      <c r="CS80" s="1120">
        <f t="shared" si="145"/>
        <v>0.85</v>
      </c>
      <c r="CT80" s="1120">
        <f t="shared" si="146"/>
        <v>0.85</v>
      </c>
      <c r="CU80" s="1120">
        <v>1</v>
      </c>
      <c r="CV80" s="1120"/>
      <c r="CW80" s="1120">
        <f t="shared" si="147"/>
        <v>153</v>
      </c>
      <c r="CX80" s="1120">
        <f t="shared" si="148"/>
        <v>212</v>
      </c>
      <c r="CY80" s="1136" t="s">
        <v>4889</v>
      </c>
      <c r="CZ80" s="1129" t="s">
        <v>4897</v>
      </c>
      <c r="DA80" s="1129"/>
      <c r="DB80" s="1129"/>
      <c r="DC80" s="1125" t="s">
        <v>5984</v>
      </c>
      <c r="DD80" s="1125" t="s">
        <v>771</v>
      </c>
      <c r="DE80" s="1120" t="b">
        <f t="shared" si="149"/>
        <v>0</v>
      </c>
      <c r="DF80" s="1133">
        <v>1</v>
      </c>
      <c r="DG80" s="1125">
        <v>0</v>
      </c>
    </row>
    <row r="81" spans="1:111">
      <c r="A81" s="1120" t="s">
        <v>3002</v>
      </c>
      <c r="B81" s="1120" t="s">
        <v>4552</v>
      </c>
      <c r="C81" s="1120" t="s">
        <v>4553</v>
      </c>
      <c r="D81" s="1120" t="s">
        <v>238</v>
      </c>
      <c r="E81" s="1120">
        <v>148</v>
      </c>
      <c r="F81" s="1120">
        <v>-122.53</v>
      </c>
      <c r="G81" s="1120">
        <v>48.8</v>
      </c>
      <c r="H81" s="1120">
        <v>-8</v>
      </c>
      <c r="I81" s="1121">
        <v>23</v>
      </c>
      <c r="J81" s="1121">
        <v>76.099999999999994</v>
      </c>
      <c r="K81" s="1122">
        <v>63.680000686645506</v>
      </c>
      <c r="L81" s="1120">
        <v>5580</v>
      </c>
      <c r="M81" s="1120">
        <v>27</v>
      </c>
      <c r="N81" s="1123">
        <v>39.740000343322755</v>
      </c>
      <c r="O81" s="1123">
        <v>39.740000343322755</v>
      </c>
      <c r="P81" s="1123">
        <v>38.299999999999997</v>
      </c>
      <c r="Q81" s="1123">
        <v>50</v>
      </c>
      <c r="R81" s="1123">
        <v>53.059999656677249</v>
      </c>
      <c r="S81" s="1123">
        <v>58.1</v>
      </c>
      <c r="T81" s="1123">
        <v>61.339998626708983</v>
      </c>
      <c r="U81" s="1123">
        <v>62.419999313354495</v>
      </c>
      <c r="V81" s="1123">
        <v>55.940000343322751</v>
      </c>
      <c r="W81" s="1123">
        <v>48.559999656677249</v>
      </c>
      <c r="X81" s="1123">
        <v>41</v>
      </c>
      <c r="Y81" s="1123">
        <v>41.359999656677246</v>
      </c>
      <c r="Z81" s="1123">
        <v>49.183835437722401</v>
      </c>
      <c r="AA81" s="1123">
        <f t="shared" si="75"/>
        <v>50.436384020376991</v>
      </c>
      <c r="AB81" s="1123">
        <f t="shared" si="76"/>
        <v>49.734692307924533</v>
      </c>
      <c r="AC81" s="1123">
        <f t="shared" si="77"/>
        <v>50.453403726091388</v>
      </c>
      <c r="AD81" s="1123">
        <f t="shared" si="78"/>
        <v>52.405175068054149</v>
      </c>
      <c r="AE81" s="1123">
        <f t="shared" si="79"/>
        <v>55.081247055823397</v>
      </c>
      <c r="AF81" s="1123">
        <f t="shared" si="80"/>
        <v>57.784060286269444</v>
      </c>
      <c r="AG81" s="1123">
        <f t="shared" si="81"/>
        <v>59.809084839263861</v>
      </c>
      <c r="AH81" s="1123">
        <f t="shared" si="82"/>
        <v>60.628466858495671</v>
      </c>
      <c r="AI81" s="1123">
        <f t="shared" si="83"/>
        <v>60.028621793592976</v>
      </c>
      <c r="AJ81" s="1123">
        <f t="shared" si="84"/>
        <v>58.165908504614919</v>
      </c>
      <c r="AK81" s="1123">
        <f t="shared" si="85"/>
        <v>55.52587191561431</v>
      </c>
      <c r="AL81" s="1123">
        <f t="shared" si="86"/>
        <v>52.796678247709508</v>
      </c>
      <c r="AM81" s="1120">
        <f t="shared" si="87"/>
        <v>1</v>
      </c>
      <c r="AN81" s="1120">
        <f t="shared" si="88"/>
        <v>1</v>
      </c>
      <c r="AO81" s="1120">
        <f t="shared" si="89"/>
        <v>1</v>
      </c>
      <c r="AP81" s="1120">
        <f t="shared" si="90"/>
        <v>1</v>
      </c>
      <c r="AQ81" s="1120">
        <f t="shared" si="91"/>
        <v>1</v>
      </c>
      <c r="AR81" s="1120">
        <f t="shared" si="92"/>
        <v>1</v>
      </c>
      <c r="AS81" s="1120">
        <f t="shared" si="93"/>
        <v>1</v>
      </c>
      <c r="AT81" s="1120">
        <f t="shared" si="94"/>
        <v>1</v>
      </c>
      <c r="AU81" s="1120">
        <f t="shared" si="95"/>
        <v>1</v>
      </c>
      <c r="AV81" s="1120">
        <f t="shared" si="96"/>
        <v>1</v>
      </c>
      <c r="AW81" s="1120">
        <f t="shared" si="97"/>
        <v>1</v>
      </c>
      <c r="AX81" s="1120">
        <f t="shared" si="98"/>
        <v>1</v>
      </c>
      <c r="AY81" s="1120">
        <f t="shared" si="99"/>
        <v>0</v>
      </c>
      <c r="AZ81" s="1120">
        <f t="shared" si="100"/>
        <v>0</v>
      </c>
      <c r="BA81" s="1120">
        <f t="shared" si="101"/>
        <v>0</v>
      </c>
      <c r="BB81" s="1120">
        <f t="shared" si="102"/>
        <v>0</v>
      </c>
      <c r="BC81" s="1120">
        <f t="shared" si="103"/>
        <v>0</v>
      </c>
      <c r="BD81" s="1120">
        <f t="shared" si="104"/>
        <v>0</v>
      </c>
      <c r="BE81" s="1120">
        <f t="shared" si="105"/>
        <v>1</v>
      </c>
      <c r="BF81" s="1120">
        <f t="shared" si="106"/>
        <v>1</v>
      </c>
      <c r="BG81" s="1120">
        <f t="shared" si="107"/>
        <v>0</v>
      </c>
      <c r="BH81" s="1120">
        <f t="shared" si="108"/>
        <v>0</v>
      </c>
      <c r="BI81" s="1120">
        <f t="shared" si="109"/>
        <v>0</v>
      </c>
      <c r="BJ81" s="1120">
        <f t="shared" si="110"/>
        <v>0</v>
      </c>
      <c r="BK81" s="1120">
        <f t="shared" si="111"/>
        <v>1</v>
      </c>
      <c r="BL81" s="1120">
        <f t="shared" si="112"/>
        <v>1</v>
      </c>
      <c r="BM81" s="1120">
        <f t="shared" si="113"/>
        <v>1</v>
      </c>
      <c r="BN81" s="1120">
        <f t="shared" si="114"/>
        <v>1</v>
      </c>
      <c r="BO81" s="1120">
        <f t="shared" si="115"/>
        <v>1</v>
      </c>
      <c r="BP81" s="1120">
        <f t="shared" si="116"/>
        <v>1</v>
      </c>
      <c r="BQ81" s="1120">
        <f t="shared" si="117"/>
        <v>1</v>
      </c>
      <c r="BR81" s="1120">
        <f t="shared" si="118"/>
        <v>1</v>
      </c>
      <c r="BS81" s="1120">
        <f t="shared" si="119"/>
        <v>1</v>
      </c>
      <c r="BT81" s="1120">
        <f t="shared" si="120"/>
        <v>1</v>
      </c>
      <c r="BU81" s="1120">
        <f t="shared" si="121"/>
        <v>1</v>
      </c>
      <c r="BV81" s="1120">
        <f t="shared" si="122"/>
        <v>1</v>
      </c>
      <c r="BW81" s="1120">
        <f t="shared" si="123"/>
        <v>0</v>
      </c>
      <c r="BX81" s="1120">
        <f t="shared" si="124"/>
        <v>0</v>
      </c>
      <c r="BY81" s="1120">
        <f t="shared" si="125"/>
        <v>0</v>
      </c>
      <c r="BZ81" s="1120">
        <f t="shared" si="126"/>
        <v>0</v>
      </c>
      <c r="CA81" s="1120">
        <f t="shared" si="127"/>
        <v>0</v>
      </c>
      <c r="CB81" s="1120">
        <f t="shared" si="128"/>
        <v>0</v>
      </c>
      <c r="CC81" s="1120">
        <f t="shared" si="129"/>
        <v>1</v>
      </c>
      <c r="CD81" s="1120">
        <f t="shared" si="130"/>
        <v>1</v>
      </c>
      <c r="CE81" s="1120">
        <f t="shared" si="131"/>
        <v>0</v>
      </c>
      <c r="CF81" s="1120">
        <f t="shared" si="132"/>
        <v>0</v>
      </c>
      <c r="CG81" s="1120">
        <f t="shared" si="133"/>
        <v>0</v>
      </c>
      <c r="CH81" s="1120">
        <f t="shared" si="134"/>
        <v>0</v>
      </c>
      <c r="CI81" s="1120">
        <f t="shared" si="135"/>
        <v>0.85</v>
      </c>
      <c r="CJ81" s="1120">
        <f t="shared" si="136"/>
        <v>0.85</v>
      </c>
      <c r="CK81" s="1120">
        <f t="shared" si="137"/>
        <v>0.85</v>
      </c>
      <c r="CL81" s="1120">
        <f t="shared" si="138"/>
        <v>0.85</v>
      </c>
      <c r="CM81" s="1120">
        <f t="shared" si="139"/>
        <v>0.85</v>
      </c>
      <c r="CN81" s="1120">
        <f t="shared" si="140"/>
        <v>0.85</v>
      </c>
      <c r="CO81" s="1120">
        <f t="shared" si="141"/>
        <v>0.85</v>
      </c>
      <c r="CP81" s="1120">
        <f t="shared" si="142"/>
        <v>0.85</v>
      </c>
      <c r="CQ81" s="1120">
        <f t="shared" si="143"/>
        <v>0.85</v>
      </c>
      <c r="CR81" s="1120">
        <f t="shared" si="144"/>
        <v>0.85</v>
      </c>
      <c r="CS81" s="1120">
        <f t="shared" si="145"/>
        <v>0.85</v>
      </c>
      <c r="CT81" s="1120">
        <f t="shared" si="146"/>
        <v>0.85</v>
      </c>
      <c r="CU81" s="1120">
        <v>1</v>
      </c>
      <c r="CV81" s="1120"/>
      <c r="CW81" s="1120">
        <f t="shared" si="147"/>
        <v>62</v>
      </c>
      <c r="CX81" s="1120">
        <f t="shared" si="148"/>
        <v>303</v>
      </c>
      <c r="CY81" s="1136" t="s">
        <v>4893</v>
      </c>
      <c r="CZ81" s="1129" t="s">
        <v>4894</v>
      </c>
      <c r="DA81" s="1129"/>
      <c r="DB81" s="1129"/>
      <c r="DC81" s="1125" t="s">
        <v>5650</v>
      </c>
      <c r="DD81" s="1125" t="s">
        <v>238</v>
      </c>
      <c r="DE81" s="1120" t="str">
        <f t="shared" si="149"/>
        <v/>
      </c>
      <c r="DF81" s="1133">
        <v>1</v>
      </c>
      <c r="DG81" s="1120">
        <v>0</v>
      </c>
    </row>
    <row r="82" spans="1:111">
      <c r="A82" s="1125" t="s">
        <v>3006</v>
      </c>
      <c r="B82" s="1120" t="s">
        <v>4052</v>
      </c>
      <c r="C82" s="1120" t="s">
        <v>4053</v>
      </c>
      <c r="D82" s="1120" t="s">
        <v>589</v>
      </c>
      <c r="E82" s="1120">
        <v>85</v>
      </c>
      <c r="F82" s="1120">
        <v>-74.069999999999993</v>
      </c>
      <c r="G82" s="1120">
        <v>40.18</v>
      </c>
      <c r="H82" s="1120">
        <v>-5</v>
      </c>
      <c r="I82" s="1121">
        <v>15.619999313354493</v>
      </c>
      <c r="J82" s="1121">
        <v>88.16000137329101</v>
      </c>
      <c r="K82" s="1122">
        <v>72.5</v>
      </c>
      <c r="L82" s="1120">
        <v>5124.6000000000004</v>
      </c>
      <c r="M82" s="1120">
        <v>961.2</v>
      </c>
      <c r="N82" s="1123">
        <v>30.559999978542329</v>
      </c>
      <c r="O82" s="1123">
        <v>33.799999999999997</v>
      </c>
      <c r="P82" s="1123">
        <v>36.679999828338623</v>
      </c>
      <c r="Q82" s="1123">
        <v>51.080000686645505</v>
      </c>
      <c r="R82" s="1123">
        <v>60.980000686645511</v>
      </c>
      <c r="S82" s="1123">
        <v>68.539998626708979</v>
      </c>
      <c r="T82" s="1123">
        <v>76.460001373291021</v>
      </c>
      <c r="U82" s="1123">
        <v>73.580000686645505</v>
      </c>
      <c r="V82" s="1123">
        <v>64.580000686645505</v>
      </c>
      <c r="W82" s="1123">
        <v>53.6</v>
      </c>
      <c r="X82" s="1123">
        <v>46.940000343322751</v>
      </c>
      <c r="Y82" s="1123">
        <v>38.120000171661374</v>
      </c>
      <c r="Z82" s="1123">
        <v>53.013644095283667</v>
      </c>
      <c r="AA82" s="1123">
        <f t="shared" si="75"/>
        <v>48.871175615205154</v>
      </c>
      <c r="AB82" s="1123">
        <f t="shared" si="76"/>
        <v>47.791833949413018</v>
      </c>
      <c r="AC82" s="1123">
        <f t="shared" si="77"/>
        <v>49.637630031471062</v>
      </c>
      <c r="AD82" s="1123">
        <f t="shared" si="78"/>
        <v>53.927428668012219</v>
      </c>
      <c r="AE82" s="1123">
        <f t="shared" si="79"/>
        <v>59.543027736623991</v>
      </c>
      <c r="AF82" s="1123">
        <f t="shared" si="80"/>
        <v>65.020634801071552</v>
      </c>
      <c r="AG82" s="1123">
        <f t="shared" si="81"/>
        <v>68.93242716752664</v>
      </c>
      <c r="AH82" s="1123">
        <f t="shared" si="82"/>
        <v>70.25873587312762</v>
      </c>
      <c r="AI82" s="1123">
        <f t="shared" si="83"/>
        <v>68.653838114723783</v>
      </c>
      <c r="AJ82" s="1123">
        <f t="shared" si="84"/>
        <v>64.53607522526616</v>
      </c>
      <c r="AK82" s="1123">
        <f t="shared" si="85"/>
        <v>58.978805558538838</v>
      </c>
      <c r="AL82" s="1123">
        <f t="shared" si="86"/>
        <v>53.430617093292156</v>
      </c>
      <c r="AM82" s="1120">
        <f t="shared" si="87"/>
        <v>1</v>
      </c>
      <c r="AN82" s="1120">
        <f t="shared" si="88"/>
        <v>1</v>
      </c>
      <c r="AO82" s="1120">
        <f t="shared" si="89"/>
        <v>1</v>
      </c>
      <c r="AP82" s="1120">
        <f t="shared" si="90"/>
        <v>1</v>
      </c>
      <c r="AQ82" s="1120">
        <f t="shared" si="91"/>
        <v>1</v>
      </c>
      <c r="AR82" s="1120">
        <f t="shared" si="92"/>
        <v>0</v>
      </c>
      <c r="AS82" s="1120">
        <f t="shared" si="93"/>
        <v>0</v>
      </c>
      <c r="AT82" s="1120">
        <f t="shared" si="94"/>
        <v>0</v>
      </c>
      <c r="AU82" s="1120">
        <f t="shared" si="95"/>
        <v>1</v>
      </c>
      <c r="AV82" s="1120">
        <f t="shared" si="96"/>
        <v>1</v>
      </c>
      <c r="AW82" s="1120">
        <f t="shared" si="97"/>
        <v>1</v>
      </c>
      <c r="AX82" s="1120">
        <f t="shared" si="98"/>
        <v>1</v>
      </c>
      <c r="AY82" s="1120">
        <f t="shared" si="99"/>
        <v>0</v>
      </c>
      <c r="AZ82" s="1120">
        <f t="shared" si="100"/>
        <v>0</v>
      </c>
      <c r="BA82" s="1120">
        <f t="shared" si="101"/>
        <v>0</v>
      </c>
      <c r="BB82" s="1120">
        <f t="shared" si="102"/>
        <v>0</v>
      </c>
      <c r="BC82" s="1120">
        <f t="shared" si="103"/>
        <v>0</v>
      </c>
      <c r="BD82" s="1120">
        <f t="shared" si="104"/>
        <v>1</v>
      </c>
      <c r="BE82" s="1120">
        <f t="shared" si="105"/>
        <v>1</v>
      </c>
      <c r="BF82" s="1120">
        <f t="shared" si="106"/>
        <v>1</v>
      </c>
      <c r="BG82" s="1120">
        <f t="shared" si="107"/>
        <v>0</v>
      </c>
      <c r="BH82" s="1120">
        <f t="shared" si="108"/>
        <v>0</v>
      </c>
      <c r="BI82" s="1120">
        <f t="shared" si="109"/>
        <v>0</v>
      </c>
      <c r="BJ82" s="1120">
        <f t="shared" si="110"/>
        <v>0</v>
      </c>
      <c r="BK82" s="1120">
        <f t="shared" si="111"/>
        <v>1</v>
      </c>
      <c r="BL82" s="1120">
        <f t="shared" si="112"/>
        <v>1</v>
      </c>
      <c r="BM82" s="1120">
        <f t="shared" si="113"/>
        <v>1</v>
      </c>
      <c r="BN82" s="1120">
        <f t="shared" si="114"/>
        <v>1</v>
      </c>
      <c r="BO82" s="1120">
        <f t="shared" si="115"/>
        <v>1</v>
      </c>
      <c r="BP82" s="1120">
        <f t="shared" si="116"/>
        <v>1</v>
      </c>
      <c r="BQ82" s="1120">
        <f t="shared" si="117"/>
        <v>0</v>
      </c>
      <c r="BR82" s="1120">
        <f t="shared" si="118"/>
        <v>0</v>
      </c>
      <c r="BS82" s="1120">
        <f t="shared" si="119"/>
        <v>1</v>
      </c>
      <c r="BT82" s="1120">
        <f t="shared" si="120"/>
        <v>1</v>
      </c>
      <c r="BU82" s="1120">
        <f t="shared" si="121"/>
        <v>1</v>
      </c>
      <c r="BV82" s="1120">
        <f t="shared" si="122"/>
        <v>1</v>
      </c>
      <c r="BW82" s="1120">
        <f t="shared" si="123"/>
        <v>0</v>
      </c>
      <c r="BX82" s="1120">
        <f t="shared" si="124"/>
        <v>0</v>
      </c>
      <c r="BY82" s="1120">
        <f t="shared" si="125"/>
        <v>0</v>
      </c>
      <c r="BZ82" s="1120">
        <f t="shared" si="126"/>
        <v>0</v>
      </c>
      <c r="CA82" s="1120">
        <f t="shared" si="127"/>
        <v>1</v>
      </c>
      <c r="CB82" s="1120">
        <f t="shared" si="128"/>
        <v>1</v>
      </c>
      <c r="CC82" s="1120">
        <f t="shared" si="129"/>
        <v>1</v>
      </c>
      <c r="CD82" s="1120">
        <f t="shared" si="130"/>
        <v>1</v>
      </c>
      <c r="CE82" s="1120">
        <f t="shared" si="131"/>
        <v>1</v>
      </c>
      <c r="CF82" s="1120">
        <f t="shared" si="132"/>
        <v>0</v>
      </c>
      <c r="CG82" s="1120">
        <f t="shared" si="133"/>
        <v>0</v>
      </c>
      <c r="CH82" s="1120">
        <f t="shared" si="134"/>
        <v>0</v>
      </c>
      <c r="CI82" s="1120">
        <f t="shared" si="135"/>
        <v>0.85</v>
      </c>
      <c r="CJ82" s="1120">
        <f t="shared" si="136"/>
        <v>0.85</v>
      </c>
      <c r="CK82" s="1120">
        <f t="shared" si="137"/>
        <v>0.85</v>
      </c>
      <c r="CL82" s="1120">
        <f t="shared" si="138"/>
        <v>0.85</v>
      </c>
      <c r="CM82" s="1120">
        <f t="shared" si="139"/>
        <v>0.85</v>
      </c>
      <c r="CN82" s="1120">
        <f t="shared" si="140"/>
        <v>0.85</v>
      </c>
      <c r="CO82" s="1120">
        <f t="shared" si="141"/>
        <v>0.7</v>
      </c>
      <c r="CP82" s="1120">
        <f t="shared" si="142"/>
        <v>0.7</v>
      </c>
      <c r="CQ82" s="1120">
        <f t="shared" si="143"/>
        <v>0.85</v>
      </c>
      <c r="CR82" s="1120">
        <f t="shared" si="144"/>
        <v>0.85</v>
      </c>
      <c r="CS82" s="1120">
        <f t="shared" si="145"/>
        <v>0.85</v>
      </c>
      <c r="CT82" s="1120">
        <f t="shared" si="146"/>
        <v>0.85</v>
      </c>
      <c r="CU82" s="1120">
        <v>1</v>
      </c>
      <c r="CV82" s="1120"/>
      <c r="CW82" s="1120">
        <f t="shared" si="147"/>
        <v>153</v>
      </c>
      <c r="CX82" s="1120">
        <f t="shared" si="148"/>
        <v>212</v>
      </c>
      <c r="CY82" s="1135" t="s">
        <v>4881</v>
      </c>
      <c r="CZ82" s="1124" t="s">
        <v>4885</v>
      </c>
      <c r="DA82" s="1124"/>
      <c r="DB82" s="1124"/>
      <c r="DC82" s="1120" t="s">
        <v>6043</v>
      </c>
      <c r="DD82" s="1120" t="s">
        <v>589</v>
      </c>
      <c r="DE82" s="1120" t="b">
        <f t="shared" si="149"/>
        <v>0</v>
      </c>
      <c r="DF82" s="1133">
        <v>1</v>
      </c>
      <c r="DG82" s="1125">
        <v>0</v>
      </c>
    </row>
    <row r="83" spans="1:111">
      <c r="A83" s="1120" t="s">
        <v>3004</v>
      </c>
      <c r="B83" s="1120" t="s">
        <v>3771</v>
      </c>
      <c r="C83" s="1120" t="s">
        <v>3772</v>
      </c>
      <c r="D83" s="1120" t="s">
        <v>934</v>
      </c>
      <c r="E83" s="1120">
        <v>1378</v>
      </c>
      <c r="F83" s="1120">
        <v>-94.93</v>
      </c>
      <c r="G83" s="1120">
        <v>47.5</v>
      </c>
      <c r="H83" s="1120">
        <v>-6</v>
      </c>
      <c r="I83" s="1121">
        <v>-16.780000686645508</v>
      </c>
      <c r="J83" s="1121">
        <v>83.66000137329101</v>
      </c>
      <c r="K83" s="1122">
        <v>68.180000686645513</v>
      </c>
      <c r="L83" s="1120">
        <v>8825.4</v>
      </c>
      <c r="M83" s="1120">
        <v>412.2</v>
      </c>
      <c r="N83" s="1123">
        <v>9.5</v>
      </c>
      <c r="O83" s="1123">
        <v>17.959999656677248</v>
      </c>
      <c r="P83" s="1123">
        <v>15.440000343322753</v>
      </c>
      <c r="Q83" s="1123">
        <v>44.6</v>
      </c>
      <c r="R83" s="1123">
        <v>58.819999313354494</v>
      </c>
      <c r="S83" s="1123">
        <v>64.760001373291018</v>
      </c>
      <c r="T83" s="1123">
        <v>68</v>
      </c>
      <c r="U83" s="1123">
        <v>66.2</v>
      </c>
      <c r="V83" s="1123">
        <v>59.9</v>
      </c>
      <c r="W83" s="1123">
        <v>41.9</v>
      </c>
      <c r="X83" s="1123">
        <v>33.080000042915344</v>
      </c>
      <c r="Y83" s="1123">
        <v>14.9</v>
      </c>
      <c r="Z83" s="1123">
        <v>41.34421923898671</v>
      </c>
      <c r="AA83" s="1123">
        <f t="shared" si="75"/>
        <v>38.635353161783421</v>
      </c>
      <c r="AB83" s="1123">
        <f t="shared" si="76"/>
        <v>36.515697731415862</v>
      </c>
      <c r="AC83" s="1123">
        <f t="shared" si="77"/>
        <v>37.218663304564259</v>
      </c>
      <c r="AD83" s="1123">
        <f t="shared" si="78"/>
        <v>40.561011071560102</v>
      </c>
      <c r="AE83" s="1123">
        <f t="shared" si="79"/>
        <v>45.671506579797715</v>
      </c>
      <c r="AF83" s="1123">
        <f t="shared" si="80"/>
        <v>51.218020419935293</v>
      </c>
      <c r="AG83" s="1123">
        <f t="shared" si="81"/>
        <v>55.754768285175402</v>
      </c>
      <c r="AH83" s="1123">
        <f t="shared" si="82"/>
        <v>58.099176931042358</v>
      </c>
      <c r="AI83" s="1123">
        <f t="shared" si="83"/>
        <v>57.640140115560101</v>
      </c>
      <c r="AJ83" s="1123">
        <f t="shared" si="84"/>
        <v>54.497312858655526</v>
      </c>
      <c r="AK83" s="1123">
        <f t="shared" si="85"/>
        <v>49.48992151727488</v>
      </c>
      <c r="AL83" s="1123">
        <f t="shared" si="86"/>
        <v>43.923219810785419</v>
      </c>
      <c r="AM83" s="1120">
        <f t="shared" si="87"/>
        <v>1</v>
      </c>
      <c r="AN83" s="1120">
        <f t="shared" si="88"/>
        <v>1</v>
      </c>
      <c r="AO83" s="1120">
        <f t="shared" si="89"/>
        <v>1</v>
      </c>
      <c r="AP83" s="1120">
        <f t="shared" si="90"/>
        <v>1</v>
      </c>
      <c r="AQ83" s="1120">
        <f t="shared" si="91"/>
        <v>1</v>
      </c>
      <c r="AR83" s="1120">
        <f t="shared" si="92"/>
        <v>1</v>
      </c>
      <c r="AS83" s="1120">
        <f t="shared" si="93"/>
        <v>0</v>
      </c>
      <c r="AT83" s="1120">
        <f t="shared" si="94"/>
        <v>0</v>
      </c>
      <c r="AU83" s="1120">
        <f t="shared" si="95"/>
        <v>1</v>
      </c>
      <c r="AV83" s="1120">
        <f t="shared" si="96"/>
        <v>1</v>
      </c>
      <c r="AW83" s="1120">
        <f t="shared" si="97"/>
        <v>1</v>
      </c>
      <c r="AX83" s="1120">
        <f t="shared" si="98"/>
        <v>1</v>
      </c>
      <c r="AY83" s="1120">
        <f t="shared" si="99"/>
        <v>0</v>
      </c>
      <c r="AZ83" s="1120">
        <f t="shared" si="100"/>
        <v>0</v>
      </c>
      <c r="BA83" s="1120">
        <f t="shared" si="101"/>
        <v>0</v>
      </c>
      <c r="BB83" s="1120">
        <f t="shared" si="102"/>
        <v>0</v>
      </c>
      <c r="BC83" s="1120">
        <f t="shared" si="103"/>
        <v>0</v>
      </c>
      <c r="BD83" s="1120">
        <f t="shared" si="104"/>
        <v>0</v>
      </c>
      <c r="BE83" s="1120">
        <f t="shared" si="105"/>
        <v>1</v>
      </c>
      <c r="BF83" s="1120">
        <f t="shared" si="106"/>
        <v>1</v>
      </c>
      <c r="BG83" s="1120">
        <f t="shared" si="107"/>
        <v>0</v>
      </c>
      <c r="BH83" s="1120">
        <f t="shared" si="108"/>
        <v>0</v>
      </c>
      <c r="BI83" s="1120">
        <f t="shared" si="109"/>
        <v>0</v>
      </c>
      <c r="BJ83" s="1120">
        <f t="shared" si="110"/>
        <v>0</v>
      </c>
      <c r="BK83" s="1120">
        <f t="shared" si="111"/>
        <v>1</v>
      </c>
      <c r="BL83" s="1120">
        <f t="shared" si="112"/>
        <v>1</v>
      </c>
      <c r="BM83" s="1120">
        <f t="shared" si="113"/>
        <v>1</v>
      </c>
      <c r="BN83" s="1120">
        <f t="shared" si="114"/>
        <v>1</v>
      </c>
      <c r="BO83" s="1120">
        <f t="shared" si="115"/>
        <v>1</v>
      </c>
      <c r="BP83" s="1120">
        <f t="shared" si="116"/>
        <v>1</v>
      </c>
      <c r="BQ83" s="1120">
        <f t="shared" si="117"/>
        <v>1</v>
      </c>
      <c r="BR83" s="1120">
        <f t="shared" si="118"/>
        <v>0</v>
      </c>
      <c r="BS83" s="1120">
        <f t="shared" si="119"/>
        <v>1</v>
      </c>
      <c r="BT83" s="1120">
        <f t="shared" si="120"/>
        <v>1</v>
      </c>
      <c r="BU83" s="1120">
        <f t="shared" si="121"/>
        <v>1</v>
      </c>
      <c r="BV83" s="1120">
        <f t="shared" si="122"/>
        <v>1</v>
      </c>
      <c r="BW83" s="1120">
        <f t="shared" si="123"/>
        <v>0</v>
      </c>
      <c r="BX83" s="1120">
        <f t="shared" si="124"/>
        <v>0</v>
      </c>
      <c r="BY83" s="1120">
        <f t="shared" si="125"/>
        <v>0</v>
      </c>
      <c r="BZ83" s="1120">
        <f t="shared" si="126"/>
        <v>0</v>
      </c>
      <c r="CA83" s="1120">
        <f t="shared" si="127"/>
        <v>0</v>
      </c>
      <c r="CB83" s="1120">
        <f t="shared" si="128"/>
        <v>1</v>
      </c>
      <c r="CC83" s="1120">
        <f t="shared" si="129"/>
        <v>1</v>
      </c>
      <c r="CD83" s="1120">
        <f t="shared" si="130"/>
        <v>1</v>
      </c>
      <c r="CE83" s="1120">
        <f t="shared" si="131"/>
        <v>1</v>
      </c>
      <c r="CF83" s="1120">
        <f t="shared" si="132"/>
        <v>0</v>
      </c>
      <c r="CG83" s="1120">
        <f t="shared" si="133"/>
        <v>0</v>
      </c>
      <c r="CH83" s="1120">
        <f t="shared" si="134"/>
        <v>0</v>
      </c>
      <c r="CI83" s="1120">
        <f t="shared" si="135"/>
        <v>0.85</v>
      </c>
      <c r="CJ83" s="1120">
        <f t="shared" si="136"/>
        <v>0.85</v>
      </c>
      <c r="CK83" s="1120">
        <f t="shared" si="137"/>
        <v>0.85</v>
      </c>
      <c r="CL83" s="1120">
        <f t="shared" si="138"/>
        <v>0.85</v>
      </c>
      <c r="CM83" s="1120">
        <f t="shared" si="139"/>
        <v>0.85</v>
      </c>
      <c r="CN83" s="1120">
        <f t="shared" si="140"/>
        <v>0.85</v>
      </c>
      <c r="CO83" s="1120">
        <f t="shared" si="141"/>
        <v>0.85</v>
      </c>
      <c r="CP83" s="1120">
        <f t="shared" si="142"/>
        <v>0.7</v>
      </c>
      <c r="CQ83" s="1120">
        <f t="shared" si="143"/>
        <v>0.85</v>
      </c>
      <c r="CR83" s="1120">
        <f t="shared" si="144"/>
        <v>0.85</v>
      </c>
      <c r="CS83" s="1120">
        <f t="shared" si="145"/>
        <v>0.85</v>
      </c>
      <c r="CT83" s="1120">
        <f t="shared" si="146"/>
        <v>0.85</v>
      </c>
      <c r="CU83" s="1120">
        <v>1</v>
      </c>
      <c r="CV83" s="1120"/>
      <c r="CW83" s="1120">
        <f t="shared" si="147"/>
        <v>122</v>
      </c>
      <c r="CX83" s="1120">
        <f t="shared" si="148"/>
        <v>243</v>
      </c>
      <c r="CY83" s="1135" t="s">
        <v>4879</v>
      </c>
      <c r="CZ83" s="1124">
        <v>7</v>
      </c>
      <c r="DA83" s="1124"/>
      <c r="DB83" s="1124"/>
      <c r="DC83" s="1120" t="s">
        <v>5323</v>
      </c>
      <c r="DD83" s="1120" t="s">
        <v>934</v>
      </c>
      <c r="DE83" s="1120" t="str">
        <f t="shared" si="149"/>
        <v/>
      </c>
      <c r="DF83" s="1133">
        <v>1</v>
      </c>
      <c r="DG83" s="1120">
        <v>0</v>
      </c>
    </row>
    <row r="84" spans="1:111">
      <c r="A84" s="1125" t="s">
        <v>5798</v>
      </c>
      <c r="B84" s="1125" t="s">
        <v>3773</v>
      </c>
      <c r="C84" s="1125" t="s">
        <v>3774</v>
      </c>
      <c r="D84" s="1125" t="s">
        <v>934</v>
      </c>
      <c r="E84" s="1125">
        <v>1040</v>
      </c>
      <c r="F84" s="1125">
        <v>-95.65</v>
      </c>
      <c r="G84" s="1125">
        <v>45.32</v>
      </c>
      <c r="H84" s="1125">
        <v>-6</v>
      </c>
      <c r="I84" s="1126">
        <v>-10.480000686645509</v>
      </c>
      <c r="J84" s="1126">
        <v>88.33999862670899</v>
      </c>
      <c r="K84" s="1127">
        <v>71.419999313354495</v>
      </c>
      <c r="L84" s="1125">
        <v>8380.8000000000011</v>
      </c>
      <c r="M84" s="1125">
        <v>750.6</v>
      </c>
      <c r="N84" s="1128">
        <v>16.159999656677247</v>
      </c>
      <c r="O84" s="1128">
        <v>20.840000343322753</v>
      </c>
      <c r="P84" s="1128">
        <v>31.279999989271165</v>
      </c>
      <c r="Q84" s="1128">
        <v>39.02000017166138</v>
      </c>
      <c r="R84" s="1128">
        <v>53.6</v>
      </c>
      <c r="S84" s="1128">
        <v>63.680000686645506</v>
      </c>
      <c r="T84" s="1128">
        <v>74.119999313354498</v>
      </c>
      <c r="U84" s="1128">
        <v>73.760001373291018</v>
      </c>
      <c r="V84" s="1128">
        <v>59.719999313354492</v>
      </c>
      <c r="W84" s="1128">
        <v>44.779999828338624</v>
      </c>
      <c r="X84" s="1128">
        <v>30.019999957084657</v>
      </c>
      <c r="Y84" s="1128">
        <v>13.280000686645508</v>
      </c>
      <c r="Z84" s="1128">
        <v>43.48794531438449</v>
      </c>
      <c r="AA84" s="1128">
        <f t="shared" si="75"/>
        <v>39.649890741165322</v>
      </c>
      <c r="AB84" s="1128">
        <f t="shared" si="76"/>
        <v>37.529713853875457</v>
      </c>
      <c r="AC84" s="1128">
        <f t="shared" si="77"/>
        <v>38.526634278692242</v>
      </c>
      <c r="AD84" s="1128">
        <f t="shared" si="78"/>
        <v>42.380789343878412</v>
      </c>
      <c r="AE84" s="1128">
        <f t="shared" si="79"/>
        <v>48.087534137365765</v>
      </c>
      <c r="AF84" s="1128">
        <f t="shared" si="80"/>
        <v>54.15931768513255</v>
      </c>
      <c r="AG84" s="1128">
        <f t="shared" si="81"/>
        <v>59.013436036436552</v>
      </c>
      <c r="AH84" s="1128">
        <f t="shared" si="82"/>
        <v>61.384588438782295</v>
      </c>
      <c r="AI84" s="1128">
        <f t="shared" si="83"/>
        <v>60.654697477933766</v>
      </c>
      <c r="AJ84" s="1128">
        <f t="shared" si="84"/>
        <v>57.014020480796312</v>
      </c>
      <c r="AK84" s="1128">
        <f t="shared" si="85"/>
        <v>51.41155601120461</v>
      </c>
      <c r="AL84" s="1128">
        <f t="shared" si="86"/>
        <v>45.307672769748585</v>
      </c>
      <c r="AM84" s="1125">
        <f t="shared" si="87"/>
        <v>1</v>
      </c>
      <c r="AN84" s="1125">
        <f t="shared" si="88"/>
        <v>1</v>
      </c>
      <c r="AO84" s="1125">
        <f t="shared" si="89"/>
        <v>1</v>
      </c>
      <c r="AP84" s="1125">
        <f t="shared" si="90"/>
        <v>1</v>
      </c>
      <c r="AQ84" s="1125">
        <f t="shared" si="91"/>
        <v>1</v>
      </c>
      <c r="AR84" s="1125">
        <f t="shared" si="92"/>
        <v>1</v>
      </c>
      <c r="AS84" s="1125">
        <f t="shared" si="93"/>
        <v>0</v>
      </c>
      <c r="AT84" s="1125">
        <f t="shared" si="94"/>
        <v>0</v>
      </c>
      <c r="AU84" s="1125">
        <f t="shared" si="95"/>
        <v>1</v>
      </c>
      <c r="AV84" s="1125">
        <f t="shared" si="96"/>
        <v>1</v>
      </c>
      <c r="AW84" s="1125">
        <f t="shared" si="97"/>
        <v>1</v>
      </c>
      <c r="AX84" s="1125">
        <f t="shared" si="98"/>
        <v>1</v>
      </c>
      <c r="AY84" s="1125">
        <f t="shared" si="99"/>
        <v>0</v>
      </c>
      <c r="AZ84" s="1125">
        <f t="shared" si="100"/>
        <v>0</v>
      </c>
      <c r="BA84" s="1125">
        <f t="shared" si="101"/>
        <v>0</v>
      </c>
      <c r="BB84" s="1125">
        <f t="shared" si="102"/>
        <v>0</v>
      </c>
      <c r="BC84" s="1125">
        <f t="shared" si="103"/>
        <v>0</v>
      </c>
      <c r="BD84" s="1125">
        <f t="shared" si="104"/>
        <v>0</v>
      </c>
      <c r="BE84" s="1125">
        <f t="shared" si="105"/>
        <v>1</v>
      </c>
      <c r="BF84" s="1125">
        <f t="shared" si="106"/>
        <v>1</v>
      </c>
      <c r="BG84" s="1125">
        <f t="shared" si="107"/>
        <v>0</v>
      </c>
      <c r="BH84" s="1125">
        <f t="shared" si="108"/>
        <v>0</v>
      </c>
      <c r="BI84" s="1125">
        <f t="shared" si="109"/>
        <v>0</v>
      </c>
      <c r="BJ84" s="1125">
        <f t="shared" si="110"/>
        <v>0</v>
      </c>
      <c r="BK84" s="1125">
        <f t="shared" si="111"/>
        <v>1</v>
      </c>
      <c r="BL84" s="1125">
        <f t="shared" si="112"/>
        <v>1</v>
      </c>
      <c r="BM84" s="1125">
        <f t="shared" si="113"/>
        <v>1</v>
      </c>
      <c r="BN84" s="1125">
        <f t="shared" si="114"/>
        <v>1</v>
      </c>
      <c r="BO84" s="1125">
        <f t="shared" si="115"/>
        <v>1</v>
      </c>
      <c r="BP84" s="1125">
        <f t="shared" si="116"/>
        <v>1</v>
      </c>
      <c r="BQ84" s="1125">
        <f t="shared" si="117"/>
        <v>1</v>
      </c>
      <c r="BR84" s="1125">
        <f t="shared" si="118"/>
        <v>0</v>
      </c>
      <c r="BS84" s="1125">
        <f t="shared" si="119"/>
        <v>1</v>
      </c>
      <c r="BT84" s="1125">
        <f t="shared" si="120"/>
        <v>1</v>
      </c>
      <c r="BU84" s="1125">
        <f t="shared" si="121"/>
        <v>1</v>
      </c>
      <c r="BV84" s="1125">
        <f t="shared" si="122"/>
        <v>1</v>
      </c>
      <c r="BW84" s="1125">
        <f t="shared" si="123"/>
        <v>0</v>
      </c>
      <c r="BX84" s="1125">
        <f t="shared" si="124"/>
        <v>0</v>
      </c>
      <c r="BY84" s="1125">
        <f t="shared" si="125"/>
        <v>0</v>
      </c>
      <c r="BZ84" s="1125">
        <f t="shared" si="126"/>
        <v>0</v>
      </c>
      <c r="CA84" s="1125">
        <f t="shared" si="127"/>
        <v>0</v>
      </c>
      <c r="CB84" s="1125">
        <f t="shared" si="128"/>
        <v>1</v>
      </c>
      <c r="CC84" s="1125">
        <f t="shared" si="129"/>
        <v>1</v>
      </c>
      <c r="CD84" s="1125">
        <f t="shared" si="130"/>
        <v>1</v>
      </c>
      <c r="CE84" s="1125">
        <f t="shared" si="131"/>
        <v>1</v>
      </c>
      <c r="CF84" s="1125">
        <f t="shared" si="132"/>
        <v>0</v>
      </c>
      <c r="CG84" s="1125">
        <f t="shared" si="133"/>
        <v>0</v>
      </c>
      <c r="CH84" s="1125">
        <f t="shared" si="134"/>
        <v>0</v>
      </c>
      <c r="CI84" s="1125">
        <f t="shared" si="135"/>
        <v>0.85</v>
      </c>
      <c r="CJ84" s="1125">
        <f t="shared" si="136"/>
        <v>0.85</v>
      </c>
      <c r="CK84" s="1125">
        <f t="shared" si="137"/>
        <v>0.85</v>
      </c>
      <c r="CL84" s="1125">
        <f t="shared" si="138"/>
        <v>0.85</v>
      </c>
      <c r="CM84" s="1125">
        <f t="shared" si="139"/>
        <v>0.85</v>
      </c>
      <c r="CN84" s="1125">
        <f t="shared" si="140"/>
        <v>0.85</v>
      </c>
      <c r="CO84" s="1125">
        <f t="shared" si="141"/>
        <v>0.85</v>
      </c>
      <c r="CP84" s="1125">
        <f t="shared" si="142"/>
        <v>0.7</v>
      </c>
      <c r="CQ84" s="1125">
        <f t="shared" si="143"/>
        <v>0.85</v>
      </c>
      <c r="CR84" s="1125">
        <f t="shared" si="144"/>
        <v>0.85</v>
      </c>
      <c r="CS84" s="1125">
        <f t="shared" si="145"/>
        <v>0.85</v>
      </c>
      <c r="CT84" s="1125">
        <f t="shared" si="146"/>
        <v>0.85</v>
      </c>
      <c r="CU84" s="1125">
        <v>1</v>
      </c>
      <c r="CV84" s="1125"/>
      <c r="CW84" s="1125">
        <f t="shared" si="147"/>
        <v>122</v>
      </c>
      <c r="CX84" s="1125">
        <f t="shared" si="148"/>
        <v>243</v>
      </c>
      <c r="CY84" s="1136" t="s">
        <v>4889</v>
      </c>
      <c r="CZ84" s="1129" t="s">
        <v>4899</v>
      </c>
      <c r="DA84" s="1129"/>
      <c r="DB84" s="1129"/>
      <c r="DC84" s="1125" t="s">
        <v>5324</v>
      </c>
      <c r="DD84" s="1125" t="s">
        <v>934</v>
      </c>
      <c r="DE84" s="1120" t="str">
        <f t="shared" si="149"/>
        <v/>
      </c>
      <c r="DF84" s="1133">
        <v>1</v>
      </c>
      <c r="DG84" s="1125">
        <v>0</v>
      </c>
    </row>
    <row r="85" spans="1:111">
      <c r="A85" s="1120" t="s">
        <v>3008</v>
      </c>
      <c r="B85" s="1125" t="s">
        <v>3713</v>
      </c>
      <c r="C85" s="1125" t="s">
        <v>3714</v>
      </c>
      <c r="D85" s="1125" t="s">
        <v>540</v>
      </c>
      <c r="E85" s="1125">
        <v>643</v>
      </c>
      <c r="F85" s="1125">
        <v>-86.43</v>
      </c>
      <c r="G85" s="1125">
        <v>42.13</v>
      </c>
      <c r="H85" s="1125">
        <v>-5</v>
      </c>
      <c r="I85" s="1126">
        <v>10.399999999999999</v>
      </c>
      <c r="J85" s="1126">
        <v>86</v>
      </c>
      <c r="K85" s="1127">
        <v>73.400000000000006</v>
      </c>
      <c r="L85" s="1125">
        <v>6233.4000000000005</v>
      </c>
      <c r="M85" s="1125">
        <v>869.4</v>
      </c>
      <c r="N85" s="1128">
        <v>27.320000171661377</v>
      </c>
      <c r="O85" s="1128">
        <v>32.360000005364419</v>
      </c>
      <c r="P85" s="1128">
        <v>40.459999656677248</v>
      </c>
      <c r="Q85" s="1128">
        <v>49.1</v>
      </c>
      <c r="R85" s="1128">
        <v>54.319999313354494</v>
      </c>
      <c r="S85" s="1128">
        <v>69.260001373291018</v>
      </c>
      <c r="T85" s="1128">
        <v>75.019999313354489</v>
      </c>
      <c r="U85" s="1128">
        <v>72.860001373291013</v>
      </c>
      <c r="V85" s="1128">
        <v>61.339998626708983</v>
      </c>
      <c r="W85" s="1128">
        <v>53.419999313354495</v>
      </c>
      <c r="X85" s="1128">
        <v>39.379999828338626</v>
      </c>
      <c r="Y85" s="1128">
        <v>20.479999828338624</v>
      </c>
      <c r="Z85" s="1128">
        <v>49.695232775537939</v>
      </c>
      <c r="AA85" s="1128">
        <f t="shared" si="75"/>
        <v>44.785412644084545</v>
      </c>
      <c r="AB85" s="1128">
        <f t="shared" si="76"/>
        <v>43.23503476135938</v>
      </c>
      <c r="AC85" s="1128">
        <f t="shared" si="77"/>
        <v>44.932599508493581</v>
      </c>
      <c r="AD85" s="1128">
        <f t="shared" si="78"/>
        <v>49.435610473881994</v>
      </c>
      <c r="AE85" s="1128">
        <f t="shared" si="79"/>
        <v>55.570288455896623</v>
      </c>
      <c r="AF85" s="1128">
        <f t="shared" si="80"/>
        <v>61.73753510027602</v>
      </c>
      <c r="AG85" s="1128">
        <f t="shared" si="81"/>
        <v>66.329762529015042</v>
      </c>
      <c r="AH85" s="1128">
        <f t="shared" si="82"/>
        <v>68.14993589444606</v>
      </c>
      <c r="AI85" s="1128">
        <f t="shared" si="83"/>
        <v>66.723598959148859</v>
      </c>
      <c r="AJ85" s="1128">
        <f t="shared" si="84"/>
        <v>62.422548425826179</v>
      </c>
      <c r="AK85" s="1128">
        <f t="shared" si="85"/>
        <v>56.367919397183591</v>
      </c>
      <c r="AL85" s="1128">
        <f t="shared" si="86"/>
        <v>50.137944234194435</v>
      </c>
      <c r="AM85" s="1125">
        <f t="shared" si="87"/>
        <v>1</v>
      </c>
      <c r="AN85" s="1125">
        <f t="shared" si="88"/>
        <v>1</v>
      </c>
      <c r="AO85" s="1125">
        <f t="shared" si="89"/>
        <v>1</v>
      </c>
      <c r="AP85" s="1125">
        <f t="shared" si="90"/>
        <v>1</v>
      </c>
      <c r="AQ85" s="1125">
        <f t="shared" si="91"/>
        <v>1</v>
      </c>
      <c r="AR85" s="1125">
        <f t="shared" si="92"/>
        <v>0</v>
      </c>
      <c r="AS85" s="1125">
        <f t="shared" si="93"/>
        <v>0</v>
      </c>
      <c r="AT85" s="1125">
        <f t="shared" si="94"/>
        <v>0</v>
      </c>
      <c r="AU85" s="1125">
        <f t="shared" si="95"/>
        <v>1</v>
      </c>
      <c r="AV85" s="1125">
        <f t="shared" si="96"/>
        <v>1</v>
      </c>
      <c r="AW85" s="1125">
        <f t="shared" si="97"/>
        <v>1</v>
      </c>
      <c r="AX85" s="1125">
        <f t="shared" si="98"/>
        <v>1</v>
      </c>
      <c r="AY85" s="1125">
        <f t="shared" si="99"/>
        <v>0</v>
      </c>
      <c r="AZ85" s="1125">
        <f t="shared" si="100"/>
        <v>0</v>
      </c>
      <c r="BA85" s="1125">
        <f t="shared" si="101"/>
        <v>0</v>
      </c>
      <c r="BB85" s="1125">
        <f t="shared" si="102"/>
        <v>0</v>
      </c>
      <c r="BC85" s="1125">
        <f t="shared" si="103"/>
        <v>0</v>
      </c>
      <c r="BD85" s="1125">
        <f t="shared" si="104"/>
        <v>1</v>
      </c>
      <c r="BE85" s="1125">
        <f t="shared" si="105"/>
        <v>1</v>
      </c>
      <c r="BF85" s="1125">
        <f t="shared" si="106"/>
        <v>1</v>
      </c>
      <c r="BG85" s="1125">
        <f t="shared" si="107"/>
        <v>0</v>
      </c>
      <c r="BH85" s="1125">
        <f t="shared" si="108"/>
        <v>0</v>
      </c>
      <c r="BI85" s="1125">
        <f t="shared" si="109"/>
        <v>0</v>
      </c>
      <c r="BJ85" s="1125">
        <f t="shared" si="110"/>
        <v>0</v>
      </c>
      <c r="BK85" s="1125">
        <f t="shared" si="111"/>
        <v>1</v>
      </c>
      <c r="BL85" s="1125">
        <f t="shared" si="112"/>
        <v>1</v>
      </c>
      <c r="BM85" s="1125">
        <f t="shared" si="113"/>
        <v>1</v>
      </c>
      <c r="BN85" s="1125">
        <f t="shared" si="114"/>
        <v>1</v>
      </c>
      <c r="BO85" s="1125">
        <f t="shared" si="115"/>
        <v>1</v>
      </c>
      <c r="BP85" s="1125">
        <f t="shared" si="116"/>
        <v>1</v>
      </c>
      <c r="BQ85" s="1125">
        <f t="shared" si="117"/>
        <v>0</v>
      </c>
      <c r="BR85" s="1125">
        <f t="shared" si="118"/>
        <v>0</v>
      </c>
      <c r="BS85" s="1125">
        <f t="shared" si="119"/>
        <v>1</v>
      </c>
      <c r="BT85" s="1125">
        <f t="shared" si="120"/>
        <v>1</v>
      </c>
      <c r="BU85" s="1125">
        <f t="shared" si="121"/>
        <v>1</v>
      </c>
      <c r="BV85" s="1125">
        <f t="shared" si="122"/>
        <v>1</v>
      </c>
      <c r="BW85" s="1125">
        <f t="shared" si="123"/>
        <v>0</v>
      </c>
      <c r="BX85" s="1125">
        <f t="shared" si="124"/>
        <v>0</v>
      </c>
      <c r="BY85" s="1125">
        <f t="shared" si="125"/>
        <v>0</v>
      </c>
      <c r="BZ85" s="1125">
        <f t="shared" si="126"/>
        <v>0</v>
      </c>
      <c r="CA85" s="1125">
        <f t="shared" si="127"/>
        <v>1</v>
      </c>
      <c r="CB85" s="1125">
        <f t="shared" si="128"/>
        <v>1</v>
      </c>
      <c r="CC85" s="1125">
        <f t="shared" si="129"/>
        <v>1</v>
      </c>
      <c r="CD85" s="1125">
        <f t="shared" si="130"/>
        <v>1</v>
      </c>
      <c r="CE85" s="1125">
        <f t="shared" si="131"/>
        <v>1</v>
      </c>
      <c r="CF85" s="1125">
        <f t="shared" si="132"/>
        <v>0</v>
      </c>
      <c r="CG85" s="1125">
        <f t="shared" si="133"/>
        <v>0</v>
      </c>
      <c r="CH85" s="1125">
        <f t="shared" si="134"/>
        <v>0</v>
      </c>
      <c r="CI85" s="1125">
        <f t="shared" si="135"/>
        <v>0.85</v>
      </c>
      <c r="CJ85" s="1125">
        <f t="shared" si="136"/>
        <v>0.85</v>
      </c>
      <c r="CK85" s="1125">
        <f t="shared" si="137"/>
        <v>0.85</v>
      </c>
      <c r="CL85" s="1125">
        <f t="shared" si="138"/>
        <v>0.85</v>
      </c>
      <c r="CM85" s="1125">
        <f t="shared" si="139"/>
        <v>0.85</v>
      </c>
      <c r="CN85" s="1125">
        <f t="shared" si="140"/>
        <v>0.85</v>
      </c>
      <c r="CO85" s="1125">
        <f t="shared" si="141"/>
        <v>0.7</v>
      </c>
      <c r="CP85" s="1125">
        <f t="shared" si="142"/>
        <v>0.7</v>
      </c>
      <c r="CQ85" s="1125">
        <f t="shared" si="143"/>
        <v>0.85</v>
      </c>
      <c r="CR85" s="1125">
        <f t="shared" si="144"/>
        <v>0.85</v>
      </c>
      <c r="CS85" s="1125">
        <f t="shared" si="145"/>
        <v>0.85</v>
      </c>
      <c r="CT85" s="1125">
        <f t="shared" si="146"/>
        <v>0.85</v>
      </c>
      <c r="CU85" s="1125">
        <v>1</v>
      </c>
      <c r="CV85" s="1125"/>
      <c r="CW85" s="1125">
        <f t="shared" si="147"/>
        <v>153</v>
      </c>
      <c r="CX85" s="1125">
        <f t="shared" si="148"/>
        <v>212</v>
      </c>
      <c r="CY85" s="1136" t="s">
        <v>4889</v>
      </c>
      <c r="CZ85" s="1129" t="s">
        <v>4897</v>
      </c>
      <c r="DA85" s="1129"/>
      <c r="DB85" s="1129"/>
      <c r="DC85" s="1125" t="s">
        <v>5974</v>
      </c>
      <c r="DD85" s="1125" t="s">
        <v>540</v>
      </c>
      <c r="DE85" s="1120" t="str">
        <f t="shared" si="149"/>
        <v/>
      </c>
      <c r="DF85" s="1133">
        <v>1</v>
      </c>
      <c r="DG85" s="1120">
        <v>0</v>
      </c>
    </row>
    <row r="86" spans="1:111">
      <c r="A86" s="1125" t="s">
        <v>3010</v>
      </c>
      <c r="B86" s="1125" t="s">
        <v>5802</v>
      </c>
      <c r="C86" s="1125" t="s">
        <v>5803</v>
      </c>
      <c r="D86" s="1125" t="s">
        <v>1176</v>
      </c>
      <c r="E86" s="1125">
        <v>1296</v>
      </c>
      <c r="F86" s="1125">
        <v>-94.22</v>
      </c>
      <c r="G86" s="1125">
        <v>36.35</v>
      </c>
      <c r="H86" s="1125">
        <v>-6</v>
      </c>
      <c r="I86" s="1126">
        <v>15.980000686645507</v>
      </c>
      <c r="J86" s="1126">
        <v>91.22000274658204</v>
      </c>
      <c r="K86" s="1127">
        <v>74.83999862670899</v>
      </c>
      <c r="L86" s="1125">
        <v>4273.2</v>
      </c>
      <c r="M86" s="1125">
        <v>1575</v>
      </c>
      <c r="N86" s="1128">
        <v>36.139999914169309</v>
      </c>
      <c r="O86" s="1128">
        <v>43.340000343322757</v>
      </c>
      <c r="P86" s="1128">
        <v>41.9</v>
      </c>
      <c r="Q86" s="1128">
        <v>55.940000343322751</v>
      </c>
      <c r="R86" s="1128">
        <v>68.719999313354492</v>
      </c>
      <c r="S86" s="1128">
        <v>70.519999313354489</v>
      </c>
      <c r="T86" s="1128">
        <v>79.33999862670899</v>
      </c>
      <c r="U86" s="1128">
        <v>80.239998626708982</v>
      </c>
      <c r="V86" s="1128">
        <v>71.060001373291016</v>
      </c>
      <c r="W86" s="1128">
        <v>55.4</v>
      </c>
      <c r="X86" s="1128">
        <v>44.6</v>
      </c>
      <c r="Y86" s="1128">
        <v>36.320000171661377</v>
      </c>
      <c r="Z86" s="1128">
        <v>57.032821744500772</v>
      </c>
      <c r="AA86" s="1128">
        <f t="shared" si="75"/>
        <v>52.164746784665113</v>
      </c>
      <c r="AB86" s="1128">
        <f t="shared" si="76"/>
        <v>51.450636656304965</v>
      </c>
      <c r="AC86" s="1128">
        <f t="shared" si="77"/>
        <v>53.755601558058018</v>
      </c>
      <c r="AD86" s="1128">
        <f t="shared" si="78"/>
        <v>58.478816867698001</v>
      </c>
      <c r="AE86" s="1128">
        <f t="shared" si="79"/>
        <v>64.389103727816092</v>
      </c>
      <c r="AF86" s="1128">
        <f t="shared" si="80"/>
        <v>69.945854788045011</v>
      </c>
      <c r="AG86" s="1128">
        <f t="shared" si="81"/>
        <v>73.700617252410197</v>
      </c>
      <c r="AH86" s="1128">
        <f t="shared" si="82"/>
        <v>74.674654421933795</v>
      </c>
      <c r="AI86" s="1128">
        <f t="shared" si="83"/>
        <v>72.614068498012344</v>
      </c>
      <c r="AJ86" s="1128">
        <f t="shared" si="84"/>
        <v>68.055982956306266</v>
      </c>
      <c r="AK86" s="1128">
        <f t="shared" si="85"/>
        <v>62.188533035485641</v>
      </c>
      <c r="AL86" s="1128">
        <f t="shared" si="86"/>
        <v>56.54115997755266</v>
      </c>
      <c r="AM86" s="1125">
        <f t="shared" si="87"/>
        <v>1</v>
      </c>
      <c r="AN86" s="1125">
        <f t="shared" si="88"/>
        <v>1</v>
      </c>
      <c r="AO86" s="1125">
        <f t="shared" si="89"/>
        <v>1</v>
      </c>
      <c r="AP86" s="1125">
        <f t="shared" si="90"/>
        <v>1</v>
      </c>
      <c r="AQ86" s="1125">
        <f t="shared" si="91"/>
        <v>0</v>
      </c>
      <c r="AR86" s="1125">
        <f t="shared" si="92"/>
        <v>0</v>
      </c>
      <c r="AS86" s="1125">
        <f t="shared" si="93"/>
        <v>0</v>
      </c>
      <c r="AT86" s="1125">
        <f t="shared" si="94"/>
        <v>0</v>
      </c>
      <c r="AU86" s="1125">
        <f t="shared" si="95"/>
        <v>0</v>
      </c>
      <c r="AV86" s="1125">
        <f t="shared" si="96"/>
        <v>1</v>
      </c>
      <c r="AW86" s="1125">
        <f t="shared" si="97"/>
        <v>1</v>
      </c>
      <c r="AX86" s="1125">
        <f t="shared" si="98"/>
        <v>1</v>
      </c>
      <c r="AY86" s="1125">
        <f t="shared" si="99"/>
        <v>0</v>
      </c>
      <c r="AZ86" s="1125">
        <f t="shared" si="100"/>
        <v>0</v>
      </c>
      <c r="BA86" s="1125">
        <f t="shared" si="101"/>
        <v>0</v>
      </c>
      <c r="BB86" s="1125">
        <f t="shared" si="102"/>
        <v>0</v>
      </c>
      <c r="BC86" s="1125">
        <f t="shared" si="103"/>
        <v>1</v>
      </c>
      <c r="BD86" s="1125">
        <f t="shared" si="104"/>
        <v>1</v>
      </c>
      <c r="BE86" s="1125">
        <f t="shared" si="105"/>
        <v>1</v>
      </c>
      <c r="BF86" s="1125">
        <f t="shared" si="106"/>
        <v>1</v>
      </c>
      <c r="BG86" s="1125">
        <f t="shared" si="107"/>
        <v>1</v>
      </c>
      <c r="BH86" s="1125">
        <f t="shared" si="108"/>
        <v>0</v>
      </c>
      <c r="BI86" s="1125">
        <f t="shared" si="109"/>
        <v>0</v>
      </c>
      <c r="BJ86" s="1125">
        <f t="shared" si="110"/>
        <v>0</v>
      </c>
      <c r="BK86" s="1125">
        <f t="shared" si="111"/>
        <v>1</v>
      </c>
      <c r="BL86" s="1125">
        <f t="shared" si="112"/>
        <v>1</v>
      </c>
      <c r="BM86" s="1125">
        <f t="shared" si="113"/>
        <v>1</v>
      </c>
      <c r="BN86" s="1125">
        <f t="shared" si="114"/>
        <v>1</v>
      </c>
      <c r="BO86" s="1125">
        <f t="shared" si="115"/>
        <v>1</v>
      </c>
      <c r="BP86" s="1125">
        <f t="shared" si="116"/>
        <v>0</v>
      </c>
      <c r="BQ86" s="1125">
        <f t="shared" si="117"/>
        <v>0</v>
      </c>
      <c r="BR86" s="1125">
        <f t="shared" si="118"/>
        <v>0</v>
      </c>
      <c r="BS86" s="1125">
        <f t="shared" si="119"/>
        <v>0</v>
      </c>
      <c r="BT86" s="1125">
        <f t="shared" si="120"/>
        <v>1</v>
      </c>
      <c r="BU86" s="1125">
        <f t="shared" si="121"/>
        <v>1</v>
      </c>
      <c r="BV86" s="1125">
        <f t="shared" si="122"/>
        <v>1</v>
      </c>
      <c r="BW86" s="1125">
        <f t="shared" si="123"/>
        <v>0</v>
      </c>
      <c r="BX86" s="1125">
        <f t="shared" si="124"/>
        <v>0</v>
      </c>
      <c r="BY86" s="1125">
        <f t="shared" si="125"/>
        <v>0</v>
      </c>
      <c r="BZ86" s="1125">
        <f t="shared" si="126"/>
        <v>1</v>
      </c>
      <c r="CA86" s="1125">
        <f t="shared" si="127"/>
        <v>1</v>
      </c>
      <c r="CB86" s="1125">
        <f t="shared" si="128"/>
        <v>1</v>
      </c>
      <c r="CC86" s="1125">
        <f t="shared" si="129"/>
        <v>1</v>
      </c>
      <c r="CD86" s="1125">
        <f t="shared" si="130"/>
        <v>1</v>
      </c>
      <c r="CE86" s="1125">
        <f t="shared" si="131"/>
        <v>1</v>
      </c>
      <c r="CF86" s="1125">
        <f t="shared" si="132"/>
        <v>1</v>
      </c>
      <c r="CG86" s="1125">
        <f t="shared" si="133"/>
        <v>0</v>
      </c>
      <c r="CH86" s="1125">
        <f t="shared" si="134"/>
        <v>0</v>
      </c>
      <c r="CI86" s="1125">
        <f t="shared" si="135"/>
        <v>0.85</v>
      </c>
      <c r="CJ86" s="1125">
        <f t="shared" si="136"/>
        <v>0.85</v>
      </c>
      <c r="CK86" s="1125">
        <f t="shared" si="137"/>
        <v>0.85</v>
      </c>
      <c r="CL86" s="1125">
        <f t="shared" si="138"/>
        <v>0.85</v>
      </c>
      <c r="CM86" s="1125">
        <f t="shared" si="139"/>
        <v>0.85</v>
      </c>
      <c r="CN86" s="1125">
        <f t="shared" si="140"/>
        <v>0.7</v>
      </c>
      <c r="CO86" s="1125">
        <f t="shared" si="141"/>
        <v>0.7</v>
      </c>
      <c r="CP86" s="1125">
        <f t="shared" si="142"/>
        <v>0.7</v>
      </c>
      <c r="CQ86" s="1125">
        <f t="shared" si="143"/>
        <v>0.7</v>
      </c>
      <c r="CR86" s="1125">
        <f t="shared" si="144"/>
        <v>0.85</v>
      </c>
      <c r="CS86" s="1125">
        <f t="shared" si="145"/>
        <v>0.85</v>
      </c>
      <c r="CT86" s="1125">
        <f t="shared" si="146"/>
        <v>0.85</v>
      </c>
      <c r="CU86" s="1125">
        <v>1</v>
      </c>
      <c r="CV86" s="1125"/>
      <c r="CW86" s="1125">
        <f t="shared" si="147"/>
        <v>214</v>
      </c>
      <c r="CX86" s="1125">
        <f t="shared" si="148"/>
        <v>151</v>
      </c>
      <c r="CY86" s="1136" t="s">
        <v>4881</v>
      </c>
      <c r="CZ86" s="1129" t="s">
        <v>4885</v>
      </c>
      <c r="DA86" s="1129"/>
      <c r="DB86" s="1129"/>
      <c r="DC86" s="1125" t="s">
        <v>5711</v>
      </c>
      <c r="DD86" s="1125" t="s">
        <v>1176</v>
      </c>
      <c r="DE86" s="1125" t="str">
        <f t="shared" si="149"/>
        <v/>
      </c>
      <c r="DF86" s="1125">
        <v>1</v>
      </c>
      <c r="DG86" s="1125">
        <v>0</v>
      </c>
    </row>
    <row r="87" spans="1:111">
      <c r="A87" s="1120" t="s">
        <v>3012</v>
      </c>
      <c r="B87" s="1125" t="s">
        <v>4038</v>
      </c>
      <c r="C87" s="1125" t="s">
        <v>4039</v>
      </c>
      <c r="D87" s="1125" t="s">
        <v>1249</v>
      </c>
      <c r="E87" s="1125">
        <v>1158</v>
      </c>
      <c r="F87" s="1125">
        <v>-71.180000000000007</v>
      </c>
      <c r="G87" s="1125">
        <v>44.58</v>
      </c>
      <c r="H87" s="1125">
        <v>-5</v>
      </c>
      <c r="I87" s="1126">
        <v>-10.660001373291017</v>
      </c>
      <c r="J87" s="1126">
        <v>82.039998626708979</v>
      </c>
      <c r="K87" s="1127">
        <v>66.919999313354495</v>
      </c>
      <c r="L87" s="1125">
        <v>8470.8000000000011</v>
      </c>
      <c r="M87" s="1125">
        <v>140.4</v>
      </c>
      <c r="N87" s="1128">
        <v>13.819999313354492</v>
      </c>
      <c r="O87" s="1128">
        <v>19.040000343322752</v>
      </c>
      <c r="P87" s="1128">
        <v>24.8</v>
      </c>
      <c r="Q87" s="1128">
        <v>40.640000343322754</v>
      </c>
      <c r="R87" s="1128">
        <v>47.840000343322757</v>
      </c>
      <c r="S87" s="1128">
        <v>60.259999656677245</v>
      </c>
      <c r="T87" s="1128">
        <v>63.5</v>
      </c>
      <c r="U87" s="1128">
        <v>63.139998626708987</v>
      </c>
      <c r="V87" s="1128">
        <v>58.280000686645508</v>
      </c>
      <c r="W87" s="1128">
        <v>44.959999656677248</v>
      </c>
      <c r="X87" s="1128">
        <v>34.519999957084657</v>
      </c>
      <c r="Y87" s="1128">
        <v>26.779999828338624</v>
      </c>
      <c r="Z87" s="1128">
        <v>41.573040985603853</v>
      </c>
      <c r="AA87" s="1128">
        <f t="shared" si="75"/>
        <v>40.109760929390063</v>
      </c>
      <c r="AB87" s="1128">
        <f t="shared" si="76"/>
        <v>38.316024225589423</v>
      </c>
      <c r="AC87" s="1128">
        <f t="shared" si="77"/>
        <v>38.935271595232948</v>
      </c>
      <c r="AD87" s="1128">
        <f t="shared" si="78"/>
        <v>41.806086668532217</v>
      </c>
      <c r="AE87" s="1128">
        <f t="shared" si="79"/>
        <v>46.180147256032356</v>
      </c>
      <c r="AF87" s="1128">
        <f t="shared" si="80"/>
        <v>50.917287059287425</v>
      </c>
      <c r="AG87" s="1128">
        <f t="shared" si="81"/>
        <v>54.782697587044879</v>
      </c>
      <c r="AH87" s="1128">
        <f t="shared" si="82"/>
        <v>56.768800017465409</v>
      </c>
      <c r="AI87" s="1128">
        <f t="shared" si="83"/>
        <v>56.357886145294984</v>
      </c>
      <c r="AJ87" s="1128">
        <f t="shared" si="84"/>
        <v>53.657067003689285</v>
      </c>
      <c r="AK87" s="1128">
        <f t="shared" si="85"/>
        <v>49.370352722790656</v>
      </c>
      <c r="AL87" s="1128">
        <f t="shared" si="86"/>
        <v>44.615141440182036</v>
      </c>
      <c r="AM87" s="1125">
        <f t="shared" si="87"/>
        <v>1</v>
      </c>
      <c r="AN87" s="1125">
        <f t="shared" si="88"/>
        <v>1</v>
      </c>
      <c r="AO87" s="1125">
        <f t="shared" si="89"/>
        <v>1</v>
      </c>
      <c r="AP87" s="1125">
        <f t="shared" si="90"/>
        <v>1</v>
      </c>
      <c r="AQ87" s="1125">
        <f t="shared" si="91"/>
        <v>1</v>
      </c>
      <c r="AR87" s="1125">
        <f t="shared" si="92"/>
        <v>1</v>
      </c>
      <c r="AS87" s="1125">
        <f t="shared" si="93"/>
        <v>1</v>
      </c>
      <c r="AT87" s="1125">
        <f t="shared" si="94"/>
        <v>1</v>
      </c>
      <c r="AU87" s="1125">
        <f t="shared" si="95"/>
        <v>1</v>
      </c>
      <c r="AV87" s="1125">
        <f t="shared" si="96"/>
        <v>1</v>
      </c>
      <c r="AW87" s="1125">
        <f t="shared" si="97"/>
        <v>1</v>
      </c>
      <c r="AX87" s="1125">
        <f t="shared" si="98"/>
        <v>1</v>
      </c>
      <c r="AY87" s="1125">
        <f t="shared" si="99"/>
        <v>0</v>
      </c>
      <c r="AZ87" s="1125">
        <f t="shared" si="100"/>
        <v>0</v>
      </c>
      <c r="BA87" s="1125">
        <f t="shared" si="101"/>
        <v>0</v>
      </c>
      <c r="BB87" s="1125">
        <f t="shared" si="102"/>
        <v>0</v>
      </c>
      <c r="BC87" s="1125">
        <f t="shared" si="103"/>
        <v>0</v>
      </c>
      <c r="BD87" s="1125">
        <f t="shared" si="104"/>
        <v>0</v>
      </c>
      <c r="BE87" s="1125">
        <f t="shared" si="105"/>
        <v>1</v>
      </c>
      <c r="BF87" s="1125">
        <f t="shared" si="106"/>
        <v>1</v>
      </c>
      <c r="BG87" s="1125">
        <f t="shared" si="107"/>
        <v>0</v>
      </c>
      <c r="BH87" s="1125">
        <f t="shared" si="108"/>
        <v>0</v>
      </c>
      <c r="BI87" s="1125">
        <f t="shared" si="109"/>
        <v>0</v>
      </c>
      <c r="BJ87" s="1125">
        <f t="shared" si="110"/>
        <v>0</v>
      </c>
      <c r="BK87" s="1125">
        <f t="shared" si="111"/>
        <v>1</v>
      </c>
      <c r="BL87" s="1125">
        <f t="shared" si="112"/>
        <v>1</v>
      </c>
      <c r="BM87" s="1125">
        <f t="shared" si="113"/>
        <v>1</v>
      </c>
      <c r="BN87" s="1125">
        <f t="shared" si="114"/>
        <v>1</v>
      </c>
      <c r="BO87" s="1125">
        <f t="shared" si="115"/>
        <v>1</v>
      </c>
      <c r="BP87" s="1125">
        <f t="shared" si="116"/>
        <v>1</v>
      </c>
      <c r="BQ87" s="1125">
        <f t="shared" si="117"/>
        <v>1</v>
      </c>
      <c r="BR87" s="1125">
        <f t="shared" si="118"/>
        <v>1</v>
      </c>
      <c r="BS87" s="1125">
        <f t="shared" si="119"/>
        <v>1</v>
      </c>
      <c r="BT87" s="1125">
        <f t="shared" si="120"/>
        <v>1</v>
      </c>
      <c r="BU87" s="1125">
        <f t="shared" si="121"/>
        <v>1</v>
      </c>
      <c r="BV87" s="1125">
        <f t="shared" si="122"/>
        <v>1</v>
      </c>
      <c r="BW87" s="1125">
        <f t="shared" si="123"/>
        <v>0</v>
      </c>
      <c r="BX87" s="1125">
        <f t="shared" si="124"/>
        <v>0</v>
      </c>
      <c r="BY87" s="1125">
        <f t="shared" si="125"/>
        <v>0</v>
      </c>
      <c r="BZ87" s="1125">
        <f t="shared" si="126"/>
        <v>0</v>
      </c>
      <c r="CA87" s="1125">
        <f t="shared" si="127"/>
        <v>0</v>
      </c>
      <c r="CB87" s="1125">
        <f t="shared" si="128"/>
        <v>0</v>
      </c>
      <c r="CC87" s="1125">
        <f t="shared" si="129"/>
        <v>1</v>
      </c>
      <c r="CD87" s="1125">
        <f t="shared" si="130"/>
        <v>1</v>
      </c>
      <c r="CE87" s="1125">
        <f t="shared" si="131"/>
        <v>0</v>
      </c>
      <c r="CF87" s="1125">
        <f t="shared" si="132"/>
        <v>0</v>
      </c>
      <c r="CG87" s="1125">
        <f t="shared" si="133"/>
        <v>0</v>
      </c>
      <c r="CH87" s="1125">
        <f t="shared" si="134"/>
        <v>0</v>
      </c>
      <c r="CI87" s="1125">
        <f t="shared" si="135"/>
        <v>0.85</v>
      </c>
      <c r="CJ87" s="1125">
        <f t="shared" si="136"/>
        <v>0.85</v>
      </c>
      <c r="CK87" s="1125">
        <f t="shared" si="137"/>
        <v>0.85</v>
      </c>
      <c r="CL87" s="1125">
        <f t="shared" si="138"/>
        <v>0.85</v>
      </c>
      <c r="CM87" s="1125">
        <f t="shared" si="139"/>
        <v>0.85</v>
      </c>
      <c r="CN87" s="1125">
        <f t="shared" si="140"/>
        <v>0.85</v>
      </c>
      <c r="CO87" s="1125">
        <f t="shared" si="141"/>
        <v>0.85</v>
      </c>
      <c r="CP87" s="1125">
        <f t="shared" si="142"/>
        <v>0.85</v>
      </c>
      <c r="CQ87" s="1125">
        <f t="shared" si="143"/>
        <v>0.85</v>
      </c>
      <c r="CR87" s="1125">
        <f t="shared" si="144"/>
        <v>0.85</v>
      </c>
      <c r="CS87" s="1125">
        <f t="shared" si="145"/>
        <v>0.85</v>
      </c>
      <c r="CT87" s="1125">
        <f t="shared" si="146"/>
        <v>0.85</v>
      </c>
      <c r="CU87" s="1125">
        <v>1</v>
      </c>
      <c r="CV87" s="1125"/>
      <c r="CW87" s="1125">
        <f t="shared" si="147"/>
        <v>62</v>
      </c>
      <c r="CX87" s="1125">
        <f t="shared" si="148"/>
        <v>303</v>
      </c>
      <c r="CY87" s="1136" t="s">
        <v>4889</v>
      </c>
      <c r="CZ87" s="1129" t="s">
        <v>4899</v>
      </c>
      <c r="DA87" s="1129"/>
      <c r="DB87" s="1129"/>
      <c r="DC87" s="1125" t="s">
        <v>5432</v>
      </c>
      <c r="DD87" s="1125" t="s">
        <v>1249</v>
      </c>
      <c r="DE87" s="1120" t="str">
        <f t="shared" si="149"/>
        <v/>
      </c>
      <c r="DF87" s="1133">
        <v>0</v>
      </c>
      <c r="DG87" s="1120">
        <v>0</v>
      </c>
    </row>
    <row r="88" spans="1:111">
      <c r="A88" s="1125" t="s">
        <v>3014</v>
      </c>
      <c r="B88" s="1120" t="s">
        <v>2930</v>
      </c>
      <c r="C88" s="1120" t="s">
        <v>2931</v>
      </c>
      <c r="D88" s="1120" t="s">
        <v>953</v>
      </c>
      <c r="E88" s="1120">
        <v>125</v>
      </c>
      <c r="F88" s="1120">
        <v>-161.83000000000001</v>
      </c>
      <c r="G88" s="1120">
        <v>60.78</v>
      </c>
      <c r="H88" s="1120">
        <v>-9</v>
      </c>
      <c r="I88" s="1121">
        <v>-22.18000068664551</v>
      </c>
      <c r="J88" s="1121">
        <v>68.539998626708979</v>
      </c>
      <c r="K88" s="1122">
        <v>57.2</v>
      </c>
      <c r="L88" s="1120">
        <v>11820.6</v>
      </c>
      <c r="M88" s="1120">
        <v>0</v>
      </c>
      <c r="N88" s="1123">
        <v>14.719999313354492</v>
      </c>
      <c r="O88" s="1123">
        <v>12.559999656677245</v>
      </c>
      <c r="P88" s="1123">
        <v>13.640000343322754</v>
      </c>
      <c r="Q88" s="1123">
        <v>30.559999978542329</v>
      </c>
      <c r="R88" s="1123">
        <v>43.159999656677243</v>
      </c>
      <c r="S88" s="1123">
        <v>52.159999656677243</v>
      </c>
      <c r="T88" s="1123">
        <v>55.940000343322751</v>
      </c>
      <c r="U88" s="1123">
        <v>52.880000686645509</v>
      </c>
      <c r="V88" s="1123">
        <v>44.959999656677248</v>
      </c>
      <c r="W88" s="1123">
        <v>31.639999994635581</v>
      </c>
      <c r="X88" s="1123">
        <v>18.320000171661377</v>
      </c>
      <c r="Y88" s="1123">
        <v>12.2</v>
      </c>
      <c r="Z88" s="1123">
        <v>32.003452013069634</v>
      </c>
      <c r="AA88" s="1123">
        <f t="shared" si="75"/>
        <v>33.775226470748599</v>
      </c>
      <c r="AB88" s="1123">
        <f t="shared" si="76"/>
        <v>32.13920993693737</v>
      </c>
      <c r="AC88" s="1123">
        <f t="shared" si="77"/>
        <v>32.031798470975907</v>
      </c>
      <c r="AD88" s="1123">
        <f t="shared" si="78"/>
        <v>33.480990526727858</v>
      </c>
      <c r="AE88" s="1123">
        <f t="shared" si="79"/>
        <v>36.1090318621359</v>
      </c>
      <c r="AF88" s="1123">
        <f t="shared" si="80"/>
        <v>39.230883003783035</v>
      </c>
      <c r="AG88" s="1123">
        <f t="shared" si="81"/>
        <v>42.032785342416595</v>
      </c>
      <c r="AH88" s="1123">
        <f t="shared" si="82"/>
        <v>43.784379854849696</v>
      </c>
      <c r="AI88" s="1123">
        <f t="shared" si="83"/>
        <v>44.029086438528147</v>
      </c>
      <c r="AJ88" s="1123">
        <f t="shared" si="84"/>
        <v>42.703118551373556</v>
      </c>
      <c r="AK88" s="1123">
        <f t="shared" si="85"/>
        <v>40.152110156956439</v>
      </c>
      <c r="AL88" s="1123">
        <f t="shared" si="86"/>
        <v>37.041020905510941</v>
      </c>
      <c r="AM88" s="1120">
        <f t="shared" si="87"/>
        <v>1</v>
      </c>
      <c r="AN88" s="1120">
        <f t="shared" si="88"/>
        <v>1</v>
      </c>
      <c r="AO88" s="1120">
        <f t="shared" si="89"/>
        <v>1</v>
      </c>
      <c r="AP88" s="1120">
        <f t="shared" si="90"/>
        <v>1</v>
      </c>
      <c r="AQ88" s="1120">
        <f t="shared" si="91"/>
        <v>1</v>
      </c>
      <c r="AR88" s="1120">
        <f t="shared" si="92"/>
        <v>1</v>
      </c>
      <c r="AS88" s="1120">
        <f t="shared" si="93"/>
        <v>1</v>
      </c>
      <c r="AT88" s="1120">
        <f t="shared" si="94"/>
        <v>1</v>
      </c>
      <c r="AU88" s="1120">
        <f t="shared" si="95"/>
        <v>1</v>
      </c>
      <c r="AV88" s="1120">
        <f t="shared" si="96"/>
        <v>1</v>
      </c>
      <c r="AW88" s="1120">
        <f t="shared" si="97"/>
        <v>1</v>
      </c>
      <c r="AX88" s="1120">
        <f t="shared" si="98"/>
        <v>1</v>
      </c>
      <c r="AY88" s="1120">
        <f t="shared" si="99"/>
        <v>0</v>
      </c>
      <c r="AZ88" s="1120">
        <f t="shared" si="100"/>
        <v>0</v>
      </c>
      <c r="BA88" s="1120">
        <f t="shared" si="101"/>
        <v>0</v>
      </c>
      <c r="BB88" s="1120">
        <f t="shared" si="102"/>
        <v>0</v>
      </c>
      <c r="BC88" s="1120">
        <f t="shared" si="103"/>
        <v>0</v>
      </c>
      <c r="BD88" s="1120">
        <f t="shared" si="104"/>
        <v>0</v>
      </c>
      <c r="BE88" s="1120">
        <f t="shared" si="105"/>
        <v>1</v>
      </c>
      <c r="BF88" s="1120">
        <f t="shared" si="106"/>
        <v>1</v>
      </c>
      <c r="BG88" s="1120">
        <f t="shared" si="107"/>
        <v>0</v>
      </c>
      <c r="BH88" s="1120">
        <f t="shared" si="108"/>
        <v>0</v>
      </c>
      <c r="BI88" s="1120">
        <f t="shared" si="109"/>
        <v>0</v>
      </c>
      <c r="BJ88" s="1120">
        <f t="shared" si="110"/>
        <v>0</v>
      </c>
      <c r="BK88" s="1120">
        <f t="shared" si="111"/>
        <v>1</v>
      </c>
      <c r="BL88" s="1120">
        <f t="shared" si="112"/>
        <v>1</v>
      </c>
      <c r="BM88" s="1120">
        <f t="shared" si="113"/>
        <v>1</v>
      </c>
      <c r="BN88" s="1120">
        <f t="shared" si="114"/>
        <v>1</v>
      </c>
      <c r="BO88" s="1120">
        <f t="shared" si="115"/>
        <v>1</v>
      </c>
      <c r="BP88" s="1120">
        <f t="shared" si="116"/>
        <v>1</v>
      </c>
      <c r="BQ88" s="1120">
        <f t="shared" si="117"/>
        <v>1</v>
      </c>
      <c r="BR88" s="1120">
        <f t="shared" si="118"/>
        <v>1</v>
      </c>
      <c r="BS88" s="1120">
        <f t="shared" si="119"/>
        <v>1</v>
      </c>
      <c r="BT88" s="1120">
        <f t="shared" si="120"/>
        <v>1</v>
      </c>
      <c r="BU88" s="1120">
        <f t="shared" si="121"/>
        <v>1</v>
      </c>
      <c r="BV88" s="1120">
        <f t="shared" si="122"/>
        <v>1</v>
      </c>
      <c r="BW88" s="1120">
        <f t="shared" si="123"/>
        <v>0</v>
      </c>
      <c r="BX88" s="1120">
        <f t="shared" si="124"/>
        <v>0</v>
      </c>
      <c r="BY88" s="1120">
        <f t="shared" si="125"/>
        <v>0</v>
      </c>
      <c r="BZ88" s="1120">
        <f t="shared" si="126"/>
        <v>0</v>
      </c>
      <c r="CA88" s="1120">
        <f t="shared" si="127"/>
        <v>0</v>
      </c>
      <c r="CB88" s="1120">
        <f t="shared" si="128"/>
        <v>0</v>
      </c>
      <c r="CC88" s="1120">
        <f t="shared" si="129"/>
        <v>1</v>
      </c>
      <c r="CD88" s="1120">
        <f t="shared" si="130"/>
        <v>1</v>
      </c>
      <c r="CE88" s="1120">
        <f t="shared" si="131"/>
        <v>0</v>
      </c>
      <c r="CF88" s="1120">
        <f t="shared" si="132"/>
        <v>0</v>
      </c>
      <c r="CG88" s="1120">
        <f t="shared" si="133"/>
        <v>0</v>
      </c>
      <c r="CH88" s="1120">
        <f t="shared" si="134"/>
        <v>0</v>
      </c>
      <c r="CI88" s="1120">
        <f t="shared" si="135"/>
        <v>0.85</v>
      </c>
      <c r="CJ88" s="1120">
        <f t="shared" si="136"/>
        <v>0.85</v>
      </c>
      <c r="CK88" s="1120">
        <f t="shared" si="137"/>
        <v>0.85</v>
      </c>
      <c r="CL88" s="1120">
        <f t="shared" si="138"/>
        <v>0.85</v>
      </c>
      <c r="CM88" s="1120">
        <f t="shared" si="139"/>
        <v>0.85</v>
      </c>
      <c r="CN88" s="1120">
        <f t="shared" si="140"/>
        <v>0.85</v>
      </c>
      <c r="CO88" s="1120">
        <f t="shared" si="141"/>
        <v>0.85</v>
      </c>
      <c r="CP88" s="1120">
        <f t="shared" si="142"/>
        <v>0.85</v>
      </c>
      <c r="CQ88" s="1120">
        <f t="shared" si="143"/>
        <v>0.85</v>
      </c>
      <c r="CR88" s="1120">
        <f t="shared" si="144"/>
        <v>0.85</v>
      </c>
      <c r="CS88" s="1120">
        <f t="shared" si="145"/>
        <v>0.85</v>
      </c>
      <c r="CT88" s="1120">
        <f t="shared" si="146"/>
        <v>0.85</v>
      </c>
      <c r="CU88" s="1120">
        <v>1</v>
      </c>
      <c r="CV88" s="1120"/>
      <c r="CW88" s="1120">
        <f t="shared" si="147"/>
        <v>62</v>
      </c>
      <c r="CX88" s="1120">
        <f t="shared" si="148"/>
        <v>303</v>
      </c>
      <c r="CY88" s="1135" t="s">
        <v>4880</v>
      </c>
      <c r="CZ88" s="1124">
        <v>8</v>
      </c>
      <c r="DA88" s="1124"/>
      <c r="DB88" s="1124"/>
      <c r="DC88" s="1120" t="s">
        <v>4911</v>
      </c>
      <c r="DD88" s="1120" t="s">
        <v>953</v>
      </c>
      <c r="DE88" s="1120" t="str">
        <f t="shared" si="149"/>
        <v/>
      </c>
      <c r="DF88" s="1120">
        <v>0</v>
      </c>
      <c r="DG88" s="1125">
        <v>0</v>
      </c>
    </row>
    <row r="89" spans="1:111">
      <c r="A89" s="1120" t="s">
        <v>3016</v>
      </c>
      <c r="B89" s="1125" t="s">
        <v>601</v>
      </c>
      <c r="C89" s="1125" t="s">
        <v>602</v>
      </c>
      <c r="D89" s="1125" t="s">
        <v>953</v>
      </c>
      <c r="E89" s="1125">
        <v>643</v>
      </c>
      <c r="F89" s="1125">
        <v>-151.52000000000001</v>
      </c>
      <c r="G89" s="1125">
        <v>66.92</v>
      </c>
      <c r="H89" s="1125">
        <v>-9</v>
      </c>
      <c r="I89" s="1126">
        <v>-44.320002746582034</v>
      </c>
      <c r="J89" s="1126">
        <v>75.919999313354495</v>
      </c>
      <c r="K89" s="1127">
        <v>58.640000343322754</v>
      </c>
      <c r="L89" s="1125">
        <v>14605.2</v>
      </c>
      <c r="M89" s="1125">
        <v>19.8</v>
      </c>
      <c r="N89" s="1128">
        <v>-5.4399986267089853</v>
      </c>
      <c r="O89" s="1128">
        <v>-5.6199993133544934</v>
      </c>
      <c r="P89" s="1128">
        <v>4.4599996566772457</v>
      </c>
      <c r="Q89" s="1128">
        <v>26.960000085830689</v>
      </c>
      <c r="R89" s="1128">
        <v>46.4</v>
      </c>
      <c r="S89" s="1128">
        <v>56.659999656677243</v>
      </c>
      <c r="T89" s="1128">
        <v>60.980000686645511</v>
      </c>
      <c r="U89" s="1128">
        <v>53.419999313354495</v>
      </c>
      <c r="V89" s="1128">
        <v>38.47999982833862</v>
      </c>
      <c r="W89" s="1128">
        <v>19.759999656677245</v>
      </c>
      <c r="X89" s="1128">
        <v>3.380000686645507</v>
      </c>
      <c r="Y89" s="1128">
        <v>-8.1399986267089854</v>
      </c>
      <c r="Z89" s="1128">
        <v>24.442959152901008</v>
      </c>
      <c r="AA89" s="1128">
        <f t="shared" si="75"/>
        <v>32</v>
      </c>
      <c r="AB89" s="1128">
        <f t="shared" si="76"/>
        <v>32</v>
      </c>
      <c r="AC89" s="1128">
        <f t="shared" si="77"/>
        <v>32</v>
      </c>
      <c r="AD89" s="1128">
        <f t="shared" si="78"/>
        <v>32</v>
      </c>
      <c r="AE89" s="1128">
        <f t="shared" si="79"/>
        <v>32</v>
      </c>
      <c r="AF89" s="1128">
        <f t="shared" si="80"/>
        <v>32</v>
      </c>
      <c r="AG89" s="1128">
        <f t="shared" si="81"/>
        <v>34.36162449365483</v>
      </c>
      <c r="AH89" s="1128">
        <f t="shared" si="82"/>
        <v>36.752862535698853</v>
      </c>
      <c r="AI89" s="1128">
        <f t="shared" si="83"/>
        <v>37.499327022462104</v>
      </c>
      <c r="AJ89" s="1128">
        <f t="shared" si="84"/>
        <v>36.406440482103797</v>
      </c>
      <c r="AK89" s="1128">
        <f t="shared" si="85"/>
        <v>33.7590806332597</v>
      </c>
      <c r="AL89" s="1128">
        <f t="shared" si="86"/>
        <v>32</v>
      </c>
      <c r="AM89" s="1125">
        <f t="shared" si="87"/>
        <v>1</v>
      </c>
      <c r="AN89" s="1125">
        <f t="shared" si="88"/>
        <v>1</v>
      </c>
      <c r="AO89" s="1125">
        <f t="shared" si="89"/>
        <v>1</v>
      </c>
      <c r="AP89" s="1125">
        <f t="shared" si="90"/>
        <v>1</v>
      </c>
      <c r="AQ89" s="1125">
        <f t="shared" si="91"/>
        <v>1</v>
      </c>
      <c r="AR89" s="1125">
        <f t="shared" si="92"/>
        <v>1</v>
      </c>
      <c r="AS89" s="1125">
        <f t="shared" si="93"/>
        <v>1</v>
      </c>
      <c r="AT89" s="1125">
        <f t="shared" si="94"/>
        <v>1</v>
      </c>
      <c r="AU89" s="1125">
        <f t="shared" si="95"/>
        <v>1</v>
      </c>
      <c r="AV89" s="1125">
        <f t="shared" si="96"/>
        <v>1</v>
      </c>
      <c r="AW89" s="1125">
        <f t="shared" si="97"/>
        <v>1</v>
      </c>
      <c r="AX89" s="1125">
        <f t="shared" si="98"/>
        <v>1</v>
      </c>
      <c r="AY89" s="1125">
        <f t="shared" si="99"/>
        <v>0</v>
      </c>
      <c r="AZ89" s="1125">
        <f t="shared" si="100"/>
        <v>0</v>
      </c>
      <c r="BA89" s="1125">
        <f t="shared" si="101"/>
        <v>0</v>
      </c>
      <c r="BB89" s="1125">
        <f t="shared" si="102"/>
        <v>0</v>
      </c>
      <c r="BC89" s="1125">
        <f t="shared" si="103"/>
        <v>0</v>
      </c>
      <c r="BD89" s="1125">
        <f t="shared" si="104"/>
        <v>0</v>
      </c>
      <c r="BE89" s="1125">
        <f t="shared" si="105"/>
        <v>1</v>
      </c>
      <c r="BF89" s="1125">
        <f t="shared" si="106"/>
        <v>1</v>
      </c>
      <c r="BG89" s="1125">
        <f t="shared" si="107"/>
        <v>0</v>
      </c>
      <c r="BH89" s="1125">
        <f t="shared" si="108"/>
        <v>0</v>
      </c>
      <c r="BI89" s="1125">
        <f t="shared" si="109"/>
        <v>0</v>
      </c>
      <c r="BJ89" s="1125">
        <f t="shared" si="110"/>
        <v>0</v>
      </c>
      <c r="BK89" s="1125">
        <f t="shared" si="111"/>
        <v>1</v>
      </c>
      <c r="BL89" s="1125">
        <f t="shared" si="112"/>
        <v>1</v>
      </c>
      <c r="BM89" s="1125">
        <f t="shared" si="113"/>
        <v>1</v>
      </c>
      <c r="BN89" s="1125">
        <f t="shared" si="114"/>
        <v>1</v>
      </c>
      <c r="BO89" s="1125">
        <f t="shared" si="115"/>
        <v>1</v>
      </c>
      <c r="BP89" s="1125">
        <f t="shared" si="116"/>
        <v>1</v>
      </c>
      <c r="BQ89" s="1125">
        <f t="shared" si="117"/>
        <v>1</v>
      </c>
      <c r="BR89" s="1125">
        <f t="shared" si="118"/>
        <v>1</v>
      </c>
      <c r="BS89" s="1125">
        <f t="shared" si="119"/>
        <v>1</v>
      </c>
      <c r="BT89" s="1125">
        <f t="shared" si="120"/>
        <v>1</v>
      </c>
      <c r="BU89" s="1125">
        <f t="shared" si="121"/>
        <v>1</v>
      </c>
      <c r="BV89" s="1125">
        <f t="shared" si="122"/>
        <v>1</v>
      </c>
      <c r="BW89" s="1125">
        <f t="shared" si="123"/>
        <v>0</v>
      </c>
      <c r="BX89" s="1125">
        <f t="shared" si="124"/>
        <v>0</v>
      </c>
      <c r="BY89" s="1125">
        <f t="shared" si="125"/>
        <v>0</v>
      </c>
      <c r="BZ89" s="1125">
        <f t="shared" si="126"/>
        <v>0</v>
      </c>
      <c r="CA89" s="1125">
        <f t="shared" si="127"/>
        <v>0</v>
      </c>
      <c r="CB89" s="1125">
        <f t="shared" si="128"/>
        <v>0</v>
      </c>
      <c r="CC89" s="1125">
        <f t="shared" si="129"/>
        <v>1</v>
      </c>
      <c r="CD89" s="1125">
        <f t="shared" si="130"/>
        <v>1</v>
      </c>
      <c r="CE89" s="1125">
        <f t="shared" si="131"/>
        <v>0</v>
      </c>
      <c r="CF89" s="1125">
        <f t="shared" si="132"/>
        <v>0</v>
      </c>
      <c r="CG89" s="1125">
        <f t="shared" si="133"/>
        <v>0</v>
      </c>
      <c r="CH89" s="1125">
        <f t="shared" si="134"/>
        <v>0</v>
      </c>
      <c r="CI89" s="1125">
        <f t="shared" si="135"/>
        <v>0.85</v>
      </c>
      <c r="CJ89" s="1125">
        <f t="shared" si="136"/>
        <v>0.85</v>
      </c>
      <c r="CK89" s="1125">
        <f t="shared" si="137"/>
        <v>0.85</v>
      </c>
      <c r="CL89" s="1125">
        <f t="shared" si="138"/>
        <v>0.85</v>
      </c>
      <c r="CM89" s="1125">
        <f t="shared" si="139"/>
        <v>0.85</v>
      </c>
      <c r="CN89" s="1125">
        <f t="shared" si="140"/>
        <v>0.85</v>
      </c>
      <c r="CO89" s="1125">
        <f t="shared" si="141"/>
        <v>0.85</v>
      </c>
      <c r="CP89" s="1125">
        <f t="shared" si="142"/>
        <v>0.85</v>
      </c>
      <c r="CQ89" s="1125">
        <f t="shared" si="143"/>
        <v>0.85</v>
      </c>
      <c r="CR89" s="1125">
        <f t="shared" si="144"/>
        <v>0.85</v>
      </c>
      <c r="CS89" s="1125">
        <f t="shared" si="145"/>
        <v>0.85</v>
      </c>
      <c r="CT89" s="1125">
        <f t="shared" si="146"/>
        <v>0.85</v>
      </c>
      <c r="CU89" s="1125">
        <v>1</v>
      </c>
      <c r="CV89" s="1125"/>
      <c r="CW89" s="1125">
        <f t="shared" si="147"/>
        <v>62</v>
      </c>
      <c r="CX89" s="1125">
        <f t="shared" si="148"/>
        <v>303</v>
      </c>
      <c r="CY89" s="1136" t="s">
        <v>4880</v>
      </c>
      <c r="CZ89" s="1129">
        <v>8</v>
      </c>
      <c r="DA89" s="1129"/>
      <c r="DB89" s="1129"/>
      <c r="DC89" s="1125" t="s">
        <v>4912</v>
      </c>
      <c r="DD89" s="1125" t="s">
        <v>953</v>
      </c>
      <c r="DE89" s="1125" t="str">
        <f t="shared" si="149"/>
        <v/>
      </c>
      <c r="DF89" s="1125">
        <v>1</v>
      </c>
      <c r="DG89" s="1120">
        <v>0</v>
      </c>
    </row>
    <row r="90" spans="1:111">
      <c r="A90" s="1125" t="s">
        <v>3018</v>
      </c>
      <c r="B90" s="1120" t="s">
        <v>3649</v>
      </c>
      <c r="C90" s="1120" t="s">
        <v>3650</v>
      </c>
      <c r="D90" s="1120" t="s">
        <v>250</v>
      </c>
      <c r="E90" s="1120">
        <v>112</v>
      </c>
      <c r="F90" s="1120">
        <v>-70.92</v>
      </c>
      <c r="G90" s="1120">
        <v>42.58</v>
      </c>
      <c r="H90" s="1120">
        <v>-5</v>
      </c>
      <c r="I90" s="1121">
        <v>-5.9800006866455089</v>
      </c>
      <c r="J90" s="1121">
        <v>91.579997253417972</v>
      </c>
      <c r="K90" s="1122">
        <v>73.580000686645505</v>
      </c>
      <c r="L90" s="1120">
        <v>6413.4000000000005</v>
      </c>
      <c r="M90" s="1120">
        <v>532.80000000000007</v>
      </c>
      <c r="N90" s="1123">
        <v>17.959999656677248</v>
      </c>
      <c r="O90" s="1123">
        <v>24.079999828338622</v>
      </c>
      <c r="P90" s="1123">
        <v>41</v>
      </c>
      <c r="Q90" s="1123">
        <v>45.859999656677246</v>
      </c>
      <c r="R90" s="1123">
        <v>54.859999656677246</v>
      </c>
      <c r="S90" s="1123">
        <v>63.680000686645506</v>
      </c>
      <c r="T90" s="1123">
        <v>68.539998626708979</v>
      </c>
      <c r="U90" s="1123">
        <v>72.319999313354487</v>
      </c>
      <c r="V90" s="1123">
        <v>62.780000686645508</v>
      </c>
      <c r="W90" s="1123">
        <v>48.919999313354495</v>
      </c>
      <c r="X90" s="1123">
        <v>45.5</v>
      </c>
      <c r="Y90" s="1123">
        <v>32.540000021457672</v>
      </c>
      <c r="Z90" s="1123">
        <v>48.299123069390859</v>
      </c>
      <c r="AA90" s="1123">
        <f t="shared" si="75"/>
        <v>43.900341048622749</v>
      </c>
      <c r="AB90" s="1123">
        <f t="shared" si="76"/>
        <v>42.259497288062761</v>
      </c>
      <c r="AC90" s="1123">
        <f t="shared" si="77"/>
        <v>43.756967523655362</v>
      </c>
      <c r="AD90" s="1123">
        <f t="shared" si="78"/>
        <v>48.002413061778483</v>
      </c>
      <c r="AE90" s="1123">
        <f t="shared" si="79"/>
        <v>53.889193098624226</v>
      </c>
      <c r="AF90" s="1123">
        <f t="shared" si="80"/>
        <v>59.882827699562363</v>
      </c>
      <c r="AG90" s="1123">
        <f t="shared" si="81"/>
        <v>64.420983641153313</v>
      </c>
      <c r="AH90" s="1123">
        <f t="shared" si="82"/>
        <v>66.320720642121415</v>
      </c>
      <c r="AI90" s="1123">
        <f t="shared" si="83"/>
        <v>65.086842977330974</v>
      </c>
      <c r="AJ90" s="1123">
        <f t="shared" si="84"/>
        <v>61.040979874739996</v>
      </c>
      <c r="AK90" s="1123">
        <f t="shared" si="85"/>
        <v>55.237747900676524</v>
      </c>
      <c r="AL90" s="1123">
        <f t="shared" si="86"/>
        <v>49.189848899691953</v>
      </c>
      <c r="AM90" s="1120">
        <f t="shared" si="87"/>
        <v>1</v>
      </c>
      <c r="AN90" s="1120">
        <f t="shared" si="88"/>
        <v>1</v>
      </c>
      <c r="AO90" s="1120">
        <f t="shared" si="89"/>
        <v>1</v>
      </c>
      <c r="AP90" s="1120">
        <f t="shared" si="90"/>
        <v>1</v>
      </c>
      <c r="AQ90" s="1120">
        <f t="shared" si="91"/>
        <v>1</v>
      </c>
      <c r="AR90" s="1120">
        <f t="shared" si="92"/>
        <v>1</v>
      </c>
      <c r="AS90" s="1120">
        <f t="shared" si="93"/>
        <v>0</v>
      </c>
      <c r="AT90" s="1120">
        <f t="shared" si="94"/>
        <v>0</v>
      </c>
      <c r="AU90" s="1120">
        <f t="shared" si="95"/>
        <v>1</v>
      </c>
      <c r="AV90" s="1120">
        <f t="shared" si="96"/>
        <v>1</v>
      </c>
      <c r="AW90" s="1120">
        <f t="shared" si="97"/>
        <v>1</v>
      </c>
      <c r="AX90" s="1120">
        <f t="shared" si="98"/>
        <v>1</v>
      </c>
      <c r="AY90" s="1120">
        <f t="shared" si="99"/>
        <v>0</v>
      </c>
      <c r="AZ90" s="1120">
        <f t="shared" si="100"/>
        <v>0</v>
      </c>
      <c r="BA90" s="1120">
        <f t="shared" si="101"/>
        <v>0</v>
      </c>
      <c r="BB90" s="1120">
        <f t="shared" si="102"/>
        <v>0</v>
      </c>
      <c r="BC90" s="1120">
        <f t="shared" si="103"/>
        <v>0</v>
      </c>
      <c r="BD90" s="1120">
        <f t="shared" si="104"/>
        <v>0</v>
      </c>
      <c r="BE90" s="1120">
        <f t="shared" si="105"/>
        <v>1</v>
      </c>
      <c r="BF90" s="1120">
        <f t="shared" si="106"/>
        <v>1</v>
      </c>
      <c r="BG90" s="1120">
        <f t="shared" si="107"/>
        <v>0</v>
      </c>
      <c r="BH90" s="1120">
        <f t="shared" si="108"/>
        <v>0</v>
      </c>
      <c r="BI90" s="1120">
        <f t="shared" si="109"/>
        <v>0</v>
      </c>
      <c r="BJ90" s="1120">
        <f t="shared" si="110"/>
        <v>0</v>
      </c>
      <c r="BK90" s="1120">
        <f t="shared" si="111"/>
        <v>1</v>
      </c>
      <c r="BL90" s="1120">
        <f t="shared" si="112"/>
        <v>1</v>
      </c>
      <c r="BM90" s="1120">
        <f t="shared" si="113"/>
        <v>1</v>
      </c>
      <c r="BN90" s="1120">
        <f t="shared" si="114"/>
        <v>1</v>
      </c>
      <c r="BO90" s="1120">
        <f t="shared" si="115"/>
        <v>1</v>
      </c>
      <c r="BP90" s="1120">
        <f t="shared" si="116"/>
        <v>1</v>
      </c>
      <c r="BQ90" s="1120">
        <f t="shared" si="117"/>
        <v>1</v>
      </c>
      <c r="BR90" s="1120">
        <f t="shared" si="118"/>
        <v>0</v>
      </c>
      <c r="BS90" s="1120">
        <f t="shared" si="119"/>
        <v>1</v>
      </c>
      <c r="BT90" s="1120">
        <f t="shared" si="120"/>
        <v>1</v>
      </c>
      <c r="BU90" s="1120">
        <f t="shared" si="121"/>
        <v>1</v>
      </c>
      <c r="BV90" s="1120">
        <f t="shared" si="122"/>
        <v>1</v>
      </c>
      <c r="BW90" s="1120">
        <f t="shared" si="123"/>
        <v>0</v>
      </c>
      <c r="BX90" s="1120">
        <f t="shared" si="124"/>
        <v>0</v>
      </c>
      <c r="BY90" s="1120">
        <f t="shared" si="125"/>
        <v>0</v>
      </c>
      <c r="BZ90" s="1120">
        <f t="shared" si="126"/>
        <v>0</v>
      </c>
      <c r="CA90" s="1120">
        <f t="shared" si="127"/>
        <v>0</v>
      </c>
      <c r="CB90" s="1120">
        <f t="shared" si="128"/>
        <v>1</v>
      </c>
      <c r="CC90" s="1120">
        <f t="shared" si="129"/>
        <v>1</v>
      </c>
      <c r="CD90" s="1120">
        <f t="shared" si="130"/>
        <v>1</v>
      </c>
      <c r="CE90" s="1120">
        <f t="shared" si="131"/>
        <v>1</v>
      </c>
      <c r="CF90" s="1120">
        <f t="shared" si="132"/>
        <v>0</v>
      </c>
      <c r="CG90" s="1120">
        <f t="shared" si="133"/>
        <v>0</v>
      </c>
      <c r="CH90" s="1120">
        <f t="shared" si="134"/>
        <v>0</v>
      </c>
      <c r="CI90" s="1120">
        <f t="shared" si="135"/>
        <v>0.85</v>
      </c>
      <c r="CJ90" s="1120">
        <f t="shared" si="136"/>
        <v>0.85</v>
      </c>
      <c r="CK90" s="1120">
        <f t="shared" si="137"/>
        <v>0.85</v>
      </c>
      <c r="CL90" s="1120">
        <f t="shared" si="138"/>
        <v>0.85</v>
      </c>
      <c r="CM90" s="1120">
        <f t="shared" si="139"/>
        <v>0.85</v>
      </c>
      <c r="CN90" s="1120">
        <f t="shared" si="140"/>
        <v>0.85</v>
      </c>
      <c r="CO90" s="1120">
        <f t="shared" si="141"/>
        <v>0.85</v>
      </c>
      <c r="CP90" s="1120">
        <f t="shared" si="142"/>
        <v>0.7</v>
      </c>
      <c r="CQ90" s="1120">
        <f t="shared" si="143"/>
        <v>0.85</v>
      </c>
      <c r="CR90" s="1120">
        <f t="shared" si="144"/>
        <v>0.85</v>
      </c>
      <c r="CS90" s="1120">
        <f t="shared" si="145"/>
        <v>0.85</v>
      </c>
      <c r="CT90" s="1120">
        <f t="shared" si="146"/>
        <v>0.85</v>
      </c>
      <c r="CU90" s="1120">
        <v>1</v>
      </c>
      <c r="CV90" s="1120"/>
      <c r="CW90" s="1120">
        <f t="shared" si="147"/>
        <v>122</v>
      </c>
      <c r="CX90" s="1120">
        <f t="shared" si="148"/>
        <v>243</v>
      </c>
      <c r="CY90" s="1135" t="s">
        <v>4889</v>
      </c>
      <c r="CZ90" s="1124" t="s">
        <v>4897</v>
      </c>
      <c r="DA90" s="1124"/>
      <c r="DB90" s="1124"/>
      <c r="DC90" s="1120" t="s">
        <v>5266</v>
      </c>
      <c r="DD90" s="1120" t="s">
        <v>250</v>
      </c>
      <c r="DE90" s="1120" t="str">
        <f t="shared" si="149"/>
        <v/>
      </c>
      <c r="DF90" s="1133">
        <v>1</v>
      </c>
      <c r="DG90" s="1125">
        <v>0</v>
      </c>
    </row>
    <row r="91" spans="1:111">
      <c r="A91" s="1120" t="s">
        <v>3020</v>
      </c>
      <c r="B91" s="1120" t="s">
        <v>2932</v>
      </c>
      <c r="C91" s="1120" t="s">
        <v>2933</v>
      </c>
      <c r="D91" s="1120" t="s">
        <v>953</v>
      </c>
      <c r="E91" s="1120">
        <v>1266</v>
      </c>
      <c r="F91" s="1120">
        <v>-145.72</v>
      </c>
      <c r="G91" s="1120">
        <v>64</v>
      </c>
      <c r="H91" s="1120">
        <v>-9</v>
      </c>
      <c r="I91" s="1121">
        <v>-32.97999725341797</v>
      </c>
      <c r="J91" s="1121">
        <v>74.83999862670899</v>
      </c>
      <c r="K91" s="1122">
        <v>57.019999313354489</v>
      </c>
      <c r="L91" s="1120">
        <v>12375</v>
      </c>
      <c r="M91" s="1120">
        <v>153</v>
      </c>
      <c r="N91" s="1123">
        <v>5.8999999999999995</v>
      </c>
      <c r="O91" s="1123">
        <v>7.6999999999999993</v>
      </c>
      <c r="P91" s="1123">
        <v>12.740000343322754</v>
      </c>
      <c r="Q91" s="1123">
        <v>33.259999978542325</v>
      </c>
      <c r="R91" s="1123">
        <v>51.619999313354491</v>
      </c>
      <c r="S91" s="1123">
        <v>64.939998626708984</v>
      </c>
      <c r="T91" s="1123">
        <v>61.160001373291017</v>
      </c>
      <c r="U91" s="1123">
        <v>52.880000686645509</v>
      </c>
      <c r="V91" s="1123">
        <v>45.679999828338623</v>
      </c>
      <c r="W91" s="1123">
        <v>24.979999828338624</v>
      </c>
      <c r="X91" s="1123">
        <v>1.580000686645507</v>
      </c>
      <c r="Y91" s="1123">
        <v>7.1599996566772459</v>
      </c>
      <c r="Z91" s="1123">
        <v>30.928876742075566</v>
      </c>
      <c r="AA91" s="1123">
        <f t="shared" si="75"/>
        <v>32</v>
      </c>
      <c r="AB91" s="1123">
        <f t="shared" si="76"/>
        <v>32</v>
      </c>
      <c r="AC91" s="1123">
        <f t="shared" si="77"/>
        <v>32</v>
      </c>
      <c r="AD91" s="1123">
        <f t="shared" si="78"/>
        <v>32</v>
      </c>
      <c r="AE91" s="1123">
        <f t="shared" si="79"/>
        <v>34.140436260204083</v>
      </c>
      <c r="AF91" s="1123">
        <f t="shared" si="80"/>
        <v>38.483814511306761</v>
      </c>
      <c r="AG91" s="1123">
        <f t="shared" si="81"/>
        <v>42.421874270542972</v>
      </c>
      <c r="AH91" s="1123">
        <f t="shared" si="82"/>
        <v>44.928099574329913</v>
      </c>
      <c r="AI91" s="1123">
        <f t="shared" si="83"/>
        <v>45.349204175134517</v>
      </c>
      <c r="AJ91" s="1123">
        <f t="shared" si="84"/>
        <v>43.575420669338712</v>
      </c>
      <c r="AK91" s="1123">
        <f t="shared" si="85"/>
        <v>40.069113062559445</v>
      </c>
      <c r="AL91" s="1123">
        <f t="shared" si="86"/>
        <v>35.74425446633952</v>
      </c>
      <c r="AM91" s="1120">
        <f t="shared" si="87"/>
        <v>1</v>
      </c>
      <c r="AN91" s="1120">
        <f t="shared" si="88"/>
        <v>1</v>
      </c>
      <c r="AO91" s="1120">
        <f t="shared" si="89"/>
        <v>1</v>
      </c>
      <c r="AP91" s="1120">
        <f t="shared" si="90"/>
        <v>1</v>
      </c>
      <c r="AQ91" s="1120">
        <f t="shared" si="91"/>
        <v>1</v>
      </c>
      <c r="AR91" s="1120">
        <f t="shared" si="92"/>
        <v>1</v>
      </c>
      <c r="AS91" s="1120">
        <f t="shared" si="93"/>
        <v>1</v>
      </c>
      <c r="AT91" s="1120">
        <f t="shared" si="94"/>
        <v>1</v>
      </c>
      <c r="AU91" s="1120">
        <f t="shared" si="95"/>
        <v>1</v>
      </c>
      <c r="AV91" s="1120">
        <f t="shared" si="96"/>
        <v>1</v>
      </c>
      <c r="AW91" s="1120">
        <f t="shared" si="97"/>
        <v>1</v>
      </c>
      <c r="AX91" s="1120">
        <f t="shared" si="98"/>
        <v>1</v>
      </c>
      <c r="AY91" s="1120">
        <f t="shared" si="99"/>
        <v>0</v>
      </c>
      <c r="AZ91" s="1120">
        <f t="shared" si="100"/>
        <v>0</v>
      </c>
      <c r="BA91" s="1120">
        <f t="shared" si="101"/>
        <v>0</v>
      </c>
      <c r="BB91" s="1120">
        <f t="shared" si="102"/>
        <v>0</v>
      </c>
      <c r="BC91" s="1120">
        <f t="shared" si="103"/>
        <v>0</v>
      </c>
      <c r="BD91" s="1120">
        <f t="shared" si="104"/>
        <v>0</v>
      </c>
      <c r="BE91" s="1120">
        <f t="shared" si="105"/>
        <v>1</v>
      </c>
      <c r="BF91" s="1120">
        <f t="shared" si="106"/>
        <v>1</v>
      </c>
      <c r="BG91" s="1120">
        <f t="shared" si="107"/>
        <v>0</v>
      </c>
      <c r="BH91" s="1120">
        <f t="shared" si="108"/>
        <v>0</v>
      </c>
      <c r="BI91" s="1120">
        <f t="shared" si="109"/>
        <v>0</v>
      </c>
      <c r="BJ91" s="1120">
        <f t="shared" si="110"/>
        <v>0</v>
      </c>
      <c r="BK91" s="1120">
        <f t="shared" si="111"/>
        <v>1</v>
      </c>
      <c r="BL91" s="1120">
        <f t="shared" si="112"/>
        <v>1</v>
      </c>
      <c r="BM91" s="1120">
        <f t="shared" si="113"/>
        <v>1</v>
      </c>
      <c r="BN91" s="1120">
        <f t="shared" si="114"/>
        <v>1</v>
      </c>
      <c r="BO91" s="1120">
        <f t="shared" si="115"/>
        <v>1</v>
      </c>
      <c r="BP91" s="1120">
        <f t="shared" si="116"/>
        <v>1</v>
      </c>
      <c r="BQ91" s="1120">
        <f t="shared" si="117"/>
        <v>1</v>
      </c>
      <c r="BR91" s="1120">
        <f t="shared" si="118"/>
        <v>1</v>
      </c>
      <c r="BS91" s="1120">
        <f t="shared" si="119"/>
        <v>1</v>
      </c>
      <c r="BT91" s="1120">
        <f t="shared" si="120"/>
        <v>1</v>
      </c>
      <c r="BU91" s="1120">
        <f t="shared" si="121"/>
        <v>1</v>
      </c>
      <c r="BV91" s="1120">
        <f t="shared" si="122"/>
        <v>1</v>
      </c>
      <c r="BW91" s="1120">
        <f t="shared" si="123"/>
        <v>0</v>
      </c>
      <c r="BX91" s="1120">
        <f t="shared" si="124"/>
        <v>0</v>
      </c>
      <c r="BY91" s="1120">
        <f t="shared" si="125"/>
        <v>0</v>
      </c>
      <c r="BZ91" s="1120">
        <f t="shared" si="126"/>
        <v>0</v>
      </c>
      <c r="CA91" s="1120">
        <f t="shared" si="127"/>
        <v>0</v>
      </c>
      <c r="CB91" s="1120">
        <f t="shared" si="128"/>
        <v>0</v>
      </c>
      <c r="CC91" s="1120">
        <f t="shared" si="129"/>
        <v>1</v>
      </c>
      <c r="CD91" s="1120">
        <f t="shared" si="130"/>
        <v>1</v>
      </c>
      <c r="CE91" s="1120">
        <f t="shared" si="131"/>
        <v>0</v>
      </c>
      <c r="CF91" s="1120">
        <f t="shared" si="132"/>
        <v>0</v>
      </c>
      <c r="CG91" s="1120">
        <f t="shared" si="133"/>
        <v>0</v>
      </c>
      <c r="CH91" s="1120">
        <f t="shared" si="134"/>
        <v>0</v>
      </c>
      <c r="CI91" s="1120">
        <f t="shared" si="135"/>
        <v>0.85</v>
      </c>
      <c r="CJ91" s="1120">
        <f t="shared" si="136"/>
        <v>0.85</v>
      </c>
      <c r="CK91" s="1120">
        <f t="shared" si="137"/>
        <v>0.85</v>
      </c>
      <c r="CL91" s="1120">
        <f t="shared" si="138"/>
        <v>0.85</v>
      </c>
      <c r="CM91" s="1120">
        <f t="shared" si="139"/>
        <v>0.85</v>
      </c>
      <c r="CN91" s="1120">
        <f t="shared" si="140"/>
        <v>0.85</v>
      </c>
      <c r="CO91" s="1120">
        <f t="shared" si="141"/>
        <v>0.85</v>
      </c>
      <c r="CP91" s="1120">
        <f t="shared" si="142"/>
        <v>0.85</v>
      </c>
      <c r="CQ91" s="1120">
        <f t="shared" si="143"/>
        <v>0.85</v>
      </c>
      <c r="CR91" s="1120">
        <f t="shared" si="144"/>
        <v>0.85</v>
      </c>
      <c r="CS91" s="1120">
        <f t="shared" si="145"/>
        <v>0.85</v>
      </c>
      <c r="CT91" s="1120">
        <f t="shared" si="146"/>
        <v>0.85</v>
      </c>
      <c r="CU91" s="1120">
        <v>1</v>
      </c>
      <c r="CV91" s="1120"/>
      <c r="CW91" s="1120">
        <f t="shared" si="147"/>
        <v>62</v>
      </c>
      <c r="CX91" s="1120">
        <f t="shared" si="148"/>
        <v>303</v>
      </c>
      <c r="CY91" s="1135" t="s">
        <v>4880</v>
      </c>
      <c r="CZ91" s="1124">
        <v>8</v>
      </c>
      <c r="DA91" s="1124"/>
      <c r="DB91" s="1124"/>
      <c r="DC91" s="1120" t="s">
        <v>4913</v>
      </c>
      <c r="DD91" s="1120" t="s">
        <v>953</v>
      </c>
      <c r="DE91" s="1120" t="str">
        <f t="shared" si="149"/>
        <v/>
      </c>
      <c r="DF91" s="1120">
        <v>1</v>
      </c>
      <c r="DG91" s="1120">
        <v>0</v>
      </c>
    </row>
    <row r="92" spans="1:111">
      <c r="A92" s="1125" t="s">
        <v>3022</v>
      </c>
      <c r="B92" s="1125" t="s">
        <v>603</v>
      </c>
      <c r="C92" s="1125" t="s">
        <v>604</v>
      </c>
      <c r="D92" s="1125" t="s">
        <v>953</v>
      </c>
      <c r="E92" s="1125">
        <v>39</v>
      </c>
      <c r="F92" s="1125">
        <v>-152.30000000000001</v>
      </c>
      <c r="G92" s="1125">
        <v>60.82</v>
      </c>
      <c r="H92" s="1125">
        <v>-9</v>
      </c>
      <c r="I92" s="1126">
        <v>-10.3</v>
      </c>
      <c r="J92" s="1126">
        <v>72.5</v>
      </c>
      <c r="K92" s="1127">
        <v>61.519999313354496</v>
      </c>
      <c r="L92" s="1125">
        <v>9774</v>
      </c>
      <c r="M92" s="1125">
        <v>1.8</v>
      </c>
      <c r="N92" s="1128">
        <v>25.879999828338622</v>
      </c>
      <c r="O92" s="1128">
        <v>19.579999828338622</v>
      </c>
      <c r="P92" s="1128">
        <v>25.879999828338622</v>
      </c>
      <c r="Q92" s="1128">
        <v>35.060000085830687</v>
      </c>
      <c r="R92" s="1128">
        <v>45.320000171661377</v>
      </c>
      <c r="S92" s="1128">
        <v>53.780000686645508</v>
      </c>
      <c r="T92" s="1128">
        <v>57.019999313354489</v>
      </c>
      <c r="U92" s="1128">
        <v>56.659999656677243</v>
      </c>
      <c r="V92" s="1128">
        <v>46.040000343322752</v>
      </c>
      <c r="W92" s="1128">
        <v>30.919999957084656</v>
      </c>
      <c r="X92" s="1128">
        <v>26.6</v>
      </c>
      <c r="Y92" s="1128">
        <v>27.860000085830688</v>
      </c>
      <c r="Z92" s="1128">
        <v>37.666794500677554</v>
      </c>
      <c r="AA92" s="1128">
        <f t="shared" si="75"/>
        <v>38.892624921948858</v>
      </c>
      <c r="AB92" s="1128">
        <f t="shared" si="76"/>
        <v>37.483856000465394</v>
      </c>
      <c r="AC92" s="1128">
        <f t="shared" si="77"/>
        <v>37.686765281028677</v>
      </c>
      <c r="AD92" s="1128">
        <f t="shared" si="78"/>
        <v>39.448461332733224</v>
      </c>
      <c r="AE92" s="1128">
        <f t="shared" si="79"/>
        <v>42.309730931144308</v>
      </c>
      <c r="AF92" s="1128">
        <f t="shared" si="80"/>
        <v>45.524740061936868</v>
      </c>
      <c r="AG92" s="1128">
        <f t="shared" si="81"/>
        <v>48.255447050379416</v>
      </c>
      <c r="AH92" s="1128">
        <f t="shared" si="82"/>
        <v>49.790051038465904</v>
      </c>
      <c r="AI92" s="1128">
        <f t="shared" si="83"/>
        <v>49.728533847738291</v>
      </c>
      <c r="AJ92" s="1128">
        <f t="shared" si="84"/>
        <v>48.086930881968335</v>
      </c>
      <c r="AK92" s="1128">
        <f t="shared" si="85"/>
        <v>45.293151252051437</v>
      </c>
      <c r="AL92" s="1128">
        <f t="shared" si="86"/>
        <v>42.075436671972746</v>
      </c>
      <c r="AM92" s="1125">
        <f t="shared" si="87"/>
        <v>1</v>
      </c>
      <c r="AN92" s="1125">
        <f t="shared" si="88"/>
        <v>1</v>
      </c>
      <c r="AO92" s="1125">
        <f t="shared" si="89"/>
        <v>1</v>
      </c>
      <c r="AP92" s="1125">
        <f t="shared" si="90"/>
        <v>1</v>
      </c>
      <c r="AQ92" s="1125">
        <f t="shared" si="91"/>
        <v>1</v>
      </c>
      <c r="AR92" s="1125">
        <f t="shared" si="92"/>
        <v>1</v>
      </c>
      <c r="AS92" s="1125">
        <f t="shared" si="93"/>
        <v>1</v>
      </c>
      <c r="AT92" s="1125">
        <f t="shared" si="94"/>
        <v>1</v>
      </c>
      <c r="AU92" s="1125">
        <f t="shared" si="95"/>
        <v>1</v>
      </c>
      <c r="AV92" s="1125">
        <f t="shared" si="96"/>
        <v>1</v>
      </c>
      <c r="AW92" s="1125">
        <f t="shared" si="97"/>
        <v>1</v>
      </c>
      <c r="AX92" s="1125">
        <f t="shared" si="98"/>
        <v>1</v>
      </c>
      <c r="AY92" s="1125">
        <f t="shared" si="99"/>
        <v>0</v>
      </c>
      <c r="AZ92" s="1125">
        <f t="shared" si="100"/>
        <v>0</v>
      </c>
      <c r="BA92" s="1125">
        <f t="shared" si="101"/>
        <v>0</v>
      </c>
      <c r="BB92" s="1125">
        <f t="shared" si="102"/>
        <v>0</v>
      </c>
      <c r="BC92" s="1125">
        <f t="shared" si="103"/>
        <v>0</v>
      </c>
      <c r="BD92" s="1125">
        <f t="shared" si="104"/>
        <v>0</v>
      </c>
      <c r="BE92" s="1125">
        <f t="shared" si="105"/>
        <v>1</v>
      </c>
      <c r="BF92" s="1125">
        <f t="shared" si="106"/>
        <v>1</v>
      </c>
      <c r="BG92" s="1125">
        <f t="shared" si="107"/>
        <v>0</v>
      </c>
      <c r="BH92" s="1125">
        <f t="shared" si="108"/>
        <v>0</v>
      </c>
      <c r="BI92" s="1125">
        <f t="shared" si="109"/>
        <v>0</v>
      </c>
      <c r="BJ92" s="1125">
        <f t="shared" si="110"/>
        <v>0</v>
      </c>
      <c r="BK92" s="1125">
        <f t="shared" si="111"/>
        <v>1</v>
      </c>
      <c r="BL92" s="1125">
        <f t="shared" si="112"/>
        <v>1</v>
      </c>
      <c r="BM92" s="1125">
        <f t="shared" si="113"/>
        <v>1</v>
      </c>
      <c r="BN92" s="1125">
        <f t="shared" si="114"/>
        <v>1</v>
      </c>
      <c r="BO92" s="1125">
        <f t="shared" si="115"/>
        <v>1</v>
      </c>
      <c r="BP92" s="1125">
        <f t="shared" si="116"/>
        <v>1</v>
      </c>
      <c r="BQ92" s="1125">
        <f t="shared" si="117"/>
        <v>1</v>
      </c>
      <c r="BR92" s="1125">
        <f t="shared" si="118"/>
        <v>1</v>
      </c>
      <c r="BS92" s="1125">
        <f t="shared" si="119"/>
        <v>1</v>
      </c>
      <c r="BT92" s="1125">
        <f t="shared" si="120"/>
        <v>1</v>
      </c>
      <c r="BU92" s="1125">
        <f t="shared" si="121"/>
        <v>1</v>
      </c>
      <c r="BV92" s="1125">
        <f t="shared" si="122"/>
        <v>1</v>
      </c>
      <c r="BW92" s="1125">
        <f t="shared" si="123"/>
        <v>0</v>
      </c>
      <c r="BX92" s="1125">
        <f t="shared" si="124"/>
        <v>0</v>
      </c>
      <c r="BY92" s="1125">
        <f t="shared" si="125"/>
        <v>0</v>
      </c>
      <c r="BZ92" s="1125">
        <f t="shared" si="126"/>
        <v>0</v>
      </c>
      <c r="CA92" s="1125">
        <f t="shared" si="127"/>
        <v>0</v>
      </c>
      <c r="CB92" s="1125">
        <f t="shared" si="128"/>
        <v>0</v>
      </c>
      <c r="CC92" s="1125">
        <f t="shared" si="129"/>
        <v>1</v>
      </c>
      <c r="CD92" s="1125">
        <f t="shared" si="130"/>
        <v>1</v>
      </c>
      <c r="CE92" s="1125">
        <f t="shared" si="131"/>
        <v>0</v>
      </c>
      <c r="CF92" s="1125">
        <f t="shared" si="132"/>
        <v>0</v>
      </c>
      <c r="CG92" s="1125">
        <f t="shared" si="133"/>
        <v>0</v>
      </c>
      <c r="CH92" s="1125">
        <f t="shared" si="134"/>
        <v>0</v>
      </c>
      <c r="CI92" s="1125">
        <f t="shared" si="135"/>
        <v>0.85</v>
      </c>
      <c r="CJ92" s="1125">
        <f t="shared" si="136"/>
        <v>0.85</v>
      </c>
      <c r="CK92" s="1125">
        <f t="shared" si="137"/>
        <v>0.85</v>
      </c>
      <c r="CL92" s="1125">
        <f t="shared" si="138"/>
        <v>0.85</v>
      </c>
      <c r="CM92" s="1125">
        <f t="shared" si="139"/>
        <v>0.85</v>
      </c>
      <c r="CN92" s="1125">
        <f t="shared" si="140"/>
        <v>0.85</v>
      </c>
      <c r="CO92" s="1125">
        <f t="shared" si="141"/>
        <v>0.85</v>
      </c>
      <c r="CP92" s="1125">
        <f t="shared" si="142"/>
        <v>0.85</v>
      </c>
      <c r="CQ92" s="1125">
        <f t="shared" si="143"/>
        <v>0.85</v>
      </c>
      <c r="CR92" s="1125">
        <f t="shared" si="144"/>
        <v>0.85</v>
      </c>
      <c r="CS92" s="1125">
        <f t="shared" si="145"/>
        <v>0.85</v>
      </c>
      <c r="CT92" s="1125">
        <f t="shared" si="146"/>
        <v>0.85</v>
      </c>
      <c r="CU92" s="1125">
        <v>1</v>
      </c>
      <c r="CV92" s="1125"/>
      <c r="CW92" s="1125">
        <f t="shared" si="147"/>
        <v>62</v>
      </c>
      <c r="CX92" s="1125">
        <f t="shared" si="148"/>
        <v>303</v>
      </c>
      <c r="CY92" s="1136" t="s">
        <v>4879</v>
      </c>
      <c r="CZ92" s="1129">
        <v>7</v>
      </c>
      <c r="DA92" s="1129"/>
      <c r="DB92" s="1129"/>
      <c r="DC92" s="1125" t="s">
        <v>4914</v>
      </c>
      <c r="DD92" s="1125" t="s">
        <v>953</v>
      </c>
      <c r="DE92" s="1125" t="str">
        <f t="shared" si="149"/>
        <v/>
      </c>
      <c r="DF92" s="1125">
        <v>1</v>
      </c>
      <c r="DG92" s="1125">
        <v>0</v>
      </c>
    </row>
    <row r="93" spans="1:111">
      <c r="A93" s="1120" t="s">
        <v>5800</v>
      </c>
      <c r="B93" s="1125" t="s">
        <v>3896</v>
      </c>
      <c r="C93" s="1125" t="s">
        <v>3897</v>
      </c>
      <c r="D93" s="1125" t="s">
        <v>1108</v>
      </c>
      <c r="E93" s="1125">
        <v>3565</v>
      </c>
      <c r="F93" s="1125">
        <v>-108.55</v>
      </c>
      <c r="G93" s="1125">
        <v>45.8</v>
      </c>
      <c r="H93" s="1125">
        <v>-7</v>
      </c>
      <c r="I93" s="1126">
        <v>-5.4399986267089853</v>
      </c>
      <c r="J93" s="1126">
        <v>91.4</v>
      </c>
      <c r="K93" s="1127">
        <v>62.060001373291016</v>
      </c>
      <c r="L93" s="1125">
        <v>6611.4000000000005</v>
      </c>
      <c r="M93" s="1125">
        <v>615.6</v>
      </c>
      <c r="N93" s="1128">
        <v>23.9</v>
      </c>
      <c r="O93" s="1128">
        <v>27.860000085830688</v>
      </c>
      <c r="P93" s="1128">
        <v>35.419999957084656</v>
      </c>
      <c r="Q93" s="1128">
        <v>46.940000343322751</v>
      </c>
      <c r="R93" s="1128">
        <v>55.940000343322751</v>
      </c>
      <c r="S93" s="1128">
        <v>65.480000686645511</v>
      </c>
      <c r="T93" s="1128">
        <v>72.139998626708987</v>
      </c>
      <c r="U93" s="1128">
        <v>70.519999313354489</v>
      </c>
      <c r="V93" s="1128">
        <v>60.8</v>
      </c>
      <c r="W93" s="1128">
        <v>49.819999313354494</v>
      </c>
      <c r="X93" s="1128">
        <v>36.860000085830691</v>
      </c>
      <c r="Y93" s="1128">
        <v>28.4</v>
      </c>
      <c r="Z93" s="1128">
        <v>47.952931397385797</v>
      </c>
      <c r="AA93" s="1128">
        <f t="shared" si="75"/>
        <v>44.828989685069452</v>
      </c>
      <c r="AB93" s="1128">
        <f t="shared" si="76"/>
        <v>43.353205651521712</v>
      </c>
      <c r="AC93" s="1128">
        <f t="shared" si="77"/>
        <v>44.640403480351658</v>
      </c>
      <c r="AD93" s="1128">
        <f t="shared" si="78"/>
        <v>48.355055221155773</v>
      </c>
      <c r="AE93" s="1128">
        <f t="shared" si="79"/>
        <v>53.52887965317737</v>
      </c>
      <c r="AF93" s="1128">
        <f t="shared" si="80"/>
        <v>58.813239707162076</v>
      </c>
      <c r="AG93" s="1128">
        <f t="shared" si="81"/>
        <v>62.830685500585346</v>
      </c>
      <c r="AH93" s="1128">
        <f t="shared" si="82"/>
        <v>64.53400787667772</v>
      </c>
      <c r="AI93" s="1128">
        <f t="shared" si="83"/>
        <v>63.479209609118328</v>
      </c>
      <c r="AJ93" s="1128">
        <f t="shared" si="84"/>
        <v>59.94124012127989</v>
      </c>
      <c r="AK93" s="1128">
        <f t="shared" si="85"/>
        <v>54.842325681927647</v>
      </c>
      <c r="AL93" s="1128">
        <f t="shared" si="86"/>
        <v>49.511576916328764</v>
      </c>
      <c r="AM93" s="1125">
        <f t="shared" si="87"/>
        <v>1</v>
      </c>
      <c r="AN93" s="1125">
        <f t="shared" si="88"/>
        <v>1</v>
      </c>
      <c r="AO93" s="1125">
        <f t="shared" si="89"/>
        <v>1</v>
      </c>
      <c r="AP93" s="1125">
        <f t="shared" si="90"/>
        <v>1</v>
      </c>
      <c r="AQ93" s="1125">
        <f t="shared" si="91"/>
        <v>1</v>
      </c>
      <c r="AR93" s="1125">
        <f t="shared" si="92"/>
        <v>1</v>
      </c>
      <c r="AS93" s="1125">
        <f t="shared" si="93"/>
        <v>0</v>
      </c>
      <c r="AT93" s="1125">
        <f t="shared" si="94"/>
        <v>0</v>
      </c>
      <c r="AU93" s="1125">
        <f t="shared" si="95"/>
        <v>1</v>
      </c>
      <c r="AV93" s="1125">
        <f t="shared" si="96"/>
        <v>1</v>
      </c>
      <c r="AW93" s="1125">
        <f t="shared" si="97"/>
        <v>1</v>
      </c>
      <c r="AX93" s="1125">
        <f t="shared" si="98"/>
        <v>1</v>
      </c>
      <c r="AY93" s="1125">
        <f t="shared" si="99"/>
        <v>0</v>
      </c>
      <c r="AZ93" s="1125">
        <f t="shared" si="100"/>
        <v>0</v>
      </c>
      <c r="BA93" s="1125">
        <f t="shared" si="101"/>
        <v>0</v>
      </c>
      <c r="BB93" s="1125">
        <f t="shared" si="102"/>
        <v>0</v>
      </c>
      <c r="BC93" s="1125">
        <f t="shared" si="103"/>
        <v>0</v>
      </c>
      <c r="BD93" s="1125">
        <f t="shared" si="104"/>
        <v>0</v>
      </c>
      <c r="BE93" s="1125">
        <f t="shared" si="105"/>
        <v>1</v>
      </c>
      <c r="BF93" s="1125">
        <f t="shared" si="106"/>
        <v>1</v>
      </c>
      <c r="BG93" s="1125">
        <f t="shared" si="107"/>
        <v>0</v>
      </c>
      <c r="BH93" s="1125">
        <f t="shared" si="108"/>
        <v>0</v>
      </c>
      <c r="BI93" s="1125">
        <f t="shared" si="109"/>
        <v>0</v>
      </c>
      <c r="BJ93" s="1125">
        <f t="shared" si="110"/>
        <v>0</v>
      </c>
      <c r="BK93" s="1125">
        <f t="shared" si="111"/>
        <v>1</v>
      </c>
      <c r="BL93" s="1125">
        <f t="shared" si="112"/>
        <v>1</v>
      </c>
      <c r="BM93" s="1125">
        <f t="shared" si="113"/>
        <v>1</v>
      </c>
      <c r="BN93" s="1125">
        <f t="shared" si="114"/>
        <v>1</v>
      </c>
      <c r="BO93" s="1125">
        <f t="shared" si="115"/>
        <v>1</v>
      </c>
      <c r="BP93" s="1125">
        <f t="shared" si="116"/>
        <v>1</v>
      </c>
      <c r="BQ93" s="1125">
        <f t="shared" si="117"/>
        <v>1</v>
      </c>
      <c r="BR93" s="1125">
        <f t="shared" si="118"/>
        <v>0</v>
      </c>
      <c r="BS93" s="1125">
        <f t="shared" si="119"/>
        <v>1</v>
      </c>
      <c r="BT93" s="1125">
        <f t="shared" si="120"/>
        <v>1</v>
      </c>
      <c r="BU93" s="1125">
        <f t="shared" si="121"/>
        <v>1</v>
      </c>
      <c r="BV93" s="1125">
        <f t="shared" si="122"/>
        <v>1</v>
      </c>
      <c r="BW93" s="1125">
        <f t="shared" si="123"/>
        <v>0</v>
      </c>
      <c r="BX93" s="1125">
        <f t="shared" si="124"/>
        <v>0</v>
      </c>
      <c r="BY93" s="1125">
        <f t="shared" si="125"/>
        <v>0</v>
      </c>
      <c r="BZ93" s="1125">
        <f t="shared" si="126"/>
        <v>0</v>
      </c>
      <c r="CA93" s="1125">
        <f t="shared" si="127"/>
        <v>0</v>
      </c>
      <c r="CB93" s="1125">
        <f t="shared" si="128"/>
        <v>1</v>
      </c>
      <c r="CC93" s="1125">
        <f t="shared" si="129"/>
        <v>1</v>
      </c>
      <c r="CD93" s="1125">
        <f t="shared" si="130"/>
        <v>1</v>
      </c>
      <c r="CE93" s="1125">
        <f t="shared" si="131"/>
        <v>1</v>
      </c>
      <c r="CF93" s="1125">
        <f t="shared" si="132"/>
        <v>0</v>
      </c>
      <c r="CG93" s="1125">
        <f t="shared" si="133"/>
        <v>0</v>
      </c>
      <c r="CH93" s="1125">
        <f t="shared" si="134"/>
        <v>0</v>
      </c>
      <c r="CI93" s="1125">
        <f t="shared" si="135"/>
        <v>0.85</v>
      </c>
      <c r="CJ93" s="1125">
        <f t="shared" si="136"/>
        <v>0.85</v>
      </c>
      <c r="CK93" s="1125">
        <f t="shared" si="137"/>
        <v>0.85</v>
      </c>
      <c r="CL93" s="1125">
        <f t="shared" si="138"/>
        <v>0.85</v>
      </c>
      <c r="CM93" s="1125">
        <f t="shared" si="139"/>
        <v>0.85</v>
      </c>
      <c r="CN93" s="1125">
        <f t="shared" si="140"/>
        <v>0.85</v>
      </c>
      <c r="CO93" s="1125">
        <f t="shared" si="141"/>
        <v>0.85</v>
      </c>
      <c r="CP93" s="1125">
        <f t="shared" si="142"/>
        <v>0.7</v>
      </c>
      <c r="CQ93" s="1125">
        <f t="shared" si="143"/>
        <v>0.85</v>
      </c>
      <c r="CR93" s="1125">
        <f t="shared" si="144"/>
        <v>0.85</v>
      </c>
      <c r="CS93" s="1125">
        <f t="shared" si="145"/>
        <v>0.85</v>
      </c>
      <c r="CT93" s="1125">
        <f t="shared" si="146"/>
        <v>0.85</v>
      </c>
      <c r="CU93" s="1125">
        <v>1</v>
      </c>
      <c r="CV93" s="1125"/>
      <c r="CW93" s="1125">
        <f t="shared" si="147"/>
        <v>122</v>
      </c>
      <c r="CX93" s="1125">
        <f t="shared" si="148"/>
        <v>243</v>
      </c>
      <c r="CY93" s="1136" t="s">
        <v>4889</v>
      </c>
      <c r="CZ93" s="1129" t="s">
        <v>4896</v>
      </c>
      <c r="DA93" s="1129"/>
      <c r="DB93" s="1129"/>
      <c r="DC93" s="1125" t="s">
        <v>5372</v>
      </c>
      <c r="DD93" s="1125" t="s">
        <v>1108</v>
      </c>
      <c r="DE93" s="1120" t="b">
        <f t="shared" si="149"/>
        <v>0</v>
      </c>
      <c r="DF93" s="1133">
        <v>0</v>
      </c>
      <c r="DG93" s="1120">
        <v>0</v>
      </c>
    </row>
    <row r="94" spans="1:111">
      <c r="A94" s="1125" t="s">
        <v>5802</v>
      </c>
      <c r="B94" s="1125" t="s">
        <v>4120</v>
      </c>
      <c r="C94" s="1125" t="s">
        <v>4121</v>
      </c>
      <c r="D94" s="1125" t="s">
        <v>537</v>
      </c>
      <c r="E94" s="1125">
        <v>1601</v>
      </c>
      <c r="F94" s="1125">
        <v>-75.98</v>
      </c>
      <c r="G94" s="1125">
        <v>42.2</v>
      </c>
      <c r="H94" s="1125">
        <v>-5</v>
      </c>
      <c r="I94" s="1126">
        <v>3.5599996566772454</v>
      </c>
      <c r="J94" s="1126">
        <v>82.580000686645505</v>
      </c>
      <c r="K94" s="1127">
        <v>68.360001373291013</v>
      </c>
      <c r="L94" s="1125">
        <v>6816.6</v>
      </c>
      <c r="M94" s="1125">
        <v>430.2</v>
      </c>
      <c r="N94" s="1128">
        <v>23.179999828338623</v>
      </c>
      <c r="O94" s="1128">
        <v>23.9</v>
      </c>
      <c r="P94" s="1128">
        <v>33.799999999999997</v>
      </c>
      <c r="Q94" s="1128">
        <v>46.220000171661376</v>
      </c>
      <c r="R94" s="1128">
        <v>57.559999656677249</v>
      </c>
      <c r="S94" s="1128">
        <v>66.739998626708982</v>
      </c>
      <c r="T94" s="1128">
        <v>68.360001373291013</v>
      </c>
      <c r="U94" s="1128">
        <v>66.919999313354495</v>
      </c>
      <c r="V94" s="1128">
        <v>57.559999656677249</v>
      </c>
      <c r="W94" s="1128">
        <v>49.459999656677248</v>
      </c>
      <c r="X94" s="1128">
        <v>39.740000343322755</v>
      </c>
      <c r="Y94" s="1128">
        <v>28.039999914169311</v>
      </c>
      <c r="Z94" s="1128">
        <v>46.914849194435227</v>
      </c>
      <c r="AA94" s="1128">
        <f t="shared" si="75"/>
        <v>44.661002115367843</v>
      </c>
      <c r="AB94" s="1128">
        <f t="shared" si="76"/>
        <v>43.226625093115942</v>
      </c>
      <c r="AC94" s="1128">
        <f t="shared" si="77"/>
        <v>44.317632982925595</v>
      </c>
      <c r="AD94" s="1128">
        <f t="shared" si="78"/>
        <v>47.649637765377399</v>
      </c>
      <c r="AE94" s="1128">
        <f t="shared" si="79"/>
        <v>52.354101046177313</v>
      </c>
      <c r="AF94" s="1128">
        <f t="shared" si="80"/>
        <v>57.204731973211189</v>
      </c>
      <c r="AG94" s="1128">
        <f t="shared" si="81"/>
        <v>60.937138844862389</v>
      </c>
      <c r="AH94" s="1128">
        <f t="shared" si="82"/>
        <v>62.578412291904073</v>
      </c>
      <c r="AI94" s="1128">
        <f t="shared" si="83"/>
        <v>61.70072909757539</v>
      </c>
      <c r="AJ94" s="1128">
        <f t="shared" si="84"/>
        <v>58.532870911985569</v>
      </c>
      <c r="AK94" s="1128">
        <f t="shared" si="85"/>
        <v>53.900588789380926</v>
      </c>
      <c r="AL94" s="1128">
        <f t="shared" si="86"/>
        <v>49.011358450646725</v>
      </c>
      <c r="AM94" s="1125">
        <f t="shared" si="87"/>
        <v>1</v>
      </c>
      <c r="AN94" s="1125">
        <f t="shared" si="88"/>
        <v>1</v>
      </c>
      <c r="AO94" s="1125">
        <f t="shared" si="89"/>
        <v>1</v>
      </c>
      <c r="AP94" s="1125">
        <f t="shared" si="90"/>
        <v>1</v>
      </c>
      <c r="AQ94" s="1125">
        <f t="shared" si="91"/>
        <v>1</v>
      </c>
      <c r="AR94" s="1125">
        <f t="shared" si="92"/>
        <v>0</v>
      </c>
      <c r="AS94" s="1125">
        <f t="shared" si="93"/>
        <v>0</v>
      </c>
      <c r="AT94" s="1125">
        <f t="shared" si="94"/>
        <v>0</v>
      </c>
      <c r="AU94" s="1125">
        <f t="shared" si="95"/>
        <v>1</v>
      </c>
      <c r="AV94" s="1125">
        <f t="shared" si="96"/>
        <v>1</v>
      </c>
      <c r="AW94" s="1125">
        <f t="shared" si="97"/>
        <v>1</v>
      </c>
      <c r="AX94" s="1125">
        <f t="shared" si="98"/>
        <v>1</v>
      </c>
      <c r="AY94" s="1125">
        <f t="shared" si="99"/>
        <v>0</v>
      </c>
      <c r="AZ94" s="1125">
        <f t="shared" si="100"/>
        <v>0</v>
      </c>
      <c r="BA94" s="1125">
        <f t="shared" si="101"/>
        <v>0</v>
      </c>
      <c r="BB94" s="1125">
        <f t="shared" si="102"/>
        <v>0</v>
      </c>
      <c r="BC94" s="1125">
        <f t="shared" si="103"/>
        <v>0</v>
      </c>
      <c r="BD94" s="1125">
        <f t="shared" si="104"/>
        <v>1</v>
      </c>
      <c r="BE94" s="1125">
        <f t="shared" si="105"/>
        <v>1</v>
      </c>
      <c r="BF94" s="1125">
        <f t="shared" si="106"/>
        <v>1</v>
      </c>
      <c r="BG94" s="1125">
        <f t="shared" si="107"/>
        <v>0</v>
      </c>
      <c r="BH94" s="1125">
        <f t="shared" si="108"/>
        <v>0</v>
      </c>
      <c r="BI94" s="1125">
        <f t="shared" si="109"/>
        <v>0</v>
      </c>
      <c r="BJ94" s="1125">
        <f t="shared" si="110"/>
        <v>0</v>
      </c>
      <c r="BK94" s="1125">
        <f t="shared" si="111"/>
        <v>1</v>
      </c>
      <c r="BL94" s="1125">
        <f t="shared" si="112"/>
        <v>1</v>
      </c>
      <c r="BM94" s="1125">
        <f t="shared" si="113"/>
        <v>1</v>
      </c>
      <c r="BN94" s="1125">
        <f t="shared" si="114"/>
        <v>1</v>
      </c>
      <c r="BO94" s="1125">
        <f t="shared" si="115"/>
        <v>1</v>
      </c>
      <c r="BP94" s="1125">
        <f t="shared" si="116"/>
        <v>1</v>
      </c>
      <c r="BQ94" s="1125">
        <f t="shared" si="117"/>
        <v>0</v>
      </c>
      <c r="BR94" s="1125">
        <f t="shared" si="118"/>
        <v>0</v>
      </c>
      <c r="BS94" s="1125">
        <f t="shared" si="119"/>
        <v>1</v>
      </c>
      <c r="BT94" s="1125">
        <f t="shared" si="120"/>
        <v>1</v>
      </c>
      <c r="BU94" s="1125">
        <f t="shared" si="121"/>
        <v>1</v>
      </c>
      <c r="BV94" s="1125">
        <f t="shared" si="122"/>
        <v>1</v>
      </c>
      <c r="BW94" s="1125">
        <f t="shared" si="123"/>
        <v>0</v>
      </c>
      <c r="BX94" s="1125">
        <f t="shared" si="124"/>
        <v>0</v>
      </c>
      <c r="BY94" s="1125">
        <f t="shared" si="125"/>
        <v>0</v>
      </c>
      <c r="BZ94" s="1125">
        <f t="shared" si="126"/>
        <v>0</v>
      </c>
      <c r="CA94" s="1125">
        <f t="shared" si="127"/>
        <v>1</v>
      </c>
      <c r="CB94" s="1125">
        <f t="shared" si="128"/>
        <v>1</v>
      </c>
      <c r="CC94" s="1125">
        <f t="shared" si="129"/>
        <v>1</v>
      </c>
      <c r="CD94" s="1125">
        <f t="shared" si="130"/>
        <v>1</v>
      </c>
      <c r="CE94" s="1125">
        <f t="shared" si="131"/>
        <v>1</v>
      </c>
      <c r="CF94" s="1125">
        <f t="shared" si="132"/>
        <v>0</v>
      </c>
      <c r="CG94" s="1125">
        <f t="shared" si="133"/>
        <v>0</v>
      </c>
      <c r="CH94" s="1125">
        <f t="shared" si="134"/>
        <v>0</v>
      </c>
      <c r="CI94" s="1125">
        <f t="shared" si="135"/>
        <v>0.85</v>
      </c>
      <c r="CJ94" s="1125">
        <f t="shared" si="136"/>
        <v>0.85</v>
      </c>
      <c r="CK94" s="1125">
        <f t="shared" si="137"/>
        <v>0.85</v>
      </c>
      <c r="CL94" s="1125">
        <f t="shared" si="138"/>
        <v>0.85</v>
      </c>
      <c r="CM94" s="1125">
        <f t="shared" si="139"/>
        <v>0.85</v>
      </c>
      <c r="CN94" s="1125">
        <f t="shared" si="140"/>
        <v>0.85</v>
      </c>
      <c r="CO94" s="1125">
        <f t="shared" si="141"/>
        <v>0.7</v>
      </c>
      <c r="CP94" s="1125">
        <f t="shared" si="142"/>
        <v>0.7</v>
      </c>
      <c r="CQ94" s="1125">
        <f t="shared" si="143"/>
        <v>0.85</v>
      </c>
      <c r="CR94" s="1125">
        <f t="shared" si="144"/>
        <v>0.85</v>
      </c>
      <c r="CS94" s="1125">
        <f t="shared" si="145"/>
        <v>0.85</v>
      </c>
      <c r="CT94" s="1125">
        <f t="shared" si="146"/>
        <v>0.85</v>
      </c>
      <c r="CU94" s="1125">
        <v>1</v>
      </c>
      <c r="CV94" s="1125"/>
      <c r="CW94" s="1125">
        <f t="shared" si="147"/>
        <v>153</v>
      </c>
      <c r="CX94" s="1125">
        <f t="shared" si="148"/>
        <v>212</v>
      </c>
      <c r="CY94" s="1136" t="s">
        <v>4889</v>
      </c>
      <c r="CZ94" s="1129" t="s">
        <v>4899</v>
      </c>
      <c r="DA94" s="1129"/>
      <c r="DB94" s="1129"/>
      <c r="DC94" s="1125" t="s">
        <v>5472</v>
      </c>
      <c r="DD94" s="1125" t="s">
        <v>537</v>
      </c>
      <c r="DE94" s="1120" t="str">
        <f t="shared" si="149"/>
        <v/>
      </c>
      <c r="DF94" s="1133">
        <v>0</v>
      </c>
      <c r="DG94" s="1125">
        <v>0</v>
      </c>
    </row>
    <row r="95" spans="1:111">
      <c r="A95" s="1120" t="s">
        <v>3024</v>
      </c>
      <c r="B95" s="1120" t="s">
        <v>605</v>
      </c>
      <c r="C95" s="1120" t="s">
        <v>606</v>
      </c>
      <c r="D95" s="1120" t="s">
        <v>953</v>
      </c>
      <c r="E95" s="1120">
        <v>98</v>
      </c>
      <c r="F95" s="1120">
        <v>-149.52000000000001</v>
      </c>
      <c r="G95" s="1120">
        <v>61.42</v>
      </c>
      <c r="H95" s="1120">
        <v>-9</v>
      </c>
      <c r="I95" s="1121">
        <v>-7.7800006866455087</v>
      </c>
      <c r="J95" s="1121">
        <v>73.580000686645505</v>
      </c>
      <c r="K95" s="1122">
        <v>53.780000686645508</v>
      </c>
      <c r="L95" s="1120">
        <v>9232.2000000000007</v>
      </c>
      <c r="M95" s="1120">
        <v>1.8</v>
      </c>
      <c r="N95" s="1123">
        <v>15.440000343322753</v>
      </c>
      <c r="O95" s="1123">
        <v>30.2</v>
      </c>
      <c r="P95" s="1123">
        <v>30.919999957084656</v>
      </c>
      <c r="Q95" s="1123">
        <v>41</v>
      </c>
      <c r="R95" s="1123">
        <v>47.659999656677243</v>
      </c>
      <c r="S95" s="1123">
        <v>55.940000343322751</v>
      </c>
      <c r="T95" s="1123">
        <v>59.540000343322752</v>
      </c>
      <c r="U95" s="1123">
        <v>53.059999656677249</v>
      </c>
      <c r="V95" s="1123">
        <v>46.220000171661376</v>
      </c>
      <c r="W95" s="1123">
        <v>31.639999994635581</v>
      </c>
      <c r="X95" s="1123">
        <v>33.799999999999997</v>
      </c>
      <c r="Y95" s="1123">
        <v>23.9</v>
      </c>
      <c r="Z95" s="1123">
        <v>39.12701373685713</v>
      </c>
      <c r="AA95" s="1123">
        <f t="shared" si="75"/>
        <v>39.134493720930841</v>
      </c>
      <c r="AB95" s="1123">
        <f t="shared" si="76"/>
        <v>37.49303432255752</v>
      </c>
      <c r="AC95" s="1123">
        <f t="shared" si="77"/>
        <v>37.841489301705195</v>
      </c>
      <c r="AD95" s="1123">
        <f t="shared" si="78"/>
        <v>40.089028498205252</v>
      </c>
      <c r="AE95" s="1123">
        <f t="shared" si="79"/>
        <v>43.649796184862524</v>
      </c>
      <c r="AF95" s="1123">
        <f t="shared" si="80"/>
        <v>47.595623391058744</v>
      </c>
      <c r="AG95" s="1123">
        <f t="shared" si="81"/>
        <v>50.897969448461012</v>
      </c>
      <c r="AH95" s="1123">
        <f t="shared" si="82"/>
        <v>52.696026966514225</v>
      </c>
      <c r="AI95" s="1123">
        <f t="shared" si="83"/>
        <v>52.52110454423272</v>
      </c>
      <c r="AJ95" s="1123">
        <f t="shared" si="84"/>
        <v>50.418798406620304</v>
      </c>
      <c r="AK95" s="1123">
        <f t="shared" si="85"/>
        <v>46.937107045963884</v>
      </c>
      <c r="AL95" s="1123">
        <f t="shared" si="86"/>
        <v>42.983586969906547</v>
      </c>
      <c r="AM95" s="1120">
        <f t="shared" si="87"/>
        <v>1</v>
      </c>
      <c r="AN95" s="1120">
        <f t="shared" si="88"/>
        <v>1</v>
      </c>
      <c r="AO95" s="1120">
        <f t="shared" si="89"/>
        <v>1</v>
      </c>
      <c r="AP95" s="1120">
        <f t="shared" si="90"/>
        <v>1</v>
      </c>
      <c r="AQ95" s="1120">
        <f t="shared" si="91"/>
        <v>1</v>
      </c>
      <c r="AR95" s="1120">
        <f t="shared" si="92"/>
        <v>1</v>
      </c>
      <c r="AS95" s="1120">
        <f t="shared" si="93"/>
        <v>1</v>
      </c>
      <c r="AT95" s="1120">
        <f t="shared" si="94"/>
        <v>1</v>
      </c>
      <c r="AU95" s="1120">
        <f t="shared" si="95"/>
        <v>1</v>
      </c>
      <c r="AV95" s="1120">
        <f t="shared" si="96"/>
        <v>1</v>
      </c>
      <c r="AW95" s="1120">
        <f t="shared" si="97"/>
        <v>1</v>
      </c>
      <c r="AX95" s="1120">
        <f t="shared" si="98"/>
        <v>1</v>
      </c>
      <c r="AY95" s="1120">
        <f t="shared" si="99"/>
        <v>0</v>
      </c>
      <c r="AZ95" s="1120">
        <f t="shared" si="100"/>
        <v>0</v>
      </c>
      <c r="BA95" s="1120">
        <f t="shared" si="101"/>
        <v>0</v>
      </c>
      <c r="BB95" s="1120">
        <f t="shared" si="102"/>
        <v>0</v>
      </c>
      <c r="BC95" s="1120">
        <f t="shared" si="103"/>
        <v>0</v>
      </c>
      <c r="BD95" s="1120">
        <f t="shared" si="104"/>
        <v>0</v>
      </c>
      <c r="BE95" s="1120">
        <f t="shared" si="105"/>
        <v>1</v>
      </c>
      <c r="BF95" s="1120">
        <f t="shared" si="106"/>
        <v>1</v>
      </c>
      <c r="BG95" s="1120">
        <f t="shared" si="107"/>
        <v>0</v>
      </c>
      <c r="BH95" s="1120">
        <f t="shared" si="108"/>
        <v>0</v>
      </c>
      <c r="BI95" s="1120">
        <f t="shared" si="109"/>
        <v>0</v>
      </c>
      <c r="BJ95" s="1120">
        <f t="shared" si="110"/>
        <v>0</v>
      </c>
      <c r="BK95" s="1120">
        <f t="shared" si="111"/>
        <v>1</v>
      </c>
      <c r="BL95" s="1120">
        <f t="shared" si="112"/>
        <v>1</v>
      </c>
      <c r="BM95" s="1120">
        <f t="shared" si="113"/>
        <v>1</v>
      </c>
      <c r="BN95" s="1120">
        <f t="shared" si="114"/>
        <v>1</v>
      </c>
      <c r="BO95" s="1120">
        <f t="shared" si="115"/>
        <v>1</v>
      </c>
      <c r="BP95" s="1120">
        <f t="shared" si="116"/>
        <v>1</v>
      </c>
      <c r="BQ95" s="1120">
        <f t="shared" si="117"/>
        <v>1</v>
      </c>
      <c r="BR95" s="1120">
        <f t="shared" si="118"/>
        <v>1</v>
      </c>
      <c r="BS95" s="1120">
        <f t="shared" si="119"/>
        <v>1</v>
      </c>
      <c r="BT95" s="1120">
        <f t="shared" si="120"/>
        <v>1</v>
      </c>
      <c r="BU95" s="1120">
        <f t="shared" si="121"/>
        <v>1</v>
      </c>
      <c r="BV95" s="1120">
        <f t="shared" si="122"/>
        <v>1</v>
      </c>
      <c r="BW95" s="1120">
        <f t="shared" si="123"/>
        <v>0</v>
      </c>
      <c r="BX95" s="1120">
        <f t="shared" si="124"/>
        <v>0</v>
      </c>
      <c r="BY95" s="1120">
        <f t="shared" si="125"/>
        <v>0</v>
      </c>
      <c r="BZ95" s="1120">
        <f t="shared" si="126"/>
        <v>0</v>
      </c>
      <c r="CA95" s="1120">
        <f t="shared" si="127"/>
        <v>0</v>
      </c>
      <c r="CB95" s="1120">
        <f t="shared" si="128"/>
        <v>0</v>
      </c>
      <c r="CC95" s="1120">
        <f t="shared" si="129"/>
        <v>1</v>
      </c>
      <c r="CD95" s="1120">
        <f t="shared" si="130"/>
        <v>1</v>
      </c>
      <c r="CE95" s="1120">
        <f t="shared" si="131"/>
        <v>0</v>
      </c>
      <c r="CF95" s="1120">
        <f t="shared" si="132"/>
        <v>0</v>
      </c>
      <c r="CG95" s="1120">
        <f t="shared" si="133"/>
        <v>0</v>
      </c>
      <c r="CH95" s="1120">
        <f t="shared" si="134"/>
        <v>0</v>
      </c>
      <c r="CI95" s="1120">
        <f t="shared" si="135"/>
        <v>0.85</v>
      </c>
      <c r="CJ95" s="1120">
        <f t="shared" si="136"/>
        <v>0.85</v>
      </c>
      <c r="CK95" s="1120">
        <f t="shared" si="137"/>
        <v>0.85</v>
      </c>
      <c r="CL95" s="1120">
        <f t="shared" si="138"/>
        <v>0.85</v>
      </c>
      <c r="CM95" s="1120">
        <f t="shared" si="139"/>
        <v>0.85</v>
      </c>
      <c r="CN95" s="1120">
        <f t="shared" si="140"/>
        <v>0.85</v>
      </c>
      <c r="CO95" s="1120">
        <f t="shared" si="141"/>
        <v>0.85</v>
      </c>
      <c r="CP95" s="1120">
        <f t="shared" si="142"/>
        <v>0.85</v>
      </c>
      <c r="CQ95" s="1120">
        <f t="shared" si="143"/>
        <v>0.85</v>
      </c>
      <c r="CR95" s="1120">
        <f t="shared" si="144"/>
        <v>0.85</v>
      </c>
      <c r="CS95" s="1120">
        <f t="shared" si="145"/>
        <v>0.85</v>
      </c>
      <c r="CT95" s="1120">
        <f t="shared" si="146"/>
        <v>0.85</v>
      </c>
      <c r="CU95" s="1120">
        <v>1</v>
      </c>
      <c r="CV95" s="1120"/>
      <c r="CW95" s="1120">
        <f t="shared" si="147"/>
        <v>62</v>
      </c>
      <c r="CX95" s="1120">
        <f t="shared" si="148"/>
        <v>303</v>
      </c>
      <c r="CY95" s="1135" t="s">
        <v>4879</v>
      </c>
      <c r="CZ95" s="1124">
        <v>7</v>
      </c>
      <c r="DA95" s="1124"/>
      <c r="DB95" s="1124"/>
      <c r="DC95" s="1120" t="s">
        <v>4915</v>
      </c>
      <c r="DD95" s="1120" t="s">
        <v>953</v>
      </c>
      <c r="DE95" s="1120" t="str">
        <f t="shared" si="149"/>
        <v/>
      </c>
      <c r="DF95" s="1120">
        <v>0</v>
      </c>
      <c r="DG95" s="1120">
        <v>0</v>
      </c>
    </row>
    <row r="96" spans="1:111">
      <c r="A96" s="1125" t="s">
        <v>3026</v>
      </c>
      <c r="B96" s="1120" t="s">
        <v>3002</v>
      </c>
      <c r="C96" s="1120" t="s">
        <v>3003</v>
      </c>
      <c r="D96" s="1120" t="s">
        <v>247</v>
      </c>
      <c r="E96" s="1120">
        <v>620</v>
      </c>
      <c r="F96" s="1120">
        <v>-86.75</v>
      </c>
      <c r="G96" s="1120">
        <v>33.57</v>
      </c>
      <c r="H96" s="1120">
        <v>-6</v>
      </c>
      <c r="I96" s="1121">
        <v>23.9</v>
      </c>
      <c r="J96" s="1121">
        <v>92.660001373291024</v>
      </c>
      <c r="K96" s="1122">
        <v>74.83999862670899</v>
      </c>
      <c r="L96" s="1120">
        <v>2601</v>
      </c>
      <c r="M96" s="1120">
        <v>1926</v>
      </c>
      <c r="N96" s="1123">
        <v>41.9</v>
      </c>
      <c r="O96" s="1123">
        <v>48.019999313354489</v>
      </c>
      <c r="P96" s="1123">
        <v>54.680000686645506</v>
      </c>
      <c r="Q96" s="1123">
        <v>64.219999313354492</v>
      </c>
      <c r="R96" s="1123">
        <v>70.16000137329101</v>
      </c>
      <c r="S96" s="1123">
        <v>76.639998626708987</v>
      </c>
      <c r="T96" s="1123">
        <v>80.239998626708982</v>
      </c>
      <c r="U96" s="1123">
        <v>78.980000686645511</v>
      </c>
      <c r="V96" s="1123">
        <v>73.400000000000006</v>
      </c>
      <c r="W96" s="1123">
        <v>60.8</v>
      </c>
      <c r="X96" s="1123">
        <v>55.580000686645505</v>
      </c>
      <c r="Y96" s="1123">
        <v>45.5</v>
      </c>
      <c r="Z96" s="1123">
        <v>62.574849266156761</v>
      </c>
      <c r="AA96" s="1123">
        <f t="shared" si="75"/>
        <v>57.791642770143248</v>
      </c>
      <c r="AB96" s="1123">
        <f t="shared" si="76"/>
        <v>57.651055329542956</v>
      </c>
      <c r="AC96" s="1123">
        <f t="shared" si="77"/>
        <v>60.357923119281239</v>
      </c>
      <c r="AD96" s="1123">
        <f t="shared" si="78"/>
        <v>65.206659335867514</v>
      </c>
      <c r="AE96" s="1123">
        <f t="shared" si="79"/>
        <v>70.933366163161665</v>
      </c>
      <c r="AF96" s="1123">
        <f t="shared" si="80"/>
        <v>76.04528921540593</v>
      </c>
      <c r="AG96" s="1123">
        <f t="shared" si="81"/>
        <v>79.20992697191403</v>
      </c>
      <c r="AH96" s="1123">
        <f t="shared" si="82"/>
        <v>79.602367832908101</v>
      </c>
      <c r="AI96" s="1123">
        <f t="shared" si="83"/>
        <v>77.120316040273309</v>
      </c>
      <c r="AJ96" s="1123">
        <f t="shared" si="84"/>
        <v>72.41075664333583</v>
      </c>
      <c r="AK96" s="1123">
        <f t="shared" si="85"/>
        <v>66.701308875414611</v>
      </c>
      <c r="AL96" s="1123">
        <f t="shared" si="86"/>
        <v>61.4802282824717</v>
      </c>
      <c r="AM96" s="1120">
        <f t="shared" si="87"/>
        <v>1</v>
      </c>
      <c r="AN96" s="1120">
        <f t="shared" si="88"/>
        <v>1</v>
      </c>
      <c r="AO96" s="1120">
        <f t="shared" si="89"/>
        <v>1</v>
      </c>
      <c r="AP96" s="1120">
        <f t="shared" si="90"/>
        <v>1</v>
      </c>
      <c r="AQ96" s="1120">
        <f t="shared" si="91"/>
        <v>0</v>
      </c>
      <c r="AR96" s="1120">
        <f t="shared" si="92"/>
        <v>0</v>
      </c>
      <c r="AS96" s="1120">
        <f t="shared" si="93"/>
        <v>0</v>
      </c>
      <c r="AT96" s="1120">
        <f t="shared" si="94"/>
        <v>0</v>
      </c>
      <c r="AU96" s="1120">
        <f t="shared" si="95"/>
        <v>0</v>
      </c>
      <c r="AV96" s="1120">
        <f t="shared" si="96"/>
        <v>1</v>
      </c>
      <c r="AW96" s="1120">
        <f t="shared" si="97"/>
        <v>1</v>
      </c>
      <c r="AX96" s="1120">
        <f t="shared" si="98"/>
        <v>1</v>
      </c>
      <c r="AY96" s="1120">
        <f t="shared" si="99"/>
        <v>0</v>
      </c>
      <c r="AZ96" s="1120">
        <f t="shared" si="100"/>
        <v>0</v>
      </c>
      <c r="BA96" s="1120">
        <f t="shared" si="101"/>
        <v>0</v>
      </c>
      <c r="BB96" s="1120">
        <f t="shared" si="102"/>
        <v>0</v>
      </c>
      <c r="BC96" s="1120">
        <f t="shared" si="103"/>
        <v>1</v>
      </c>
      <c r="BD96" s="1120">
        <f t="shared" si="104"/>
        <v>1</v>
      </c>
      <c r="BE96" s="1120">
        <f t="shared" si="105"/>
        <v>1</v>
      </c>
      <c r="BF96" s="1120">
        <f t="shared" si="106"/>
        <v>1</v>
      </c>
      <c r="BG96" s="1120">
        <f t="shared" si="107"/>
        <v>1</v>
      </c>
      <c r="BH96" s="1120">
        <f t="shared" si="108"/>
        <v>0</v>
      </c>
      <c r="BI96" s="1120">
        <f t="shared" si="109"/>
        <v>0</v>
      </c>
      <c r="BJ96" s="1120">
        <f t="shared" si="110"/>
        <v>0</v>
      </c>
      <c r="BK96" s="1120">
        <f t="shared" si="111"/>
        <v>1</v>
      </c>
      <c r="BL96" s="1120">
        <f t="shared" si="112"/>
        <v>1</v>
      </c>
      <c r="BM96" s="1120">
        <f t="shared" si="113"/>
        <v>1</v>
      </c>
      <c r="BN96" s="1120">
        <f t="shared" si="114"/>
        <v>1</v>
      </c>
      <c r="BO96" s="1120">
        <f t="shared" si="115"/>
        <v>1</v>
      </c>
      <c r="BP96" s="1120">
        <f t="shared" si="116"/>
        <v>0</v>
      </c>
      <c r="BQ96" s="1120">
        <f t="shared" si="117"/>
        <v>0</v>
      </c>
      <c r="BR96" s="1120">
        <f t="shared" si="118"/>
        <v>0</v>
      </c>
      <c r="BS96" s="1120">
        <f t="shared" si="119"/>
        <v>0</v>
      </c>
      <c r="BT96" s="1120">
        <f t="shared" si="120"/>
        <v>1</v>
      </c>
      <c r="BU96" s="1120">
        <f t="shared" si="121"/>
        <v>1</v>
      </c>
      <c r="BV96" s="1120">
        <f t="shared" si="122"/>
        <v>1</v>
      </c>
      <c r="BW96" s="1120">
        <f t="shared" si="123"/>
        <v>0</v>
      </c>
      <c r="BX96" s="1120">
        <f t="shared" si="124"/>
        <v>0</v>
      </c>
      <c r="BY96" s="1120">
        <f t="shared" si="125"/>
        <v>0</v>
      </c>
      <c r="BZ96" s="1120">
        <f t="shared" si="126"/>
        <v>1</v>
      </c>
      <c r="CA96" s="1120">
        <f t="shared" si="127"/>
        <v>1</v>
      </c>
      <c r="CB96" s="1120">
        <f t="shared" si="128"/>
        <v>1</v>
      </c>
      <c r="CC96" s="1120">
        <f t="shared" si="129"/>
        <v>1</v>
      </c>
      <c r="CD96" s="1120">
        <f t="shared" si="130"/>
        <v>1</v>
      </c>
      <c r="CE96" s="1120">
        <f t="shared" si="131"/>
        <v>1</v>
      </c>
      <c r="CF96" s="1120">
        <f t="shared" si="132"/>
        <v>1</v>
      </c>
      <c r="CG96" s="1120">
        <f t="shared" si="133"/>
        <v>0</v>
      </c>
      <c r="CH96" s="1120">
        <f t="shared" si="134"/>
        <v>0</v>
      </c>
      <c r="CI96" s="1120">
        <f t="shared" si="135"/>
        <v>0.85</v>
      </c>
      <c r="CJ96" s="1120">
        <f t="shared" si="136"/>
        <v>0.85</v>
      </c>
      <c r="CK96" s="1120">
        <f t="shared" si="137"/>
        <v>0.85</v>
      </c>
      <c r="CL96" s="1120">
        <f t="shared" si="138"/>
        <v>0.85</v>
      </c>
      <c r="CM96" s="1120">
        <f t="shared" si="139"/>
        <v>0.85</v>
      </c>
      <c r="CN96" s="1120">
        <f t="shared" si="140"/>
        <v>0.7</v>
      </c>
      <c r="CO96" s="1120">
        <f t="shared" si="141"/>
        <v>0.7</v>
      </c>
      <c r="CP96" s="1120">
        <f t="shared" si="142"/>
        <v>0.7</v>
      </c>
      <c r="CQ96" s="1120">
        <f t="shared" si="143"/>
        <v>0.7</v>
      </c>
      <c r="CR96" s="1120">
        <f t="shared" si="144"/>
        <v>0.85</v>
      </c>
      <c r="CS96" s="1120">
        <f t="shared" si="145"/>
        <v>0.85</v>
      </c>
      <c r="CT96" s="1120">
        <f t="shared" si="146"/>
        <v>0.85</v>
      </c>
      <c r="CU96" s="1120">
        <v>1</v>
      </c>
      <c r="CV96" s="1120"/>
      <c r="CW96" s="1120">
        <f t="shared" si="147"/>
        <v>214</v>
      </c>
      <c r="CX96" s="1120">
        <f t="shared" si="148"/>
        <v>151</v>
      </c>
      <c r="CY96" s="1135" t="s">
        <v>4881</v>
      </c>
      <c r="CZ96" s="1124" t="s">
        <v>4882</v>
      </c>
      <c r="DA96" s="1124"/>
      <c r="DB96" s="1124"/>
      <c r="DC96" s="1120" t="s">
        <v>4976</v>
      </c>
      <c r="DD96" s="1120" t="s">
        <v>247</v>
      </c>
      <c r="DE96" s="1120" t="str">
        <f t="shared" si="149"/>
        <v/>
      </c>
      <c r="DF96" s="1120">
        <v>0</v>
      </c>
      <c r="DG96" s="1125">
        <v>0</v>
      </c>
    </row>
    <row r="97" spans="1:111">
      <c r="A97" s="1120" t="s">
        <v>5804</v>
      </c>
      <c r="B97" s="1120" t="s">
        <v>3090</v>
      </c>
      <c r="C97" s="1120" t="s">
        <v>3091</v>
      </c>
      <c r="D97" s="1120" t="s">
        <v>954</v>
      </c>
      <c r="E97" s="1120">
        <v>4100</v>
      </c>
      <c r="F97" s="1120">
        <v>-118.35</v>
      </c>
      <c r="G97" s="1120">
        <v>37.369999999999997</v>
      </c>
      <c r="H97" s="1120">
        <v>-8</v>
      </c>
      <c r="I97" s="1121">
        <v>18.5</v>
      </c>
      <c r="J97" s="1121">
        <v>98.600000000000009</v>
      </c>
      <c r="K97" s="1122">
        <v>62.6</v>
      </c>
      <c r="L97" s="1120">
        <v>3850.2000000000003</v>
      </c>
      <c r="M97" s="1120">
        <v>1450.8</v>
      </c>
      <c r="N97" s="1123">
        <v>39.379999828338626</v>
      </c>
      <c r="O97" s="1123">
        <v>42.259999656677245</v>
      </c>
      <c r="P97" s="1123">
        <v>46.4</v>
      </c>
      <c r="Q97" s="1123">
        <v>57.559999656677249</v>
      </c>
      <c r="R97" s="1123">
        <v>66.019999313354489</v>
      </c>
      <c r="S97" s="1123">
        <v>73.400000000000006</v>
      </c>
      <c r="T97" s="1123">
        <v>80.239998626708982</v>
      </c>
      <c r="U97" s="1123">
        <v>78.260001373291018</v>
      </c>
      <c r="V97" s="1123">
        <v>69.080000686645505</v>
      </c>
      <c r="W97" s="1123">
        <v>55.580000686645505</v>
      </c>
      <c r="X97" s="1123">
        <v>45.679999828338623</v>
      </c>
      <c r="Y97" s="1123">
        <v>38.839999914169312</v>
      </c>
      <c r="Z97" s="1123">
        <v>57.811506815217946</v>
      </c>
      <c r="AA97" s="1123">
        <f t="shared" si="75"/>
        <v>53.404855564414106</v>
      </c>
      <c r="AB97" s="1123">
        <f t="shared" si="76"/>
        <v>52.80034327157157</v>
      </c>
      <c r="AC97" s="1123">
        <f t="shared" si="77"/>
        <v>55.066060443547052</v>
      </c>
      <c r="AD97" s="1123">
        <f t="shared" si="78"/>
        <v>59.611412983706643</v>
      </c>
      <c r="AE97" s="1123">
        <f t="shared" si="79"/>
        <v>65.251584706454807</v>
      </c>
      <c r="AF97" s="1123">
        <f t="shared" si="80"/>
        <v>70.516377934580035</v>
      </c>
      <c r="AG97" s="1123">
        <f t="shared" si="81"/>
        <v>74.033443180251965</v>
      </c>
      <c r="AH97" s="1123">
        <f t="shared" si="82"/>
        <v>74.88600318757014</v>
      </c>
      <c r="AI97" s="1123">
        <f t="shared" si="83"/>
        <v>72.851825052279693</v>
      </c>
      <c r="AJ97" s="1123">
        <f t="shared" si="84"/>
        <v>68.461148652978025</v>
      </c>
      <c r="AK97" s="1123">
        <f t="shared" si="85"/>
        <v>62.858471455514554</v>
      </c>
      <c r="AL97" s="1123">
        <f t="shared" si="86"/>
        <v>57.504217611277227</v>
      </c>
      <c r="AM97" s="1120">
        <f t="shared" si="87"/>
        <v>1</v>
      </c>
      <c r="AN97" s="1120">
        <f t="shared" si="88"/>
        <v>1</v>
      </c>
      <c r="AO97" s="1120">
        <f t="shared" si="89"/>
        <v>1</v>
      </c>
      <c r="AP97" s="1120">
        <f t="shared" si="90"/>
        <v>1</v>
      </c>
      <c r="AQ97" s="1120">
        <f t="shared" si="91"/>
        <v>0</v>
      </c>
      <c r="AR97" s="1120">
        <f t="shared" si="92"/>
        <v>0</v>
      </c>
      <c r="AS97" s="1120">
        <f t="shared" si="93"/>
        <v>0</v>
      </c>
      <c r="AT97" s="1120">
        <f t="shared" si="94"/>
        <v>0</v>
      </c>
      <c r="AU97" s="1120">
        <f t="shared" si="95"/>
        <v>0</v>
      </c>
      <c r="AV97" s="1120">
        <f t="shared" si="96"/>
        <v>1</v>
      </c>
      <c r="AW97" s="1120">
        <f t="shared" si="97"/>
        <v>1</v>
      </c>
      <c r="AX97" s="1120">
        <f t="shared" si="98"/>
        <v>1</v>
      </c>
      <c r="AY97" s="1120">
        <f t="shared" si="99"/>
        <v>0</v>
      </c>
      <c r="AZ97" s="1120">
        <f t="shared" si="100"/>
        <v>0</v>
      </c>
      <c r="BA97" s="1120">
        <f t="shared" si="101"/>
        <v>0</v>
      </c>
      <c r="BB97" s="1120">
        <f t="shared" si="102"/>
        <v>0</v>
      </c>
      <c r="BC97" s="1120">
        <f t="shared" si="103"/>
        <v>1</v>
      </c>
      <c r="BD97" s="1120">
        <f t="shared" si="104"/>
        <v>1</v>
      </c>
      <c r="BE97" s="1120">
        <f t="shared" si="105"/>
        <v>1</v>
      </c>
      <c r="BF97" s="1120">
        <f t="shared" si="106"/>
        <v>1</v>
      </c>
      <c r="BG97" s="1120">
        <f t="shared" si="107"/>
        <v>1</v>
      </c>
      <c r="BH97" s="1120">
        <f t="shared" si="108"/>
        <v>0</v>
      </c>
      <c r="BI97" s="1120">
        <f t="shared" si="109"/>
        <v>0</v>
      </c>
      <c r="BJ97" s="1120">
        <f t="shared" si="110"/>
        <v>0</v>
      </c>
      <c r="BK97" s="1120">
        <f t="shared" si="111"/>
        <v>1</v>
      </c>
      <c r="BL97" s="1120">
        <f t="shared" si="112"/>
        <v>1</v>
      </c>
      <c r="BM97" s="1120">
        <f t="shared" si="113"/>
        <v>1</v>
      </c>
      <c r="BN97" s="1120">
        <f t="shared" si="114"/>
        <v>1</v>
      </c>
      <c r="BO97" s="1120">
        <f t="shared" si="115"/>
        <v>1</v>
      </c>
      <c r="BP97" s="1120">
        <f t="shared" si="116"/>
        <v>0</v>
      </c>
      <c r="BQ97" s="1120">
        <f t="shared" si="117"/>
        <v>0</v>
      </c>
      <c r="BR97" s="1120">
        <f t="shared" si="118"/>
        <v>0</v>
      </c>
      <c r="BS97" s="1120">
        <f t="shared" si="119"/>
        <v>0</v>
      </c>
      <c r="BT97" s="1120">
        <f t="shared" si="120"/>
        <v>1</v>
      </c>
      <c r="BU97" s="1120">
        <f t="shared" si="121"/>
        <v>1</v>
      </c>
      <c r="BV97" s="1120">
        <f t="shared" si="122"/>
        <v>1</v>
      </c>
      <c r="BW97" s="1120">
        <f t="shared" si="123"/>
        <v>0</v>
      </c>
      <c r="BX97" s="1120">
        <f t="shared" si="124"/>
        <v>0</v>
      </c>
      <c r="BY97" s="1120">
        <f t="shared" si="125"/>
        <v>0</v>
      </c>
      <c r="BZ97" s="1120">
        <f t="shared" si="126"/>
        <v>1</v>
      </c>
      <c r="CA97" s="1120">
        <f t="shared" si="127"/>
        <v>1</v>
      </c>
      <c r="CB97" s="1120">
        <f t="shared" si="128"/>
        <v>1</v>
      </c>
      <c r="CC97" s="1120">
        <f t="shared" si="129"/>
        <v>1</v>
      </c>
      <c r="CD97" s="1120">
        <f t="shared" si="130"/>
        <v>1</v>
      </c>
      <c r="CE97" s="1120">
        <f t="shared" si="131"/>
        <v>1</v>
      </c>
      <c r="CF97" s="1120">
        <f t="shared" si="132"/>
        <v>1</v>
      </c>
      <c r="CG97" s="1120">
        <f t="shared" si="133"/>
        <v>0</v>
      </c>
      <c r="CH97" s="1120">
        <f t="shared" si="134"/>
        <v>0</v>
      </c>
      <c r="CI97" s="1120">
        <f t="shared" si="135"/>
        <v>0.85</v>
      </c>
      <c r="CJ97" s="1120">
        <f t="shared" si="136"/>
        <v>0.85</v>
      </c>
      <c r="CK97" s="1120">
        <f t="shared" si="137"/>
        <v>0.85</v>
      </c>
      <c r="CL97" s="1120">
        <f t="shared" si="138"/>
        <v>0.85</v>
      </c>
      <c r="CM97" s="1120">
        <f t="shared" si="139"/>
        <v>0.85</v>
      </c>
      <c r="CN97" s="1120">
        <f t="shared" si="140"/>
        <v>0.7</v>
      </c>
      <c r="CO97" s="1120">
        <f t="shared" si="141"/>
        <v>0.7</v>
      </c>
      <c r="CP97" s="1120">
        <f t="shared" si="142"/>
        <v>0.7</v>
      </c>
      <c r="CQ97" s="1120">
        <f t="shared" si="143"/>
        <v>0.7</v>
      </c>
      <c r="CR97" s="1120">
        <f t="shared" si="144"/>
        <v>0.85</v>
      </c>
      <c r="CS97" s="1120">
        <f t="shared" si="145"/>
        <v>0.85</v>
      </c>
      <c r="CT97" s="1120">
        <f t="shared" si="146"/>
        <v>0.85</v>
      </c>
      <c r="CU97" s="1120">
        <v>1</v>
      </c>
      <c r="CV97" s="1120"/>
      <c r="CW97" s="1120">
        <f t="shared" si="147"/>
        <v>214</v>
      </c>
      <c r="CX97" s="1120">
        <f t="shared" si="148"/>
        <v>151</v>
      </c>
      <c r="CY97" s="1135" t="s">
        <v>4891</v>
      </c>
      <c r="CZ97" s="1124" t="s">
        <v>4892</v>
      </c>
      <c r="DA97" s="1124"/>
      <c r="DB97" s="1124"/>
      <c r="DC97" s="1120" t="s">
        <v>5013</v>
      </c>
      <c r="DD97" s="1120" t="s">
        <v>954</v>
      </c>
      <c r="DE97" s="1120" t="str">
        <f t="shared" si="149"/>
        <v/>
      </c>
      <c r="DF97" s="1120">
        <v>1</v>
      </c>
      <c r="DG97" s="1120">
        <v>0</v>
      </c>
    </row>
    <row r="98" spans="1:111">
      <c r="A98" s="1125" t="s">
        <v>3028</v>
      </c>
      <c r="B98" s="1125" t="s">
        <v>3968</v>
      </c>
      <c r="C98" s="1125" t="s">
        <v>3969</v>
      </c>
      <c r="D98" s="1125" t="s">
        <v>248</v>
      </c>
      <c r="E98" s="1125">
        <v>1647</v>
      </c>
      <c r="F98" s="1125">
        <v>-100.77</v>
      </c>
      <c r="G98" s="1125">
        <v>46.77</v>
      </c>
      <c r="H98" s="1125">
        <v>-7</v>
      </c>
      <c r="I98" s="1126">
        <v>-13.9</v>
      </c>
      <c r="J98" s="1126">
        <v>90.320002746582034</v>
      </c>
      <c r="K98" s="1127">
        <v>68.539998626708979</v>
      </c>
      <c r="L98" s="1125">
        <v>8220.6</v>
      </c>
      <c r="M98" s="1125">
        <v>523.80000000000007</v>
      </c>
      <c r="N98" s="1128">
        <v>8.9599996566772457</v>
      </c>
      <c r="O98" s="1128">
        <v>19.579999828338622</v>
      </c>
      <c r="P98" s="1128">
        <v>32.180000002682206</v>
      </c>
      <c r="Q98" s="1128">
        <v>46.040000343322752</v>
      </c>
      <c r="R98" s="1128">
        <v>57.019999313354489</v>
      </c>
      <c r="S98" s="1128">
        <v>65.83999862670899</v>
      </c>
      <c r="T98" s="1128">
        <v>72.860001373291013</v>
      </c>
      <c r="U98" s="1128">
        <v>68.180000686645513</v>
      </c>
      <c r="V98" s="1128">
        <v>57.019999313354489</v>
      </c>
      <c r="W98" s="1128">
        <v>43.879999828338626</v>
      </c>
      <c r="X98" s="1128">
        <v>31.1</v>
      </c>
      <c r="Y98" s="1128">
        <v>15.440000343322753</v>
      </c>
      <c r="Z98" s="1128">
        <v>43.294136934325302</v>
      </c>
      <c r="AA98" s="1128">
        <f t="shared" si="75"/>
        <v>39.036065521262799</v>
      </c>
      <c r="AB98" s="1128">
        <f t="shared" si="76"/>
        <v>36.800134155821063</v>
      </c>
      <c r="AC98" s="1128">
        <f t="shared" si="77"/>
        <v>37.820957153007363</v>
      </c>
      <c r="AD98" s="1128">
        <f t="shared" si="78"/>
        <v>41.832441267246516</v>
      </c>
      <c r="AE98" s="1128">
        <f t="shared" si="79"/>
        <v>47.788931345320655</v>
      </c>
      <c r="AF98" s="1128">
        <f t="shared" si="80"/>
        <v>54.137776456089114</v>
      </c>
      <c r="AG98" s="1128">
        <f t="shared" si="81"/>
        <v>59.224052282765385</v>
      </c>
      <c r="AH98" s="1128">
        <f t="shared" si="82"/>
        <v>61.721942649243211</v>
      </c>
      <c r="AI98" s="1128">
        <f t="shared" si="83"/>
        <v>60.980333937844414</v>
      </c>
      <c r="AJ98" s="1128">
        <f t="shared" si="84"/>
        <v>57.192537887731262</v>
      </c>
      <c r="AK98" s="1128">
        <f t="shared" si="85"/>
        <v>51.345901911069774</v>
      </c>
      <c r="AL98" s="1128">
        <f t="shared" si="86"/>
        <v>44.964441774564463</v>
      </c>
      <c r="AM98" s="1125">
        <f t="shared" si="87"/>
        <v>1</v>
      </c>
      <c r="AN98" s="1125">
        <f t="shared" si="88"/>
        <v>1</v>
      </c>
      <c r="AO98" s="1125">
        <f t="shared" si="89"/>
        <v>1</v>
      </c>
      <c r="AP98" s="1125">
        <f t="shared" si="90"/>
        <v>1</v>
      </c>
      <c r="AQ98" s="1125">
        <f t="shared" si="91"/>
        <v>1</v>
      </c>
      <c r="AR98" s="1125">
        <f t="shared" si="92"/>
        <v>1</v>
      </c>
      <c r="AS98" s="1125">
        <f t="shared" si="93"/>
        <v>0</v>
      </c>
      <c r="AT98" s="1125">
        <f t="shared" si="94"/>
        <v>0</v>
      </c>
      <c r="AU98" s="1125">
        <f t="shared" si="95"/>
        <v>1</v>
      </c>
      <c r="AV98" s="1125">
        <f t="shared" si="96"/>
        <v>1</v>
      </c>
      <c r="AW98" s="1125">
        <f t="shared" si="97"/>
        <v>1</v>
      </c>
      <c r="AX98" s="1125">
        <f t="shared" si="98"/>
        <v>1</v>
      </c>
      <c r="AY98" s="1125">
        <f t="shared" si="99"/>
        <v>0</v>
      </c>
      <c r="AZ98" s="1125">
        <f t="shared" si="100"/>
        <v>0</v>
      </c>
      <c r="BA98" s="1125">
        <f t="shared" si="101"/>
        <v>0</v>
      </c>
      <c r="BB98" s="1125">
        <f t="shared" si="102"/>
        <v>0</v>
      </c>
      <c r="BC98" s="1125">
        <f t="shared" si="103"/>
        <v>0</v>
      </c>
      <c r="BD98" s="1125">
        <f t="shared" si="104"/>
        <v>0</v>
      </c>
      <c r="BE98" s="1125">
        <f t="shared" si="105"/>
        <v>1</v>
      </c>
      <c r="BF98" s="1125">
        <f t="shared" si="106"/>
        <v>1</v>
      </c>
      <c r="BG98" s="1125">
        <f t="shared" si="107"/>
        <v>0</v>
      </c>
      <c r="BH98" s="1125">
        <f t="shared" si="108"/>
        <v>0</v>
      </c>
      <c r="BI98" s="1125">
        <f t="shared" si="109"/>
        <v>0</v>
      </c>
      <c r="BJ98" s="1125">
        <f t="shared" si="110"/>
        <v>0</v>
      </c>
      <c r="BK98" s="1125">
        <f t="shared" si="111"/>
        <v>1</v>
      </c>
      <c r="BL98" s="1125">
        <f t="shared" si="112"/>
        <v>1</v>
      </c>
      <c r="BM98" s="1125">
        <f t="shared" si="113"/>
        <v>1</v>
      </c>
      <c r="BN98" s="1125">
        <f t="shared" si="114"/>
        <v>1</v>
      </c>
      <c r="BO98" s="1125">
        <f t="shared" si="115"/>
        <v>1</v>
      </c>
      <c r="BP98" s="1125">
        <f t="shared" si="116"/>
        <v>1</v>
      </c>
      <c r="BQ98" s="1125">
        <f t="shared" si="117"/>
        <v>1</v>
      </c>
      <c r="BR98" s="1125">
        <f t="shared" si="118"/>
        <v>0</v>
      </c>
      <c r="BS98" s="1125">
        <f t="shared" si="119"/>
        <v>1</v>
      </c>
      <c r="BT98" s="1125">
        <f t="shared" si="120"/>
        <v>1</v>
      </c>
      <c r="BU98" s="1125">
        <f t="shared" si="121"/>
        <v>1</v>
      </c>
      <c r="BV98" s="1125">
        <f t="shared" si="122"/>
        <v>1</v>
      </c>
      <c r="BW98" s="1125">
        <f t="shared" si="123"/>
        <v>0</v>
      </c>
      <c r="BX98" s="1125">
        <f t="shared" si="124"/>
        <v>0</v>
      </c>
      <c r="BY98" s="1125">
        <f t="shared" si="125"/>
        <v>0</v>
      </c>
      <c r="BZ98" s="1125">
        <f t="shared" si="126"/>
        <v>0</v>
      </c>
      <c r="CA98" s="1125">
        <f t="shared" si="127"/>
        <v>0</v>
      </c>
      <c r="CB98" s="1125">
        <f t="shared" si="128"/>
        <v>1</v>
      </c>
      <c r="CC98" s="1125">
        <f t="shared" si="129"/>
        <v>1</v>
      </c>
      <c r="CD98" s="1125">
        <f t="shared" si="130"/>
        <v>1</v>
      </c>
      <c r="CE98" s="1125">
        <f t="shared" si="131"/>
        <v>1</v>
      </c>
      <c r="CF98" s="1125">
        <f t="shared" si="132"/>
        <v>0</v>
      </c>
      <c r="CG98" s="1125">
        <f t="shared" si="133"/>
        <v>0</v>
      </c>
      <c r="CH98" s="1125">
        <f t="shared" si="134"/>
        <v>0</v>
      </c>
      <c r="CI98" s="1125">
        <f t="shared" si="135"/>
        <v>0.85</v>
      </c>
      <c r="CJ98" s="1125">
        <f t="shared" si="136"/>
        <v>0.85</v>
      </c>
      <c r="CK98" s="1125">
        <f t="shared" si="137"/>
        <v>0.85</v>
      </c>
      <c r="CL98" s="1125">
        <f t="shared" si="138"/>
        <v>0.85</v>
      </c>
      <c r="CM98" s="1125">
        <f t="shared" si="139"/>
        <v>0.85</v>
      </c>
      <c r="CN98" s="1125">
        <f t="shared" si="140"/>
        <v>0.85</v>
      </c>
      <c r="CO98" s="1125">
        <f t="shared" si="141"/>
        <v>0.85</v>
      </c>
      <c r="CP98" s="1125">
        <f t="shared" si="142"/>
        <v>0.7</v>
      </c>
      <c r="CQ98" s="1125">
        <f t="shared" si="143"/>
        <v>0.85</v>
      </c>
      <c r="CR98" s="1125">
        <f t="shared" si="144"/>
        <v>0.85</v>
      </c>
      <c r="CS98" s="1125">
        <f t="shared" si="145"/>
        <v>0.85</v>
      </c>
      <c r="CT98" s="1125">
        <f t="shared" si="146"/>
        <v>0.85</v>
      </c>
      <c r="CU98" s="1125">
        <v>1</v>
      </c>
      <c r="CV98" s="1125"/>
      <c r="CW98" s="1125">
        <f t="shared" si="147"/>
        <v>122</v>
      </c>
      <c r="CX98" s="1125">
        <f t="shared" si="148"/>
        <v>243</v>
      </c>
      <c r="CY98" s="1136" t="s">
        <v>4889</v>
      </c>
      <c r="CZ98" s="1129" t="s">
        <v>4899</v>
      </c>
      <c r="DA98" s="1129"/>
      <c r="DB98" s="1129"/>
      <c r="DC98" s="1125" t="s">
        <v>5402</v>
      </c>
      <c r="DD98" s="1125" t="s">
        <v>248</v>
      </c>
      <c r="DE98" s="1120" t="b">
        <f t="shared" si="149"/>
        <v>0</v>
      </c>
      <c r="DF98" s="1133">
        <v>0</v>
      </c>
      <c r="DG98" s="1125">
        <v>0</v>
      </c>
    </row>
    <row r="99" spans="1:111">
      <c r="A99" s="1120" t="s">
        <v>3030</v>
      </c>
      <c r="B99" s="1120" t="s">
        <v>4462</v>
      </c>
      <c r="C99" s="1120" t="s">
        <v>4463</v>
      </c>
      <c r="D99" s="1120" t="s">
        <v>905</v>
      </c>
      <c r="E99" s="1120">
        <v>6038</v>
      </c>
      <c r="F99" s="1120">
        <v>-109.48</v>
      </c>
      <c r="G99" s="1120">
        <v>37.619999999999997</v>
      </c>
      <c r="H99" s="1120">
        <v>-7</v>
      </c>
      <c r="I99" s="1121">
        <v>15.440000343322753</v>
      </c>
      <c r="J99" s="1121">
        <v>96.439998626708984</v>
      </c>
      <c r="K99" s="1122">
        <v>57.380000686645509</v>
      </c>
      <c r="L99" s="1120">
        <v>5572.8</v>
      </c>
      <c r="M99" s="1120">
        <v>1141.2</v>
      </c>
      <c r="N99" s="1123">
        <v>35.23999991416931</v>
      </c>
      <c r="O99" s="1123">
        <v>31.81999999731779</v>
      </c>
      <c r="P99" s="1123">
        <v>42.079999828338622</v>
      </c>
      <c r="Q99" s="1123">
        <v>45.320000171661377</v>
      </c>
      <c r="R99" s="1123">
        <v>61.519999313354496</v>
      </c>
      <c r="S99" s="1123">
        <v>69.8</v>
      </c>
      <c r="T99" s="1123">
        <v>79.33999862670899</v>
      </c>
      <c r="U99" s="1123">
        <v>73.580000686645505</v>
      </c>
      <c r="V99" s="1123">
        <v>66.019999313354489</v>
      </c>
      <c r="W99" s="1123">
        <v>50.540000343322752</v>
      </c>
      <c r="X99" s="1123">
        <v>37.939999914169313</v>
      </c>
      <c r="Y99" s="1123">
        <v>32</v>
      </c>
      <c r="Z99" s="1123">
        <v>52.237424498600504</v>
      </c>
      <c r="AA99" s="1123">
        <f t="shared" si="75"/>
        <v>47.970406334541806</v>
      </c>
      <c r="AB99" s="1123">
        <f t="shared" si="76"/>
        <v>46.793995401317829</v>
      </c>
      <c r="AC99" s="1123">
        <f t="shared" si="77"/>
        <v>48.60049061088101</v>
      </c>
      <c r="AD99" s="1123">
        <f t="shared" si="78"/>
        <v>52.919001147924831</v>
      </c>
      <c r="AE99" s="1123">
        <f t="shared" si="79"/>
        <v>58.623840690706984</v>
      </c>
      <c r="AF99" s="1123">
        <f t="shared" si="80"/>
        <v>64.227954898162821</v>
      </c>
      <c r="AG99" s="1123">
        <f t="shared" si="81"/>
        <v>68.270545040104864</v>
      </c>
      <c r="AH99" s="1123">
        <f t="shared" si="82"/>
        <v>69.697847697836096</v>
      </c>
      <c r="AI99" s="1123">
        <f t="shared" si="83"/>
        <v>68.137814438219124</v>
      </c>
      <c r="AJ99" s="1123">
        <f t="shared" si="84"/>
        <v>63.997091971213337</v>
      </c>
      <c r="AK99" s="1123">
        <f t="shared" si="85"/>
        <v>58.355023418308548</v>
      </c>
      <c r="AL99" s="1123">
        <f t="shared" si="86"/>
        <v>52.682300894727653</v>
      </c>
      <c r="AM99" s="1120">
        <f t="shared" si="87"/>
        <v>1</v>
      </c>
      <c r="AN99" s="1120">
        <f t="shared" si="88"/>
        <v>1</v>
      </c>
      <c r="AO99" s="1120">
        <f t="shared" si="89"/>
        <v>1</v>
      </c>
      <c r="AP99" s="1120">
        <f t="shared" si="90"/>
        <v>1</v>
      </c>
      <c r="AQ99" s="1120">
        <f t="shared" si="91"/>
        <v>1</v>
      </c>
      <c r="AR99" s="1120">
        <f t="shared" si="92"/>
        <v>0</v>
      </c>
      <c r="AS99" s="1120">
        <f t="shared" si="93"/>
        <v>0</v>
      </c>
      <c r="AT99" s="1120">
        <f t="shared" si="94"/>
        <v>0</v>
      </c>
      <c r="AU99" s="1120">
        <f t="shared" si="95"/>
        <v>0</v>
      </c>
      <c r="AV99" s="1120">
        <f t="shared" si="96"/>
        <v>1</v>
      </c>
      <c r="AW99" s="1120">
        <f t="shared" si="97"/>
        <v>1</v>
      </c>
      <c r="AX99" s="1120">
        <f t="shared" si="98"/>
        <v>1</v>
      </c>
      <c r="AY99" s="1120">
        <f t="shared" si="99"/>
        <v>0</v>
      </c>
      <c r="AZ99" s="1120">
        <f t="shared" si="100"/>
        <v>0</v>
      </c>
      <c r="BA99" s="1120">
        <f t="shared" si="101"/>
        <v>0</v>
      </c>
      <c r="BB99" s="1120">
        <f t="shared" si="102"/>
        <v>0</v>
      </c>
      <c r="BC99" s="1120">
        <f t="shared" si="103"/>
        <v>0</v>
      </c>
      <c r="BD99" s="1120">
        <f t="shared" si="104"/>
        <v>1</v>
      </c>
      <c r="BE99" s="1120">
        <f t="shared" si="105"/>
        <v>1</v>
      </c>
      <c r="BF99" s="1120">
        <f t="shared" si="106"/>
        <v>1</v>
      </c>
      <c r="BG99" s="1120">
        <f t="shared" si="107"/>
        <v>1</v>
      </c>
      <c r="BH99" s="1120">
        <f t="shared" si="108"/>
        <v>0</v>
      </c>
      <c r="BI99" s="1120">
        <f t="shared" si="109"/>
        <v>0</v>
      </c>
      <c r="BJ99" s="1120">
        <f t="shared" si="110"/>
        <v>0</v>
      </c>
      <c r="BK99" s="1120">
        <f t="shared" si="111"/>
        <v>1</v>
      </c>
      <c r="BL99" s="1120">
        <f t="shared" si="112"/>
        <v>1</v>
      </c>
      <c r="BM99" s="1120">
        <f t="shared" si="113"/>
        <v>1</v>
      </c>
      <c r="BN99" s="1120">
        <f t="shared" si="114"/>
        <v>1</v>
      </c>
      <c r="BO99" s="1120">
        <f t="shared" si="115"/>
        <v>1</v>
      </c>
      <c r="BP99" s="1120">
        <f t="shared" si="116"/>
        <v>1</v>
      </c>
      <c r="BQ99" s="1120">
        <f t="shared" si="117"/>
        <v>0</v>
      </c>
      <c r="BR99" s="1120">
        <f t="shared" si="118"/>
        <v>0</v>
      </c>
      <c r="BS99" s="1120">
        <f t="shared" si="119"/>
        <v>0</v>
      </c>
      <c r="BT99" s="1120">
        <f t="shared" si="120"/>
        <v>1</v>
      </c>
      <c r="BU99" s="1120">
        <f t="shared" si="121"/>
        <v>1</v>
      </c>
      <c r="BV99" s="1120">
        <f t="shared" si="122"/>
        <v>1</v>
      </c>
      <c r="BW99" s="1120">
        <f t="shared" si="123"/>
        <v>0</v>
      </c>
      <c r="BX99" s="1120">
        <f t="shared" si="124"/>
        <v>0</v>
      </c>
      <c r="BY99" s="1120">
        <f t="shared" si="125"/>
        <v>0</v>
      </c>
      <c r="BZ99" s="1120">
        <f t="shared" si="126"/>
        <v>0</v>
      </c>
      <c r="CA99" s="1120">
        <f t="shared" si="127"/>
        <v>1</v>
      </c>
      <c r="CB99" s="1120">
        <f t="shared" si="128"/>
        <v>1</v>
      </c>
      <c r="CC99" s="1120">
        <f t="shared" si="129"/>
        <v>1</v>
      </c>
      <c r="CD99" s="1120">
        <f t="shared" si="130"/>
        <v>1</v>
      </c>
      <c r="CE99" s="1120">
        <f t="shared" si="131"/>
        <v>1</v>
      </c>
      <c r="CF99" s="1120">
        <f t="shared" si="132"/>
        <v>1</v>
      </c>
      <c r="CG99" s="1120">
        <f t="shared" si="133"/>
        <v>0</v>
      </c>
      <c r="CH99" s="1120">
        <f t="shared" si="134"/>
        <v>0</v>
      </c>
      <c r="CI99" s="1120">
        <f t="shared" si="135"/>
        <v>0.85</v>
      </c>
      <c r="CJ99" s="1120">
        <f t="shared" si="136"/>
        <v>0.85</v>
      </c>
      <c r="CK99" s="1120">
        <f t="shared" si="137"/>
        <v>0.85</v>
      </c>
      <c r="CL99" s="1120">
        <f t="shared" si="138"/>
        <v>0.85</v>
      </c>
      <c r="CM99" s="1120">
        <f t="shared" si="139"/>
        <v>0.85</v>
      </c>
      <c r="CN99" s="1120">
        <f t="shared" si="140"/>
        <v>0.85</v>
      </c>
      <c r="CO99" s="1120">
        <f t="shared" si="141"/>
        <v>0.7</v>
      </c>
      <c r="CP99" s="1120">
        <f t="shared" si="142"/>
        <v>0.7</v>
      </c>
      <c r="CQ99" s="1120">
        <f t="shared" si="143"/>
        <v>0.7</v>
      </c>
      <c r="CR99" s="1120">
        <f t="shared" si="144"/>
        <v>0.85</v>
      </c>
      <c r="CS99" s="1120">
        <f t="shared" si="145"/>
        <v>0.85</v>
      </c>
      <c r="CT99" s="1120">
        <f t="shared" si="146"/>
        <v>0.85</v>
      </c>
      <c r="CU99" s="1120">
        <v>1</v>
      </c>
      <c r="CV99" s="1120"/>
      <c r="CW99" s="1120">
        <f t="shared" si="147"/>
        <v>184</v>
      </c>
      <c r="CX99" s="1120">
        <f t="shared" si="148"/>
        <v>181</v>
      </c>
      <c r="CY99" s="1135" t="s">
        <v>4889</v>
      </c>
      <c r="CZ99" s="1124" t="s">
        <v>4890</v>
      </c>
      <c r="DA99" s="1124"/>
      <c r="DB99" s="1124"/>
      <c r="DC99" s="1120" t="s">
        <v>5617</v>
      </c>
      <c r="DD99" s="1120" t="s">
        <v>905</v>
      </c>
      <c r="DE99" s="1120" t="str">
        <f t="shared" si="149"/>
        <v/>
      </c>
      <c r="DF99" s="1133">
        <v>1</v>
      </c>
      <c r="DG99" s="1120">
        <v>0</v>
      </c>
    </row>
    <row r="100" spans="1:111">
      <c r="A100" s="1125" t="s">
        <v>3034</v>
      </c>
      <c r="B100" s="1125" t="s">
        <v>4292</v>
      </c>
      <c r="C100" s="1125" t="s">
        <v>4293</v>
      </c>
      <c r="D100" s="1125" t="s">
        <v>789</v>
      </c>
      <c r="E100" s="1125">
        <v>112</v>
      </c>
      <c r="F100" s="1125">
        <v>-71.58</v>
      </c>
      <c r="G100" s="1125">
        <v>41.17</v>
      </c>
      <c r="H100" s="1125">
        <v>-5</v>
      </c>
      <c r="I100" s="1126">
        <v>16.159999656677247</v>
      </c>
      <c r="J100" s="1126">
        <v>79.33999862670899</v>
      </c>
      <c r="K100" s="1127">
        <v>69.260001373291018</v>
      </c>
      <c r="L100" s="1125">
        <v>5065.2</v>
      </c>
      <c r="M100" s="1125">
        <v>460.8</v>
      </c>
      <c r="N100" s="1128">
        <v>37.220000171661376</v>
      </c>
      <c r="O100" s="1128">
        <v>35.960000085830686</v>
      </c>
      <c r="P100" s="1128">
        <v>37.039999914169314</v>
      </c>
      <c r="Q100" s="1128">
        <v>44.959999656677248</v>
      </c>
      <c r="R100" s="1128">
        <v>53.059999656677249</v>
      </c>
      <c r="S100" s="1128">
        <v>63.86000137329102</v>
      </c>
      <c r="T100" s="1128">
        <v>71.239998626708982</v>
      </c>
      <c r="U100" s="1128">
        <v>68.719999313354492</v>
      </c>
      <c r="V100" s="1128">
        <v>66.2</v>
      </c>
      <c r="W100" s="1128">
        <v>55.219999313354492</v>
      </c>
      <c r="X100" s="1128">
        <v>46.220000171661376</v>
      </c>
      <c r="Y100" s="1128">
        <v>40.640000343322754</v>
      </c>
      <c r="Z100" s="1128">
        <v>51.784712208133854</v>
      </c>
      <c r="AA100" s="1128">
        <f t="shared" si="75"/>
        <v>50.263182195902786</v>
      </c>
      <c r="AB100" s="1128">
        <f t="shared" si="76"/>
        <v>49.365166387593575</v>
      </c>
      <c r="AC100" s="1128">
        <f t="shared" si="77"/>
        <v>50.661834946536757</v>
      </c>
      <c r="AD100" s="1128">
        <f t="shared" si="78"/>
        <v>53.815191230576431</v>
      </c>
      <c r="AE100" s="1128">
        <f t="shared" si="79"/>
        <v>58.003264329586379</v>
      </c>
      <c r="AF100" s="1128">
        <f t="shared" si="80"/>
        <v>62.134368450149594</v>
      </c>
      <c r="AG100" s="1128">
        <f t="shared" si="81"/>
        <v>65.131667640999723</v>
      </c>
      <c r="AH100" s="1128">
        <f t="shared" si="82"/>
        <v>66.213869678262995</v>
      </c>
      <c r="AI100" s="1128">
        <f t="shared" si="83"/>
        <v>65.098881923688552</v>
      </c>
      <c r="AJ100" s="1128">
        <f t="shared" si="84"/>
        <v>62.077343117987603</v>
      </c>
      <c r="AK100" s="1128">
        <f t="shared" si="85"/>
        <v>57.936863914188571</v>
      </c>
      <c r="AL100" s="1128">
        <f t="shared" si="86"/>
        <v>53.756724023477602</v>
      </c>
      <c r="AM100" s="1125">
        <f t="shared" si="87"/>
        <v>1</v>
      </c>
      <c r="AN100" s="1125">
        <f t="shared" si="88"/>
        <v>1</v>
      </c>
      <c r="AO100" s="1125">
        <f t="shared" si="89"/>
        <v>1</v>
      </c>
      <c r="AP100" s="1125">
        <f t="shared" si="90"/>
        <v>1</v>
      </c>
      <c r="AQ100" s="1125">
        <f t="shared" si="91"/>
        <v>1</v>
      </c>
      <c r="AR100" s="1125">
        <f t="shared" si="92"/>
        <v>1</v>
      </c>
      <c r="AS100" s="1125">
        <f t="shared" si="93"/>
        <v>0</v>
      </c>
      <c r="AT100" s="1125">
        <f t="shared" si="94"/>
        <v>0</v>
      </c>
      <c r="AU100" s="1125">
        <f t="shared" si="95"/>
        <v>0</v>
      </c>
      <c r="AV100" s="1125">
        <f t="shared" si="96"/>
        <v>1</v>
      </c>
      <c r="AW100" s="1125">
        <f t="shared" si="97"/>
        <v>1</v>
      </c>
      <c r="AX100" s="1125">
        <f t="shared" si="98"/>
        <v>1</v>
      </c>
      <c r="AY100" s="1125">
        <f t="shared" si="99"/>
        <v>0</v>
      </c>
      <c r="AZ100" s="1125">
        <f t="shared" si="100"/>
        <v>0</v>
      </c>
      <c r="BA100" s="1125">
        <f t="shared" si="101"/>
        <v>0</v>
      </c>
      <c r="BB100" s="1125">
        <f t="shared" si="102"/>
        <v>0</v>
      </c>
      <c r="BC100" s="1125">
        <f t="shared" si="103"/>
        <v>0</v>
      </c>
      <c r="BD100" s="1125">
        <f t="shared" si="104"/>
        <v>0</v>
      </c>
      <c r="BE100" s="1125">
        <f t="shared" si="105"/>
        <v>1</v>
      </c>
      <c r="BF100" s="1125">
        <f t="shared" si="106"/>
        <v>1</v>
      </c>
      <c r="BG100" s="1125">
        <f t="shared" si="107"/>
        <v>1</v>
      </c>
      <c r="BH100" s="1125">
        <f t="shared" si="108"/>
        <v>0</v>
      </c>
      <c r="BI100" s="1125">
        <f t="shared" si="109"/>
        <v>0</v>
      </c>
      <c r="BJ100" s="1125">
        <f t="shared" si="110"/>
        <v>0</v>
      </c>
      <c r="BK100" s="1125">
        <f t="shared" si="111"/>
        <v>1</v>
      </c>
      <c r="BL100" s="1125">
        <f t="shared" si="112"/>
        <v>1</v>
      </c>
      <c r="BM100" s="1125">
        <f t="shared" si="113"/>
        <v>1</v>
      </c>
      <c r="BN100" s="1125">
        <f t="shared" si="114"/>
        <v>1</v>
      </c>
      <c r="BO100" s="1125">
        <f t="shared" si="115"/>
        <v>1</v>
      </c>
      <c r="BP100" s="1125">
        <f t="shared" si="116"/>
        <v>1</v>
      </c>
      <c r="BQ100" s="1125">
        <f t="shared" si="117"/>
        <v>1</v>
      </c>
      <c r="BR100" s="1125">
        <f t="shared" si="118"/>
        <v>0</v>
      </c>
      <c r="BS100" s="1125">
        <f t="shared" si="119"/>
        <v>0</v>
      </c>
      <c r="BT100" s="1125">
        <f t="shared" si="120"/>
        <v>1</v>
      </c>
      <c r="BU100" s="1125">
        <f t="shared" si="121"/>
        <v>1</v>
      </c>
      <c r="BV100" s="1125">
        <f t="shared" si="122"/>
        <v>1</v>
      </c>
      <c r="BW100" s="1125">
        <f t="shared" si="123"/>
        <v>0</v>
      </c>
      <c r="BX100" s="1125">
        <f t="shared" si="124"/>
        <v>0</v>
      </c>
      <c r="BY100" s="1125">
        <f t="shared" si="125"/>
        <v>0</v>
      </c>
      <c r="BZ100" s="1125">
        <f t="shared" si="126"/>
        <v>0</v>
      </c>
      <c r="CA100" s="1125">
        <f t="shared" si="127"/>
        <v>0</v>
      </c>
      <c r="CB100" s="1125">
        <f t="shared" si="128"/>
        <v>1</v>
      </c>
      <c r="CC100" s="1125">
        <f t="shared" si="129"/>
        <v>1</v>
      </c>
      <c r="CD100" s="1125">
        <f t="shared" si="130"/>
        <v>1</v>
      </c>
      <c r="CE100" s="1125">
        <f t="shared" si="131"/>
        <v>1</v>
      </c>
      <c r="CF100" s="1125">
        <f t="shared" si="132"/>
        <v>1</v>
      </c>
      <c r="CG100" s="1125">
        <f t="shared" si="133"/>
        <v>0</v>
      </c>
      <c r="CH100" s="1125">
        <f t="shared" si="134"/>
        <v>0</v>
      </c>
      <c r="CI100" s="1125">
        <f t="shared" si="135"/>
        <v>0.85</v>
      </c>
      <c r="CJ100" s="1125">
        <f t="shared" si="136"/>
        <v>0.85</v>
      </c>
      <c r="CK100" s="1125">
        <f t="shared" si="137"/>
        <v>0.85</v>
      </c>
      <c r="CL100" s="1125">
        <f t="shared" si="138"/>
        <v>0.85</v>
      </c>
      <c r="CM100" s="1125">
        <f t="shared" si="139"/>
        <v>0.85</v>
      </c>
      <c r="CN100" s="1125">
        <f t="shared" si="140"/>
        <v>0.85</v>
      </c>
      <c r="CO100" s="1125">
        <f t="shared" si="141"/>
        <v>0.85</v>
      </c>
      <c r="CP100" s="1125">
        <f t="shared" si="142"/>
        <v>0.7</v>
      </c>
      <c r="CQ100" s="1125">
        <f t="shared" si="143"/>
        <v>0.7</v>
      </c>
      <c r="CR100" s="1125">
        <f t="shared" si="144"/>
        <v>0.85</v>
      </c>
      <c r="CS100" s="1125">
        <f t="shared" si="145"/>
        <v>0.85</v>
      </c>
      <c r="CT100" s="1125">
        <f t="shared" si="146"/>
        <v>0.85</v>
      </c>
      <c r="CU100" s="1125">
        <v>1</v>
      </c>
      <c r="CV100" s="1125"/>
      <c r="CW100" s="1125">
        <f t="shared" si="147"/>
        <v>153</v>
      </c>
      <c r="CX100" s="1125">
        <f t="shared" si="148"/>
        <v>212</v>
      </c>
      <c r="CY100" s="1136" t="s">
        <v>4889</v>
      </c>
      <c r="CZ100" s="1129" t="s">
        <v>4897</v>
      </c>
      <c r="DA100" s="1129"/>
      <c r="DB100" s="1129"/>
      <c r="DC100" s="1125" t="s">
        <v>5546</v>
      </c>
      <c r="DD100" s="1125" t="s">
        <v>789</v>
      </c>
      <c r="DE100" s="1120" t="str">
        <f t="shared" si="149"/>
        <v/>
      </c>
      <c r="DF100" s="1133">
        <v>0</v>
      </c>
      <c r="DG100" s="1125">
        <v>0</v>
      </c>
    </row>
    <row r="101" spans="1:111">
      <c r="A101" s="1120" t="s">
        <v>3036</v>
      </c>
      <c r="B101" s="1125" t="s">
        <v>3092</v>
      </c>
      <c r="C101" s="1125" t="s">
        <v>3093</v>
      </c>
      <c r="D101" s="1125" t="s">
        <v>954</v>
      </c>
      <c r="E101" s="1125">
        <v>5278</v>
      </c>
      <c r="F101" s="1125">
        <v>-120.72</v>
      </c>
      <c r="G101" s="1125">
        <v>39.299999999999997</v>
      </c>
      <c r="H101" s="1125">
        <v>-8</v>
      </c>
      <c r="I101" s="1126">
        <v>23.720000171661376</v>
      </c>
      <c r="J101" s="1126">
        <v>81.139998626708987</v>
      </c>
      <c r="K101" s="1127">
        <v>57.919999313354495</v>
      </c>
      <c r="L101" s="1125">
        <v>5052.6000000000004</v>
      </c>
      <c r="M101" s="1125">
        <v>484.2</v>
      </c>
      <c r="N101" s="1128">
        <v>37.4</v>
      </c>
      <c r="O101" s="1128">
        <v>37.4</v>
      </c>
      <c r="P101" s="1128">
        <v>36.5</v>
      </c>
      <c r="Q101" s="1128">
        <v>47.3</v>
      </c>
      <c r="R101" s="1128">
        <v>52.340000343322757</v>
      </c>
      <c r="S101" s="1128">
        <v>64.039998626708979</v>
      </c>
      <c r="T101" s="1128">
        <v>69.080000686645505</v>
      </c>
      <c r="U101" s="1128">
        <v>68.539998626708979</v>
      </c>
      <c r="V101" s="1128">
        <v>63.86000137329102</v>
      </c>
      <c r="W101" s="1128">
        <v>58.640000343322754</v>
      </c>
      <c r="X101" s="1128">
        <v>46.040000343322752</v>
      </c>
      <c r="Y101" s="1128">
        <v>40.640000343322754</v>
      </c>
      <c r="Z101" s="1128">
        <v>51.895178139569012</v>
      </c>
      <c r="AA101" s="1128">
        <f t="shared" si="75"/>
        <v>50.926535168114505</v>
      </c>
      <c r="AB101" s="1128">
        <f t="shared" si="76"/>
        <v>50.102735169037771</v>
      </c>
      <c r="AC101" s="1128">
        <f t="shared" si="77"/>
        <v>51.310155515411132</v>
      </c>
      <c r="AD101" s="1128">
        <f t="shared" si="78"/>
        <v>54.234063487041603</v>
      </c>
      <c r="AE101" s="1128">
        <f t="shared" si="79"/>
        <v>58.112297412337945</v>
      </c>
      <c r="AF101" s="1128">
        <f t="shared" si="80"/>
        <v>61.933935853277788</v>
      </c>
      <c r="AG101" s="1128">
        <f t="shared" si="81"/>
        <v>64.70280985699911</v>
      </c>
      <c r="AH101" s="1128">
        <f t="shared" si="82"/>
        <v>65.69716974479195</v>
      </c>
      <c r="AI101" s="1128">
        <f t="shared" si="83"/>
        <v>64.657820288353392</v>
      </c>
      <c r="AJ101" s="1128">
        <f t="shared" si="84"/>
        <v>61.855683940364095</v>
      </c>
      <c r="AK101" s="1128">
        <f t="shared" si="85"/>
        <v>58.021180722155712</v>
      </c>
      <c r="AL101" s="1128">
        <f t="shared" si="86"/>
        <v>54.153832989037532</v>
      </c>
      <c r="AM101" s="1125">
        <f t="shared" si="87"/>
        <v>1</v>
      </c>
      <c r="AN101" s="1125">
        <f t="shared" si="88"/>
        <v>1</v>
      </c>
      <c r="AO101" s="1125">
        <f t="shared" si="89"/>
        <v>1</v>
      </c>
      <c r="AP101" s="1125">
        <f t="shared" si="90"/>
        <v>1</v>
      </c>
      <c r="AQ101" s="1125">
        <f t="shared" si="91"/>
        <v>1</v>
      </c>
      <c r="AR101" s="1125">
        <f t="shared" si="92"/>
        <v>1</v>
      </c>
      <c r="AS101" s="1125">
        <f t="shared" si="93"/>
        <v>0</v>
      </c>
      <c r="AT101" s="1125">
        <f t="shared" si="94"/>
        <v>0</v>
      </c>
      <c r="AU101" s="1125">
        <f t="shared" si="95"/>
        <v>1</v>
      </c>
      <c r="AV101" s="1125">
        <f t="shared" si="96"/>
        <v>1</v>
      </c>
      <c r="AW101" s="1125">
        <f t="shared" si="97"/>
        <v>1</v>
      </c>
      <c r="AX101" s="1125">
        <f t="shared" si="98"/>
        <v>1</v>
      </c>
      <c r="AY101" s="1125">
        <f t="shared" si="99"/>
        <v>0</v>
      </c>
      <c r="AZ101" s="1125">
        <f t="shared" si="100"/>
        <v>0</v>
      </c>
      <c r="BA101" s="1125">
        <f t="shared" si="101"/>
        <v>0</v>
      </c>
      <c r="BB101" s="1125">
        <f t="shared" si="102"/>
        <v>0</v>
      </c>
      <c r="BC101" s="1125">
        <f t="shared" si="103"/>
        <v>0</v>
      </c>
      <c r="BD101" s="1125">
        <f t="shared" si="104"/>
        <v>0</v>
      </c>
      <c r="BE101" s="1125">
        <f t="shared" si="105"/>
        <v>1</v>
      </c>
      <c r="BF101" s="1125">
        <f t="shared" si="106"/>
        <v>1</v>
      </c>
      <c r="BG101" s="1125">
        <f t="shared" si="107"/>
        <v>0</v>
      </c>
      <c r="BH101" s="1125">
        <f t="shared" si="108"/>
        <v>0</v>
      </c>
      <c r="BI101" s="1125">
        <f t="shared" si="109"/>
        <v>0</v>
      </c>
      <c r="BJ101" s="1125">
        <f t="shared" si="110"/>
        <v>0</v>
      </c>
      <c r="BK101" s="1125">
        <f t="shared" si="111"/>
        <v>1</v>
      </c>
      <c r="BL101" s="1125">
        <f t="shared" si="112"/>
        <v>1</v>
      </c>
      <c r="BM101" s="1125">
        <f t="shared" si="113"/>
        <v>1</v>
      </c>
      <c r="BN101" s="1125">
        <f t="shared" si="114"/>
        <v>1</v>
      </c>
      <c r="BO101" s="1125">
        <f t="shared" si="115"/>
        <v>1</v>
      </c>
      <c r="BP101" s="1125">
        <f t="shared" si="116"/>
        <v>1</v>
      </c>
      <c r="BQ101" s="1125">
        <f t="shared" si="117"/>
        <v>1</v>
      </c>
      <c r="BR101" s="1125">
        <f t="shared" si="118"/>
        <v>0</v>
      </c>
      <c r="BS101" s="1125">
        <f t="shared" si="119"/>
        <v>1</v>
      </c>
      <c r="BT101" s="1125">
        <f t="shared" si="120"/>
        <v>1</v>
      </c>
      <c r="BU101" s="1125">
        <f t="shared" si="121"/>
        <v>1</v>
      </c>
      <c r="BV101" s="1125">
        <f t="shared" si="122"/>
        <v>1</v>
      </c>
      <c r="BW101" s="1125">
        <f t="shared" si="123"/>
        <v>0</v>
      </c>
      <c r="BX101" s="1125">
        <f t="shared" si="124"/>
        <v>0</v>
      </c>
      <c r="BY101" s="1125">
        <f t="shared" si="125"/>
        <v>0</v>
      </c>
      <c r="BZ101" s="1125">
        <f t="shared" si="126"/>
        <v>0</v>
      </c>
      <c r="CA101" s="1125">
        <f t="shared" si="127"/>
        <v>0</v>
      </c>
      <c r="CB101" s="1125">
        <f t="shared" si="128"/>
        <v>1</v>
      </c>
      <c r="CC101" s="1125">
        <f t="shared" si="129"/>
        <v>1</v>
      </c>
      <c r="CD101" s="1125">
        <f t="shared" si="130"/>
        <v>1</v>
      </c>
      <c r="CE101" s="1125">
        <f t="shared" si="131"/>
        <v>1</v>
      </c>
      <c r="CF101" s="1125">
        <f t="shared" si="132"/>
        <v>0</v>
      </c>
      <c r="CG101" s="1125">
        <f t="shared" si="133"/>
        <v>0</v>
      </c>
      <c r="CH101" s="1125">
        <f t="shared" si="134"/>
        <v>0</v>
      </c>
      <c r="CI101" s="1125">
        <f t="shared" si="135"/>
        <v>0.85</v>
      </c>
      <c r="CJ101" s="1125">
        <f t="shared" si="136"/>
        <v>0.85</v>
      </c>
      <c r="CK101" s="1125">
        <f t="shared" si="137"/>
        <v>0.85</v>
      </c>
      <c r="CL101" s="1125">
        <f t="shared" si="138"/>
        <v>0.85</v>
      </c>
      <c r="CM101" s="1125">
        <f t="shared" si="139"/>
        <v>0.85</v>
      </c>
      <c r="CN101" s="1125">
        <f t="shared" si="140"/>
        <v>0.85</v>
      </c>
      <c r="CO101" s="1125">
        <f t="shared" si="141"/>
        <v>0.85</v>
      </c>
      <c r="CP101" s="1125">
        <f t="shared" si="142"/>
        <v>0.7</v>
      </c>
      <c r="CQ101" s="1125">
        <f t="shared" si="143"/>
        <v>0.85</v>
      </c>
      <c r="CR101" s="1125">
        <f t="shared" si="144"/>
        <v>0.85</v>
      </c>
      <c r="CS101" s="1125">
        <f t="shared" si="145"/>
        <v>0.85</v>
      </c>
      <c r="CT101" s="1125">
        <f t="shared" si="146"/>
        <v>0.85</v>
      </c>
      <c r="CU101" s="1125">
        <v>1</v>
      </c>
      <c r="CV101" s="1125"/>
      <c r="CW101" s="1125">
        <f t="shared" si="147"/>
        <v>122</v>
      </c>
      <c r="CX101" s="1125">
        <f t="shared" si="148"/>
        <v>243</v>
      </c>
      <c r="CY101" s="1136" t="s">
        <v>4886</v>
      </c>
      <c r="CZ101" s="1129" t="s">
        <v>4888</v>
      </c>
      <c r="DA101" s="1129"/>
      <c r="DB101" s="1129"/>
      <c r="DC101" s="1125" t="s">
        <v>5014</v>
      </c>
      <c r="DD101" s="1125" t="s">
        <v>954</v>
      </c>
      <c r="DE101" s="1125" t="str">
        <f t="shared" si="149"/>
        <v/>
      </c>
      <c r="DF101" s="1125">
        <v>1</v>
      </c>
      <c r="DG101" s="1120">
        <v>0</v>
      </c>
    </row>
    <row r="102" spans="1:111">
      <c r="A102" s="1125" t="s">
        <v>3038</v>
      </c>
      <c r="B102" s="1120" t="s">
        <v>4645</v>
      </c>
      <c r="C102" s="1120" t="s">
        <v>4646</v>
      </c>
      <c r="D102" s="1120" t="s">
        <v>513</v>
      </c>
      <c r="E102" s="1120">
        <v>2634</v>
      </c>
      <c r="F102" s="1120">
        <v>-81.239999999999995</v>
      </c>
      <c r="G102" s="1120">
        <v>37.270000000000003</v>
      </c>
      <c r="H102" s="1120">
        <v>-5</v>
      </c>
      <c r="I102" s="1121">
        <v>12.019999313354491</v>
      </c>
      <c r="J102" s="1121">
        <v>82.219999313354492</v>
      </c>
      <c r="K102" s="1122">
        <v>68.180000686645513</v>
      </c>
      <c r="L102" s="1120">
        <v>4397.4000000000005</v>
      </c>
      <c r="M102" s="1120">
        <v>561.6</v>
      </c>
      <c r="N102" s="1123">
        <v>31.459999978542328</v>
      </c>
      <c r="O102" s="1123">
        <v>39.920000171661378</v>
      </c>
      <c r="P102" s="1123">
        <v>47.3</v>
      </c>
      <c r="Q102" s="1123">
        <v>50.180000686645506</v>
      </c>
      <c r="R102" s="1123">
        <v>60.259999656677245</v>
      </c>
      <c r="S102" s="1123">
        <v>66.919999313354495</v>
      </c>
      <c r="T102" s="1123">
        <v>71.239998626708982</v>
      </c>
      <c r="U102" s="1123">
        <v>69.080000686645505</v>
      </c>
      <c r="V102" s="1123">
        <v>62.060001373291016</v>
      </c>
      <c r="W102" s="1123">
        <v>58.280000686645508</v>
      </c>
      <c r="X102" s="1123">
        <v>49.280000686645508</v>
      </c>
      <c r="Y102" s="1123">
        <v>39.920000171661378</v>
      </c>
      <c r="Z102" s="1123">
        <v>53.903287837309378</v>
      </c>
      <c r="AA102" s="1123">
        <f t="shared" si="75"/>
        <v>50.888936737723846</v>
      </c>
      <c r="AB102" s="1123">
        <f t="shared" si="76"/>
        <v>50.012839253445989</v>
      </c>
      <c r="AC102" s="1123">
        <f t="shared" si="77"/>
        <v>51.714839608978409</v>
      </c>
      <c r="AD102" s="1123">
        <f t="shared" si="78"/>
        <v>55.551285183032164</v>
      </c>
      <c r="AE102" s="1123">
        <f t="shared" si="79"/>
        <v>60.522147315314264</v>
      </c>
      <c r="AF102" s="1123">
        <f t="shared" si="80"/>
        <v>65.331694187741149</v>
      </c>
      <c r="AG102" s="1123">
        <f t="shared" si="81"/>
        <v>68.72624329065394</v>
      </c>
      <c r="AH102" s="1123">
        <f t="shared" si="82"/>
        <v>69.820953088793289</v>
      </c>
      <c r="AI102" s="1123">
        <f t="shared" si="83"/>
        <v>68.330470603285519</v>
      </c>
      <c r="AJ102" s="1123">
        <f t="shared" si="84"/>
        <v>64.64331306300862</v>
      </c>
      <c r="AK102" s="1123">
        <f t="shared" si="85"/>
        <v>59.720594901653385</v>
      </c>
      <c r="AL102" s="1123">
        <f t="shared" si="86"/>
        <v>54.845498469360258</v>
      </c>
      <c r="AM102" s="1120">
        <f t="shared" si="87"/>
        <v>1</v>
      </c>
      <c r="AN102" s="1120">
        <f t="shared" si="88"/>
        <v>1</v>
      </c>
      <c r="AO102" s="1120">
        <f t="shared" si="89"/>
        <v>1</v>
      </c>
      <c r="AP102" s="1120">
        <f t="shared" si="90"/>
        <v>1</v>
      </c>
      <c r="AQ102" s="1120">
        <f t="shared" si="91"/>
        <v>1</v>
      </c>
      <c r="AR102" s="1120">
        <f t="shared" si="92"/>
        <v>0</v>
      </c>
      <c r="AS102" s="1120">
        <f t="shared" si="93"/>
        <v>0</v>
      </c>
      <c r="AT102" s="1120">
        <f t="shared" si="94"/>
        <v>0</v>
      </c>
      <c r="AU102" s="1120">
        <f t="shared" si="95"/>
        <v>1</v>
      </c>
      <c r="AV102" s="1120">
        <f t="shared" si="96"/>
        <v>1</v>
      </c>
      <c r="AW102" s="1120">
        <f t="shared" si="97"/>
        <v>1</v>
      </c>
      <c r="AX102" s="1120">
        <f t="shared" si="98"/>
        <v>1</v>
      </c>
      <c r="AY102" s="1120">
        <f t="shared" si="99"/>
        <v>0</v>
      </c>
      <c r="AZ102" s="1120">
        <f t="shared" si="100"/>
        <v>0</v>
      </c>
      <c r="BA102" s="1120">
        <f t="shared" si="101"/>
        <v>0</v>
      </c>
      <c r="BB102" s="1120">
        <f t="shared" si="102"/>
        <v>0</v>
      </c>
      <c r="BC102" s="1120">
        <f t="shared" si="103"/>
        <v>0</v>
      </c>
      <c r="BD102" s="1120">
        <f t="shared" si="104"/>
        <v>1</v>
      </c>
      <c r="BE102" s="1120">
        <f t="shared" si="105"/>
        <v>1</v>
      </c>
      <c r="BF102" s="1120">
        <f t="shared" si="106"/>
        <v>1</v>
      </c>
      <c r="BG102" s="1120">
        <f t="shared" si="107"/>
        <v>0</v>
      </c>
      <c r="BH102" s="1120">
        <f t="shared" si="108"/>
        <v>0</v>
      </c>
      <c r="BI102" s="1120">
        <f t="shared" si="109"/>
        <v>0</v>
      </c>
      <c r="BJ102" s="1120">
        <f t="shared" si="110"/>
        <v>0</v>
      </c>
      <c r="BK102" s="1120">
        <f t="shared" si="111"/>
        <v>1</v>
      </c>
      <c r="BL102" s="1120">
        <f t="shared" si="112"/>
        <v>1</v>
      </c>
      <c r="BM102" s="1120">
        <f t="shared" si="113"/>
        <v>1</v>
      </c>
      <c r="BN102" s="1120">
        <f t="shared" si="114"/>
        <v>1</v>
      </c>
      <c r="BO102" s="1120">
        <f t="shared" si="115"/>
        <v>1</v>
      </c>
      <c r="BP102" s="1120">
        <f t="shared" si="116"/>
        <v>1</v>
      </c>
      <c r="BQ102" s="1120">
        <f t="shared" si="117"/>
        <v>0</v>
      </c>
      <c r="BR102" s="1120">
        <f t="shared" si="118"/>
        <v>0</v>
      </c>
      <c r="BS102" s="1120">
        <f t="shared" si="119"/>
        <v>1</v>
      </c>
      <c r="BT102" s="1120">
        <f t="shared" si="120"/>
        <v>1</v>
      </c>
      <c r="BU102" s="1120">
        <f t="shared" si="121"/>
        <v>1</v>
      </c>
      <c r="BV102" s="1120">
        <f t="shared" si="122"/>
        <v>1</v>
      </c>
      <c r="BW102" s="1120">
        <f t="shared" si="123"/>
        <v>0</v>
      </c>
      <c r="BX102" s="1120">
        <f t="shared" si="124"/>
        <v>0</v>
      </c>
      <c r="BY102" s="1120">
        <f t="shared" si="125"/>
        <v>0</v>
      </c>
      <c r="BZ102" s="1120">
        <f t="shared" si="126"/>
        <v>0</v>
      </c>
      <c r="CA102" s="1120">
        <f t="shared" si="127"/>
        <v>1</v>
      </c>
      <c r="CB102" s="1120">
        <f t="shared" si="128"/>
        <v>1</v>
      </c>
      <c r="CC102" s="1120">
        <f t="shared" si="129"/>
        <v>1</v>
      </c>
      <c r="CD102" s="1120">
        <f t="shared" si="130"/>
        <v>1</v>
      </c>
      <c r="CE102" s="1120">
        <f t="shared" si="131"/>
        <v>1</v>
      </c>
      <c r="CF102" s="1120">
        <f t="shared" si="132"/>
        <v>0</v>
      </c>
      <c r="CG102" s="1120">
        <f t="shared" si="133"/>
        <v>0</v>
      </c>
      <c r="CH102" s="1120">
        <f t="shared" si="134"/>
        <v>0</v>
      </c>
      <c r="CI102" s="1120">
        <f t="shared" si="135"/>
        <v>0.85</v>
      </c>
      <c r="CJ102" s="1120">
        <f t="shared" si="136"/>
        <v>0.85</v>
      </c>
      <c r="CK102" s="1120">
        <f t="shared" si="137"/>
        <v>0.85</v>
      </c>
      <c r="CL102" s="1120">
        <f t="shared" si="138"/>
        <v>0.85</v>
      </c>
      <c r="CM102" s="1120">
        <f t="shared" si="139"/>
        <v>0.85</v>
      </c>
      <c r="CN102" s="1120">
        <f t="shared" si="140"/>
        <v>0.85</v>
      </c>
      <c r="CO102" s="1120">
        <f t="shared" si="141"/>
        <v>0.7</v>
      </c>
      <c r="CP102" s="1120">
        <f t="shared" si="142"/>
        <v>0.7</v>
      </c>
      <c r="CQ102" s="1120">
        <f t="shared" si="143"/>
        <v>0.85</v>
      </c>
      <c r="CR102" s="1120">
        <f t="shared" si="144"/>
        <v>0.85</v>
      </c>
      <c r="CS102" s="1120">
        <f t="shared" si="145"/>
        <v>0.85</v>
      </c>
      <c r="CT102" s="1120">
        <f t="shared" si="146"/>
        <v>0.85</v>
      </c>
      <c r="CU102" s="1120">
        <v>1</v>
      </c>
      <c r="CV102" s="1120"/>
      <c r="CW102" s="1120">
        <f t="shared" si="147"/>
        <v>153</v>
      </c>
      <c r="CX102" s="1120">
        <f t="shared" si="148"/>
        <v>212</v>
      </c>
      <c r="CY102" s="1136" t="s">
        <v>4881</v>
      </c>
      <c r="CZ102" s="1129" t="s">
        <v>4885</v>
      </c>
      <c r="DA102" s="1129"/>
      <c r="DB102" s="1129"/>
      <c r="DC102" s="1125" t="s">
        <v>6024</v>
      </c>
      <c r="DD102" s="1125" t="s">
        <v>513</v>
      </c>
      <c r="DE102" s="1120" t="b">
        <f t="shared" si="149"/>
        <v>0</v>
      </c>
      <c r="DF102" s="1133">
        <v>1</v>
      </c>
      <c r="DG102" s="1125">
        <v>0</v>
      </c>
    </row>
    <row r="103" spans="1:111">
      <c r="A103" s="1120" t="s">
        <v>3032</v>
      </c>
      <c r="B103" s="1120" t="s">
        <v>3094</v>
      </c>
      <c r="C103" s="1120" t="s">
        <v>3095</v>
      </c>
      <c r="D103" s="1120" t="s">
        <v>954</v>
      </c>
      <c r="E103" s="1120">
        <v>390</v>
      </c>
      <c r="F103" s="1120">
        <v>-114.72</v>
      </c>
      <c r="G103" s="1120">
        <v>33.619999999999997</v>
      </c>
      <c r="H103" s="1120">
        <v>-8</v>
      </c>
      <c r="I103" s="1121">
        <v>39.02000017166138</v>
      </c>
      <c r="J103" s="1121">
        <v>110.3</v>
      </c>
      <c r="K103" s="1122">
        <v>72.139998626708987</v>
      </c>
      <c r="L103" s="1120">
        <v>777.6</v>
      </c>
      <c r="M103" s="1120">
        <v>48.6</v>
      </c>
      <c r="N103" s="1123">
        <v>55.940000343322751</v>
      </c>
      <c r="O103" s="1123">
        <v>60.980000686645511</v>
      </c>
      <c r="P103" s="1123">
        <v>66.019999313354489</v>
      </c>
      <c r="Q103" s="1123">
        <v>77.719999313354492</v>
      </c>
      <c r="R103" s="1123">
        <v>82.760001373291018</v>
      </c>
      <c r="S103" s="1123">
        <v>92.3</v>
      </c>
      <c r="T103" s="1123">
        <v>95.539998626708993</v>
      </c>
      <c r="U103" s="1123">
        <v>97.7</v>
      </c>
      <c r="V103" s="1123">
        <v>86</v>
      </c>
      <c r="W103" s="1123">
        <v>72.319999313354487</v>
      </c>
      <c r="X103" s="1123">
        <v>63.86000137329102</v>
      </c>
      <c r="Y103" s="1123">
        <v>55.940000343322751</v>
      </c>
      <c r="Z103" s="1123">
        <v>75.662082242573774</v>
      </c>
      <c r="AA103" s="1123">
        <f t="shared" si="75"/>
        <v>66.723718750732047</v>
      </c>
      <c r="AB103" s="1123">
        <f t="shared" si="76"/>
        <v>68.246623369060075</v>
      </c>
      <c r="AC103" s="1123">
        <f t="shared" si="77"/>
        <v>73.266474081248603</v>
      </c>
      <c r="AD103" s="1123">
        <f t="shared" si="78"/>
        <v>80.474769440924618</v>
      </c>
      <c r="AE103" s="1123">
        <f t="shared" si="79"/>
        <v>87.992556179394597</v>
      </c>
      <c r="AF103" s="1123">
        <f t="shared" si="80"/>
        <v>93.860207330675891</v>
      </c>
      <c r="AG103" s="1123">
        <f t="shared" si="81"/>
        <v>96.548229198945691</v>
      </c>
      <c r="AH103" s="1123">
        <f t="shared" si="82"/>
        <v>95.355947460568586</v>
      </c>
      <c r="AI103" s="1123">
        <f t="shared" si="83"/>
        <v>90.594148724270354</v>
      </c>
      <c r="AJ103" s="1123">
        <f t="shared" si="84"/>
        <v>83.504069212206872</v>
      </c>
      <c r="AK103" s="1123">
        <f t="shared" si="85"/>
        <v>75.933847410630079</v>
      </c>
      <c r="AL103" s="1123">
        <f t="shared" si="86"/>
        <v>69.85677829277023</v>
      </c>
      <c r="AM103" s="1120">
        <f t="shared" si="87"/>
        <v>1</v>
      </c>
      <c r="AN103" s="1120">
        <f t="shared" si="88"/>
        <v>1</v>
      </c>
      <c r="AO103" s="1120">
        <f t="shared" si="89"/>
        <v>0</v>
      </c>
      <c r="AP103" s="1120">
        <f t="shared" si="90"/>
        <v>0</v>
      </c>
      <c r="AQ103" s="1120">
        <f t="shared" si="91"/>
        <v>0</v>
      </c>
      <c r="AR103" s="1120">
        <f t="shared" si="92"/>
        <v>0</v>
      </c>
      <c r="AS103" s="1120">
        <f t="shared" si="93"/>
        <v>0</v>
      </c>
      <c r="AT103" s="1120">
        <f t="shared" si="94"/>
        <v>0</v>
      </c>
      <c r="AU103" s="1120">
        <f t="shared" si="95"/>
        <v>0</v>
      </c>
      <c r="AV103" s="1120">
        <f t="shared" si="96"/>
        <v>0</v>
      </c>
      <c r="AW103" s="1120">
        <f t="shared" si="97"/>
        <v>1</v>
      </c>
      <c r="AX103" s="1120">
        <f t="shared" si="98"/>
        <v>1</v>
      </c>
      <c r="AY103" s="1120">
        <f t="shared" si="99"/>
        <v>0</v>
      </c>
      <c r="AZ103" s="1120">
        <f t="shared" si="100"/>
        <v>0</v>
      </c>
      <c r="BA103" s="1120">
        <f t="shared" si="101"/>
        <v>1</v>
      </c>
      <c r="BB103" s="1120">
        <f t="shared" si="102"/>
        <v>1</v>
      </c>
      <c r="BC103" s="1120">
        <f t="shared" si="103"/>
        <v>1</v>
      </c>
      <c r="BD103" s="1120">
        <f t="shared" si="104"/>
        <v>1</v>
      </c>
      <c r="BE103" s="1120">
        <f t="shared" si="105"/>
        <v>1</v>
      </c>
      <c r="BF103" s="1120">
        <f t="shared" si="106"/>
        <v>1</v>
      </c>
      <c r="BG103" s="1120">
        <f t="shared" si="107"/>
        <v>1</v>
      </c>
      <c r="BH103" s="1120">
        <f t="shared" si="108"/>
        <v>1</v>
      </c>
      <c r="BI103" s="1120">
        <f t="shared" si="109"/>
        <v>0</v>
      </c>
      <c r="BJ103" s="1120">
        <f t="shared" si="110"/>
        <v>0</v>
      </c>
      <c r="BK103" s="1120">
        <f t="shared" si="111"/>
        <v>1</v>
      </c>
      <c r="BL103" s="1120">
        <f t="shared" si="112"/>
        <v>1</v>
      </c>
      <c r="BM103" s="1120">
        <f t="shared" si="113"/>
        <v>1</v>
      </c>
      <c r="BN103" s="1120">
        <f t="shared" si="114"/>
        <v>0</v>
      </c>
      <c r="BO103" s="1120">
        <f t="shared" si="115"/>
        <v>0</v>
      </c>
      <c r="BP103" s="1120">
        <f t="shared" si="116"/>
        <v>0</v>
      </c>
      <c r="BQ103" s="1120">
        <f t="shared" si="117"/>
        <v>0</v>
      </c>
      <c r="BR103" s="1120">
        <f t="shared" si="118"/>
        <v>0</v>
      </c>
      <c r="BS103" s="1120">
        <f t="shared" si="119"/>
        <v>0</v>
      </c>
      <c r="BT103" s="1120">
        <f t="shared" si="120"/>
        <v>0</v>
      </c>
      <c r="BU103" s="1120">
        <f t="shared" si="121"/>
        <v>1</v>
      </c>
      <c r="BV103" s="1120">
        <f t="shared" si="122"/>
        <v>1</v>
      </c>
      <c r="BW103" s="1120">
        <f t="shared" si="123"/>
        <v>0</v>
      </c>
      <c r="BX103" s="1120">
        <f t="shared" si="124"/>
        <v>1</v>
      </c>
      <c r="BY103" s="1120">
        <f t="shared" si="125"/>
        <v>1</v>
      </c>
      <c r="BZ103" s="1120">
        <f t="shared" si="126"/>
        <v>1</v>
      </c>
      <c r="CA103" s="1120">
        <f t="shared" si="127"/>
        <v>1</v>
      </c>
      <c r="CB103" s="1120">
        <f t="shared" si="128"/>
        <v>1</v>
      </c>
      <c r="CC103" s="1120">
        <f t="shared" si="129"/>
        <v>1</v>
      </c>
      <c r="CD103" s="1120">
        <f t="shared" si="130"/>
        <v>1</v>
      </c>
      <c r="CE103" s="1120">
        <f t="shared" si="131"/>
        <v>1</v>
      </c>
      <c r="CF103" s="1120">
        <f t="shared" si="132"/>
        <v>1</v>
      </c>
      <c r="CG103" s="1120">
        <f t="shared" si="133"/>
        <v>1</v>
      </c>
      <c r="CH103" s="1120">
        <f t="shared" si="134"/>
        <v>0</v>
      </c>
      <c r="CI103" s="1120">
        <f t="shared" si="135"/>
        <v>0.85</v>
      </c>
      <c r="CJ103" s="1120">
        <f t="shared" si="136"/>
        <v>0.85</v>
      </c>
      <c r="CK103" s="1120">
        <f t="shared" si="137"/>
        <v>0.85</v>
      </c>
      <c r="CL103" s="1120">
        <f t="shared" si="138"/>
        <v>0.7</v>
      </c>
      <c r="CM103" s="1120">
        <f t="shared" si="139"/>
        <v>0.7</v>
      </c>
      <c r="CN103" s="1120">
        <f t="shared" si="140"/>
        <v>0.7</v>
      </c>
      <c r="CO103" s="1120">
        <f t="shared" si="141"/>
        <v>0.7</v>
      </c>
      <c r="CP103" s="1120">
        <f t="shared" si="142"/>
        <v>0.7</v>
      </c>
      <c r="CQ103" s="1120">
        <f t="shared" si="143"/>
        <v>0.7</v>
      </c>
      <c r="CR103" s="1120">
        <f t="shared" si="144"/>
        <v>0.7</v>
      </c>
      <c r="CS103" s="1120">
        <f t="shared" si="145"/>
        <v>0.85</v>
      </c>
      <c r="CT103" s="1120">
        <f t="shared" si="146"/>
        <v>0.85</v>
      </c>
      <c r="CU103" s="1120">
        <v>1</v>
      </c>
      <c r="CV103" s="1120"/>
      <c r="CW103" s="1120">
        <f t="shared" si="147"/>
        <v>303</v>
      </c>
      <c r="CX103" s="1120">
        <f t="shared" si="148"/>
        <v>62</v>
      </c>
      <c r="CY103" s="1135" t="s">
        <v>4886</v>
      </c>
      <c r="CZ103" s="1124" t="s">
        <v>4888</v>
      </c>
      <c r="DA103" s="1124"/>
      <c r="DB103" s="1124"/>
      <c r="DC103" s="1120" t="s">
        <v>5015</v>
      </c>
      <c r="DD103" s="1120" t="s">
        <v>954</v>
      </c>
      <c r="DE103" s="1120" t="str">
        <f t="shared" si="149"/>
        <v/>
      </c>
      <c r="DF103" s="1120">
        <v>0</v>
      </c>
      <c r="DG103" s="1120">
        <v>0</v>
      </c>
    </row>
    <row r="104" spans="1:111">
      <c r="A104" s="1125" t="s">
        <v>3040</v>
      </c>
      <c r="B104" s="1125" t="s">
        <v>3475</v>
      </c>
      <c r="C104" s="1125" t="s">
        <v>3476</v>
      </c>
      <c r="D104" s="1125" t="s">
        <v>249</v>
      </c>
      <c r="E104" s="1125">
        <v>2299</v>
      </c>
      <c r="F104" s="1125">
        <v>-116.21</v>
      </c>
      <c r="G104" s="1125">
        <v>43.62</v>
      </c>
      <c r="H104" s="1125">
        <v>-7</v>
      </c>
      <c r="I104" s="1126">
        <v>10.580000686645507</v>
      </c>
      <c r="J104" s="1126">
        <v>95</v>
      </c>
      <c r="K104" s="1127">
        <v>63.139998626708987</v>
      </c>
      <c r="L104" s="1125">
        <v>5306.4000000000005</v>
      </c>
      <c r="M104" s="1125">
        <v>837</v>
      </c>
      <c r="N104" s="1128">
        <v>28.939999914169313</v>
      </c>
      <c r="O104" s="1128">
        <v>36.860000085830691</v>
      </c>
      <c r="P104" s="1128">
        <v>42.97999982833862</v>
      </c>
      <c r="Q104" s="1128">
        <v>52.880000686645509</v>
      </c>
      <c r="R104" s="1128">
        <v>58.280000686645508</v>
      </c>
      <c r="S104" s="1128">
        <v>67.639998626708987</v>
      </c>
      <c r="T104" s="1128">
        <v>76.099999999999994</v>
      </c>
      <c r="U104" s="1128">
        <v>70.16000137329101</v>
      </c>
      <c r="V104" s="1128">
        <v>63.319999313354494</v>
      </c>
      <c r="W104" s="1128">
        <v>53.059999656677249</v>
      </c>
      <c r="X104" s="1128">
        <v>39.200000000000003</v>
      </c>
      <c r="Y104" s="1128">
        <v>35.419999957084656</v>
      </c>
      <c r="Z104" s="1128">
        <v>52.154575356457329</v>
      </c>
      <c r="AA104" s="1128">
        <f t="shared" si="75"/>
        <v>47.990043157761043</v>
      </c>
      <c r="AB104" s="1128">
        <f t="shared" si="76"/>
        <v>46.816454122415934</v>
      </c>
      <c r="AC104" s="1128">
        <f t="shared" si="77"/>
        <v>48.59832111246083</v>
      </c>
      <c r="AD104" s="1128">
        <f t="shared" si="78"/>
        <v>52.87117303753903</v>
      </c>
      <c r="AE104" s="1128">
        <f t="shared" si="79"/>
        <v>58.521225196737575</v>
      </c>
      <c r="AF104" s="1128">
        <f t="shared" si="80"/>
        <v>64.075704424822007</v>
      </c>
      <c r="AG104" s="1128">
        <f t="shared" si="81"/>
        <v>68.086750113876192</v>
      </c>
      <c r="AH104" s="1128">
        <f t="shared" si="82"/>
        <v>69.508821392963085</v>
      </c>
      <c r="AI104" s="1128">
        <f t="shared" si="83"/>
        <v>67.971233468406894</v>
      </c>
      <c r="AJ104" s="1128">
        <f t="shared" si="84"/>
        <v>63.874782327690369</v>
      </c>
      <c r="AK104" s="1128">
        <f t="shared" si="85"/>
        <v>58.287271088864209</v>
      </c>
      <c r="AL104" s="1128">
        <f t="shared" si="86"/>
        <v>52.665170662483057</v>
      </c>
      <c r="AM104" s="1125">
        <f t="shared" si="87"/>
        <v>1</v>
      </c>
      <c r="AN104" s="1125">
        <f t="shared" si="88"/>
        <v>1</v>
      </c>
      <c r="AO104" s="1125">
        <f t="shared" si="89"/>
        <v>1</v>
      </c>
      <c r="AP104" s="1125">
        <f t="shared" si="90"/>
        <v>1</v>
      </c>
      <c r="AQ104" s="1125">
        <f t="shared" si="91"/>
        <v>1</v>
      </c>
      <c r="AR104" s="1125">
        <f t="shared" si="92"/>
        <v>0</v>
      </c>
      <c r="AS104" s="1125">
        <f t="shared" si="93"/>
        <v>0</v>
      </c>
      <c r="AT104" s="1125">
        <f t="shared" si="94"/>
        <v>0</v>
      </c>
      <c r="AU104" s="1125">
        <f t="shared" si="95"/>
        <v>1</v>
      </c>
      <c r="AV104" s="1125">
        <f t="shared" si="96"/>
        <v>1</v>
      </c>
      <c r="AW104" s="1125">
        <f t="shared" si="97"/>
        <v>1</v>
      </c>
      <c r="AX104" s="1125">
        <f t="shared" si="98"/>
        <v>1</v>
      </c>
      <c r="AY104" s="1125">
        <f t="shared" si="99"/>
        <v>0</v>
      </c>
      <c r="AZ104" s="1125">
        <f t="shared" si="100"/>
        <v>0</v>
      </c>
      <c r="BA104" s="1125">
        <f t="shared" si="101"/>
        <v>0</v>
      </c>
      <c r="BB104" s="1125">
        <f t="shared" si="102"/>
        <v>0</v>
      </c>
      <c r="BC104" s="1125">
        <f t="shared" si="103"/>
        <v>0</v>
      </c>
      <c r="BD104" s="1125">
        <f t="shared" si="104"/>
        <v>1</v>
      </c>
      <c r="BE104" s="1125">
        <f t="shared" si="105"/>
        <v>1</v>
      </c>
      <c r="BF104" s="1125">
        <f t="shared" si="106"/>
        <v>1</v>
      </c>
      <c r="BG104" s="1125">
        <f t="shared" si="107"/>
        <v>0</v>
      </c>
      <c r="BH104" s="1125">
        <f t="shared" si="108"/>
        <v>0</v>
      </c>
      <c r="BI104" s="1125">
        <f t="shared" si="109"/>
        <v>0</v>
      </c>
      <c r="BJ104" s="1125">
        <f t="shared" si="110"/>
        <v>0</v>
      </c>
      <c r="BK104" s="1125">
        <f t="shared" si="111"/>
        <v>1</v>
      </c>
      <c r="BL104" s="1125">
        <f t="shared" si="112"/>
        <v>1</v>
      </c>
      <c r="BM104" s="1125">
        <f t="shared" si="113"/>
        <v>1</v>
      </c>
      <c r="BN104" s="1125">
        <f t="shared" si="114"/>
        <v>1</v>
      </c>
      <c r="BO104" s="1125">
        <f t="shared" si="115"/>
        <v>1</v>
      </c>
      <c r="BP104" s="1125">
        <f t="shared" si="116"/>
        <v>1</v>
      </c>
      <c r="BQ104" s="1125">
        <f t="shared" si="117"/>
        <v>0</v>
      </c>
      <c r="BR104" s="1125">
        <f t="shared" si="118"/>
        <v>0</v>
      </c>
      <c r="BS104" s="1125">
        <f t="shared" si="119"/>
        <v>1</v>
      </c>
      <c r="BT104" s="1125">
        <f t="shared" si="120"/>
        <v>1</v>
      </c>
      <c r="BU104" s="1125">
        <f t="shared" si="121"/>
        <v>1</v>
      </c>
      <c r="BV104" s="1125">
        <f t="shared" si="122"/>
        <v>1</v>
      </c>
      <c r="BW104" s="1125">
        <f t="shared" si="123"/>
        <v>0</v>
      </c>
      <c r="BX104" s="1125">
        <f t="shared" si="124"/>
        <v>0</v>
      </c>
      <c r="BY104" s="1125">
        <f t="shared" si="125"/>
        <v>0</v>
      </c>
      <c r="BZ104" s="1125">
        <f t="shared" si="126"/>
        <v>0</v>
      </c>
      <c r="CA104" s="1125">
        <f t="shared" si="127"/>
        <v>1</v>
      </c>
      <c r="CB104" s="1125">
        <f t="shared" si="128"/>
        <v>1</v>
      </c>
      <c r="CC104" s="1125">
        <f t="shared" si="129"/>
        <v>1</v>
      </c>
      <c r="CD104" s="1125">
        <f t="shared" si="130"/>
        <v>1</v>
      </c>
      <c r="CE104" s="1125">
        <f t="shared" si="131"/>
        <v>1</v>
      </c>
      <c r="CF104" s="1125">
        <f t="shared" si="132"/>
        <v>0</v>
      </c>
      <c r="CG104" s="1125">
        <f t="shared" si="133"/>
        <v>0</v>
      </c>
      <c r="CH104" s="1125">
        <f t="shared" si="134"/>
        <v>0</v>
      </c>
      <c r="CI104" s="1125">
        <f t="shared" si="135"/>
        <v>0.85</v>
      </c>
      <c r="CJ104" s="1125">
        <f t="shared" si="136"/>
        <v>0.85</v>
      </c>
      <c r="CK104" s="1125">
        <f t="shared" si="137"/>
        <v>0.85</v>
      </c>
      <c r="CL104" s="1125">
        <f t="shared" si="138"/>
        <v>0.85</v>
      </c>
      <c r="CM104" s="1125">
        <f t="shared" si="139"/>
        <v>0.85</v>
      </c>
      <c r="CN104" s="1125">
        <f t="shared" si="140"/>
        <v>0.85</v>
      </c>
      <c r="CO104" s="1125">
        <f t="shared" si="141"/>
        <v>0.7</v>
      </c>
      <c r="CP104" s="1125">
        <f t="shared" si="142"/>
        <v>0.7</v>
      </c>
      <c r="CQ104" s="1125">
        <f t="shared" si="143"/>
        <v>0.85</v>
      </c>
      <c r="CR104" s="1125">
        <f t="shared" si="144"/>
        <v>0.85</v>
      </c>
      <c r="CS104" s="1125">
        <f t="shared" si="145"/>
        <v>0.85</v>
      </c>
      <c r="CT104" s="1125">
        <f t="shared" si="146"/>
        <v>0.85</v>
      </c>
      <c r="CU104" s="1125">
        <v>1</v>
      </c>
      <c r="CV104" s="1125"/>
      <c r="CW104" s="1125">
        <f t="shared" si="147"/>
        <v>153</v>
      </c>
      <c r="CX104" s="1125">
        <f t="shared" si="148"/>
        <v>212</v>
      </c>
      <c r="CY104" s="1136" t="s">
        <v>4889</v>
      </c>
      <c r="CZ104" s="1129" t="s">
        <v>4890</v>
      </c>
      <c r="DA104" s="1129"/>
      <c r="DB104" s="1129"/>
      <c r="DC104" s="1125" t="s">
        <v>5194</v>
      </c>
      <c r="DD104" s="1125" t="s">
        <v>249</v>
      </c>
      <c r="DE104" s="1120" t="b">
        <f t="shared" si="149"/>
        <v>0</v>
      </c>
      <c r="DF104" s="1133">
        <v>1</v>
      </c>
      <c r="DG104" s="1125">
        <v>0</v>
      </c>
    </row>
    <row r="105" spans="1:111">
      <c r="A105" s="1120" t="s">
        <v>5806</v>
      </c>
      <c r="B105" s="1120" t="s">
        <v>3408</v>
      </c>
      <c r="C105" s="1120" t="s">
        <v>3409</v>
      </c>
      <c r="D105" s="1120" t="s">
        <v>566</v>
      </c>
      <c r="E105" s="1120">
        <v>1161</v>
      </c>
      <c r="F105" s="1120">
        <v>-93.85</v>
      </c>
      <c r="G105" s="1120">
        <v>42.05</v>
      </c>
      <c r="H105" s="1120">
        <v>-6</v>
      </c>
      <c r="I105" s="1121">
        <v>0.31999931335449139</v>
      </c>
      <c r="J105" s="1121">
        <v>89.779997253417974</v>
      </c>
      <c r="K105" s="1122">
        <v>76.639998626708987</v>
      </c>
      <c r="L105" s="1120">
        <v>6521.4000000000005</v>
      </c>
      <c r="M105" s="1120">
        <v>948.6</v>
      </c>
      <c r="N105" s="1123">
        <v>25.339999914169312</v>
      </c>
      <c r="O105" s="1123">
        <v>32</v>
      </c>
      <c r="P105" s="1123">
        <v>29.660000085830688</v>
      </c>
      <c r="Q105" s="1123">
        <v>51.619999313354491</v>
      </c>
      <c r="R105" s="1123">
        <v>57.740000343322755</v>
      </c>
      <c r="S105" s="1123">
        <v>71.599999999999994</v>
      </c>
      <c r="T105" s="1123">
        <v>76.639998626708987</v>
      </c>
      <c r="U105" s="1123">
        <v>71.780000686645508</v>
      </c>
      <c r="V105" s="1123">
        <v>60.259999656677245</v>
      </c>
      <c r="W105" s="1123">
        <v>53.780000686645508</v>
      </c>
      <c r="X105" s="1123">
        <v>35.060000085830687</v>
      </c>
      <c r="Y105" s="1123">
        <v>23</v>
      </c>
      <c r="Z105" s="1123">
        <v>49.118739677585971</v>
      </c>
      <c r="AA105" s="1123">
        <f t="shared" si="75"/>
        <v>44.582845898173304</v>
      </c>
      <c r="AB105" s="1123">
        <f t="shared" si="76"/>
        <v>43.017919268918419</v>
      </c>
      <c r="AC105" s="1123">
        <f t="shared" si="77"/>
        <v>44.607257958469916</v>
      </c>
      <c r="AD105" s="1123">
        <f t="shared" si="78"/>
        <v>48.9365763449456</v>
      </c>
      <c r="AE105" s="1123">
        <f t="shared" si="79"/>
        <v>54.877370874094751</v>
      </c>
      <c r="AF105" s="1123">
        <f t="shared" si="80"/>
        <v>60.881081901479746</v>
      </c>
      <c r="AG105" s="1123">
        <f t="shared" si="81"/>
        <v>65.382749627825191</v>
      </c>
      <c r="AH105" s="1123">
        <f t="shared" si="82"/>
        <v>67.208944987459589</v>
      </c>
      <c r="AI105" s="1123">
        <f t="shared" si="83"/>
        <v>65.883642017371869</v>
      </c>
      <c r="AJ105" s="1123">
        <f t="shared" si="84"/>
        <v>61.752301360252396</v>
      </c>
      <c r="AK105" s="1123">
        <f t="shared" si="85"/>
        <v>55.891820624266032</v>
      </c>
      <c r="AL105" s="1123">
        <f t="shared" si="86"/>
        <v>49.829824425989493</v>
      </c>
      <c r="AM105" s="1120">
        <f t="shared" si="87"/>
        <v>1</v>
      </c>
      <c r="AN105" s="1120">
        <f t="shared" si="88"/>
        <v>1</v>
      </c>
      <c r="AO105" s="1120">
        <f t="shared" si="89"/>
        <v>1</v>
      </c>
      <c r="AP105" s="1120">
        <f t="shared" si="90"/>
        <v>1</v>
      </c>
      <c r="AQ105" s="1120">
        <f t="shared" si="91"/>
        <v>1</v>
      </c>
      <c r="AR105" s="1120">
        <f t="shared" si="92"/>
        <v>0</v>
      </c>
      <c r="AS105" s="1120">
        <f t="shared" si="93"/>
        <v>0</v>
      </c>
      <c r="AT105" s="1120">
        <f t="shared" si="94"/>
        <v>0</v>
      </c>
      <c r="AU105" s="1120">
        <f t="shared" si="95"/>
        <v>1</v>
      </c>
      <c r="AV105" s="1120">
        <f t="shared" si="96"/>
        <v>1</v>
      </c>
      <c r="AW105" s="1120">
        <f t="shared" si="97"/>
        <v>1</v>
      </c>
      <c r="AX105" s="1120">
        <f t="shared" si="98"/>
        <v>1</v>
      </c>
      <c r="AY105" s="1120">
        <f t="shared" si="99"/>
        <v>0</v>
      </c>
      <c r="AZ105" s="1120">
        <f t="shared" si="100"/>
        <v>0</v>
      </c>
      <c r="BA105" s="1120">
        <f t="shared" si="101"/>
        <v>0</v>
      </c>
      <c r="BB105" s="1120">
        <f t="shared" si="102"/>
        <v>0</v>
      </c>
      <c r="BC105" s="1120">
        <f t="shared" si="103"/>
        <v>0</v>
      </c>
      <c r="BD105" s="1120">
        <f t="shared" si="104"/>
        <v>1</v>
      </c>
      <c r="BE105" s="1120">
        <f t="shared" si="105"/>
        <v>1</v>
      </c>
      <c r="BF105" s="1120">
        <f t="shared" si="106"/>
        <v>1</v>
      </c>
      <c r="BG105" s="1120">
        <f t="shared" si="107"/>
        <v>0</v>
      </c>
      <c r="BH105" s="1120">
        <f t="shared" si="108"/>
        <v>0</v>
      </c>
      <c r="BI105" s="1120">
        <f t="shared" si="109"/>
        <v>0</v>
      </c>
      <c r="BJ105" s="1120">
        <f t="shared" si="110"/>
        <v>0</v>
      </c>
      <c r="BK105" s="1120">
        <f t="shared" si="111"/>
        <v>1</v>
      </c>
      <c r="BL105" s="1120">
        <f t="shared" si="112"/>
        <v>1</v>
      </c>
      <c r="BM105" s="1120">
        <f t="shared" si="113"/>
        <v>1</v>
      </c>
      <c r="BN105" s="1120">
        <f t="shared" si="114"/>
        <v>1</v>
      </c>
      <c r="BO105" s="1120">
        <f t="shared" si="115"/>
        <v>1</v>
      </c>
      <c r="BP105" s="1120">
        <f t="shared" si="116"/>
        <v>1</v>
      </c>
      <c r="BQ105" s="1120">
        <f t="shared" si="117"/>
        <v>0</v>
      </c>
      <c r="BR105" s="1120">
        <f t="shared" si="118"/>
        <v>0</v>
      </c>
      <c r="BS105" s="1120">
        <f t="shared" si="119"/>
        <v>1</v>
      </c>
      <c r="BT105" s="1120">
        <f t="shared" si="120"/>
        <v>1</v>
      </c>
      <c r="BU105" s="1120">
        <f t="shared" si="121"/>
        <v>1</v>
      </c>
      <c r="BV105" s="1120">
        <f t="shared" si="122"/>
        <v>1</v>
      </c>
      <c r="BW105" s="1120">
        <f t="shared" si="123"/>
        <v>0</v>
      </c>
      <c r="BX105" s="1120">
        <f t="shared" si="124"/>
        <v>0</v>
      </c>
      <c r="BY105" s="1120">
        <f t="shared" si="125"/>
        <v>0</v>
      </c>
      <c r="BZ105" s="1120">
        <f t="shared" si="126"/>
        <v>0</v>
      </c>
      <c r="CA105" s="1120">
        <f t="shared" si="127"/>
        <v>1</v>
      </c>
      <c r="CB105" s="1120">
        <f t="shared" si="128"/>
        <v>1</v>
      </c>
      <c r="CC105" s="1120">
        <f t="shared" si="129"/>
        <v>1</v>
      </c>
      <c r="CD105" s="1120">
        <f t="shared" si="130"/>
        <v>1</v>
      </c>
      <c r="CE105" s="1120">
        <f t="shared" si="131"/>
        <v>1</v>
      </c>
      <c r="CF105" s="1120">
        <f t="shared" si="132"/>
        <v>0</v>
      </c>
      <c r="CG105" s="1120">
        <f t="shared" si="133"/>
        <v>0</v>
      </c>
      <c r="CH105" s="1120">
        <f t="shared" si="134"/>
        <v>0</v>
      </c>
      <c r="CI105" s="1120">
        <f t="shared" si="135"/>
        <v>0.85</v>
      </c>
      <c r="CJ105" s="1120">
        <f t="shared" si="136"/>
        <v>0.85</v>
      </c>
      <c r="CK105" s="1120">
        <f t="shared" si="137"/>
        <v>0.85</v>
      </c>
      <c r="CL105" s="1120">
        <f t="shared" si="138"/>
        <v>0.85</v>
      </c>
      <c r="CM105" s="1120">
        <f t="shared" si="139"/>
        <v>0.85</v>
      </c>
      <c r="CN105" s="1120">
        <f t="shared" si="140"/>
        <v>0.85</v>
      </c>
      <c r="CO105" s="1120">
        <f t="shared" si="141"/>
        <v>0.7</v>
      </c>
      <c r="CP105" s="1120">
        <f t="shared" si="142"/>
        <v>0.7</v>
      </c>
      <c r="CQ105" s="1120">
        <f t="shared" si="143"/>
        <v>0.85</v>
      </c>
      <c r="CR105" s="1120">
        <f t="shared" si="144"/>
        <v>0.85</v>
      </c>
      <c r="CS105" s="1120">
        <f t="shared" si="145"/>
        <v>0.85</v>
      </c>
      <c r="CT105" s="1120">
        <f t="shared" si="146"/>
        <v>0.85</v>
      </c>
      <c r="CU105" s="1120">
        <v>1</v>
      </c>
      <c r="CV105" s="1120"/>
      <c r="CW105" s="1120">
        <f t="shared" si="147"/>
        <v>153</v>
      </c>
      <c r="CX105" s="1120">
        <f t="shared" si="148"/>
        <v>212</v>
      </c>
      <c r="CY105" s="1135" t="s">
        <v>4889</v>
      </c>
      <c r="CZ105" s="1124" t="s">
        <v>4897</v>
      </c>
      <c r="DA105" s="1124"/>
      <c r="DB105" s="1124"/>
      <c r="DC105" s="1120" t="s">
        <v>5159</v>
      </c>
      <c r="DD105" s="1120" t="s">
        <v>566</v>
      </c>
      <c r="DE105" s="1120" t="str">
        <f t="shared" si="149"/>
        <v/>
      </c>
      <c r="DF105" s="1133">
        <v>0</v>
      </c>
      <c r="DG105" s="1120">
        <v>0</v>
      </c>
    </row>
    <row r="106" spans="1:111">
      <c r="A106" s="1125" t="s">
        <v>3042</v>
      </c>
      <c r="B106" s="1125" t="s">
        <v>3651</v>
      </c>
      <c r="C106" s="1125" t="s">
        <v>3652</v>
      </c>
      <c r="D106" s="1125" t="s">
        <v>250</v>
      </c>
      <c r="E106" s="1125">
        <v>20</v>
      </c>
      <c r="F106" s="1125">
        <v>-71.02</v>
      </c>
      <c r="G106" s="1125">
        <v>42.37</v>
      </c>
      <c r="H106" s="1125">
        <v>-5</v>
      </c>
      <c r="I106" s="1126">
        <v>12.380000686645507</v>
      </c>
      <c r="J106" s="1126">
        <v>87.619999313354498</v>
      </c>
      <c r="K106" s="1127">
        <v>71.960001373291021</v>
      </c>
      <c r="L106" s="1125">
        <v>5616</v>
      </c>
      <c r="M106" s="1125">
        <v>754.2</v>
      </c>
      <c r="N106" s="1128">
        <v>26.6</v>
      </c>
      <c r="O106" s="1128">
        <v>31.1</v>
      </c>
      <c r="P106" s="1128">
        <v>38.839999914169312</v>
      </c>
      <c r="Q106" s="1128">
        <v>47.480000686645511</v>
      </c>
      <c r="R106" s="1128">
        <v>58.819999313354494</v>
      </c>
      <c r="S106" s="1128">
        <v>66.019999313354489</v>
      </c>
      <c r="T106" s="1128">
        <v>74.119999313354498</v>
      </c>
      <c r="U106" s="1128">
        <v>71.060001373291016</v>
      </c>
      <c r="V106" s="1128">
        <v>64.580000686645505</v>
      </c>
      <c r="W106" s="1128">
        <v>53.959999656677248</v>
      </c>
      <c r="X106" s="1128">
        <v>43.340000343322757</v>
      </c>
      <c r="Y106" s="1128">
        <v>35.960000085830686</v>
      </c>
      <c r="Z106" s="1128">
        <v>51.105643891112443</v>
      </c>
      <c r="AA106" s="1128">
        <f t="shared" si="75"/>
        <v>47.178297756572881</v>
      </c>
      <c r="AB106" s="1128">
        <f t="shared" si="76"/>
        <v>45.920690237414092</v>
      </c>
      <c r="AC106" s="1128">
        <f t="shared" si="77"/>
        <v>47.578613253445027</v>
      </c>
      <c r="AD106" s="1128">
        <f t="shared" si="78"/>
        <v>51.719903621170189</v>
      </c>
      <c r="AE106" s="1128">
        <f t="shared" si="79"/>
        <v>57.26507018702565</v>
      </c>
      <c r="AF106" s="1128">
        <f t="shared" si="80"/>
        <v>62.768679832017746</v>
      </c>
      <c r="AG106" s="1128">
        <f t="shared" si="81"/>
        <v>66.796131888987375</v>
      </c>
      <c r="AH106" s="1128">
        <f t="shared" si="82"/>
        <v>68.297608914370542</v>
      </c>
      <c r="AI106" s="1128">
        <f t="shared" si="83"/>
        <v>66.881727783039736</v>
      </c>
      <c r="AJ106" s="1128">
        <f t="shared" si="84"/>
        <v>62.917559731265058</v>
      </c>
      <c r="AK106" s="1128">
        <f t="shared" si="85"/>
        <v>57.43842625142041</v>
      </c>
      <c r="AL106" s="1128">
        <f t="shared" si="86"/>
        <v>51.87254792103009</v>
      </c>
      <c r="AM106" s="1125">
        <f t="shared" si="87"/>
        <v>1</v>
      </c>
      <c r="AN106" s="1125">
        <f t="shared" si="88"/>
        <v>1</v>
      </c>
      <c r="AO106" s="1125">
        <f t="shared" si="89"/>
        <v>1</v>
      </c>
      <c r="AP106" s="1125">
        <f t="shared" si="90"/>
        <v>1</v>
      </c>
      <c r="AQ106" s="1125">
        <f t="shared" si="91"/>
        <v>1</v>
      </c>
      <c r="AR106" s="1125">
        <f t="shared" si="92"/>
        <v>0</v>
      </c>
      <c r="AS106" s="1125">
        <f t="shared" si="93"/>
        <v>0</v>
      </c>
      <c r="AT106" s="1125">
        <f t="shared" si="94"/>
        <v>0</v>
      </c>
      <c r="AU106" s="1125">
        <f t="shared" si="95"/>
        <v>1</v>
      </c>
      <c r="AV106" s="1125">
        <f t="shared" si="96"/>
        <v>1</v>
      </c>
      <c r="AW106" s="1125">
        <f t="shared" si="97"/>
        <v>1</v>
      </c>
      <c r="AX106" s="1125">
        <f t="shared" si="98"/>
        <v>1</v>
      </c>
      <c r="AY106" s="1125">
        <f t="shared" si="99"/>
        <v>0</v>
      </c>
      <c r="AZ106" s="1125">
        <f t="shared" si="100"/>
        <v>0</v>
      </c>
      <c r="BA106" s="1125">
        <f t="shared" si="101"/>
        <v>0</v>
      </c>
      <c r="BB106" s="1125">
        <f t="shared" si="102"/>
        <v>0</v>
      </c>
      <c r="BC106" s="1125">
        <f t="shared" si="103"/>
        <v>0</v>
      </c>
      <c r="BD106" s="1125">
        <f t="shared" si="104"/>
        <v>1</v>
      </c>
      <c r="BE106" s="1125">
        <f t="shared" si="105"/>
        <v>1</v>
      </c>
      <c r="BF106" s="1125">
        <f t="shared" si="106"/>
        <v>1</v>
      </c>
      <c r="BG106" s="1125">
        <f t="shared" si="107"/>
        <v>0</v>
      </c>
      <c r="BH106" s="1125">
        <f t="shared" si="108"/>
        <v>0</v>
      </c>
      <c r="BI106" s="1125">
        <f t="shared" si="109"/>
        <v>0</v>
      </c>
      <c r="BJ106" s="1125">
        <f t="shared" si="110"/>
        <v>0</v>
      </c>
      <c r="BK106" s="1125">
        <f t="shared" si="111"/>
        <v>1</v>
      </c>
      <c r="BL106" s="1125">
        <f t="shared" si="112"/>
        <v>1</v>
      </c>
      <c r="BM106" s="1125">
        <f t="shared" si="113"/>
        <v>1</v>
      </c>
      <c r="BN106" s="1125">
        <f t="shared" si="114"/>
        <v>1</v>
      </c>
      <c r="BO106" s="1125">
        <f t="shared" si="115"/>
        <v>1</v>
      </c>
      <c r="BP106" s="1125">
        <f t="shared" si="116"/>
        <v>1</v>
      </c>
      <c r="BQ106" s="1125">
        <f t="shared" si="117"/>
        <v>0</v>
      </c>
      <c r="BR106" s="1125">
        <f t="shared" si="118"/>
        <v>0</v>
      </c>
      <c r="BS106" s="1125">
        <f t="shared" si="119"/>
        <v>1</v>
      </c>
      <c r="BT106" s="1125">
        <f t="shared" si="120"/>
        <v>1</v>
      </c>
      <c r="BU106" s="1125">
        <f t="shared" si="121"/>
        <v>1</v>
      </c>
      <c r="BV106" s="1125">
        <f t="shared" si="122"/>
        <v>1</v>
      </c>
      <c r="BW106" s="1125">
        <f t="shared" si="123"/>
        <v>0</v>
      </c>
      <c r="BX106" s="1125">
        <f t="shared" si="124"/>
        <v>0</v>
      </c>
      <c r="BY106" s="1125">
        <f t="shared" si="125"/>
        <v>0</v>
      </c>
      <c r="BZ106" s="1125">
        <f t="shared" si="126"/>
        <v>0</v>
      </c>
      <c r="CA106" s="1125">
        <f t="shared" si="127"/>
        <v>1</v>
      </c>
      <c r="CB106" s="1125">
        <f t="shared" si="128"/>
        <v>1</v>
      </c>
      <c r="CC106" s="1125">
        <f t="shared" si="129"/>
        <v>1</v>
      </c>
      <c r="CD106" s="1125">
        <f t="shared" si="130"/>
        <v>1</v>
      </c>
      <c r="CE106" s="1125">
        <f t="shared" si="131"/>
        <v>1</v>
      </c>
      <c r="CF106" s="1125">
        <f t="shared" si="132"/>
        <v>0</v>
      </c>
      <c r="CG106" s="1125">
        <f t="shared" si="133"/>
        <v>0</v>
      </c>
      <c r="CH106" s="1125">
        <f t="shared" si="134"/>
        <v>0</v>
      </c>
      <c r="CI106" s="1125">
        <f t="shared" si="135"/>
        <v>0.85</v>
      </c>
      <c r="CJ106" s="1125">
        <f t="shared" si="136"/>
        <v>0.85</v>
      </c>
      <c r="CK106" s="1125">
        <f t="shared" si="137"/>
        <v>0.85</v>
      </c>
      <c r="CL106" s="1125">
        <f t="shared" si="138"/>
        <v>0.85</v>
      </c>
      <c r="CM106" s="1125">
        <f t="shared" si="139"/>
        <v>0.85</v>
      </c>
      <c r="CN106" s="1125">
        <f t="shared" si="140"/>
        <v>0.85</v>
      </c>
      <c r="CO106" s="1125">
        <f t="shared" si="141"/>
        <v>0.7</v>
      </c>
      <c r="CP106" s="1125">
        <f t="shared" si="142"/>
        <v>0.7</v>
      </c>
      <c r="CQ106" s="1125">
        <f t="shared" si="143"/>
        <v>0.85</v>
      </c>
      <c r="CR106" s="1125">
        <f t="shared" si="144"/>
        <v>0.85</v>
      </c>
      <c r="CS106" s="1125">
        <f t="shared" si="145"/>
        <v>0.85</v>
      </c>
      <c r="CT106" s="1125">
        <f t="shared" si="146"/>
        <v>0.85</v>
      </c>
      <c r="CU106" s="1125">
        <v>1</v>
      </c>
      <c r="CV106" s="1125"/>
      <c r="CW106" s="1125">
        <f t="shared" si="147"/>
        <v>153</v>
      </c>
      <c r="CX106" s="1125">
        <f t="shared" si="148"/>
        <v>212</v>
      </c>
      <c r="CY106" s="1136" t="s">
        <v>4889</v>
      </c>
      <c r="CZ106" s="1129" t="s">
        <v>4897</v>
      </c>
      <c r="DA106" s="1129"/>
      <c r="DB106" s="1129"/>
      <c r="DC106" s="1125" t="s">
        <v>5267</v>
      </c>
      <c r="DD106" s="1125" t="s">
        <v>250</v>
      </c>
      <c r="DE106" s="1120" t="b">
        <f t="shared" si="149"/>
        <v>0</v>
      </c>
      <c r="DF106" s="1133">
        <v>0</v>
      </c>
      <c r="DG106" s="1125">
        <v>0</v>
      </c>
    </row>
    <row r="107" spans="1:111">
      <c r="A107" s="1120" t="s">
        <v>3044</v>
      </c>
      <c r="B107" s="1120" t="s">
        <v>3591</v>
      </c>
      <c r="C107" s="1120" t="s">
        <v>3592</v>
      </c>
      <c r="D107" s="1120" t="s">
        <v>1107</v>
      </c>
      <c r="E107" s="1120">
        <v>528</v>
      </c>
      <c r="F107" s="1120">
        <v>-86.43</v>
      </c>
      <c r="G107" s="1120">
        <v>36.979999999999997</v>
      </c>
      <c r="H107" s="1120">
        <v>-6</v>
      </c>
      <c r="I107" s="1121">
        <v>15.080000686645507</v>
      </c>
      <c r="J107" s="1121">
        <v>90.860001373291013</v>
      </c>
      <c r="K107" s="1122">
        <v>75.380000686645502</v>
      </c>
      <c r="L107" s="1120">
        <v>4152.6000000000004</v>
      </c>
      <c r="M107" s="1120">
        <v>1492.2</v>
      </c>
      <c r="N107" s="1123">
        <v>29.119999957084655</v>
      </c>
      <c r="O107" s="1123">
        <v>42.97999982833862</v>
      </c>
      <c r="P107" s="1123">
        <v>41.720000171661376</v>
      </c>
      <c r="Q107" s="1123">
        <v>55.4</v>
      </c>
      <c r="R107" s="1123">
        <v>66.019999313354489</v>
      </c>
      <c r="S107" s="1123">
        <v>73.939998626708984</v>
      </c>
      <c r="T107" s="1123">
        <v>75.560001373291016</v>
      </c>
      <c r="U107" s="1123">
        <v>77.180000686645513</v>
      </c>
      <c r="V107" s="1123">
        <v>74.3</v>
      </c>
      <c r="W107" s="1123">
        <v>61.7</v>
      </c>
      <c r="X107" s="1123">
        <v>50</v>
      </c>
      <c r="Y107" s="1123">
        <v>36.860000085830691</v>
      </c>
      <c r="Z107" s="1123">
        <v>57.111232885530548</v>
      </c>
      <c r="AA107" s="1123">
        <f t="shared" si="75"/>
        <v>51.243391287683494</v>
      </c>
      <c r="AB107" s="1123">
        <f t="shared" si="76"/>
        <v>50.47273641487314</v>
      </c>
      <c r="AC107" s="1123">
        <f t="shared" si="77"/>
        <v>52.996500412265753</v>
      </c>
      <c r="AD107" s="1123">
        <f t="shared" si="78"/>
        <v>58.156825301560467</v>
      </c>
      <c r="AE107" s="1123">
        <f t="shared" si="79"/>
        <v>64.60859287734894</v>
      </c>
      <c r="AF107" s="1123">
        <f t="shared" si="80"/>
        <v>70.670050496254007</v>
      </c>
      <c r="AG107" s="1123">
        <f t="shared" si="81"/>
        <v>74.761185820018653</v>
      </c>
      <c r="AH107" s="1123">
        <f t="shared" si="82"/>
        <v>75.815581380199887</v>
      </c>
      <c r="AI107" s="1123">
        <f t="shared" si="83"/>
        <v>73.558392725309048</v>
      </c>
      <c r="AJ107" s="1123">
        <f t="shared" si="84"/>
        <v>68.577990862573515</v>
      </c>
      <c r="AK107" s="1123">
        <f t="shared" si="85"/>
        <v>62.17259428783121</v>
      </c>
      <c r="AL107" s="1123">
        <f t="shared" si="86"/>
        <v>56.011868328437899</v>
      </c>
      <c r="AM107" s="1120">
        <f t="shared" si="87"/>
        <v>1</v>
      </c>
      <c r="AN107" s="1120">
        <f t="shared" si="88"/>
        <v>1</v>
      </c>
      <c r="AO107" s="1120">
        <f t="shared" si="89"/>
        <v>1</v>
      </c>
      <c r="AP107" s="1120">
        <f t="shared" si="90"/>
        <v>1</v>
      </c>
      <c r="AQ107" s="1120">
        <f t="shared" si="91"/>
        <v>0</v>
      </c>
      <c r="AR107" s="1120">
        <f t="shared" si="92"/>
        <v>0</v>
      </c>
      <c r="AS107" s="1120">
        <f t="shared" si="93"/>
        <v>0</v>
      </c>
      <c r="AT107" s="1120">
        <f t="shared" si="94"/>
        <v>0</v>
      </c>
      <c r="AU107" s="1120">
        <f t="shared" si="95"/>
        <v>0</v>
      </c>
      <c r="AV107" s="1120">
        <f t="shared" si="96"/>
        <v>1</v>
      </c>
      <c r="AW107" s="1120">
        <f t="shared" si="97"/>
        <v>1</v>
      </c>
      <c r="AX107" s="1120">
        <f t="shared" si="98"/>
        <v>1</v>
      </c>
      <c r="AY107" s="1120">
        <f t="shared" si="99"/>
        <v>0</v>
      </c>
      <c r="AZ107" s="1120">
        <f t="shared" si="100"/>
        <v>0</v>
      </c>
      <c r="BA107" s="1120">
        <f t="shared" si="101"/>
        <v>0</v>
      </c>
      <c r="BB107" s="1120">
        <f t="shared" si="102"/>
        <v>0</v>
      </c>
      <c r="BC107" s="1120">
        <f t="shared" si="103"/>
        <v>1</v>
      </c>
      <c r="BD107" s="1120">
        <f t="shared" si="104"/>
        <v>1</v>
      </c>
      <c r="BE107" s="1120">
        <f t="shared" si="105"/>
        <v>1</v>
      </c>
      <c r="BF107" s="1120">
        <f t="shared" si="106"/>
        <v>1</v>
      </c>
      <c r="BG107" s="1120">
        <f t="shared" si="107"/>
        <v>1</v>
      </c>
      <c r="BH107" s="1120">
        <f t="shared" si="108"/>
        <v>0</v>
      </c>
      <c r="BI107" s="1120">
        <f t="shared" si="109"/>
        <v>0</v>
      </c>
      <c r="BJ107" s="1120">
        <f t="shared" si="110"/>
        <v>0</v>
      </c>
      <c r="BK107" s="1120">
        <f t="shared" si="111"/>
        <v>1</v>
      </c>
      <c r="BL107" s="1120">
        <f t="shared" si="112"/>
        <v>1</v>
      </c>
      <c r="BM107" s="1120">
        <f t="shared" si="113"/>
        <v>1</v>
      </c>
      <c r="BN107" s="1120">
        <f t="shared" si="114"/>
        <v>1</v>
      </c>
      <c r="BO107" s="1120">
        <f t="shared" si="115"/>
        <v>1</v>
      </c>
      <c r="BP107" s="1120">
        <f t="shared" si="116"/>
        <v>0</v>
      </c>
      <c r="BQ107" s="1120">
        <f t="shared" si="117"/>
        <v>0</v>
      </c>
      <c r="BR107" s="1120">
        <f t="shared" si="118"/>
        <v>0</v>
      </c>
      <c r="BS107" s="1120">
        <f t="shared" si="119"/>
        <v>0</v>
      </c>
      <c r="BT107" s="1120">
        <f t="shared" si="120"/>
        <v>1</v>
      </c>
      <c r="BU107" s="1120">
        <f t="shared" si="121"/>
        <v>1</v>
      </c>
      <c r="BV107" s="1120">
        <f t="shared" si="122"/>
        <v>1</v>
      </c>
      <c r="BW107" s="1120">
        <f t="shared" si="123"/>
        <v>0</v>
      </c>
      <c r="BX107" s="1120">
        <f t="shared" si="124"/>
        <v>0</v>
      </c>
      <c r="BY107" s="1120">
        <f t="shared" si="125"/>
        <v>0</v>
      </c>
      <c r="BZ107" s="1120">
        <f t="shared" si="126"/>
        <v>1</v>
      </c>
      <c r="CA107" s="1120">
        <f t="shared" si="127"/>
        <v>1</v>
      </c>
      <c r="CB107" s="1120">
        <f t="shared" si="128"/>
        <v>1</v>
      </c>
      <c r="CC107" s="1120">
        <f t="shared" si="129"/>
        <v>1</v>
      </c>
      <c r="CD107" s="1120">
        <f t="shared" si="130"/>
        <v>1</v>
      </c>
      <c r="CE107" s="1120">
        <f t="shared" si="131"/>
        <v>1</v>
      </c>
      <c r="CF107" s="1120">
        <f t="shared" si="132"/>
        <v>1</v>
      </c>
      <c r="CG107" s="1120">
        <f t="shared" si="133"/>
        <v>0</v>
      </c>
      <c r="CH107" s="1120">
        <f t="shared" si="134"/>
        <v>0</v>
      </c>
      <c r="CI107" s="1120">
        <f t="shared" si="135"/>
        <v>0.85</v>
      </c>
      <c r="CJ107" s="1120">
        <f t="shared" si="136"/>
        <v>0.85</v>
      </c>
      <c r="CK107" s="1120">
        <f t="shared" si="137"/>
        <v>0.85</v>
      </c>
      <c r="CL107" s="1120">
        <f t="shared" si="138"/>
        <v>0.85</v>
      </c>
      <c r="CM107" s="1120">
        <f t="shared" si="139"/>
        <v>0.85</v>
      </c>
      <c r="CN107" s="1120">
        <f t="shared" si="140"/>
        <v>0.7</v>
      </c>
      <c r="CO107" s="1120">
        <f t="shared" si="141"/>
        <v>0.7</v>
      </c>
      <c r="CP107" s="1120">
        <f t="shared" si="142"/>
        <v>0.7</v>
      </c>
      <c r="CQ107" s="1120">
        <f t="shared" si="143"/>
        <v>0.7</v>
      </c>
      <c r="CR107" s="1120">
        <f t="shared" si="144"/>
        <v>0.85</v>
      </c>
      <c r="CS107" s="1120">
        <f t="shared" si="145"/>
        <v>0.85</v>
      </c>
      <c r="CT107" s="1120">
        <f t="shared" si="146"/>
        <v>0.85</v>
      </c>
      <c r="CU107" s="1120">
        <v>1</v>
      </c>
      <c r="CV107" s="1120"/>
      <c r="CW107" s="1120">
        <f t="shared" si="147"/>
        <v>214</v>
      </c>
      <c r="CX107" s="1120">
        <f t="shared" si="148"/>
        <v>151</v>
      </c>
      <c r="CY107" s="1135" t="s">
        <v>4881</v>
      </c>
      <c r="CZ107" s="1124" t="s">
        <v>4885</v>
      </c>
      <c r="DA107" s="1124"/>
      <c r="DB107" s="1124"/>
      <c r="DC107" s="1120" t="s">
        <v>5241</v>
      </c>
      <c r="DD107" s="1120" t="s">
        <v>1107</v>
      </c>
      <c r="DE107" s="1120" t="str">
        <f t="shared" si="149"/>
        <v/>
      </c>
      <c r="DF107" s="1133">
        <v>0</v>
      </c>
      <c r="DG107" s="1120">
        <v>0</v>
      </c>
    </row>
    <row r="108" spans="1:111">
      <c r="A108" s="1125" t="s">
        <v>5808</v>
      </c>
      <c r="B108" s="1120" t="s">
        <v>3898</v>
      </c>
      <c r="C108" s="1120" t="s">
        <v>3899</v>
      </c>
      <c r="D108" s="1120" t="s">
        <v>1108</v>
      </c>
      <c r="E108" s="1120">
        <v>4425</v>
      </c>
      <c r="F108" s="1120">
        <v>-111.15</v>
      </c>
      <c r="G108" s="1120">
        <v>45.8</v>
      </c>
      <c r="H108" s="1120">
        <v>-7</v>
      </c>
      <c r="I108" s="1121">
        <v>-9.5800006866455085</v>
      </c>
      <c r="J108" s="1121">
        <v>87.980000686645511</v>
      </c>
      <c r="K108" s="1122">
        <v>60.440000343322751</v>
      </c>
      <c r="L108" s="1120">
        <v>8112.6</v>
      </c>
      <c r="M108" s="1120">
        <v>349.2</v>
      </c>
      <c r="N108" s="1123">
        <v>20.840000343322753</v>
      </c>
      <c r="O108" s="1123">
        <v>19.579999828338622</v>
      </c>
      <c r="P108" s="1123">
        <v>34.160000085830688</v>
      </c>
      <c r="Q108" s="1123">
        <v>43.159999656677243</v>
      </c>
      <c r="R108" s="1123">
        <v>50.180000686645506</v>
      </c>
      <c r="S108" s="1123">
        <v>59</v>
      </c>
      <c r="T108" s="1123">
        <v>68.360001373291013</v>
      </c>
      <c r="U108" s="1123">
        <v>69.8</v>
      </c>
      <c r="V108" s="1123">
        <v>56.119999313354491</v>
      </c>
      <c r="W108" s="1123">
        <v>41.359999656677246</v>
      </c>
      <c r="X108" s="1123">
        <v>29.3</v>
      </c>
      <c r="Y108" s="1123">
        <v>23.9</v>
      </c>
      <c r="Z108" s="1123">
        <v>43.129424741954018</v>
      </c>
      <c r="AA108" s="1123">
        <f t="shared" si="75"/>
        <v>41.117330106312302</v>
      </c>
      <c r="AB108" s="1123">
        <f t="shared" si="76"/>
        <v>39.354124186473214</v>
      </c>
      <c r="AC108" s="1123">
        <f t="shared" si="77"/>
        <v>40.139000998361652</v>
      </c>
      <c r="AD108" s="1123">
        <f t="shared" si="78"/>
        <v>43.267370305641094</v>
      </c>
      <c r="AE108" s="1123">
        <f t="shared" si="79"/>
        <v>47.923774438738846</v>
      </c>
      <c r="AF108" s="1123">
        <f t="shared" si="80"/>
        <v>52.894449903003206</v>
      </c>
      <c r="AG108" s="1123">
        <f t="shared" si="81"/>
        <v>56.883713538246084</v>
      </c>
      <c r="AH108" s="1123">
        <f t="shared" si="82"/>
        <v>58.851702301527936</v>
      </c>
      <c r="AI108" s="1123">
        <f t="shared" si="83"/>
        <v>58.2854295940745</v>
      </c>
      <c r="AJ108" s="1123">
        <f t="shared" si="84"/>
        <v>55.332503123610074</v>
      </c>
      <c r="AK108" s="1123">
        <f t="shared" si="85"/>
        <v>50.762648680635571</v>
      </c>
      <c r="AL108" s="1123">
        <f t="shared" si="86"/>
        <v>45.767069249300988</v>
      </c>
      <c r="AM108" s="1120">
        <f t="shared" si="87"/>
        <v>1</v>
      </c>
      <c r="AN108" s="1120">
        <f t="shared" si="88"/>
        <v>1</v>
      </c>
      <c r="AO108" s="1120">
        <f t="shared" si="89"/>
        <v>1</v>
      </c>
      <c r="AP108" s="1120">
        <f t="shared" si="90"/>
        <v>1</v>
      </c>
      <c r="AQ108" s="1120">
        <f t="shared" si="91"/>
        <v>1</v>
      </c>
      <c r="AR108" s="1120">
        <f t="shared" si="92"/>
        <v>1</v>
      </c>
      <c r="AS108" s="1120">
        <f t="shared" si="93"/>
        <v>0</v>
      </c>
      <c r="AT108" s="1120">
        <f t="shared" si="94"/>
        <v>0</v>
      </c>
      <c r="AU108" s="1120">
        <f t="shared" si="95"/>
        <v>1</v>
      </c>
      <c r="AV108" s="1120">
        <f t="shared" si="96"/>
        <v>1</v>
      </c>
      <c r="AW108" s="1120">
        <f t="shared" si="97"/>
        <v>1</v>
      </c>
      <c r="AX108" s="1120">
        <f t="shared" si="98"/>
        <v>1</v>
      </c>
      <c r="AY108" s="1120">
        <f t="shared" si="99"/>
        <v>0</v>
      </c>
      <c r="AZ108" s="1120">
        <f t="shared" si="100"/>
        <v>0</v>
      </c>
      <c r="BA108" s="1120">
        <f t="shared" si="101"/>
        <v>0</v>
      </c>
      <c r="BB108" s="1120">
        <f t="shared" si="102"/>
        <v>0</v>
      </c>
      <c r="BC108" s="1120">
        <f t="shared" si="103"/>
        <v>0</v>
      </c>
      <c r="BD108" s="1120">
        <f t="shared" si="104"/>
        <v>0</v>
      </c>
      <c r="BE108" s="1120">
        <f t="shared" si="105"/>
        <v>1</v>
      </c>
      <c r="BF108" s="1120">
        <f t="shared" si="106"/>
        <v>1</v>
      </c>
      <c r="BG108" s="1120">
        <f t="shared" si="107"/>
        <v>0</v>
      </c>
      <c r="BH108" s="1120">
        <f t="shared" si="108"/>
        <v>0</v>
      </c>
      <c r="BI108" s="1120">
        <f t="shared" si="109"/>
        <v>0</v>
      </c>
      <c r="BJ108" s="1120">
        <f t="shared" si="110"/>
        <v>0</v>
      </c>
      <c r="BK108" s="1120">
        <f t="shared" si="111"/>
        <v>1</v>
      </c>
      <c r="BL108" s="1120">
        <f t="shared" si="112"/>
        <v>1</v>
      </c>
      <c r="BM108" s="1120">
        <f t="shared" si="113"/>
        <v>1</v>
      </c>
      <c r="BN108" s="1120">
        <f t="shared" si="114"/>
        <v>1</v>
      </c>
      <c r="BO108" s="1120">
        <f t="shared" si="115"/>
        <v>1</v>
      </c>
      <c r="BP108" s="1120">
        <f t="shared" si="116"/>
        <v>1</v>
      </c>
      <c r="BQ108" s="1120">
        <f t="shared" si="117"/>
        <v>1</v>
      </c>
      <c r="BR108" s="1120">
        <f t="shared" si="118"/>
        <v>0</v>
      </c>
      <c r="BS108" s="1120">
        <f t="shared" si="119"/>
        <v>1</v>
      </c>
      <c r="BT108" s="1120">
        <f t="shared" si="120"/>
        <v>1</v>
      </c>
      <c r="BU108" s="1120">
        <f t="shared" si="121"/>
        <v>1</v>
      </c>
      <c r="BV108" s="1120">
        <f t="shared" si="122"/>
        <v>1</v>
      </c>
      <c r="BW108" s="1120">
        <f t="shared" si="123"/>
        <v>0</v>
      </c>
      <c r="BX108" s="1120">
        <f t="shared" si="124"/>
        <v>0</v>
      </c>
      <c r="BY108" s="1120">
        <f t="shared" si="125"/>
        <v>0</v>
      </c>
      <c r="BZ108" s="1120">
        <f t="shared" si="126"/>
        <v>0</v>
      </c>
      <c r="CA108" s="1120">
        <f t="shared" si="127"/>
        <v>0</v>
      </c>
      <c r="CB108" s="1120">
        <f t="shared" si="128"/>
        <v>1</v>
      </c>
      <c r="CC108" s="1120">
        <f t="shared" si="129"/>
        <v>1</v>
      </c>
      <c r="CD108" s="1120">
        <f t="shared" si="130"/>
        <v>1</v>
      </c>
      <c r="CE108" s="1120">
        <f t="shared" si="131"/>
        <v>1</v>
      </c>
      <c r="CF108" s="1120">
        <f t="shared" si="132"/>
        <v>0</v>
      </c>
      <c r="CG108" s="1120">
        <f t="shared" si="133"/>
        <v>0</v>
      </c>
      <c r="CH108" s="1120">
        <f t="shared" si="134"/>
        <v>0</v>
      </c>
      <c r="CI108" s="1120">
        <f t="shared" si="135"/>
        <v>0.85</v>
      </c>
      <c r="CJ108" s="1120">
        <f t="shared" si="136"/>
        <v>0.85</v>
      </c>
      <c r="CK108" s="1120">
        <f t="shared" si="137"/>
        <v>0.85</v>
      </c>
      <c r="CL108" s="1120">
        <f t="shared" si="138"/>
        <v>0.85</v>
      </c>
      <c r="CM108" s="1120">
        <f t="shared" si="139"/>
        <v>0.85</v>
      </c>
      <c r="CN108" s="1120">
        <f t="shared" si="140"/>
        <v>0.85</v>
      </c>
      <c r="CO108" s="1120">
        <f t="shared" si="141"/>
        <v>0.85</v>
      </c>
      <c r="CP108" s="1120">
        <f t="shared" si="142"/>
        <v>0.7</v>
      </c>
      <c r="CQ108" s="1120">
        <f t="shared" si="143"/>
        <v>0.85</v>
      </c>
      <c r="CR108" s="1120">
        <f t="shared" si="144"/>
        <v>0.85</v>
      </c>
      <c r="CS108" s="1120">
        <f t="shared" si="145"/>
        <v>0.85</v>
      </c>
      <c r="CT108" s="1120">
        <f t="shared" si="146"/>
        <v>0.85</v>
      </c>
      <c r="CU108" s="1120">
        <v>1</v>
      </c>
      <c r="CV108" s="1120"/>
      <c r="CW108" s="1120">
        <f t="shared" si="147"/>
        <v>122</v>
      </c>
      <c r="CX108" s="1120">
        <f t="shared" si="148"/>
        <v>243</v>
      </c>
      <c r="CY108" s="1135" t="s">
        <v>4889</v>
      </c>
      <c r="CZ108" s="1124" t="s">
        <v>4896</v>
      </c>
      <c r="DA108" s="1124"/>
      <c r="DB108" s="1124"/>
      <c r="DC108" s="1120" t="s">
        <v>5373</v>
      </c>
      <c r="DD108" s="1120" t="s">
        <v>1108</v>
      </c>
      <c r="DE108" s="1120" t="str">
        <f t="shared" si="149"/>
        <v/>
      </c>
      <c r="DF108" s="1133">
        <v>1</v>
      </c>
      <c r="DG108" s="1125">
        <v>0</v>
      </c>
    </row>
    <row r="109" spans="1:111">
      <c r="A109" s="1120" t="s">
        <v>3046</v>
      </c>
      <c r="B109" s="1120" t="s">
        <v>4258</v>
      </c>
      <c r="C109" s="1120" t="s">
        <v>4259</v>
      </c>
      <c r="D109" s="1120" t="s">
        <v>539</v>
      </c>
      <c r="E109" s="1120">
        <v>2116</v>
      </c>
      <c r="F109" s="1120">
        <v>-78.63</v>
      </c>
      <c r="G109" s="1120">
        <v>41.8</v>
      </c>
      <c r="H109" s="1120">
        <v>-5</v>
      </c>
      <c r="I109" s="1121">
        <v>2.2999999999999994</v>
      </c>
      <c r="J109" s="1121">
        <v>80.960001373291021</v>
      </c>
      <c r="K109" s="1122">
        <v>67.460001373291021</v>
      </c>
      <c r="L109" s="1120">
        <v>7860.6</v>
      </c>
      <c r="M109" s="1120">
        <v>228.6</v>
      </c>
      <c r="N109" s="1123">
        <v>19.759999656677245</v>
      </c>
      <c r="O109" s="1123">
        <v>21.740000343322755</v>
      </c>
      <c r="P109" s="1123">
        <v>34.700000000000003</v>
      </c>
      <c r="Q109" s="1123">
        <v>42.440000343322751</v>
      </c>
      <c r="R109" s="1123">
        <v>53.240000343322755</v>
      </c>
      <c r="S109" s="1123">
        <v>62.060001373291016</v>
      </c>
      <c r="T109" s="1123">
        <v>66.919999313354495</v>
      </c>
      <c r="U109" s="1123">
        <v>64.039998626708979</v>
      </c>
      <c r="V109" s="1123">
        <v>56.3</v>
      </c>
      <c r="W109" s="1123">
        <v>42.620000171661374</v>
      </c>
      <c r="X109" s="1123">
        <v>34.519999957084657</v>
      </c>
      <c r="Y109" s="1123">
        <v>22.1</v>
      </c>
      <c r="Z109" s="1123">
        <v>43.487945209006739</v>
      </c>
      <c r="AA109" s="1123">
        <f t="shared" si="75"/>
        <v>41.861997494666802</v>
      </c>
      <c r="AB109" s="1123">
        <f t="shared" si="76"/>
        <v>40.218546742547289</v>
      </c>
      <c r="AC109" s="1123">
        <f t="shared" si="77"/>
        <v>40.991307546464704</v>
      </c>
      <c r="AD109" s="1123">
        <f t="shared" si="78"/>
        <v>43.978847894273514</v>
      </c>
      <c r="AE109" s="1123">
        <f t="shared" si="79"/>
        <v>48.402419354926991</v>
      </c>
      <c r="AF109" s="1123">
        <f t="shared" si="80"/>
        <v>53.108949857906133</v>
      </c>
      <c r="AG109" s="1123">
        <f t="shared" si="81"/>
        <v>56.871609697778915</v>
      </c>
      <c r="AH109" s="1123">
        <f t="shared" si="82"/>
        <v>58.709603602939197</v>
      </c>
      <c r="AI109" s="1123">
        <f t="shared" si="83"/>
        <v>58.143830137663493</v>
      </c>
      <c r="AJ109" s="1123">
        <f t="shared" si="84"/>
        <v>55.321766874508938</v>
      </c>
      <c r="AK109" s="1123">
        <f t="shared" si="85"/>
        <v>50.979028092328065</v>
      </c>
      <c r="AL109" s="1123">
        <f t="shared" si="86"/>
        <v>46.247615578326709</v>
      </c>
      <c r="AM109" s="1120">
        <f t="shared" si="87"/>
        <v>1</v>
      </c>
      <c r="AN109" s="1120">
        <f t="shared" si="88"/>
        <v>1</v>
      </c>
      <c r="AO109" s="1120">
        <f t="shared" si="89"/>
        <v>1</v>
      </c>
      <c r="AP109" s="1120">
        <f t="shared" si="90"/>
        <v>1</v>
      </c>
      <c r="AQ109" s="1120">
        <f t="shared" si="91"/>
        <v>1</v>
      </c>
      <c r="AR109" s="1120">
        <f t="shared" si="92"/>
        <v>1</v>
      </c>
      <c r="AS109" s="1120">
        <f t="shared" si="93"/>
        <v>0</v>
      </c>
      <c r="AT109" s="1120">
        <f t="shared" si="94"/>
        <v>1</v>
      </c>
      <c r="AU109" s="1120">
        <f t="shared" si="95"/>
        <v>1</v>
      </c>
      <c r="AV109" s="1120">
        <f t="shared" si="96"/>
        <v>1</v>
      </c>
      <c r="AW109" s="1120">
        <f t="shared" si="97"/>
        <v>1</v>
      </c>
      <c r="AX109" s="1120">
        <f t="shared" si="98"/>
        <v>1</v>
      </c>
      <c r="AY109" s="1120">
        <f t="shared" si="99"/>
        <v>0</v>
      </c>
      <c r="AZ109" s="1120">
        <f t="shared" si="100"/>
        <v>0</v>
      </c>
      <c r="BA109" s="1120">
        <f t="shared" si="101"/>
        <v>0</v>
      </c>
      <c r="BB109" s="1120">
        <f t="shared" si="102"/>
        <v>0</v>
      </c>
      <c r="BC109" s="1120">
        <f t="shared" si="103"/>
        <v>0</v>
      </c>
      <c r="BD109" s="1120">
        <f t="shared" si="104"/>
        <v>0</v>
      </c>
      <c r="BE109" s="1120">
        <f t="shared" si="105"/>
        <v>1</v>
      </c>
      <c r="BF109" s="1120">
        <f t="shared" si="106"/>
        <v>1</v>
      </c>
      <c r="BG109" s="1120">
        <f t="shared" si="107"/>
        <v>0</v>
      </c>
      <c r="BH109" s="1120">
        <f t="shared" si="108"/>
        <v>0</v>
      </c>
      <c r="BI109" s="1120">
        <f t="shared" si="109"/>
        <v>0</v>
      </c>
      <c r="BJ109" s="1120">
        <f t="shared" si="110"/>
        <v>0</v>
      </c>
      <c r="BK109" s="1120">
        <f t="shared" si="111"/>
        <v>1</v>
      </c>
      <c r="BL109" s="1120">
        <f t="shared" si="112"/>
        <v>1</v>
      </c>
      <c r="BM109" s="1120">
        <f t="shared" si="113"/>
        <v>1</v>
      </c>
      <c r="BN109" s="1120">
        <f t="shared" si="114"/>
        <v>1</v>
      </c>
      <c r="BO109" s="1120">
        <f t="shared" si="115"/>
        <v>1</v>
      </c>
      <c r="BP109" s="1120">
        <f t="shared" si="116"/>
        <v>1</v>
      </c>
      <c r="BQ109" s="1120">
        <f t="shared" si="117"/>
        <v>1</v>
      </c>
      <c r="BR109" s="1120">
        <f t="shared" si="118"/>
        <v>1</v>
      </c>
      <c r="BS109" s="1120">
        <f t="shared" si="119"/>
        <v>1</v>
      </c>
      <c r="BT109" s="1120">
        <f t="shared" si="120"/>
        <v>1</v>
      </c>
      <c r="BU109" s="1120">
        <f t="shared" si="121"/>
        <v>1</v>
      </c>
      <c r="BV109" s="1120">
        <f t="shared" si="122"/>
        <v>1</v>
      </c>
      <c r="BW109" s="1120">
        <f t="shared" si="123"/>
        <v>0</v>
      </c>
      <c r="BX109" s="1120">
        <f t="shared" si="124"/>
        <v>0</v>
      </c>
      <c r="BY109" s="1120">
        <f t="shared" si="125"/>
        <v>0</v>
      </c>
      <c r="BZ109" s="1120">
        <f t="shared" si="126"/>
        <v>0</v>
      </c>
      <c r="CA109" s="1120">
        <f t="shared" si="127"/>
        <v>0</v>
      </c>
      <c r="CB109" s="1120">
        <f t="shared" si="128"/>
        <v>1</v>
      </c>
      <c r="CC109" s="1120">
        <f t="shared" si="129"/>
        <v>1</v>
      </c>
      <c r="CD109" s="1120">
        <f t="shared" si="130"/>
        <v>1</v>
      </c>
      <c r="CE109" s="1120">
        <f t="shared" si="131"/>
        <v>0</v>
      </c>
      <c r="CF109" s="1120">
        <f t="shared" si="132"/>
        <v>0</v>
      </c>
      <c r="CG109" s="1120">
        <f t="shared" si="133"/>
        <v>0</v>
      </c>
      <c r="CH109" s="1120">
        <f t="shared" si="134"/>
        <v>0</v>
      </c>
      <c r="CI109" s="1120">
        <f t="shared" si="135"/>
        <v>0.85</v>
      </c>
      <c r="CJ109" s="1120">
        <f t="shared" si="136"/>
        <v>0.85</v>
      </c>
      <c r="CK109" s="1120">
        <f t="shared" si="137"/>
        <v>0.85</v>
      </c>
      <c r="CL109" s="1120">
        <f t="shared" si="138"/>
        <v>0.85</v>
      </c>
      <c r="CM109" s="1120">
        <f t="shared" si="139"/>
        <v>0.85</v>
      </c>
      <c r="CN109" s="1120">
        <f t="shared" si="140"/>
        <v>0.85</v>
      </c>
      <c r="CO109" s="1120">
        <f t="shared" si="141"/>
        <v>0.85</v>
      </c>
      <c r="CP109" s="1120">
        <f t="shared" si="142"/>
        <v>0.85</v>
      </c>
      <c r="CQ109" s="1120">
        <f t="shared" si="143"/>
        <v>0.85</v>
      </c>
      <c r="CR109" s="1120">
        <f t="shared" si="144"/>
        <v>0.85</v>
      </c>
      <c r="CS109" s="1120">
        <f t="shared" si="145"/>
        <v>0.85</v>
      </c>
      <c r="CT109" s="1120">
        <f t="shared" si="146"/>
        <v>0.85</v>
      </c>
      <c r="CU109" s="1120">
        <v>1</v>
      </c>
      <c r="CV109" s="1120"/>
      <c r="CW109" s="1120">
        <f t="shared" si="147"/>
        <v>92</v>
      </c>
      <c r="CX109" s="1120">
        <f t="shared" si="148"/>
        <v>273</v>
      </c>
      <c r="CY109" s="1135" t="s">
        <v>4889</v>
      </c>
      <c r="CZ109" s="1124" t="s">
        <v>4899</v>
      </c>
      <c r="DA109" s="1124"/>
      <c r="DB109" s="1124"/>
      <c r="DC109" s="1120" t="s">
        <v>5531</v>
      </c>
      <c r="DD109" s="1120" t="s">
        <v>539</v>
      </c>
      <c r="DE109" s="1120" t="str">
        <f t="shared" si="149"/>
        <v/>
      </c>
      <c r="DF109" s="1133">
        <v>0</v>
      </c>
      <c r="DG109" s="1120">
        <v>0</v>
      </c>
    </row>
    <row r="110" spans="1:111">
      <c r="A110" s="1125" t="s">
        <v>5810</v>
      </c>
      <c r="B110" s="1120" t="s">
        <v>3775</v>
      </c>
      <c r="C110" s="1120" t="s">
        <v>3776</v>
      </c>
      <c r="D110" s="1120" t="s">
        <v>934</v>
      </c>
      <c r="E110" s="1120">
        <v>1227</v>
      </c>
      <c r="F110" s="1120">
        <v>-94.13</v>
      </c>
      <c r="G110" s="1120">
        <v>46.4</v>
      </c>
      <c r="H110" s="1120">
        <v>-6</v>
      </c>
      <c r="I110" s="1121">
        <v>-11.739998626708985</v>
      </c>
      <c r="J110" s="1121">
        <v>84.2</v>
      </c>
      <c r="K110" s="1122">
        <v>70.16000137329101</v>
      </c>
      <c r="L110" s="1120">
        <v>8420.4</v>
      </c>
      <c r="M110" s="1120">
        <v>363.6</v>
      </c>
      <c r="N110" s="1123">
        <v>12.740000343322754</v>
      </c>
      <c r="O110" s="1123">
        <v>13.1</v>
      </c>
      <c r="P110" s="1123">
        <v>35.060000085830687</v>
      </c>
      <c r="Q110" s="1123">
        <v>46.4</v>
      </c>
      <c r="R110" s="1123">
        <v>54.5</v>
      </c>
      <c r="S110" s="1123">
        <v>64.580000686645505</v>
      </c>
      <c r="T110" s="1123">
        <v>67.819999313354487</v>
      </c>
      <c r="U110" s="1123">
        <v>63.680000686645506</v>
      </c>
      <c r="V110" s="1123">
        <v>62.060001373291016</v>
      </c>
      <c r="W110" s="1123">
        <v>44.779999828338624</v>
      </c>
      <c r="X110" s="1123">
        <v>28.039999914169311</v>
      </c>
      <c r="Y110" s="1123">
        <v>13.280000686645508</v>
      </c>
      <c r="Z110" s="1123">
        <v>42.320164626003944</v>
      </c>
      <c r="AA110" s="1123">
        <f t="shared" si="75"/>
        <v>39.800348705836576</v>
      </c>
      <c r="AB110" s="1123">
        <f t="shared" si="76"/>
        <v>37.836441801543295</v>
      </c>
      <c r="AC110" s="1123">
        <f t="shared" si="77"/>
        <v>38.605278810504757</v>
      </c>
      <c r="AD110" s="1123">
        <f t="shared" si="78"/>
        <v>41.906450518198213</v>
      </c>
      <c r="AE110" s="1123">
        <f t="shared" si="79"/>
        <v>46.879455646417441</v>
      </c>
      <c r="AF110" s="1123">
        <f t="shared" si="80"/>
        <v>52.228003772163319</v>
      </c>
      <c r="AG110" s="1123">
        <f t="shared" si="81"/>
        <v>56.557913402838615</v>
      </c>
      <c r="AH110" s="1123">
        <f t="shared" si="82"/>
        <v>58.740526867280636</v>
      </c>
      <c r="AI110" s="1123">
        <f t="shared" si="83"/>
        <v>58.206912330890958</v>
      </c>
      <c r="AJ110" s="1123">
        <f t="shared" si="84"/>
        <v>55.096164645828459</v>
      </c>
      <c r="AK110" s="1123">
        <f t="shared" si="85"/>
        <v>50.219148134277596</v>
      </c>
      <c r="AL110" s="1123">
        <f t="shared" si="86"/>
        <v>44.847132307073522</v>
      </c>
      <c r="AM110" s="1120">
        <f t="shared" si="87"/>
        <v>1</v>
      </c>
      <c r="AN110" s="1120">
        <f t="shared" si="88"/>
        <v>1</v>
      </c>
      <c r="AO110" s="1120">
        <f t="shared" si="89"/>
        <v>1</v>
      </c>
      <c r="AP110" s="1120">
        <f t="shared" si="90"/>
        <v>1</v>
      </c>
      <c r="AQ110" s="1120">
        <f t="shared" si="91"/>
        <v>1</v>
      </c>
      <c r="AR110" s="1120">
        <f t="shared" si="92"/>
        <v>1</v>
      </c>
      <c r="AS110" s="1120">
        <f t="shared" si="93"/>
        <v>0</v>
      </c>
      <c r="AT110" s="1120">
        <f t="shared" si="94"/>
        <v>1</v>
      </c>
      <c r="AU110" s="1120">
        <f t="shared" si="95"/>
        <v>1</v>
      </c>
      <c r="AV110" s="1120">
        <f t="shared" si="96"/>
        <v>1</v>
      </c>
      <c r="AW110" s="1120">
        <f t="shared" si="97"/>
        <v>1</v>
      </c>
      <c r="AX110" s="1120">
        <f t="shared" si="98"/>
        <v>1</v>
      </c>
      <c r="AY110" s="1120">
        <f t="shared" si="99"/>
        <v>0</v>
      </c>
      <c r="AZ110" s="1120">
        <f t="shared" si="100"/>
        <v>0</v>
      </c>
      <c r="BA110" s="1120">
        <f t="shared" si="101"/>
        <v>0</v>
      </c>
      <c r="BB110" s="1120">
        <f t="shared" si="102"/>
        <v>0</v>
      </c>
      <c r="BC110" s="1120">
        <f t="shared" si="103"/>
        <v>0</v>
      </c>
      <c r="BD110" s="1120">
        <f t="shared" si="104"/>
        <v>0</v>
      </c>
      <c r="BE110" s="1120">
        <f t="shared" si="105"/>
        <v>1</v>
      </c>
      <c r="BF110" s="1120">
        <f t="shared" si="106"/>
        <v>1</v>
      </c>
      <c r="BG110" s="1120">
        <f t="shared" si="107"/>
        <v>0</v>
      </c>
      <c r="BH110" s="1120">
        <f t="shared" si="108"/>
        <v>0</v>
      </c>
      <c r="BI110" s="1120">
        <f t="shared" si="109"/>
        <v>0</v>
      </c>
      <c r="BJ110" s="1120">
        <f t="shared" si="110"/>
        <v>0</v>
      </c>
      <c r="BK110" s="1120">
        <f t="shared" si="111"/>
        <v>1</v>
      </c>
      <c r="BL110" s="1120">
        <f t="shared" si="112"/>
        <v>1</v>
      </c>
      <c r="BM110" s="1120">
        <f t="shared" si="113"/>
        <v>1</v>
      </c>
      <c r="BN110" s="1120">
        <f t="shared" si="114"/>
        <v>1</v>
      </c>
      <c r="BO110" s="1120">
        <f t="shared" si="115"/>
        <v>1</v>
      </c>
      <c r="BP110" s="1120">
        <f t="shared" si="116"/>
        <v>1</v>
      </c>
      <c r="BQ110" s="1120">
        <f t="shared" si="117"/>
        <v>1</v>
      </c>
      <c r="BR110" s="1120">
        <f t="shared" si="118"/>
        <v>1</v>
      </c>
      <c r="BS110" s="1120">
        <f t="shared" si="119"/>
        <v>1</v>
      </c>
      <c r="BT110" s="1120">
        <f t="shared" si="120"/>
        <v>1</v>
      </c>
      <c r="BU110" s="1120">
        <f t="shared" si="121"/>
        <v>1</v>
      </c>
      <c r="BV110" s="1120">
        <f t="shared" si="122"/>
        <v>1</v>
      </c>
      <c r="BW110" s="1120">
        <f t="shared" si="123"/>
        <v>0</v>
      </c>
      <c r="BX110" s="1120">
        <f t="shared" si="124"/>
        <v>0</v>
      </c>
      <c r="BY110" s="1120">
        <f t="shared" si="125"/>
        <v>0</v>
      </c>
      <c r="BZ110" s="1120">
        <f t="shared" si="126"/>
        <v>0</v>
      </c>
      <c r="CA110" s="1120">
        <f t="shared" si="127"/>
        <v>0</v>
      </c>
      <c r="CB110" s="1120">
        <f t="shared" si="128"/>
        <v>1</v>
      </c>
      <c r="CC110" s="1120">
        <f t="shared" si="129"/>
        <v>1</v>
      </c>
      <c r="CD110" s="1120">
        <f t="shared" si="130"/>
        <v>1</v>
      </c>
      <c r="CE110" s="1120">
        <f t="shared" si="131"/>
        <v>0</v>
      </c>
      <c r="CF110" s="1120">
        <f t="shared" si="132"/>
        <v>0</v>
      </c>
      <c r="CG110" s="1120">
        <f t="shared" si="133"/>
        <v>0</v>
      </c>
      <c r="CH110" s="1120">
        <f t="shared" si="134"/>
        <v>0</v>
      </c>
      <c r="CI110" s="1120">
        <f t="shared" si="135"/>
        <v>0.85</v>
      </c>
      <c r="CJ110" s="1120">
        <f t="shared" si="136"/>
        <v>0.85</v>
      </c>
      <c r="CK110" s="1120">
        <f t="shared" si="137"/>
        <v>0.85</v>
      </c>
      <c r="CL110" s="1120">
        <f t="shared" si="138"/>
        <v>0.85</v>
      </c>
      <c r="CM110" s="1120">
        <f t="shared" si="139"/>
        <v>0.85</v>
      </c>
      <c r="CN110" s="1120">
        <f t="shared" si="140"/>
        <v>0.85</v>
      </c>
      <c r="CO110" s="1120">
        <f t="shared" si="141"/>
        <v>0.85</v>
      </c>
      <c r="CP110" s="1120">
        <f t="shared" si="142"/>
        <v>0.85</v>
      </c>
      <c r="CQ110" s="1120">
        <f t="shared" si="143"/>
        <v>0.85</v>
      </c>
      <c r="CR110" s="1120">
        <f t="shared" si="144"/>
        <v>0.85</v>
      </c>
      <c r="CS110" s="1120">
        <f t="shared" si="145"/>
        <v>0.85</v>
      </c>
      <c r="CT110" s="1120">
        <f t="shared" si="146"/>
        <v>0.85</v>
      </c>
      <c r="CU110" s="1120">
        <v>1</v>
      </c>
      <c r="CV110" s="1120"/>
      <c r="CW110" s="1120">
        <f t="shared" si="147"/>
        <v>92</v>
      </c>
      <c r="CX110" s="1120">
        <f t="shared" si="148"/>
        <v>273</v>
      </c>
      <c r="CY110" s="1135" t="s">
        <v>4879</v>
      </c>
      <c r="CZ110" s="1124">
        <v>7</v>
      </c>
      <c r="DA110" s="1124"/>
      <c r="DB110" s="1124"/>
      <c r="DC110" s="1120" t="s">
        <v>5976</v>
      </c>
      <c r="DD110" s="1120" t="s">
        <v>934</v>
      </c>
      <c r="DE110" s="1120" t="str">
        <f t="shared" si="149"/>
        <v/>
      </c>
      <c r="DF110" s="1133">
        <v>0</v>
      </c>
      <c r="DG110" s="1125">
        <v>0</v>
      </c>
    </row>
    <row r="111" spans="1:111">
      <c r="A111" s="1120" t="s">
        <v>5812</v>
      </c>
      <c r="B111" s="1125" t="s">
        <v>4554</v>
      </c>
      <c r="C111" s="1125" t="s">
        <v>4555</v>
      </c>
      <c r="D111" s="1125" t="s">
        <v>238</v>
      </c>
      <c r="E111" s="1125">
        <v>449</v>
      </c>
      <c r="F111" s="1125">
        <v>-122.75</v>
      </c>
      <c r="G111" s="1125">
        <v>47.48</v>
      </c>
      <c r="H111" s="1125">
        <v>-8</v>
      </c>
      <c r="I111" s="1126">
        <v>26.960000085830689</v>
      </c>
      <c r="J111" s="1126">
        <v>81.680000686645513</v>
      </c>
      <c r="K111" s="1127">
        <v>63.5</v>
      </c>
      <c r="L111" s="1125">
        <v>5353.2</v>
      </c>
      <c r="M111" s="1125">
        <v>133.20000000000002</v>
      </c>
      <c r="N111" s="1128">
        <v>39.02000017166138</v>
      </c>
      <c r="O111" s="1128">
        <v>41</v>
      </c>
      <c r="P111" s="1128">
        <v>46.4</v>
      </c>
      <c r="Q111" s="1128">
        <v>48.380000686645509</v>
      </c>
      <c r="R111" s="1128">
        <v>51.8</v>
      </c>
      <c r="S111" s="1128">
        <v>58.640000343322754</v>
      </c>
      <c r="T111" s="1128">
        <v>62.780000686645508</v>
      </c>
      <c r="U111" s="1128">
        <v>63.680000686645506</v>
      </c>
      <c r="V111" s="1128">
        <v>55.759999656677245</v>
      </c>
      <c r="W111" s="1128">
        <v>48.740000343322755</v>
      </c>
      <c r="X111" s="1128">
        <v>42.620000171661374</v>
      </c>
      <c r="Y111" s="1128">
        <v>41.359999656677246</v>
      </c>
      <c r="Z111" s="1128">
        <v>50.074465955185566</v>
      </c>
      <c r="AA111" s="1128">
        <f t="shared" si="75"/>
        <v>51.082895781582209</v>
      </c>
      <c r="AB111" s="1128">
        <f t="shared" si="76"/>
        <v>50.394455308771228</v>
      </c>
      <c r="AC111" s="1128">
        <f t="shared" si="77"/>
        <v>51.186597142561759</v>
      </c>
      <c r="AD111" s="1128">
        <f t="shared" si="78"/>
        <v>53.252837306701139</v>
      </c>
      <c r="AE111" s="1128">
        <f t="shared" si="79"/>
        <v>56.054578460681661</v>
      </c>
      <c r="AF111" s="1128">
        <f t="shared" si="80"/>
        <v>58.861503596580199</v>
      </c>
      <c r="AG111" s="1128">
        <f t="shared" si="81"/>
        <v>60.941944421699098</v>
      </c>
      <c r="AH111" s="1128">
        <f t="shared" si="82"/>
        <v>61.753601974407538</v>
      </c>
      <c r="AI111" s="1128">
        <f t="shared" si="83"/>
        <v>61.084905205570564</v>
      </c>
      <c r="AJ111" s="1128">
        <f t="shared" si="84"/>
        <v>59.110160232914666</v>
      </c>
      <c r="AK111" s="1128">
        <f t="shared" si="85"/>
        <v>56.3441147653038</v>
      </c>
      <c r="AL111" s="1128">
        <f t="shared" si="86"/>
        <v>53.507781179921658</v>
      </c>
      <c r="AM111" s="1125">
        <f t="shared" si="87"/>
        <v>1</v>
      </c>
      <c r="AN111" s="1125">
        <f t="shared" si="88"/>
        <v>1</v>
      </c>
      <c r="AO111" s="1125">
        <f t="shared" si="89"/>
        <v>1</v>
      </c>
      <c r="AP111" s="1125">
        <f t="shared" si="90"/>
        <v>1</v>
      </c>
      <c r="AQ111" s="1125">
        <f t="shared" si="91"/>
        <v>1</v>
      </c>
      <c r="AR111" s="1125">
        <f t="shared" si="92"/>
        <v>1</v>
      </c>
      <c r="AS111" s="1125">
        <f t="shared" si="93"/>
        <v>1</v>
      </c>
      <c r="AT111" s="1125">
        <f t="shared" si="94"/>
        <v>1</v>
      </c>
      <c r="AU111" s="1125">
        <f t="shared" si="95"/>
        <v>1</v>
      </c>
      <c r="AV111" s="1125">
        <f t="shared" si="96"/>
        <v>1</v>
      </c>
      <c r="AW111" s="1125">
        <f t="shared" si="97"/>
        <v>1</v>
      </c>
      <c r="AX111" s="1125">
        <f t="shared" si="98"/>
        <v>1</v>
      </c>
      <c r="AY111" s="1125">
        <f t="shared" si="99"/>
        <v>0</v>
      </c>
      <c r="AZ111" s="1125">
        <f t="shared" si="100"/>
        <v>0</v>
      </c>
      <c r="BA111" s="1125">
        <f t="shared" si="101"/>
        <v>0</v>
      </c>
      <c r="BB111" s="1125">
        <f t="shared" si="102"/>
        <v>0</v>
      </c>
      <c r="BC111" s="1125">
        <f t="shared" si="103"/>
        <v>0</v>
      </c>
      <c r="BD111" s="1125">
        <f t="shared" si="104"/>
        <v>0</v>
      </c>
      <c r="BE111" s="1125">
        <f t="shared" si="105"/>
        <v>1</v>
      </c>
      <c r="BF111" s="1125">
        <f t="shared" si="106"/>
        <v>1</v>
      </c>
      <c r="BG111" s="1125">
        <f t="shared" si="107"/>
        <v>0</v>
      </c>
      <c r="BH111" s="1125">
        <f t="shared" si="108"/>
        <v>0</v>
      </c>
      <c r="BI111" s="1125">
        <f t="shared" si="109"/>
        <v>0</v>
      </c>
      <c r="BJ111" s="1125">
        <f t="shared" si="110"/>
        <v>0</v>
      </c>
      <c r="BK111" s="1125">
        <f t="shared" si="111"/>
        <v>1</v>
      </c>
      <c r="BL111" s="1125">
        <f t="shared" si="112"/>
        <v>1</v>
      </c>
      <c r="BM111" s="1125">
        <f t="shared" si="113"/>
        <v>1</v>
      </c>
      <c r="BN111" s="1125">
        <f t="shared" si="114"/>
        <v>1</v>
      </c>
      <c r="BO111" s="1125">
        <f t="shared" si="115"/>
        <v>1</v>
      </c>
      <c r="BP111" s="1125">
        <f t="shared" si="116"/>
        <v>1</v>
      </c>
      <c r="BQ111" s="1125">
        <f t="shared" si="117"/>
        <v>1</v>
      </c>
      <c r="BR111" s="1125">
        <f t="shared" si="118"/>
        <v>1</v>
      </c>
      <c r="BS111" s="1125">
        <f t="shared" si="119"/>
        <v>1</v>
      </c>
      <c r="BT111" s="1125">
        <f t="shared" si="120"/>
        <v>1</v>
      </c>
      <c r="BU111" s="1125">
        <f t="shared" si="121"/>
        <v>1</v>
      </c>
      <c r="BV111" s="1125">
        <f t="shared" si="122"/>
        <v>1</v>
      </c>
      <c r="BW111" s="1125">
        <f t="shared" si="123"/>
        <v>0</v>
      </c>
      <c r="BX111" s="1125">
        <f t="shared" si="124"/>
        <v>0</v>
      </c>
      <c r="BY111" s="1125">
        <f t="shared" si="125"/>
        <v>0</v>
      </c>
      <c r="BZ111" s="1125">
        <f t="shared" si="126"/>
        <v>0</v>
      </c>
      <c r="CA111" s="1125">
        <f t="shared" si="127"/>
        <v>0</v>
      </c>
      <c r="CB111" s="1125">
        <f t="shared" si="128"/>
        <v>0</v>
      </c>
      <c r="CC111" s="1125">
        <f t="shared" si="129"/>
        <v>1</v>
      </c>
      <c r="CD111" s="1125">
        <f t="shared" si="130"/>
        <v>1</v>
      </c>
      <c r="CE111" s="1125">
        <f t="shared" si="131"/>
        <v>0</v>
      </c>
      <c r="CF111" s="1125">
        <f t="shared" si="132"/>
        <v>0</v>
      </c>
      <c r="CG111" s="1125">
        <f t="shared" si="133"/>
        <v>0</v>
      </c>
      <c r="CH111" s="1125">
        <f t="shared" si="134"/>
        <v>0</v>
      </c>
      <c r="CI111" s="1125">
        <f t="shared" si="135"/>
        <v>0.85</v>
      </c>
      <c r="CJ111" s="1125">
        <f t="shared" si="136"/>
        <v>0.85</v>
      </c>
      <c r="CK111" s="1125">
        <f t="shared" si="137"/>
        <v>0.85</v>
      </c>
      <c r="CL111" s="1125">
        <f t="shared" si="138"/>
        <v>0.85</v>
      </c>
      <c r="CM111" s="1125">
        <f t="shared" si="139"/>
        <v>0.85</v>
      </c>
      <c r="CN111" s="1125">
        <f t="shared" si="140"/>
        <v>0.85</v>
      </c>
      <c r="CO111" s="1125">
        <f t="shared" si="141"/>
        <v>0.85</v>
      </c>
      <c r="CP111" s="1125">
        <f t="shared" si="142"/>
        <v>0.85</v>
      </c>
      <c r="CQ111" s="1125">
        <f t="shared" si="143"/>
        <v>0.85</v>
      </c>
      <c r="CR111" s="1125">
        <f t="shared" si="144"/>
        <v>0.85</v>
      </c>
      <c r="CS111" s="1125">
        <f t="shared" si="145"/>
        <v>0.85</v>
      </c>
      <c r="CT111" s="1125">
        <f t="shared" si="146"/>
        <v>0.85</v>
      </c>
      <c r="CU111" s="1125">
        <v>1</v>
      </c>
      <c r="CV111" s="1125"/>
      <c r="CW111" s="1125">
        <f t="shared" si="147"/>
        <v>62</v>
      </c>
      <c r="CX111" s="1125">
        <f t="shared" si="148"/>
        <v>303</v>
      </c>
      <c r="CY111" s="1135" t="s">
        <v>4893</v>
      </c>
      <c r="CZ111" s="1124" t="s">
        <v>4894</v>
      </c>
      <c r="DA111" s="1124"/>
      <c r="DB111" s="1124"/>
      <c r="DC111" s="1120" t="s">
        <v>5651</v>
      </c>
      <c r="DD111" s="1120" t="s">
        <v>238</v>
      </c>
      <c r="DE111" s="1120" t="str">
        <f t="shared" si="149"/>
        <v/>
      </c>
      <c r="DF111" s="1133">
        <v>0</v>
      </c>
      <c r="DG111" s="1120">
        <v>0</v>
      </c>
    </row>
    <row r="112" spans="1:111">
      <c r="A112" s="1125" t="s">
        <v>3048</v>
      </c>
      <c r="B112" s="1125" t="s">
        <v>4010</v>
      </c>
      <c r="C112" s="1125" t="s">
        <v>4011</v>
      </c>
      <c r="D112" s="1125" t="s">
        <v>771</v>
      </c>
      <c r="E112" s="1125">
        <v>2309</v>
      </c>
      <c r="F112" s="1125">
        <v>-99.33</v>
      </c>
      <c r="G112" s="1125">
        <v>40.450000000000003</v>
      </c>
      <c r="H112" s="1125">
        <v>-6</v>
      </c>
      <c r="I112" s="1126">
        <v>4.640000343322753</v>
      </c>
      <c r="J112" s="1126">
        <v>91.579997253417972</v>
      </c>
      <c r="K112" s="1127">
        <v>71.239998626708982</v>
      </c>
      <c r="L112" s="1125">
        <v>6478.2</v>
      </c>
      <c r="M112" s="1125">
        <v>889.2</v>
      </c>
      <c r="N112" s="1128">
        <v>24.440000343322755</v>
      </c>
      <c r="O112" s="1128">
        <v>26.6</v>
      </c>
      <c r="P112" s="1128">
        <v>40.820000171661377</v>
      </c>
      <c r="Q112" s="1128">
        <v>50.540000343322752</v>
      </c>
      <c r="R112" s="1128">
        <v>57.919999313354495</v>
      </c>
      <c r="S112" s="1128">
        <v>69.619999313354498</v>
      </c>
      <c r="T112" s="1128">
        <v>72.5</v>
      </c>
      <c r="U112" s="1128">
        <v>72.5</v>
      </c>
      <c r="V112" s="1128">
        <v>65.119999313354498</v>
      </c>
      <c r="W112" s="1128">
        <v>45.140000343322754</v>
      </c>
      <c r="X112" s="1128">
        <v>35.23999991416931</v>
      </c>
      <c r="Y112" s="1128">
        <v>27.320000171661377</v>
      </c>
      <c r="Z112" s="1128">
        <v>49.096547882654896</v>
      </c>
      <c r="AA112" s="1128">
        <f t="shared" si="75"/>
        <v>45.663349014197763</v>
      </c>
      <c r="AB112" s="1128">
        <f t="shared" si="76"/>
        <v>44.259862461436249</v>
      </c>
      <c r="AC112" s="1128">
        <f t="shared" si="77"/>
        <v>45.681124962092717</v>
      </c>
      <c r="AD112" s="1128">
        <f t="shared" si="78"/>
        <v>49.556662543052944</v>
      </c>
      <c r="AE112" s="1128">
        <f t="shared" si="79"/>
        <v>54.876256609997697</v>
      </c>
      <c r="AF112" s="1128">
        <f t="shared" si="80"/>
        <v>60.253272991951818</v>
      </c>
      <c r="AG112" s="1128">
        <f t="shared" si="81"/>
        <v>64.286109506628307</v>
      </c>
      <c r="AH112" s="1128">
        <f t="shared" si="82"/>
        <v>65.923545168584823</v>
      </c>
      <c r="AI112" s="1128">
        <f t="shared" si="83"/>
        <v>64.738757138885063</v>
      </c>
      <c r="AJ112" s="1128">
        <f t="shared" si="84"/>
        <v>61.040578675606461</v>
      </c>
      <c r="AK112" s="1128">
        <f t="shared" si="85"/>
        <v>55.792996985857798</v>
      </c>
      <c r="AL112" s="1128">
        <f t="shared" si="86"/>
        <v>50.363875104753731</v>
      </c>
      <c r="AM112" s="1125">
        <f t="shared" si="87"/>
        <v>1</v>
      </c>
      <c r="AN112" s="1125">
        <f t="shared" si="88"/>
        <v>1</v>
      </c>
      <c r="AO112" s="1125">
        <f t="shared" si="89"/>
        <v>1</v>
      </c>
      <c r="AP112" s="1125">
        <f t="shared" si="90"/>
        <v>1</v>
      </c>
      <c r="AQ112" s="1125">
        <f t="shared" si="91"/>
        <v>1</v>
      </c>
      <c r="AR112" s="1125">
        <f t="shared" si="92"/>
        <v>0</v>
      </c>
      <c r="AS112" s="1125">
        <f t="shared" si="93"/>
        <v>0</v>
      </c>
      <c r="AT112" s="1125">
        <f t="shared" si="94"/>
        <v>0</v>
      </c>
      <c r="AU112" s="1125">
        <f t="shared" si="95"/>
        <v>1</v>
      </c>
      <c r="AV112" s="1125">
        <f t="shared" si="96"/>
        <v>1</v>
      </c>
      <c r="AW112" s="1125">
        <f t="shared" si="97"/>
        <v>1</v>
      </c>
      <c r="AX112" s="1125">
        <f t="shared" si="98"/>
        <v>1</v>
      </c>
      <c r="AY112" s="1125">
        <f t="shared" si="99"/>
        <v>0</v>
      </c>
      <c r="AZ112" s="1125">
        <f t="shared" si="100"/>
        <v>0</v>
      </c>
      <c r="BA112" s="1125">
        <f t="shared" si="101"/>
        <v>0</v>
      </c>
      <c r="BB112" s="1125">
        <f t="shared" si="102"/>
        <v>0</v>
      </c>
      <c r="BC112" s="1125">
        <f t="shared" si="103"/>
        <v>0</v>
      </c>
      <c r="BD112" s="1125">
        <f t="shared" si="104"/>
        <v>1</v>
      </c>
      <c r="BE112" s="1125">
        <f t="shared" si="105"/>
        <v>1</v>
      </c>
      <c r="BF112" s="1125">
        <f t="shared" si="106"/>
        <v>1</v>
      </c>
      <c r="BG112" s="1125">
        <f t="shared" si="107"/>
        <v>0</v>
      </c>
      <c r="BH112" s="1125">
        <f t="shared" si="108"/>
        <v>0</v>
      </c>
      <c r="BI112" s="1125">
        <f t="shared" si="109"/>
        <v>0</v>
      </c>
      <c r="BJ112" s="1125">
        <f t="shared" si="110"/>
        <v>0</v>
      </c>
      <c r="BK112" s="1125">
        <f t="shared" si="111"/>
        <v>1</v>
      </c>
      <c r="BL112" s="1125">
        <f t="shared" si="112"/>
        <v>1</v>
      </c>
      <c r="BM112" s="1125">
        <f t="shared" si="113"/>
        <v>1</v>
      </c>
      <c r="BN112" s="1125">
        <f t="shared" si="114"/>
        <v>1</v>
      </c>
      <c r="BO112" s="1125">
        <f t="shared" si="115"/>
        <v>1</v>
      </c>
      <c r="BP112" s="1125">
        <f t="shared" si="116"/>
        <v>1</v>
      </c>
      <c r="BQ112" s="1125">
        <f t="shared" si="117"/>
        <v>0</v>
      </c>
      <c r="BR112" s="1125">
        <f t="shared" si="118"/>
        <v>0</v>
      </c>
      <c r="BS112" s="1125">
        <f t="shared" si="119"/>
        <v>1</v>
      </c>
      <c r="BT112" s="1125">
        <f t="shared" si="120"/>
        <v>1</v>
      </c>
      <c r="BU112" s="1125">
        <f t="shared" si="121"/>
        <v>1</v>
      </c>
      <c r="BV112" s="1125">
        <f t="shared" si="122"/>
        <v>1</v>
      </c>
      <c r="BW112" s="1125">
        <f t="shared" si="123"/>
        <v>0</v>
      </c>
      <c r="BX112" s="1125">
        <f t="shared" si="124"/>
        <v>0</v>
      </c>
      <c r="BY112" s="1125">
        <f t="shared" si="125"/>
        <v>0</v>
      </c>
      <c r="BZ112" s="1125">
        <f t="shared" si="126"/>
        <v>0</v>
      </c>
      <c r="CA112" s="1125">
        <f t="shared" si="127"/>
        <v>1</v>
      </c>
      <c r="CB112" s="1125">
        <f t="shared" si="128"/>
        <v>1</v>
      </c>
      <c r="CC112" s="1125">
        <f t="shared" si="129"/>
        <v>1</v>
      </c>
      <c r="CD112" s="1125">
        <f t="shared" si="130"/>
        <v>1</v>
      </c>
      <c r="CE112" s="1125">
        <f t="shared" si="131"/>
        <v>1</v>
      </c>
      <c r="CF112" s="1125">
        <f t="shared" si="132"/>
        <v>0</v>
      </c>
      <c r="CG112" s="1125">
        <f t="shared" si="133"/>
        <v>0</v>
      </c>
      <c r="CH112" s="1125">
        <f t="shared" si="134"/>
        <v>0</v>
      </c>
      <c r="CI112" s="1125">
        <f t="shared" si="135"/>
        <v>0.85</v>
      </c>
      <c r="CJ112" s="1125">
        <f t="shared" si="136"/>
        <v>0.85</v>
      </c>
      <c r="CK112" s="1125">
        <f t="shared" si="137"/>
        <v>0.85</v>
      </c>
      <c r="CL112" s="1125">
        <f t="shared" si="138"/>
        <v>0.85</v>
      </c>
      <c r="CM112" s="1125">
        <f t="shared" si="139"/>
        <v>0.85</v>
      </c>
      <c r="CN112" s="1125">
        <f t="shared" si="140"/>
        <v>0.85</v>
      </c>
      <c r="CO112" s="1125">
        <f t="shared" si="141"/>
        <v>0.7</v>
      </c>
      <c r="CP112" s="1125">
        <f t="shared" si="142"/>
        <v>0.7</v>
      </c>
      <c r="CQ112" s="1125">
        <f t="shared" si="143"/>
        <v>0.85</v>
      </c>
      <c r="CR112" s="1125">
        <f t="shared" si="144"/>
        <v>0.85</v>
      </c>
      <c r="CS112" s="1125">
        <f t="shared" si="145"/>
        <v>0.85</v>
      </c>
      <c r="CT112" s="1125">
        <f t="shared" si="146"/>
        <v>0.85</v>
      </c>
      <c r="CU112" s="1125">
        <v>1</v>
      </c>
      <c r="CV112" s="1125"/>
      <c r="CW112" s="1125">
        <f t="shared" si="147"/>
        <v>153</v>
      </c>
      <c r="CX112" s="1125">
        <f t="shared" si="148"/>
        <v>212</v>
      </c>
      <c r="CY112" s="1135" t="s">
        <v>4889</v>
      </c>
      <c r="CZ112" s="1124" t="s">
        <v>4897</v>
      </c>
      <c r="DA112" s="1124"/>
      <c r="DB112" s="1124"/>
      <c r="DC112" s="1120" t="s">
        <v>5414</v>
      </c>
      <c r="DD112" s="1120" t="s">
        <v>771</v>
      </c>
      <c r="DE112" s="1120" t="str">
        <f t="shared" si="149"/>
        <v/>
      </c>
      <c r="DF112" s="1133">
        <v>0</v>
      </c>
      <c r="DG112" s="1125">
        <v>0</v>
      </c>
    </row>
    <row r="113" spans="1:111">
      <c r="A113" s="1120" t="s">
        <v>3062</v>
      </c>
      <c r="B113" s="1120" t="s">
        <v>3248</v>
      </c>
      <c r="C113" s="1120" t="s">
        <v>3249</v>
      </c>
      <c r="D113" s="1120" t="s">
        <v>620</v>
      </c>
      <c r="E113" s="1120">
        <v>10</v>
      </c>
      <c r="F113" s="1120">
        <v>-73.150000000000006</v>
      </c>
      <c r="G113" s="1120">
        <v>41.18</v>
      </c>
      <c r="H113" s="1120">
        <v>-5</v>
      </c>
      <c r="I113" s="1121">
        <v>15.440000343322753</v>
      </c>
      <c r="J113" s="1121">
        <v>84.380000686645502</v>
      </c>
      <c r="K113" s="1122">
        <v>71.599999999999994</v>
      </c>
      <c r="L113" s="1120">
        <v>5337</v>
      </c>
      <c r="M113" s="1120">
        <v>808.2</v>
      </c>
      <c r="N113" s="1123">
        <v>26.779999828338624</v>
      </c>
      <c r="O113" s="1123">
        <v>31.459999978542328</v>
      </c>
      <c r="P113" s="1123">
        <v>38.120000171661374</v>
      </c>
      <c r="Q113" s="1123">
        <v>48.740000343322755</v>
      </c>
      <c r="R113" s="1123">
        <v>57.919999313354495</v>
      </c>
      <c r="S113" s="1123">
        <v>68.360001373291013</v>
      </c>
      <c r="T113" s="1123">
        <v>73.219999313354492</v>
      </c>
      <c r="U113" s="1123">
        <v>72.680000686645513</v>
      </c>
      <c r="V113" s="1123">
        <v>66.739998626708982</v>
      </c>
      <c r="W113" s="1123">
        <v>55.4</v>
      </c>
      <c r="X113" s="1123">
        <v>46.759999656677245</v>
      </c>
      <c r="Y113" s="1123">
        <v>36.320000171661377</v>
      </c>
      <c r="Z113" s="1123">
        <v>51.979506803930626</v>
      </c>
      <c r="AA113" s="1123">
        <f t="shared" si="75"/>
        <v>48.021553663937226</v>
      </c>
      <c r="AB113" s="1123">
        <f t="shared" si="76"/>
        <v>46.853307102694657</v>
      </c>
      <c r="AC113" s="1123">
        <f t="shared" si="77"/>
        <v>48.585275953506695</v>
      </c>
      <c r="AD113" s="1123">
        <f t="shared" si="78"/>
        <v>52.765995844961267</v>
      </c>
      <c r="AE113" s="1123">
        <f t="shared" si="79"/>
        <v>58.305697710507033</v>
      </c>
      <c r="AF113" s="1123">
        <f t="shared" si="80"/>
        <v>63.760372889499628</v>
      </c>
      <c r="AG113" s="1123">
        <f t="shared" si="81"/>
        <v>67.708176237445684</v>
      </c>
      <c r="AH113" s="1123">
        <f t="shared" si="82"/>
        <v>69.120051974211918</v>
      </c>
      <c r="AI113" s="1123">
        <f t="shared" si="83"/>
        <v>67.62797293134652</v>
      </c>
      <c r="AJ113" s="1123">
        <f t="shared" si="84"/>
        <v>63.620872505006425</v>
      </c>
      <c r="AK113" s="1123">
        <f t="shared" si="85"/>
        <v>58.14326317260393</v>
      </c>
      <c r="AL113" s="1123">
        <f t="shared" si="86"/>
        <v>52.62296821914471</v>
      </c>
      <c r="AM113" s="1120">
        <f t="shared" si="87"/>
        <v>1</v>
      </c>
      <c r="AN113" s="1120">
        <f t="shared" si="88"/>
        <v>1</v>
      </c>
      <c r="AO113" s="1120">
        <f t="shared" si="89"/>
        <v>1</v>
      </c>
      <c r="AP113" s="1120">
        <f t="shared" si="90"/>
        <v>1</v>
      </c>
      <c r="AQ113" s="1120">
        <f t="shared" si="91"/>
        <v>1</v>
      </c>
      <c r="AR113" s="1120">
        <f t="shared" si="92"/>
        <v>0</v>
      </c>
      <c r="AS113" s="1120">
        <f t="shared" si="93"/>
        <v>0</v>
      </c>
      <c r="AT113" s="1120">
        <f t="shared" si="94"/>
        <v>0</v>
      </c>
      <c r="AU113" s="1120">
        <f t="shared" si="95"/>
        <v>0</v>
      </c>
      <c r="AV113" s="1120">
        <f t="shared" si="96"/>
        <v>1</v>
      </c>
      <c r="AW113" s="1120">
        <f t="shared" si="97"/>
        <v>1</v>
      </c>
      <c r="AX113" s="1120">
        <f t="shared" si="98"/>
        <v>1</v>
      </c>
      <c r="AY113" s="1120">
        <f t="shared" si="99"/>
        <v>0</v>
      </c>
      <c r="AZ113" s="1120">
        <f t="shared" si="100"/>
        <v>0</v>
      </c>
      <c r="BA113" s="1120">
        <f t="shared" si="101"/>
        <v>0</v>
      </c>
      <c r="BB113" s="1120">
        <f t="shared" si="102"/>
        <v>0</v>
      </c>
      <c r="BC113" s="1120">
        <f t="shared" si="103"/>
        <v>0</v>
      </c>
      <c r="BD113" s="1120">
        <f t="shared" si="104"/>
        <v>1</v>
      </c>
      <c r="BE113" s="1120">
        <f t="shared" si="105"/>
        <v>1</v>
      </c>
      <c r="BF113" s="1120">
        <f t="shared" si="106"/>
        <v>1</v>
      </c>
      <c r="BG113" s="1120">
        <f t="shared" si="107"/>
        <v>1</v>
      </c>
      <c r="BH113" s="1120">
        <f t="shared" si="108"/>
        <v>0</v>
      </c>
      <c r="BI113" s="1120">
        <f t="shared" si="109"/>
        <v>0</v>
      </c>
      <c r="BJ113" s="1120">
        <f t="shared" si="110"/>
        <v>0</v>
      </c>
      <c r="BK113" s="1120">
        <f t="shared" si="111"/>
        <v>1</v>
      </c>
      <c r="BL113" s="1120">
        <f t="shared" si="112"/>
        <v>1</v>
      </c>
      <c r="BM113" s="1120">
        <f t="shared" si="113"/>
        <v>1</v>
      </c>
      <c r="BN113" s="1120">
        <f t="shared" si="114"/>
        <v>1</v>
      </c>
      <c r="BO113" s="1120">
        <f t="shared" si="115"/>
        <v>1</v>
      </c>
      <c r="BP113" s="1120">
        <f t="shared" si="116"/>
        <v>1</v>
      </c>
      <c r="BQ113" s="1120">
        <f t="shared" si="117"/>
        <v>0</v>
      </c>
      <c r="BR113" s="1120">
        <f t="shared" si="118"/>
        <v>0</v>
      </c>
      <c r="BS113" s="1120">
        <f t="shared" si="119"/>
        <v>0</v>
      </c>
      <c r="BT113" s="1120">
        <f t="shared" si="120"/>
        <v>1</v>
      </c>
      <c r="BU113" s="1120">
        <f t="shared" si="121"/>
        <v>1</v>
      </c>
      <c r="BV113" s="1120">
        <f t="shared" si="122"/>
        <v>1</v>
      </c>
      <c r="BW113" s="1120">
        <f t="shared" si="123"/>
        <v>0</v>
      </c>
      <c r="BX113" s="1120">
        <f t="shared" si="124"/>
        <v>0</v>
      </c>
      <c r="BY113" s="1120">
        <f t="shared" si="125"/>
        <v>0</v>
      </c>
      <c r="BZ113" s="1120">
        <f t="shared" si="126"/>
        <v>0</v>
      </c>
      <c r="CA113" s="1120">
        <f t="shared" si="127"/>
        <v>1</v>
      </c>
      <c r="CB113" s="1120">
        <f t="shared" si="128"/>
        <v>1</v>
      </c>
      <c r="CC113" s="1120">
        <f t="shared" si="129"/>
        <v>1</v>
      </c>
      <c r="CD113" s="1120">
        <f t="shared" si="130"/>
        <v>1</v>
      </c>
      <c r="CE113" s="1120">
        <f t="shared" si="131"/>
        <v>1</v>
      </c>
      <c r="CF113" s="1120">
        <f t="shared" si="132"/>
        <v>1</v>
      </c>
      <c r="CG113" s="1120">
        <f t="shared" si="133"/>
        <v>0</v>
      </c>
      <c r="CH113" s="1120">
        <f t="shared" si="134"/>
        <v>0</v>
      </c>
      <c r="CI113" s="1120">
        <f t="shared" si="135"/>
        <v>0.85</v>
      </c>
      <c r="CJ113" s="1120">
        <f t="shared" si="136"/>
        <v>0.85</v>
      </c>
      <c r="CK113" s="1120">
        <f t="shared" si="137"/>
        <v>0.85</v>
      </c>
      <c r="CL113" s="1120">
        <f t="shared" si="138"/>
        <v>0.85</v>
      </c>
      <c r="CM113" s="1120">
        <f t="shared" si="139"/>
        <v>0.85</v>
      </c>
      <c r="CN113" s="1120">
        <f t="shared" si="140"/>
        <v>0.85</v>
      </c>
      <c r="CO113" s="1120">
        <f t="shared" si="141"/>
        <v>0.7</v>
      </c>
      <c r="CP113" s="1120">
        <f t="shared" si="142"/>
        <v>0.7</v>
      </c>
      <c r="CQ113" s="1120">
        <f t="shared" si="143"/>
        <v>0.7</v>
      </c>
      <c r="CR113" s="1120">
        <f t="shared" si="144"/>
        <v>0.85</v>
      </c>
      <c r="CS113" s="1120">
        <f t="shared" si="145"/>
        <v>0.85</v>
      </c>
      <c r="CT113" s="1120">
        <f t="shared" si="146"/>
        <v>0.85</v>
      </c>
      <c r="CU113" s="1120">
        <v>1</v>
      </c>
      <c r="CV113" s="1120"/>
      <c r="CW113" s="1120">
        <f t="shared" si="147"/>
        <v>184</v>
      </c>
      <c r="CX113" s="1120">
        <f t="shared" si="148"/>
        <v>181</v>
      </c>
      <c r="CY113" s="1135" t="s">
        <v>4889</v>
      </c>
      <c r="CZ113" s="1124" t="s">
        <v>4897</v>
      </c>
      <c r="DA113" s="1124"/>
      <c r="DB113" s="1124"/>
      <c r="DC113" s="1120" t="s">
        <v>5083</v>
      </c>
      <c r="DD113" s="1120" t="s">
        <v>620</v>
      </c>
      <c r="DE113" s="1120" t="str">
        <f t="shared" si="149"/>
        <v/>
      </c>
      <c r="DF113" s="1133">
        <v>0</v>
      </c>
      <c r="DG113" s="1120">
        <v>0</v>
      </c>
    </row>
    <row r="114" spans="1:111">
      <c r="A114" s="1125" t="s">
        <v>3050</v>
      </c>
      <c r="B114" s="1125" t="s">
        <v>4336</v>
      </c>
      <c r="C114" s="1125" t="s">
        <v>4337</v>
      </c>
      <c r="D114" s="1125" t="s">
        <v>560</v>
      </c>
      <c r="E114" s="1125">
        <v>1499</v>
      </c>
      <c r="F114" s="1125">
        <v>-82.4</v>
      </c>
      <c r="G114" s="1125">
        <v>36.47</v>
      </c>
      <c r="H114" s="1125">
        <v>-5</v>
      </c>
      <c r="I114" s="1126">
        <v>16.880000686645506</v>
      </c>
      <c r="J114" s="1126">
        <v>87.439998626708984</v>
      </c>
      <c r="K114" s="1127">
        <v>71.599999999999994</v>
      </c>
      <c r="L114" s="1125">
        <v>4284</v>
      </c>
      <c r="M114" s="1125">
        <v>968.4</v>
      </c>
      <c r="N114" s="1128">
        <v>34.519999957084657</v>
      </c>
      <c r="O114" s="1128">
        <v>35.419999957084656</v>
      </c>
      <c r="P114" s="1128">
        <v>48.2</v>
      </c>
      <c r="Q114" s="1128">
        <v>55.580000686645505</v>
      </c>
      <c r="R114" s="1128">
        <v>63.86000137329102</v>
      </c>
      <c r="S114" s="1128">
        <v>71.419999313354495</v>
      </c>
      <c r="T114" s="1128">
        <v>73.580000686645505</v>
      </c>
      <c r="U114" s="1128">
        <v>73.219999313354492</v>
      </c>
      <c r="V114" s="1128">
        <v>67.460001373291021</v>
      </c>
      <c r="W114" s="1128">
        <v>55.219999313354492</v>
      </c>
      <c r="X114" s="1128">
        <v>48.559999656677249</v>
      </c>
      <c r="Y114" s="1128">
        <v>35.6</v>
      </c>
      <c r="Z114" s="1128">
        <v>55.322082327816588</v>
      </c>
      <c r="AA114" s="1128">
        <f t="shared" si="75"/>
        <v>52.119523493819713</v>
      </c>
      <c r="AB114" s="1128">
        <f t="shared" si="76"/>
        <v>51.358141551327151</v>
      </c>
      <c r="AC114" s="1128">
        <f t="shared" si="77"/>
        <v>53.19401432120182</v>
      </c>
      <c r="AD114" s="1128">
        <f t="shared" si="78"/>
        <v>57.148593274320113</v>
      </c>
      <c r="AE114" s="1128">
        <f t="shared" si="79"/>
        <v>62.191056464645392</v>
      </c>
      <c r="AF114" s="1128">
        <f t="shared" si="80"/>
        <v>67.007008154909443</v>
      </c>
      <c r="AG114" s="1128">
        <f t="shared" si="81"/>
        <v>70.341096320982885</v>
      </c>
      <c r="AH114" s="1128">
        <f t="shared" si="82"/>
        <v>71.324239502524804</v>
      </c>
      <c r="AI114" s="1128">
        <f t="shared" si="83"/>
        <v>69.700166278571245</v>
      </c>
      <c r="AJ114" s="1128">
        <f t="shared" si="84"/>
        <v>65.892216362671661</v>
      </c>
      <c r="AK114" s="1128">
        <f t="shared" si="85"/>
        <v>60.892990582689798</v>
      </c>
      <c r="AL114" s="1128">
        <f t="shared" si="86"/>
        <v>56.005614178579187</v>
      </c>
      <c r="AM114" s="1125">
        <f t="shared" si="87"/>
        <v>1</v>
      </c>
      <c r="AN114" s="1125">
        <f t="shared" si="88"/>
        <v>1</v>
      </c>
      <c r="AO114" s="1125">
        <f t="shared" si="89"/>
        <v>1</v>
      </c>
      <c r="AP114" s="1125">
        <f t="shared" si="90"/>
        <v>1</v>
      </c>
      <c r="AQ114" s="1125">
        <f t="shared" si="91"/>
        <v>1</v>
      </c>
      <c r="AR114" s="1125">
        <f t="shared" si="92"/>
        <v>0</v>
      </c>
      <c r="AS114" s="1125">
        <f t="shared" si="93"/>
        <v>0</v>
      </c>
      <c r="AT114" s="1125">
        <f t="shared" si="94"/>
        <v>0</v>
      </c>
      <c r="AU114" s="1125">
        <f t="shared" si="95"/>
        <v>0</v>
      </c>
      <c r="AV114" s="1125">
        <f t="shared" si="96"/>
        <v>1</v>
      </c>
      <c r="AW114" s="1125">
        <f t="shared" si="97"/>
        <v>1</v>
      </c>
      <c r="AX114" s="1125">
        <f t="shared" si="98"/>
        <v>1</v>
      </c>
      <c r="AY114" s="1125">
        <f t="shared" si="99"/>
        <v>0</v>
      </c>
      <c r="AZ114" s="1125">
        <f t="shared" si="100"/>
        <v>0</v>
      </c>
      <c r="BA114" s="1125">
        <f t="shared" si="101"/>
        <v>0</v>
      </c>
      <c r="BB114" s="1125">
        <f t="shared" si="102"/>
        <v>0</v>
      </c>
      <c r="BC114" s="1125">
        <f t="shared" si="103"/>
        <v>0</v>
      </c>
      <c r="BD114" s="1125">
        <f t="shared" si="104"/>
        <v>1</v>
      </c>
      <c r="BE114" s="1125">
        <f t="shared" si="105"/>
        <v>1</v>
      </c>
      <c r="BF114" s="1125">
        <f t="shared" si="106"/>
        <v>1</v>
      </c>
      <c r="BG114" s="1125">
        <f t="shared" si="107"/>
        <v>1</v>
      </c>
      <c r="BH114" s="1125">
        <f t="shared" si="108"/>
        <v>0</v>
      </c>
      <c r="BI114" s="1125">
        <f t="shared" si="109"/>
        <v>0</v>
      </c>
      <c r="BJ114" s="1125">
        <f t="shared" si="110"/>
        <v>0</v>
      </c>
      <c r="BK114" s="1125">
        <f t="shared" si="111"/>
        <v>1</v>
      </c>
      <c r="BL114" s="1125">
        <f t="shared" si="112"/>
        <v>1</v>
      </c>
      <c r="BM114" s="1125">
        <f t="shared" si="113"/>
        <v>1</v>
      </c>
      <c r="BN114" s="1125">
        <f t="shared" si="114"/>
        <v>1</v>
      </c>
      <c r="BO114" s="1125">
        <f t="shared" si="115"/>
        <v>1</v>
      </c>
      <c r="BP114" s="1125">
        <f t="shared" si="116"/>
        <v>1</v>
      </c>
      <c r="BQ114" s="1125">
        <f t="shared" si="117"/>
        <v>0</v>
      </c>
      <c r="BR114" s="1125">
        <f t="shared" si="118"/>
        <v>0</v>
      </c>
      <c r="BS114" s="1125">
        <f t="shared" si="119"/>
        <v>0</v>
      </c>
      <c r="BT114" s="1125">
        <f t="shared" si="120"/>
        <v>1</v>
      </c>
      <c r="BU114" s="1125">
        <f t="shared" si="121"/>
        <v>1</v>
      </c>
      <c r="BV114" s="1125">
        <f t="shared" si="122"/>
        <v>1</v>
      </c>
      <c r="BW114" s="1125">
        <f t="shared" si="123"/>
        <v>0</v>
      </c>
      <c r="BX114" s="1125">
        <f t="shared" si="124"/>
        <v>0</v>
      </c>
      <c r="BY114" s="1125">
        <f t="shared" si="125"/>
        <v>0</v>
      </c>
      <c r="BZ114" s="1125">
        <f t="shared" si="126"/>
        <v>0</v>
      </c>
      <c r="CA114" s="1125">
        <f t="shared" si="127"/>
        <v>1</v>
      </c>
      <c r="CB114" s="1125">
        <f t="shared" si="128"/>
        <v>1</v>
      </c>
      <c r="CC114" s="1125">
        <f t="shared" si="129"/>
        <v>1</v>
      </c>
      <c r="CD114" s="1125">
        <f t="shared" si="130"/>
        <v>1</v>
      </c>
      <c r="CE114" s="1125">
        <f t="shared" si="131"/>
        <v>1</v>
      </c>
      <c r="CF114" s="1125">
        <f t="shared" si="132"/>
        <v>1</v>
      </c>
      <c r="CG114" s="1125">
        <f t="shared" si="133"/>
        <v>0</v>
      </c>
      <c r="CH114" s="1125">
        <f t="shared" si="134"/>
        <v>0</v>
      </c>
      <c r="CI114" s="1125">
        <f t="shared" si="135"/>
        <v>0.85</v>
      </c>
      <c r="CJ114" s="1125">
        <f t="shared" si="136"/>
        <v>0.85</v>
      </c>
      <c r="CK114" s="1125">
        <f t="shared" si="137"/>
        <v>0.85</v>
      </c>
      <c r="CL114" s="1125">
        <f t="shared" si="138"/>
        <v>0.85</v>
      </c>
      <c r="CM114" s="1125">
        <f t="shared" si="139"/>
        <v>0.85</v>
      </c>
      <c r="CN114" s="1125">
        <f t="shared" si="140"/>
        <v>0.85</v>
      </c>
      <c r="CO114" s="1125">
        <f t="shared" si="141"/>
        <v>0.7</v>
      </c>
      <c r="CP114" s="1125">
        <f t="shared" si="142"/>
        <v>0.7</v>
      </c>
      <c r="CQ114" s="1125">
        <f t="shared" si="143"/>
        <v>0.7</v>
      </c>
      <c r="CR114" s="1125">
        <f t="shared" si="144"/>
        <v>0.85</v>
      </c>
      <c r="CS114" s="1125">
        <f t="shared" si="145"/>
        <v>0.85</v>
      </c>
      <c r="CT114" s="1125">
        <f t="shared" si="146"/>
        <v>0.85</v>
      </c>
      <c r="CU114" s="1125">
        <v>1</v>
      </c>
      <c r="CV114" s="1125"/>
      <c r="CW114" s="1125">
        <f t="shared" si="147"/>
        <v>184</v>
      </c>
      <c r="CX114" s="1125">
        <f t="shared" si="148"/>
        <v>181</v>
      </c>
      <c r="CY114" s="1136" t="s">
        <v>4881</v>
      </c>
      <c r="CZ114" s="1129" t="s">
        <v>4885</v>
      </c>
      <c r="DA114" s="1129"/>
      <c r="DB114" s="1129"/>
      <c r="DC114" s="1125" t="s">
        <v>5565</v>
      </c>
      <c r="DD114" s="1125" t="s">
        <v>560</v>
      </c>
      <c r="DE114" s="1120" t="str">
        <f t="shared" si="149"/>
        <v/>
      </c>
      <c r="DF114" s="1133">
        <v>0</v>
      </c>
      <c r="DG114" s="1125">
        <v>0</v>
      </c>
    </row>
    <row r="115" spans="1:111">
      <c r="A115" s="1120" t="s">
        <v>3052</v>
      </c>
      <c r="B115" s="1120" t="s">
        <v>3996</v>
      </c>
      <c r="C115" s="1120" t="s">
        <v>3997</v>
      </c>
      <c r="D115" s="1120" t="s">
        <v>771</v>
      </c>
      <c r="E115" s="1120">
        <v>2545</v>
      </c>
      <c r="F115" s="1120">
        <v>-99.65</v>
      </c>
      <c r="G115" s="1120">
        <v>41.43</v>
      </c>
      <c r="H115" s="1120">
        <v>-6</v>
      </c>
      <c r="I115" s="1121">
        <v>-16.780000686645508</v>
      </c>
      <c r="J115" s="1121">
        <v>94.100000000000009</v>
      </c>
      <c r="K115" s="1122">
        <v>73.039998626708979</v>
      </c>
      <c r="L115" s="1120">
        <v>6732</v>
      </c>
      <c r="M115" s="1120">
        <v>793.80000000000007</v>
      </c>
      <c r="N115" s="1123">
        <v>22.1</v>
      </c>
      <c r="O115" s="1123">
        <v>29.119999957084655</v>
      </c>
      <c r="P115" s="1123">
        <v>29.119999957084655</v>
      </c>
      <c r="Q115" s="1123">
        <v>49.1</v>
      </c>
      <c r="R115" s="1123">
        <v>57.559999656677249</v>
      </c>
      <c r="S115" s="1123">
        <v>66.2</v>
      </c>
      <c r="T115" s="1123">
        <v>71.060001373291016</v>
      </c>
      <c r="U115" s="1123">
        <v>75.2</v>
      </c>
      <c r="V115" s="1123">
        <v>63.86000137329102</v>
      </c>
      <c r="W115" s="1123">
        <v>48.559999656677249</v>
      </c>
      <c r="X115" s="1123">
        <v>34.519999957084657</v>
      </c>
      <c r="Y115" s="1123">
        <v>30.2</v>
      </c>
      <c r="Z115" s="1123">
        <v>48.146739886754183</v>
      </c>
      <c r="AA115" s="1123">
        <f t="shared" si="75"/>
        <v>44.039459305639632</v>
      </c>
      <c r="AB115" s="1123">
        <f t="shared" si="76"/>
        <v>42.427044009581913</v>
      </c>
      <c r="AC115" s="1123">
        <f t="shared" si="77"/>
        <v>43.869548049889502</v>
      </c>
      <c r="AD115" s="1123">
        <f t="shared" si="78"/>
        <v>47.990960518796101</v>
      </c>
      <c r="AE115" s="1123">
        <f t="shared" si="79"/>
        <v>53.716971743392513</v>
      </c>
      <c r="AF115" s="1123">
        <f t="shared" si="80"/>
        <v>59.555008657483711</v>
      </c>
      <c r="AG115" s="1123">
        <f t="shared" si="81"/>
        <v>63.983296972539705</v>
      </c>
      <c r="AH115" s="1123">
        <f t="shared" si="82"/>
        <v>65.847535097252546</v>
      </c>
      <c r="AI115" s="1123">
        <f t="shared" si="83"/>
        <v>64.661780635636703</v>
      </c>
      <c r="AJ115" s="1123">
        <f t="shared" si="84"/>
        <v>60.735118761141742</v>
      </c>
      <c r="AK115" s="1123">
        <f t="shared" si="85"/>
        <v>55.091094403045922</v>
      </c>
      <c r="AL115" s="1123">
        <f t="shared" si="86"/>
        <v>49.200909487335039</v>
      </c>
      <c r="AM115" s="1120">
        <f t="shared" si="87"/>
        <v>1</v>
      </c>
      <c r="AN115" s="1120">
        <f t="shared" si="88"/>
        <v>1</v>
      </c>
      <c r="AO115" s="1120">
        <f t="shared" si="89"/>
        <v>1</v>
      </c>
      <c r="AP115" s="1120">
        <f t="shared" si="90"/>
        <v>1</v>
      </c>
      <c r="AQ115" s="1120">
        <f t="shared" si="91"/>
        <v>1</v>
      </c>
      <c r="AR115" s="1120">
        <f t="shared" si="92"/>
        <v>0</v>
      </c>
      <c r="AS115" s="1120">
        <f t="shared" si="93"/>
        <v>0</v>
      </c>
      <c r="AT115" s="1120">
        <f t="shared" si="94"/>
        <v>0</v>
      </c>
      <c r="AU115" s="1120">
        <f t="shared" si="95"/>
        <v>1</v>
      </c>
      <c r="AV115" s="1120">
        <f t="shared" si="96"/>
        <v>1</v>
      </c>
      <c r="AW115" s="1120">
        <f t="shared" si="97"/>
        <v>1</v>
      </c>
      <c r="AX115" s="1120">
        <f t="shared" si="98"/>
        <v>1</v>
      </c>
      <c r="AY115" s="1120">
        <f t="shared" si="99"/>
        <v>0</v>
      </c>
      <c r="AZ115" s="1120">
        <f t="shared" si="100"/>
        <v>0</v>
      </c>
      <c r="BA115" s="1120">
        <f t="shared" si="101"/>
        <v>0</v>
      </c>
      <c r="BB115" s="1120">
        <f t="shared" si="102"/>
        <v>0</v>
      </c>
      <c r="BC115" s="1120">
        <f t="shared" si="103"/>
        <v>0</v>
      </c>
      <c r="BD115" s="1120">
        <f t="shared" si="104"/>
        <v>1</v>
      </c>
      <c r="BE115" s="1120">
        <f t="shared" si="105"/>
        <v>1</v>
      </c>
      <c r="BF115" s="1120">
        <f t="shared" si="106"/>
        <v>1</v>
      </c>
      <c r="BG115" s="1120">
        <f t="shared" si="107"/>
        <v>0</v>
      </c>
      <c r="BH115" s="1120">
        <f t="shared" si="108"/>
        <v>0</v>
      </c>
      <c r="BI115" s="1120">
        <f t="shared" si="109"/>
        <v>0</v>
      </c>
      <c r="BJ115" s="1120">
        <f t="shared" si="110"/>
        <v>0</v>
      </c>
      <c r="BK115" s="1120">
        <f t="shared" si="111"/>
        <v>1</v>
      </c>
      <c r="BL115" s="1120">
        <f t="shared" si="112"/>
        <v>1</v>
      </c>
      <c r="BM115" s="1120">
        <f t="shared" si="113"/>
        <v>1</v>
      </c>
      <c r="BN115" s="1120">
        <f t="shared" si="114"/>
        <v>1</v>
      </c>
      <c r="BO115" s="1120">
        <f t="shared" si="115"/>
        <v>1</v>
      </c>
      <c r="BP115" s="1120">
        <f t="shared" si="116"/>
        <v>1</v>
      </c>
      <c r="BQ115" s="1120">
        <f t="shared" si="117"/>
        <v>0</v>
      </c>
      <c r="BR115" s="1120">
        <f t="shared" si="118"/>
        <v>0</v>
      </c>
      <c r="BS115" s="1120">
        <f t="shared" si="119"/>
        <v>1</v>
      </c>
      <c r="BT115" s="1120">
        <f t="shared" si="120"/>
        <v>1</v>
      </c>
      <c r="BU115" s="1120">
        <f t="shared" si="121"/>
        <v>1</v>
      </c>
      <c r="BV115" s="1120">
        <f t="shared" si="122"/>
        <v>1</v>
      </c>
      <c r="BW115" s="1120">
        <f t="shared" si="123"/>
        <v>0</v>
      </c>
      <c r="BX115" s="1120">
        <f t="shared" si="124"/>
        <v>0</v>
      </c>
      <c r="BY115" s="1120">
        <f t="shared" si="125"/>
        <v>0</v>
      </c>
      <c r="BZ115" s="1120">
        <f t="shared" si="126"/>
        <v>0</v>
      </c>
      <c r="CA115" s="1120">
        <f t="shared" si="127"/>
        <v>1</v>
      </c>
      <c r="CB115" s="1120">
        <f t="shared" si="128"/>
        <v>1</v>
      </c>
      <c r="CC115" s="1120">
        <f t="shared" si="129"/>
        <v>1</v>
      </c>
      <c r="CD115" s="1120">
        <f t="shared" si="130"/>
        <v>1</v>
      </c>
      <c r="CE115" s="1120">
        <f t="shared" si="131"/>
        <v>1</v>
      </c>
      <c r="CF115" s="1120">
        <f t="shared" si="132"/>
        <v>0</v>
      </c>
      <c r="CG115" s="1120">
        <f t="shared" si="133"/>
        <v>0</v>
      </c>
      <c r="CH115" s="1120">
        <f t="shared" si="134"/>
        <v>0</v>
      </c>
      <c r="CI115" s="1120">
        <f t="shared" si="135"/>
        <v>0.85</v>
      </c>
      <c r="CJ115" s="1120">
        <f t="shared" si="136"/>
        <v>0.85</v>
      </c>
      <c r="CK115" s="1120">
        <f t="shared" si="137"/>
        <v>0.85</v>
      </c>
      <c r="CL115" s="1120">
        <f t="shared" si="138"/>
        <v>0.85</v>
      </c>
      <c r="CM115" s="1120">
        <f t="shared" si="139"/>
        <v>0.85</v>
      </c>
      <c r="CN115" s="1120">
        <f t="shared" si="140"/>
        <v>0.85</v>
      </c>
      <c r="CO115" s="1120">
        <f t="shared" si="141"/>
        <v>0.7</v>
      </c>
      <c r="CP115" s="1120">
        <f t="shared" si="142"/>
        <v>0.7</v>
      </c>
      <c r="CQ115" s="1120">
        <f t="shared" si="143"/>
        <v>0.85</v>
      </c>
      <c r="CR115" s="1120">
        <f t="shared" si="144"/>
        <v>0.85</v>
      </c>
      <c r="CS115" s="1120">
        <f t="shared" si="145"/>
        <v>0.85</v>
      </c>
      <c r="CT115" s="1120">
        <f t="shared" si="146"/>
        <v>0.85</v>
      </c>
      <c r="CU115" s="1120">
        <v>1</v>
      </c>
      <c r="CV115" s="1120"/>
      <c r="CW115" s="1120">
        <f t="shared" si="147"/>
        <v>153</v>
      </c>
      <c r="CX115" s="1120">
        <f t="shared" si="148"/>
        <v>212</v>
      </c>
      <c r="CY115" s="1136" t="s">
        <v>4889</v>
      </c>
      <c r="CZ115" s="1129" t="s">
        <v>4897</v>
      </c>
      <c r="DA115" s="1129"/>
      <c r="DB115" s="1129"/>
      <c r="DC115" s="1125" t="s">
        <v>5415</v>
      </c>
      <c r="DD115" s="1125" t="s">
        <v>771</v>
      </c>
      <c r="DE115" s="1120" t="str">
        <f t="shared" si="149"/>
        <v/>
      </c>
      <c r="DF115" s="1133">
        <v>0</v>
      </c>
      <c r="DG115" s="1120">
        <v>0</v>
      </c>
    </row>
    <row r="116" spans="1:111">
      <c r="A116" s="1125" t="s">
        <v>3054</v>
      </c>
      <c r="B116" s="1125" t="s">
        <v>5919</v>
      </c>
      <c r="C116" s="1125" t="s">
        <v>5920</v>
      </c>
      <c r="D116" s="1125" t="s">
        <v>1147</v>
      </c>
      <c r="E116" s="1125">
        <v>1647</v>
      </c>
      <c r="F116" s="1125">
        <v>-96.82</v>
      </c>
      <c r="G116" s="1125">
        <v>44.3</v>
      </c>
      <c r="H116" s="1125">
        <v>-6</v>
      </c>
      <c r="I116" s="1126">
        <v>-9.5800006866455085</v>
      </c>
      <c r="J116" s="1126">
        <v>85.639998626708987</v>
      </c>
      <c r="K116" s="1127">
        <v>71.060001373291016</v>
      </c>
      <c r="L116" s="1125">
        <v>7675.2</v>
      </c>
      <c r="M116" s="1125">
        <v>522</v>
      </c>
      <c r="N116" s="1128">
        <v>19.040000343322752</v>
      </c>
      <c r="O116" s="1128">
        <v>28.4</v>
      </c>
      <c r="P116" s="1128">
        <v>31.279999989271165</v>
      </c>
      <c r="Q116" s="1128">
        <v>48.740000343322755</v>
      </c>
      <c r="R116" s="1128">
        <v>58.459999656677248</v>
      </c>
      <c r="S116" s="1128">
        <v>64.580000686645505</v>
      </c>
      <c r="T116" s="1128">
        <v>73.580000686645505</v>
      </c>
      <c r="U116" s="1128">
        <v>63.139998626708987</v>
      </c>
      <c r="V116" s="1128">
        <v>60.619999313354491</v>
      </c>
      <c r="W116" s="1128">
        <v>48.2</v>
      </c>
      <c r="X116" s="1128">
        <v>25.339999914169312</v>
      </c>
      <c r="Y116" s="1128">
        <v>15.080000686645507</v>
      </c>
      <c r="Z116" s="1128">
        <v>44.782958924362106</v>
      </c>
      <c r="AA116" s="1128">
        <f t="shared" si="75"/>
        <v>40.862957509638115</v>
      </c>
      <c r="AB116" s="1128">
        <f t="shared" si="76"/>
        <v>38.885341890033523</v>
      </c>
      <c r="AC116" s="1128">
        <f t="shared" si="77"/>
        <v>40.009023498255061</v>
      </c>
      <c r="AD116" s="1128">
        <f t="shared" si="78"/>
        <v>43.941097406662053</v>
      </c>
      <c r="AE116" s="1128">
        <f t="shared" si="79"/>
        <v>49.656607955935073</v>
      </c>
      <c r="AF116" s="1128">
        <f t="shared" si="80"/>
        <v>55.665719242722439</v>
      </c>
      <c r="AG116" s="1128">
        <f t="shared" si="81"/>
        <v>60.40206380691501</v>
      </c>
      <c r="AH116" s="1128">
        <f t="shared" si="82"/>
        <v>62.63104044857689</v>
      </c>
      <c r="AI116" s="1128">
        <f t="shared" si="83"/>
        <v>61.771632056489118</v>
      </c>
      <c r="AJ116" s="1128">
        <f t="shared" si="84"/>
        <v>58.04785667193358</v>
      </c>
      <c r="AK116" s="1128">
        <f t="shared" si="85"/>
        <v>52.430373734010381</v>
      </c>
      <c r="AL116" s="1128">
        <f t="shared" si="86"/>
        <v>46.383466738521669</v>
      </c>
      <c r="AM116" s="1125">
        <f t="shared" si="87"/>
        <v>1</v>
      </c>
      <c r="AN116" s="1125">
        <f t="shared" si="88"/>
        <v>1</v>
      </c>
      <c r="AO116" s="1125">
        <f t="shared" si="89"/>
        <v>1</v>
      </c>
      <c r="AP116" s="1125">
        <f t="shared" si="90"/>
        <v>1</v>
      </c>
      <c r="AQ116" s="1125">
        <f t="shared" si="91"/>
        <v>1</v>
      </c>
      <c r="AR116" s="1125">
        <f t="shared" si="92"/>
        <v>1</v>
      </c>
      <c r="AS116" s="1125">
        <f t="shared" si="93"/>
        <v>0</v>
      </c>
      <c r="AT116" s="1125">
        <f t="shared" si="94"/>
        <v>1</v>
      </c>
      <c r="AU116" s="1125">
        <f t="shared" si="95"/>
        <v>1</v>
      </c>
      <c r="AV116" s="1125">
        <f t="shared" si="96"/>
        <v>1</v>
      </c>
      <c r="AW116" s="1125">
        <f t="shared" si="97"/>
        <v>1</v>
      </c>
      <c r="AX116" s="1125">
        <f t="shared" si="98"/>
        <v>1</v>
      </c>
      <c r="AY116" s="1125">
        <f t="shared" si="99"/>
        <v>0</v>
      </c>
      <c r="AZ116" s="1125">
        <f t="shared" si="100"/>
        <v>0</v>
      </c>
      <c r="BA116" s="1125">
        <f t="shared" si="101"/>
        <v>0</v>
      </c>
      <c r="BB116" s="1125">
        <f t="shared" si="102"/>
        <v>0</v>
      </c>
      <c r="BC116" s="1125">
        <f t="shared" si="103"/>
        <v>0</v>
      </c>
      <c r="BD116" s="1125">
        <f t="shared" si="104"/>
        <v>0</v>
      </c>
      <c r="BE116" s="1125">
        <f t="shared" si="105"/>
        <v>1</v>
      </c>
      <c r="BF116" s="1125">
        <f t="shared" si="106"/>
        <v>1</v>
      </c>
      <c r="BG116" s="1125">
        <f t="shared" si="107"/>
        <v>0</v>
      </c>
      <c r="BH116" s="1125">
        <f t="shared" si="108"/>
        <v>0</v>
      </c>
      <c r="BI116" s="1125">
        <f t="shared" si="109"/>
        <v>0</v>
      </c>
      <c r="BJ116" s="1125">
        <f t="shared" si="110"/>
        <v>0</v>
      </c>
      <c r="BK116" s="1125">
        <f t="shared" si="111"/>
        <v>1</v>
      </c>
      <c r="BL116" s="1125">
        <f t="shared" si="112"/>
        <v>1</v>
      </c>
      <c r="BM116" s="1125">
        <f t="shared" si="113"/>
        <v>1</v>
      </c>
      <c r="BN116" s="1125">
        <f t="shared" si="114"/>
        <v>1</v>
      </c>
      <c r="BO116" s="1125">
        <f t="shared" si="115"/>
        <v>1</v>
      </c>
      <c r="BP116" s="1125">
        <f t="shared" si="116"/>
        <v>1</v>
      </c>
      <c r="BQ116" s="1125">
        <f t="shared" si="117"/>
        <v>1</v>
      </c>
      <c r="BR116" s="1125">
        <f t="shared" si="118"/>
        <v>1</v>
      </c>
      <c r="BS116" s="1125">
        <f t="shared" si="119"/>
        <v>1</v>
      </c>
      <c r="BT116" s="1125">
        <f t="shared" si="120"/>
        <v>1</v>
      </c>
      <c r="BU116" s="1125">
        <f t="shared" si="121"/>
        <v>1</v>
      </c>
      <c r="BV116" s="1125">
        <f t="shared" si="122"/>
        <v>1</v>
      </c>
      <c r="BW116" s="1125">
        <f t="shared" si="123"/>
        <v>0</v>
      </c>
      <c r="BX116" s="1125">
        <f t="shared" si="124"/>
        <v>0</v>
      </c>
      <c r="BY116" s="1125">
        <f t="shared" si="125"/>
        <v>0</v>
      </c>
      <c r="BZ116" s="1125">
        <f t="shared" si="126"/>
        <v>0</v>
      </c>
      <c r="CA116" s="1125">
        <f t="shared" si="127"/>
        <v>0</v>
      </c>
      <c r="CB116" s="1125">
        <f t="shared" si="128"/>
        <v>1</v>
      </c>
      <c r="CC116" s="1125">
        <f t="shared" si="129"/>
        <v>1</v>
      </c>
      <c r="CD116" s="1125">
        <f t="shared" si="130"/>
        <v>1</v>
      </c>
      <c r="CE116" s="1125">
        <f t="shared" si="131"/>
        <v>0</v>
      </c>
      <c r="CF116" s="1125">
        <f t="shared" si="132"/>
        <v>0</v>
      </c>
      <c r="CG116" s="1125">
        <f t="shared" si="133"/>
        <v>0</v>
      </c>
      <c r="CH116" s="1125">
        <f t="shared" si="134"/>
        <v>0</v>
      </c>
      <c r="CI116" s="1125">
        <f t="shared" si="135"/>
        <v>0.85</v>
      </c>
      <c r="CJ116" s="1125">
        <f t="shared" si="136"/>
        <v>0.85</v>
      </c>
      <c r="CK116" s="1125">
        <f t="shared" si="137"/>
        <v>0.85</v>
      </c>
      <c r="CL116" s="1125">
        <f t="shared" si="138"/>
        <v>0.85</v>
      </c>
      <c r="CM116" s="1125">
        <f t="shared" si="139"/>
        <v>0.85</v>
      </c>
      <c r="CN116" s="1125">
        <f t="shared" si="140"/>
        <v>0.85</v>
      </c>
      <c r="CO116" s="1125">
        <f t="shared" si="141"/>
        <v>0.85</v>
      </c>
      <c r="CP116" s="1125">
        <f t="shared" si="142"/>
        <v>0.85</v>
      </c>
      <c r="CQ116" s="1125">
        <f t="shared" si="143"/>
        <v>0.85</v>
      </c>
      <c r="CR116" s="1125">
        <f t="shared" si="144"/>
        <v>0.85</v>
      </c>
      <c r="CS116" s="1125">
        <f t="shared" si="145"/>
        <v>0.85</v>
      </c>
      <c r="CT116" s="1125">
        <f t="shared" si="146"/>
        <v>0.85</v>
      </c>
      <c r="CU116" s="1125">
        <v>1</v>
      </c>
      <c r="CV116" s="1125"/>
      <c r="CW116" s="1125">
        <f t="shared" si="147"/>
        <v>92</v>
      </c>
      <c r="CX116" s="1125">
        <f t="shared" si="148"/>
        <v>273</v>
      </c>
      <c r="CY116" s="1136" t="s">
        <v>4889</v>
      </c>
      <c r="CZ116" s="1129" t="s">
        <v>4899</v>
      </c>
      <c r="DA116" s="1129"/>
      <c r="DB116" s="1129"/>
      <c r="DC116" s="1125" t="s">
        <v>5781</v>
      </c>
      <c r="DD116" s="1125" t="s">
        <v>1147</v>
      </c>
      <c r="DE116" s="1120" t="str">
        <f t="shared" si="149"/>
        <v/>
      </c>
      <c r="DF116" s="1133">
        <v>0</v>
      </c>
      <c r="DG116" s="1125">
        <v>0</v>
      </c>
    </row>
    <row r="117" spans="1:111">
      <c r="A117" s="1120" t="s">
        <v>3056</v>
      </c>
      <c r="B117" s="1125" t="s">
        <v>3216</v>
      </c>
      <c r="C117" s="1125" t="s">
        <v>3217</v>
      </c>
      <c r="D117" s="1125" t="s">
        <v>536</v>
      </c>
      <c r="E117" s="1125">
        <v>5540</v>
      </c>
      <c r="F117" s="1125">
        <v>-105.24</v>
      </c>
      <c r="G117" s="1125">
        <v>40.130000000000003</v>
      </c>
      <c r="H117" s="1125">
        <v>-7</v>
      </c>
      <c r="I117" s="1126">
        <v>-2.2000000000000011</v>
      </c>
      <c r="J117" s="1126">
        <v>93.2</v>
      </c>
      <c r="K117" s="1127">
        <v>60.259999656677245</v>
      </c>
      <c r="L117" s="1125">
        <v>5749.2</v>
      </c>
      <c r="M117" s="1125">
        <v>689.4</v>
      </c>
      <c r="N117" s="1128">
        <v>31.639999994635581</v>
      </c>
      <c r="O117" s="1128">
        <v>33.080000042915344</v>
      </c>
      <c r="P117" s="1128">
        <v>40.820000171661377</v>
      </c>
      <c r="Q117" s="1128">
        <v>49.640000343322754</v>
      </c>
      <c r="R117" s="1128">
        <v>57.019999313354489</v>
      </c>
      <c r="S117" s="1128">
        <v>66.2</v>
      </c>
      <c r="T117" s="1128">
        <v>73.400000000000006</v>
      </c>
      <c r="U117" s="1128">
        <v>71.060001373291016</v>
      </c>
      <c r="V117" s="1128">
        <v>62.239998626708989</v>
      </c>
      <c r="W117" s="1128">
        <v>50.9</v>
      </c>
      <c r="X117" s="1128">
        <v>40.279999828338624</v>
      </c>
      <c r="Y117" s="1128">
        <v>29.119999957084655</v>
      </c>
      <c r="Z117" s="1128">
        <v>50.547397233598851</v>
      </c>
      <c r="AA117" s="1128">
        <f t="shared" si="75"/>
        <v>47.452684482541535</v>
      </c>
      <c r="AB117" s="1128">
        <f t="shared" si="76"/>
        <v>46.245457148089983</v>
      </c>
      <c r="AC117" s="1128">
        <f t="shared" si="77"/>
        <v>47.723589254628592</v>
      </c>
      <c r="AD117" s="1128">
        <f t="shared" si="78"/>
        <v>51.501782889882804</v>
      </c>
      <c r="AE117" s="1128">
        <f t="shared" si="79"/>
        <v>56.595193659097269</v>
      </c>
      <c r="AF117" s="1128">
        <f t="shared" si="80"/>
        <v>61.676145553440364</v>
      </c>
      <c r="AG117" s="1128">
        <f t="shared" si="81"/>
        <v>65.420210161812747</v>
      </c>
      <c r="AH117" s="1128">
        <f t="shared" si="82"/>
        <v>66.851439346260037</v>
      </c>
      <c r="AI117" s="1128">
        <f t="shared" si="83"/>
        <v>65.596761163946709</v>
      </c>
      <c r="AJ117" s="1128">
        <f t="shared" si="84"/>
        <v>61.983226818268776</v>
      </c>
      <c r="AK117" s="1128">
        <f t="shared" si="85"/>
        <v>56.952759722677072</v>
      </c>
      <c r="AL117" s="1128">
        <f t="shared" si="86"/>
        <v>51.816628647482069</v>
      </c>
      <c r="AM117" s="1125">
        <f t="shared" si="87"/>
        <v>1</v>
      </c>
      <c r="AN117" s="1125">
        <f t="shared" si="88"/>
        <v>1</v>
      </c>
      <c r="AO117" s="1125">
        <f t="shared" si="89"/>
        <v>1</v>
      </c>
      <c r="AP117" s="1125">
        <f t="shared" si="90"/>
        <v>1</v>
      </c>
      <c r="AQ117" s="1125">
        <f t="shared" si="91"/>
        <v>1</v>
      </c>
      <c r="AR117" s="1125">
        <f t="shared" si="92"/>
        <v>0</v>
      </c>
      <c r="AS117" s="1125">
        <f t="shared" si="93"/>
        <v>0</v>
      </c>
      <c r="AT117" s="1125">
        <f t="shared" si="94"/>
        <v>0</v>
      </c>
      <c r="AU117" s="1125">
        <f t="shared" si="95"/>
        <v>1</v>
      </c>
      <c r="AV117" s="1125">
        <f t="shared" si="96"/>
        <v>1</v>
      </c>
      <c r="AW117" s="1125">
        <f t="shared" si="97"/>
        <v>1</v>
      </c>
      <c r="AX117" s="1125">
        <f t="shared" si="98"/>
        <v>1</v>
      </c>
      <c r="AY117" s="1125">
        <f t="shared" si="99"/>
        <v>0</v>
      </c>
      <c r="AZ117" s="1125">
        <f t="shared" si="100"/>
        <v>0</v>
      </c>
      <c r="BA117" s="1125">
        <f t="shared" si="101"/>
        <v>0</v>
      </c>
      <c r="BB117" s="1125">
        <f t="shared" si="102"/>
        <v>0</v>
      </c>
      <c r="BC117" s="1125">
        <f t="shared" si="103"/>
        <v>0</v>
      </c>
      <c r="BD117" s="1125">
        <f t="shared" si="104"/>
        <v>1</v>
      </c>
      <c r="BE117" s="1125">
        <f t="shared" si="105"/>
        <v>1</v>
      </c>
      <c r="BF117" s="1125">
        <f t="shared" si="106"/>
        <v>1</v>
      </c>
      <c r="BG117" s="1125">
        <f t="shared" si="107"/>
        <v>0</v>
      </c>
      <c r="BH117" s="1125">
        <f t="shared" si="108"/>
        <v>0</v>
      </c>
      <c r="BI117" s="1125">
        <f t="shared" si="109"/>
        <v>0</v>
      </c>
      <c r="BJ117" s="1125">
        <f t="shared" si="110"/>
        <v>0</v>
      </c>
      <c r="BK117" s="1125">
        <f t="shared" si="111"/>
        <v>1</v>
      </c>
      <c r="BL117" s="1125">
        <f t="shared" si="112"/>
        <v>1</v>
      </c>
      <c r="BM117" s="1125">
        <f t="shared" si="113"/>
        <v>1</v>
      </c>
      <c r="BN117" s="1125">
        <f t="shared" si="114"/>
        <v>1</v>
      </c>
      <c r="BO117" s="1125">
        <f t="shared" si="115"/>
        <v>1</v>
      </c>
      <c r="BP117" s="1125">
        <f t="shared" si="116"/>
        <v>1</v>
      </c>
      <c r="BQ117" s="1125">
        <f t="shared" si="117"/>
        <v>0</v>
      </c>
      <c r="BR117" s="1125">
        <f t="shared" si="118"/>
        <v>0</v>
      </c>
      <c r="BS117" s="1125">
        <f t="shared" si="119"/>
        <v>1</v>
      </c>
      <c r="BT117" s="1125">
        <f t="shared" si="120"/>
        <v>1</v>
      </c>
      <c r="BU117" s="1125">
        <f t="shared" si="121"/>
        <v>1</v>
      </c>
      <c r="BV117" s="1125">
        <f t="shared" si="122"/>
        <v>1</v>
      </c>
      <c r="BW117" s="1125">
        <f t="shared" si="123"/>
        <v>0</v>
      </c>
      <c r="BX117" s="1125">
        <f t="shared" si="124"/>
        <v>0</v>
      </c>
      <c r="BY117" s="1125">
        <f t="shared" si="125"/>
        <v>0</v>
      </c>
      <c r="BZ117" s="1125">
        <f t="shared" si="126"/>
        <v>0</v>
      </c>
      <c r="CA117" s="1125">
        <f t="shared" si="127"/>
        <v>1</v>
      </c>
      <c r="CB117" s="1125">
        <f t="shared" si="128"/>
        <v>1</v>
      </c>
      <c r="CC117" s="1125">
        <f t="shared" si="129"/>
        <v>1</v>
      </c>
      <c r="CD117" s="1125">
        <f t="shared" si="130"/>
        <v>1</v>
      </c>
      <c r="CE117" s="1125">
        <f t="shared" si="131"/>
        <v>1</v>
      </c>
      <c r="CF117" s="1125">
        <f t="shared" si="132"/>
        <v>0</v>
      </c>
      <c r="CG117" s="1125">
        <f t="shared" si="133"/>
        <v>0</v>
      </c>
      <c r="CH117" s="1125">
        <f t="shared" si="134"/>
        <v>0</v>
      </c>
      <c r="CI117" s="1125">
        <f t="shared" si="135"/>
        <v>0.85</v>
      </c>
      <c r="CJ117" s="1125">
        <f t="shared" si="136"/>
        <v>0.85</v>
      </c>
      <c r="CK117" s="1125">
        <f t="shared" si="137"/>
        <v>0.85</v>
      </c>
      <c r="CL117" s="1125">
        <f t="shared" si="138"/>
        <v>0.85</v>
      </c>
      <c r="CM117" s="1125">
        <f t="shared" si="139"/>
        <v>0.85</v>
      </c>
      <c r="CN117" s="1125">
        <f t="shared" si="140"/>
        <v>0.85</v>
      </c>
      <c r="CO117" s="1125">
        <f t="shared" si="141"/>
        <v>0.7</v>
      </c>
      <c r="CP117" s="1125">
        <f t="shared" si="142"/>
        <v>0.7</v>
      </c>
      <c r="CQ117" s="1125">
        <f t="shared" si="143"/>
        <v>0.85</v>
      </c>
      <c r="CR117" s="1125">
        <f t="shared" si="144"/>
        <v>0.85</v>
      </c>
      <c r="CS117" s="1125">
        <f t="shared" si="145"/>
        <v>0.85</v>
      </c>
      <c r="CT117" s="1125">
        <f t="shared" si="146"/>
        <v>0.85</v>
      </c>
      <c r="CU117" s="1125">
        <v>1</v>
      </c>
      <c r="CV117" s="1125"/>
      <c r="CW117" s="1125">
        <f t="shared" si="147"/>
        <v>153</v>
      </c>
      <c r="CX117" s="1125">
        <f t="shared" si="148"/>
        <v>212</v>
      </c>
      <c r="CY117" s="1136" t="s">
        <v>4889</v>
      </c>
      <c r="CZ117" s="1129" t="s">
        <v>4890</v>
      </c>
      <c r="DA117" s="1129"/>
      <c r="DB117" s="1129"/>
      <c r="DC117" s="1125" t="s">
        <v>5947</v>
      </c>
      <c r="DD117" s="1125" t="s">
        <v>536</v>
      </c>
      <c r="DE117" s="1120" t="b">
        <f t="shared" si="149"/>
        <v>0</v>
      </c>
      <c r="DF117" s="1133">
        <v>0</v>
      </c>
      <c r="DG117" s="1120">
        <v>0</v>
      </c>
    </row>
    <row r="118" spans="1:111">
      <c r="A118" s="1125" t="s">
        <v>3058</v>
      </c>
      <c r="B118" s="1120" t="s">
        <v>4364</v>
      </c>
      <c r="C118" s="1120" t="s">
        <v>4365</v>
      </c>
      <c r="D118" s="1120" t="s">
        <v>228</v>
      </c>
      <c r="E118" s="1120">
        <v>20</v>
      </c>
      <c r="F118" s="1120">
        <v>-97.43</v>
      </c>
      <c r="G118" s="1120">
        <v>25.9</v>
      </c>
      <c r="H118" s="1120">
        <v>-6</v>
      </c>
      <c r="I118" s="1121">
        <v>40.820000171661377</v>
      </c>
      <c r="J118" s="1121">
        <v>94.460001373291021</v>
      </c>
      <c r="K118" s="1122">
        <v>77.719999313354492</v>
      </c>
      <c r="L118" s="1120">
        <v>748.80000000000007</v>
      </c>
      <c r="M118" s="1120">
        <v>3828.6</v>
      </c>
      <c r="N118" s="1123">
        <v>59</v>
      </c>
      <c r="O118" s="1123">
        <v>59.9</v>
      </c>
      <c r="P118" s="1123">
        <v>67.819999313354487</v>
      </c>
      <c r="Q118" s="1123">
        <v>74.66000137329101</v>
      </c>
      <c r="R118" s="1123">
        <v>79.519999313354489</v>
      </c>
      <c r="S118" s="1123">
        <v>82.939998626708984</v>
      </c>
      <c r="T118" s="1123">
        <v>83.66000137329101</v>
      </c>
      <c r="U118" s="1123">
        <v>84.2</v>
      </c>
      <c r="V118" s="1123">
        <v>80.780000686645508</v>
      </c>
      <c r="W118" s="1123">
        <v>75.739998626708982</v>
      </c>
      <c r="X118" s="1123">
        <v>65.66000137329101</v>
      </c>
      <c r="Y118" s="1123">
        <v>59.359999656677246</v>
      </c>
      <c r="Z118" s="1123">
        <v>72.840273996118</v>
      </c>
      <c r="AA118" s="1123">
        <f t="shared" si="75"/>
        <v>70.21508588715281</v>
      </c>
      <c r="AB118" s="1123">
        <f t="shared" si="76"/>
        <v>70.886203022051617</v>
      </c>
      <c r="AC118" s="1123">
        <f t="shared" si="77"/>
        <v>73.630671332284891</v>
      </c>
      <c r="AD118" s="1123">
        <f t="shared" si="78"/>
        <v>77.733102859253435</v>
      </c>
      <c r="AE118" s="1123">
        <f t="shared" si="79"/>
        <v>82.124135605069398</v>
      </c>
      <c r="AF118" s="1123">
        <f t="shared" si="80"/>
        <v>85.659179216672982</v>
      </c>
      <c r="AG118" s="1123">
        <f t="shared" si="81"/>
        <v>87.416770100028629</v>
      </c>
      <c r="AH118" s="1123">
        <f t="shared" si="82"/>
        <v>86.938765106094323</v>
      </c>
      <c r="AI118" s="1123">
        <f t="shared" si="83"/>
        <v>84.349763602818982</v>
      </c>
      <c r="AJ118" s="1123">
        <f t="shared" si="84"/>
        <v>80.324628729752163</v>
      </c>
      <c r="AK118" s="1123">
        <f t="shared" si="85"/>
        <v>75.912573920764743</v>
      </c>
      <c r="AL118" s="1123">
        <f t="shared" si="86"/>
        <v>72.263669253642021</v>
      </c>
      <c r="AM118" s="1120">
        <f t="shared" si="87"/>
        <v>1</v>
      </c>
      <c r="AN118" s="1120">
        <f t="shared" si="88"/>
        <v>1</v>
      </c>
      <c r="AO118" s="1120">
        <f t="shared" si="89"/>
        <v>0</v>
      </c>
      <c r="AP118" s="1120">
        <f t="shared" si="90"/>
        <v>0</v>
      </c>
      <c r="AQ118" s="1120">
        <f t="shared" si="91"/>
        <v>0</v>
      </c>
      <c r="AR118" s="1120">
        <f t="shared" si="92"/>
        <v>0</v>
      </c>
      <c r="AS118" s="1120">
        <f t="shared" si="93"/>
        <v>0</v>
      </c>
      <c r="AT118" s="1120">
        <f t="shared" si="94"/>
        <v>0</v>
      </c>
      <c r="AU118" s="1120">
        <f t="shared" si="95"/>
        <v>0</v>
      </c>
      <c r="AV118" s="1120">
        <f t="shared" si="96"/>
        <v>0</v>
      </c>
      <c r="AW118" s="1120">
        <f t="shared" si="97"/>
        <v>1</v>
      </c>
      <c r="AX118" s="1120">
        <f t="shared" si="98"/>
        <v>1</v>
      </c>
      <c r="AY118" s="1120">
        <f t="shared" si="99"/>
        <v>0</v>
      </c>
      <c r="AZ118" s="1120">
        <f t="shared" si="100"/>
        <v>0</v>
      </c>
      <c r="BA118" s="1120">
        <f t="shared" si="101"/>
        <v>1</v>
      </c>
      <c r="BB118" s="1120">
        <f t="shared" si="102"/>
        <v>1</v>
      </c>
      <c r="BC118" s="1120">
        <f t="shared" si="103"/>
        <v>1</v>
      </c>
      <c r="BD118" s="1120">
        <f t="shared" si="104"/>
        <v>1</v>
      </c>
      <c r="BE118" s="1120">
        <f t="shared" si="105"/>
        <v>1</v>
      </c>
      <c r="BF118" s="1120">
        <f t="shared" si="106"/>
        <v>1</v>
      </c>
      <c r="BG118" s="1120">
        <f t="shared" si="107"/>
        <v>1</v>
      </c>
      <c r="BH118" s="1120">
        <f t="shared" si="108"/>
        <v>1</v>
      </c>
      <c r="BI118" s="1120">
        <f t="shared" si="109"/>
        <v>0</v>
      </c>
      <c r="BJ118" s="1120">
        <f t="shared" si="110"/>
        <v>0</v>
      </c>
      <c r="BK118" s="1120">
        <f t="shared" si="111"/>
        <v>1</v>
      </c>
      <c r="BL118" s="1120">
        <f t="shared" si="112"/>
        <v>1</v>
      </c>
      <c r="BM118" s="1120">
        <f t="shared" si="113"/>
        <v>1</v>
      </c>
      <c r="BN118" s="1120">
        <f t="shared" si="114"/>
        <v>0</v>
      </c>
      <c r="BO118" s="1120">
        <f t="shared" si="115"/>
        <v>0</v>
      </c>
      <c r="BP118" s="1120">
        <f t="shared" si="116"/>
        <v>0</v>
      </c>
      <c r="BQ118" s="1120">
        <f t="shared" si="117"/>
        <v>0</v>
      </c>
      <c r="BR118" s="1120">
        <f t="shared" si="118"/>
        <v>0</v>
      </c>
      <c r="BS118" s="1120">
        <f t="shared" si="119"/>
        <v>0</v>
      </c>
      <c r="BT118" s="1120">
        <f t="shared" si="120"/>
        <v>0</v>
      </c>
      <c r="BU118" s="1120">
        <f t="shared" si="121"/>
        <v>1</v>
      </c>
      <c r="BV118" s="1120">
        <f t="shared" si="122"/>
        <v>1</v>
      </c>
      <c r="BW118" s="1120">
        <f t="shared" si="123"/>
        <v>0</v>
      </c>
      <c r="BX118" s="1120">
        <f t="shared" si="124"/>
        <v>1</v>
      </c>
      <c r="BY118" s="1120">
        <f t="shared" si="125"/>
        <v>1</v>
      </c>
      <c r="BZ118" s="1120">
        <f t="shared" si="126"/>
        <v>1</v>
      </c>
      <c r="CA118" s="1120">
        <f t="shared" si="127"/>
        <v>1</v>
      </c>
      <c r="CB118" s="1120">
        <f t="shared" si="128"/>
        <v>1</v>
      </c>
      <c r="CC118" s="1120">
        <f t="shared" si="129"/>
        <v>1</v>
      </c>
      <c r="CD118" s="1120">
        <f t="shared" si="130"/>
        <v>1</v>
      </c>
      <c r="CE118" s="1120">
        <f t="shared" si="131"/>
        <v>1</v>
      </c>
      <c r="CF118" s="1120">
        <f t="shared" si="132"/>
        <v>1</v>
      </c>
      <c r="CG118" s="1120">
        <f t="shared" si="133"/>
        <v>1</v>
      </c>
      <c r="CH118" s="1120">
        <f t="shared" si="134"/>
        <v>0</v>
      </c>
      <c r="CI118" s="1120">
        <f t="shared" si="135"/>
        <v>0.85</v>
      </c>
      <c r="CJ118" s="1120">
        <f t="shared" si="136"/>
        <v>0.85</v>
      </c>
      <c r="CK118" s="1120">
        <f t="shared" si="137"/>
        <v>0.85</v>
      </c>
      <c r="CL118" s="1120">
        <f t="shared" si="138"/>
        <v>0.7</v>
      </c>
      <c r="CM118" s="1120">
        <f t="shared" si="139"/>
        <v>0.7</v>
      </c>
      <c r="CN118" s="1120">
        <f t="shared" si="140"/>
        <v>0.7</v>
      </c>
      <c r="CO118" s="1120">
        <f t="shared" si="141"/>
        <v>0.7</v>
      </c>
      <c r="CP118" s="1120">
        <f t="shared" si="142"/>
        <v>0.7</v>
      </c>
      <c r="CQ118" s="1120">
        <f t="shared" si="143"/>
        <v>0.7</v>
      </c>
      <c r="CR118" s="1120">
        <f t="shared" si="144"/>
        <v>0.7</v>
      </c>
      <c r="CS118" s="1120">
        <f t="shared" si="145"/>
        <v>0.85</v>
      </c>
      <c r="CT118" s="1120">
        <f t="shared" si="146"/>
        <v>0.85</v>
      </c>
      <c r="CU118" s="1120">
        <v>1</v>
      </c>
      <c r="CV118" s="1120"/>
      <c r="CW118" s="1120">
        <f t="shared" si="147"/>
        <v>303</v>
      </c>
      <c r="CX118" s="1120">
        <f t="shared" si="148"/>
        <v>62</v>
      </c>
      <c r="CY118" s="1135" t="s">
        <v>4883</v>
      </c>
      <c r="CZ118" s="1124" t="s">
        <v>4884</v>
      </c>
      <c r="DA118" s="1124"/>
      <c r="DB118" s="1124"/>
      <c r="DC118" s="1120" t="s">
        <v>5576</v>
      </c>
      <c r="DD118" s="1120" t="s">
        <v>228</v>
      </c>
      <c r="DE118" s="1120" t="str">
        <f t="shared" si="149"/>
        <v/>
      </c>
      <c r="DF118" s="1133">
        <v>0</v>
      </c>
      <c r="DG118" s="1125">
        <v>0</v>
      </c>
    </row>
    <row r="119" spans="1:111">
      <c r="A119" s="1120" t="s">
        <v>3060</v>
      </c>
      <c r="B119" s="1120" t="s">
        <v>3356</v>
      </c>
      <c r="C119" s="1120" t="s">
        <v>3357</v>
      </c>
      <c r="D119" s="1120" t="s">
        <v>428</v>
      </c>
      <c r="E119" s="1120">
        <v>26</v>
      </c>
      <c r="F119" s="1120">
        <v>-81.47</v>
      </c>
      <c r="G119" s="1120">
        <v>31.25</v>
      </c>
      <c r="H119" s="1120">
        <v>-5</v>
      </c>
      <c r="I119" s="1121">
        <v>21.020000171661376</v>
      </c>
      <c r="J119" s="1121">
        <v>93.379997253417969</v>
      </c>
      <c r="K119" s="1122">
        <v>80.599999999999994</v>
      </c>
      <c r="L119" s="1120">
        <v>2044.8</v>
      </c>
      <c r="M119" s="1120">
        <v>2514.6</v>
      </c>
      <c r="N119" s="1123">
        <v>46.580000686645505</v>
      </c>
      <c r="O119" s="1123">
        <v>54.140000343322754</v>
      </c>
      <c r="P119" s="1123">
        <v>54.5</v>
      </c>
      <c r="Q119" s="1123">
        <v>64.219999313354492</v>
      </c>
      <c r="R119" s="1123">
        <v>78.080000686645505</v>
      </c>
      <c r="S119" s="1123">
        <v>79.519999313354489</v>
      </c>
      <c r="T119" s="1123">
        <v>82.039998626708979</v>
      </c>
      <c r="U119" s="1123">
        <v>79.519999313354489</v>
      </c>
      <c r="V119" s="1123">
        <v>75.560001373291016</v>
      </c>
      <c r="W119" s="1123">
        <v>65.83999862670899</v>
      </c>
      <c r="X119" s="1123">
        <v>56.480000686645511</v>
      </c>
      <c r="Y119" s="1123">
        <v>51.259999656677245</v>
      </c>
      <c r="Z119" s="1123">
        <v>65.703397138935244</v>
      </c>
      <c r="AA119" s="1123">
        <f t="shared" si="75"/>
        <v>61.048541119767322</v>
      </c>
      <c r="AB119" s="1123">
        <f t="shared" si="76"/>
        <v>61.212248208328361</v>
      </c>
      <c r="AC119" s="1123">
        <f t="shared" si="77"/>
        <v>64.110634939150927</v>
      </c>
      <c r="AD119" s="1123">
        <f t="shared" si="78"/>
        <v>68.988192145354574</v>
      </c>
      <c r="AE119" s="1123">
        <f t="shared" si="79"/>
        <v>74.573509375710529</v>
      </c>
      <c r="AF119" s="1123">
        <f t="shared" si="80"/>
        <v>79.410687621782628</v>
      </c>
      <c r="AG119" s="1123">
        <f t="shared" si="81"/>
        <v>82.238841830558982</v>
      </c>
      <c r="AH119" s="1123">
        <f t="shared" si="82"/>
        <v>82.32077002434643</v>
      </c>
      <c r="AI119" s="1123">
        <f t="shared" si="83"/>
        <v>79.635116356882591</v>
      </c>
      <c r="AJ119" s="1123">
        <f t="shared" si="84"/>
        <v>74.881937843767716</v>
      </c>
      <c r="AK119" s="1123">
        <f t="shared" si="85"/>
        <v>69.300223713143296</v>
      </c>
      <c r="AL119" s="1123">
        <f t="shared" si="86"/>
        <v>64.344933769975043</v>
      </c>
      <c r="AM119" s="1120">
        <f t="shared" si="87"/>
        <v>1</v>
      </c>
      <c r="AN119" s="1120">
        <f t="shared" si="88"/>
        <v>1</v>
      </c>
      <c r="AO119" s="1120">
        <f t="shared" si="89"/>
        <v>1</v>
      </c>
      <c r="AP119" s="1120">
        <f t="shared" si="90"/>
        <v>1</v>
      </c>
      <c r="AQ119" s="1120">
        <f t="shared" si="91"/>
        <v>0</v>
      </c>
      <c r="AR119" s="1120">
        <f t="shared" si="92"/>
        <v>0</v>
      </c>
      <c r="AS119" s="1120">
        <f t="shared" si="93"/>
        <v>0</v>
      </c>
      <c r="AT119" s="1120">
        <f t="shared" si="94"/>
        <v>0</v>
      </c>
      <c r="AU119" s="1120">
        <f t="shared" si="95"/>
        <v>0</v>
      </c>
      <c r="AV119" s="1120">
        <f t="shared" si="96"/>
        <v>1</v>
      </c>
      <c r="AW119" s="1120">
        <f t="shared" si="97"/>
        <v>1</v>
      </c>
      <c r="AX119" s="1120">
        <f t="shared" si="98"/>
        <v>1</v>
      </c>
      <c r="AY119" s="1120">
        <f t="shared" si="99"/>
        <v>0</v>
      </c>
      <c r="AZ119" s="1120">
        <f t="shared" si="100"/>
        <v>0</v>
      </c>
      <c r="BA119" s="1120">
        <f t="shared" si="101"/>
        <v>0</v>
      </c>
      <c r="BB119" s="1120">
        <f t="shared" si="102"/>
        <v>0</v>
      </c>
      <c r="BC119" s="1120">
        <f t="shared" si="103"/>
        <v>1</v>
      </c>
      <c r="BD119" s="1120">
        <f t="shared" si="104"/>
        <v>1</v>
      </c>
      <c r="BE119" s="1120">
        <f t="shared" si="105"/>
        <v>1</v>
      </c>
      <c r="BF119" s="1120">
        <f t="shared" si="106"/>
        <v>1</v>
      </c>
      <c r="BG119" s="1120">
        <f t="shared" si="107"/>
        <v>1</v>
      </c>
      <c r="BH119" s="1120">
        <f t="shared" si="108"/>
        <v>0</v>
      </c>
      <c r="BI119" s="1120">
        <f t="shared" si="109"/>
        <v>0</v>
      </c>
      <c r="BJ119" s="1120">
        <f t="shared" si="110"/>
        <v>0</v>
      </c>
      <c r="BK119" s="1120">
        <f t="shared" si="111"/>
        <v>1</v>
      </c>
      <c r="BL119" s="1120">
        <f t="shared" si="112"/>
        <v>1</v>
      </c>
      <c r="BM119" s="1120">
        <f t="shared" si="113"/>
        <v>1</v>
      </c>
      <c r="BN119" s="1120">
        <f t="shared" si="114"/>
        <v>1</v>
      </c>
      <c r="BO119" s="1120">
        <f t="shared" si="115"/>
        <v>1</v>
      </c>
      <c r="BP119" s="1120">
        <f t="shared" si="116"/>
        <v>0</v>
      </c>
      <c r="BQ119" s="1120">
        <f t="shared" si="117"/>
        <v>0</v>
      </c>
      <c r="BR119" s="1120">
        <f t="shared" si="118"/>
        <v>0</v>
      </c>
      <c r="BS119" s="1120">
        <f t="shared" si="119"/>
        <v>0</v>
      </c>
      <c r="BT119" s="1120">
        <f t="shared" si="120"/>
        <v>1</v>
      </c>
      <c r="BU119" s="1120">
        <f t="shared" si="121"/>
        <v>1</v>
      </c>
      <c r="BV119" s="1120">
        <f t="shared" si="122"/>
        <v>1</v>
      </c>
      <c r="BW119" s="1120">
        <f t="shared" si="123"/>
        <v>0</v>
      </c>
      <c r="BX119" s="1120">
        <f t="shared" si="124"/>
        <v>0</v>
      </c>
      <c r="BY119" s="1120">
        <f t="shared" si="125"/>
        <v>0</v>
      </c>
      <c r="BZ119" s="1120">
        <f t="shared" si="126"/>
        <v>1</v>
      </c>
      <c r="CA119" s="1120">
        <f t="shared" si="127"/>
        <v>1</v>
      </c>
      <c r="CB119" s="1120">
        <f t="shared" si="128"/>
        <v>1</v>
      </c>
      <c r="CC119" s="1120">
        <f t="shared" si="129"/>
        <v>1</v>
      </c>
      <c r="CD119" s="1120">
        <f t="shared" si="130"/>
        <v>1</v>
      </c>
      <c r="CE119" s="1120">
        <f t="shared" si="131"/>
        <v>1</v>
      </c>
      <c r="CF119" s="1120">
        <f t="shared" si="132"/>
        <v>1</v>
      </c>
      <c r="CG119" s="1120">
        <f t="shared" si="133"/>
        <v>0</v>
      </c>
      <c r="CH119" s="1120">
        <f t="shared" si="134"/>
        <v>0</v>
      </c>
      <c r="CI119" s="1120">
        <f t="shared" si="135"/>
        <v>0.85</v>
      </c>
      <c r="CJ119" s="1120">
        <f t="shared" si="136"/>
        <v>0.85</v>
      </c>
      <c r="CK119" s="1120">
        <f t="shared" si="137"/>
        <v>0.85</v>
      </c>
      <c r="CL119" s="1120">
        <f t="shared" si="138"/>
        <v>0.85</v>
      </c>
      <c r="CM119" s="1120">
        <f t="shared" si="139"/>
        <v>0.85</v>
      </c>
      <c r="CN119" s="1120">
        <f t="shared" si="140"/>
        <v>0.7</v>
      </c>
      <c r="CO119" s="1120">
        <f t="shared" si="141"/>
        <v>0.7</v>
      </c>
      <c r="CP119" s="1120">
        <f t="shared" si="142"/>
        <v>0.7</v>
      </c>
      <c r="CQ119" s="1120">
        <f t="shared" si="143"/>
        <v>0.7</v>
      </c>
      <c r="CR119" s="1120">
        <f t="shared" si="144"/>
        <v>0.85</v>
      </c>
      <c r="CS119" s="1120">
        <f t="shared" si="145"/>
        <v>0.85</v>
      </c>
      <c r="CT119" s="1120">
        <f t="shared" si="146"/>
        <v>0.85</v>
      </c>
      <c r="CU119" s="1120">
        <v>1</v>
      </c>
      <c r="CV119" s="1120"/>
      <c r="CW119" s="1120">
        <f t="shared" si="147"/>
        <v>214</v>
      </c>
      <c r="CX119" s="1120">
        <f t="shared" si="148"/>
        <v>151</v>
      </c>
      <c r="CY119" s="1135" t="s">
        <v>4883</v>
      </c>
      <c r="CZ119" s="1124" t="s">
        <v>4884</v>
      </c>
      <c r="DA119" s="1124"/>
      <c r="DB119" s="1124"/>
      <c r="DC119" s="1120" t="s">
        <v>5135</v>
      </c>
      <c r="DD119" s="1120" t="s">
        <v>428</v>
      </c>
      <c r="DE119" s="1120" t="str">
        <f t="shared" si="149"/>
        <v/>
      </c>
      <c r="DF119" s="1133">
        <v>0</v>
      </c>
      <c r="DG119" s="1120">
        <v>0</v>
      </c>
    </row>
    <row r="120" spans="1:111">
      <c r="A120" s="1125" t="s">
        <v>3064</v>
      </c>
      <c r="B120" s="1125" t="s">
        <v>3358</v>
      </c>
      <c r="C120" s="1125" t="s">
        <v>3359</v>
      </c>
      <c r="D120" s="1125" t="s">
        <v>428</v>
      </c>
      <c r="E120" s="1125">
        <v>13</v>
      </c>
      <c r="F120" s="1125">
        <v>-81.38</v>
      </c>
      <c r="G120" s="1125">
        <v>31.15</v>
      </c>
      <c r="H120" s="1125">
        <v>-5</v>
      </c>
      <c r="I120" s="1126">
        <v>33.799999999999997</v>
      </c>
      <c r="J120" s="1126">
        <v>90.320002746582034</v>
      </c>
      <c r="K120" s="1127">
        <v>77.539998626708979</v>
      </c>
      <c r="L120" s="1125">
        <v>1128.6000000000001</v>
      </c>
      <c r="M120" s="1125">
        <v>2559.6</v>
      </c>
      <c r="N120" s="1128">
        <v>53.240000343322755</v>
      </c>
      <c r="O120" s="1128">
        <v>56.659999656677243</v>
      </c>
      <c r="P120" s="1128">
        <v>60.619999313354491</v>
      </c>
      <c r="Q120" s="1128">
        <v>69.260001373291018</v>
      </c>
      <c r="R120" s="1128">
        <v>75.919999313354495</v>
      </c>
      <c r="S120" s="1128">
        <v>75.560001373291016</v>
      </c>
      <c r="T120" s="1128">
        <v>81.5</v>
      </c>
      <c r="U120" s="1128">
        <v>79.16000137329101</v>
      </c>
      <c r="V120" s="1128">
        <v>77.900000000000006</v>
      </c>
      <c r="W120" s="1128">
        <v>71.780000686645508</v>
      </c>
      <c r="X120" s="1128">
        <v>62.6</v>
      </c>
      <c r="Y120" s="1128">
        <v>54.859999656677246</v>
      </c>
      <c r="Z120" s="1128">
        <v>68.316602997453245</v>
      </c>
      <c r="AA120" s="1128">
        <f t="shared" si="75"/>
        <v>65.381824834565379</v>
      </c>
      <c r="AB120" s="1128">
        <f t="shared" si="76"/>
        <v>65.726177824480303</v>
      </c>
      <c r="AC120" s="1128">
        <f t="shared" si="77"/>
        <v>68.309757518189727</v>
      </c>
      <c r="AD120" s="1128">
        <f t="shared" si="78"/>
        <v>72.459114054360043</v>
      </c>
      <c r="AE120" s="1128">
        <f t="shared" si="79"/>
        <v>77.092653708318679</v>
      </c>
      <c r="AF120" s="1128">
        <f t="shared" si="80"/>
        <v>81.002572964253829</v>
      </c>
      <c r="AG120" s="1128">
        <f t="shared" si="81"/>
        <v>83.169691114426428</v>
      </c>
      <c r="AH120" s="1128">
        <f t="shared" si="82"/>
        <v>83.029115416692363</v>
      </c>
      <c r="AI120" s="1128">
        <f t="shared" si="83"/>
        <v>80.617489093003115</v>
      </c>
      <c r="AJ120" s="1128">
        <f t="shared" si="84"/>
        <v>76.563439708914885</v>
      </c>
      <c r="AK120" s="1128">
        <f t="shared" si="85"/>
        <v>71.923717711182363</v>
      </c>
      <c r="AL120" s="1128">
        <f t="shared" si="86"/>
        <v>67.907738138794826</v>
      </c>
      <c r="AM120" s="1125">
        <f t="shared" si="87"/>
        <v>1</v>
      </c>
      <c r="AN120" s="1125">
        <f t="shared" si="88"/>
        <v>1</v>
      </c>
      <c r="AO120" s="1125">
        <f t="shared" si="89"/>
        <v>1</v>
      </c>
      <c r="AP120" s="1125">
        <f t="shared" si="90"/>
        <v>0</v>
      </c>
      <c r="AQ120" s="1125">
        <f t="shared" si="91"/>
        <v>0</v>
      </c>
      <c r="AR120" s="1125">
        <f t="shared" si="92"/>
        <v>0</v>
      </c>
      <c r="AS120" s="1125">
        <f t="shared" si="93"/>
        <v>0</v>
      </c>
      <c r="AT120" s="1125">
        <f t="shared" si="94"/>
        <v>0</v>
      </c>
      <c r="AU120" s="1125">
        <f t="shared" si="95"/>
        <v>0</v>
      </c>
      <c r="AV120" s="1125">
        <f t="shared" si="96"/>
        <v>0</v>
      </c>
      <c r="AW120" s="1125">
        <f t="shared" si="97"/>
        <v>1</v>
      </c>
      <c r="AX120" s="1125">
        <f t="shared" si="98"/>
        <v>1</v>
      </c>
      <c r="AY120" s="1125">
        <f t="shared" si="99"/>
        <v>0</v>
      </c>
      <c r="AZ120" s="1125">
        <f t="shared" si="100"/>
        <v>0</v>
      </c>
      <c r="BA120" s="1125">
        <f t="shared" si="101"/>
        <v>0</v>
      </c>
      <c r="BB120" s="1125">
        <f t="shared" si="102"/>
        <v>1</v>
      </c>
      <c r="BC120" s="1125">
        <f t="shared" si="103"/>
        <v>1</v>
      </c>
      <c r="BD120" s="1125">
        <f t="shared" si="104"/>
        <v>1</v>
      </c>
      <c r="BE120" s="1125">
        <f t="shared" si="105"/>
        <v>1</v>
      </c>
      <c r="BF120" s="1125">
        <f t="shared" si="106"/>
        <v>1</v>
      </c>
      <c r="BG120" s="1125">
        <f t="shared" si="107"/>
        <v>1</v>
      </c>
      <c r="BH120" s="1125">
        <f t="shared" si="108"/>
        <v>1</v>
      </c>
      <c r="BI120" s="1125">
        <f t="shared" si="109"/>
        <v>0</v>
      </c>
      <c r="BJ120" s="1125">
        <f t="shared" si="110"/>
        <v>0</v>
      </c>
      <c r="BK120" s="1125">
        <f t="shared" si="111"/>
        <v>1</v>
      </c>
      <c r="BL120" s="1125">
        <f t="shared" si="112"/>
        <v>1</v>
      </c>
      <c r="BM120" s="1125">
        <f t="shared" si="113"/>
        <v>1</v>
      </c>
      <c r="BN120" s="1125">
        <f t="shared" si="114"/>
        <v>1</v>
      </c>
      <c r="BO120" s="1125">
        <f t="shared" si="115"/>
        <v>0</v>
      </c>
      <c r="BP120" s="1125">
        <f t="shared" si="116"/>
        <v>0</v>
      </c>
      <c r="BQ120" s="1125">
        <f t="shared" si="117"/>
        <v>0</v>
      </c>
      <c r="BR120" s="1125">
        <f t="shared" si="118"/>
        <v>0</v>
      </c>
      <c r="BS120" s="1125">
        <f t="shared" si="119"/>
        <v>0</v>
      </c>
      <c r="BT120" s="1125">
        <f t="shared" si="120"/>
        <v>0</v>
      </c>
      <c r="BU120" s="1125">
        <f t="shared" si="121"/>
        <v>1</v>
      </c>
      <c r="BV120" s="1125">
        <f t="shared" si="122"/>
        <v>1</v>
      </c>
      <c r="BW120" s="1125">
        <f t="shared" si="123"/>
        <v>0</v>
      </c>
      <c r="BX120" s="1125">
        <f t="shared" si="124"/>
        <v>0</v>
      </c>
      <c r="BY120" s="1125">
        <f t="shared" si="125"/>
        <v>1</v>
      </c>
      <c r="BZ120" s="1125">
        <f t="shared" si="126"/>
        <v>1</v>
      </c>
      <c r="CA120" s="1125">
        <f t="shared" si="127"/>
        <v>1</v>
      </c>
      <c r="CB120" s="1125">
        <f t="shared" si="128"/>
        <v>1</v>
      </c>
      <c r="CC120" s="1125">
        <f t="shared" si="129"/>
        <v>1</v>
      </c>
      <c r="CD120" s="1125">
        <f t="shared" si="130"/>
        <v>1</v>
      </c>
      <c r="CE120" s="1125">
        <f t="shared" si="131"/>
        <v>1</v>
      </c>
      <c r="CF120" s="1125">
        <f t="shared" si="132"/>
        <v>1</v>
      </c>
      <c r="CG120" s="1125">
        <f t="shared" si="133"/>
        <v>1</v>
      </c>
      <c r="CH120" s="1125">
        <f t="shared" si="134"/>
        <v>0</v>
      </c>
      <c r="CI120" s="1125">
        <f t="shared" si="135"/>
        <v>0.85</v>
      </c>
      <c r="CJ120" s="1125">
        <f t="shared" si="136"/>
        <v>0.85</v>
      </c>
      <c r="CK120" s="1125">
        <f t="shared" si="137"/>
        <v>0.85</v>
      </c>
      <c r="CL120" s="1125">
        <f t="shared" si="138"/>
        <v>0.85</v>
      </c>
      <c r="CM120" s="1125">
        <f t="shared" si="139"/>
        <v>0.7</v>
      </c>
      <c r="CN120" s="1125">
        <f t="shared" si="140"/>
        <v>0.7</v>
      </c>
      <c r="CO120" s="1125">
        <f t="shared" si="141"/>
        <v>0.7</v>
      </c>
      <c r="CP120" s="1125">
        <f t="shared" si="142"/>
        <v>0.7</v>
      </c>
      <c r="CQ120" s="1125">
        <f t="shared" si="143"/>
        <v>0.7</v>
      </c>
      <c r="CR120" s="1125">
        <f t="shared" si="144"/>
        <v>0.7</v>
      </c>
      <c r="CS120" s="1125">
        <f t="shared" si="145"/>
        <v>0.85</v>
      </c>
      <c r="CT120" s="1125">
        <f t="shared" si="146"/>
        <v>0.85</v>
      </c>
      <c r="CU120" s="1125">
        <v>1</v>
      </c>
      <c r="CV120" s="1125"/>
      <c r="CW120" s="1125">
        <f t="shared" si="147"/>
        <v>275</v>
      </c>
      <c r="CX120" s="1125">
        <f t="shared" si="148"/>
        <v>90</v>
      </c>
      <c r="CY120" s="1136" t="s">
        <v>4883</v>
      </c>
      <c r="CZ120" s="1129" t="s">
        <v>4884</v>
      </c>
      <c r="DA120" s="1129"/>
      <c r="DB120" s="1129"/>
      <c r="DC120" s="1125" t="s">
        <v>5136</v>
      </c>
      <c r="DD120" s="1125" t="s">
        <v>428</v>
      </c>
      <c r="DE120" s="1120" t="str">
        <f t="shared" si="149"/>
        <v/>
      </c>
      <c r="DF120" s="1133">
        <v>0</v>
      </c>
      <c r="DG120" s="1125">
        <v>0</v>
      </c>
    </row>
    <row r="121" spans="1:111">
      <c r="A121" s="1120" t="s">
        <v>3066</v>
      </c>
      <c r="B121" s="1125" t="s">
        <v>4464</v>
      </c>
      <c r="C121" s="1125" t="s">
        <v>4465</v>
      </c>
      <c r="D121" s="1125" t="s">
        <v>905</v>
      </c>
      <c r="E121" s="1125">
        <v>7583</v>
      </c>
      <c r="F121" s="1125">
        <v>-112.15</v>
      </c>
      <c r="G121" s="1125">
        <v>37.700000000000003</v>
      </c>
      <c r="H121" s="1125">
        <v>-7</v>
      </c>
      <c r="I121" s="1126">
        <v>-7.7800006866455087</v>
      </c>
      <c r="J121" s="1126">
        <v>84.380000686645502</v>
      </c>
      <c r="K121" s="1127">
        <v>54.140000343322754</v>
      </c>
      <c r="L121" s="1125">
        <v>8564.4</v>
      </c>
      <c r="M121" s="1125">
        <v>59.4</v>
      </c>
      <c r="N121" s="1128">
        <v>18.859999656677246</v>
      </c>
      <c r="O121" s="1128">
        <v>20.659999656677247</v>
      </c>
      <c r="P121" s="1128">
        <v>27.679999828338623</v>
      </c>
      <c r="Q121" s="1128">
        <v>41.359999656677246</v>
      </c>
      <c r="R121" s="1128">
        <v>51.980000686645511</v>
      </c>
      <c r="S121" s="1128">
        <v>57.019999313354489</v>
      </c>
      <c r="T121" s="1128">
        <v>63.139998626708987</v>
      </c>
      <c r="U121" s="1128">
        <v>62.6</v>
      </c>
      <c r="V121" s="1128">
        <v>56.119999313354491</v>
      </c>
      <c r="W121" s="1128">
        <v>40.279999828338624</v>
      </c>
      <c r="X121" s="1128">
        <v>29.839999914169312</v>
      </c>
      <c r="Y121" s="1128">
        <v>22.279999828338624</v>
      </c>
      <c r="Z121" s="1128">
        <v>41.0961640778633</v>
      </c>
      <c r="AA121" s="1128">
        <f t="shared" si="75"/>
        <v>40.569230712511619</v>
      </c>
      <c r="AB121" s="1128">
        <f t="shared" si="76"/>
        <v>38.958929788973883</v>
      </c>
      <c r="AC121" s="1128">
        <f t="shared" si="77"/>
        <v>39.469724381411339</v>
      </c>
      <c r="AD121" s="1128">
        <f t="shared" si="78"/>
        <v>41.968468007722237</v>
      </c>
      <c r="AE121" s="1128">
        <f t="shared" si="79"/>
        <v>45.803824634903769</v>
      </c>
      <c r="AF121" s="1128">
        <f t="shared" si="80"/>
        <v>49.97604945344635</v>
      </c>
      <c r="AG121" s="1128">
        <f t="shared" si="81"/>
        <v>53.397587768466195</v>
      </c>
      <c r="AH121" s="1128">
        <f t="shared" si="82"/>
        <v>55.176562890651887</v>
      </c>
      <c r="AI121" s="1128">
        <f t="shared" si="83"/>
        <v>54.849257539569258</v>
      </c>
      <c r="AJ121" s="1128">
        <f t="shared" si="84"/>
        <v>52.500988898906137</v>
      </c>
      <c r="AK121" s="1128">
        <f t="shared" si="85"/>
        <v>48.743869377766515</v>
      </c>
      <c r="AL121" s="1128">
        <f t="shared" si="86"/>
        <v>44.557250078299838</v>
      </c>
      <c r="AM121" s="1125">
        <f t="shared" si="87"/>
        <v>1</v>
      </c>
      <c r="AN121" s="1125">
        <f t="shared" si="88"/>
        <v>1</v>
      </c>
      <c r="AO121" s="1125">
        <f t="shared" si="89"/>
        <v>1</v>
      </c>
      <c r="AP121" s="1125">
        <f t="shared" si="90"/>
        <v>1</v>
      </c>
      <c r="AQ121" s="1125">
        <f t="shared" si="91"/>
        <v>1</v>
      </c>
      <c r="AR121" s="1125">
        <f t="shared" si="92"/>
        <v>1</v>
      </c>
      <c r="AS121" s="1125">
        <f t="shared" si="93"/>
        <v>1</v>
      </c>
      <c r="AT121" s="1125">
        <f t="shared" si="94"/>
        <v>1</v>
      </c>
      <c r="AU121" s="1125">
        <f t="shared" si="95"/>
        <v>1</v>
      </c>
      <c r="AV121" s="1125">
        <f t="shared" si="96"/>
        <v>1</v>
      </c>
      <c r="AW121" s="1125">
        <f t="shared" si="97"/>
        <v>1</v>
      </c>
      <c r="AX121" s="1125">
        <f t="shared" si="98"/>
        <v>1</v>
      </c>
      <c r="AY121" s="1125">
        <f t="shared" si="99"/>
        <v>0</v>
      </c>
      <c r="AZ121" s="1125">
        <f t="shared" si="100"/>
        <v>0</v>
      </c>
      <c r="BA121" s="1125">
        <f t="shared" si="101"/>
        <v>0</v>
      </c>
      <c r="BB121" s="1125">
        <f t="shared" si="102"/>
        <v>0</v>
      </c>
      <c r="BC121" s="1125">
        <f t="shared" si="103"/>
        <v>0</v>
      </c>
      <c r="BD121" s="1125">
        <f t="shared" si="104"/>
        <v>0</v>
      </c>
      <c r="BE121" s="1125">
        <f t="shared" si="105"/>
        <v>1</v>
      </c>
      <c r="BF121" s="1125">
        <f t="shared" si="106"/>
        <v>1</v>
      </c>
      <c r="BG121" s="1125">
        <f t="shared" si="107"/>
        <v>0</v>
      </c>
      <c r="BH121" s="1125">
        <f t="shared" si="108"/>
        <v>0</v>
      </c>
      <c r="BI121" s="1125">
        <f t="shared" si="109"/>
        <v>0</v>
      </c>
      <c r="BJ121" s="1125">
        <f t="shared" si="110"/>
        <v>0</v>
      </c>
      <c r="BK121" s="1125">
        <f t="shared" si="111"/>
        <v>1</v>
      </c>
      <c r="BL121" s="1125">
        <f t="shared" si="112"/>
        <v>1</v>
      </c>
      <c r="BM121" s="1125">
        <f t="shared" si="113"/>
        <v>1</v>
      </c>
      <c r="BN121" s="1125">
        <f t="shared" si="114"/>
        <v>1</v>
      </c>
      <c r="BO121" s="1125">
        <f t="shared" si="115"/>
        <v>1</v>
      </c>
      <c r="BP121" s="1125">
        <f t="shared" si="116"/>
        <v>1</v>
      </c>
      <c r="BQ121" s="1125">
        <f t="shared" si="117"/>
        <v>1</v>
      </c>
      <c r="BR121" s="1125">
        <f t="shared" si="118"/>
        <v>1</v>
      </c>
      <c r="BS121" s="1125">
        <f t="shared" si="119"/>
        <v>1</v>
      </c>
      <c r="BT121" s="1125">
        <f t="shared" si="120"/>
        <v>1</v>
      </c>
      <c r="BU121" s="1125">
        <f t="shared" si="121"/>
        <v>1</v>
      </c>
      <c r="BV121" s="1125">
        <f t="shared" si="122"/>
        <v>1</v>
      </c>
      <c r="BW121" s="1125">
        <f t="shared" si="123"/>
        <v>0</v>
      </c>
      <c r="BX121" s="1125">
        <f t="shared" si="124"/>
        <v>0</v>
      </c>
      <c r="BY121" s="1125">
        <f t="shared" si="125"/>
        <v>0</v>
      </c>
      <c r="BZ121" s="1125">
        <f t="shared" si="126"/>
        <v>0</v>
      </c>
      <c r="CA121" s="1125">
        <f t="shared" si="127"/>
        <v>0</v>
      </c>
      <c r="CB121" s="1125">
        <f t="shared" si="128"/>
        <v>0</v>
      </c>
      <c r="CC121" s="1125">
        <f t="shared" si="129"/>
        <v>1</v>
      </c>
      <c r="CD121" s="1125">
        <f t="shared" si="130"/>
        <v>1</v>
      </c>
      <c r="CE121" s="1125">
        <f t="shared" si="131"/>
        <v>0</v>
      </c>
      <c r="CF121" s="1125">
        <f t="shared" si="132"/>
        <v>0</v>
      </c>
      <c r="CG121" s="1125">
        <f t="shared" si="133"/>
        <v>0</v>
      </c>
      <c r="CH121" s="1125">
        <f t="shared" si="134"/>
        <v>0</v>
      </c>
      <c r="CI121" s="1125">
        <f t="shared" si="135"/>
        <v>0.85</v>
      </c>
      <c r="CJ121" s="1125">
        <f t="shared" si="136"/>
        <v>0.85</v>
      </c>
      <c r="CK121" s="1125">
        <f t="shared" si="137"/>
        <v>0.85</v>
      </c>
      <c r="CL121" s="1125">
        <f t="shared" si="138"/>
        <v>0.85</v>
      </c>
      <c r="CM121" s="1125">
        <f t="shared" si="139"/>
        <v>0.85</v>
      </c>
      <c r="CN121" s="1125">
        <f t="shared" si="140"/>
        <v>0.85</v>
      </c>
      <c r="CO121" s="1125">
        <f t="shared" si="141"/>
        <v>0.85</v>
      </c>
      <c r="CP121" s="1125">
        <f t="shared" si="142"/>
        <v>0.85</v>
      </c>
      <c r="CQ121" s="1125">
        <f t="shared" si="143"/>
        <v>0.85</v>
      </c>
      <c r="CR121" s="1125">
        <f t="shared" si="144"/>
        <v>0.85</v>
      </c>
      <c r="CS121" s="1125">
        <f t="shared" si="145"/>
        <v>0.85</v>
      </c>
      <c r="CT121" s="1125">
        <f t="shared" si="146"/>
        <v>0.85</v>
      </c>
      <c r="CU121" s="1125">
        <v>1</v>
      </c>
      <c r="CV121" s="1125"/>
      <c r="CW121" s="1125">
        <f t="shared" si="147"/>
        <v>62</v>
      </c>
      <c r="CX121" s="1125">
        <f t="shared" si="148"/>
        <v>303</v>
      </c>
      <c r="CY121" s="1136" t="s">
        <v>4889</v>
      </c>
      <c r="CZ121" s="1129" t="s">
        <v>4890</v>
      </c>
      <c r="DA121" s="1129"/>
      <c r="DB121" s="1129"/>
      <c r="DC121" s="1125" t="s">
        <v>5618</v>
      </c>
      <c r="DD121" s="1125" t="s">
        <v>905</v>
      </c>
      <c r="DE121" s="1120" t="str">
        <f t="shared" si="149"/>
        <v/>
      </c>
      <c r="DF121" s="1133">
        <v>0</v>
      </c>
      <c r="DG121" s="1120">
        <v>0</v>
      </c>
    </row>
    <row r="122" spans="1:111">
      <c r="A122" s="1125" t="s">
        <v>3068</v>
      </c>
      <c r="B122" s="1120" t="s">
        <v>4122</v>
      </c>
      <c r="C122" s="1120" t="s">
        <v>4123</v>
      </c>
      <c r="D122" s="1120" t="s">
        <v>537</v>
      </c>
      <c r="E122" s="1120">
        <v>705</v>
      </c>
      <c r="F122" s="1120">
        <v>-78.73</v>
      </c>
      <c r="G122" s="1120">
        <v>42.93</v>
      </c>
      <c r="H122" s="1120">
        <v>-5</v>
      </c>
      <c r="I122" s="1121">
        <v>6.6199993133544917</v>
      </c>
      <c r="J122" s="1121">
        <v>84.019999313354489</v>
      </c>
      <c r="K122" s="1122">
        <v>69.980000686645511</v>
      </c>
      <c r="L122" s="1120">
        <v>6409.8</v>
      </c>
      <c r="M122" s="1120">
        <v>529.20000000000005</v>
      </c>
      <c r="N122" s="1123">
        <v>25.879999828338622</v>
      </c>
      <c r="O122" s="1123">
        <v>24.440000343322755</v>
      </c>
      <c r="P122" s="1123">
        <v>36.860000085830691</v>
      </c>
      <c r="Q122" s="1123">
        <v>45.5</v>
      </c>
      <c r="R122" s="1123">
        <v>56.659999656677243</v>
      </c>
      <c r="S122" s="1123">
        <v>65.480000686645511</v>
      </c>
      <c r="T122" s="1123">
        <v>71.599999999999994</v>
      </c>
      <c r="U122" s="1123">
        <v>69.260001373291018</v>
      </c>
      <c r="V122" s="1123">
        <v>61.7</v>
      </c>
      <c r="W122" s="1123">
        <v>49.459999656677248</v>
      </c>
      <c r="X122" s="1123">
        <v>42.8</v>
      </c>
      <c r="Y122" s="1123">
        <v>28.039999914169311</v>
      </c>
      <c r="Z122" s="1123">
        <v>48.272000126512083</v>
      </c>
      <c r="AA122" s="1123">
        <f t="shared" si="75"/>
        <v>45.258521026028703</v>
      </c>
      <c r="AB122" s="1123">
        <f t="shared" si="76"/>
        <v>43.83348180756353</v>
      </c>
      <c r="AC122" s="1123">
        <f t="shared" si="77"/>
        <v>45.129403251368863</v>
      </c>
      <c r="AD122" s="1123">
        <f t="shared" si="78"/>
        <v>48.808483462362879</v>
      </c>
      <c r="AE122" s="1123">
        <f t="shared" si="79"/>
        <v>53.911713487207749</v>
      </c>
      <c r="AF122" s="1123">
        <f t="shared" si="80"/>
        <v>59.108857776772467</v>
      </c>
      <c r="AG122" s="1123">
        <f t="shared" si="81"/>
        <v>63.045200581564174</v>
      </c>
      <c r="AH122" s="1123">
        <f t="shared" si="82"/>
        <v>64.694673488635104</v>
      </c>
      <c r="AI122" s="1123">
        <f t="shared" si="83"/>
        <v>63.627315965610279</v>
      </c>
      <c r="AJ122" s="1123">
        <f t="shared" si="84"/>
        <v>60.121351199343451</v>
      </c>
      <c r="AK122" s="1123">
        <f t="shared" si="85"/>
        <v>55.090662934714544</v>
      </c>
      <c r="AL122" s="1123">
        <f t="shared" si="86"/>
        <v>49.846577593151899</v>
      </c>
      <c r="AM122" s="1120">
        <f t="shared" si="87"/>
        <v>1</v>
      </c>
      <c r="AN122" s="1120">
        <f t="shared" si="88"/>
        <v>1</v>
      </c>
      <c r="AO122" s="1120">
        <f t="shared" si="89"/>
        <v>1</v>
      </c>
      <c r="AP122" s="1120">
        <f t="shared" si="90"/>
        <v>1</v>
      </c>
      <c r="AQ122" s="1120">
        <f t="shared" si="91"/>
        <v>1</v>
      </c>
      <c r="AR122" s="1120">
        <f t="shared" si="92"/>
        <v>1</v>
      </c>
      <c r="AS122" s="1120">
        <f t="shared" si="93"/>
        <v>0</v>
      </c>
      <c r="AT122" s="1120">
        <f t="shared" si="94"/>
        <v>0</v>
      </c>
      <c r="AU122" s="1120">
        <f t="shared" si="95"/>
        <v>1</v>
      </c>
      <c r="AV122" s="1120">
        <f t="shared" si="96"/>
        <v>1</v>
      </c>
      <c r="AW122" s="1120">
        <f t="shared" si="97"/>
        <v>1</v>
      </c>
      <c r="AX122" s="1120">
        <f t="shared" si="98"/>
        <v>1</v>
      </c>
      <c r="AY122" s="1120">
        <f t="shared" si="99"/>
        <v>0</v>
      </c>
      <c r="AZ122" s="1120">
        <f t="shared" si="100"/>
        <v>0</v>
      </c>
      <c r="BA122" s="1120">
        <f t="shared" si="101"/>
        <v>0</v>
      </c>
      <c r="BB122" s="1120">
        <f t="shared" si="102"/>
        <v>0</v>
      </c>
      <c r="BC122" s="1120">
        <f t="shared" si="103"/>
        <v>0</v>
      </c>
      <c r="BD122" s="1120">
        <f t="shared" si="104"/>
        <v>0</v>
      </c>
      <c r="BE122" s="1120">
        <f t="shared" si="105"/>
        <v>1</v>
      </c>
      <c r="BF122" s="1120">
        <f t="shared" si="106"/>
        <v>1</v>
      </c>
      <c r="BG122" s="1120">
        <f t="shared" si="107"/>
        <v>0</v>
      </c>
      <c r="BH122" s="1120">
        <f t="shared" si="108"/>
        <v>0</v>
      </c>
      <c r="BI122" s="1120">
        <f t="shared" si="109"/>
        <v>0</v>
      </c>
      <c r="BJ122" s="1120">
        <f t="shared" si="110"/>
        <v>0</v>
      </c>
      <c r="BK122" s="1120">
        <f t="shared" si="111"/>
        <v>1</v>
      </c>
      <c r="BL122" s="1120">
        <f t="shared" si="112"/>
        <v>1</v>
      </c>
      <c r="BM122" s="1120">
        <f t="shared" si="113"/>
        <v>1</v>
      </c>
      <c r="BN122" s="1120">
        <f t="shared" si="114"/>
        <v>1</v>
      </c>
      <c r="BO122" s="1120">
        <f t="shared" si="115"/>
        <v>1</v>
      </c>
      <c r="BP122" s="1120">
        <f t="shared" si="116"/>
        <v>1</v>
      </c>
      <c r="BQ122" s="1120">
        <f t="shared" si="117"/>
        <v>1</v>
      </c>
      <c r="BR122" s="1120">
        <f t="shared" si="118"/>
        <v>0</v>
      </c>
      <c r="BS122" s="1120">
        <f t="shared" si="119"/>
        <v>1</v>
      </c>
      <c r="BT122" s="1120">
        <f t="shared" si="120"/>
        <v>1</v>
      </c>
      <c r="BU122" s="1120">
        <f t="shared" si="121"/>
        <v>1</v>
      </c>
      <c r="BV122" s="1120">
        <f t="shared" si="122"/>
        <v>1</v>
      </c>
      <c r="BW122" s="1120">
        <f t="shared" si="123"/>
        <v>0</v>
      </c>
      <c r="BX122" s="1120">
        <f t="shared" si="124"/>
        <v>0</v>
      </c>
      <c r="BY122" s="1120">
        <f t="shared" si="125"/>
        <v>0</v>
      </c>
      <c r="BZ122" s="1120">
        <f t="shared" si="126"/>
        <v>0</v>
      </c>
      <c r="CA122" s="1120">
        <f t="shared" si="127"/>
        <v>0</v>
      </c>
      <c r="CB122" s="1120">
        <f t="shared" si="128"/>
        <v>1</v>
      </c>
      <c r="CC122" s="1120">
        <f t="shared" si="129"/>
        <v>1</v>
      </c>
      <c r="CD122" s="1120">
        <f t="shared" si="130"/>
        <v>1</v>
      </c>
      <c r="CE122" s="1120">
        <f t="shared" si="131"/>
        <v>1</v>
      </c>
      <c r="CF122" s="1120">
        <f t="shared" si="132"/>
        <v>0</v>
      </c>
      <c r="CG122" s="1120">
        <f t="shared" si="133"/>
        <v>0</v>
      </c>
      <c r="CH122" s="1120">
        <f t="shared" si="134"/>
        <v>0</v>
      </c>
      <c r="CI122" s="1120">
        <f t="shared" si="135"/>
        <v>0.85</v>
      </c>
      <c r="CJ122" s="1120">
        <f t="shared" si="136"/>
        <v>0.85</v>
      </c>
      <c r="CK122" s="1120">
        <f t="shared" si="137"/>
        <v>0.85</v>
      </c>
      <c r="CL122" s="1120">
        <f t="shared" si="138"/>
        <v>0.85</v>
      </c>
      <c r="CM122" s="1120">
        <f t="shared" si="139"/>
        <v>0.85</v>
      </c>
      <c r="CN122" s="1120">
        <f t="shared" si="140"/>
        <v>0.85</v>
      </c>
      <c r="CO122" s="1120">
        <f t="shared" si="141"/>
        <v>0.85</v>
      </c>
      <c r="CP122" s="1120">
        <f t="shared" si="142"/>
        <v>0.7</v>
      </c>
      <c r="CQ122" s="1120">
        <f t="shared" si="143"/>
        <v>0.85</v>
      </c>
      <c r="CR122" s="1120">
        <f t="shared" si="144"/>
        <v>0.85</v>
      </c>
      <c r="CS122" s="1120">
        <f t="shared" si="145"/>
        <v>0.85</v>
      </c>
      <c r="CT122" s="1120">
        <f t="shared" si="146"/>
        <v>0.85</v>
      </c>
      <c r="CU122" s="1120">
        <v>1</v>
      </c>
      <c r="CV122" s="1120"/>
      <c r="CW122" s="1120">
        <f t="shared" si="147"/>
        <v>122</v>
      </c>
      <c r="CX122" s="1120">
        <f t="shared" si="148"/>
        <v>243</v>
      </c>
      <c r="CY122" s="1135" t="s">
        <v>4889</v>
      </c>
      <c r="CZ122" s="1124" t="s">
        <v>4897</v>
      </c>
      <c r="DA122" s="1124"/>
      <c r="DB122" s="1124"/>
      <c r="DC122" s="1120" t="s">
        <v>5473</v>
      </c>
      <c r="DD122" s="1120" t="s">
        <v>537</v>
      </c>
      <c r="DE122" s="1120" t="str">
        <f t="shared" si="149"/>
        <v/>
      </c>
      <c r="DF122" s="1133">
        <v>0</v>
      </c>
      <c r="DG122" s="1125">
        <v>0</v>
      </c>
    </row>
    <row r="123" spans="1:111">
      <c r="A123" s="1120" t="s">
        <v>3070</v>
      </c>
      <c r="B123" s="1125" t="s">
        <v>3096</v>
      </c>
      <c r="C123" s="1125" t="s">
        <v>3097</v>
      </c>
      <c r="D123" s="1125" t="s">
        <v>954</v>
      </c>
      <c r="E123" s="1125">
        <v>741</v>
      </c>
      <c r="F123" s="1125">
        <v>-118.35</v>
      </c>
      <c r="G123" s="1125">
        <v>34.200000000000003</v>
      </c>
      <c r="H123" s="1125">
        <v>-8</v>
      </c>
      <c r="I123" s="1126">
        <v>41.540000343322752</v>
      </c>
      <c r="J123" s="1126">
        <v>94.639998626708987</v>
      </c>
      <c r="K123" s="1127">
        <v>68.180000686645513</v>
      </c>
      <c r="L123" s="1125">
        <v>1454.4</v>
      </c>
      <c r="M123" s="1125">
        <v>1342.8</v>
      </c>
      <c r="N123" s="1128">
        <v>55.219999313354492</v>
      </c>
      <c r="O123" s="1128">
        <v>54.319999313354494</v>
      </c>
      <c r="P123" s="1128">
        <v>58.1</v>
      </c>
      <c r="Q123" s="1128">
        <v>63.5</v>
      </c>
      <c r="R123" s="1128">
        <v>66.560001373291016</v>
      </c>
      <c r="S123" s="1128">
        <v>68.180000686645513</v>
      </c>
      <c r="T123" s="1128">
        <v>73.039998626708979</v>
      </c>
      <c r="U123" s="1128">
        <v>74.3</v>
      </c>
      <c r="V123" s="1128">
        <v>78.439998626708984</v>
      </c>
      <c r="W123" s="1128">
        <v>62.6</v>
      </c>
      <c r="X123" s="1128">
        <v>59.719999313354492</v>
      </c>
      <c r="Y123" s="1128">
        <v>54.680000686645506</v>
      </c>
      <c r="Z123" s="1128">
        <v>64.097698464589584</v>
      </c>
      <c r="AA123" s="1128">
        <f t="shared" si="75"/>
        <v>63.086949264937779</v>
      </c>
      <c r="AB123" s="1128">
        <f t="shared" si="76"/>
        <v>63.093170672530469</v>
      </c>
      <c r="AC123" s="1128">
        <f t="shared" si="77"/>
        <v>64.925230192164051</v>
      </c>
      <c r="AD123" s="1128">
        <f t="shared" si="78"/>
        <v>68.105573277154235</v>
      </c>
      <c r="AE123" s="1128">
        <f t="shared" si="79"/>
        <v>71.805194491827848</v>
      </c>
      <c r="AF123" s="1128">
        <f t="shared" si="80"/>
        <v>75.059730553691537</v>
      </c>
      <c r="AG123" s="1128">
        <f t="shared" si="81"/>
        <v>77.020836484301654</v>
      </c>
      <c r="AH123" s="1128">
        <f t="shared" si="82"/>
        <v>77.177319801287496</v>
      </c>
      <c r="AI123" s="1128">
        <f t="shared" si="83"/>
        <v>75.488390716595802</v>
      </c>
      <c r="AJ123" s="1128">
        <f t="shared" si="84"/>
        <v>72.394294623336478</v>
      </c>
      <c r="AK123" s="1128">
        <f t="shared" si="85"/>
        <v>68.701555349681669</v>
      </c>
      <c r="AL123" s="1128">
        <f t="shared" si="86"/>
        <v>65.372742294144274</v>
      </c>
      <c r="AM123" s="1125">
        <f t="shared" si="87"/>
        <v>1</v>
      </c>
      <c r="AN123" s="1125">
        <f t="shared" si="88"/>
        <v>1</v>
      </c>
      <c r="AO123" s="1125">
        <f t="shared" si="89"/>
        <v>1</v>
      </c>
      <c r="AP123" s="1125">
        <f t="shared" si="90"/>
        <v>1</v>
      </c>
      <c r="AQ123" s="1125">
        <f t="shared" si="91"/>
        <v>0</v>
      </c>
      <c r="AR123" s="1125">
        <f t="shared" si="92"/>
        <v>0</v>
      </c>
      <c r="AS123" s="1125">
        <f t="shared" si="93"/>
        <v>0</v>
      </c>
      <c r="AT123" s="1125">
        <f t="shared" si="94"/>
        <v>0</v>
      </c>
      <c r="AU123" s="1125">
        <f t="shared" si="95"/>
        <v>0</v>
      </c>
      <c r="AV123" s="1125">
        <f t="shared" si="96"/>
        <v>1</v>
      </c>
      <c r="AW123" s="1125">
        <f t="shared" si="97"/>
        <v>1</v>
      </c>
      <c r="AX123" s="1125">
        <f t="shared" si="98"/>
        <v>1</v>
      </c>
      <c r="AY123" s="1125">
        <f t="shared" si="99"/>
        <v>0</v>
      </c>
      <c r="AZ123" s="1125">
        <f t="shared" si="100"/>
        <v>0</v>
      </c>
      <c r="BA123" s="1125">
        <f t="shared" si="101"/>
        <v>0</v>
      </c>
      <c r="BB123" s="1125">
        <f t="shared" si="102"/>
        <v>0</v>
      </c>
      <c r="BC123" s="1125">
        <f t="shared" si="103"/>
        <v>1</v>
      </c>
      <c r="BD123" s="1125">
        <f t="shared" si="104"/>
        <v>1</v>
      </c>
      <c r="BE123" s="1125">
        <f t="shared" si="105"/>
        <v>1</v>
      </c>
      <c r="BF123" s="1125">
        <f t="shared" si="106"/>
        <v>1</v>
      </c>
      <c r="BG123" s="1125">
        <f t="shared" si="107"/>
        <v>1</v>
      </c>
      <c r="BH123" s="1125">
        <f t="shared" si="108"/>
        <v>0</v>
      </c>
      <c r="BI123" s="1125">
        <f t="shared" si="109"/>
        <v>0</v>
      </c>
      <c r="BJ123" s="1125">
        <f t="shared" si="110"/>
        <v>0</v>
      </c>
      <c r="BK123" s="1125">
        <f t="shared" si="111"/>
        <v>1</v>
      </c>
      <c r="BL123" s="1125">
        <f t="shared" si="112"/>
        <v>1</v>
      </c>
      <c r="BM123" s="1125">
        <f t="shared" si="113"/>
        <v>1</v>
      </c>
      <c r="BN123" s="1125">
        <f t="shared" si="114"/>
        <v>1</v>
      </c>
      <c r="BO123" s="1125">
        <f t="shared" si="115"/>
        <v>1</v>
      </c>
      <c r="BP123" s="1125">
        <f t="shared" si="116"/>
        <v>0</v>
      </c>
      <c r="BQ123" s="1125">
        <f t="shared" si="117"/>
        <v>0</v>
      </c>
      <c r="BR123" s="1125">
        <f t="shared" si="118"/>
        <v>0</v>
      </c>
      <c r="BS123" s="1125">
        <f t="shared" si="119"/>
        <v>0</v>
      </c>
      <c r="BT123" s="1125">
        <f t="shared" si="120"/>
        <v>1</v>
      </c>
      <c r="BU123" s="1125">
        <f t="shared" si="121"/>
        <v>1</v>
      </c>
      <c r="BV123" s="1125">
        <f t="shared" si="122"/>
        <v>1</v>
      </c>
      <c r="BW123" s="1125">
        <f t="shared" si="123"/>
        <v>0</v>
      </c>
      <c r="BX123" s="1125">
        <f t="shared" si="124"/>
        <v>0</v>
      </c>
      <c r="BY123" s="1125">
        <f t="shared" si="125"/>
        <v>0</v>
      </c>
      <c r="BZ123" s="1125">
        <f t="shared" si="126"/>
        <v>1</v>
      </c>
      <c r="CA123" s="1125">
        <f t="shared" si="127"/>
        <v>1</v>
      </c>
      <c r="CB123" s="1125">
        <f t="shared" si="128"/>
        <v>1</v>
      </c>
      <c r="CC123" s="1125">
        <f t="shared" si="129"/>
        <v>1</v>
      </c>
      <c r="CD123" s="1125">
        <f t="shared" si="130"/>
        <v>1</v>
      </c>
      <c r="CE123" s="1125">
        <f t="shared" si="131"/>
        <v>1</v>
      </c>
      <c r="CF123" s="1125">
        <f t="shared" si="132"/>
        <v>1</v>
      </c>
      <c r="CG123" s="1125">
        <f t="shared" si="133"/>
        <v>0</v>
      </c>
      <c r="CH123" s="1125">
        <f t="shared" si="134"/>
        <v>0</v>
      </c>
      <c r="CI123" s="1125">
        <f t="shared" si="135"/>
        <v>0.85</v>
      </c>
      <c r="CJ123" s="1125">
        <f t="shared" si="136"/>
        <v>0.85</v>
      </c>
      <c r="CK123" s="1125">
        <f t="shared" si="137"/>
        <v>0.85</v>
      </c>
      <c r="CL123" s="1125">
        <f t="shared" si="138"/>
        <v>0.85</v>
      </c>
      <c r="CM123" s="1125">
        <f t="shared" si="139"/>
        <v>0.85</v>
      </c>
      <c r="CN123" s="1125">
        <f t="shared" si="140"/>
        <v>0.7</v>
      </c>
      <c r="CO123" s="1125">
        <f t="shared" si="141"/>
        <v>0.7</v>
      </c>
      <c r="CP123" s="1125">
        <f t="shared" si="142"/>
        <v>0.7</v>
      </c>
      <c r="CQ123" s="1125">
        <f t="shared" si="143"/>
        <v>0.7</v>
      </c>
      <c r="CR123" s="1125">
        <f t="shared" si="144"/>
        <v>0.85</v>
      </c>
      <c r="CS123" s="1125">
        <f t="shared" si="145"/>
        <v>0.85</v>
      </c>
      <c r="CT123" s="1125">
        <f t="shared" si="146"/>
        <v>0.85</v>
      </c>
      <c r="CU123" s="1125">
        <v>1</v>
      </c>
      <c r="CV123" s="1125"/>
      <c r="CW123" s="1125">
        <f t="shared" si="147"/>
        <v>214</v>
      </c>
      <c r="CX123" s="1125">
        <f t="shared" si="148"/>
        <v>151</v>
      </c>
      <c r="CY123" s="1136" t="s">
        <v>4886</v>
      </c>
      <c r="CZ123" s="1129" t="s">
        <v>4888</v>
      </c>
      <c r="DA123" s="1129"/>
      <c r="DB123" s="1129"/>
      <c r="DC123" s="1125" t="s">
        <v>5016</v>
      </c>
      <c r="DD123" s="1125" t="s">
        <v>954</v>
      </c>
      <c r="DE123" s="1125" t="b">
        <f t="shared" si="149"/>
        <v>0</v>
      </c>
      <c r="DF123" s="1125">
        <v>0</v>
      </c>
      <c r="DG123" s="1120">
        <v>0</v>
      </c>
    </row>
    <row r="124" spans="1:111">
      <c r="A124" s="1125" t="s">
        <v>3072</v>
      </c>
      <c r="B124" s="1120" t="s">
        <v>4168</v>
      </c>
      <c r="C124" s="1120" t="s">
        <v>4169</v>
      </c>
      <c r="D124" s="1120" t="s">
        <v>229</v>
      </c>
      <c r="E124" s="1120">
        <v>597</v>
      </c>
      <c r="F124" s="1120">
        <v>-81.680000000000007</v>
      </c>
      <c r="G124" s="1120">
        <v>41.52</v>
      </c>
      <c r="H124" s="1120">
        <v>-5</v>
      </c>
      <c r="I124" s="1121">
        <v>6.6199993133544917</v>
      </c>
      <c r="J124" s="1121">
        <v>88.16000137329101</v>
      </c>
      <c r="K124" s="1122">
        <v>77.180000686645513</v>
      </c>
      <c r="L124" s="1120">
        <v>5909.4000000000005</v>
      </c>
      <c r="M124" s="1120">
        <v>846</v>
      </c>
      <c r="N124" s="1123">
        <v>22.640000343322754</v>
      </c>
      <c r="O124" s="1123">
        <v>32.720000010728839</v>
      </c>
      <c r="P124" s="1123">
        <v>34.519999957084657</v>
      </c>
      <c r="Q124" s="1123">
        <v>48.740000343322755</v>
      </c>
      <c r="R124" s="1123">
        <v>58.459999656677248</v>
      </c>
      <c r="S124" s="1123">
        <v>71.239998626708982</v>
      </c>
      <c r="T124" s="1123">
        <v>73.039998626708979</v>
      </c>
      <c r="U124" s="1123">
        <v>70.16000137329101</v>
      </c>
      <c r="V124" s="1123">
        <v>66.2</v>
      </c>
      <c r="W124" s="1123">
        <v>53.240000343322755</v>
      </c>
      <c r="X124" s="1123">
        <v>50</v>
      </c>
      <c r="Y124" s="1123">
        <v>24.620000171661378</v>
      </c>
      <c r="Z124" s="1123">
        <v>50.516821874069841</v>
      </c>
      <c r="AA124" s="1123">
        <f t="shared" si="75"/>
        <v>46.174818576135635</v>
      </c>
      <c r="AB124" s="1123">
        <f t="shared" si="76"/>
        <v>44.798576476683039</v>
      </c>
      <c r="AC124" s="1123">
        <f t="shared" si="77"/>
        <v>46.476875623687114</v>
      </c>
      <c r="AD124" s="1123">
        <f t="shared" si="78"/>
        <v>50.772241481108502</v>
      </c>
      <c r="AE124" s="1123">
        <f t="shared" si="79"/>
        <v>56.565020744618799</v>
      </c>
      <c r="AF124" s="1123">
        <f t="shared" si="80"/>
        <v>62.345236229753432</v>
      </c>
      <c r="AG124" s="1123">
        <f t="shared" si="81"/>
        <v>66.606185694495124</v>
      </c>
      <c r="AH124" s="1123">
        <f t="shared" si="82"/>
        <v>68.237186997640109</v>
      </c>
      <c r="AI124" s="1123">
        <f t="shared" si="83"/>
        <v>66.813094515032731</v>
      </c>
      <c r="AJ124" s="1123">
        <f t="shared" si="84"/>
        <v>62.70511989819407</v>
      </c>
      <c r="AK124" s="1123">
        <f t="shared" si="85"/>
        <v>56.98407003680822</v>
      </c>
      <c r="AL124" s="1123">
        <f t="shared" si="86"/>
        <v>51.141224741292476</v>
      </c>
      <c r="AM124" s="1120">
        <f t="shared" si="87"/>
        <v>1</v>
      </c>
      <c r="AN124" s="1120">
        <f t="shared" si="88"/>
        <v>1</v>
      </c>
      <c r="AO124" s="1120">
        <f t="shared" si="89"/>
        <v>1</v>
      </c>
      <c r="AP124" s="1120">
        <f t="shared" si="90"/>
        <v>1</v>
      </c>
      <c r="AQ124" s="1120">
        <f t="shared" si="91"/>
        <v>1</v>
      </c>
      <c r="AR124" s="1120">
        <f t="shared" si="92"/>
        <v>0</v>
      </c>
      <c r="AS124" s="1120">
        <f t="shared" si="93"/>
        <v>0</v>
      </c>
      <c r="AT124" s="1120">
        <f t="shared" si="94"/>
        <v>0</v>
      </c>
      <c r="AU124" s="1120">
        <f t="shared" si="95"/>
        <v>0</v>
      </c>
      <c r="AV124" s="1120">
        <f t="shared" si="96"/>
        <v>1</v>
      </c>
      <c r="AW124" s="1120">
        <f t="shared" si="97"/>
        <v>1</v>
      </c>
      <c r="AX124" s="1120">
        <f t="shared" si="98"/>
        <v>1</v>
      </c>
      <c r="AY124" s="1120">
        <f t="shared" si="99"/>
        <v>0</v>
      </c>
      <c r="AZ124" s="1120">
        <f t="shared" si="100"/>
        <v>0</v>
      </c>
      <c r="BA124" s="1120">
        <f t="shared" si="101"/>
        <v>0</v>
      </c>
      <c r="BB124" s="1120">
        <f t="shared" si="102"/>
        <v>0</v>
      </c>
      <c r="BC124" s="1120">
        <f t="shared" si="103"/>
        <v>0</v>
      </c>
      <c r="BD124" s="1120">
        <f t="shared" si="104"/>
        <v>1</v>
      </c>
      <c r="BE124" s="1120">
        <f t="shared" si="105"/>
        <v>1</v>
      </c>
      <c r="BF124" s="1120">
        <f t="shared" si="106"/>
        <v>1</v>
      </c>
      <c r="BG124" s="1120">
        <f t="shared" si="107"/>
        <v>1</v>
      </c>
      <c r="BH124" s="1120">
        <f t="shared" si="108"/>
        <v>0</v>
      </c>
      <c r="BI124" s="1120">
        <f t="shared" si="109"/>
        <v>0</v>
      </c>
      <c r="BJ124" s="1120">
        <f t="shared" si="110"/>
        <v>0</v>
      </c>
      <c r="BK124" s="1120">
        <f t="shared" si="111"/>
        <v>1</v>
      </c>
      <c r="BL124" s="1120">
        <f t="shared" si="112"/>
        <v>1</v>
      </c>
      <c r="BM124" s="1120">
        <f t="shared" si="113"/>
        <v>1</v>
      </c>
      <c r="BN124" s="1120">
        <f t="shared" si="114"/>
        <v>1</v>
      </c>
      <c r="BO124" s="1120">
        <f t="shared" si="115"/>
        <v>1</v>
      </c>
      <c r="BP124" s="1120">
        <f t="shared" si="116"/>
        <v>1</v>
      </c>
      <c r="BQ124" s="1120">
        <f t="shared" si="117"/>
        <v>0</v>
      </c>
      <c r="BR124" s="1120">
        <f t="shared" si="118"/>
        <v>0</v>
      </c>
      <c r="BS124" s="1120">
        <f t="shared" si="119"/>
        <v>0</v>
      </c>
      <c r="BT124" s="1120">
        <f t="shared" si="120"/>
        <v>1</v>
      </c>
      <c r="BU124" s="1120">
        <f t="shared" si="121"/>
        <v>1</v>
      </c>
      <c r="BV124" s="1120">
        <f t="shared" si="122"/>
        <v>1</v>
      </c>
      <c r="BW124" s="1120">
        <f t="shared" si="123"/>
        <v>0</v>
      </c>
      <c r="BX124" s="1120">
        <f t="shared" si="124"/>
        <v>0</v>
      </c>
      <c r="BY124" s="1120">
        <f t="shared" si="125"/>
        <v>0</v>
      </c>
      <c r="BZ124" s="1120">
        <f t="shared" si="126"/>
        <v>0</v>
      </c>
      <c r="CA124" s="1120">
        <f t="shared" si="127"/>
        <v>1</v>
      </c>
      <c r="CB124" s="1120">
        <f t="shared" si="128"/>
        <v>1</v>
      </c>
      <c r="CC124" s="1120">
        <f t="shared" si="129"/>
        <v>1</v>
      </c>
      <c r="CD124" s="1120">
        <f t="shared" si="130"/>
        <v>1</v>
      </c>
      <c r="CE124" s="1120">
        <f t="shared" si="131"/>
        <v>1</v>
      </c>
      <c r="CF124" s="1120">
        <f t="shared" si="132"/>
        <v>1</v>
      </c>
      <c r="CG124" s="1120">
        <f t="shared" si="133"/>
        <v>0</v>
      </c>
      <c r="CH124" s="1120">
        <f t="shared" si="134"/>
        <v>0</v>
      </c>
      <c r="CI124" s="1120">
        <f t="shared" si="135"/>
        <v>0.85</v>
      </c>
      <c r="CJ124" s="1120">
        <f t="shared" si="136"/>
        <v>0.85</v>
      </c>
      <c r="CK124" s="1120">
        <f t="shared" si="137"/>
        <v>0.85</v>
      </c>
      <c r="CL124" s="1120">
        <f t="shared" si="138"/>
        <v>0.85</v>
      </c>
      <c r="CM124" s="1120">
        <f t="shared" si="139"/>
        <v>0.85</v>
      </c>
      <c r="CN124" s="1120">
        <f t="shared" si="140"/>
        <v>0.85</v>
      </c>
      <c r="CO124" s="1120">
        <f t="shared" si="141"/>
        <v>0.7</v>
      </c>
      <c r="CP124" s="1120">
        <f t="shared" si="142"/>
        <v>0.7</v>
      </c>
      <c r="CQ124" s="1120">
        <f t="shared" si="143"/>
        <v>0.7</v>
      </c>
      <c r="CR124" s="1120">
        <f t="shared" si="144"/>
        <v>0.85</v>
      </c>
      <c r="CS124" s="1120">
        <f t="shared" si="145"/>
        <v>0.85</v>
      </c>
      <c r="CT124" s="1120">
        <f t="shared" si="146"/>
        <v>0.85</v>
      </c>
      <c r="CU124" s="1120">
        <v>1</v>
      </c>
      <c r="CV124" s="1120"/>
      <c r="CW124" s="1120">
        <f t="shared" si="147"/>
        <v>184</v>
      </c>
      <c r="CX124" s="1120">
        <f t="shared" si="148"/>
        <v>181</v>
      </c>
      <c r="CY124" s="1135" t="s">
        <v>4889</v>
      </c>
      <c r="CZ124" s="1124" t="s">
        <v>4897</v>
      </c>
      <c r="DA124" s="1124"/>
      <c r="DB124" s="1124"/>
      <c r="DC124" s="1120" t="s">
        <v>5490</v>
      </c>
      <c r="DD124" s="1120" t="s">
        <v>229</v>
      </c>
      <c r="DE124" s="1120" t="str">
        <f t="shared" si="149"/>
        <v/>
      </c>
      <c r="DF124" s="1133">
        <v>0</v>
      </c>
      <c r="DG124" s="1125">
        <v>0</v>
      </c>
    </row>
    <row r="125" spans="1:111">
      <c r="A125" s="1120" t="s">
        <v>3074</v>
      </c>
      <c r="B125" s="1120" t="s">
        <v>3477</v>
      </c>
      <c r="C125" s="1120" t="s">
        <v>3478</v>
      </c>
      <c r="D125" s="1120" t="s">
        <v>249</v>
      </c>
      <c r="E125" s="1120">
        <v>4156</v>
      </c>
      <c r="F125" s="1120">
        <v>-113.77</v>
      </c>
      <c r="G125" s="1120">
        <v>42.53</v>
      </c>
      <c r="H125" s="1120">
        <v>-7</v>
      </c>
      <c r="I125" s="1121">
        <v>6.2599996566772456</v>
      </c>
      <c r="J125" s="1121">
        <v>90.679997253417966</v>
      </c>
      <c r="K125" s="1122">
        <v>62.780000686645508</v>
      </c>
      <c r="L125" s="1120">
        <v>6120</v>
      </c>
      <c r="M125" s="1120">
        <v>676.80000000000007</v>
      </c>
      <c r="N125" s="1123">
        <v>29.839999914169312</v>
      </c>
      <c r="O125" s="1123">
        <v>30.919999957084656</v>
      </c>
      <c r="P125" s="1123">
        <v>41</v>
      </c>
      <c r="Q125" s="1123">
        <v>47.659999656677243</v>
      </c>
      <c r="R125" s="1123">
        <v>55.219999313354492</v>
      </c>
      <c r="S125" s="1123">
        <v>64.219999313354492</v>
      </c>
      <c r="T125" s="1123">
        <v>73.039998626708979</v>
      </c>
      <c r="U125" s="1123">
        <v>72.680000686645513</v>
      </c>
      <c r="V125" s="1123">
        <v>61.339998626708983</v>
      </c>
      <c r="W125" s="1123">
        <v>48.559999656677249</v>
      </c>
      <c r="X125" s="1123">
        <v>34.880000042915341</v>
      </c>
      <c r="Y125" s="1123">
        <v>33.080000042915344</v>
      </c>
      <c r="Z125" s="1123">
        <v>49.492547598473017</v>
      </c>
      <c r="AA125" s="1123">
        <f t="shared" si="75"/>
        <v>46.906049599819433</v>
      </c>
      <c r="AB125" s="1123">
        <f t="shared" si="76"/>
        <v>45.666510603283044</v>
      </c>
      <c r="AC125" s="1123">
        <f t="shared" si="77"/>
        <v>46.988279573356579</v>
      </c>
      <c r="AD125" s="1123">
        <f t="shared" si="78"/>
        <v>50.526817058913977</v>
      </c>
      <c r="AE125" s="1123">
        <f t="shared" si="79"/>
        <v>55.359748733831417</v>
      </c>
      <c r="AF125" s="1123">
        <f t="shared" si="80"/>
        <v>60.227296479310148</v>
      </c>
      <c r="AG125" s="1123">
        <f t="shared" si="81"/>
        <v>63.860658964309792</v>
      </c>
      <c r="AH125" s="1123">
        <f t="shared" si="82"/>
        <v>65.31274426530446</v>
      </c>
      <c r="AI125" s="1123">
        <f t="shared" si="83"/>
        <v>64.205043971278045</v>
      </c>
      <c r="AJ125" s="1123">
        <f t="shared" si="84"/>
        <v>60.826297234046763</v>
      </c>
      <c r="AK125" s="1123">
        <f t="shared" si="85"/>
        <v>56.057226458733247</v>
      </c>
      <c r="AL125" s="1123">
        <f t="shared" si="86"/>
        <v>51.140963436528281</v>
      </c>
      <c r="AM125" s="1120">
        <f t="shared" si="87"/>
        <v>1</v>
      </c>
      <c r="AN125" s="1120">
        <f t="shared" si="88"/>
        <v>1</v>
      </c>
      <c r="AO125" s="1120">
        <f t="shared" si="89"/>
        <v>1</v>
      </c>
      <c r="AP125" s="1120">
        <f t="shared" si="90"/>
        <v>1</v>
      </c>
      <c r="AQ125" s="1120">
        <f t="shared" si="91"/>
        <v>1</v>
      </c>
      <c r="AR125" s="1120">
        <f t="shared" si="92"/>
        <v>1</v>
      </c>
      <c r="AS125" s="1120">
        <f t="shared" si="93"/>
        <v>0</v>
      </c>
      <c r="AT125" s="1120">
        <f t="shared" si="94"/>
        <v>0</v>
      </c>
      <c r="AU125" s="1120">
        <f t="shared" si="95"/>
        <v>1</v>
      </c>
      <c r="AV125" s="1120">
        <f t="shared" si="96"/>
        <v>1</v>
      </c>
      <c r="AW125" s="1120">
        <f t="shared" si="97"/>
        <v>1</v>
      </c>
      <c r="AX125" s="1120">
        <f t="shared" si="98"/>
        <v>1</v>
      </c>
      <c r="AY125" s="1120">
        <f t="shared" si="99"/>
        <v>0</v>
      </c>
      <c r="AZ125" s="1120">
        <f t="shared" si="100"/>
        <v>0</v>
      </c>
      <c r="BA125" s="1120">
        <f t="shared" si="101"/>
        <v>0</v>
      </c>
      <c r="BB125" s="1120">
        <f t="shared" si="102"/>
        <v>0</v>
      </c>
      <c r="BC125" s="1120">
        <f t="shared" si="103"/>
        <v>0</v>
      </c>
      <c r="BD125" s="1120">
        <f t="shared" si="104"/>
        <v>0</v>
      </c>
      <c r="BE125" s="1120">
        <f t="shared" si="105"/>
        <v>1</v>
      </c>
      <c r="BF125" s="1120">
        <f t="shared" si="106"/>
        <v>1</v>
      </c>
      <c r="BG125" s="1120">
        <f t="shared" si="107"/>
        <v>0</v>
      </c>
      <c r="BH125" s="1120">
        <f t="shared" si="108"/>
        <v>0</v>
      </c>
      <c r="BI125" s="1120">
        <f t="shared" si="109"/>
        <v>0</v>
      </c>
      <c r="BJ125" s="1120">
        <f t="shared" si="110"/>
        <v>0</v>
      </c>
      <c r="BK125" s="1120">
        <f t="shared" si="111"/>
        <v>1</v>
      </c>
      <c r="BL125" s="1120">
        <f t="shared" si="112"/>
        <v>1</v>
      </c>
      <c r="BM125" s="1120">
        <f t="shared" si="113"/>
        <v>1</v>
      </c>
      <c r="BN125" s="1120">
        <f t="shared" si="114"/>
        <v>1</v>
      </c>
      <c r="BO125" s="1120">
        <f t="shared" si="115"/>
        <v>1</v>
      </c>
      <c r="BP125" s="1120">
        <f t="shared" si="116"/>
        <v>1</v>
      </c>
      <c r="BQ125" s="1120">
        <f t="shared" si="117"/>
        <v>1</v>
      </c>
      <c r="BR125" s="1120">
        <f t="shared" si="118"/>
        <v>0</v>
      </c>
      <c r="BS125" s="1120">
        <f t="shared" si="119"/>
        <v>1</v>
      </c>
      <c r="BT125" s="1120">
        <f t="shared" si="120"/>
        <v>1</v>
      </c>
      <c r="BU125" s="1120">
        <f t="shared" si="121"/>
        <v>1</v>
      </c>
      <c r="BV125" s="1120">
        <f t="shared" si="122"/>
        <v>1</v>
      </c>
      <c r="BW125" s="1120">
        <f t="shared" si="123"/>
        <v>0</v>
      </c>
      <c r="BX125" s="1120">
        <f t="shared" si="124"/>
        <v>0</v>
      </c>
      <c r="BY125" s="1120">
        <f t="shared" si="125"/>
        <v>0</v>
      </c>
      <c r="BZ125" s="1120">
        <f t="shared" si="126"/>
        <v>0</v>
      </c>
      <c r="CA125" s="1120">
        <f t="shared" si="127"/>
        <v>0</v>
      </c>
      <c r="CB125" s="1120">
        <f t="shared" si="128"/>
        <v>1</v>
      </c>
      <c r="CC125" s="1120">
        <f t="shared" si="129"/>
        <v>1</v>
      </c>
      <c r="CD125" s="1120">
        <f t="shared" si="130"/>
        <v>1</v>
      </c>
      <c r="CE125" s="1120">
        <f t="shared" si="131"/>
        <v>1</v>
      </c>
      <c r="CF125" s="1120">
        <f t="shared" si="132"/>
        <v>0</v>
      </c>
      <c r="CG125" s="1120">
        <f t="shared" si="133"/>
        <v>0</v>
      </c>
      <c r="CH125" s="1120">
        <f t="shared" si="134"/>
        <v>0</v>
      </c>
      <c r="CI125" s="1120">
        <f t="shared" si="135"/>
        <v>0.85</v>
      </c>
      <c r="CJ125" s="1120">
        <f t="shared" si="136"/>
        <v>0.85</v>
      </c>
      <c r="CK125" s="1120">
        <f t="shared" si="137"/>
        <v>0.85</v>
      </c>
      <c r="CL125" s="1120">
        <f t="shared" si="138"/>
        <v>0.85</v>
      </c>
      <c r="CM125" s="1120">
        <f t="shared" si="139"/>
        <v>0.85</v>
      </c>
      <c r="CN125" s="1120">
        <f t="shared" si="140"/>
        <v>0.85</v>
      </c>
      <c r="CO125" s="1120">
        <f t="shared" si="141"/>
        <v>0.85</v>
      </c>
      <c r="CP125" s="1120">
        <f t="shared" si="142"/>
        <v>0.7</v>
      </c>
      <c r="CQ125" s="1120">
        <f t="shared" si="143"/>
        <v>0.85</v>
      </c>
      <c r="CR125" s="1120">
        <f t="shared" si="144"/>
        <v>0.85</v>
      </c>
      <c r="CS125" s="1120">
        <f t="shared" si="145"/>
        <v>0.85</v>
      </c>
      <c r="CT125" s="1120">
        <f t="shared" si="146"/>
        <v>0.85</v>
      </c>
      <c r="CU125" s="1120">
        <v>1</v>
      </c>
      <c r="CV125" s="1120"/>
      <c r="CW125" s="1120">
        <f t="shared" si="147"/>
        <v>122</v>
      </c>
      <c r="CX125" s="1120">
        <f t="shared" si="148"/>
        <v>243</v>
      </c>
      <c r="CY125" s="1135" t="s">
        <v>4889</v>
      </c>
      <c r="CZ125" s="1124" t="s">
        <v>4890</v>
      </c>
      <c r="DA125" s="1124"/>
      <c r="DB125" s="1124"/>
      <c r="DC125" s="1120" t="s">
        <v>5195</v>
      </c>
      <c r="DD125" s="1120" t="s">
        <v>249</v>
      </c>
      <c r="DE125" s="1120" t="str">
        <f t="shared" si="149"/>
        <v/>
      </c>
      <c r="DF125" s="1133">
        <v>0</v>
      </c>
      <c r="DG125" s="1120">
        <v>0</v>
      </c>
    </row>
    <row r="126" spans="1:111">
      <c r="A126" s="1125" t="s">
        <v>3076</v>
      </c>
      <c r="B126" s="1120" t="s">
        <v>4544</v>
      </c>
      <c r="C126" s="1120" t="s">
        <v>4545</v>
      </c>
      <c r="D126" s="1120" t="s">
        <v>1033</v>
      </c>
      <c r="E126" s="1120">
        <v>331</v>
      </c>
      <c r="F126" s="1120">
        <v>-73.150000000000006</v>
      </c>
      <c r="G126" s="1120">
        <v>44.47</v>
      </c>
      <c r="H126" s="1120">
        <v>-5</v>
      </c>
      <c r="I126" s="1121">
        <v>-3.4600013732910164</v>
      </c>
      <c r="J126" s="1121">
        <v>85.280000686645508</v>
      </c>
      <c r="K126" s="1122">
        <v>69.619999313354498</v>
      </c>
      <c r="L126" s="1120">
        <v>7124.4000000000005</v>
      </c>
      <c r="M126" s="1120">
        <v>466.2</v>
      </c>
      <c r="N126" s="1123">
        <v>19.040000343322752</v>
      </c>
      <c r="O126" s="1123">
        <v>21.920000171661378</v>
      </c>
      <c r="P126" s="1123">
        <v>31.1</v>
      </c>
      <c r="Q126" s="1123">
        <v>46.040000343322752</v>
      </c>
      <c r="R126" s="1123">
        <v>56.840000343322757</v>
      </c>
      <c r="S126" s="1123">
        <v>66.739998626708982</v>
      </c>
      <c r="T126" s="1123">
        <v>69.980000686645511</v>
      </c>
      <c r="U126" s="1123">
        <v>67.639998626708987</v>
      </c>
      <c r="V126" s="1123">
        <v>59.180000686645506</v>
      </c>
      <c r="W126" s="1123">
        <v>47.659999656677243</v>
      </c>
      <c r="X126" s="1123">
        <v>37.039999914169314</v>
      </c>
      <c r="Y126" s="1123">
        <v>29.3</v>
      </c>
      <c r="Z126" s="1123">
        <v>46.17019172955866</v>
      </c>
      <c r="AA126" s="1123">
        <f t="shared" si="75"/>
        <v>43.098485334619198</v>
      </c>
      <c r="AB126" s="1123">
        <f t="shared" si="76"/>
        <v>41.442177132902899</v>
      </c>
      <c r="AC126" s="1123">
        <f t="shared" si="77"/>
        <v>42.582291259514172</v>
      </c>
      <c r="AD126" s="1123">
        <f t="shared" si="78"/>
        <v>46.221639397661257</v>
      </c>
      <c r="AE126" s="1123">
        <f t="shared" si="79"/>
        <v>51.411569371083665</v>
      </c>
      <c r="AF126" s="1123">
        <f t="shared" si="80"/>
        <v>56.799245952966999</v>
      </c>
      <c r="AG126" s="1123">
        <f t="shared" si="81"/>
        <v>60.98028821563404</v>
      </c>
      <c r="AH126" s="1123">
        <f t="shared" si="82"/>
        <v>62.864843061509035</v>
      </c>
      <c r="AI126" s="1123">
        <f t="shared" si="83"/>
        <v>61.961672228145403</v>
      </c>
      <c r="AJ126" s="1123">
        <f t="shared" si="84"/>
        <v>58.506201111543206</v>
      </c>
      <c r="AK126" s="1123">
        <f t="shared" si="85"/>
        <v>53.399151508666598</v>
      </c>
      <c r="AL126" s="1123">
        <f t="shared" si="86"/>
        <v>47.971754600522026</v>
      </c>
      <c r="AM126" s="1120">
        <f t="shared" si="87"/>
        <v>1</v>
      </c>
      <c r="AN126" s="1120">
        <f t="shared" si="88"/>
        <v>1</v>
      </c>
      <c r="AO126" s="1120">
        <f t="shared" si="89"/>
        <v>1</v>
      </c>
      <c r="AP126" s="1120">
        <f t="shared" si="90"/>
        <v>1</v>
      </c>
      <c r="AQ126" s="1120">
        <f t="shared" si="91"/>
        <v>1</v>
      </c>
      <c r="AR126" s="1120">
        <f t="shared" si="92"/>
        <v>0</v>
      </c>
      <c r="AS126" s="1120">
        <f t="shared" si="93"/>
        <v>0</v>
      </c>
      <c r="AT126" s="1120">
        <f t="shared" si="94"/>
        <v>0</v>
      </c>
      <c r="AU126" s="1120">
        <f t="shared" si="95"/>
        <v>1</v>
      </c>
      <c r="AV126" s="1120">
        <f t="shared" si="96"/>
        <v>1</v>
      </c>
      <c r="AW126" s="1120">
        <f t="shared" si="97"/>
        <v>1</v>
      </c>
      <c r="AX126" s="1120">
        <f t="shared" si="98"/>
        <v>1</v>
      </c>
      <c r="AY126" s="1120">
        <f t="shared" si="99"/>
        <v>0</v>
      </c>
      <c r="AZ126" s="1120">
        <f t="shared" si="100"/>
        <v>0</v>
      </c>
      <c r="BA126" s="1120">
        <f t="shared" si="101"/>
        <v>0</v>
      </c>
      <c r="BB126" s="1120">
        <f t="shared" si="102"/>
        <v>0</v>
      </c>
      <c r="BC126" s="1120">
        <f t="shared" si="103"/>
        <v>0</v>
      </c>
      <c r="BD126" s="1120">
        <f t="shared" si="104"/>
        <v>1</v>
      </c>
      <c r="BE126" s="1120">
        <f t="shared" si="105"/>
        <v>1</v>
      </c>
      <c r="BF126" s="1120">
        <f t="shared" si="106"/>
        <v>1</v>
      </c>
      <c r="BG126" s="1120">
        <f t="shared" si="107"/>
        <v>0</v>
      </c>
      <c r="BH126" s="1120">
        <f t="shared" si="108"/>
        <v>0</v>
      </c>
      <c r="BI126" s="1120">
        <f t="shared" si="109"/>
        <v>0</v>
      </c>
      <c r="BJ126" s="1120">
        <f t="shared" si="110"/>
        <v>0</v>
      </c>
      <c r="BK126" s="1120">
        <f t="shared" si="111"/>
        <v>1</v>
      </c>
      <c r="BL126" s="1120">
        <f t="shared" si="112"/>
        <v>1</v>
      </c>
      <c r="BM126" s="1120">
        <f t="shared" si="113"/>
        <v>1</v>
      </c>
      <c r="BN126" s="1120">
        <f t="shared" si="114"/>
        <v>1</v>
      </c>
      <c r="BO126" s="1120">
        <f t="shared" si="115"/>
        <v>1</v>
      </c>
      <c r="BP126" s="1120">
        <f t="shared" si="116"/>
        <v>1</v>
      </c>
      <c r="BQ126" s="1120">
        <f t="shared" si="117"/>
        <v>0</v>
      </c>
      <c r="BR126" s="1120">
        <f t="shared" si="118"/>
        <v>0</v>
      </c>
      <c r="BS126" s="1120">
        <f t="shared" si="119"/>
        <v>1</v>
      </c>
      <c r="BT126" s="1120">
        <f t="shared" si="120"/>
        <v>1</v>
      </c>
      <c r="BU126" s="1120">
        <f t="shared" si="121"/>
        <v>1</v>
      </c>
      <c r="BV126" s="1120">
        <f t="shared" si="122"/>
        <v>1</v>
      </c>
      <c r="BW126" s="1120">
        <f t="shared" si="123"/>
        <v>0</v>
      </c>
      <c r="BX126" s="1120">
        <f t="shared" si="124"/>
        <v>0</v>
      </c>
      <c r="BY126" s="1120">
        <f t="shared" si="125"/>
        <v>0</v>
      </c>
      <c r="BZ126" s="1120">
        <f t="shared" si="126"/>
        <v>0</v>
      </c>
      <c r="CA126" s="1120">
        <f t="shared" si="127"/>
        <v>1</v>
      </c>
      <c r="CB126" s="1120">
        <f t="shared" si="128"/>
        <v>1</v>
      </c>
      <c r="CC126" s="1120">
        <f t="shared" si="129"/>
        <v>1</v>
      </c>
      <c r="CD126" s="1120">
        <f t="shared" si="130"/>
        <v>1</v>
      </c>
      <c r="CE126" s="1120">
        <f t="shared" si="131"/>
        <v>1</v>
      </c>
      <c r="CF126" s="1120">
        <f t="shared" si="132"/>
        <v>0</v>
      </c>
      <c r="CG126" s="1120">
        <f t="shared" si="133"/>
        <v>0</v>
      </c>
      <c r="CH126" s="1120">
        <f t="shared" si="134"/>
        <v>0</v>
      </c>
      <c r="CI126" s="1120">
        <f t="shared" si="135"/>
        <v>0.85</v>
      </c>
      <c r="CJ126" s="1120">
        <f t="shared" si="136"/>
        <v>0.85</v>
      </c>
      <c r="CK126" s="1120">
        <f t="shared" si="137"/>
        <v>0.85</v>
      </c>
      <c r="CL126" s="1120">
        <f t="shared" si="138"/>
        <v>0.85</v>
      </c>
      <c r="CM126" s="1120">
        <f t="shared" si="139"/>
        <v>0.85</v>
      </c>
      <c r="CN126" s="1120">
        <f t="shared" si="140"/>
        <v>0.85</v>
      </c>
      <c r="CO126" s="1120">
        <f t="shared" si="141"/>
        <v>0.7</v>
      </c>
      <c r="CP126" s="1120">
        <f t="shared" si="142"/>
        <v>0.7</v>
      </c>
      <c r="CQ126" s="1120">
        <f t="shared" si="143"/>
        <v>0.85</v>
      </c>
      <c r="CR126" s="1120">
        <f t="shared" si="144"/>
        <v>0.85</v>
      </c>
      <c r="CS126" s="1120">
        <f t="shared" si="145"/>
        <v>0.85</v>
      </c>
      <c r="CT126" s="1120">
        <f t="shared" si="146"/>
        <v>0.85</v>
      </c>
      <c r="CU126" s="1120">
        <v>1</v>
      </c>
      <c r="CV126" s="1120"/>
      <c r="CW126" s="1120">
        <f t="shared" si="147"/>
        <v>153</v>
      </c>
      <c r="CX126" s="1120">
        <f t="shared" si="148"/>
        <v>212</v>
      </c>
      <c r="CY126" s="1136" t="s">
        <v>4889</v>
      </c>
      <c r="CZ126" s="1129" t="s">
        <v>4899</v>
      </c>
      <c r="DA126" s="1129"/>
      <c r="DB126" s="1129"/>
      <c r="DC126" s="1125" t="s">
        <v>5647</v>
      </c>
      <c r="DD126" s="1125" t="s">
        <v>1033</v>
      </c>
      <c r="DE126" s="1120" t="str">
        <f t="shared" si="149"/>
        <v/>
      </c>
      <c r="DF126" s="1133">
        <v>0</v>
      </c>
      <c r="DG126" s="1125">
        <v>0</v>
      </c>
    </row>
    <row r="127" spans="1:111">
      <c r="A127" s="1120" t="s">
        <v>3078</v>
      </c>
      <c r="B127" s="1125" t="s">
        <v>3410</v>
      </c>
      <c r="C127" s="1125" t="s">
        <v>3411</v>
      </c>
      <c r="D127" s="1125" t="s">
        <v>566</v>
      </c>
      <c r="E127" s="1125">
        <v>692</v>
      </c>
      <c r="F127" s="1125">
        <v>-91.12</v>
      </c>
      <c r="G127" s="1125">
        <v>40.78</v>
      </c>
      <c r="H127" s="1125">
        <v>-6</v>
      </c>
      <c r="I127" s="1126">
        <v>1.2199993133544915</v>
      </c>
      <c r="J127" s="1126">
        <v>90.320002746582034</v>
      </c>
      <c r="K127" s="1127">
        <v>75.560001373291016</v>
      </c>
      <c r="L127" s="1125">
        <v>5526</v>
      </c>
      <c r="M127" s="1125">
        <v>1533.6000000000001</v>
      </c>
      <c r="N127" s="1128">
        <v>21.379999828338622</v>
      </c>
      <c r="O127" s="1128">
        <v>24.440000343322755</v>
      </c>
      <c r="P127" s="1128">
        <v>45.320000171661377</v>
      </c>
      <c r="Q127" s="1128">
        <v>57.740000343322755</v>
      </c>
      <c r="R127" s="1128">
        <v>62.960001373291014</v>
      </c>
      <c r="S127" s="1128">
        <v>75.739998626708982</v>
      </c>
      <c r="T127" s="1128">
        <v>81.860001373291013</v>
      </c>
      <c r="U127" s="1128">
        <v>75.019999313354489</v>
      </c>
      <c r="V127" s="1128">
        <v>70.16000137329101</v>
      </c>
      <c r="W127" s="1128">
        <v>52.7</v>
      </c>
      <c r="X127" s="1128">
        <v>44.959999656677248</v>
      </c>
      <c r="Y127" s="1128">
        <v>27.320000171661377</v>
      </c>
      <c r="Z127" s="1128">
        <v>53.440219393952255</v>
      </c>
      <c r="AA127" s="1128">
        <f t="shared" si="75"/>
        <v>45.912616972314119</v>
      </c>
      <c r="AB127" s="1128">
        <f t="shared" si="76"/>
        <v>44.53312195408899</v>
      </c>
      <c r="AC127" s="1128">
        <f t="shared" si="77"/>
        <v>47.039391608889503</v>
      </c>
      <c r="AD127" s="1128">
        <f t="shared" si="78"/>
        <v>52.77812812840741</v>
      </c>
      <c r="AE127" s="1128">
        <f t="shared" si="79"/>
        <v>60.253441402223658</v>
      </c>
      <c r="AF127" s="1128">
        <f t="shared" si="80"/>
        <v>67.516775827453472</v>
      </c>
      <c r="AG127" s="1128">
        <f t="shared" si="81"/>
        <v>72.674831354789077</v>
      </c>
      <c r="AH127" s="1128">
        <f t="shared" si="82"/>
        <v>74.383081322988687</v>
      </c>
      <c r="AI127" s="1128">
        <f t="shared" si="83"/>
        <v>72.196244052912206</v>
      </c>
      <c r="AJ127" s="1128">
        <f t="shared" si="84"/>
        <v>66.684352379187516</v>
      </c>
      <c r="AK127" s="1128">
        <f t="shared" si="85"/>
        <v>59.284165807392775</v>
      </c>
      <c r="AL127" s="1128">
        <f t="shared" si="86"/>
        <v>51.924657007793314</v>
      </c>
      <c r="AM127" s="1125">
        <f t="shared" si="87"/>
        <v>1</v>
      </c>
      <c r="AN127" s="1125">
        <f t="shared" si="88"/>
        <v>1</v>
      </c>
      <c r="AO127" s="1125">
        <f t="shared" si="89"/>
        <v>1</v>
      </c>
      <c r="AP127" s="1125">
        <f t="shared" si="90"/>
        <v>1</v>
      </c>
      <c r="AQ127" s="1125">
        <f t="shared" si="91"/>
        <v>1</v>
      </c>
      <c r="AR127" s="1125">
        <f t="shared" si="92"/>
        <v>0</v>
      </c>
      <c r="AS127" s="1125">
        <f t="shared" si="93"/>
        <v>0</v>
      </c>
      <c r="AT127" s="1125">
        <f t="shared" si="94"/>
        <v>0</v>
      </c>
      <c r="AU127" s="1125">
        <f t="shared" si="95"/>
        <v>0</v>
      </c>
      <c r="AV127" s="1125">
        <f t="shared" si="96"/>
        <v>1</v>
      </c>
      <c r="AW127" s="1125">
        <f t="shared" si="97"/>
        <v>1</v>
      </c>
      <c r="AX127" s="1125">
        <f t="shared" si="98"/>
        <v>1</v>
      </c>
      <c r="AY127" s="1125">
        <f t="shared" si="99"/>
        <v>0</v>
      </c>
      <c r="AZ127" s="1125">
        <f t="shared" si="100"/>
        <v>0</v>
      </c>
      <c r="BA127" s="1125">
        <f t="shared" si="101"/>
        <v>0</v>
      </c>
      <c r="BB127" s="1125">
        <f t="shared" si="102"/>
        <v>0</v>
      </c>
      <c r="BC127" s="1125">
        <f t="shared" si="103"/>
        <v>0</v>
      </c>
      <c r="BD127" s="1125">
        <f t="shared" si="104"/>
        <v>1</v>
      </c>
      <c r="BE127" s="1125">
        <f t="shared" si="105"/>
        <v>1</v>
      </c>
      <c r="BF127" s="1125">
        <f t="shared" si="106"/>
        <v>1</v>
      </c>
      <c r="BG127" s="1125">
        <f t="shared" si="107"/>
        <v>1</v>
      </c>
      <c r="BH127" s="1125">
        <f t="shared" si="108"/>
        <v>0</v>
      </c>
      <c r="BI127" s="1125">
        <f t="shared" si="109"/>
        <v>0</v>
      </c>
      <c r="BJ127" s="1125">
        <f t="shared" si="110"/>
        <v>0</v>
      </c>
      <c r="BK127" s="1125">
        <f t="shared" si="111"/>
        <v>1</v>
      </c>
      <c r="BL127" s="1125">
        <f t="shared" si="112"/>
        <v>1</v>
      </c>
      <c r="BM127" s="1125">
        <f t="shared" si="113"/>
        <v>1</v>
      </c>
      <c r="BN127" s="1125">
        <f t="shared" si="114"/>
        <v>1</v>
      </c>
      <c r="BO127" s="1125">
        <f t="shared" si="115"/>
        <v>1</v>
      </c>
      <c r="BP127" s="1125">
        <f t="shared" si="116"/>
        <v>1</v>
      </c>
      <c r="BQ127" s="1125">
        <f t="shared" si="117"/>
        <v>0</v>
      </c>
      <c r="BR127" s="1125">
        <f t="shared" si="118"/>
        <v>0</v>
      </c>
      <c r="BS127" s="1125">
        <f t="shared" si="119"/>
        <v>0</v>
      </c>
      <c r="BT127" s="1125">
        <f t="shared" si="120"/>
        <v>1</v>
      </c>
      <c r="BU127" s="1125">
        <f t="shared" si="121"/>
        <v>1</v>
      </c>
      <c r="BV127" s="1125">
        <f t="shared" si="122"/>
        <v>1</v>
      </c>
      <c r="BW127" s="1125">
        <f t="shared" si="123"/>
        <v>0</v>
      </c>
      <c r="BX127" s="1125">
        <f t="shared" si="124"/>
        <v>0</v>
      </c>
      <c r="BY127" s="1125">
        <f t="shared" si="125"/>
        <v>0</v>
      </c>
      <c r="BZ127" s="1125">
        <f t="shared" si="126"/>
        <v>0</v>
      </c>
      <c r="CA127" s="1125">
        <f t="shared" si="127"/>
        <v>1</v>
      </c>
      <c r="CB127" s="1125">
        <f t="shared" si="128"/>
        <v>1</v>
      </c>
      <c r="CC127" s="1125">
        <f t="shared" si="129"/>
        <v>1</v>
      </c>
      <c r="CD127" s="1125">
        <f t="shared" si="130"/>
        <v>1</v>
      </c>
      <c r="CE127" s="1125">
        <f t="shared" si="131"/>
        <v>1</v>
      </c>
      <c r="CF127" s="1125">
        <f t="shared" si="132"/>
        <v>1</v>
      </c>
      <c r="CG127" s="1125">
        <f t="shared" si="133"/>
        <v>0</v>
      </c>
      <c r="CH127" s="1125">
        <f t="shared" si="134"/>
        <v>0</v>
      </c>
      <c r="CI127" s="1125">
        <f t="shared" si="135"/>
        <v>0.85</v>
      </c>
      <c r="CJ127" s="1125">
        <f t="shared" si="136"/>
        <v>0.85</v>
      </c>
      <c r="CK127" s="1125">
        <f t="shared" si="137"/>
        <v>0.85</v>
      </c>
      <c r="CL127" s="1125">
        <f t="shared" si="138"/>
        <v>0.85</v>
      </c>
      <c r="CM127" s="1125">
        <f t="shared" si="139"/>
        <v>0.85</v>
      </c>
      <c r="CN127" s="1125">
        <f t="shared" si="140"/>
        <v>0.85</v>
      </c>
      <c r="CO127" s="1125">
        <f t="shared" si="141"/>
        <v>0.7</v>
      </c>
      <c r="CP127" s="1125">
        <f t="shared" si="142"/>
        <v>0.7</v>
      </c>
      <c r="CQ127" s="1125">
        <f t="shared" si="143"/>
        <v>0.7</v>
      </c>
      <c r="CR127" s="1125">
        <f t="shared" si="144"/>
        <v>0.85</v>
      </c>
      <c r="CS127" s="1125">
        <f t="shared" si="145"/>
        <v>0.85</v>
      </c>
      <c r="CT127" s="1125">
        <f t="shared" si="146"/>
        <v>0.85</v>
      </c>
      <c r="CU127" s="1125">
        <v>1</v>
      </c>
      <c r="CV127" s="1125"/>
      <c r="CW127" s="1125">
        <f t="shared" si="147"/>
        <v>184</v>
      </c>
      <c r="CX127" s="1125">
        <f t="shared" si="148"/>
        <v>181</v>
      </c>
      <c r="CY127" s="1136" t="s">
        <v>4889</v>
      </c>
      <c r="CZ127" s="1129" t="s">
        <v>4897</v>
      </c>
      <c r="DA127" s="1129"/>
      <c r="DB127" s="1129"/>
      <c r="DC127" s="1125" t="s">
        <v>5160</v>
      </c>
      <c r="DD127" s="1125" t="s">
        <v>566</v>
      </c>
      <c r="DE127" s="1120" t="str">
        <f t="shared" si="149"/>
        <v/>
      </c>
      <c r="DF127" s="1133">
        <v>0</v>
      </c>
      <c r="DG127" s="1120">
        <v>0</v>
      </c>
    </row>
    <row r="128" spans="1:111">
      <c r="A128" s="1125" t="s">
        <v>3080</v>
      </c>
      <c r="B128" s="1120" t="s">
        <v>4226</v>
      </c>
      <c r="C128" s="1120" t="s">
        <v>4227</v>
      </c>
      <c r="D128" s="1120" t="s">
        <v>427</v>
      </c>
      <c r="E128" s="1120">
        <v>4169</v>
      </c>
      <c r="F128" s="1120">
        <v>-119.02</v>
      </c>
      <c r="G128" s="1120">
        <v>43.52</v>
      </c>
      <c r="H128" s="1120">
        <v>-8</v>
      </c>
      <c r="I128" s="1121">
        <v>6.0800006866455067</v>
      </c>
      <c r="J128" s="1121">
        <v>90.320002746582034</v>
      </c>
      <c r="K128" s="1122">
        <v>60.080000686645505</v>
      </c>
      <c r="L128" s="1120">
        <v>7106.4000000000005</v>
      </c>
      <c r="M128" s="1120">
        <v>322.2</v>
      </c>
      <c r="N128" s="1123">
        <v>28.4</v>
      </c>
      <c r="O128" s="1123">
        <v>32</v>
      </c>
      <c r="P128" s="1123">
        <v>36.5</v>
      </c>
      <c r="Q128" s="1123">
        <v>42.259999656677245</v>
      </c>
      <c r="R128" s="1123">
        <v>50.719999313354492</v>
      </c>
      <c r="S128" s="1123">
        <v>61.7</v>
      </c>
      <c r="T128" s="1123">
        <v>69.8</v>
      </c>
      <c r="U128" s="1123">
        <v>64.400000000000006</v>
      </c>
      <c r="V128" s="1123">
        <v>55.759999656677245</v>
      </c>
      <c r="W128" s="1123">
        <v>43.7</v>
      </c>
      <c r="X128" s="1123">
        <v>35.419999957084656</v>
      </c>
      <c r="Y128" s="1123">
        <v>28.039999914169311</v>
      </c>
      <c r="Z128" s="1123">
        <v>45.804273847031268</v>
      </c>
      <c r="AA128" s="1123">
        <f t="shared" si="75"/>
        <v>44.46150273504243</v>
      </c>
      <c r="AB128" s="1123">
        <f t="shared" si="76"/>
        <v>43.088737969235694</v>
      </c>
      <c r="AC128" s="1123">
        <f t="shared" si="77"/>
        <v>43.987811940449795</v>
      </c>
      <c r="AD128" s="1123">
        <f t="shared" si="78"/>
        <v>46.924367162938488</v>
      </c>
      <c r="AE128" s="1123">
        <f t="shared" si="79"/>
        <v>51.132945264274305</v>
      </c>
      <c r="AF128" s="1123">
        <f t="shared" si="80"/>
        <v>55.516515506192334</v>
      </c>
      <c r="AG128" s="1123">
        <f t="shared" si="81"/>
        <v>58.932432752274416</v>
      </c>
      <c r="AH128" s="1123">
        <f t="shared" si="82"/>
        <v>60.490285531451065</v>
      </c>
      <c r="AI128" s="1123">
        <f t="shared" si="83"/>
        <v>59.783995509591861</v>
      </c>
      <c r="AJ128" s="1123">
        <f t="shared" si="84"/>
        <v>56.997668065153114</v>
      </c>
      <c r="AK128" s="1123">
        <f t="shared" si="85"/>
        <v>52.857602385133433</v>
      </c>
      <c r="AL128" s="1123">
        <f t="shared" si="86"/>
        <v>48.442970389373308</v>
      </c>
      <c r="AM128" s="1120">
        <f t="shared" si="87"/>
        <v>1</v>
      </c>
      <c r="AN128" s="1120">
        <f t="shared" si="88"/>
        <v>1</v>
      </c>
      <c r="AO128" s="1120">
        <f t="shared" si="89"/>
        <v>1</v>
      </c>
      <c r="AP128" s="1120">
        <f t="shared" si="90"/>
        <v>1</v>
      </c>
      <c r="AQ128" s="1120">
        <f t="shared" si="91"/>
        <v>1</v>
      </c>
      <c r="AR128" s="1120">
        <f t="shared" si="92"/>
        <v>1</v>
      </c>
      <c r="AS128" s="1120">
        <f t="shared" si="93"/>
        <v>0</v>
      </c>
      <c r="AT128" s="1120">
        <f t="shared" si="94"/>
        <v>1</v>
      </c>
      <c r="AU128" s="1120">
        <f t="shared" si="95"/>
        <v>1</v>
      </c>
      <c r="AV128" s="1120">
        <f t="shared" si="96"/>
        <v>1</v>
      </c>
      <c r="AW128" s="1120">
        <f t="shared" si="97"/>
        <v>1</v>
      </c>
      <c r="AX128" s="1120">
        <f t="shared" si="98"/>
        <v>1</v>
      </c>
      <c r="AY128" s="1120">
        <f t="shared" si="99"/>
        <v>0</v>
      </c>
      <c r="AZ128" s="1120">
        <f t="shared" si="100"/>
        <v>0</v>
      </c>
      <c r="BA128" s="1120">
        <f t="shared" si="101"/>
        <v>0</v>
      </c>
      <c r="BB128" s="1120">
        <f t="shared" si="102"/>
        <v>0</v>
      </c>
      <c r="BC128" s="1120">
        <f t="shared" si="103"/>
        <v>0</v>
      </c>
      <c r="BD128" s="1120">
        <f t="shared" si="104"/>
        <v>0</v>
      </c>
      <c r="BE128" s="1120">
        <f t="shared" si="105"/>
        <v>1</v>
      </c>
      <c r="BF128" s="1120">
        <f t="shared" si="106"/>
        <v>1</v>
      </c>
      <c r="BG128" s="1120">
        <f t="shared" si="107"/>
        <v>0</v>
      </c>
      <c r="BH128" s="1120">
        <f t="shared" si="108"/>
        <v>0</v>
      </c>
      <c r="BI128" s="1120">
        <f t="shared" si="109"/>
        <v>0</v>
      </c>
      <c r="BJ128" s="1120">
        <f t="shared" si="110"/>
        <v>0</v>
      </c>
      <c r="BK128" s="1120">
        <f t="shared" si="111"/>
        <v>1</v>
      </c>
      <c r="BL128" s="1120">
        <f t="shared" si="112"/>
        <v>1</v>
      </c>
      <c r="BM128" s="1120">
        <f t="shared" si="113"/>
        <v>1</v>
      </c>
      <c r="BN128" s="1120">
        <f t="shared" si="114"/>
        <v>1</v>
      </c>
      <c r="BO128" s="1120">
        <f t="shared" si="115"/>
        <v>1</v>
      </c>
      <c r="BP128" s="1120">
        <f t="shared" si="116"/>
        <v>1</v>
      </c>
      <c r="BQ128" s="1120">
        <f t="shared" si="117"/>
        <v>1</v>
      </c>
      <c r="BR128" s="1120">
        <f t="shared" si="118"/>
        <v>1</v>
      </c>
      <c r="BS128" s="1120">
        <f t="shared" si="119"/>
        <v>1</v>
      </c>
      <c r="BT128" s="1120">
        <f t="shared" si="120"/>
        <v>1</v>
      </c>
      <c r="BU128" s="1120">
        <f t="shared" si="121"/>
        <v>1</v>
      </c>
      <c r="BV128" s="1120">
        <f t="shared" si="122"/>
        <v>1</v>
      </c>
      <c r="BW128" s="1120">
        <f t="shared" si="123"/>
        <v>0</v>
      </c>
      <c r="BX128" s="1120">
        <f t="shared" si="124"/>
        <v>0</v>
      </c>
      <c r="BY128" s="1120">
        <f t="shared" si="125"/>
        <v>0</v>
      </c>
      <c r="BZ128" s="1120">
        <f t="shared" si="126"/>
        <v>0</v>
      </c>
      <c r="CA128" s="1120">
        <f t="shared" si="127"/>
        <v>0</v>
      </c>
      <c r="CB128" s="1120">
        <f t="shared" si="128"/>
        <v>1</v>
      </c>
      <c r="CC128" s="1120">
        <f t="shared" si="129"/>
        <v>1</v>
      </c>
      <c r="CD128" s="1120">
        <f t="shared" si="130"/>
        <v>1</v>
      </c>
      <c r="CE128" s="1120">
        <f t="shared" si="131"/>
        <v>0</v>
      </c>
      <c r="CF128" s="1120">
        <f t="shared" si="132"/>
        <v>0</v>
      </c>
      <c r="CG128" s="1120">
        <f t="shared" si="133"/>
        <v>0</v>
      </c>
      <c r="CH128" s="1120">
        <f t="shared" si="134"/>
        <v>0</v>
      </c>
      <c r="CI128" s="1120">
        <f t="shared" si="135"/>
        <v>0.85</v>
      </c>
      <c r="CJ128" s="1120">
        <f t="shared" si="136"/>
        <v>0.85</v>
      </c>
      <c r="CK128" s="1120">
        <f t="shared" si="137"/>
        <v>0.85</v>
      </c>
      <c r="CL128" s="1120">
        <f t="shared" si="138"/>
        <v>0.85</v>
      </c>
      <c r="CM128" s="1120">
        <f t="shared" si="139"/>
        <v>0.85</v>
      </c>
      <c r="CN128" s="1120">
        <f t="shared" si="140"/>
        <v>0.85</v>
      </c>
      <c r="CO128" s="1120">
        <f t="shared" si="141"/>
        <v>0.85</v>
      </c>
      <c r="CP128" s="1120">
        <f t="shared" si="142"/>
        <v>0.85</v>
      </c>
      <c r="CQ128" s="1120">
        <f t="shared" si="143"/>
        <v>0.85</v>
      </c>
      <c r="CR128" s="1120">
        <f t="shared" si="144"/>
        <v>0.85</v>
      </c>
      <c r="CS128" s="1120">
        <f t="shared" si="145"/>
        <v>0.85</v>
      </c>
      <c r="CT128" s="1120">
        <f t="shared" si="146"/>
        <v>0.85</v>
      </c>
      <c r="CU128" s="1120">
        <v>1</v>
      </c>
      <c r="CV128" s="1120"/>
      <c r="CW128" s="1120">
        <f t="shared" si="147"/>
        <v>92</v>
      </c>
      <c r="CX128" s="1120">
        <f t="shared" si="148"/>
        <v>273</v>
      </c>
      <c r="CY128" s="1135" t="s">
        <v>4889</v>
      </c>
      <c r="CZ128" s="1124" t="s">
        <v>4890</v>
      </c>
      <c r="DA128" s="1124"/>
      <c r="DB128" s="1124"/>
      <c r="DC128" s="1120" t="s">
        <v>5516</v>
      </c>
      <c r="DD128" s="1120" t="s">
        <v>427</v>
      </c>
      <c r="DE128" s="1120" t="b">
        <f t="shared" si="149"/>
        <v>0</v>
      </c>
      <c r="DF128" s="1133">
        <v>0</v>
      </c>
      <c r="DG128" s="1125">
        <v>0</v>
      </c>
    </row>
    <row r="129" spans="1:111">
      <c r="A129" s="1120" t="s">
        <v>983</v>
      </c>
      <c r="B129" s="1125" t="s">
        <v>5913</v>
      </c>
      <c r="C129" s="1125" t="s">
        <v>5914</v>
      </c>
      <c r="D129" s="1125" t="s">
        <v>539</v>
      </c>
      <c r="E129" s="1125">
        <v>1246</v>
      </c>
      <c r="F129" s="1125">
        <v>-79.95</v>
      </c>
      <c r="G129" s="1125">
        <v>40.78</v>
      </c>
      <c r="H129" s="1125">
        <v>-5</v>
      </c>
      <c r="I129" s="1126">
        <v>8.7800006866455078</v>
      </c>
      <c r="J129" s="1126">
        <v>84.380000686645502</v>
      </c>
      <c r="K129" s="1127">
        <v>70.7</v>
      </c>
      <c r="L129" s="1125">
        <v>6255</v>
      </c>
      <c r="M129" s="1125">
        <v>500.40000000000003</v>
      </c>
      <c r="N129" s="1128">
        <v>28.580000042915344</v>
      </c>
      <c r="O129" s="1128">
        <v>31.279999989271165</v>
      </c>
      <c r="P129" s="1128">
        <v>33.440000021457671</v>
      </c>
      <c r="Q129" s="1128">
        <v>47.119999313354491</v>
      </c>
      <c r="R129" s="1128">
        <v>55.940000343322751</v>
      </c>
      <c r="S129" s="1128">
        <v>68.360001373291013</v>
      </c>
      <c r="T129" s="1128">
        <v>70.880000686645502</v>
      </c>
      <c r="U129" s="1128">
        <v>66.2</v>
      </c>
      <c r="V129" s="1128">
        <v>59.719999313354492</v>
      </c>
      <c r="W129" s="1128">
        <v>52.880000686645509</v>
      </c>
      <c r="X129" s="1128">
        <v>36.139999914169309</v>
      </c>
      <c r="Y129" s="1128">
        <v>32</v>
      </c>
      <c r="Z129" s="1128">
        <v>48.639890554343182</v>
      </c>
      <c r="AA129" s="1128">
        <f t="shared" si="75"/>
        <v>46.458108288848166</v>
      </c>
      <c r="AB129" s="1128">
        <f t="shared" si="76"/>
        <v>45.198734850863943</v>
      </c>
      <c r="AC129" s="1128">
        <f t="shared" si="77"/>
        <v>46.400344139605004</v>
      </c>
      <c r="AD129" s="1128">
        <f t="shared" si="78"/>
        <v>49.749718176601327</v>
      </c>
      <c r="AE129" s="1128">
        <f t="shared" si="79"/>
        <v>54.373791003693533</v>
      </c>
      <c r="AF129" s="1128">
        <f t="shared" si="80"/>
        <v>59.067226779380768</v>
      </c>
      <c r="AG129" s="1128">
        <f t="shared" si="81"/>
        <v>62.606609140695511</v>
      </c>
      <c r="AH129" s="1128">
        <f t="shared" si="82"/>
        <v>64.069343531627851</v>
      </c>
      <c r="AI129" s="1128">
        <f t="shared" si="83"/>
        <v>63.074145691762006</v>
      </c>
      <c r="AJ129" s="1128">
        <f t="shared" si="84"/>
        <v>59.880429274521944</v>
      </c>
      <c r="AK129" s="1128">
        <f t="shared" si="85"/>
        <v>55.320685680721049</v>
      </c>
      <c r="AL129" s="1128">
        <f t="shared" si="86"/>
        <v>50.583482345859288</v>
      </c>
      <c r="AM129" s="1125">
        <f t="shared" si="87"/>
        <v>1</v>
      </c>
      <c r="AN129" s="1125">
        <f t="shared" si="88"/>
        <v>1</v>
      </c>
      <c r="AO129" s="1125">
        <f t="shared" si="89"/>
        <v>1</v>
      </c>
      <c r="AP129" s="1125">
        <f t="shared" si="90"/>
        <v>1</v>
      </c>
      <c r="AQ129" s="1125">
        <f t="shared" si="91"/>
        <v>1</v>
      </c>
      <c r="AR129" s="1125">
        <f t="shared" si="92"/>
        <v>0</v>
      </c>
      <c r="AS129" s="1125">
        <f t="shared" si="93"/>
        <v>0</v>
      </c>
      <c r="AT129" s="1125">
        <f t="shared" si="94"/>
        <v>0</v>
      </c>
      <c r="AU129" s="1125">
        <f t="shared" si="95"/>
        <v>1</v>
      </c>
      <c r="AV129" s="1125">
        <f t="shared" si="96"/>
        <v>1</v>
      </c>
      <c r="AW129" s="1125">
        <f t="shared" si="97"/>
        <v>1</v>
      </c>
      <c r="AX129" s="1125">
        <f t="shared" si="98"/>
        <v>1</v>
      </c>
      <c r="AY129" s="1125">
        <f t="shared" si="99"/>
        <v>0</v>
      </c>
      <c r="AZ129" s="1125">
        <f t="shared" si="100"/>
        <v>0</v>
      </c>
      <c r="BA129" s="1125">
        <f t="shared" si="101"/>
        <v>0</v>
      </c>
      <c r="BB129" s="1125">
        <f t="shared" si="102"/>
        <v>0</v>
      </c>
      <c r="BC129" s="1125">
        <f t="shared" si="103"/>
        <v>0</v>
      </c>
      <c r="BD129" s="1125">
        <f t="shared" si="104"/>
        <v>1</v>
      </c>
      <c r="BE129" s="1125">
        <f t="shared" si="105"/>
        <v>1</v>
      </c>
      <c r="BF129" s="1125">
        <f t="shared" si="106"/>
        <v>1</v>
      </c>
      <c r="BG129" s="1125">
        <f t="shared" si="107"/>
        <v>0</v>
      </c>
      <c r="BH129" s="1125">
        <f t="shared" si="108"/>
        <v>0</v>
      </c>
      <c r="BI129" s="1125">
        <f t="shared" si="109"/>
        <v>0</v>
      </c>
      <c r="BJ129" s="1125">
        <f t="shared" si="110"/>
        <v>0</v>
      </c>
      <c r="BK129" s="1125">
        <f t="shared" si="111"/>
        <v>1</v>
      </c>
      <c r="BL129" s="1125">
        <f t="shared" si="112"/>
        <v>1</v>
      </c>
      <c r="BM129" s="1125">
        <f t="shared" si="113"/>
        <v>1</v>
      </c>
      <c r="BN129" s="1125">
        <f t="shared" si="114"/>
        <v>1</v>
      </c>
      <c r="BO129" s="1125">
        <f t="shared" si="115"/>
        <v>1</v>
      </c>
      <c r="BP129" s="1125">
        <f t="shared" si="116"/>
        <v>1</v>
      </c>
      <c r="BQ129" s="1125">
        <f t="shared" si="117"/>
        <v>0</v>
      </c>
      <c r="BR129" s="1125">
        <f t="shared" si="118"/>
        <v>0</v>
      </c>
      <c r="BS129" s="1125">
        <f t="shared" si="119"/>
        <v>1</v>
      </c>
      <c r="BT129" s="1125">
        <f t="shared" si="120"/>
        <v>1</v>
      </c>
      <c r="BU129" s="1125">
        <f t="shared" si="121"/>
        <v>1</v>
      </c>
      <c r="BV129" s="1125">
        <f t="shared" si="122"/>
        <v>1</v>
      </c>
      <c r="BW129" s="1125">
        <f t="shared" si="123"/>
        <v>0</v>
      </c>
      <c r="BX129" s="1125">
        <f t="shared" si="124"/>
        <v>0</v>
      </c>
      <c r="BY129" s="1125">
        <f t="shared" si="125"/>
        <v>0</v>
      </c>
      <c r="BZ129" s="1125">
        <f t="shared" si="126"/>
        <v>0</v>
      </c>
      <c r="CA129" s="1125">
        <f t="shared" si="127"/>
        <v>1</v>
      </c>
      <c r="CB129" s="1125">
        <f t="shared" si="128"/>
        <v>1</v>
      </c>
      <c r="CC129" s="1125">
        <f t="shared" si="129"/>
        <v>1</v>
      </c>
      <c r="CD129" s="1125">
        <f t="shared" si="130"/>
        <v>1</v>
      </c>
      <c r="CE129" s="1125">
        <f t="shared" si="131"/>
        <v>1</v>
      </c>
      <c r="CF129" s="1125">
        <f t="shared" si="132"/>
        <v>0</v>
      </c>
      <c r="CG129" s="1125">
        <f t="shared" si="133"/>
        <v>0</v>
      </c>
      <c r="CH129" s="1125">
        <f t="shared" si="134"/>
        <v>0</v>
      </c>
      <c r="CI129" s="1125">
        <f t="shared" si="135"/>
        <v>0.85</v>
      </c>
      <c r="CJ129" s="1125">
        <f t="shared" si="136"/>
        <v>0.85</v>
      </c>
      <c r="CK129" s="1125">
        <f t="shared" si="137"/>
        <v>0.85</v>
      </c>
      <c r="CL129" s="1125">
        <f t="shared" si="138"/>
        <v>0.85</v>
      </c>
      <c r="CM129" s="1125">
        <f t="shared" si="139"/>
        <v>0.85</v>
      </c>
      <c r="CN129" s="1125">
        <f t="shared" si="140"/>
        <v>0.85</v>
      </c>
      <c r="CO129" s="1125">
        <f t="shared" si="141"/>
        <v>0.7</v>
      </c>
      <c r="CP129" s="1125">
        <f t="shared" si="142"/>
        <v>0.7</v>
      </c>
      <c r="CQ129" s="1125">
        <f t="shared" si="143"/>
        <v>0.85</v>
      </c>
      <c r="CR129" s="1125">
        <f t="shared" si="144"/>
        <v>0.85</v>
      </c>
      <c r="CS129" s="1125">
        <f t="shared" si="145"/>
        <v>0.85</v>
      </c>
      <c r="CT129" s="1125">
        <f t="shared" si="146"/>
        <v>0.85</v>
      </c>
      <c r="CU129" s="1125">
        <v>1</v>
      </c>
      <c r="CV129" s="1125"/>
      <c r="CW129" s="1125">
        <f t="shared" si="147"/>
        <v>153</v>
      </c>
      <c r="CX129" s="1125">
        <f t="shared" si="148"/>
        <v>212</v>
      </c>
      <c r="CY129" s="1136" t="s">
        <v>4889</v>
      </c>
      <c r="CZ129" s="1129" t="s">
        <v>4897</v>
      </c>
      <c r="DA129" s="1129"/>
      <c r="DB129" s="1129"/>
      <c r="DC129" s="1125" t="s">
        <v>5778</v>
      </c>
      <c r="DD129" s="1125" t="s">
        <v>539</v>
      </c>
      <c r="DE129" s="1120" t="b">
        <f t="shared" si="149"/>
        <v>0</v>
      </c>
      <c r="DF129" s="1133">
        <v>0</v>
      </c>
      <c r="DG129" s="1120">
        <v>0</v>
      </c>
    </row>
    <row r="130" spans="1:111">
      <c r="A130" s="1125" t="s">
        <v>3082</v>
      </c>
      <c r="B130" s="1125" t="s">
        <v>3900</v>
      </c>
      <c r="C130" s="1125" t="s">
        <v>3901</v>
      </c>
      <c r="D130" s="1125" t="s">
        <v>1108</v>
      </c>
      <c r="E130" s="1125">
        <v>5540</v>
      </c>
      <c r="F130" s="1125">
        <v>-112.5</v>
      </c>
      <c r="G130" s="1125">
        <v>45.95</v>
      </c>
      <c r="H130" s="1125">
        <v>-7</v>
      </c>
      <c r="I130" s="1126">
        <v>-11.560001373291017</v>
      </c>
      <c r="J130" s="1126">
        <v>84.380000686645502</v>
      </c>
      <c r="K130" s="1127">
        <v>56.840000343322757</v>
      </c>
      <c r="L130" s="1125">
        <v>8818.2000000000007</v>
      </c>
      <c r="M130" s="1125">
        <v>144</v>
      </c>
      <c r="N130" s="1128">
        <v>20.659999656677247</v>
      </c>
      <c r="O130" s="1128">
        <v>22.1</v>
      </c>
      <c r="P130" s="1128">
        <v>32.360000005364419</v>
      </c>
      <c r="Q130" s="1128">
        <v>40.640000343322754</v>
      </c>
      <c r="R130" s="1128">
        <v>46.220000171661376</v>
      </c>
      <c r="S130" s="1128">
        <v>56.659999656677243</v>
      </c>
      <c r="T130" s="1128">
        <v>63.139998626708987</v>
      </c>
      <c r="U130" s="1128">
        <v>65.480000686645511</v>
      </c>
      <c r="V130" s="1128">
        <v>51.259999656677245</v>
      </c>
      <c r="W130" s="1128">
        <v>40.459999656677248</v>
      </c>
      <c r="X130" s="1128">
        <v>26.420000171661378</v>
      </c>
      <c r="Y130" s="1128">
        <v>21.2</v>
      </c>
      <c r="Z130" s="1128">
        <v>40.666630021276539</v>
      </c>
      <c r="AA130" s="1128">
        <f t="shared" si="75"/>
        <v>40.173642813789904</v>
      </c>
      <c r="AB130" s="1128">
        <f t="shared" si="76"/>
        <v>38.533988673342364</v>
      </c>
      <c r="AC130" s="1128">
        <f t="shared" si="77"/>
        <v>39.014232828030671</v>
      </c>
      <c r="AD130" s="1128">
        <f t="shared" si="78"/>
        <v>41.489192238148888</v>
      </c>
      <c r="AE130" s="1128">
        <f t="shared" si="79"/>
        <v>45.313730593170689</v>
      </c>
      <c r="AF130" s="1128">
        <f t="shared" si="80"/>
        <v>49.490923032939556</v>
      </c>
      <c r="AG130" s="1128">
        <f t="shared" si="81"/>
        <v>52.931919975545696</v>
      </c>
      <c r="AH130" s="1128">
        <f t="shared" si="82"/>
        <v>54.739772540530808</v>
      </c>
      <c r="AI130" s="1128">
        <f t="shared" si="83"/>
        <v>54.443236096980186</v>
      </c>
      <c r="AJ130" s="1128">
        <f t="shared" si="84"/>
        <v>52.119607438670222</v>
      </c>
      <c r="AK130" s="1128">
        <f t="shared" si="85"/>
        <v>48.374576183590932</v>
      </c>
      <c r="AL130" s="1128">
        <f t="shared" si="86"/>
        <v>44.184342441057339</v>
      </c>
      <c r="AM130" s="1125">
        <f t="shared" si="87"/>
        <v>1</v>
      </c>
      <c r="AN130" s="1125">
        <f t="shared" si="88"/>
        <v>1</v>
      </c>
      <c r="AO130" s="1125">
        <f t="shared" si="89"/>
        <v>1</v>
      </c>
      <c r="AP130" s="1125">
        <f t="shared" si="90"/>
        <v>1</v>
      </c>
      <c r="AQ130" s="1125">
        <f t="shared" si="91"/>
        <v>1</v>
      </c>
      <c r="AR130" s="1125">
        <f t="shared" si="92"/>
        <v>1</v>
      </c>
      <c r="AS130" s="1125">
        <f t="shared" si="93"/>
        <v>1</v>
      </c>
      <c r="AT130" s="1125">
        <f t="shared" si="94"/>
        <v>1</v>
      </c>
      <c r="AU130" s="1125">
        <f t="shared" si="95"/>
        <v>1</v>
      </c>
      <c r="AV130" s="1125">
        <f t="shared" si="96"/>
        <v>1</v>
      </c>
      <c r="AW130" s="1125">
        <f t="shared" si="97"/>
        <v>1</v>
      </c>
      <c r="AX130" s="1125">
        <f t="shared" si="98"/>
        <v>1</v>
      </c>
      <c r="AY130" s="1125">
        <f t="shared" si="99"/>
        <v>0</v>
      </c>
      <c r="AZ130" s="1125">
        <f t="shared" si="100"/>
        <v>0</v>
      </c>
      <c r="BA130" s="1125">
        <f t="shared" si="101"/>
        <v>0</v>
      </c>
      <c r="BB130" s="1125">
        <f t="shared" si="102"/>
        <v>0</v>
      </c>
      <c r="BC130" s="1125">
        <f t="shared" si="103"/>
        <v>0</v>
      </c>
      <c r="BD130" s="1125">
        <f t="shared" si="104"/>
        <v>0</v>
      </c>
      <c r="BE130" s="1125">
        <f t="shared" si="105"/>
        <v>1</v>
      </c>
      <c r="BF130" s="1125">
        <f t="shared" si="106"/>
        <v>1</v>
      </c>
      <c r="BG130" s="1125">
        <f t="shared" si="107"/>
        <v>0</v>
      </c>
      <c r="BH130" s="1125">
        <f t="shared" si="108"/>
        <v>0</v>
      </c>
      <c r="BI130" s="1125">
        <f t="shared" si="109"/>
        <v>0</v>
      </c>
      <c r="BJ130" s="1125">
        <f t="shared" si="110"/>
        <v>0</v>
      </c>
      <c r="BK130" s="1125">
        <f t="shared" si="111"/>
        <v>1</v>
      </c>
      <c r="BL130" s="1125">
        <f t="shared" si="112"/>
        <v>1</v>
      </c>
      <c r="BM130" s="1125">
        <f t="shared" si="113"/>
        <v>1</v>
      </c>
      <c r="BN130" s="1125">
        <f t="shared" si="114"/>
        <v>1</v>
      </c>
      <c r="BO130" s="1125">
        <f t="shared" si="115"/>
        <v>1</v>
      </c>
      <c r="BP130" s="1125">
        <f t="shared" si="116"/>
        <v>1</v>
      </c>
      <c r="BQ130" s="1125">
        <f t="shared" si="117"/>
        <v>1</v>
      </c>
      <c r="BR130" s="1125">
        <f t="shared" si="118"/>
        <v>1</v>
      </c>
      <c r="BS130" s="1125">
        <f t="shared" si="119"/>
        <v>1</v>
      </c>
      <c r="BT130" s="1125">
        <f t="shared" si="120"/>
        <v>1</v>
      </c>
      <c r="BU130" s="1125">
        <f t="shared" si="121"/>
        <v>1</v>
      </c>
      <c r="BV130" s="1125">
        <f t="shared" si="122"/>
        <v>1</v>
      </c>
      <c r="BW130" s="1125">
        <f t="shared" si="123"/>
        <v>0</v>
      </c>
      <c r="BX130" s="1125">
        <f t="shared" si="124"/>
        <v>0</v>
      </c>
      <c r="BY130" s="1125">
        <f t="shared" si="125"/>
        <v>0</v>
      </c>
      <c r="BZ130" s="1125">
        <f t="shared" si="126"/>
        <v>0</v>
      </c>
      <c r="CA130" s="1125">
        <f t="shared" si="127"/>
        <v>0</v>
      </c>
      <c r="CB130" s="1125">
        <f t="shared" si="128"/>
        <v>0</v>
      </c>
      <c r="CC130" s="1125">
        <f t="shared" si="129"/>
        <v>1</v>
      </c>
      <c r="CD130" s="1125">
        <f t="shared" si="130"/>
        <v>1</v>
      </c>
      <c r="CE130" s="1125">
        <f t="shared" si="131"/>
        <v>0</v>
      </c>
      <c r="CF130" s="1125">
        <f t="shared" si="132"/>
        <v>0</v>
      </c>
      <c r="CG130" s="1125">
        <f t="shared" si="133"/>
        <v>0</v>
      </c>
      <c r="CH130" s="1125">
        <f t="shared" si="134"/>
        <v>0</v>
      </c>
      <c r="CI130" s="1125">
        <f t="shared" si="135"/>
        <v>0.85</v>
      </c>
      <c r="CJ130" s="1125">
        <f t="shared" si="136"/>
        <v>0.85</v>
      </c>
      <c r="CK130" s="1125">
        <f t="shared" si="137"/>
        <v>0.85</v>
      </c>
      <c r="CL130" s="1125">
        <f t="shared" si="138"/>
        <v>0.85</v>
      </c>
      <c r="CM130" s="1125">
        <f t="shared" si="139"/>
        <v>0.85</v>
      </c>
      <c r="CN130" s="1125">
        <f t="shared" si="140"/>
        <v>0.85</v>
      </c>
      <c r="CO130" s="1125">
        <f t="shared" si="141"/>
        <v>0.85</v>
      </c>
      <c r="CP130" s="1125">
        <f t="shared" si="142"/>
        <v>0.85</v>
      </c>
      <c r="CQ130" s="1125">
        <f t="shared" si="143"/>
        <v>0.85</v>
      </c>
      <c r="CR130" s="1125">
        <f t="shared" si="144"/>
        <v>0.85</v>
      </c>
      <c r="CS130" s="1125">
        <f t="shared" si="145"/>
        <v>0.85</v>
      </c>
      <c r="CT130" s="1125">
        <f t="shared" si="146"/>
        <v>0.85</v>
      </c>
      <c r="CU130" s="1125">
        <v>1</v>
      </c>
      <c r="CV130" s="1125"/>
      <c r="CW130" s="1125">
        <f t="shared" si="147"/>
        <v>62</v>
      </c>
      <c r="CX130" s="1125">
        <f t="shared" si="148"/>
        <v>303</v>
      </c>
      <c r="CY130" s="1136" t="s">
        <v>4889</v>
      </c>
      <c r="CZ130" s="1129" t="s">
        <v>4896</v>
      </c>
      <c r="DA130" s="1129"/>
      <c r="DB130" s="1129"/>
      <c r="DC130" s="1125" t="s">
        <v>5374</v>
      </c>
      <c r="DD130" s="1125" t="s">
        <v>1108</v>
      </c>
      <c r="DE130" s="1120" t="str">
        <f t="shared" si="149"/>
        <v/>
      </c>
      <c r="DF130" s="1133">
        <v>1</v>
      </c>
      <c r="DG130" s="1125">
        <v>0</v>
      </c>
    </row>
    <row r="131" spans="1:111">
      <c r="A131" s="1120" t="s">
        <v>3084</v>
      </c>
      <c r="B131" s="1120" t="s">
        <v>3715</v>
      </c>
      <c r="C131" s="1120" t="s">
        <v>3716</v>
      </c>
      <c r="D131" s="1120" t="s">
        <v>540</v>
      </c>
      <c r="E131" s="1120">
        <v>1299</v>
      </c>
      <c r="F131" s="1120">
        <v>-85.42</v>
      </c>
      <c r="G131" s="1120">
        <v>44.28</v>
      </c>
      <c r="H131" s="1120">
        <v>-5</v>
      </c>
      <c r="I131" s="1121">
        <v>-1.8399986267089852</v>
      </c>
      <c r="J131" s="1121">
        <v>83.83999862670899</v>
      </c>
      <c r="K131" s="1122">
        <v>69.439998626708984</v>
      </c>
      <c r="L131" s="1120">
        <v>7486.2</v>
      </c>
      <c r="M131" s="1120">
        <v>451.8</v>
      </c>
      <c r="N131" s="1123">
        <v>20.3</v>
      </c>
      <c r="O131" s="1123">
        <v>31.279999989271165</v>
      </c>
      <c r="P131" s="1123">
        <v>25.160000085830688</v>
      </c>
      <c r="Q131" s="1123">
        <v>41.9</v>
      </c>
      <c r="R131" s="1123">
        <v>53.419999313354495</v>
      </c>
      <c r="S131" s="1123">
        <v>66.739998626708982</v>
      </c>
      <c r="T131" s="1123">
        <v>67.819999313354487</v>
      </c>
      <c r="U131" s="1123">
        <v>64.580000686645505</v>
      </c>
      <c r="V131" s="1123">
        <v>60.619999313354491</v>
      </c>
      <c r="W131" s="1123">
        <v>41.359999656677246</v>
      </c>
      <c r="X131" s="1123">
        <v>40.820000171661377</v>
      </c>
      <c r="Y131" s="1123">
        <v>27.320000171661377</v>
      </c>
      <c r="Z131" s="1123">
        <v>45.142465531793363</v>
      </c>
      <c r="AA131" s="1123">
        <f t="shared" ref="AA131:AA194" si="150">MAX($Z131+6+(0.4+0.01*($Z131-44))*(MAX($N131:$Y131)-MIN($N131:$Y131))/2*SIN((0.986*((1*30-15)-15-(35-1*($Z131-44)))-90)*PI()/180),32)</f>
        <v>42.979905649241651</v>
      </c>
      <c r="AB131" s="1123">
        <f t="shared" ref="AB131:AB194" si="151">MAX($Z131+6+(0.4+0.01*($Z131-44))*(MAX($N131:$Y131)-MIN($N131:$Y131))/2*SIN((0.986*((2*30-15)-15-(35-1*($Z131-44)))-90)*PI()/180),32)</f>
        <v>41.388547420339769</v>
      </c>
      <c r="AC131" s="1123">
        <f t="shared" ref="AC131:AC194" si="152">MAX($Z131+6+(0.4+0.01*($Z131-44))*(MAX($N131:$Y131)-MIN($N131:$Y131))/2*SIN((0.986*((3*30-15)-15-(35-1*($Z131-44)))-90)*PI()/180),32)</f>
        <v>42.339698259616284</v>
      </c>
      <c r="AD131" s="1123">
        <f t="shared" ref="AD131:AD194" si="153">MAX($Z131+6+(0.4+0.01*($Z131-44))*(MAX($N131:$Y131)-MIN($N131:$Y131))/2*SIN((0.986*((4*30-15)-15-(35-1*($Z131-44)))-90)*PI()/180),32)</f>
        <v>45.585426043135655</v>
      </c>
      <c r="AE131" s="1123">
        <f t="shared" ref="AE131:AE194" si="154">MAX($Z131+6+(0.4+0.01*($Z131-44))*(MAX($N131:$Y131)-MIN($N131:$Y131))/2*SIN((0.986*((5*30-15)-15-(35-1*($Z131-44)))-90)*PI()/180),32)</f>
        <v>50.279681805944371</v>
      </c>
      <c r="AF131" s="1123">
        <f t="shared" ref="AF131:AF194" si="155">MAX($Z131+6+(0.4+0.01*($Z131-44))*(MAX($N131:$Y131)-MIN($N131:$Y131))/2*SIN((0.986*((6*30-15)-15-(35-1*($Z131-44)))-90)*PI()/180),32)</f>
        <v>55.198835442795307</v>
      </c>
      <c r="AG131" s="1123">
        <f t="shared" ref="AG131:AG194" si="156">MAX($Z131+6+(0.4+0.01*($Z131-44))*(MAX($N131:$Y131)-MIN($N131:$Y131))/2*SIN((0.986*((7*30-15)-15-(35-1*($Z131-44)))-90)*PI()/180),32)</f>
        <v>59.06063375179108</v>
      </c>
      <c r="AH131" s="1123">
        <f t="shared" ref="AH131:AH194" si="157">MAX($Z131+6+(0.4+0.01*($Z131-44))*(MAX($N131:$Y131)-MIN($N131:$Y131))/2*SIN((0.986*((8*30-15)-15-(35-1*($Z131-44)))-90)*PI()/180),32)</f>
        <v>60.858439491578579</v>
      </c>
      <c r="AI131" s="1123">
        <f t="shared" ref="AI131:AI194" si="158">MAX($Z131+6+(0.4+0.01*($Z131-44))*(MAX($N131:$Y131)-MIN($N131:$Y131))/2*SIN((0.986*((9*30-15)-15-(35-1*($Z131-44)))-90)*PI()/180),32)</f>
        <v>60.123626891057128</v>
      </c>
      <c r="AJ131" s="1123">
        <f t="shared" ref="AJ131:AJ194" si="159">MAX($Z131+6+(0.4+0.01*($Z131-44))*(MAX($N131:$Y131)-MIN($N131:$Y131))/2*SIN((0.986*((10*30-15)-15-(35-1*($Z131-44)))-90)*PI()/180),32)</f>
        <v>57.047736178357574</v>
      </c>
      <c r="AK131" s="1123">
        <f t="shared" ref="AK131:AK194" si="160">MAX($Z131+6+(0.4+0.01*($Z131-44))*(MAX($N131:$Y131)-MIN($N131:$Y131))/2*SIN((0.986*((11*30-15)-15-(35-1*($Z131-44)))-90)*PI()/180),32)</f>
        <v>52.432545668655749</v>
      </c>
      <c r="AL131" s="1123">
        <f t="shared" ref="AL131:AL194" si="161">MAX($Z131+6+(0.4+0.01*($Z131-44))*(MAX($N131:$Y131)-MIN($N131:$Y131))/2*SIN((0.986*((12*30-15)-15-(35-1*($Z131-44)))-90)*PI()/180),32)</f>
        <v>47.481075890544069</v>
      </c>
      <c r="AM131" s="1120">
        <f t="shared" ref="AM131:AM194" si="162">IF(AND(OR(LEFT(AM$1,3)="Jan",LEFT(AM$1,3)="Dec"),I131&lt;59),1,IF(N131&lt;66,1,0))</f>
        <v>1</v>
      </c>
      <c r="AN131" s="1120">
        <f t="shared" ref="AN131:AN194" si="163">IF(AND(OR(LEFT(AN$1,3)="Jan",LEFT(AN$1,3)="Dec"),J131&lt;59),1,IF(O131&lt;66,1,0))</f>
        <v>1</v>
      </c>
      <c r="AO131" s="1120">
        <f t="shared" ref="AO131:AO194" si="164">IF(AND(OR(LEFT(AO$1,3)="Jan",LEFT(AO$1,3)="Dec"),K131&lt;59),1,IF(P131&lt;66,1,0))</f>
        <v>1</v>
      </c>
      <c r="AP131" s="1120">
        <f t="shared" ref="AP131:AP194" si="165">IF(AND(OR(LEFT(AP$1,3)="Jan",LEFT(AP$1,3)="Dec"),L131&lt;59),1,IF(Q131&lt;66,1,0))</f>
        <v>1</v>
      </c>
      <c r="AQ131" s="1120">
        <f t="shared" ref="AQ131:AQ194" si="166">IF(AND(OR(LEFT(AQ$1,3)="Jan",LEFT(AQ$1,3)="Dec"),M131&lt;59),1,IF(R131&lt;66,1,0))</f>
        <v>1</v>
      </c>
      <c r="AR131" s="1120">
        <f t="shared" ref="AR131:AR194" si="167">IF(AND(OR(LEFT(AR$1,3)="Jan",LEFT(AR$1,3)="Dec"),N131&lt;59),1,IF(S131&lt;66,1,0))</f>
        <v>0</v>
      </c>
      <c r="AS131" s="1120">
        <f t="shared" ref="AS131:AS194" si="168">IF(AND(OR(LEFT(AS$1,3)="Jan",LEFT(AS$1,3)="Dec"),O131&lt;59),1,IF(T131&lt;66,1,0))</f>
        <v>0</v>
      </c>
      <c r="AT131" s="1120">
        <f t="shared" ref="AT131:AT194" si="169">IF(AND(OR(LEFT(AT$1,3)="Jan",LEFT(AT$1,3)="Dec"),P131&lt;59),1,IF(U131&lt;66,1,0))</f>
        <v>1</v>
      </c>
      <c r="AU131" s="1120">
        <f t="shared" ref="AU131:AU194" si="170">IF(AND(OR(LEFT(AU$1,3)="Jan",LEFT(AU$1,3)="Dec"),Q131&lt;59),1,IF(V131&lt;66,1,0))</f>
        <v>1</v>
      </c>
      <c r="AV131" s="1120">
        <f t="shared" ref="AV131:AV194" si="171">IF(AND(OR(LEFT(AV$1,3)="Jan",LEFT(AV$1,3)="Dec"),R131&lt;59),1,IF(W131&lt;66,1,0))</f>
        <v>1</v>
      </c>
      <c r="AW131" s="1120">
        <f t="shared" ref="AW131:AW194" si="172">IF(AND(OR(LEFT(AW$1,3)="Jan",LEFT(AW$1,3)="Dec"),S131&lt;59),1,IF(X131&lt;66,1,0))</f>
        <v>1</v>
      </c>
      <c r="AX131" s="1120">
        <f t="shared" ref="AX131:AX194" si="173">IF(AND(OR(LEFT(AX$1,3)="Jan",LEFT(AX$1,3)="Dec"),T131&lt;59),1,IF(Y131&lt;66,1,0))</f>
        <v>1</v>
      </c>
      <c r="AY131" s="1120">
        <f t="shared" ref="AY131:AY194" si="174">IF(OR(LEFT(AY$1,3)="Jul", LEFT(AY$1,3)="Aug"),1,IF(N131&gt;66,1,0))</f>
        <v>0</v>
      </c>
      <c r="AZ131" s="1120">
        <f t="shared" ref="AZ131:AZ194" si="175">IF(OR(LEFT(AZ$1,3)="Jul", LEFT(AZ$1,3)="Aug"),1,IF(O131&gt;66,1,0))</f>
        <v>0</v>
      </c>
      <c r="BA131" s="1120">
        <f t="shared" ref="BA131:BA194" si="176">IF(OR(LEFT(BA$1,3)="Jul", LEFT(BA$1,3)="Aug"),1,IF(P131&gt;66,1,0))</f>
        <v>0</v>
      </c>
      <c r="BB131" s="1120">
        <f t="shared" ref="BB131:BB194" si="177">IF(OR(LEFT(BB$1,3)="Jul", LEFT(BB$1,3)="Aug"),1,IF(Q131&gt;66,1,0))</f>
        <v>0</v>
      </c>
      <c r="BC131" s="1120">
        <f t="shared" ref="BC131:BC194" si="178">IF(OR(LEFT(BC$1,3)="Jul", LEFT(BC$1,3)="Aug"),1,IF(R131&gt;66,1,0))</f>
        <v>0</v>
      </c>
      <c r="BD131" s="1120">
        <f t="shared" ref="BD131:BD194" si="179">IF(OR(LEFT(BD$1,3)="Jul", LEFT(BD$1,3)="Aug"),1,IF(S131&gt;66,1,0))</f>
        <v>1</v>
      </c>
      <c r="BE131" s="1120">
        <f t="shared" ref="BE131:BE194" si="180">IF(OR(LEFT(BE$1,3)="Jul", LEFT(BE$1,3)="Aug"),1,IF(T131&gt;66,1,0))</f>
        <v>1</v>
      </c>
      <c r="BF131" s="1120">
        <f t="shared" ref="BF131:BF194" si="181">IF(OR(LEFT(BF$1,3)="Jul", LEFT(BF$1,3)="Aug"),1,IF(U131&gt;66,1,0))</f>
        <v>1</v>
      </c>
      <c r="BG131" s="1120">
        <f t="shared" ref="BG131:BG194" si="182">IF(OR(LEFT(BG$1,3)="Jul", LEFT(BG$1,3)="Aug"),1,IF(V131&gt;66,1,0))</f>
        <v>0</v>
      </c>
      <c r="BH131" s="1120">
        <f t="shared" ref="BH131:BH194" si="183">IF(OR(LEFT(BH$1,3)="Jul", LEFT(BH$1,3)="Aug"),1,IF(W131&gt;66,1,0))</f>
        <v>0</v>
      </c>
      <c r="BI131" s="1120">
        <f t="shared" ref="BI131:BI194" si="184">IF(OR(LEFT(BI$1,3)="Jul", LEFT(BI$1,3)="Aug"),1,IF(X131&gt;66,1,0))</f>
        <v>0</v>
      </c>
      <c r="BJ131" s="1120">
        <f t="shared" ref="BJ131:BJ194" si="185">IF(OR(LEFT(BJ$1,3)="Jul", LEFT(BJ$1,3)="Aug"),1,IF(Y131&gt;66,1,0))</f>
        <v>0</v>
      </c>
      <c r="BK131" s="1120">
        <f t="shared" ref="BK131:BK194" si="186">IF(AND(AY131=1,BJ131=0),1,AM131)</f>
        <v>1</v>
      </c>
      <c r="BL131" s="1120">
        <f t="shared" ref="BL131:BL194" si="187">IF(AND(AY131=0,AZ131=1),1,AN131)</f>
        <v>1</v>
      </c>
      <c r="BM131" s="1120">
        <f t="shared" ref="BM131:BM194" si="188">IF(AND(AZ131=0,BA131=1),1,AO131)</f>
        <v>1</v>
      </c>
      <c r="BN131" s="1120">
        <f t="shared" ref="BN131:BN194" si="189">IF(AND(BA131=0,BB131=1),1,AP131)</f>
        <v>1</v>
      </c>
      <c r="BO131" s="1120">
        <f t="shared" ref="BO131:BO194" si="190">IF(AND(BB131=0,BC131=1),1,AQ131)</f>
        <v>1</v>
      </c>
      <c r="BP131" s="1120">
        <f t="shared" ref="BP131:BP194" si="191">IF(AND(BC131=0,BD131=1),1,AR131)</f>
        <v>1</v>
      </c>
      <c r="BQ131" s="1120">
        <f t="shared" ref="BQ131:BQ194" si="192">IF(AND(BD131=0,BE131=1),1,AS131)</f>
        <v>0</v>
      </c>
      <c r="BR131" s="1120">
        <f t="shared" ref="BR131:BR194" si="193">IF(AND(BE131=0,BF131=1),1,AT131)</f>
        <v>1</v>
      </c>
      <c r="BS131" s="1120">
        <f t="shared" ref="BS131:BS194" si="194">IF(AND(BF131=0,BG131=1),1,AU131)</f>
        <v>1</v>
      </c>
      <c r="BT131" s="1120">
        <f t="shared" ref="BT131:BT194" si="195">IF(AND(BG131=0,BH131=1),1,AV131)</f>
        <v>1</v>
      </c>
      <c r="BU131" s="1120">
        <f t="shared" ref="BU131:BU194" si="196">IF(AND(BH131=0,BI131=1),1,AW131)</f>
        <v>1</v>
      </c>
      <c r="BV131" s="1120">
        <f t="shared" ref="BV131:BV194" si="197">IF(AND(BI131=0,BJ131=1),1,AX131)</f>
        <v>1</v>
      </c>
      <c r="BW131" s="1120">
        <f t="shared" ref="BW131:BW194" si="198">IF(OR(AND(AX131=0,AM131=1),AND(AM131=1,AN131=0)),1,AY131)</f>
        <v>0</v>
      </c>
      <c r="BX131" s="1120">
        <f t="shared" ref="BX131:BX194" si="199">IF(OR(AND(AM131=0,AN131=1),AND(AN131=1,AO131=0)),1,AZ131)</f>
        <v>0</v>
      </c>
      <c r="BY131" s="1120">
        <f t="shared" ref="BY131:BY194" si="200">IF(OR(AND(AN131=0,AO131=1),AND(AO131=1,AP131=0)),1,BA131)</f>
        <v>0</v>
      </c>
      <c r="BZ131" s="1120">
        <f t="shared" ref="BZ131:BZ194" si="201">IF(OR(AND(AO131=0,AP131=1),AND(AP131=1,AQ131=0)),1,BB131)</f>
        <v>0</v>
      </c>
      <c r="CA131" s="1120">
        <f t="shared" ref="CA131:CA194" si="202">IF(OR(AND(AP131=0,AQ131=1),AND(AQ131=1,AR131=0)),1,BC131)</f>
        <v>1</v>
      </c>
      <c r="CB131" s="1120">
        <f t="shared" ref="CB131:CB194" si="203">IF(OR(AND(AQ131=0,AR131=1),AND(AR131=1,AS131=0)),1,BD131)</f>
        <v>1</v>
      </c>
      <c r="CC131" s="1120">
        <f t="shared" ref="CC131:CC194" si="204">IF(OR(AND(AR131=0,AS131=1),AND(AS131=1,AT131=0)),1,BE131)</f>
        <v>1</v>
      </c>
      <c r="CD131" s="1120">
        <f t="shared" ref="CD131:CD194" si="205">IF(OR(AND(AS131=0,AT131=1),AND(AT131=1,AU131=0)),1,BF131)</f>
        <v>1</v>
      </c>
      <c r="CE131" s="1120">
        <f t="shared" ref="CE131:CE194" si="206">IF(OR(AND(AT131=0,AU131=1),AND(AU131=1,AV131=0)),1,BG131)</f>
        <v>0</v>
      </c>
      <c r="CF131" s="1120">
        <f t="shared" ref="CF131:CF194" si="207">IF(OR(AND(AU131=0,AV131=1),AND(AV131=1,AW131=0)),1,BH131)</f>
        <v>0</v>
      </c>
      <c r="CG131" s="1120">
        <f t="shared" ref="CG131:CG194" si="208">IF(OR(AND(AV131=0,AW131=1),AND(AW131=1,AX131=0)),1,BI131)</f>
        <v>0</v>
      </c>
      <c r="CH131" s="1120">
        <f t="shared" ref="CH131:CH194" si="209">IF(OR(AND(AW131=0,AX131=1),AND(AX131=1,AM131=0)),1,BJ131)</f>
        <v>0</v>
      </c>
      <c r="CI131" s="1120">
        <f t="shared" ref="CI131:CI194" si="210">IF(BK131=1,0.85,0.7)</f>
        <v>0.85</v>
      </c>
      <c r="CJ131" s="1120">
        <f t="shared" ref="CJ131:CJ194" si="211">IF(BL131=1,0.85,0.7)</f>
        <v>0.85</v>
      </c>
      <c r="CK131" s="1120">
        <f t="shared" ref="CK131:CK194" si="212">IF(BM131=1,0.85,0.7)</f>
        <v>0.85</v>
      </c>
      <c r="CL131" s="1120">
        <f t="shared" ref="CL131:CL194" si="213">IF(BN131=1,0.85,0.7)</f>
        <v>0.85</v>
      </c>
      <c r="CM131" s="1120">
        <f t="shared" ref="CM131:CM194" si="214">IF(BO131=1,0.85,0.7)</f>
        <v>0.85</v>
      </c>
      <c r="CN131" s="1120">
        <f t="shared" ref="CN131:CN194" si="215">IF(BP131=1,0.85,0.7)</f>
        <v>0.85</v>
      </c>
      <c r="CO131" s="1120">
        <f t="shared" ref="CO131:CO194" si="216">IF(BQ131=1,0.85,0.7)</f>
        <v>0.7</v>
      </c>
      <c r="CP131" s="1120">
        <f t="shared" ref="CP131:CP194" si="217">IF(BR131=1,0.85,0.7)</f>
        <v>0.85</v>
      </c>
      <c r="CQ131" s="1120">
        <f t="shared" ref="CQ131:CQ194" si="218">IF(BS131=1,0.85,0.7)</f>
        <v>0.85</v>
      </c>
      <c r="CR131" s="1120">
        <f t="shared" ref="CR131:CR194" si="219">IF(BT131=1,0.85,0.7)</f>
        <v>0.85</v>
      </c>
      <c r="CS131" s="1120">
        <f t="shared" ref="CS131:CS194" si="220">IF(BU131=1,0.85,0.7)</f>
        <v>0.85</v>
      </c>
      <c r="CT131" s="1120">
        <f t="shared" ref="CT131:CT194" si="221">IF(BV131=1,0.85,0.7)</f>
        <v>0.85</v>
      </c>
      <c r="CU131" s="1120">
        <v>1</v>
      </c>
      <c r="CV131" s="1120"/>
      <c r="CW131" s="1120">
        <f t="shared" ref="CW131:CW194" si="222">BW131*31+BX131*28+BY131*31+BZ131*30+CA131*31+CB131*30+CC131*31+CD131*31+CE131*30+CF131*31+CG131*30+CH131*31</f>
        <v>123</v>
      </c>
      <c r="CX131" s="1120">
        <f t="shared" ref="CX131:CX194" si="223">365-CW131</f>
        <v>242</v>
      </c>
      <c r="CY131" s="1135" t="s">
        <v>4889</v>
      </c>
      <c r="CZ131" s="1124" t="s">
        <v>4899</v>
      </c>
      <c r="DA131" s="1124"/>
      <c r="DB131" s="1124"/>
      <c r="DC131" s="1120" t="s">
        <v>5298</v>
      </c>
      <c r="DD131" s="1120" t="s">
        <v>540</v>
      </c>
      <c r="DE131" s="1120" t="str">
        <f t="shared" ref="DE131:DE194" si="224">IF(AND(C131=DC131,D131=DD131),"",FALSE)</f>
        <v/>
      </c>
      <c r="DF131" s="1133">
        <v>0</v>
      </c>
      <c r="DG131" s="1120">
        <v>0</v>
      </c>
    </row>
    <row r="132" spans="1:111">
      <c r="A132" s="1125" t="s">
        <v>3088</v>
      </c>
      <c r="B132" s="1120" t="s">
        <v>3503</v>
      </c>
      <c r="C132" s="1120" t="s">
        <v>3504</v>
      </c>
      <c r="D132" s="1120" t="s">
        <v>932</v>
      </c>
      <c r="E132" s="1120">
        <v>413</v>
      </c>
      <c r="F132" s="1120">
        <v>-90.15</v>
      </c>
      <c r="G132" s="1120">
        <v>38.57</v>
      </c>
      <c r="H132" s="1120">
        <v>-6</v>
      </c>
      <c r="I132" s="1121">
        <v>14.180000686645508</v>
      </c>
      <c r="J132" s="1121">
        <v>91.4</v>
      </c>
      <c r="K132" s="1122">
        <v>76.460001373291021</v>
      </c>
      <c r="L132" s="1120">
        <v>4503.6000000000004</v>
      </c>
      <c r="M132" s="1120">
        <v>1492.2</v>
      </c>
      <c r="N132" s="1123">
        <v>33.799999999999997</v>
      </c>
      <c r="O132" s="1123">
        <v>35.23999991416931</v>
      </c>
      <c r="P132" s="1123">
        <v>46.220000171661376</v>
      </c>
      <c r="Q132" s="1123">
        <v>58.459999656677248</v>
      </c>
      <c r="R132" s="1123">
        <v>63.86000137329102</v>
      </c>
      <c r="S132" s="1123">
        <v>70.519999313354489</v>
      </c>
      <c r="T132" s="1123">
        <v>77.719999313354492</v>
      </c>
      <c r="U132" s="1123">
        <v>78.8</v>
      </c>
      <c r="V132" s="1123">
        <v>73.039998626708979</v>
      </c>
      <c r="W132" s="1123">
        <v>54.5</v>
      </c>
      <c r="X132" s="1123">
        <v>48.740000343322755</v>
      </c>
      <c r="Y132" s="1123">
        <v>31.81999999731779</v>
      </c>
      <c r="Z132" s="1123">
        <v>56.158465650200029</v>
      </c>
      <c r="AA132" s="1123">
        <f t="shared" si="150"/>
        <v>50.840852734441178</v>
      </c>
      <c r="AB132" s="1123">
        <f t="shared" si="151"/>
        <v>49.999291016409259</v>
      </c>
      <c r="AC132" s="1123">
        <f t="shared" si="152"/>
        <v>52.327205545227919</v>
      </c>
      <c r="AD132" s="1123">
        <f t="shared" si="153"/>
        <v>57.217789524711776</v>
      </c>
      <c r="AE132" s="1123">
        <f t="shared" si="154"/>
        <v>63.396236874427913</v>
      </c>
      <c r="AF132" s="1123">
        <f t="shared" si="155"/>
        <v>69.252040079917109</v>
      </c>
      <c r="AG132" s="1123">
        <f t="shared" si="156"/>
        <v>73.258793795009638</v>
      </c>
      <c r="AH132" s="1123">
        <f t="shared" si="157"/>
        <v>74.372075917922842</v>
      </c>
      <c r="AI132" s="1123">
        <f t="shared" si="158"/>
        <v>72.301692307122593</v>
      </c>
      <c r="AJ132" s="1123">
        <f t="shared" si="159"/>
        <v>67.587320356341166</v>
      </c>
      <c r="AK132" s="1123">
        <f t="shared" si="160"/>
        <v>61.457833765220627</v>
      </c>
      <c r="AL132" s="1123">
        <f t="shared" si="161"/>
        <v>55.510977671984143</v>
      </c>
      <c r="AM132" s="1120">
        <f t="shared" si="162"/>
        <v>1</v>
      </c>
      <c r="AN132" s="1120">
        <f t="shared" si="163"/>
        <v>1</v>
      </c>
      <c r="AO132" s="1120">
        <f t="shared" si="164"/>
        <v>1</v>
      </c>
      <c r="AP132" s="1120">
        <f t="shared" si="165"/>
        <v>1</v>
      </c>
      <c r="AQ132" s="1120">
        <f t="shared" si="166"/>
        <v>1</v>
      </c>
      <c r="AR132" s="1120">
        <f t="shared" si="167"/>
        <v>0</v>
      </c>
      <c r="AS132" s="1120">
        <f t="shared" si="168"/>
        <v>0</v>
      </c>
      <c r="AT132" s="1120">
        <f t="shared" si="169"/>
        <v>0</v>
      </c>
      <c r="AU132" s="1120">
        <f t="shared" si="170"/>
        <v>0</v>
      </c>
      <c r="AV132" s="1120">
        <f t="shared" si="171"/>
        <v>1</v>
      </c>
      <c r="AW132" s="1120">
        <f t="shared" si="172"/>
        <v>1</v>
      </c>
      <c r="AX132" s="1120">
        <f t="shared" si="173"/>
        <v>1</v>
      </c>
      <c r="AY132" s="1120">
        <f t="shared" si="174"/>
        <v>0</v>
      </c>
      <c r="AZ132" s="1120">
        <f t="shared" si="175"/>
        <v>0</v>
      </c>
      <c r="BA132" s="1120">
        <f t="shared" si="176"/>
        <v>0</v>
      </c>
      <c r="BB132" s="1120">
        <f t="shared" si="177"/>
        <v>0</v>
      </c>
      <c r="BC132" s="1120">
        <f t="shared" si="178"/>
        <v>0</v>
      </c>
      <c r="BD132" s="1120">
        <f t="shared" si="179"/>
        <v>1</v>
      </c>
      <c r="BE132" s="1120">
        <f t="shared" si="180"/>
        <v>1</v>
      </c>
      <c r="BF132" s="1120">
        <f t="shared" si="181"/>
        <v>1</v>
      </c>
      <c r="BG132" s="1120">
        <f t="shared" si="182"/>
        <v>1</v>
      </c>
      <c r="BH132" s="1120">
        <f t="shared" si="183"/>
        <v>0</v>
      </c>
      <c r="BI132" s="1120">
        <f t="shared" si="184"/>
        <v>0</v>
      </c>
      <c r="BJ132" s="1120">
        <f t="shared" si="185"/>
        <v>0</v>
      </c>
      <c r="BK132" s="1120">
        <f t="shared" si="186"/>
        <v>1</v>
      </c>
      <c r="BL132" s="1120">
        <f t="shared" si="187"/>
        <v>1</v>
      </c>
      <c r="BM132" s="1120">
        <f t="shared" si="188"/>
        <v>1</v>
      </c>
      <c r="BN132" s="1120">
        <f t="shared" si="189"/>
        <v>1</v>
      </c>
      <c r="BO132" s="1120">
        <f t="shared" si="190"/>
        <v>1</v>
      </c>
      <c r="BP132" s="1120">
        <f t="shared" si="191"/>
        <v>1</v>
      </c>
      <c r="BQ132" s="1120">
        <f t="shared" si="192"/>
        <v>0</v>
      </c>
      <c r="BR132" s="1120">
        <f t="shared" si="193"/>
        <v>0</v>
      </c>
      <c r="BS132" s="1120">
        <f t="shared" si="194"/>
        <v>0</v>
      </c>
      <c r="BT132" s="1120">
        <f t="shared" si="195"/>
        <v>1</v>
      </c>
      <c r="BU132" s="1120">
        <f t="shared" si="196"/>
        <v>1</v>
      </c>
      <c r="BV132" s="1120">
        <f t="shared" si="197"/>
        <v>1</v>
      </c>
      <c r="BW132" s="1120">
        <f t="shared" si="198"/>
        <v>0</v>
      </c>
      <c r="BX132" s="1120">
        <f t="shared" si="199"/>
        <v>0</v>
      </c>
      <c r="BY132" s="1120">
        <f t="shared" si="200"/>
        <v>0</v>
      </c>
      <c r="BZ132" s="1120">
        <f t="shared" si="201"/>
        <v>0</v>
      </c>
      <c r="CA132" s="1120">
        <f t="shared" si="202"/>
        <v>1</v>
      </c>
      <c r="CB132" s="1120">
        <f t="shared" si="203"/>
        <v>1</v>
      </c>
      <c r="CC132" s="1120">
        <f t="shared" si="204"/>
        <v>1</v>
      </c>
      <c r="CD132" s="1120">
        <f t="shared" si="205"/>
        <v>1</v>
      </c>
      <c r="CE132" s="1120">
        <f t="shared" si="206"/>
        <v>1</v>
      </c>
      <c r="CF132" s="1120">
        <f t="shared" si="207"/>
        <v>1</v>
      </c>
      <c r="CG132" s="1120">
        <f t="shared" si="208"/>
        <v>0</v>
      </c>
      <c r="CH132" s="1120">
        <f t="shared" si="209"/>
        <v>0</v>
      </c>
      <c r="CI132" s="1120">
        <f t="shared" si="210"/>
        <v>0.85</v>
      </c>
      <c r="CJ132" s="1120">
        <f t="shared" si="211"/>
        <v>0.85</v>
      </c>
      <c r="CK132" s="1120">
        <f t="shared" si="212"/>
        <v>0.85</v>
      </c>
      <c r="CL132" s="1120">
        <f t="shared" si="213"/>
        <v>0.85</v>
      </c>
      <c r="CM132" s="1120">
        <f t="shared" si="214"/>
        <v>0.85</v>
      </c>
      <c r="CN132" s="1120">
        <f t="shared" si="215"/>
        <v>0.85</v>
      </c>
      <c r="CO132" s="1120">
        <f t="shared" si="216"/>
        <v>0.7</v>
      </c>
      <c r="CP132" s="1120">
        <f t="shared" si="217"/>
        <v>0.7</v>
      </c>
      <c r="CQ132" s="1120">
        <f t="shared" si="218"/>
        <v>0.7</v>
      </c>
      <c r="CR132" s="1120">
        <f t="shared" si="219"/>
        <v>0.85</v>
      </c>
      <c r="CS132" s="1120">
        <f t="shared" si="220"/>
        <v>0.85</v>
      </c>
      <c r="CT132" s="1120">
        <f t="shared" si="221"/>
        <v>0.85</v>
      </c>
      <c r="CU132" s="1120">
        <v>1</v>
      </c>
      <c r="CV132" s="1120"/>
      <c r="CW132" s="1120">
        <f t="shared" si="222"/>
        <v>184</v>
      </c>
      <c r="CX132" s="1120">
        <f t="shared" si="223"/>
        <v>181</v>
      </c>
      <c r="CY132" s="1136" t="s">
        <v>4881</v>
      </c>
      <c r="CZ132" s="1129" t="s">
        <v>4885</v>
      </c>
      <c r="DA132" s="1129"/>
      <c r="DB132" s="1129"/>
      <c r="DC132" s="1125" t="s">
        <v>5964</v>
      </c>
      <c r="DD132" s="1125" t="s">
        <v>932</v>
      </c>
      <c r="DE132" s="1120" t="b">
        <f t="shared" si="224"/>
        <v>0</v>
      </c>
      <c r="DF132" s="1133">
        <v>0</v>
      </c>
      <c r="DG132" s="1125">
        <v>0</v>
      </c>
    </row>
    <row r="133" spans="1:111">
      <c r="A133" s="1120" t="s">
        <v>3090</v>
      </c>
      <c r="B133" s="1125" t="s">
        <v>3006</v>
      </c>
      <c r="C133" s="1125" t="s">
        <v>3007</v>
      </c>
      <c r="D133" s="1125" t="s">
        <v>247</v>
      </c>
      <c r="E133" s="1125">
        <v>298</v>
      </c>
      <c r="F133" s="1125">
        <v>-85.72</v>
      </c>
      <c r="G133" s="1125">
        <v>31.27</v>
      </c>
      <c r="H133" s="1125">
        <v>-6</v>
      </c>
      <c r="I133" s="1126">
        <v>30.380000042915345</v>
      </c>
      <c r="J133" s="1126">
        <v>93.379997253417969</v>
      </c>
      <c r="K133" s="1127">
        <v>76.099999999999994</v>
      </c>
      <c r="L133" s="1125">
        <v>2316.6</v>
      </c>
      <c r="M133" s="1125">
        <v>2050.2000000000003</v>
      </c>
      <c r="N133" s="1128">
        <v>45.5</v>
      </c>
      <c r="O133" s="1128">
        <v>51.8</v>
      </c>
      <c r="P133" s="1128">
        <v>54.859999656677246</v>
      </c>
      <c r="Q133" s="1128">
        <v>62.6</v>
      </c>
      <c r="R133" s="1128">
        <v>74.119999313354498</v>
      </c>
      <c r="S133" s="1128">
        <v>77.360001373291013</v>
      </c>
      <c r="T133" s="1128">
        <v>79.519999313354489</v>
      </c>
      <c r="U133" s="1128">
        <v>77.719999313354492</v>
      </c>
      <c r="V133" s="1128">
        <v>74.3</v>
      </c>
      <c r="W133" s="1128">
        <v>62.239998626708989</v>
      </c>
      <c r="X133" s="1128">
        <v>54.680000686645506</v>
      </c>
      <c r="Y133" s="1128">
        <v>48.559999656677249</v>
      </c>
      <c r="Z133" s="1128">
        <v>63.662246394745289</v>
      </c>
      <c r="AA133" s="1128">
        <f t="shared" si="150"/>
        <v>59.865164360926606</v>
      </c>
      <c r="AB133" s="1128">
        <f t="shared" si="151"/>
        <v>59.835048350451977</v>
      </c>
      <c r="AC133" s="1128">
        <f t="shared" si="152"/>
        <v>62.366542951928366</v>
      </c>
      <c r="AD133" s="1128">
        <f t="shared" si="153"/>
        <v>66.799775085968278</v>
      </c>
      <c r="AE133" s="1128">
        <f t="shared" si="154"/>
        <v>71.979154478659041</v>
      </c>
      <c r="AF133" s="1128">
        <f t="shared" si="155"/>
        <v>76.554596074643342</v>
      </c>
      <c r="AG133" s="1128">
        <f t="shared" si="156"/>
        <v>79.333440512238582</v>
      </c>
      <c r="AH133" s="1128">
        <f t="shared" si="157"/>
        <v>79.591339165496507</v>
      </c>
      <c r="AI133" s="1128">
        <f t="shared" si="158"/>
        <v>77.261066776106901</v>
      </c>
      <c r="AJ133" s="1128">
        <f t="shared" si="159"/>
        <v>72.950044752948685</v>
      </c>
      <c r="AK133" s="1128">
        <f t="shared" si="160"/>
        <v>67.782007421218395</v>
      </c>
      <c r="AL133" s="1128">
        <f t="shared" si="161"/>
        <v>63.104083353297547</v>
      </c>
      <c r="AM133" s="1125">
        <f t="shared" si="162"/>
        <v>1</v>
      </c>
      <c r="AN133" s="1125">
        <f t="shared" si="163"/>
        <v>1</v>
      </c>
      <c r="AO133" s="1125">
        <f t="shared" si="164"/>
        <v>1</v>
      </c>
      <c r="AP133" s="1125">
        <f t="shared" si="165"/>
        <v>1</v>
      </c>
      <c r="AQ133" s="1125">
        <f t="shared" si="166"/>
        <v>0</v>
      </c>
      <c r="AR133" s="1125">
        <f t="shared" si="167"/>
        <v>0</v>
      </c>
      <c r="AS133" s="1125">
        <f t="shared" si="168"/>
        <v>0</v>
      </c>
      <c r="AT133" s="1125">
        <f t="shared" si="169"/>
        <v>0</v>
      </c>
      <c r="AU133" s="1125">
        <f t="shared" si="170"/>
        <v>0</v>
      </c>
      <c r="AV133" s="1125">
        <f t="shared" si="171"/>
        <v>1</v>
      </c>
      <c r="AW133" s="1125">
        <f t="shared" si="172"/>
        <v>1</v>
      </c>
      <c r="AX133" s="1125">
        <f t="shared" si="173"/>
        <v>1</v>
      </c>
      <c r="AY133" s="1125">
        <f t="shared" si="174"/>
        <v>0</v>
      </c>
      <c r="AZ133" s="1125">
        <f t="shared" si="175"/>
        <v>0</v>
      </c>
      <c r="BA133" s="1125">
        <f t="shared" si="176"/>
        <v>0</v>
      </c>
      <c r="BB133" s="1125">
        <f t="shared" si="177"/>
        <v>0</v>
      </c>
      <c r="BC133" s="1125">
        <f t="shared" si="178"/>
        <v>1</v>
      </c>
      <c r="BD133" s="1125">
        <f t="shared" si="179"/>
        <v>1</v>
      </c>
      <c r="BE133" s="1125">
        <f t="shared" si="180"/>
        <v>1</v>
      </c>
      <c r="BF133" s="1125">
        <f t="shared" si="181"/>
        <v>1</v>
      </c>
      <c r="BG133" s="1125">
        <f t="shared" si="182"/>
        <v>1</v>
      </c>
      <c r="BH133" s="1125">
        <f t="shared" si="183"/>
        <v>0</v>
      </c>
      <c r="BI133" s="1125">
        <f t="shared" si="184"/>
        <v>0</v>
      </c>
      <c r="BJ133" s="1125">
        <f t="shared" si="185"/>
        <v>0</v>
      </c>
      <c r="BK133" s="1125">
        <f t="shared" si="186"/>
        <v>1</v>
      </c>
      <c r="BL133" s="1125">
        <f t="shared" si="187"/>
        <v>1</v>
      </c>
      <c r="BM133" s="1125">
        <f t="shared" si="188"/>
        <v>1</v>
      </c>
      <c r="BN133" s="1125">
        <f t="shared" si="189"/>
        <v>1</v>
      </c>
      <c r="BO133" s="1125">
        <f t="shared" si="190"/>
        <v>1</v>
      </c>
      <c r="BP133" s="1125">
        <f t="shared" si="191"/>
        <v>0</v>
      </c>
      <c r="BQ133" s="1125">
        <f t="shared" si="192"/>
        <v>0</v>
      </c>
      <c r="BR133" s="1125">
        <f t="shared" si="193"/>
        <v>0</v>
      </c>
      <c r="BS133" s="1125">
        <f t="shared" si="194"/>
        <v>0</v>
      </c>
      <c r="BT133" s="1125">
        <f t="shared" si="195"/>
        <v>1</v>
      </c>
      <c r="BU133" s="1125">
        <f t="shared" si="196"/>
        <v>1</v>
      </c>
      <c r="BV133" s="1125">
        <f t="shared" si="197"/>
        <v>1</v>
      </c>
      <c r="BW133" s="1125">
        <f t="shared" si="198"/>
        <v>0</v>
      </c>
      <c r="BX133" s="1125">
        <f t="shared" si="199"/>
        <v>0</v>
      </c>
      <c r="BY133" s="1125">
        <f t="shared" si="200"/>
        <v>0</v>
      </c>
      <c r="BZ133" s="1125">
        <f t="shared" si="201"/>
        <v>1</v>
      </c>
      <c r="CA133" s="1125">
        <f t="shared" si="202"/>
        <v>1</v>
      </c>
      <c r="CB133" s="1125">
        <f t="shared" si="203"/>
        <v>1</v>
      </c>
      <c r="CC133" s="1125">
        <f t="shared" si="204"/>
        <v>1</v>
      </c>
      <c r="CD133" s="1125">
        <f t="shared" si="205"/>
        <v>1</v>
      </c>
      <c r="CE133" s="1125">
        <f t="shared" si="206"/>
        <v>1</v>
      </c>
      <c r="CF133" s="1125">
        <f t="shared" si="207"/>
        <v>1</v>
      </c>
      <c r="CG133" s="1125">
        <f t="shared" si="208"/>
        <v>0</v>
      </c>
      <c r="CH133" s="1125">
        <f t="shared" si="209"/>
        <v>0</v>
      </c>
      <c r="CI133" s="1125">
        <f t="shared" si="210"/>
        <v>0.85</v>
      </c>
      <c r="CJ133" s="1125">
        <f t="shared" si="211"/>
        <v>0.85</v>
      </c>
      <c r="CK133" s="1125">
        <f t="shared" si="212"/>
        <v>0.85</v>
      </c>
      <c r="CL133" s="1125">
        <f t="shared" si="213"/>
        <v>0.85</v>
      </c>
      <c r="CM133" s="1125">
        <f t="shared" si="214"/>
        <v>0.85</v>
      </c>
      <c r="CN133" s="1125">
        <f t="shared" si="215"/>
        <v>0.7</v>
      </c>
      <c r="CO133" s="1125">
        <f t="shared" si="216"/>
        <v>0.7</v>
      </c>
      <c r="CP133" s="1125">
        <f t="shared" si="217"/>
        <v>0.7</v>
      </c>
      <c r="CQ133" s="1125">
        <f t="shared" si="218"/>
        <v>0.7</v>
      </c>
      <c r="CR133" s="1125">
        <f t="shared" si="219"/>
        <v>0.85</v>
      </c>
      <c r="CS133" s="1125">
        <f t="shared" si="220"/>
        <v>0.85</v>
      </c>
      <c r="CT133" s="1125">
        <f t="shared" si="221"/>
        <v>0.85</v>
      </c>
      <c r="CU133" s="1125">
        <v>1</v>
      </c>
      <c r="CV133" s="1125"/>
      <c r="CW133" s="1125">
        <f t="shared" si="222"/>
        <v>214</v>
      </c>
      <c r="CX133" s="1125">
        <f t="shared" si="223"/>
        <v>151</v>
      </c>
      <c r="CY133" s="1136" t="s">
        <v>4883</v>
      </c>
      <c r="CZ133" s="1129" t="s">
        <v>4882</v>
      </c>
      <c r="DA133" s="1129"/>
      <c r="DB133" s="1129"/>
      <c r="DC133" s="1125" t="s">
        <v>5937</v>
      </c>
      <c r="DD133" s="1125" t="s">
        <v>247</v>
      </c>
      <c r="DE133" s="1125" t="b">
        <f t="shared" si="224"/>
        <v>0</v>
      </c>
      <c r="DF133" s="1125">
        <v>0</v>
      </c>
      <c r="DG133" s="1120">
        <v>0</v>
      </c>
    </row>
    <row r="134" spans="1:111">
      <c r="A134" s="1125" t="s">
        <v>3092</v>
      </c>
      <c r="B134" s="1125" t="s">
        <v>5840</v>
      </c>
      <c r="C134" s="1125" t="s">
        <v>5841</v>
      </c>
      <c r="D134" s="1125" t="s">
        <v>249</v>
      </c>
      <c r="E134" s="1125">
        <v>2427</v>
      </c>
      <c r="F134" s="1125">
        <v>-116.63</v>
      </c>
      <c r="G134" s="1125">
        <v>43.63</v>
      </c>
      <c r="H134" s="1125">
        <v>-7</v>
      </c>
      <c r="I134" s="1126">
        <v>16.340000343322753</v>
      </c>
      <c r="J134" s="1126">
        <v>93.020002746582037</v>
      </c>
      <c r="K134" s="1127">
        <v>64.939998626708984</v>
      </c>
      <c r="L134" s="1125">
        <v>5693.4000000000005</v>
      </c>
      <c r="M134" s="1125">
        <v>727.2</v>
      </c>
      <c r="N134" s="1128">
        <v>33.799999999999997</v>
      </c>
      <c r="O134" s="1128">
        <v>33.799999999999997</v>
      </c>
      <c r="P134" s="1128">
        <v>42.8</v>
      </c>
      <c r="Q134" s="1128">
        <v>48.740000343322755</v>
      </c>
      <c r="R134" s="1128">
        <v>59</v>
      </c>
      <c r="S134" s="1128">
        <v>68.900000000000006</v>
      </c>
      <c r="T134" s="1128">
        <v>74.480000686645511</v>
      </c>
      <c r="U134" s="1128">
        <v>67.280000686645508</v>
      </c>
      <c r="V134" s="1128">
        <v>62.239998626708989</v>
      </c>
      <c r="W134" s="1128">
        <v>49.459999656677248</v>
      </c>
      <c r="X134" s="1128">
        <v>39.920000171661378</v>
      </c>
      <c r="Y134" s="1128">
        <v>27.860000085830688</v>
      </c>
      <c r="Z134" s="1128">
        <v>50.782137010522085</v>
      </c>
      <c r="AA134" s="1128">
        <f t="shared" si="150"/>
        <v>47.137881306148643</v>
      </c>
      <c r="AB134" s="1128">
        <f t="shared" si="151"/>
        <v>45.882348744958065</v>
      </c>
      <c r="AC134" s="1128">
        <f t="shared" si="152"/>
        <v>47.468013966008357</v>
      </c>
      <c r="AD134" s="1128">
        <f t="shared" si="153"/>
        <v>51.481548893592034</v>
      </c>
      <c r="AE134" s="1128">
        <f t="shared" si="154"/>
        <v>56.876763798388986</v>
      </c>
      <c r="AF134" s="1128">
        <f t="shared" si="155"/>
        <v>62.247312772685483</v>
      </c>
      <c r="AG134" s="1128">
        <f t="shared" si="156"/>
        <v>66.193279463666258</v>
      </c>
      <c r="AH134" s="1128">
        <f t="shared" si="157"/>
        <v>67.686086844139766</v>
      </c>
      <c r="AI134" s="1128">
        <f t="shared" si="158"/>
        <v>66.336611665527528</v>
      </c>
      <c r="AJ134" s="1128">
        <f t="shared" si="159"/>
        <v>62.496615429176792</v>
      </c>
      <c r="AK134" s="1128">
        <f t="shared" si="160"/>
        <v>57.167052330225651</v>
      </c>
      <c r="AL134" s="1128">
        <f t="shared" si="161"/>
        <v>51.737155121469137</v>
      </c>
      <c r="AM134" s="1125">
        <f t="shared" si="162"/>
        <v>1</v>
      </c>
      <c r="AN134" s="1125">
        <f t="shared" si="163"/>
        <v>1</v>
      </c>
      <c r="AO134" s="1125">
        <f t="shared" si="164"/>
        <v>1</v>
      </c>
      <c r="AP134" s="1125">
        <f t="shared" si="165"/>
        <v>1</v>
      </c>
      <c r="AQ134" s="1125">
        <f t="shared" si="166"/>
        <v>1</v>
      </c>
      <c r="AR134" s="1125">
        <f t="shared" si="167"/>
        <v>0</v>
      </c>
      <c r="AS134" s="1125">
        <f t="shared" si="168"/>
        <v>0</v>
      </c>
      <c r="AT134" s="1125">
        <f t="shared" si="169"/>
        <v>0</v>
      </c>
      <c r="AU134" s="1125">
        <f t="shared" si="170"/>
        <v>1</v>
      </c>
      <c r="AV134" s="1125">
        <f t="shared" si="171"/>
        <v>1</v>
      </c>
      <c r="AW134" s="1125">
        <f t="shared" si="172"/>
        <v>1</v>
      </c>
      <c r="AX134" s="1125">
        <f t="shared" si="173"/>
        <v>1</v>
      </c>
      <c r="AY134" s="1125">
        <f t="shared" si="174"/>
        <v>0</v>
      </c>
      <c r="AZ134" s="1125">
        <f t="shared" si="175"/>
        <v>0</v>
      </c>
      <c r="BA134" s="1125">
        <f t="shared" si="176"/>
        <v>0</v>
      </c>
      <c r="BB134" s="1125">
        <f t="shared" si="177"/>
        <v>0</v>
      </c>
      <c r="BC134" s="1125">
        <f t="shared" si="178"/>
        <v>0</v>
      </c>
      <c r="BD134" s="1125">
        <f t="shared" si="179"/>
        <v>1</v>
      </c>
      <c r="BE134" s="1125">
        <f t="shared" si="180"/>
        <v>1</v>
      </c>
      <c r="BF134" s="1125">
        <f t="shared" si="181"/>
        <v>1</v>
      </c>
      <c r="BG134" s="1125">
        <f t="shared" si="182"/>
        <v>0</v>
      </c>
      <c r="BH134" s="1125">
        <f t="shared" si="183"/>
        <v>0</v>
      </c>
      <c r="BI134" s="1125">
        <f t="shared" si="184"/>
        <v>0</v>
      </c>
      <c r="BJ134" s="1125">
        <f t="shared" si="185"/>
        <v>0</v>
      </c>
      <c r="BK134" s="1125">
        <f t="shared" si="186"/>
        <v>1</v>
      </c>
      <c r="BL134" s="1125">
        <f t="shared" si="187"/>
        <v>1</v>
      </c>
      <c r="BM134" s="1125">
        <f t="shared" si="188"/>
        <v>1</v>
      </c>
      <c r="BN134" s="1125">
        <f t="shared" si="189"/>
        <v>1</v>
      </c>
      <c r="BO134" s="1125">
        <f t="shared" si="190"/>
        <v>1</v>
      </c>
      <c r="BP134" s="1125">
        <f t="shared" si="191"/>
        <v>1</v>
      </c>
      <c r="BQ134" s="1125">
        <f t="shared" si="192"/>
        <v>0</v>
      </c>
      <c r="BR134" s="1125">
        <f t="shared" si="193"/>
        <v>0</v>
      </c>
      <c r="BS134" s="1125">
        <f t="shared" si="194"/>
        <v>1</v>
      </c>
      <c r="BT134" s="1125">
        <f t="shared" si="195"/>
        <v>1</v>
      </c>
      <c r="BU134" s="1125">
        <f t="shared" si="196"/>
        <v>1</v>
      </c>
      <c r="BV134" s="1125">
        <f t="shared" si="197"/>
        <v>1</v>
      </c>
      <c r="BW134" s="1125">
        <f t="shared" si="198"/>
        <v>0</v>
      </c>
      <c r="BX134" s="1125">
        <f t="shared" si="199"/>
        <v>0</v>
      </c>
      <c r="BY134" s="1125">
        <f t="shared" si="200"/>
        <v>0</v>
      </c>
      <c r="BZ134" s="1125">
        <f t="shared" si="201"/>
        <v>0</v>
      </c>
      <c r="CA134" s="1125">
        <f t="shared" si="202"/>
        <v>1</v>
      </c>
      <c r="CB134" s="1125">
        <f t="shared" si="203"/>
        <v>1</v>
      </c>
      <c r="CC134" s="1125">
        <f t="shared" si="204"/>
        <v>1</v>
      </c>
      <c r="CD134" s="1125">
        <f t="shared" si="205"/>
        <v>1</v>
      </c>
      <c r="CE134" s="1125">
        <f t="shared" si="206"/>
        <v>1</v>
      </c>
      <c r="CF134" s="1125">
        <f t="shared" si="207"/>
        <v>0</v>
      </c>
      <c r="CG134" s="1125">
        <f t="shared" si="208"/>
        <v>0</v>
      </c>
      <c r="CH134" s="1125">
        <f t="shared" si="209"/>
        <v>0</v>
      </c>
      <c r="CI134" s="1125">
        <f t="shared" si="210"/>
        <v>0.85</v>
      </c>
      <c r="CJ134" s="1125">
        <f t="shared" si="211"/>
        <v>0.85</v>
      </c>
      <c r="CK134" s="1125">
        <f t="shared" si="212"/>
        <v>0.85</v>
      </c>
      <c r="CL134" s="1125">
        <f t="shared" si="213"/>
        <v>0.85</v>
      </c>
      <c r="CM134" s="1125">
        <f t="shared" si="214"/>
        <v>0.85</v>
      </c>
      <c r="CN134" s="1125">
        <f t="shared" si="215"/>
        <v>0.85</v>
      </c>
      <c r="CO134" s="1125">
        <f t="shared" si="216"/>
        <v>0.7</v>
      </c>
      <c r="CP134" s="1125">
        <f t="shared" si="217"/>
        <v>0.7</v>
      </c>
      <c r="CQ134" s="1125">
        <f t="shared" si="218"/>
        <v>0.85</v>
      </c>
      <c r="CR134" s="1125">
        <f t="shared" si="219"/>
        <v>0.85</v>
      </c>
      <c r="CS134" s="1125">
        <f t="shared" si="220"/>
        <v>0.85</v>
      </c>
      <c r="CT134" s="1125">
        <f t="shared" si="221"/>
        <v>0.85</v>
      </c>
      <c r="CU134" s="1125">
        <v>1</v>
      </c>
      <c r="CV134" s="1125"/>
      <c r="CW134" s="1125">
        <f t="shared" si="222"/>
        <v>153</v>
      </c>
      <c r="CX134" s="1125">
        <f t="shared" si="223"/>
        <v>212</v>
      </c>
      <c r="CY134" s="1136" t="s">
        <v>4889</v>
      </c>
      <c r="CZ134" s="1129" t="s">
        <v>4890</v>
      </c>
      <c r="DA134" s="1129"/>
      <c r="DB134" s="1129"/>
      <c r="DC134" s="1125" t="s">
        <v>5729</v>
      </c>
      <c r="DD134" s="1125" t="s">
        <v>249</v>
      </c>
      <c r="DE134" s="1120" t="str">
        <f t="shared" si="224"/>
        <v/>
      </c>
      <c r="DF134" s="1133">
        <v>0</v>
      </c>
      <c r="DG134" s="1125">
        <v>0</v>
      </c>
    </row>
    <row r="135" spans="1:111">
      <c r="A135" s="1120" t="s">
        <v>3094</v>
      </c>
      <c r="B135" s="1125" t="s">
        <v>4054</v>
      </c>
      <c r="C135" s="1125" t="s">
        <v>4055</v>
      </c>
      <c r="D135" s="1125" t="s">
        <v>589</v>
      </c>
      <c r="E135" s="1125">
        <v>174</v>
      </c>
      <c r="F135" s="1125">
        <v>-74.28</v>
      </c>
      <c r="G135" s="1125">
        <v>40.880000000000003</v>
      </c>
      <c r="H135" s="1125">
        <v>-5</v>
      </c>
      <c r="I135" s="1126">
        <v>8.4199993133544915</v>
      </c>
      <c r="J135" s="1126">
        <v>89.779997253417974</v>
      </c>
      <c r="K135" s="1127">
        <v>73.580000686645505</v>
      </c>
      <c r="L135" s="1125">
        <v>4870.8</v>
      </c>
      <c r="M135" s="1125">
        <v>7.2</v>
      </c>
      <c r="N135" s="1128">
        <v>30.019999957084657</v>
      </c>
      <c r="O135" s="1128">
        <v>35.23999991416931</v>
      </c>
      <c r="P135" s="1128">
        <v>41.720000171661376</v>
      </c>
      <c r="Q135" s="1128">
        <v>49.280000686645508</v>
      </c>
      <c r="R135" s="1128">
        <v>58.640000343322754</v>
      </c>
      <c r="S135" s="1128">
        <v>71.239998626708982</v>
      </c>
      <c r="T135" s="1128">
        <v>70.519999313354489</v>
      </c>
      <c r="U135" s="1128">
        <v>70.33999862670899</v>
      </c>
      <c r="V135" s="1128">
        <v>67.280000686645508</v>
      </c>
      <c r="W135" s="1128">
        <v>53.419999313354495</v>
      </c>
      <c r="X135" s="1128">
        <v>48.559999656677249</v>
      </c>
      <c r="Y135" s="1128">
        <v>39.920000171661378</v>
      </c>
      <c r="Z135" s="1128">
        <v>53.094520334544249</v>
      </c>
      <c r="AA135" s="1128">
        <f t="shared" si="150"/>
        <v>49.965075925780098</v>
      </c>
      <c r="AB135" s="1128">
        <f t="shared" si="151"/>
        <v>49.001248240903927</v>
      </c>
      <c r="AC135" s="1128">
        <f t="shared" si="152"/>
        <v>50.668387469266285</v>
      </c>
      <c r="AD135" s="1128">
        <f t="shared" si="153"/>
        <v>54.53192807960135</v>
      </c>
      <c r="AE135" s="1128">
        <f t="shared" si="154"/>
        <v>59.584778672862242</v>
      </c>
      <c r="AF135" s="1128">
        <f t="shared" si="155"/>
        <v>64.509835875130861</v>
      </c>
      <c r="AG135" s="1128">
        <f t="shared" si="156"/>
        <v>68.023307629207025</v>
      </c>
      <c r="AH135" s="1128">
        <f t="shared" si="157"/>
        <v>69.209353378152088</v>
      </c>
      <c r="AI135" s="1128">
        <f t="shared" si="158"/>
        <v>67.758812019985314</v>
      </c>
      <c r="AJ135" s="1128">
        <f t="shared" si="159"/>
        <v>64.049789513231786</v>
      </c>
      <c r="AK135" s="1128">
        <f t="shared" si="160"/>
        <v>59.049099732043842</v>
      </c>
      <c r="AL135" s="1128">
        <f t="shared" si="161"/>
        <v>54.060249530850292</v>
      </c>
      <c r="AM135" s="1125">
        <f t="shared" si="162"/>
        <v>1</v>
      </c>
      <c r="AN135" s="1125">
        <f t="shared" si="163"/>
        <v>1</v>
      </c>
      <c r="AO135" s="1125">
        <f t="shared" si="164"/>
        <v>1</v>
      </c>
      <c r="AP135" s="1125">
        <f t="shared" si="165"/>
        <v>1</v>
      </c>
      <c r="AQ135" s="1125">
        <f t="shared" si="166"/>
        <v>1</v>
      </c>
      <c r="AR135" s="1125">
        <f t="shared" si="167"/>
        <v>0</v>
      </c>
      <c r="AS135" s="1125">
        <f t="shared" si="168"/>
        <v>0</v>
      </c>
      <c r="AT135" s="1125">
        <f t="shared" si="169"/>
        <v>0</v>
      </c>
      <c r="AU135" s="1125">
        <f t="shared" si="170"/>
        <v>0</v>
      </c>
      <c r="AV135" s="1125">
        <f t="shared" si="171"/>
        <v>1</v>
      </c>
      <c r="AW135" s="1125">
        <f t="shared" si="172"/>
        <v>1</v>
      </c>
      <c r="AX135" s="1125">
        <f t="shared" si="173"/>
        <v>1</v>
      </c>
      <c r="AY135" s="1125">
        <f t="shared" si="174"/>
        <v>0</v>
      </c>
      <c r="AZ135" s="1125">
        <f t="shared" si="175"/>
        <v>0</v>
      </c>
      <c r="BA135" s="1125">
        <f t="shared" si="176"/>
        <v>0</v>
      </c>
      <c r="BB135" s="1125">
        <f t="shared" si="177"/>
        <v>0</v>
      </c>
      <c r="BC135" s="1125">
        <f t="shared" si="178"/>
        <v>0</v>
      </c>
      <c r="BD135" s="1125">
        <f t="shared" si="179"/>
        <v>1</v>
      </c>
      <c r="BE135" s="1125">
        <f t="shared" si="180"/>
        <v>1</v>
      </c>
      <c r="BF135" s="1125">
        <f t="shared" si="181"/>
        <v>1</v>
      </c>
      <c r="BG135" s="1125">
        <f t="shared" si="182"/>
        <v>1</v>
      </c>
      <c r="BH135" s="1125">
        <f t="shared" si="183"/>
        <v>0</v>
      </c>
      <c r="BI135" s="1125">
        <f t="shared" si="184"/>
        <v>0</v>
      </c>
      <c r="BJ135" s="1125">
        <f t="shared" si="185"/>
        <v>0</v>
      </c>
      <c r="BK135" s="1125">
        <f t="shared" si="186"/>
        <v>1</v>
      </c>
      <c r="BL135" s="1125">
        <f t="shared" si="187"/>
        <v>1</v>
      </c>
      <c r="BM135" s="1125">
        <f t="shared" si="188"/>
        <v>1</v>
      </c>
      <c r="BN135" s="1125">
        <f t="shared" si="189"/>
        <v>1</v>
      </c>
      <c r="BO135" s="1125">
        <f t="shared" si="190"/>
        <v>1</v>
      </c>
      <c r="BP135" s="1125">
        <f t="shared" si="191"/>
        <v>1</v>
      </c>
      <c r="BQ135" s="1125">
        <f t="shared" si="192"/>
        <v>0</v>
      </c>
      <c r="BR135" s="1125">
        <f t="shared" si="193"/>
        <v>0</v>
      </c>
      <c r="BS135" s="1125">
        <f t="shared" si="194"/>
        <v>0</v>
      </c>
      <c r="BT135" s="1125">
        <f t="shared" si="195"/>
        <v>1</v>
      </c>
      <c r="BU135" s="1125">
        <f t="shared" si="196"/>
        <v>1</v>
      </c>
      <c r="BV135" s="1125">
        <f t="shared" si="197"/>
        <v>1</v>
      </c>
      <c r="BW135" s="1125">
        <f t="shared" si="198"/>
        <v>0</v>
      </c>
      <c r="BX135" s="1125">
        <f t="shared" si="199"/>
        <v>0</v>
      </c>
      <c r="BY135" s="1125">
        <f t="shared" si="200"/>
        <v>0</v>
      </c>
      <c r="BZ135" s="1125">
        <f t="shared" si="201"/>
        <v>0</v>
      </c>
      <c r="CA135" s="1125">
        <f t="shared" si="202"/>
        <v>1</v>
      </c>
      <c r="CB135" s="1125">
        <f t="shared" si="203"/>
        <v>1</v>
      </c>
      <c r="CC135" s="1125">
        <f t="shared" si="204"/>
        <v>1</v>
      </c>
      <c r="CD135" s="1125">
        <f t="shared" si="205"/>
        <v>1</v>
      </c>
      <c r="CE135" s="1125">
        <f t="shared" si="206"/>
        <v>1</v>
      </c>
      <c r="CF135" s="1125">
        <f t="shared" si="207"/>
        <v>1</v>
      </c>
      <c r="CG135" s="1125">
        <f t="shared" si="208"/>
        <v>0</v>
      </c>
      <c r="CH135" s="1125">
        <f t="shared" si="209"/>
        <v>0</v>
      </c>
      <c r="CI135" s="1125">
        <f t="shared" si="210"/>
        <v>0.85</v>
      </c>
      <c r="CJ135" s="1125">
        <f t="shared" si="211"/>
        <v>0.85</v>
      </c>
      <c r="CK135" s="1125">
        <f t="shared" si="212"/>
        <v>0.85</v>
      </c>
      <c r="CL135" s="1125">
        <f t="shared" si="213"/>
        <v>0.85</v>
      </c>
      <c r="CM135" s="1125">
        <f t="shared" si="214"/>
        <v>0.85</v>
      </c>
      <c r="CN135" s="1125">
        <f t="shared" si="215"/>
        <v>0.85</v>
      </c>
      <c r="CO135" s="1125">
        <f t="shared" si="216"/>
        <v>0.7</v>
      </c>
      <c r="CP135" s="1125">
        <f t="shared" si="217"/>
        <v>0.7</v>
      </c>
      <c r="CQ135" s="1125">
        <f t="shared" si="218"/>
        <v>0.7</v>
      </c>
      <c r="CR135" s="1125">
        <f t="shared" si="219"/>
        <v>0.85</v>
      </c>
      <c r="CS135" s="1125">
        <f t="shared" si="220"/>
        <v>0.85</v>
      </c>
      <c r="CT135" s="1125">
        <f t="shared" si="221"/>
        <v>0.85</v>
      </c>
      <c r="CU135" s="1125">
        <v>1</v>
      </c>
      <c r="CV135" s="1125"/>
      <c r="CW135" s="1125">
        <f t="shared" si="222"/>
        <v>184</v>
      </c>
      <c r="CX135" s="1125">
        <f t="shared" si="223"/>
        <v>181</v>
      </c>
      <c r="CY135" s="1136" t="s">
        <v>4881</v>
      </c>
      <c r="CZ135" s="1129" t="s">
        <v>4885</v>
      </c>
      <c r="DA135" s="1129"/>
      <c r="DB135" s="1129"/>
      <c r="DC135" s="1125" t="s">
        <v>5986</v>
      </c>
      <c r="DD135" s="1125" t="s">
        <v>589</v>
      </c>
      <c r="DE135" s="1120" t="b">
        <f t="shared" si="224"/>
        <v>0</v>
      </c>
      <c r="DF135" s="1133">
        <v>0</v>
      </c>
      <c r="DG135" s="1120">
        <v>0</v>
      </c>
    </row>
    <row r="136" spans="1:111">
      <c r="A136" s="1125" t="s">
        <v>3096</v>
      </c>
      <c r="B136" s="1120" t="s">
        <v>5814</v>
      </c>
      <c r="C136" s="1120" t="s">
        <v>5815</v>
      </c>
      <c r="D136" s="1120" t="s">
        <v>954</v>
      </c>
      <c r="E136" s="1120">
        <v>75</v>
      </c>
      <c r="F136" s="1120">
        <v>-119.08</v>
      </c>
      <c r="G136" s="1120">
        <v>34.22</v>
      </c>
      <c r="H136" s="1120">
        <v>-8</v>
      </c>
      <c r="I136" s="1121">
        <v>39.379999828338626</v>
      </c>
      <c r="J136" s="1121">
        <v>81.680000686645513</v>
      </c>
      <c r="K136" s="1122">
        <v>63.86000137329102</v>
      </c>
      <c r="L136" s="1120">
        <v>1899</v>
      </c>
      <c r="M136" s="1120">
        <v>307.8</v>
      </c>
      <c r="N136" s="1123">
        <v>51.259999656677245</v>
      </c>
      <c r="O136" s="1123">
        <v>53.780000686645508</v>
      </c>
      <c r="P136" s="1123">
        <v>54.319999313354494</v>
      </c>
      <c r="Q136" s="1123">
        <v>59.719999313354492</v>
      </c>
      <c r="R136" s="1123">
        <v>63.319999313354494</v>
      </c>
      <c r="S136" s="1123">
        <v>64.939998626708984</v>
      </c>
      <c r="T136" s="1123">
        <v>64.400000000000006</v>
      </c>
      <c r="U136" s="1123">
        <v>69.439998626708984</v>
      </c>
      <c r="V136" s="1123">
        <v>62.960001373291014</v>
      </c>
      <c r="W136" s="1123">
        <v>60.259999656677245</v>
      </c>
      <c r="X136" s="1123">
        <v>60.440000343322751</v>
      </c>
      <c r="Y136" s="1123">
        <v>55.759999656677245</v>
      </c>
      <c r="Z136" s="1123">
        <v>60.079999703707763</v>
      </c>
      <c r="AA136" s="1123">
        <f t="shared" si="150"/>
        <v>61.250153965734718</v>
      </c>
      <c r="AB136" s="1123">
        <f t="shared" si="151"/>
        <v>61.074715627998422</v>
      </c>
      <c r="AC136" s="1123">
        <f t="shared" si="152"/>
        <v>62.203981718358193</v>
      </c>
      <c r="AD136" s="1123">
        <f t="shared" si="153"/>
        <v>64.343591627844532</v>
      </c>
      <c r="AE136" s="1123">
        <f t="shared" si="154"/>
        <v>66.935823061163049</v>
      </c>
      <c r="AF136" s="1123">
        <f t="shared" si="155"/>
        <v>69.304970947723689</v>
      </c>
      <c r="AG136" s="1123">
        <f t="shared" si="156"/>
        <v>70.833480381220355</v>
      </c>
      <c r="AH136" s="1123">
        <f t="shared" si="157"/>
        <v>71.12292182276876</v>
      </c>
      <c r="AI136" s="1123">
        <f t="shared" si="158"/>
        <v>70.097847900201685</v>
      </c>
      <c r="AJ136" s="1123">
        <f t="shared" si="159"/>
        <v>68.025459928303547</v>
      </c>
      <c r="AK136" s="1123">
        <f t="shared" si="160"/>
        <v>65.445957768414956</v>
      </c>
      <c r="AL136" s="1123">
        <f t="shared" si="161"/>
        <v>63.031728409842415</v>
      </c>
      <c r="AM136" s="1120">
        <f t="shared" si="162"/>
        <v>1</v>
      </c>
      <c r="AN136" s="1120">
        <f t="shared" si="163"/>
        <v>1</v>
      </c>
      <c r="AO136" s="1120">
        <f t="shared" si="164"/>
        <v>1</v>
      </c>
      <c r="AP136" s="1120">
        <f t="shared" si="165"/>
        <v>1</v>
      </c>
      <c r="AQ136" s="1120">
        <f t="shared" si="166"/>
        <v>1</v>
      </c>
      <c r="AR136" s="1120">
        <f t="shared" si="167"/>
        <v>1</v>
      </c>
      <c r="AS136" s="1120">
        <f t="shared" si="168"/>
        <v>1</v>
      </c>
      <c r="AT136" s="1120">
        <f t="shared" si="169"/>
        <v>0</v>
      </c>
      <c r="AU136" s="1120">
        <f t="shared" si="170"/>
        <v>1</v>
      </c>
      <c r="AV136" s="1120">
        <f t="shared" si="171"/>
        <v>1</v>
      </c>
      <c r="AW136" s="1120">
        <f t="shared" si="172"/>
        <v>1</v>
      </c>
      <c r="AX136" s="1120">
        <f t="shared" si="173"/>
        <v>1</v>
      </c>
      <c r="AY136" s="1120">
        <f t="shared" si="174"/>
        <v>0</v>
      </c>
      <c r="AZ136" s="1120">
        <f t="shared" si="175"/>
        <v>0</v>
      </c>
      <c r="BA136" s="1120">
        <f t="shared" si="176"/>
        <v>0</v>
      </c>
      <c r="BB136" s="1120">
        <f t="shared" si="177"/>
        <v>0</v>
      </c>
      <c r="BC136" s="1120">
        <f t="shared" si="178"/>
        <v>0</v>
      </c>
      <c r="BD136" s="1120">
        <f t="shared" si="179"/>
        <v>0</v>
      </c>
      <c r="BE136" s="1120">
        <f t="shared" si="180"/>
        <v>1</v>
      </c>
      <c r="BF136" s="1120">
        <f t="shared" si="181"/>
        <v>1</v>
      </c>
      <c r="BG136" s="1120">
        <f t="shared" si="182"/>
        <v>0</v>
      </c>
      <c r="BH136" s="1120">
        <f t="shared" si="183"/>
        <v>0</v>
      </c>
      <c r="BI136" s="1120">
        <f t="shared" si="184"/>
        <v>0</v>
      </c>
      <c r="BJ136" s="1120">
        <f t="shared" si="185"/>
        <v>0</v>
      </c>
      <c r="BK136" s="1120">
        <f t="shared" si="186"/>
        <v>1</v>
      </c>
      <c r="BL136" s="1120">
        <f t="shared" si="187"/>
        <v>1</v>
      </c>
      <c r="BM136" s="1120">
        <f t="shared" si="188"/>
        <v>1</v>
      </c>
      <c r="BN136" s="1120">
        <f t="shared" si="189"/>
        <v>1</v>
      </c>
      <c r="BO136" s="1120">
        <f t="shared" si="190"/>
        <v>1</v>
      </c>
      <c r="BP136" s="1120">
        <f t="shared" si="191"/>
        <v>1</v>
      </c>
      <c r="BQ136" s="1120">
        <f t="shared" si="192"/>
        <v>1</v>
      </c>
      <c r="BR136" s="1120">
        <f t="shared" si="193"/>
        <v>0</v>
      </c>
      <c r="BS136" s="1120">
        <f t="shared" si="194"/>
        <v>1</v>
      </c>
      <c r="BT136" s="1120">
        <f t="shared" si="195"/>
        <v>1</v>
      </c>
      <c r="BU136" s="1120">
        <f t="shared" si="196"/>
        <v>1</v>
      </c>
      <c r="BV136" s="1120">
        <f t="shared" si="197"/>
        <v>1</v>
      </c>
      <c r="BW136" s="1120">
        <f t="shared" si="198"/>
        <v>0</v>
      </c>
      <c r="BX136" s="1120">
        <f t="shared" si="199"/>
        <v>0</v>
      </c>
      <c r="BY136" s="1120">
        <f t="shared" si="200"/>
        <v>0</v>
      </c>
      <c r="BZ136" s="1120">
        <f t="shared" si="201"/>
        <v>0</v>
      </c>
      <c r="CA136" s="1120">
        <f t="shared" si="202"/>
        <v>0</v>
      </c>
      <c r="CB136" s="1120">
        <f t="shared" si="203"/>
        <v>0</v>
      </c>
      <c r="CC136" s="1120">
        <f t="shared" si="204"/>
        <v>1</v>
      </c>
      <c r="CD136" s="1120">
        <f t="shared" si="205"/>
        <v>1</v>
      </c>
      <c r="CE136" s="1120">
        <f t="shared" si="206"/>
        <v>1</v>
      </c>
      <c r="CF136" s="1120">
        <f t="shared" si="207"/>
        <v>0</v>
      </c>
      <c r="CG136" s="1120">
        <f t="shared" si="208"/>
        <v>0</v>
      </c>
      <c r="CH136" s="1120">
        <f t="shared" si="209"/>
        <v>0</v>
      </c>
      <c r="CI136" s="1120">
        <f t="shared" si="210"/>
        <v>0.85</v>
      </c>
      <c r="CJ136" s="1120">
        <f t="shared" si="211"/>
        <v>0.85</v>
      </c>
      <c r="CK136" s="1120">
        <f t="shared" si="212"/>
        <v>0.85</v>
      </c>
      <c r="CL136" s="1120">
        <f t="shared" si="213"/>
        <v>0.85</v>
      </c>
      <c r="CM136" s="1120">
        <f t="shared" si="214"/>
        <v>0.85</v>
      </c>
      <c r="CN136" s="1120">
        <f t="shared" si="215"/>
        <v>0.85</v>
      </c>
      <c r="CO136" s="1120">
        <f t="shared" si="216"/>
        <v>0.85</v>
      </c>
      <c r="CP136" s="1120">
        <f t="shared" si="217"/>
        <v>0.7</v>
      </c>
      <c r="CQ136" s="1120">
        <f t="shared" si="218"/>
        <v>0.85</v>
      </c>
      <c r="CR136" s="1120">
        <f t="shared" si="219"/>
        <v>0.85</v>
      </c>
      <c r="CS136" s="1120">
        <f t="shared" si="220"/>
        <v>0.85</v>
      </c>
      <c r="CT136" s="1120">
        <f t="shared" si="221"/>
        <v>0.85</v>
      </c>
      <c r="CU136" s="1120">
        <v>1</v>
      </c>
      <c r="CV136" s="1120"/>
      <c r="CW136" s="1120">
        <f t="shared" si="222"/>
        <v>92</v>
      </c>
      <c r="CX136" s="1120">
        <f t="shared" si="223"/>
        <v>273</v>
      </c>
      <c r="CY136" s="1135" t="s">
        <v>4893</v>
      </c>
      <c r="CZ136" s="1124" t="s">
        <v>4895</v>
      </c>
      <c r="DA136" s="1124"/>
      <c r="DB136" s="1124"/>
      <c r="DC136" s="1120" t="s">
        <v>5718</v>
      </c>
      <c r="DD136" s="1120" t="s">
        <v>954</v>
      </c>
      <c r="DE136" s="1120" t="str">
        <f t="shared" si="224"/>
        <v/>
      </c>
      <c r="DF136" s="1120">
        <v>0</v>
      </c>
      <c r="DG136" s="1125">
        <v>0</v>
      </c>
    </row>
    <row r="137" spans="1:111">
      <c r="A137" s="1120" t="s">
        <v>5814</v>
      </c>
      <c r="B137" s="1125" t="s">
        <v>3777</v>
      </c>
      <c r="C137" s="1125" t="s">
        <v>3778</v>
      </c>
      <c r="D137" s="1125" t="s">
        <v>934</v>
      </c>
      <c r="E137" s="1125">
        <v>941</v>
      </c>
      <c r="F137" s="1125">
        <v>-93.27</v>
      </c>
      <c r="G137" s="1125">
        <v>45.57</v>
      </c>
      <c r="H137" s="1125">
        <v>-6</v>
      </c>
      <c r="I137" s="1126">
        <v>-11.200000000000001</v>
      </c>
      <c r="J137" s="1126">
        <v>87.619999313354498</v>
      </c>
      <c r="K137" s="1127">
        <v>72.680000686645513</v>
      </c>
      <c r="L137" s="1125">
        <v>8492.4</v>
      </c>
      <c r="M137" s="1125">
        <v>493.2</v>
      </c>
      <c r="N137" s="1128">
        <v>3.7400003433227531</v>
      </c>
      <c r="O137" s="1128">
        <v>14.719999313354492</v>
      </c>
      <c r="P137" s="1128">
        <v>30.919999957084656</v>
      </c>
      <c r="Q137" s="1128">
        <v>51.980000686645511</v>
      </c>
      <c r="R137" s="1128">
        <v>57.380000686645509</v>
      </c>
      <c r="S137" s="1128">
        <v>60.619999313354491</v>
      </c>
      <c r="T137" s="1128">
        <v>73.039998626708979</v>
      </c>
      <c r="U137" s="1128">
        <v>67.819999313354487</v>
      </c>
      <c r="V137" s="1128">
        <v>59</v>
      </c>
      <c r="W137" s="1128">
        <v>43.879999828338626</v>
      </c>
      <c r="X137" s="1128">
        <v>23.540000343322752</v>
      </c>
      <c r="Y137" s="1128">
        <v>21.2</v>
      </c>
      <c r="Z137" s="1128">
        <v>42.475999869843051</v>
      </c>
      <c r="AA137" s="1128">
        <f t="shared" si="150"/>
        <v>37.691971329315159</v>
      </c>
      <c r="AB137" s="1128">
        <f t="shared" si="151"/>
        <v>35.228001304726163</v>
      </c>
      <c r="AC137" s="1128">
        <f t="shared" si="152"/>
        <v>36.217326263972573</v>
      </c>
      <c r="AD137" s="1128">
        <f t="shared" si="153"/>
        <v>40.402063410467704</v>
      </c>
      <c r="AE137" s="1128">
        <f t="shared" si="154"/>
        <v>46.691396518226114</v>
      </c>
      <c r="AF137" s="1128">
        <f t="shared" si="155"/>
        <v>53.445913991153596</v>
      </c>
      <c r="AG137" s="1128">
        <f t="shared" si="156"/>
        <v>58.904946759666558</v>
      </c>
      <c r="AH137" s="1128">
        <f t="shared" si="157"/>
        <v>61.645513806410641</v>
      </c>
      <c r="AI137" s="1128">
        <f t="shared" si="158"/>
        <v>60.953244097235427</v>
      </c>
      <c r="AJ137" s="1128">
        <f t="shared" si="159"/>
        <v>57.008588400036572</v>
      </c>
      <c r="AK137" s="1128">
        <f t="shared" si="160"/>
        <v>50.839782011273314</v>
      </c>
      <c r="AL137" s="1128">
        <f t="shared" si="161"/>
        <v>44.054819380360847</v>
      </c>
      <c r="AM137" s="1125">
        <f t="shared" si="162"/>
        <v>1</v>
      </c>
      <c r="AN137" s="1125">
        <f t="shared" si="163"/>
        <v>1</v>
      </c>
      <c r="AO137" s="1125">
        <f t="shared" si="164"/>
        <v>1</v>
      </c>
      <c r="AP137" s="1125">
        <f t="shared" si="165"/>
        <v>1</v>
      </c>
      <c r="AQ137" s="1125">
        <f t="shared" si="166"/>
        <v>1</v>
      </c>
      <c r="AR137" s="1125">
        <f t="shared" si="167"/>
        <v>1</v>
      </c>
      <c r="AS137" s="1125">
        <f t="shared" si="168"/>
        <v>0</v>
      </c>
      <c r="AT137" s="1125">
        <f t="shared" si="169"/>
        <v>0</v>
      </c>
      <c r="AU137" s="1125">
        <f t="shared" si="170"/>
        <v>1</v>
      </c>
      <c r="AV137" s="1125">
        <f t="shared" si="171"/>
        <v>1</v>
      </c>
      <c r="AW137" s="1125">
        <f t="shared" si="172"/>
        <v>1</v>
      </c>
      <c r="AX137" s="1125">
        <f t="shared" si="173"/>
        <v>1</v>
      </c>
      <c r="AY137" s="1125">
        <f t="shared" si="174"/>
        <v>0</v>
      </c>
      <c r="AZ137" s="1125">
        <f t="shared" si="175"/>
        <v>0</v>
      </c>
      <c r="BA137" s="1125">
        <f t="shared" si="176"/>
        <v>0</v>
      </c>
      <c r="BB137" s="1125">
        <f t="shared" si="177"/>
        <v>0</v>
      </c>
      <c r="BC137" s="1125">
        <f t="shared" si="178"/>
        <v>0</v>
      </c>
      <c r="BD137" s="1125">
        <f t="shared" si="179"/>
        <v>0</v>
      </c>
      <c r="BE137" s="1125">
        <f t="shared" si="180"/>
        <v>1</v>
      </c>
      <c r="BF137" s="1125">
        <f t="shared" si="181"/>
        <v>1</v>
      </c>
      <c r="BG137" s="1125">
        <f t="shared" si="182"/>
        <v>0</v>
      </c>
      <c r="BH137" s="1125">
        <f t="shared" si="183"/>
        <v>0</v>
      </c>
      <c r="BI137" s="1125">
        <f t="shared" si="184"/>
        <v>0</v>
      </c>
      <c r="BJ137" s="1125">
        <f t="shared" si="185"/>
        <v>0</v>
      </c>
      <c r="BK137" s="1125">
        <f t="shared" si="186"/>
        <v>1</v>
      </c>
      <c r="BL137" s="1125">
        <f t="shared" si="187"/>
        <v>1</v>
      </c>
      <c r="BM137" s="1125">
        <f t="shared" si="188"/>
        <v>1</v>
      </c>
      <c r="BN137" s="1125">
        <f t="shared" si="189"/>
        <v>1</v>
      </c>
      <c r="BO137" s="1125">
        <f t="shared" si="190"/>
        <v>1</v>
      </c>
      <c r="BP137" s="1125">
        <f t="shared" si="191"/>
        <v>1</v>
      </c>
      <c r="BQ137" s="1125">
        <f t="shared" si="192"/>
        <v>1</v>
      </c>
      <c r="BR137" s="1125">
        <f t="shared" si="193"/>
        <v>0</v>
      </c>
      <c r="BS137" s="1125">
        <f t="shared" si="194"/>
        <v>1</v>
      </c>
      <c r="BT137" s="1125">
        <f t="shared" si="195"/>
        <v>1</v>
      </c>
      <c r="BU137" s="1125">
        <f t="shared" si="196"/>
        <v>1</v>
      </c>
      <c r="BV137" s="1125">
        <f t="shared" si="197"/>
        <v>1</v>
      </c>
      <c r="BW137" s="1125">
        <f t="shared" si="198"/>
        <v>0</v>
      </c>
      <c r="BX137" s="1125">
        <f t="shared" si="199"/>
        <v>0</v>
      </c>
      <c r="BY137" s="1125">
        <f t="shared" si="200"/>
        <v>0</v>
      </c>
      <c r="BZ137" s="1125">
        <f t="shared" si="201"/>
        <v>0</v>
      </c>
      <c r="CA137" s="1125">
        <f t="shared" si="202"/>
        <v>0</v>
      </c>
      <c r="CB137" s="1125">
        <f t="shared" si="203"/>
        <v>1</v>
      </c>
      <c r="CC137" s="1125">
        <f t="shared" si="204"/>
        <v>1</v>
      </c>
      <c r="CD137" s="1125">
        <f t="shared" si="205"/>
        <v>1</v>
      </c>
      <c r="CE137" s="1125">
        <f t="shared" si="206"/>
        <v>1</v>
      </c>
      <c r="CF137" s="1125">
        <f t="shared" si="207"/>
        <v>0</v>
      </c>
      <c r="CG137" s="1125">
        <f t="shared" si="208"/>
        <v>0</v>
      </c>
      <c r="CH137" s="1125">
        <f t="shared" si="209"/>
        <v>0</v>
      </c>
      <c r="CI137" s="1125">
        <f t="shared" si="210"/>
        <v>0.85</v>
      </c>
      <c r="CJ137" s="1125">
        <f t="shared" si="211"/>
        <v>0.85</v>
      </c>
      <c r="CK137" s="1125">
        <f t="shared" si="212"/>
        <v>0.85</v>
      </c>
      <c r="CL137" s="1125">
        <f t="shared" si="213"/>
        <v>0.85</v>
      </c>
      <c r="CM137" s="1125">
        <f t="shared" si="214"/>
        <v>0.85</v>
      </c>
      <c r="CN137" s="1125">
        <f t="shared" si="215"/>
        <v>0.85</v>
      </c>
      <c r="CO137" s="1125">
        <f t="shared" si="216"/>
        <v>0.85</v>
      </c>
      <c r="CP137" s="1125">
        <f t="shared" si="217"/>
        <v>0.7</v>
      </c>
      <c r="CQ137" s="1125">
        <f t="shared" si="218"/>
        <v>0.85</v>
      </c>
      <c r="CR137" s="1125">
        <f t="shared" si="219"/>
        <v>0.85</v>
      </c>
      <c r="CS137" s="1125">
        <f t="shared" si="220"/>
        <v>0.85</v>
      </c>
      <c r="CT137" s="1125">
        <f t="shared" si="221"/>
        <v>0.85</v>
      </c>
      <c r="CU137" s="1125">
        <v>1</v>
      </c>
      <c r="CV137" s="1125"/>
      <c r="CW137" s="1125">
        <f t="shared" si="222"/>
        <v>122</v>
      </c>
      <c r="CX137" s="1125">
        <f t="shared" si="223"/>
        <v>243</v>
      </c>
      <c r="CY137" s="1136" t="s">
        <v>4889</v>
      </c>
      <c r="CZ137" s="1129" t="s">
        <v>4899</v>
      </c>
      <c r="DA137" s="1129"/>
      <c r="DB137" s="1129"/>
      <c r="DC137" s="1125" t="s">
        <v>5325</v>
      </c>
      <c r="DD137" s="1125" t="s">
        <v>934</v>
      </c>
      <c r="DE137" s="1120" t="str">
        <f t="shared" si="224"/>
        <v/>
      </c>
      <c r="DF137" s="1133">
        <v>0</v>
      </c>
      <c r="DG137" s="1120">
        <v>0</v>
      </c>
    </row>
    <row r="138" spans="1:111">
      <c r="A138" s="1125" t="s">
        <v>3098</v>
      </c>
      <c r="B138" s="1125" t="s">
        <v>4360</v>
      </c>
      <c r="C138" s="1125" t="s">
        <v>4361</v>
      </c>
      <c r="D138" s="1125" t="s">
        <v>228</v>
      </c>
      <c r="E138" s="1125">
        <v>649</v>
      </c>
      <c r="F138" s="1125">
        <v>-97.77</v>
      </c>
      <c r="G138" s="1125">
        <v>30.32</v>
      </c>
      <c r="H138" s="1125">
        <v>-6</v>
      </c>
      <c r="I138" s="1126">
        <v>31.279999989271165</v>
      </c>
      <c r="J138" s="1126">
        <v>97.520002746582037</v>
      </c>
      <c r="K138" s="1127">
        <v>74.480000686645511</v>
      </c>
      <c r="L138" s="1125">
        <v>1666.8</v>
      </c>
      <c r="M138" s="1125">
        <v>2914.2000000000003</v>
      </c>
      <c r="N138" s="1128">
        <v>50</v>
      </c>
      <c r="O138" s="1128">
        <v>53.419999313354495</v>
      </c>
      <c r="P138" s="1128">
        <v>60.259999656677245</v>
      </c>
      <c r="Q138" s="1128">
        <v>69.439998626708984</v>
      </c>
      <c r="R138" s="1128">
        <v>74.480000686645511</v>
      </c>
      <c r="S138" s="1128">
        <v>80.960001373291021</v>
      </c>
      <c r="T138" s="1128">
        <v>84.019999313354489</v>
      </c>
      <c r="U138" s="1128">
        <v>84.560001373291016</v>
      </c>
      <c r="V138" s="1128">
        <v>78.439998626708984</v>
      </c>
      <c r="W138" s="1128">
        <v>67.639998626708987</v>
      </c>
      <c r="X138" s="1128">
        <v>59.359999656677246</v>
      </c>
      <c r="Y138" s="1128">
        <v>50.359999656677246</v>
      </c>
      <c r="Z138" s="1128">
        <v>67.815561391752055</v>
      </c>
      <c r="AA138" s="1128">
        <f t="shared" si="150"/>
        <v>62.991859318252196</v>
      </c>
      <c r="AB138" s="1128">
        <f t="shared" si="151"/>
        <v>63.3612727318813</v>
      </c>
      <c r="AC138" s="1128">
        <f t="shared" si="152"/>
        <v>66.455757590170592</v>
      </c>
      <c r="AD138" s="1128">
        <f t="shared" si="153"/>
        <v>71.468688727351804</v>
      </c>
      <c r="AE138" s="1128">
        <f t="shared" si="154"/>
        <v>77.093368390911451</v>
      </c>
      <c r="AF138" s="1128">
        <f t="shared" si="155"/>
        <v>81.863637147605345</v>
      </c>
      <c r="AG138" s="1128">
        <f t="shared" si="156"/>
        <v>84.536050933934476</v>
      </c>
      <c r="AH138" s="1128">
        <f t="shared" si="157"/>
        <v>84.414003913349134</v>
      </c>
      <c r="AI138" s="1128">
        <f t="shared" si="158"/>
        <v>81.529309522566379</v>
      </c>
      <c r="AJ138" s="1128">
        <f t="shared" si="159"/>
        <v>76.633907809029949</v>
      </c>
      <c r="AK138" s="1128">
        <f t="shared" si="160"/>
        <v>71.003860669797049</v>
      </c>
      <c r="AL138" s="1128">
        <f t="shared" si="161"/>
        <v>66.106726653361434</v>
      </c>
      <c r="AM138" s="1125">
        <f t="shared" si="162"/>
        <v>1</v>
      </c>
      <c r="AN138" s="1125">
        <f t="shared" si="163"/>
        <v>1</v>
      </c>
      <c r="AO138" s="1125">
        <f t="shared" si="164"/>
        <v>1</v>
      </c>
      <c r="AP138" s="1125">
        <f t="shared" si="165"/>
        <v>0</v>
      </c>
      <c r="AQ138" s="1125">
        <f t="shared" si="166"/>
        <v>0</v>
      </c>
      <c r="AR138" s="1125">
        <f t="shared" si="167"/>
        <v>0</v>
      </c>
      <c r="AS138" s="1125">
        <f t="shared" si="168"/>
        <v>0</v>
      </c>
      <c r="AT138" s="1125">
        <f t="shared" si="169"/>
        <v>0</v>
      </c>
      <c r="AU138" s="1125">
        <f t="shared" si="170"/>
        <v>0</v>
      </c>
      <c r="AV138" s="1125">
        <f t="shared" si="171"/>
        <v>0</v>
      </c>
      <c r="AW138" s="1125">
        <f t="shared" si="172"/>
        <v>1</v>
      </c>
      <c r="AX138" s="1125">
        <f t="shared" si="173"/>
        <v>1</v>
      </c>
      <c r="AY138" s="1125">
        <f t="shared" si="174"/>
        <v>0</v>
      </c>
      <c r="AZ138" s="1125">
        <f t="shared" si="175"/>
        <v>0</v>
      </c>
      <c r="BA138" s="1125">
        <f t="shared" si="176"/>
        <v>0</v>
      </c>
      <c r="BB138" s="1125">
        <f t="shared" si="177"/>
        <v>1</v>
      </c>
      <c r="BC138" s="1125">
        <f t="shared" si="178"/>
        <v>1</v>
      </c>
      <c r="BD138" s="1125">
        <f t="shared" si="179"/>
        <v>1</v>
      </c>
      <c r="BE138" s="1125">
        <f t="shared" si="180"/>
        <v>1</v>
      </c>
      <c r="BF138" s="1125">
        <f t="shared" si="181"/>
        <v>1</v>
      </c>
      <c r="BG138" s="1125">
        <f t="shared" si="182"/>
        <v>1</v>
      </c>
      <c r="BH138" s="1125">
        <f t="shared" si="183"/>
        <v>1</v>
      </c>
      <c r="BI138" s="1125">
        <f t="shared" si="184"/>
        <v>0</v>
      </c>
      <c r="BJ138" s="1125">
        <f t="shared" si="185"/>
        <v>0</v>
      </c>
      <c r="BK138" s="1125">
        <f t="shared" si="186"/>
        <v>1</v>
      </c>
      <c r="BL138" s="1125">
        <f t="shared" si="187"/>
        <v>1</v>
      </c>
      <c r="BM138" s="1125">
        <f t="shared" si="188"/>
        <v>1</v>
      </c>
      <c r="BN138" s="1125">
        <f t="shared" si="189"/>
        <v>1</v>
      </c>
      <c r="BO138" s="1125">
        <f t="shared" si="190"/>
        <v>0</v>
      </c>
      <c r="BP138" s="1125">
        <f t="shared" si="191"/>
        <v>0</v>
      </c>
      <c r="BQ138" s="1125">
        <f t="shared" si="192"/>
        <v>0</v>
      </c>
      <c r="BR138" s="1125">
        <f t="shared" si="193"/>
        <v>0</v>
      </c>
      <c r="BS138" s="1125">
        <f t="shared" si="194"/>
        <v>0</v>
      </c>
      <c r="BT138" s="1125">
        <f t="shared" si="195"/>
        <v>0</v>
      </c>
      <c r="BU138" s="1125">
        <f t="shared" si="196"/>
        <v>1</v>
      </c>
      <c r="BV138" s="1125">
        <f t="shared" si="197"/>
        <v>1</v>
      </c>
      <c r="BW138" s="1125">
        <f t="shared" si="198"/>
        <v>0</v>
      </c>
      <c r="BX138" s="1125">
        <f t="shared" si="199"/>
        <v>0</v>
      </c>
      <c r="BY138" s="1125">
        <f t="shared" si="200"/>
        <v>1</v>
      </c>
      <c r="BZ138" s="1125">
        <f t="shared" si="201"/>
        <v>1</v>
      </c>
      <c r="CA138" s="1125">
        <f t="shared" si="202"/>
        <v>1</v>
      </c>
      <c r="CB138" s="1125">
        <f t="shared" si="203"/>
        <v>1</v>
      </c>
      <c r="CC138" s="1125">
        <f t="shared" si="204"/>
        <v>1</v>
      </c>
      <c r="CD138" s="1125">
        <f t="shared" si="205"/>
        <v>1</v>
      </c>
      <c r="CE138" s="1125">
        <f t="shared" si="206"/>
        <v>1</v>
      </c>
      <c r="CF138" s="1125">
        <f t="shared" si="207"/>
        <v>1</v>
      </c>
      <c r="CG138" s="1125">
        <f t="shared" si="208"/>
        <v>1</v>
      </c>
      <c r="CH138" s="1125">
        <f t="shared" si="209"/>
        <v>0</v>
      </c>
      <c r="CI138" s="1125">
        <f t="shared" si="210"/>
        <v>0.85</v>
      </c>
      <c r="CJ138" s="1125">
        <f t="shared" si="211"/>
        <v>0.85</v>
      </c>
      <c r="CK138" s="1125">
        <f t="shared" si="212"/>
        <v>0.85</v>
      </c>
      <c r="CL138" s="1125">
        <f t="shared" si="213"/>
        <v>0.85</v>
      </c>
      <c r="CM138" s="1125">
        <f t="shared" si="214"/>
        <v>0.7</v>
      </c>
      <c r="CN138" s="1125">
        <f t="shared" si="215"/>
        <v>0.7</v>
      </c>
      <c r="CO138" s="1125">
        <f t="shared" si="216"/>
        <v>0.7</v>
      </c>
      <c r="CP138" s="1125">
        <f t="shared" si="217"/>
        <v>0.7</v>
      </c>
      <c r="CQ138" s="1125">
        <f t="shared" si="218"/>
        <v>0.7</v>
      </c>
      <c r="CR138" s="1125">
        <f t="shared" si="219"/>
        <v>0.7</v>
      </c>
      <c r="CS138" s="1125">
        <f t="shared" si="220"/>
        <v>0.85</v>
      </c>
      <c r="CT138" s="1125">
        <f t="shared" si="221"/>
        <v>0.85</v>
      </c>
      <c r="CU138" s="1125">
        <v>1</v>
      </c>
      <c r="CV138" s="1125"/>
      <c r="CW138" s="1125">
        <f t="shared" si="222"/>
        <v>275</v>
      </c>
      <c r="CX138" s="1125">
        <f t="shared" si="223"/>
        <v>90</v>
      </c>
      <c r="CY138" s="1136" t="s">
        <v>4883</v>
      </c>
      <c r="CZ138" s="1129" t="s">
        <v>4884</v>
      </c>
      <c r="DA138" s="1129"/>
      <c r="DB138" s="1129"/>
      <c r="DC138" s="1125" t="s">
        <v>5577</v>
      </c>
      <c r="DD138" s="1125" t="s">
        <v>228</v>
      </c>
      <c r="DE138" s="1120" t="str">
        <f t="shared" si="224"/>
        <v/>
      </c>
      <c r="DF138" s="1133">
        <v>1</v>
      </c>
      <c r="DG138" s="1125">
        <v>0</v>
      </c>
    </row>
    <row r="139" spans="1:111">
      <c r="A139" s="1120" t="s">
        <v>3100</v>
      </c>
      <c r="B139" s="1125" t="s">
        <v>3098</v>
      </c>
      <c r="C139" s="1125" t="s">
        <v>3099</v>
      </c>
      <c r="D139" s="1125" t="s">
        <v>954</v>
      </c>
      <c r="E139" s="1125">
        <v>75</v>
      </c>
      <c r="F139" s="1125">
        <v>-117.35</v>
      </c>
      <c r="G139" s="1125">
        <v>33.299999999999997</v>
      </c>
      <c r="H139" s="1125">
        <v>-8</v>
      </c>
      <c r="I139" s="1126">
        <v>35.6</v>
      </c>
      <c r="J139" s="1126">
        <v>87.8</v>
      </c>
      <c r="K139" s="1127">
        <v>66.2</v>
      </c>
      <c r="L139" s="1125">
        <v>1967.4</v>
      </c>
      <c r="M139" s="1125">
        <v>415.8</v>
      </c>
      <c r="N139" s="1128">
        <v>52.7</v>
      </c>
      <c r="O139" s="1128">
        <v>53.419999313354495</v>
      </c>
      <c r="P139" s="1128">
        <v>55.580000686645505</v>
      </c>
      <c r="Q139" s="1128">
        <v>57.2</v>
      </c>
      <c r="R139" s="1128">
        <v>63.5</v>
      </c>
      <c r="S139" s="1128">
        <v>64.580000686645505</v>
      </c>
      <c r="T139" s="1128">
        <v>68.360001373291013</v>
      </c>
      <c r="U139" s="1128">
        <v>67.460001373291021</v>
      </c>
      <c r="V139" s="1128">
        <v>68.900000000000006</v>
      </c>
      <c r="W139" s="1128">
        <v>61.880000686645509</v>
      </c>
      <c r="X139" s="1128">
        <v>53.780000686645508</v>
      </c>
      <c r="Y139" s="1128">
        <v>54.140000343322754</v>
      </c>
      <c r="Z139" s="1128">
        <v>60.169260713237605</v>
      </c>
      <c r="AA139" s="1128">
        <f t="shared" si="150"/>
        <v>61.85635684328394</v>
      </c>
      <c r="AB139" s="1128">
        <f t="shared" si="151"/>
        <v>61.70333701874678</v>
      </c>
      <c r="AC139" s="1128">
        <f t="shared" si="152"/>
        <v>62.714429027146011</v>
      </c>
      <c r="AD139" s="1128">
        <f t="shared" si="153"/>
        <v>64.626076155092875</v>
      </c>
      <c r="AE139" s="1128">
        <f t="shared" si="154"/>
        <v>66.939978119314063</v>
      </c>
      <c r="AF139" s="1128">
        <f t="shared" si="155"/>
        <v>69.052980714526669</v>
      </c>
      <c r="AG139" s="1128">
        <f t="shared" si="156"/>
        <v>70.414297251932894</v>
      </c>
      <c r="AH139" s="1128">
        <f t="shared" si="157"/>
        <v>70.669079597534932</v>
      </c>
      <c r="AI139" s="1128">
        <f t="shared" si="158"/>
        <v>69.750914806636843</v>
      </c>
      <c r="AJ139" s="1128">
        <f t="shared" si="159"/>
        <v>67.899136681333928</v>
      </c>
      <c r="AK139" s="1128">
        <f t="shared" si="160"/>
        <v>65.5964397267511</v>
      </c>
      <c r="AL139" s="1128">
        <f t="shared" si="161"/>
        <v>63.443057389734577</v>
      </c>
      <c r="AM139" s="1125">
        <f t="shared" si="162"/>
        <v>1</v>
      </c>
      <c r="AN139" s="1125">
        <f t="shared" si="163"/>
        <v>1</v>
      </c>
      <c r="AO139" s="1125">
        <f t="shared" si="164"/>
        <v>1</v>
      </c>
      <c r="AP139" s="1125">
        <f t="shared" si="165"/>
        <v>1</v>
      </c>
      <c r="AQ139" s="1125">
        <f t="shared" si="166"/>
        <v>1</v>
      </c>
      <c r="AR139" s="1125">
        <f t="shared" si="167"/>
        <v>1</v>
      </c>
      <c r="AS139" s="1125">
        <f t="shared" si="168"/>
        <v>0</v>
      </c>
      <c r="AT139" s="1125">
        <f t="shared" si="169"/>
        <v>0</v>
      </c>
      <c r="AU139" s="1125">
        <f t="shared" si="170"/>
        <v>0</v>
      </c>
      <c r="AV139" s="1125">
        <f t="shared" si="171"/>
        <v>1</v>
      </c>
      <c r="AW139" s="1125">
        <f t="shared" si="172"/>
        <v>1</v>
      </c>
      <c r="AX139" s="1125">
        <f t="shared" si="173"/>
        <v>1</v>
      </c>
      <c r="AY139" s="1125">
        <f t="shared" si="174"/>
        <v>0</v>
      </c>
      <c r="AZ139" s="1125">
        <f t="shared" si="175"/>
        <v>0</v>
      </c>
      <c r="BA139" s="1125">
        <f t="shared" si="176"/>
        <v>0</v>
      </c>
      <c r="BB139" s="1125">
        <f t="shared" si="177"/>
        <v>0</v>
      </c>
      <c r="BC139" s="1125">
        <f t="shared" si="178"/>
        <v>0</v>
      </c>
      <c r="BD139" s="1125">
        <f t="shared" si="179"/>
        <v>0</v>
      </c>
      <c r="BE139" s="1125">
        <f t="shared" si="180"/>
        <v>1</v>
      </c>
      <c r="BF139" s="1125">
        <f t="shared" si="181"/>
        <v>1</v>
      </c>
      <c r="BG139" s="1125">
        <f t="shared" si="182"/>
        <v>1</v>
      </c>
      <c r="BH139" s="1125">
        <f t="shared" si="183"/>
        <v>0</v>
      </c>
      <c r="BI139" s="1125">
        <f t="shared" si="184"/>
        <v>0</v>
      </c>
      <c r="BJ139" s="1125">
        <f t="shared" si="185"/>
        <v>0</v>
      </c>
      <c r="BK139" s="1125">
        <f t="shared" si="186"/>
        <v>1</v>
      </c>
      <c r="BL139" s="1125">
        <f t="shared" si="187"/>
        <v>1</v>
      </c>
      <c r="BM139" s="1125">
        <f t="shared" si="188"/>
        <v>1</v>
      </c>
      <c r="BN139" s="1125">
        <f t="shared" si="189"/>
        <v>1</v>
      </c>
      <c r="BO139" s="1125">
        <f t="shared" si="190"/>
        <v>1</v>
      </c>
      <c r="BP139" s="1125">
        <f t="shared" si="191"/>
        <v>1</v>
      </c>
      <c r="BQ139" s="1125">
        <f t="shared" si="192"/>
        <v>1</v>
      </c>
      <c r="BR139" s="1125">
        <f t="shared" si="193"/>
        <v>0</v>
      </c>
      <c r="BS139" s="1125">
        <f t="shared" si="194"/>
        <v>0</v>
      </c>
      <c r="BT139" s="1125">
        <f t="shared" si="195"/>
        <v>1</v>
      </c>
      <c r="BU139" s="1125">
        <f t="shared" si="196"/>
        <v>1</v>
      </c>
      <c r="BV139" s="1125">
        <f t="shared" si="197"/>
        <v>1</v>
      </c>
      <c r="BW139" s="1125">
        <f t="shared" si="198"/>
        <v>0</v>
      </c>
      <c r="BX139" s="1125">
        <f t="shared" si="199"/>
        <v>0</v>
      </c>
      <c r="BY139" s="1125">
        <f t="shared" si="200"/>
        <v>0</v>
      </c>
      <c r="BZ139" s="1125">
        <f t="shared" si="201"/>
        <v>0</v>
      </c>
      <c r="CA139" s="1125">
        <f t="shared" si="202"/>
        <v>0</v>
      </c>
      <c r="CB139" s="1125">
        <f t="shared" si="203"/>
        <v>1</v>
      </c>
      <c r="CC139" s="1125">
        <f t="shared" si="204"/>
        <v>1</v>
      </c>
      <c r="CD139" s="1125">
        <f t="shared" si="205"/>
        <v>1</v>
      </c>
      <c r="CE139" s="1125">
        <f t="shared" si="206"/>
        <v>1</v>
      </c>
      <c r="CF139" s="1125">
        <f t="shared" si="207"/>
        <v>1</v>
      </c>
      <c r="CG139" s="1125">
        <f t="shared" si="208"/>
        <v>0</v>
      </c>
      <c r="CH139" s="1125">
        <f t="shared" si="209"/>
        <v>0</v>
      </c>
      <c r="CI139" s="1125">
        <f t="shared" si="210"/>
        <v>0.85</v>
      </c>
      <c r="CJ139" s="1125">
        <f t="shared" si="211"/>
        <v>0.85</v>
      </c>
      <c r="CK139" s="1125">
        <f t="shared" si="212"/>
        <v>0.85</v>
      </c>
      <c r="CL139" s="1125">
        <f t="shared" si="213"/>
        <v>0.85</v>
      </c>
      <c r="CM139" s="1125">
        <f t="shared" si="214"/>
        <v>0.85</v>
      </c>
      <c r="CN139" s="1125">
        <f t="shared" si="215"/>
        <v>0.85</v>
      </c>
      <c r="CO139" s="1125">
        <f t="shared" si="216"/>
        <v>0.85</v>
      </c>
      <c r="CP139" s="1125">
        <f t="shared" si="217"/>
        <v>0.7</v>
      </c>
      <c r="CQ139" s="1125">
        <f t="shared" si="218"/>
        <v>0.7</v>
      </c>
      <c r="CR139" s="1125">
        <f t="shared" si="219"/>
        <v>0.85</v>
      </c>
      <c r="CS139" s="1125">
        <f t="shared" si="220"/>
        <v>0.85</v>
      </c>
      <c r="CT139" s="1125">
        <f t="shared" si="221"/>
        <v>0.85</v>
      </c>
      <c r="CU139" s="1125">
        <v>1</v>
      </c>
      <c r="CV139" s="1125"/>
      <c r="CW139" s="1125">
        <f t="shared" si="222"/>
        <v>153</v>
      </c>
      <c r="CX139" s="1125">
        <f t="shared" si="223"/>
        <v>212</v>
      </c>
      <c r="CY139" s="1136" t="s">
        <v>4886</v>
      </c>
      <c r="CZ139" s="1129" t="s">
        <v>4888</v>
      </c>
      <c r="DA139" s="1129"/>
      <c r="DB139" s="1129"/>
      <c r="DC139" s="1125" t="s">
        <v>5017</v>
      </c>
      <c r="DD139" s="1125" t="s">
        <v>954</v>
      </c>
      <c r="DE139" s="1125" t="str">
        <f t="shared" si="224"/>
        <v/>
      </c>
      <c r="DF139" s="1125">
        <v>1</v>
      </c>
      <c r="DG139" s="1120">
        <v>0</v>
      </c>
    </row>
    <row r="140" spans="1:111">
      <c r="A140" s="1125" t="s">
        <v>3102</v>
      </c>
      <c r="B140" s="1125" t="s">
        <v>3839</v>
      </c>
      <c r="C140" s="1125" t="s">
        <v>3840</v>
      </c>
      <c r="D140" s="1125" t="s">
        <v>1248</v>
      </c>
      <c r="E140" s="1125">
        <v>338</v>
      </c>
      <c r="F140" s="1125">
        <v>-89.57</v>
      </c>
      <c r="G140" s="1125">
        <v>37.229999999999997</v>
      </c>
      <c r="H140" s="1125">
        <v>-6</v>
      </c>
      <c r="I140" s="1126">
        <v>13.819999313354492</v>
      </c>
      <c r="J140" s="1126">
        <v>92.479997253417977</v>
      </c>
      <c r="K140" s="1127">
        <v>77</v>
      </c>
      <c r="L140" s="1125">
        <v>4289.4000000000005</v>
      </c>
      <c r="M140" s="1125">
        <v>1326.6000000000001</v>
      </c>
      <c r="N140" s="1128">
        <v>31.459999978542328</v>
      </c>
      <c r="O140" s="1128">
        <v>38.660000085830688</v>
      </c>
      <c r="P140" s="1128">
        <v>48.919999313354495</v>
      </c>
      <c r="Q140" s="1128">
        <v>52.340000343322757</v>
      </c>
      <c r="R140" s="1128">
        <v>62.419999313354495</v>
      </c>
      <c r="S140" s="1128">
        <v>75.019999313354489</v>
      </c>
      <c r="T140" s="1128">
        <v>76.460001373291021</v>
      </c>
      <c r="U140" s="1128">
        <v>77.180000686645513</v>
      </c>
      <c r="V140" s="1128">
        <v>67.099999999999994</v>
      </c>
      <c r="W140" s="1128">
        <v>58.1</v>
      </c>
      <c r="X140" s="1128">
        <v>50.719999313354492</v>
      </c>
      <c r="Y140" s="1128">
        <v>36.320000171661377</v>
      </c>
      <c r="Z140" s="1128">
        <v>56.313808212182295</v>
      </c>
      <c r="AA140" s="1128">
        <f t="shared" si="150"/>
        <v>51.254723662000266</v>
      </c>
      <c r="AB140" s="1128">
        <f t="shared" si="151"/>
        <v>50.449470105936108</v>
      </c>
      <c r="AC140" s="1128">
        <f t="shared" si="152"/>
        <v>52.736839112249598</v>
      </c>
      <c r="AD140" s="1128">
        <f t="shared" si="153"/>
        <v>57.520592700021759</v>
      </c>
      <c r="AE140" s="1128">
        <f t="shared" si="154"/>
        <v>63.553771776725497</v>
      </c>
      <c r="AF140" s="1128">
        <f t="shared" si="155"/>
        <v>69.263735241914119</v>
      </c>
      <c r="AG140" s="1128">
        <f t="shared" si="156"/>
        <v>73.162093125185663</v>
      </c>
      <c r="AH140" s="1128">
        <f t="shared" si="157"/>
        <v>74.232678368751976</v>
      </c>
      <c r="AI140" s="1128">
        <f t="shared" si="158"/>
        <v>72.196426430659471</v>
      </c>
      <c r="AJ140" s="1128">
        <f t="shared" si="159"/>
        <v>67.584117758164197</v>
      </c>
      <c r="AK140" s="1128">
        <f t="shared" si="160"/>
        <v>61.598021684580189</v>
      </c>
      <c r="AL140" s="1128">
        <f t="shared" si="161"/>
        <v>55.79850640001996</v>
      </c>
      <c r="AM140" s="1125">
        <f t="shared" si="162"/>
        <v>1</v>
      </c>
      <c r="AN140" s="1125">
        <f t="shared" si="163"/>
        <v>1</v>
      </c>
      <c r="AO140" s="1125">
        <f t="shared" si="164"/>
        <v>1</v>
      </c>
      <c r="AP140" s="1125">
        <f t="shared" si="165"/>
        <v>1</v>
      </c>
      <c r="AQ140" s="1125">
        <f t="shared" si="166"/>
        <v>1</v>
      </c>
      <c r="AR140" s="1125">
        <f t="shared" si="167"/>
        <v>0</v>
      </c>
      <c r="AS140" s="1125">
        <f t="shared" si="168"/>
        <v>0</v>
      </c>
      <c r="AT140" s="1125">
        <f t="shared" si="169"/>
        <v>0</v>
      </c>
      <c r="AU140" s="1125">
        <f t="shared" si="170"/>
        <v>0</v>
      </c>
      <c r="AV140" s="1125">
        <f t="shared" si="171"/>
        <v>1</v>
      </c>
      <c r="AW140" s="1125">
        <f t="shared" si="172"/>
        <v>1</v>
      </c>
      <c r="AX140" s="1125">
        <f t="shared" si="173"/>
        <v>1</v>
      </c>
      <c r="AY140" s="1125">
        <f t="shared" si="174"/>
        <v>0</v>
      </c>
      <c r="AZ140" s="1125">
        <f t="shared" si="175"/>
        <v>0</v>
      </c>
      <c r="BA140" s="1125">
        <f t="shared" si="176"/>
        <v>0</v>
      </c>
      <c r="BB140" s="1125">
        <f t="shared" si="177"/>
        <v>0</v>
      </c>
      <c r="BC140" s="1125">
        <f t="shared" si="178"/>
        <v>0</v>
      </c>
      <c r="BD140" s="1125">
        <f t="shared" si="179"/>
        <v>1</v>
      </c>
      <c r="BE140" s="1125">
        <f t="shared" si="180"/>
        <v>1</v>
      </c>
      <c r="BF140" s="1125">
        <f t="shared" si="181"/>
        <v>1</v>
      </c>
      <c r="BG140" s="1125">
        <f t="shared" si="182"/>
        <v>1</v>
      </c>
      <c r="BH140" s="1125">
        <f t="shared" si="183"/>
        <v>0</v>
      </c>
      <c r="BI140" s="1125">
        <f t="shared" si="184"/>
        <v>0</v>
      </c>
      <c r="BJ140" s="1125">
        <f t="shared" si="185"/>
        <v>0</v>
      </c>
      <c r="BK140" s="1125">
        <f t="shared" si="186"/>
        <v>1</v>
      </c>
      <c r="BL140" s="1125">
        <f t="shared" si="187"/>
        <v>1</v>
      </c>
      <c r="BM140" s="1125">
        <f t="shared" si="188"/>
        <v>1</v>
      </c>
      <c r="BN140" s="1125">
        <f t="shared" si="189"/>
        <v>1</v>
      </c>
      <c r="BO140" s="1125">
        <f t="shared" si="190"/>
        <v>1</v>
      </c>
      <c r="BP140" s="1125">
        <f t="shared" si="191"/>
        <v>1</v>
      </c>
      <c r="BQ140" s="1125">
        <f t="shared" si="192"/>
        <v>0</v>
      </c>
      <c r="BR140" s="1125">
        <f t="shared" si="193"/>
        <v>0</v>
      </c>
      <c r="BS140" s="1125">
        <f t="shared" si="194"/>
        <v>0</v>
      </c>
      <c r="BT140" s="1125">
        <f t="shared" si="195"/>
        <v>1</v>
      </c>
      <c r="BU140" s="1125">
        <f t="shared" si="196"/>
        <v>1</v>
      </c>
      <c r="BV140" s="1125">
        <f t="shared" si="197"/>
        <v>1</v>
      </c>
      <c r="BW140" s="1125">
        <f t="shared" si="198"/>
        <v>0</v>
      </c>
      <c r="BX140" s="1125">
        <f t="shared" si="199"/>
        <v>0</v>
      </c>
      <c r="BY140" s="1125">
        <f t="shared" si="200"/>
        <v>0</v>
      </c>
      <c r="BZ140" s="1125">
        <f t="shared" si="201"/>
        <v>0</v>
      </c>
      <c r="CA140" s="1125">
        <f t="shared" si="202"/>
        <v>1</v>
      </c>
      <c r="CB140" s="1125">
        <f t="shared" si="203"/>
        <v>1</v>
      </c>
      <c r="CC140" s="1125">
        <f t="shared" si="204"/>
        <v>1</v>
      </c>
      <c r="CD140" s="1125">
        <f t="shared" si="205"/>
        <v>1</v>
      </c>
      <c r="CE140" s="1125">
        <f t="shared" si="206"/>
        <v>1</v>
      </c>
      <c r="CF140" s="1125">
        <f t="shared" si="207"/>
        <v>1</v>
      </c>
      <c r="CG140" s="1125">
        <f t="shared" si="208"/>
        <v>0</v>
      </c>
      <c r="CH140" s="1125">
        <f t="shared" si="209"/>
        <v>0</v>
      </c>
      <c r="CI140" s="1125">
        <f t="shared" si="210"/>
        <v>0.85</v>
      </c>
      <c r="CJ140" s="1125">
        <f t="shared" si="211"/>
        <v>0.85</v>
      </c>
      <c r="CK140" s="1125">
        <f t="shared" si="212"/>
        <v>0.85</v>
      </c>
      <c r="CL140" s="1125">
        <f t="shared" si="213"/>
        <v>0.85</v>
      </c>
      <c r="CM140" s="1125">
        <f t="shared" si="214"/>
        <v>0.85</v>
      </c>
      <c r="CN140" s="1125">
        <f t="shared" si="215"/>
        <v>0.85</v>
      </c>
      <c r="CO140" s="1125">
        <f t="shared" si="216"/>
        <v>0.7</v>
      </c>
      <c r="CP140" s="1125">
        <f t="shared" si="217"/>
        <v>0.7</v>
      </c>
      <c r="CQ140" s="1125">
        <f t="shared" si="218"/>
        <v>0.7</v>
      </c>
      <c r="CR140" s="1125">
        <f t="shared" si="219"/>
        <v>0.85</v>
      </c>
      <c r="CS140" s="1125">
        <f t="shared" si="220"/>
        <v>0.85</v>
      </c>
      <c r="CT140" s="1125">
        <f t="shared" si="221"/>
        <v>0.85</v>
      </c>
      <c r="CU140" s="1125">
        <v>1</v>
      </c>
      <c r="CV140" s="1125"/>
      <c r="CW140" s="1125">
        <f t="shared" si="222"/>
        <v>184</v>
      </c>
      <c r="CX140" s="1125">
        <f t="shared" si="223"/>
        <v>181</v>
      </c>
      <c r="CY140" s="1136" t="s">
        <v>4881</v>
      </c>
      <c r="CZ140" s="1129" t="s">
        <v>4885</v>
      </c>
      <c r="DA140" s="1129"/>
      <c r="DB140" s="1129"/>
      <c r="DC140" s="1125" t="s">
        <v>5346</v>
      </c>
      <c r="DD140" s="1125" t="s">
        <v>1248</v>
      </c>
      <c r="DE140" s="1120" t="str">
        <f t="shared" si="224"/>
        <v/>
      </c>
      <c r="DF140" s="1133">
        <v>1</v>
      </c>
      <c r="DG140" s="1125">
        <v>0</v>
      </c>
    </row>
    <row r="141" spans="1:111">
      <c r="A141" s="1120" t="s">
        <v>3104</v>
      </c>
      <c r="B141" s="1120" t="s">
        <v>3930</v>
      </c>
      <c r="C141" s="1120" t="s">
        <v>3931</v>
      </c>
      <c r="D141" s="1120" t="s">
        <v>426</v>
      </c>
      <c r="E141" s="1120">
        <v>10</v>
      </c>
      <c r="F141" s="1120">
        <v>-75.55</v>
      </c>
      <c r="G141" s="1120">
        <v>35.270000000000003</v>
      </c>
      <c r="H141" s="1120">
        <v>-5</v>
      </c>
      <c r="I141" s="1121">
        <v>32.180000002682206</v>
      </c>
      <c r="J141" s="1121">
        <v>85.1</v>
      </c>
      <c r="K141" s="1122">
        <v>77.539998626708979</v>
      </c>
      <c r="L141" s="1120">
        <v>2403</v>
      </c>
      <c r="M141" s="1120">
        <v>1861.2</v>
      </c>
      <c r="N141" s="1123">
        <v>42.8</v>
      </c>
      <c r="O141" s="1123">
        <v>48.740000343322755</v>
      </c>
      <c r="P141" s="1123">
        <v>55.040000343322752</v>
      </c>
      <c r="Q141" s="1123">
        <v>61.519999313354496</v>
      </c>
      <c r="R141" s="1123">
        <v>68.539998626708979</v>
      </c>
      <c r="S141" s="1123">
        <v>75.739998626708982</v>
      </c>
      <c r="T141" s="1123">
        <v>79.7</v>
      </c>
      <c r="U141" s="1123">
        <v>78.260001373291018</v>
      </c>
      <c r="V141" s="1123">
        <v>75.919999313354495</v>
      </c>
      <c r="W141" s="1123">
        <v>62.780000686645508</v>
      </c>
      <c r="X141" s="1123">
        <v>58.1</v>
      </c>
      <c r="Y141" s="1123">
        <v>47.119999313354491</v>
      </c>
      <c r="Z141" s="1123">
        <v>62.916602569475565</v>
      </c>
      <c r="AA141" s="1123">
        <f t="shared" si="150"/>
        <v>58.460197451839797</v>
      </c>
      <c r="AB141" s="1123">
        <f t="shared" si="151"/>
        <v>58.356732635407752</v>
      </c>
      <c r="AC141" s="1123">
        <f t="shared" si="152"/>
        <v>61.005860649812043</v>
      </c>
      <c r="AD141" s="1123">
        <f t="shared" si="153"/>
        <v>65.717045453799756</v>
      </c>
      <c r="AE141" s="1123">
        <f t="shared" si="154"/>
        <v>71.262244126656014</v>
      </c>
      <c r="AF141" s="1123">
        <f t="shared" si="155"/>
        <v>76.196015180202622</v>
      </c>
      <c r="AG141" s="1123">
        <f t="shared" si="156"/>
        <v>79.232295157619262</v>
      </c>
      <c r="AH141" s="1123">
        <f t="shared" si="157"/>
        <v>79.579630892301495</v>
      </c>
      <c r="AI141" s="1123">
        <f t="shared" si="158"/>
        <v>77.147483972398703</v>
      </c>
      <c r="AJ141" s="1123">
        <f t="shared" si="159"/>
        <v>72.569830973102114</v>
      </c>
      <c r="AK141" s="1123">
        <f t="shared" si="160"/>
        <v>67.039907692446434</v>
      </c>
      <c r="AL141" s="1123">
        <f t="shared" si="161"/>
        <v>61.999173852231891</v>
      </c>
      <c r="AM141" s="1120">
        <f t="shared" si="162"/>
        <v>1</v>
      </c>
      <c r="AN141" s="1120">
        <f t="shared" si="163"/>
        <v>1</v>
      </c>
      <c r="AO141" s="1120">
        <f t="shared" si="164"/>
        <v>1</v>
      </c>
      <c r="AP141" s="1120">
        <f t="shared" si="165"/>
        <v>1</v>
      </c>
      <c r="AQ141" s="1120">
        <f t="shared" si="166"/>
        <v>0</v>
      </c>
      <c r="AR141" s="1120">
        <f t="shared" si="167"/>
        <v>0</v>
      </c>
      <c r="AS141" s="1120">
        <f t="shared" si="168"/>
        <v>0</v>
      </c>
      <c r="AT141" s="1120">
        <f t="shared" si="169"/>
        <v>0</v>
      </c>
      <c r="AU141" s="1120">
        <f t="shared" si="170"/>
        <v>0</v>
      </c>
      <c r="AV141" s="1120">
        <f t="shared" si="171"/>
        <v>1</v>
      </c>
      <c r="AW141" s="1120">
        <f t="shared" si="172"/>
        <v>1</v>
      </c>
      <c r="AX141" s="1120">
        <f t="shared" si="173"/>
        <v>1</v>
      </c>
      <c r="AY141" s="1120">
        <f t="shared" si="174"/>
        <v>0</v>
      </c>
      <c r="AZ141" s="1120">
        <f t="shared" si="175"/>
        <v>0</v>
      </c>
      <c r="BA141" s="1120">
        <f t="shared" si="176"/>
        <v>0</v>
      </c>
      <c r="BB141" s="1120">
        <f t="shared" si="177"/>
        <v>0</v>
      </c>
      <c r="BC141" s="1120">
        <f t="shared" si="178"/>
        <v>1</v>
      </c>
      <c r="BD141" s="1120">
        <f t="shared" si="179"/>
        <v>1</v>
      </c>
      <c r="BE141" s="1120">
        <f t="shared" si="180"/>
        <v>1</v>
      </c>
      <c r="BF141" s="1120">
        <f t="shared" si="181"/>
        <v>1</v>
      </c>
      <c r="BG141" s="1120">
        <f t="shared" si="182"/>
        <v>1</v>
      </c>
      <c r="BH141" s="1120">
        <f t="shared" si="183"/>
        <v>0</v>
      </c>
      <c r="BI141" s="1120">
        <f t="shared" si="184"/>
        <v>0</v>
      </c>
      <c r="BJ141" s="1120">
        <f t="shared" si="185"/>
        <v>0</v>
      </c>
      <c r="BK141" s="1120">
        <f t="shared" si="186"/>
        <v>1</v>
      </c>
      <c r="BL141" s="1120">
        <f t="shared" si="187"/>
        <v>1</v>
      </c>
      <c r="BM141" s="1120">
        <f t="shared" si="188"/>
        <v>1</v>
      </c>
      <c r="BN141" s="1120">
        <f t="shared" si="189"/>
        <v>1</v>
      </c>
      <c r="BO141" s="1120">
        <f t="shared" si="190"/>
        <v>1</v>
      </c>
      <c r="BP141" s="1120">
        <f t="shared" si="191"/>
        <v>0</v>
      </c>
      <c r="BQ141" s="1120">
        <f t="shared" si="192"/>
        <v>0</v>
      </c>
      <c r="BR141" s="1120">
        <f t="shared" si="193"/>
        <v>0</v>
      </c>
      <c r="BS141" s="1120">
        <f t="shared" si="194"/>
        <v>0</v>
      </c>
      <c r="BT141" s="1120">
        <f t="shared" si="195"/>
        <v>1</v>
      </c>
      <c r="BU141" s="1120">
        <f t="shared" si="196"/>
        <v>1</v>
      </c>
      <c r="BV141" s="1120">
        <f t="shared" si="197"/>
        <v>1</v>
      </c>
      <c r="BW141" s="1120">
        <f t="shared" si="198"/>
        <v>0</v>
      </c>
      <c r="BX141" s="1120">
        <f t="shared" si="199"/>
        <v>0</v>
      </c>
      <c r="BY141" s="1120">
        <f t="shared" si="200"/>
        <v>0</v>
      </c>
      <c r="BZ141" s="1120">
        <f t="shared" si="201"/>
        <v>1</v>
      </c>
      <c r="CA141" s="1120">
        <f t="shared" si="202"/>
        <v>1</v>
      </c>
      <c r="CB141" s="1120">
        <f t="shared" si="203"/>
        <v>1</v>
      </c>
      <c r="CC141" s="1120">
        <f t="shared" si="204"/>
        <v>1</v>
      </c>
      <c r="CD141" s="1120">
        <f t="shared" si="205"/>
        <v>1</v>
      </c>
      <c r="CE141" s="1120">
        <f t="shared" si="206"/>
        <v>1</v>
      </c>
      <c r="CF141" s="1120">
        <f t="shared" si="207"/>
        <v>1</v>
      </c>
      <c r="CG141" s="1120">
        <f t="shared" si="208"/>
        <v>0</v>
      </c>
      <c r="CH141" s="1120">
        <f t="shared" si="209"/>
        <v>0</v>
      </c>
      <c r="CI141" s="1120">
        <f t="shared" si="210"/>
        <v>0.85</v>
      </c>
      <c r="CJ141" s="1120">
        <f t="shared" si="211"/>
        <v>0.85</v>
      </c>
      <c r="CK141" s="1120">
        <f t="shared" si="212"/>
        <v>0.85</v>
      </c>
      <c r="CL141" s="1120">
        <f t="shared" si="213"/>
        <v>0.85</v>
      </c>
      <c r="CM141" s="1120">
        <f t="shared" si="214"/>
        <v>0.85</v>
      </c>
      <c r="CN141" s="1120">
        <f t="shared" si="215"/>
        <v>0.7</v>
      </c>
      <c r="CO141" s="1120">
        <f t="shared" si="216"/>
        <v>0.7</v>
      </c>
      <c r="CP141" s="1120">
        <f t="shared" si="217"/>
        <v>0.7</v>
      </c>
      <c r="CQ141" s="1120">
        <f t="shared" si="218"/>
        <v>0.7</v>
      </c>
      <c r="CR141" s="1120">
        <f t="shared" si="219"/>
        <v>0.85</v>
      </c>
      <c r="CS141" s="1120">
        <f t="shared" si="220"/>
        <v>0.85</v>
      </c>
      <c r="CT141" s="1120">
        <f t="shared" si="221"/>
        <v>0.85</v>
      </c>
      <c r="CU141" s="1120">
        <v>1</v>
      </c>
      <c r="CV141" s="1120"/>
      <c r="CW141" s="1120">
        <f t="shared" si="222"/>
        <v>214</v>
      </c>
      <c r="CX141" s="1120">
        <f t="shared" si="223"/>
        <v>151</v>
      </c>
      <c r="CY141" s="1135" t="s">
        <v>4881</v>
      </c>
      <c r="CZ141" s="1124" t="s">
        <v>4882</v>
      </c>
      <c r="DA141" s="1124"/>
      <c r="DB141" s="1124"/>
      <c r="DC141" s="1120" t="s">
        <v>5385</v>
      </c>
      <c r="DD141" s="1120" t="s">
        <v>426</v>
      </c>
      <c r="DE141" s="1120" t="b">
        <f t="shared" si="224"/>
        <v>0</v>
      </c>
      <c r="DF141" s="1133">
        <v>1</v>
      </c>
      <c r="DG141" s="1120">
        <v>0</v>
      </c>
    </row>
    <row r="142" spans="1:111">
      <c r="A142" s="1120" t="s">
        <v>3106</v>
      </c>
      <c r="B142" s="1120" t="s">
        <v>4056</v>
      </c>
      <c r="C142" s="1120" t="s">
        <v>4057</v>
      </c>
      <c r="D142" s="1120" t="s">
        <v>589</v>
      </c>
      <c r="E142" s="1120">
        <v>23</v>
      </c>
      <c r="F142" s="1120">
        <v>-74.92</v>
      </c>
      <c r="G142" s="1120">
        <v>39</v>
      </c>
      <c r="H142" s="1120">
        <v>-5</v>
      </c>
      <c r="I142" s="1121">
        <v>19.220000171661376</v>
      </c>
      <c r="J142" s="1121">
        <v>86.719999313354492</v>
      </c>
      <c r="K142" s="1122">
        <v>73.580000686645505</v>
      </c>
      <c r="L142" s="1120">
        <v>4055.4</v>
      </c>
      <c r="M142" s="1120">
        <v>1087.2</v>
      </c>
      <c r="N142" s="1123">
        <v>40.1</v>
      </c>
      <c r="O142" s="1123">
        <v>38.660000085830688</v>
      </c>
      <c r="P142" s="1123">
        <v>42.079999828338622</v>
      </c>
      <c r="Q142" s="1123">
        <v>49.819999313354494</v>
      </c>
      <c r="R142" s="1123">
        <v>60.619999313354491</v>
      </c>
      <c r="S142" s="1123">
        <v>70.33999862670899</v>
      </c>
      <c r="T142" s="1123">
        <v>78.260001373291018</v>
      </c>
      <c r="U142" s="1123">
        <v>72.860001373291013</v>
      </c>
      <c r="V142" s="1123">
        <v>68.719999313354492</v>
      </c>
      <c r="W142" s="1123">
        <v>57.919999313354495</v>
      </c>
      <c r="X142" s="1123">
        <v>52.159999656677243</v>
      </c>
      <c r="Y142" s="1123">
        <v>42.620000171661374</v>
      </c>
      <c r="Z142" s="1123">
        <v>56.279287540488049</v>
      </c>
      <c r="AA142" s="1123">
        <f t="shared" si="150"/>
        <v>52.709215415183337</v>
      </c>
      <c r="AB142" s="1123">
        <f t="shared" si="151"/>
        <v>52.009099911722771</v>
      </c>
      <c r="AC142" s="1123">
        <f t="shared" si="152"/>
        <v>53.986067082081988</v>
      </c>
      <c r="AD142" s="1123">
        <f t="shared" si="153"/>
        <v>58.124789967320552</v>
      </c>
      <c r="AE142" s="1123">
        <f t="shared" si="154"/>
        <v>63.346446667750776</v>
      </c>
      <c r="AF142" s="1123">
        <f t="shared" si="155"/>
        <v>68.28993189624002</v>
      </c>
      <c r="AG142" s="1123">
        <f t="shared" si="156"/>
        <v>71.666650046569202</v>
      </c>
      <c r="AH142" s="1123">
        <f t="shared" si="157"/>
        <v>72.596407496053189</v>
      </c>
      <c r="AI142" s="1123">
        <f t="shared" si="158"/>
        <v>70.836848637487961</v>
      </c>
      <c r="AJ142" s="1123">
        <f t="shared" si="159"/>
        <v>66.846629602981352</v>
      </c>
      <c r="AK142" s="1123">
        <f t="shared" si="160"/>
        <v>61.665862475014144</v>
      </c>
      <c r="AL142" s="1123">
        <f t="shared" si="161"/>
        <v>56.644994043529124</v>
      </c>
      <c r="AM142" s="1120">
        <f t="shared" si="162"/>
        <v>1</v>
      </c>
      <c r="AN142" s="1120">
        <f t="shared" si="163"/>
        <v>1</v>
      </c>
      <c r="AO142" s="1120">
        <f t="shared" si="164"/>
        <v>1</v>
      </c>
      <c r="AP142" s="1120">
        <f t="shared" si="165"/>
        <v>1</v>
      </c>
      <c r="AQ142" s="1120">
        <f t="shared" si="166"/>
        <v>1</v>
      </c>
      <c r="AR142" s="1120">
        <f t="shared" si="167"/>
        <v>0</v>
      </c>
      <c r="AS142" s="1120">
        <f t="shared" si="168"/>
        <v>0</v>
      </c>
      <c r="AT142" s="1120">
        <f t="shared" si="169"/>
        <v>0</v>
      </c>
      <c r="AU142" s="1120">
        <f t="shared" si="170"/>
        <v>0</v>
      </c>
      <c r="AV142" s="1120">
        <f t="shared" si="171"/>
        <v>1</v>
      </c>
      <c r="AW142" s="1120">
        <f t="shared" si="172"/>
        <v>1</v>
      </c>
      <c r="AX142" s="1120">
        <f t="shared" si="173"/>
        <v>1</v>
      </c>
      <c r="AY142" s="1120">
        <f t="shared" si="174"/>
        <v>0</v>
      </c>
      <c r="AZ142" s="1120">
        <f t="shared" si="175"/>
        <v>0</v>
      </c>
      <c r="BA142" s="1120">
        <f t="shared" si="176"/>
        <v>0</v>
      </c>
      <c r="BB142" s="1120">
        <f t="shared" si="177"/>
        <v>0</v>
      </c>
      <c r="BC142" s="1120">
        <f t="shared" si="178"/>
        <v>0</v>
      </c>
      <c r="BD142" s="1120">
        <f t="shared" si="179"/>
        <v>1</v>
      </c>
      <c r="BE142" s="1120">
        <f t="shared" si="180"/>
        <v>1</v>
      </c>
      <c r="BF142" s="1120">
        <f t="shared" si="181"/>
        <v>1</v>
      </c>
      <c r="BG142" s="1120">
        <f t="shared" si="182"/>
        <v>1</v>
      </c>
      <c r="BH142" s="1120">
        <f t="shared" si="183"/>
        <v>0</v>
      </c>
      <c r="BI142" s="1120">
        <f t="shared" si="184"/>
        <v>0</v>
      </c>
      <c r="BJ142" s="1120">
        <f t="shared" si="185"/>
        <v>0</v>
      </c>
      <c r="BK142" s="1120">
        <f t="shared" si="186"/>
        <v>1</v>
      </c>
      <c r="BL142" s="1120">
        <f t="shared" si="187"/>
        <v>1</v>
      </c>
      <c r="BM142" s="1120">
        <f t="shared" si="188"/>
        <v>1</v>
      </c>
      <c r="BN142" s="1120">
        <f t="shared" si="189"/>
        <v>1</v>
      </c>
      <c r="BO142" s="1120">
        <f t="shared" si="190"/>
        <v>1</v>
      </c>
      <c r="BP142" s="1120">
        <f t="shared" si="191"/>
        <v>1</v>
      </c>
      <c r="BQ142" s="1120">
        <f t="shared" si="192"/>
        <v>0</v>
      </c>
      <c r="BR142" s="1120">
        <f t="shared" si="193"/>
        <v>0</v>
      </c>
      <c r="BS142" s="1120">
        <f t="shared" si="194"/>
        <v>0</v>
      </c>
      <c r="BT142" s="1120">
        <f t="shared" si="195"/>
        <v>1</v>
      </c>
      <c r="BU142" s="1120">
        <f t="shared" si="196"/>
        <v>1</v>
      </c>
      <c r="BV142" s="1120">
        <f t="shared" si="197"/>
        <v>1</v>
      </c>
      <c r="BW142" s="1120">
        <f t="shared" si="198"/>
        <v>0</v>
      </c>
      <c r="BX142" s="1120">
        <f t="shared" si="199"/>
        <v>0</v>
      </c>
      <c r="BY142" s="1120">
        <f t="shared" si="200"/>
        <v>0</v>
      </c>
      <c r="BZ142" s="1120">
        <f t="shared" si="201"/>
        <v>0</v>
      </c>
      <c r="CA142" s="1120">
        <f t="shared" si="202"/>
        <v>1</v>
      </c>
      <c r="CB142" s="1120">
        <f t="shared" si="203"/>
        <v>1</v>
      </c>
      <c r="CC142" s="1120">
        <f t="shared" si="204"/>
        <v>1</v>
      </c>
      <c r="CD142" s="1120">
        <f t="shared" si="205"/>
        <v>1</v>
      </c>
      <c r="CE142" s="1120">
        <f t="shared" si="206"/>
        <v>1</v>
      </c>
      <c r="CF142" s="1120">
        <f t="shared" si="207"/>
        <v>1</v>
      </c>
      <c r="CG142" s="1120">
        <f t="shared" si="208"/>
        <v>0</v>
      </c>
      <c r="CH142" s="1120">
        <f t="shared" si="209"/>
        <v>0</v>
      </c>
      <c r="CI142" s="1120">
        <f t="shared" si="210"/>
        <v>0.85</v>
      </c>
      <c r="CJ142" s="1120">
        <f t="shared" si="211"/>
        <v>0.85</v>
      </c>
      <c r="CK142" s="1120">
        <f t="shared" si="212"/>
        <v>0.85</v>
      </c>
      <c r="CL142" s="1120">
        <f t="shared" si="213"/>
        <v>0.85</v>
      </c>
      <c r="CM142" s="1120">
        <f t="shared" si="214"/>
        <v>0.85</v>
      </c>
      <c r="CN142" s="1120">
        <f t="shared" si="215"/>
        <v>0.85</v>
      </c>
      <c r="CO142" s="1120">
        <f t="shared" si="216"/>
        <v>0.7</v>
      </c>
      <c r="CP142" s="1120">
        <f t="shared" si="217"/>
        <v>0.7</v>
      </c>
      <c r="CQ142" s="1120">
        <f t="shared" si="218"/>
        <v>0.7</v>
      </c>
      <c r="CR142" s="1120">
        <f t="shared" si="219"/>
        <v>0.85</v>
      </c>
      <c r="CS142" s="1120">
        <f t="shared" si="220"/>
        <v>0.85</v>
      </c>
      <c r="CT142" s="1120">
        <f t="shared" si="221"/>
        <v>0.85</v>
      </c>
      <c r="CU142" s="1120">
        <v>1</v>
      </c>
      <c r="CV142" s="1120"/>
      <c r="CW142" s="1120">
        <f t="shared" si="222"/>
        <v>184</v>
      </c>
      <c r="CX142" s="1120">
        <f t="shared" si="223"/>
        <v>181</v>
      </c>
      <c r="CY142" s="1135" t="s">
        <v>4881</v>
      </c>
      <c r="CZ142" s="1124" t="s">
        <v>4885</v>
      </c>
      <c r="DA142" s="1124"/>
      <c r="DB142" s="1124"/>
      <c r="DC142" s="1120" t="s">
        <v>5440</v>
      </c>
      <c r="DD142" s="1120" t="s">
        <v>589</v>
      </c>
      <c r="DE142" s="1120" t="str">
        <f t="shared" si="224"/>
        <v/>
      </c>
      <c r="DF142" s="1133">
        <v>0</v>
      </c>
      <c r="DG142" s="1120">
        <v>0</v>
      </c>
    </row>
    <row r="143" spans="1:111">
      <c r="A143" s="1125" t="s">
        <v>3108</v>
      </c>
      <c r="B143" s="1125" t="s">
        <v>3693</v>
      </c>
      <c r="C143" s="1125" t="s">
        <v>3694</v>
      </c>
      <c r="D143" s="1125" t="s">
        <v>903</v>
      </c>
      <c r="E143" s="1125">
        <v>623</v>
      </c>
      <c r="F143" s="1125">
        <v>-68.03</v>
      </c>
      <c r="G143" s="1125">
        <v>46.87</v>
      </c>
      <c r="H143" s="1125">
        <v>-5</v>
      </c>
      <c r="I143" s="1126">
        <v>-10.119999313354493</v>
      </c>
      <c r="J143" s="1126">
        <v>81.139998626708987</v>
      </c>
      <c r="K143" s="1127">
        <v>66.560001373291016</v>
      </c>
      <c r="L143" s="1125">
        <v>9471.6</v>
      </c>
      <c r="M143" s="1125">
        <v>205.20000000000002</v>
      </c>
      <c r="N143" s="1128">
        <v>12.559999656677245</v>
      </c>
      <c r="O143" s="1128">
        <v>13.819999313354492</v>
      </c>
      <c r="P143" s="1128">
        <v>19.940000343322755</v>
      </c>
      <c r="Q143" s="1128">
        <v>37.039999914169314</v>
      </c>
      <c r="R143" s="1128">
        <v>48.919999313354495</v>
      </c>
      <c r="S143" s="1128">
        <v>60.980000686645511</v>
      </c>
      <c r="T143" s="1128">
        <v>64.039998626708979</v>
      </c>
      <c r="U143" s="1128">
        <v>66.380000686645502</v>
      </c>
      <c r="V143" s="1128">
        <v>53.240000343322755</v>
      </c>
      <c r="W143" s="1128">
        <v>43.159999656677243</v>
      </c>
      <c r="X143" s="1128">
        <v>28.939999914169313</v>
      </c>
      <c r="Y143" s="1128">
        <v>17.240000343322752</v>
      </c>
      <c r="Z143" s="1128">
        <v>38.99287661356469</v>
      </c>
      <c r="AA143" s="1128">
        <f t="shared" si="150"/>
        <v>37.721274441542015</v>
      </c>
      <c r="AB143" s="1128">
        <f t="shared" si="151"/>
        <v>35.715582343704327</v>
      </c>
      <c r="AC143" s="1128">
        <f t="shared" si="152"/>
        <v>36.128159964738025</v>
      </c>
      <c r="AD143" s="1128">
        <f t="shared" si="153"/>
        <v>38.85146258970709</v>
      </c>
      <c r="AE143" s="1128">
        <f t="shared" si="154"/>
        <v>43.175619422049529</v>
      </c>
      <c r="AF143" s="1128">
        <f t="shared" si="155"/>
        <v>47.973472346141421</v>
      </c>
      <c r="AG143" s="1128">
        <f t="shared" si="156"/>
        <v>51.994387060166588</v>
      </c>
      <c r="AH143" s="1128">
        <f t="shared" si="157"/>
        <v>54.190250179742982</v>
      </c>
      <c r="AI143" s="1128">
        <f t="shared" si="158"/>
        <v>53.988676143478045</v>
      </c>
      <c r="AJ143" s="1128">
        <f t="shared" si="159"/>
        <v>51.442208330274156</v>
      </c>
      <c r="AK143" s="1128">
        <f t="shared" si="160"/>
        <v>47.214622817899759</v>
      </c>
      <c r="AL143" s="1128">
        <f t="shared" si="161"/>
        <v>42.407904919220044</v>
      </c>
      <c r="AM143" s="1125">
        <f t="shared" si="162"/>
        <v>1</v>
      </c>
      <c r="AN143" s="1125">
        <f t="shared" si="163"/>
        <v>1</v>
      </c>
      <c r="AO143" s="1125">
        <f t="shared" si="164"/>
        <v>1</v>
      </c>
      <c r="AP143" s="1125">
        <f t="shared" si="165"/>
        <v>1</v>
      </c>
      <c r="AQ143" s="1125">
        <f t="shared" si="166"/>
        <v>1</v>
      </c>
      <c r="AR143" s="1125">
        <f t="shared" si="167"/>
        <v>1</v>
      </c>
      <c r="AS143" s="1125">
        <f t="shared" si="168"/>
        <v>1</v>
      </c>
      <c r="AT143" s="1125">
        <f t="shared" si="169"/>
        <v>0</v>
      </c>
      <c r="AU143" s="1125">
        <f t="shared" si="170"/>
        <v>1</v>
      </c>
      <c r="AV143" s="1125">
        <f t="shared" si="171"/>
        <v>1</v>
      </c>
      <c r="AW143" s="1125">
        <f t="shared" si="172"/>
        <v>1</v>
      </c>
      <c r="AX143" s="1125">
        <f t="shared" si="173"/>
        <v>1</v>
      </c>
      <c r="AY143" s="1125">
        <f t="shared" si="174"/>
        <v>0</v>
      </c>
      <c r="AZ143" s="1125">
        <f t="shared" si="175"/>
        <v>0</v>
      </c>
      <c r="BA143" s="1125">
        <f t="shared" si="176"/>
        <v>0</v>
      </c>
      <c r="BB143" s="1125">
        <f t="shared" si="177"/>
        <v>0</v>
      </c>
      <c r="BC143" s="1125">
        <f t="shared" si="178"/>
        <v>0</v>
      </c>
      <c r="BD143" s="1125">
        <f t="shared" si="179"/>
        <v>0</v>
      </c>
      <c r="BE143" s="1125">
        <f t="shared" si="180"/>
        <v>1</v>
      </c>
      <c r="BF143" s="1125">
        <f t="shared" si="181"/>
        <v>1</v>
      </c>
      <c r="BG143" s="1125">
        <f t="shared" si="182"/>
        <v>0</v>
      </c>
      <c r="BH143" s="1125">
        <f t="shared" si="183"/>
        <v>0</v>
      </c>
      <c r="BI143" s="1125">
        <f t="shared" si="184"/>
        <v>0</v>
      </c>
      <c r="BJ143" s="1125">
        <f t="shared" si="185"/>
        <v>0</v>
      </c>
      <c r="BK143" s="1125">
        <f t="shared" si="186"/>
        <v>1</v>
      </c>
      <c r="BL143" s="1125">
        <f t="shared" si="187"/>
        <v>1</v>
      </c>
      <c r="BM143" s="1125">
        <f t="shared" si="188"/>
        <v>1</v>
      </c>
      <c r="BN143" s="1125">
        <f t="shared" si="189"/>
        <v>1</v>
      </c>
      <c r="BO143" s="1125">
        <f t="shared" si="190"/>
        <v>1</v>
      </c>
      <c r="BP143" s="1125">
        <f t="shared" si="191"/>
        <v>1</v>
      </c>
      <c r="BQ143" s="1125">
        <f t="shared" si="192"/>
        <v>1</v>
      </c>
      <c r="BR143" s="1125">
        <f t="shared" si="193"/>
        <v>0</v>
      </c>
      <c r="BS143" s="1125">
        <f t="shared" si="194"/>
        <v>1</v>
      </c>
      <c r="BT143" s="1125">
        <f t="shared" si="195"/>
        <v>1</v>
      </c>
      <c r="BU143" s="1125">
        <f t="shared" si="196"/>
        <v>1</v>
      </c>
      <c r="BV143" s="1125">
        <f t="shared" si="197"/>
        <v>1</v>
      </c>
      <c r="BW143" s="1125">
        <f t="shared" si="198"/>
        <v>0</v>
      </c>
      <c r="BX143" s="1125">
        <f t="shared" si="199"/>
        <v>0</v>
      </c>
      <c r="BY143" s="1125">
        <f t="shared" si="200"/>
        <v>0</v>
      </c>
      <c r="BZ143" s="1125">
        <f t="shared" si="201"/>
        <v>0</v>
      </c>
      <c r="CA143" s="1125">
        <f t="shared" si="202"/>
        <v>0</v>
      </c>
      <c r="CB143" s="1125">
        <f t="shared" si="203"/>
        <v>0</v>
      </c>
      <c r="CC143" s="1125">
        <f t="shared" si="204"/>
        <v>1</v>
      </c>
      <c r="CD143" s="1125">
        <f t="shared" si="205"/>
        <v>1</v>
      </c>
      <c r="CE143" s="1125">
        <f t="shared" si="206"/>
        <v>1</v>
      </c>
      <c r="CF143" s="1125">
        <f t="shared" si="207"/>
        <v>0</v>
      </c>
      <c r="CG143" s="1125">
        <f t="shared" si="208"/>
        <v>0</v>
      </c>
      <c r="CH143" s="1125">
        <f t="shared" si="209"/>
        <v>0</v>
      </c>
      <c r="CI143" s="1125">
        <f t="shared" si="210"/>
        <v>0.85</v>
      </c>
      <c r="CJ143" s="1125">
        <f t="shared" si="211"/>
        <v>0.85</v>
      </c>
      <c r="CK143" s="1125">
        <f t="shared" si="212"/>
        <v>0.85</v>
      </c>
      <c r="CL143" s="1125">
        <f t="shared" si="213"/>
        <v>0.85</v>
      </c>
      <c r="CM143" s="1125">
        <f t="shared" si="214"/>
        <v>0.85</v>
      </c>
      <c r="CN143" s="1125">
        <f t="shared" si="215"/>
        <v>0.85</v>
      </c>
      <c r="CO143" s="1125">
        <f t="shared" si="216"/>
        <v>0.85</v>
      </c>
      <c r="CP143" s="1125">
        <f t="shared" si="217"/>
        <v>0.7</v>
      </c>
      <c r="CQ143" s="1125">
        <f t="shared" si="218"/>
        <v>0.85</v>
      </c>
      <c r="CR143" s="1125">
        <f t="shared" si="219"/>
        <v>0.85</v>
      </c>
      <c r="CS143" s="1125">
        <f t="shared" si="220"/>
        <v>0.85</v>
      </c>
      <c r="CT143" s="1125">
        <f t="shared" si="221"/>
        <v>0.85</v>
      </c>
      <c r="CU143" s="1125">
        <v>1</v>
      </c>
      <c r="CV143" s="1125"/>
      <c r="CW143" s="1125">
        <f t="shared" si="222"/>
        <v>92</v>
      </c>
      <c r="CX143" s="1125">
        <f t="shared" si="223"/>
        <v>273</v>
      </c>
      <c r="CY143" s="1136" t="s">
        <v>4879</v>
      </c>
      <c r="CZ143" s="1129">
        <v>7</v>
      </c>
      <c r="DA143" s="1129"/>
      <c r="DB143" s="1129"/>
      <c r="DC143" s="1125" t="s">
        <v>5287</v>
      </c>
      <c r="DD143" s="1125" t="s">
        <v>903</v>
      </c>
      <c r="DE143" s="1120" t="str">
        <f t="shared" si="224"/>
        <v/>
      </c>
      <c r="DF143" s="1133">
        <v>0</v>
      </c>
      <c r="DG143" s="1125">
        <v>0</v>
      </c>
    </row>
    <row r="144" spans="1:111">
      <c r="A144" s="1120" t="s">
        <v>3086</v>
      </c>
      <c r="B144" s="1125" t="s">
        <v>4070</v>
      </c>
      <c r="C144" s="1125" t="s">
        <v>4071</v>
      </c>
      <c r="D144" s="1125" t="s">
        <v>538</v>
      </c>
      <c r="E144" s="1125">
        <v>3231</v>
      </c>
      <c r="F144" s="1125">
        <v>-104.27</v>
      </c>
      <c r="G144" s="1125">
        <v>32.33</v>
      </c>
      <c r="H144" s="1125">
        <v>-7</v>
      </c>
      <c r="I144" s="1126">
        <v>24.259999656677245</v>
      </c>
      <c r="J144" s="1126">
        <v>99.679997253417966</v>
      </c>
      <c r="K144" s="1127">
        <v>65.66000137329101</v>
      </c>
      <c r="L144" s="1125">
        <v>2770.2000000000003</v>
      </c>
      <c r="M144" s="1125">
        <v>2399.4</v>
      </c>
      <c r="N144" s="1128">
        <v>39.920000171661378</v>
      </c>
      <c r="O144" s="1128">
        <v>47.119999313354491</v>
      </c>
      <c r="P144" s="1128">
        <v>53.419999313354495</v>
      </c>
      <c r="Q144" s="1128">
        <v>61.519999313354496</v>
      </c>
      <c r="R144" s="1128">
        <v>76.280000686645508</v>
      </c>
      <c r="S144" s="1128">
        <v>79.880000686645502</v>
      </c>
      <c r="T144" s="1128">
        <v>82.760001373291018</v>
      </c>
      <c r="U144" s="1128">
        <v>82.580000686645505</v>
      </c>
      <c r="V144" s="1128">
        <v>72.5</v>
      </c>
      <c r="W144" s="1128">
        <v>63.5</v>
      </c>
      <c r="X144" s="1128">
        <v>56.480000686645511</v>
      </c>
      <c r="Y144" s="1128">
        <v>43.52000017166138</v>
      </c>
      <c r="Z144" s="1128">
        <v>63.375726235272133</v>
      </c>
      <c r="AA144" s="1128">
        <f t="shared" si="150"/>
        <v>57.114416320248203</v>
      </c>
      <c r="AB144" s="1128">
        <f t="shared" si="151"/>
        <v>57.044658784793882</v>
      </c>
      <c r="AC144" s="1128">
        <f t="shared" si="152"/>
        <v>60.189184007808208</v>
      </c>
      <c r="AD144" s="1128">
        <f t="shared" si="153"/>
        <v>65.728323031311987</v>
      </c>
      <c r="AE144" s="1128">
        <f t="shared" si="154"/>
        <v>72.218213908112773</v>
      </c>
      <c r="AF144" s="1128">
        <f t="shared" si="155"/>
        <v>77.967166568926658</v>
      </c>
      <c r="AG144" s="1128">
        <f t="shared" si="156"/>
        <v>81.476627908670309</v>
      </c>
      <c r="AH144" s="1128">
        <f t="shared" si="157"/>
        <v>81.831802746703204</v>
      </c>
      <c r="AI144" s="1128">
        <f t="shared" si="158"/>
        <v>78.940109288082169</v>
      </c>
      <c r="AJ144" s="1128">
        <f t="shared" si="159"/>
        <v>73.555311995141849</v>
      </c>
      <c r="AK144" s="1128">
        <f t="shared" si="160"/>
        <v>67.081041264525282</v>
      </c>
      <c r="AL144" s="1128">
        <f t="shared" si="161"/>
        <v>61.204915533699669</v>
      </c>
      <c r="AM144" s="1125">
        <f t="shared" si="162"/>
        <v>1</v>
      </c>
      <c r="AN144" s="1125">
        <f t="shared" si="163"/>
        <v>1</v>
      </c>
      <c r="AO144" s="1125">
        <f t="shared" si="164"/>
        <v>1</v>
      </c>
      <c r="AP144" s="1125">
        <f t="shared" si="165"/>
        <v>1</v>
      </c>
      <c r="AQ144" s="1125">
        <f t="shared" si="166"/>
        <v>0</v>
      </c>
      <c r="AR144" s="1125">
        <f t="shared" si="167"/>
        <v>0</v>
      </c>
      <c r="AS144" s="1125">
        <f t="shared" si="168"/>
        <v>0</v>
      </c>
      <c r="AT144" s="1125">
        <f t="shared" si="169"/>
        <v>0</v>
      </c>
      <c r="AU144" s="1125">
        <f t="shared" si="170"/>
        <v>0</v>
      </c>
      <c r="AV144" s="1125">
        <f t="shared" si="171"/>
        <v>1</v>
      </c>
      <c r="AW144" s="1125">
        <f t="shared" si="172"/>
        <v>1</v>
      </c>
      <c r="AX144" s="1125">
        <f t="shared" si="173"/>
        <v>1</v>
      </c>
      <c r="AY144" s="1125">
        <f t="shared" si="174"/>
        <v>0</v>
      </c>
      <c r="AZ144" s="1125">
        <f t="shared" si="175"/>
        <v>0</v>
      </c>
      <c r="BA144" s="1125">
        <f t="shared" si="176"/>
        <v>0</v>
      </c>
      <c r="BB144" s="1125">
        <f t="shared" si="177"/>
        <v>0</v>
      </c>
      <c r="BC144" s="1125">
        <f t="shared" si="178"/>
        <v>1</v>
      </c>
      <c r="BD144" s="1125">
        <f t="shared" si="179"/>
        <v>1</v>
      </c>
      <c r="BE144" s="1125">
        <f t="shared" si="180"/>
        <v>1</v>
      </c>
      <c r="BF144" s="1125">
        <f t="shared" si="181"/>
        <v>1</v>
      </c>
      <c r="BG144" s="1125">
        <f t="shared" si="182"/>
        <v>1</v>
      </c>
      <c r="BH144" s="1125">
        <f t="shared" si="183"/>
        <v>0</v>
      </c>
      <c r="BI144" s="1125">
        <f t="shared" si="184"/>
        <v>0</v>
      </c>
      <c r="BJ144" s="1125">
        <f t="shared" si="185"/>
        <v>0</v>
      </c>
      <c r="BK144" s="1125">
        <f t="shared" si="186"/>
        <v>1</v>
      </c>
      <c r="BL144" s="1125">
        <f t="shared" si="187"/>
        <v>1</v>
      </c>
      <c r="BM144" s="1125">
        <f t="shared" si="188"/>
        <v>1</v>
      </c>
      <c r="BN144" s="1125">
        <f t="shared" si="189"/>
        <v>1</v>
      </c>
      <c r="BO144" s="1125">
        <f t="shared" si="190"/>
        <v>1</v>
      </c>
      <c r="BP144" s="1125">
        <f t="shared" si="191"/>
        <v>0</v>
      </c>
      <c r="BQ144" s="1125">
        <f t="shared" si="192"/>
        <v>0</v>
      </c>
      <c r="BR144" s="1125">
        <f t="shared" si="193"/>
        <v>0</v>
      </c>
      <c r="BS144" s="1125">
        <f t="shared" si="194"/>
        <v>0</v>
      </c>
      <c r="BT144" s="1125">
        <f t="shared" si="195"/>
        <v>1</v>
      </c>
      <c r="BU144" s="1125">
        <f t="shared" si="196"/>
        <v>1</v>
      </c>
      <c r="BV144" s="1125">
        <f t="shared" si="197"/>
        <v>1</v>
      </c>
      <c r="BW144" s="1125">
        <f t="shared" si="198"/>
        <v>0</v>
      </c>
      <c r="BX144" s="1125">
        <f t="shared" si="199"/>
        <v>0</v>
      </c>
      <c r="BY144" s="1125">
        <f t="shared" si="200"/>
        <v>0</v>
      </c>
      <c r="BZ144" s="1125">
        <f t="shared" si="201"/>
        <v>1</v>
      </c>
      <c r="CA144" s="1125">
        <f t="shared" si="202"/>
        <v>1</v>
      </c>
      <c r="CB144" s="1125">
        <f t="shared" si="203"/>
        <v>1</v>
      </c>
      <c r="CC144" s="1125">
        <f t="shared" si="204"/>
        <v>1</v>
      </c>
      <c r="CD144" s="1125">
        <f t="shared" si="205"/>
        <v>1</v>
      </c>
      <c r="CE144" s="1125">
        <f t="shared" si="206"/>
        <v>1</v>
      </c>
      <c r="CF144" s="1125">
        <f t="shared" si="207"/>
        <v>1</v>
      </c>
      <c r="CG144" s="1125">
        <f t="shared" si="208"/>
        <v>0</v>
      </c>
      <c r="CH144" s="1125">
        <f t="shared" si="209"/>
        <v>0</v>
      </c>
      <c r="CI144" s="1125">
        <f t="shared" si="210"/>
        <v>0.85</v>
      </c>
      <c r="CJ144" s="1125">
        <f t="shared" si="211"/>
        <v>0.85</v>
      </c>
      <c r="CK144" s="1125">
        <f t="shared" si="212"/>
        <v>0.85</v>
      </c>
      <c r="CL144" s="1125">
        <f t="shared" si="213"/>
        <v>0.85</v>
      </c>
      <c r="CM144" s="1125">
        <f t="shared" si="214"/>
        <v>0.85</v>
      </c>
      <c r="CN144" s="1125">
        <f t="shared" si="215"/>
        <v>0.7</v>
      </c>
      <c r="CO144" s="1125">
        <f t="shared" si="216"/>
        <v>0.7</v>
      </c>
      <c r="CP144" s="1125">
        <f t="shared" si="217"/>
        <v>0.7</v>
      </c>
      <c r="CQ144" s="1125">
        <f t="shared" si="218"/>
        <v>0.7</v>
      </c>
      <c r="CR144" s="1125">
        <f t="shared" si="219"/>
        <v>0.85</v>
      </c>
      <c r="CS144" s="1125">
        <f t="shared" si="220"/>
        <v>0.85</v>
      </c>
      <c r="CT144" s="1125">
        <f t="shared" si="221"/>
        <v>0.85</v>
      </c>
      <c r="CU144" s="1125">
        <v>1</v>
      </c>
      <c r="CV144" s="1125"/>
      <c r="CW144" s="1125">
        <f t="shared" si="222"/>
        <v>214</v>
      </c>
      <c r="CX144" s="1125">
        <f t="shared" si="223"/>
        <v>151</v>
      </c>
      <c r="CY144" s="1135" t="s">
        <v>4886</v>
      </c>
      <c r="CZ144" s="1124" t="s">
        <v>4888</v>
      </c>
      <c r="DA144" s="1124"/>
      <c r="DB144" s="1124"/>
      <c r="DC144" s="1120" t="s">
        <v>5447</v>
      </c>
      <c r="DD144" s="1120" t="s">
        <v>538</v>
      </c>
      <c r="DE144" s="1120" t="str">
        <f t="shared" si="224"/>
        <v/>
      </c>
      <c r="DF144" s="1133">
        <v>1</v>
      </c>
      <c r="DG144" s="1120">
        <v>0</v>
      </c>
    </row>
    <row r="145" spans="1:111">
      <c r="A145" s="1125" t="s">
        <v>3110</v>
      </c>
      <c r="B145" s="1120" t="s">
        <v>3100</v>
      </c>
      <c r="C145" s="1120" t="s">
        <v>3101</v>
      </c>
      <c r="D145" s="1120" t="s">
        <v>954</v>
      </c>
      <c r="E145" s="1120">
        <v>328</v>
      </c>
      <c r="F145" s="1120">
        <v>-117.28</v>
      </c>
      <c r="G145" s="1120">
        <v>33.130000000000003</v>
      </c>
      <c r="H145" s="1120">
        <v>-8</v>
      </c>
      <c r="I145" s="1121">
        <v>44.959999656677248</v>
      </c>
      <c r="J145" s="1121">
        <v>79.33999862670899</v>
      </c>
      <c r="K145" s="1122">
        <v>64.219999313354492</v>
      </c>
      <c r="L145" s="1120">
        <v>1728</v>
      </c>
      <c r="M145" s="1120">
        <v>230.4</v>
      </c>
      <c r="N145" s="1123">
        <v>55.940000343322751</v>
      </c>
      <c r="O145" s="1123">
        <v>56.480000686645511</v>
      </c>
      <c r="P145" s="1123">
        <v>57.380000686645509</v>
      </c>
      <c r="Q145" s="1123">
        <v>56.840000343322757</v>
      </c>
      <c r="R145" s="1123">
        <v>59.9</v>
      </c>
      <c r="S145" s="1123">
        <v>62.960001373291014</v>
      </c>
      <c r="T145" s="1123">
        <v>66.560001373291016</v>
      </c>
      <c r="U145" s="1123">
        <v>67.099999999999994</v>
      </c>
      <c r="V145" s="1123">
        <v>65.66000137329101</v>
      </c>
      <c r="W145" s="1123">
        <v>61.339998626708983</v>
      </c>
      <c r="X145" s="1123">
        <v>57.019999313354489</v>
      </c>
      <c r="Y145" s="1123">
        <v>56.119999313354491</v>
      </c>
      <c r="Z145" s="1123">
        <v>60.302411238265364</v>
      </c>
      <c r="AA145" s="1123">
        <f t="shared" si="150"/>
        <v>63.321972309085361</v>
      </c>
      <c r="AB145" s="1123">
        <f t="shared" si="151"/>
        <v>63.219976422127552</v>
      </c>
      <c r="AC145" s="1123">
        <f t="shared" si="152"/>
        <v>63.921464671754443</v>
      </c>
      <c r="AD145" s="1123">
        <f t="shared" si="153"/>
        <v>65.243583335439638</v>
      </c>
      <c r="AE145" s="1123">
        <f t="shared" si="154"/>
        <v>66.841701809028251</v>
      </c>
      <c r="AF145" s="1123">
        <f t="shared" si="155"/>
        <v>68.299245884628263</v>
      </c>
      <c r="AG145" s="1123">
        <f t="shared" si="156"/>
        <v>69.236284237500413</v>
      </c>
      <c r="AH145" s="1123">
        <f t="shared" si="157"/>
        <v>69.408563380770474</v>
      </c>
      <c r="AI145" s="1123">
        <f t="shared" si="158"/>
        <v>68.771176100843121</v>
      </c>
      <c r="AJ145" s="1123">
        <f t="shared" si="159"/>
        <v>67.490267214666744</v>
      </c>
      <c r="AK145" s="1123">
        <f t="shared" si="160"/>
        <v>65.899725362826644</v>
      </c>
      <c r="AL145" s="1123">
        <f t="shared" si="161"/>
        <v>64.414149789996827</v>
      </c>
      <c r="AM145" s="1120">
        <f t="shared" si="162"/>
        <v>1</v>
      </c>
      <c r="AN145" s="1120">
        <f t="shared" si="163"/>
        <v>1</v>
      </c>
      <c r="AO145" s="1120">
        <f t="shared" si="164"/>
        <v>1</v>
      </c>
      <c r="AP145" s="1120">
        <f t="shared" si="165"/>
        <v>1</v>
      </c>
      <c r="AQ145" s="1120">
        <f t="shared" si="166"/>
        <v>1</v>
      </c>
      <c r="AR145" s="1120">
        <f t="shared" si="167"/>
        <v>1</v>
      </c>
      <c r="AS145" s="1120">
        <f t="shared" si="168"/>
        <v>0</v>
      </c>
      <c r="AT145" s="1120">
        <f t="shared" si="169"/>
        <v>0</v>
      </c>
      <c r="AU145" s="1120">
        <f t="shared" si="170"/>
        <v>1</v>
      </c>
      <c r="AV145" s="1120">
        <f t="shared" si="171"/>
        <v>1</v>
      </c>
      <c r="AW145" s="1120">
        <f t="shared" si="172"/>
        <v>1</v>
      </c>
      <c r="AX145" s="1120">
        <f t="shared" si="173"/>
        <v>1</v>
      </c>
      <c r="AY145" s="1120">
        <f t="shared" si="174"/>
        <v>0</v>
      </c>
      <c r="AZ145" s="1120">
        <f t="shared" si="175"/>
        <v>0</v>
      </c>
      <c r="BA145" s="1120">
        <f t="shared" si="176"/>
        <v>0</v>
      </c>
      <c r="BB145" s="1120">
        <f t="shared" si="177"/>
        <v>0</v>
      </c>
      <c r="BC145" s="1120">
        <f t="shared" si="178"/>
        <v>0</v>
      </c>
      <c r="BD145" s="1120">
        <f t="shared" si="179"/>
        <v>0</v>
      </c>
      <c r="BE145" s="1120">
        <f t="shared" si="180"/>
        <v>1</v>
      </c>
      <c r="BF145" s="1120">
        <f t="shared" si="181"/>
        <v>1</v>
      </c>
      <c r="BG145" s="1120">
        <f t="shared" si="182"/>
        <v>0</v>
      </c>
      <c r="BH145" s="1120">
        <f t="shared" si="183"/>
        <v>0</v>
      </c>
      <c r="BI145" s="1120">
        <f t="shared" si="184"/>
        <v>0</v>
      </c>
      <c r="BJ145" s="1120">
        <f t="shared" si="185"/>
        <v>0</v>
      </c>
      <c r="BK145" s="1120">
        <f t="shared" si="186"/>
        <v>1</v>
      </c>
      <c r="BL145" s="1120">
        <f t="shared" si="187"/>
        <v>1</v>
      </c>
      <c r="BM145" s="1120">
        <f t="shared" si="188"/>
        <v>1</v>
      </c>
      <c r="BN145" s="1120">
        <f t="shared" si="189"/>
        <v>1</v>
      </c>
      <c r="BO145" s="1120">
        <f t="shared" si="190"/>
        <v>1</v>
      </c>
      <c r="BP145" s="1120">
        <f t="shared" si="191"/>
        <v>1</v>
      </c>
      <c r="BQ145" s="1120">
        <f t="shared" si="192"/>
        <v>1</v>
      </c>
      <c r="BR145" s="1120">
        <f t="shared" si="193"/>
        <v>0</v>
      </c>
      <c r="BS145" s="1120">
        <f t="shared" si="194"/>
        <v>1</v>
      </c>
      <c r="BT145" s="1120">
        <f t="shared" si="195"/>
        <v>1</v>
      </c>
      <c r="BU145" s="1120">
        <f t="shared" si="196"/>
        <v>1</v>
      </c>
      <c r="BV145" s="1120">
        <f t="shared" si="197"/>
        <v>1</v>
      </c>
      <c r="BW145" s="1120">
        <f t="shared" si="198"/>
        <v>0</v>
      </c>
      <c r="BX145" s="1120">
        <f t="shared" si="199"/>
        <v>0</v>
      </c>
      <c r="BY145" s="1120">
        <f t="shared" si="200"/>
        <v>0</v>
      </c>
      <c r="BZ145" s="1120">
        <f t="shared" si="201"/>
        <v>0</v>
      </c>
      <c r="CA145" s="1120">
        <f t="shared" si="202"/>
        <v>0</v>
      </c>
      <c r="CB145" s="1120">
        <f t="shared" si="203"/>
        <v>1</v>
      </c>
      <c r="CC145" s="1120">
        <f t="shared" si="204"/>
        <v>1</v>
      </c>
      <c r="CD145" s="1120">
        <f t="shared" si="205"/>
        <v>1</v>
      </c>
      <c r="CE145" s="1120">
        <f t="shared" si="206"/>
        <v>1</v>
      </c>
      <c r="CF145" s="1120">
        <f t="shared" si="207"/>
        <v>0</v>
      </c>
      <c r="CG145" s="1120">
        <f t="shared" si="208"/>
        <v>0</v>
      </c>
      <c r="CH145" s="1120">
        <f t="shared" si="209"/>
        <v>0</v>
      </c>
      <c r="CI145" s="1120">
        <f t="shared" si="210"/>
        <v>0.85</v>
      </c>
      <c r="CJ145" s="1120">
        <f t="shared" si="211"/>
        <v>0.85</v>
      </c>
      <c r="CK145" s="1120">
        <f t="shared" si="212"/>
        <v>0.85</v>
      </c>
      <c r="CL145" s="1120">
        <f t="shared" si="213"/>
        <v>0.85</v>
      </c>
      <c r="CM145" s="1120">
        <f t="shared" si="214"/>
        <v>0.85</v>
      </c>
      <c r="CN145" s="1120">
        <f t="shared" si="215"/>
        <v>0.85</v>
      </c>
      <c r="CO145" s="1120">
        <f t="shared" si="216"/>
        <v>0.85</v>
      </c>
      <c r="CP145" s="1120">
        <f t="shared" si="217"/>
        <v>0.7</v>
      </c>
      <c r="CQ145" s="1120">
        <f t="shared" si="218"/>
        <v>0.85</v>
      </c>
      <c r="CR145" s="1120">
        <f t="shared" si="219"/>
        <v>0.85</v>
      </c>
      <c r="CS145" s="1120">
        <f t="shared" si="220"/>
        <v>0.85</v>
      </c>
      <c r="CT145" s="1120">
        <f t="shared" si="221"/>
        <v>0.85</v>
      </c>
      <c r="CU145" s="1120">
        <v>1</v>
      </c>
      <c r="CV145" s="1120"/>
      <c r="CW145" s="1120">
        <f t="shared" si="222"/>
        <v>122</v>
      </c>
      <c r="CX145" s="1120">
        <f t="shared" si="223"/>
        <v>243</v>
      </c>
      <c r="CY145" s="1135" t="s">
        <v>4886</v>
      </c>
      <c r="CZ145" s="1124" t="s">
        <v>4888</v>
      </c>
      <c r="DA145" s="1124"/>
      <c r="DB145" s="1124"/>
      <c r="DC145" s="1120" t="s">
        <v>5943</v>
      </c>
      <c r="DD145" s="1120" t="s">
        <v>954</v>
      </c>
      <c r="DE145" s="1120" t="str">
        <f t="shared" si="224"/>
        <v/>
      </c>
      <c r="DF145" s="1120">
        <v>1</v>
      </c>
      <c r="DG145" s="1125">
        <v>0</v>
      </c>
    </row>
    <row r="146" spans="1:111">
      <c r="A146" s="1120" t="s">
        <v>3114</v>
      </c>
      <c r="B146" s="1120" t="s">
        <v>3412</v>
      </c>
      <c r="C146" s="1120" t="s">
        <v>3413</v>
      </c>
      <c r="D146" s="1120" t="s">
        <v>566</v>
      </c>
      <c r="E146" s="1120">
        <v>1230</v>
      </c>
      <c r="F146" s="1120">
        <v>-94.78</v>
      </c>
      <c r="G146" s="1120">
        <v>42.05</v>
      </c>
      <c r="H146" s="1120">
        <v>-6</v>
      </c>
      <c r="I146" s="1121">
        <v>-0.21999931335449299</v>
      </c>
      <c r="J146" s="1121">
        <v>90.679997253417966</v>
      </c>
      <c r="K146" s="1122">
        <v>76.639998626708987</v>
      </c>
      <c r="L146" s="1120">
        <v>6670.8</v>
      </c>
      <c r="M146" s="1120">
        <v>948.6</v>
      </c>
      <c r="N146" s="1123">
        <v>20.3</v>
      </c>
      <c r="O146" s="1123">
        <v>20.659999656677247</v>
      </c>
      <c r="P146" s="1123">
        <v>45.140000343322754</v>
      </c>
      <c r="Q146" s="1123">
        <v>50</v>
      </c>
      <c r="R146" s="1123">
        <v>57.740000343322755</v>
      </c>
      <c r="S146" s="1123">
        <v>71.419999313354495</v>
      </c>
      <c r="T146" s="1123">
        <v>73.039998626708979</v>
      </c>
      <c r="U146" s="1123">
        <v>73.039998626708979</v>
      </c>
      <c r="V146" s="1123">
        <v>66.560001373291016</v>
      </c>
      <c r="W146" s="1123">
        <v>52.159999656677243</v>
      </c>
      <c r="X146" s="1123">
        <v>32</v>
      </c>
      <c r="Y146" s="1123">
        <v>20.479999828338624</v>
      </c>
      <c r="Z146" s="1123">
        <v>48.703506660722709</v>
      </c>
      <c r="AA146" s="1123">
        <f t="shared" si="150"/>
        <v>44.481419826761289</v>
      </c>
      <c r="AB146" s="1123">
        <f t="shared" si="151"/>
        <v>42.915345708533792</v>
      </c>
      <c r="AC146" s="1123">
        <f t="shared" si="152"/>
        <v>44.422037403553432</v>
      </c>
      <c r="AD146" s="1123">
        <f t="shared" si="153"/>
        <v>48.608752502691509</v>
      </c>
      <c r="AE146" s="1123">
        <f t="shared" si="154"/>
        <v>54.384159196125019</v>
      </c>
      <c r="AF146" s="1123">
        <f t="shared" si="155"/>
        <v>60.242808727499309</v>
      </c>
      <c r="AG146" s="1123">
        <f t="shared" si="156"/>
        <v>64.657553811939522</v>
      </c>
      <c r="AH146" s="1123">
        <f t="shared" si="157"/>
        <v>66.477623109905181</v>
      </c>
      <c r="AI146" s="1123">
        <f t="shared" si="158"/>
        <v>65.228587510764669</v>
      </c>
      <c r="AJ146" s="1123">
        <f t="shared" si="159"/>
        <v>61.236027391655185</v>
      </c>
      <c r="AK146" s="1123">
        <f t="shared" si="160"/>
        <v>55.540665074836454</v>
      </c>
      <c r="AL146" s="1123">
        <f t="shared" si="161"/>
        <v>49.627084516377295</v>
      </c>
      <c r="AM146" s="1120">
        <f t="shared" si="162"/>
        <v>1</v>
      </c>
      <c r="AN146" s="1120">
        <f t="shared" si="163"/>
        <v>1</v>
      </c>
      <c r="AO146" s="1120">
        <f t="shared" si="164"/>
        <v>1</v>
      </c>
      <c r="AP146" s="1120">
        <f t="shared" si="165"/>
        <v>1</v>
      </c>
      <c r="AQ146" s="1120">
        <f t="shared" si="166"/>
        <v>1</v>
      </c>
      <c r="AR146" s="1120">
        <f t="shared" si="167"/>
        <v>0</v>
      </c>
      <c r="AS146" s="1120">
        <f t="shared" si="168"/>
        <v>0</v>
      </c>
      <c r="AT146" s="1120">
        <f t="shared" si="169"/>
        <v>0</v>
      </c>
      <c r="AU146" s="1120">
        <f t="shared" si="170"/>
        <v>0</v>
      </c>
      <c r="AV146" s="1120">
        <f t="shared" si="171"/>
        <v>1</v>
      </c>
      <c r="AW146" s="1120">
        <f t="shared" si="172"/>
        <v>1</v>
      </c>
      <c r="AX146" s="1120">
        <f t="shared" si="173"/>
        <v>1</v>
      </c>
      <c r="AY146" s="1120">
        <f t="shared" si="174"/>
        <v>0</v>
      </c>
      <c r="AZ146" s="1120">
        <f t="shared" si="175"/>
        <v>0</v>
      </c>
      <c r="BA146" s="1120">
        <f t="shared" si="176"/>
        <v>0</v>
      </c>
      <c r="BB146" s="1120">
        <f t="shared" si="177"/>
        <v>0</v>
      </c>
      <c r="BC146" s="1120">
        <f t="shared" si="178"/>
        <v>0</v>
      </c>
      <c r="BD146" s="1120">
        <f t="shared" si="179"/>
        <v>1</v>
      </c>
      <c r="BE146" s="1120">
        <f t="shared" si="180"/>
        <v>1</v>
      </c>
      <c r="BF146" s="1120">
        <f t="shared" si="181"/>
        <v>1</v>
      </c>
      <c r="BG146" s="1120">
        <f t="shared" si="182"/>
        <v>1</v>
      </c>
      <c r="BH146" s="1120">
        <f t="shared" si="183"/>
        <v>0</v>
      </c>
      <c r="BI146" s="1120">
        <f t="shared" si="184"/>
        <v>0</v>
      </c>
      <c r="BJ146" s="1120">
        <f t="shared" si="185"/>
        <v>0</v>
      </c>
      <c r="BK146" s="1120">
        <f t="shared" si="186"/>
        <v>1</v>
      </c>
      <c r="BL146" s="1120">
        <f t="shared" si="187"/>
        <v>1</v>
      </c>
      <c r="BM146" s="1120">
        <f t="shared" si="188"/>
        <v>1</v>
      </c>
      <c r="BN146" s="1120">
        <f t="shared" si="189"/>
        <v>1</v>
      </c>
      <c r="BO146" s="1120">
        <f t="shared" si="190"/>
        <v>1</v>
      </c>
      <c r="BP146" s="1120">
        <f t="shared" si="191"/>
        <v>1</v>
      </c>
      <c r="BQ146" s="1120">
        <f t="shared" si="192"/>
        <v>0</v>
      </c>
      <c r="BR146" s="1120">
        <f t="shared" si="193"/>
        <v>0</v>
      </c>
      <c r="BS146" s="1120">
        <f t="shared" si="194"/>
        <v>0</v>
      </c>
      <c r="BT146" s="1120">
        <f t="shared" si="195"/>
        <v>1</v>
      </c>
      <c r="BU146" s="1120">
        <f t="shared" si="196"/>
        <v>1</v>
      </c>
      <c r="BV146" s="1120">
        <f t="shared" si="197"/>
        <v>1</v>
      </c>
      <c r="BW146" s="1120">
        <f t="shared" si="198"/>
        <v>0</v>
      </c>
      <c r="BX146" s="1120">
        <f t="shared" si="199"/>
        <v>0</v>
      </c>
      <c r="BY146" s="1120">
        <f t="shared" si="200"/>
        <v>0</v>
      </c>
      <c r="BZ146" s="1120">
        <f t="shared" si="201"/>
        <v>0</v>
      </c>
      <c r="CA146" s="1120">
        <f t="shared" si="202"/>
        <v>1</v>
      </c>
      <c r="CB146" s="1120">
        <f t="shared" si="203"/>
        <v>1</v>
      </c>
      <c r="CC146" s="1120">
        <f t="shared" si="204"/>
        <v>1</v>
      </c>
      <c r="CD146" s="1120">
        <f t="shared" si="205"/>
        <v>1</v>
      </c>
      <c r="CE146" s="1120">
        <f t="shared" si="206"/>
        <v>1</v>
      </c>
      <c r="CF146" s="1120">
        <f t="shared" si="207"/>
        <v>1</v>
      </c>
      <c r="CG146" s="1120">
        <f t="shared" si="208"/>
        <v>0</v>
      </c>
      <c r="CH146" s="1120">
        <f t="shared" si="209"/>
        <v>0</v>
      </c>
      <c r="CI146" s="1120">
        <f t="shared" si="210"/>
        <v>0.85</v>
      </c>
      <c r="CJ146" s="1120">
        <f t="shared" si="211"/>
        <v>0.85</v>
      </c>
      <c r="CK146" s="1120">
        <f t="shared" si="212"/>
        <v>0.85</v>
      </c>
      <c r="CL146" s="1120">
        <f t="shared" si="213"/>
        <v>0.85</v>
      </c>
      <c r="CM146" s="1120">
        <f t="shared" si="214"/>
        <v>0.85</v>
      </c>
      <c r="CN146" s="1120">
        <f t="shared" si="215"/>
        <v>0.85</v>
      </c>
      <c r="CO146" s="1120">
        <f t="shared" si="216"/>
        <v>0.7</v>
      </c>
      <c r="CP146" s="1120">
        <f t="shared" si="217"/>
        <v>0.7</v>
      </c>
      <c r="CQ146" s="1120">
        <f t="shared" si="218"/>
        <v>0.7</v>
      </c>
      <c r="CR146" s="1120">
        <f t="shared" si="219"/>
        <v>0.85</v>
      </c>
      <c r="CS146" s="1120">
        <f t="shared" si="220"/>
        <v>0.85</v>
      </c>
      <c r="CT146" s="1120">
        <f t="shared" si="221"/>
        <v>0.85</v>
      </c>
      <c r="CU146" s="1120">
        <v>1</v>
      </c>
      <c r="CV146" s="1120"/>
      <c r="CW146" s="1120">
        <f t="shared" si="222"/>
        <v>184</v>
      </c>
      <c r="CX146" s="1120">
        <f t="shared" si="223"/>
        <v>181</v>
      </c>
      <c r="CY146" s="1135" t="s">
        <v>4889</v>
      </c>
      <c r="CZ146" s="1124" t="s">
        <v>4897</v>
      </c>
      <c r="DA146" s="1124"/>
      <c r="DB146" s="1124"/>
      <c r="DC146" s="1120" t="s">
        <v>5161</v>
      </c>
      <c r="DD146" s="1120" t="s">
        <v>566</v>
      </c>
      <c r="DE146" s="1120" t="str">
        <f t="shared" si="224"/>
        <v/>
      </c>
      <c r="DF146" s="1133">
        <v>0</v>
      </c>
      <c r="DG146" s="1120">
        <v>0</v>
      </c>
    </row>
    <row r="147" spans="1:111">
      <c r="A147" s="1125" t="s">
        <v>3116</v>
      </c>
      <c r="B147" s="1120" t="s">
        <v>5812</v>
      </c>
      <c r="C147" s="1120" t="s">
        <v>5813</v>
      </c>
      <c r="D147" s="1120" t="s">
        <v>1250</v>
      </c>
      <c r="E147" s="1120">
        <v>1463</v>
      </c>
      <c r="F147" s="1120">
        <v>-111.77</v>
      </c>
      <c r="G147" s="1120">
        <v>32.950000000000003</v>
      </c>
      <c r="H147" s="1120">
        <v>-7</v>
      </c>
      <c r="I147" s="1121">
        <v>34.519999957084657</v>
      </c>
      <c r="J147" s="1121">
        <v>106.52000274658204</v>
      </c>
      <c r="K147" s="1122">
        <v>68.719999313354492</v>
      </c>
      <c r="L147" s="1120">
        <v>1474.2</v>
      </c>
      <c r="M147" s="1120">
        <v>4073.4</v>
      </c>
      <c r="N147" s="1123">
        <v>56.119999313354491</v>
      </c>
      <c r="O147" s="1123">
        <v>52.340000343322757</v>
      </c>
      <c r="P147" s="1123">
        <v>60.440000343322751</v>
      </c>
      <c r="Q147" s="1123">
        <v>71.780000686645508</v>
      </c>
      <c r="R147" s="1123">
        <v>80.419999313354495</v>
      </c>
      <c r="S147" s="1123">
        <v>88.519999313354489</v>
      </c>
      <c r="T147" s="1123">
        <v>92.83999862670899</v>
      </c>
      <c r="U147" s="1123">
        <v>90.860001373291013</v>
      </c>
      <c r="V147" s="1123">
        <v>86.9</v>
      </c>
      <c r="W147" s="1123">
        <v>69.619999313354498</v>
      </c>
      <c r="X147" s="1123">
        <v>56.480000686645511</v>
      </c>
      <c r="Y147" s="1123">
        <v>50.719999313354492</v>
      </c>
      <c r="Z147" s="1123">
        <v>71.527506727976345</v>
      </c>
      <c r="AA147" s="1123">
        <f t="shared" si="150"/>
        <v>63.423636227627057</v>
      </c>
      <c r="AB147" s="1123">
        <f t="shared" si="151"/>
        <v>64.361567253766566</v>
      </c>
      <c r="AC147" s="1123">
        <f t="shared" si="152"/>
        <v>68.731403297127684</v>
      </c>
      <c r="AD147" s="1123">
        <f t="shared" si="153"/>
        <v>75.394079251796498</v>
      </c>
      <c r="AE147" s="1123">
        <f t="shared" si="154"/>
        <v>82.612865955244175</v>
      </c>
      <c r="AF147" s="1123">
        <f t="shared" si="155"/>
        <v>88.506075408346632</v>
      </c>
      <c r="AG147" s="1123">
        <f t="shared" si="156"/>
        <v>91.537551750046021</v>
      </c>
      <c r="AH147" s="1123">
        <f t="shared" si="157"/>
        <v>90.91709395541389</v>
      </c>
      <c r="AI147" s="1123">
        <f t="shared" si="158"/>
        <v>86.806433910165126</v>
      </c>
      <c r="AJ147" s="1123">
        <f t="shared" si="159"/>
        <v>80.277078502282635</v>
      </c>
      <c r="AK147" s="1123">
        <f t="shared" si="160"/>
        <v>73.031004839243565</v>
      </c>
      <c r="AL147" s="1123">
        <f t="shared" si="161"/>
        <v>66.957013686694296</v>
      </c>
      <c r="AM147" s="1120">
        <f t="shared" si="162"/>
        <v>1</v>
      </c>
      <c r="AN147" s="1120">
        <f t="shared" si="163"/>
        <v>1</v>
      </c>
      <c r="AO147" s="1120">
        <f t="shared" si="164"/>
        <v>1</v>
      </c>
      <c r="AP147" s="1120">
        <f t="shared" si="165"/>
        <v>0</v>
      </c>
      <c r="AQ147" s="1120">
        <f t="shared" si="166"/>
        <v>0</v>
      </c>
      <c r="AR147" s="1120">
        <f t="shared" si="167"/>
        <v>0</v>
      </c>
      <c r="AS147" s="1120">
        <f t="shared" si="168"/>
        <v>0</v>
      </c>
      <c r="AT147" s="1120">
        <f t="shared" si="169"/>
        <v>0</v>
      </c>
      <c r="AU147" s="1120">
        <f t="shared" si="170"/>
        <v>0</v>
      </c>
      <c r="AV147" s="1120">
        <f t="shared" si="171"/>
        <v>0</v>
      </c>
      <c r="AW147" s="1120">
        <f t="shared" si="172"/>
        <v>1</v>
      </c>
      <c r="AX147" s="1120">
        <f t="shared" si="173"/>
        <v>1</v>
      </c>
      <c r="AY147" s="1120">
        <f t="shared" si="174"/>
        <v>0</v>
      </c>
      <c r="AZ147" s="1120">
        <f t="shared" si="175"/>
        <v>0</v>
      </c>
      <c r="BA147" s="1120">
        <f t="shared" si="176"/>
        <v>0</v>
      </c>
      <c r="BB147" s="1120">
        <f t="shared" si="177"/>
        <v>1</v>
      </c>
      <c r="BC147" s="1120">
        <f t="shared" si="178"/>
        <v>1</v>
      </c>
      <c r="BD147" s="1120">
        <f t="shared" si="179"/>
        <v>1</v>
      </c>
      <c r="BE147" s="1120">
        <f t="shared" si="180"/>
        <v>1</v>
      </c>
      <c r="BF147" s="1120">
        <f t="shared" si="181"/>
        <v>1</v>
      </c>
      <c r="BG147" s="1120">
        <f t="shared" si="182"/>
        <v>1</v>
      </c>
      <c r="BH147" s="1120">
        <f t="shared" si="183"/>
        <v>1</v>
      </c>
      <c r="BI147" s="1120">
        <f t="shared" si="184"/>
        <v>0</v>
      </c>
      <c r="BJ147" s="1120">
        <f t="shared" si="185"/>
        <v>0</v>
      </c>
      <c r="BK147" s="1120">
        <f t="shared" si="186"/>
        <v>1</v>
      </c>
      <c r="BL147" s="1120">
        <f t="shared" si="187"/>
        <v>1</v>
      </c>
      <c r="BM147" s="1120">
        <f t="shared" si="188"/>
        <v>1</v>
      </c>
      <c r="BN147" s="1120">
        <f t="shared" si="189"/>
        <v>1</v>
      </c>
      <c r="BO147" s="1120">
        <f t="shared" si="190"/>
        <v>0</v>
      </c>
      <c r="BP147" s="1120">
        <f t="shared" si="191"/>
        <v>0</v>
      </c>
      <c r="BQ147" s="1120">
        <f t="shared" si="192"/>
        <v>0</v>
      </c>
      <c r="BR147" s="1120">
        <f t="shared" si="193"/>
        <v>0</v>
      </c>
      <c r="BS147" s="1120">
        <f t="shared" si="194"/>
        <v>0</v>
      </c>
      <c r="BT147" s="1120">
        <f t="shared" si="195"/>
        <v>0</v>
      </c>
      <c r="BU147" s="1120">
        <f t="shared" si="196"/>
        <v>1</v>
      </c>
      <c r="BV147" s="1120">
        <f t="shared" si="197"/>
        <v>1</v>
      </c>
      <c r="BW147" s="1120">
        <f t="shared" si="198"/>
        <v>0</v>
      </c>
      <c r="BX147" s="1120">
        <f t="shared" si="199"/>
        <v>0</v>
      </c>
      <c r="BY147" s="1120">
        <f t="shared" si="200"/>
        <v>1</v>
      </c>
      <c r="BZ147" s="1120">
        <f t="shared" si="201"/>
        <v>1</v>
      </c>
      <c r="CA147" s="1120">
        <f t="shared" si="202"/>
        <v>1</v>
      </c>
      <c r="CB147" s="1120">
        <f t="shared" si="203"/>
        <v>1</v>
      </c>
      <c r="CC147" s="1120">
        <f t="shared" si="204"/>
        <v>1</v>
      </c>
      <c r="CD147" s="1120">
        <f t="shared" si="205"/>
        <v>1</v>
      </c>
      <c r="CE147" s="1120">
        <f t="shared" si="206"/>
        <v>1</v>
      </c>
      <c r="CF147" s="1120">
        <f t="shared" si="207"/>
        <v>1</v>
      </c>
      <c r="CG147" s="1120">
        <f t="shared" si="208"/>
        <v>1</v>
      </c>
      <c r="CH147" s="1120">
        <f t="shared" si="209"/>
        <v>0</v>
      </c>
      <c r="CI147" s="1120">
        <f t="shared" si="210"/>
        <v>0.85</v>
      </c>
      <c r="CJ147" s="1120">
        <f t="shared" si="211"/>
        <v>0.85</v>
      </c>
      <c r="CK147" s="1120">
        <f t="shared" si="212"/>
        <v>0.85</v>
      </c>
      <c r="CL147" s="1120">
        <f t="shared" si="213"/>
        <v>0.85</v>
      </c>
      <c r="CM147" s="1120">
        <f t="shared" si="214"/>
        <v>0.7</v>
      </c>
      <c r="CN147" s="1120">
        <f t="shared" si="215"/>
        <v>0.7</v>
      </c>
      <c r="CO147" s="1120">
        <f t="shared" si="216"/>
        <v>0.7</v>
      </c>
      <c r="CP147" s="1120">
        <f t="shared" si="217"/>
        <v>0.7</v>
      </c>
      <c r="CQ147" s="1120">
        <f t="shared" si="218"/>
        <v>0.7</v>
      </c>
      <c r="CR147" s="1120">
        <f t="shared" si="219"/>
        <v>0.7</v>
      </c>
      <c r="CS147" s="1120">
        <f t="shared" si="220"/>
        <v>0.85</v>
      </c>
      <c r="CT147" s="1120">
        <f t="shared" si="221"/>
        <v>0.85</v>
      </c>
      <c r="CU147" s="1120">
        <v>1</v>
      </c>
      <c r="CV147" s="1120"/>
      <c r="CW147" s="1120">
        <f t="shared" si="222"/>
        <v>275</v>
      </c>
      <c r="CX147" s="1120">
        <f t="shared" si="223"/>
        <v>90</v>
      </c>
      <c r="CY147" s="1135" t="s">
        <v>4886</v>
      </c>
      <c r="CZ147" s="1124" t="s">
        <v>4887</v>
      </c>
      <c r="DA147" s="1124"/>
      <c r="DB147" s="1124"/>
      <c r="DC147" s="1120" t="s">
        <v>5717</v>
      </c>
      <c r="DD147" s="1120" t="s">
        <v>1250</v>
      </c>
      <c r="DE147" s="1120" t="str">
        <f t="shared" si="224"/>
        <v/>
      </c>
      <c r="DF147" s="1120">
        <v>1</v>
      </c>
      <c r="DG147" s="1125">
        <v>0</v>
      </c>
    </row>
    <row r="148" spans="1:111">
      <c r="A148" s="1120" t="s">
        <v>3120</v>
      </c>
      <c r="B148" s="1120" t="s">
        <v>4665</v>
      </c>
      <c r="C148" s="1120" t="s">
        <v>4666</v>
      </c>
      <c r="D148" s="1120" t="s">
        <v>904</v>
      </c>
      <c r="E148" s="1120">
        <v>5337</v>
      </c>
      <c r="F148" s="1120">
        <v>-106.47</v>
      </c>
      <c r="G148" s="1120">
        <v>42.9</v>
      </c>
      <c r="H148" s="1120">
        <v>-7</v>
      </c>
      <c r="I148" s="1121">
        <v>-2.2000000000000011</v>
      </c>
      <c r="J148" s="1121">
        <v>91.039998626708993</v>
      </c>
      <c r="K148" s="1122">
        <v>59.180000686645506</v>
      </c>
      <c r="L148" s="1120">
        <v>7255.8</v>
      </c>
      <c r="M148" s="1120">
        <v>511.2</v>
      </c>
      <c r="N148" s="1123">
        <v>21.2</v>
      </c>
      <c r="O148" s="1123">
        <v>24.620000171661378</v>
      </c>
      <c r="P148" s="1123">
        <v>34.880000042915341</v>
      </c>
      <c r="Q148" s="1123">
        <v>44.959999656677248</v>
      </c>
      <c r="R148" s="1123">
        <v>49.459999656677248</v>
      </c>
      <c r="S148" s="1123">
        <v>63.5</v>
      </c>
      <c r="T148" s="1123">
        <v>71.780000686645508</v>
      </c>
      <c r="U148" s="1123">
        <v>68.719999313354492</v>
      </c>
      <c r="V148" s="1123">
        <v>60.440000343322751</v>
      </c>
      <c r="W148" s="1123">
        <v>47.840000343322757</v>
      </c>
      <c r="X148" s="1123">
        <v>33.980000042915343</v>
      </c>
      <c r="Y148" s="1123">
        <v>28.4</v>
      </c>
      <c r="Z148" s="1123">
        <v>45.935452075135217</v>
      </c>
      <c r="AA148" s="1123">
        <f t="shared" si="150"/>
        <v>43.001007399368277</v>
      </c>
      <c r="AB148" s="1123">
        <f t="shared" si="151"/>
        <v>41.344720970048407</v>
      </c>
      <c r="AC148" s="1123">
        <f t="shared" si="152"/>
        <v>42.449071811376008</v>
      </c>
      <c r="AD148" s="1123">
        <f t="shared" si="153"/>
        <v>46.026193857997434</v>
      </c>
      <c r="AE148" s="1123">
        <f t="shared" si="154"/>
        <v>51.143655123341446</v>
      </c>
      <c r="AF148" s="1123">
        <f t="shared" si="155"/>
        <v>56.467510466130882</v>
      </c>
      <c r="AG148" s="1123">
        <f t="shared" si="156"/>
        <v>60.610014948173422</v>
      </c>
      <c r="AH148" s="1123">
        <f t="shared" si="157"/>
        <v>62.491360938298243</v>
      </c>
      <c r="AI148" s="1123">
        <f t="shared" si="158"/>
        <v>61.621146611760018</v>
      </c>
      <c r="AJ148" s="1123">
        <f t="shared" si="159"/>
        <v>58.226206743179638</v>
      </c>
      <c r="AK148" s="1123">
        <f t="shared" si="160"/>
        <v>53.191484726909586</v>
      </c>
      <c r="AL148" s="1123">
        <f t="shared" si="161"/>
        <v>47.829358443905484</v>
      </c>
      <c r="AM148" s="1120">
        <f t="shared" si="162"/>
        <v>1</v>
      </c>
      <c r="AN148" s="1120">
        <f t="shared" si="163"/>
        <v>1</v>
      </c>
      <c r="AO148" s="1120">
        <f t="shared" si="164"/>
        <v>1</v>
      </c>
      <c r="AP148" s="1120">
        <f t="shared" si="165"/>
        <v>1</v>
      </c>
      <c r="AQ148" s="1120">
        <f t="shared" si="166"/>
        <v>1</v>
      </c>
      <c r="AR148" s="1120">
        <f t="shared" si="167"/>
        <v>1</v>
      </c>
      <c r="AS148" s="1120">
        <f t="shared" si="168"/>
        <v>0</v>
      </c>
      <c r="AT148" s="1120">
        <f t="shared" si="169"/>
        <v>0</v>
      </c>
      <c r="AU148" s="1120">
        <f t="shared" si="170"/>
        <v>1</v>
      </c>
      <c r="AV148" s="1120">
        <f t="shared" si="171"/>
        <v>1</v>
      </c>
      <c r="AW148" s="1120">
        <f t="shared" si="172"/>
        <v>1</v>
      </c>
      <c r="AX148" s="1120">
        <f t="shared" si="173"/>
        <v>1</v>
      </c>
      <c r="AY148" s="1120">
        <f t="shared" si="174"/>
        <v>0</v>
      </c>
      <c r="AZ148" s="1120">
        <f t="shared" si="175"/>
        <v>0</v>
      </c>
      <c r="BA148" s="1120">
        <f t="shared" si="176"/>
        <v>0</v>
      </c>
      <c r="BB148" s="1120">
        <f t="shared" si="177"/>
        <v>0</v>
      </c>
      <c r="BC148" s="1120">
        <f t="shared" si="178"/>
        <v>0</v>
      </c>
      <c r="BD148" s="1120">
        <f t="shared" si="179"/>
        <v>0</v>
      </c>
      <c r="BE148" s="1120">
        <f t="shared" si="180"/>
        <v>1</v>
      </c>
      <c r="BF148" s="1120">
        <f t="shared" si="181"/>
        <v>1</v>
      </c>
      <c r="BG148" s="1120">
        <f t="shared" si="182"/>
        <v>0</v>
      </c>
      <c r="BH148" s="1120">
        <f t="shared" si="183"/>
        <v>0</v>
      </c>
      <c r="BI148" s="1120">
        <f t="shared" si="184"/>
        <v>0</v>
      </c>
      <c r="BJ148" s="1120">
        <f t="shared" si="185"/>
        <v>0</v>
      </c>
      <c r="BK148" s="1120">
        <f t="shared" si="186"/>
        <v>1</v>
      </c>
      <c r="BL148" s="1120">
        <f t="shared" si="187"/>
        <v>1</v>
      </c>
      <c r="BM148" s="1120">
        <f t="shared" si="188"/>
        <v>1</v>
      </c>
      <c r="BN148" s="1120">
        <f t="shared" si="189"/>
        <v>1</v>
      </c>
      <c r="BO148" s="1120">
        <f t="shared" si="190"/>
        <v>1</v>
      </c>
      <c r="BP148" s="1120">
        <f t="shared" si="191"/>
        <v>1</v>
      </c>
      <c r="BQ148" s="1120">
        <f t="shared" si="192"/>
        <v>1</v>
      </c>
      <c r="BR148" s="1120">
        <f t="shared" si="193"/>
        <v>0</v>
      </c>
      <c r="BS148" s="1120">
        <f t="shared" si="194"/>
        <v>1</v>
      </c>
      <c r="BT148" s="1120">
        <f t="shared" si="195"/>
        <v>1</v>
      </c>
      <c r="BU148" s="1120">
        <f t="shared" si="196"/>
        <v>1</v>
      </c>
      <c r="BV148" s="1120">
        <f t="shared" si="197"/>
        <v>1</v>
      </c>
      <c r="BW148" s="1120">
        <f t="shared" si="198"/>
        <v>0</v>
      </c>
      <c r="BX148" s="1120">
        <f t="shared" si="199"/>
        <v>0</v>
      </c>
      <c r="BY148" s="1120">
        <f t="shared" si="200"/>
        <v>0</v>
      </c>
      <c r="BZ148" s="1120">
        <f t="shared" si="201"/>
        <v>0</v>
      </c>
      <c r="CA148" s="1120">
        <f t="shared" si="202"/>
        <v>0</v>
      </c>
      <c r="CB148" s="1120">
        <f t="shared" si="203"/>
        <v>1</v>
      </c>
      <c r="CC148" s="1120">
        <f t="shared" si="204"/>
        <v>1</v>
      </c>
      <c r="CD148" s="1120">
        <f t="shared" si="205"/>
        <v>1</v>
      </c>
      <c r="CE148" s="1120">
        <f t="shared" si="206"/>
        <v>1</v>
      </c>
      <c r="CF148" s="1120">
        <f t="shared" si="207"/>
        <v>0</v>
      </c>
      <c r="CG148" s="1120">
        <f t="shared" si="208"/>
        <v>0</v>
      </c>
      <c r="CH148" s="1120">
        <f t="shared" si="209"/>
        <v>0</v>
      </c>
      <c r="CI148" s="1120">
        <f t="shared" si="210"/>
        <v>0.85</v>
      </c>
      <c r="CJ148" s="1120">
        <f t="shared" si="211"/>
        <v>0.85</v>
      </c>
      <c r="CK148" s="1120">
        <f t="shared" si="212"/>
        <v>0.85</v>
      </c>
      <c r="CL148" s="1120">
        <f t="shared" si="213"/>
        <v>0.85</v>
      </c>
      <c r="CM148" s="1120">
        <f t="shared" si="214"/>
        <v>0.85</v>
      </c>
      <c r="CN148" s="1120">
        <f t="shared" si="215"/>
        <v>0.85</v>
      </c>
      <c r="CO148" s="1120">
        <f t="shared" si="216"/>
        <v>0.85</v>
      </c>
      <c r="CP148" s="1120">
        <f t="shared" si="217"/>
        <v>0.7</v>
      </c>
      <c r="CQ148" s="1120">
        <f t="shared" si="218"/>
        <v>0.85</v>
      </c>
      <c r="CR148" s="1120">
        <f t="shared" si="219"/>
        <v>0.85</v>
      </c>
      <c r="CS148" s="1120">
        <f t="shared" si="220"/>
        <v>0.85</v>
      </c>
      <c r="CT148" s="1120">
        <f t="shared" si="221"/>
        <v>0.85</v>
      </c>
      <c r="CU148" s="1120">
        <v>1</v>
      </c>
      <c r="CV148" s="1120"/>
      <c r="CW148" s="1120">
        <f t="shared" si="222"/>
        <v>122</v>
      </c>
      <c r="CX148" s="1120">
        <f t="shared" si="223"/>
        <v>243</v>
      </c>
      <c r="CY148" s="1136" t="s">
        <v>4889</v>
      </c>
      <c r="CZ148" s="1129" t="s">
        <v>4896</v>
      </c>
      <c r="DA148" s="1129"/>
      <c r="DB148" s="1129"/>
      <c r="DC148" s="1125" t="s">
        <v>5695</v>
      </c>
      <c r="DD148" s="1125" t="s">
        <v>904</v>
      </c>
      <c r="DE148" s="1120" t="str">
        <f t="shared" si="224"/>
        <v/>
      </c>
      <c r="DF148" s="1133">
        <v>0</v>
      </c>
      <c r="DG148" s="1120">
        <v>0</v>
      </c>
    </row>
    <row r="149" spans="1:111">
      <c r="A149" s="1125" t="s">
        <v>3122</v>
      </c>
      <c r="B149" s="1120" t="s">
        <v>4466</v>
      </c>
      <c r="C149" s="1120" t="s">
        <v>4467</v>
      </c>
      <c r="D149" s="1120" t="s">
        <v>905</v>
      </c>
      <c r="E149" s="1120">
        <v>5586</v>
      </c>
      <c r="F149" s="1120">
        <v>-113.1</v>
      </c>
      <c r="G149" s="1120">
        <v>37.700000000000003</v>
      </c>
      <c r="H149" s="1120">
        <v>-7</v>
      </c>
      <c r="I149" s="1121">
        <v>8.7800006866455078</v>
      </c>
      <c r="J149" s="1121">
        <v>91.039998626708993</v>
      </c>
      <c r="K149" s="1122">
        <v>58.819999313354494</v>
      </c>
      <c r="L149" s="1120">
        <v>5628.6</v>
      </c>
      <c r="M149" s="1120">
        <v>905.4</v>
      </c>
      <c r="N149" s="1123">
        <v>30.380000042915345</v>
      </c>
      <c r="O149" s="1123">
        <v>34.160000085830688</v>
      </c>
      <c r="P149" s="1123">
        <v>40.1</v>
      </c>
      <c r="Q149" s="1123">
        <v>50</v>
      </c>
      <c r="R149" s="1123">
        <v>58.819999313354494</v>
      </c>
      <c r="S149" s="1123">
        <v>69.260001373291018</v>
      </c>
      <c r="T149" s="1123">
        <v>75.380000686645502</v>
      </c>
      <c r="U149" s="1123">
        <v>73.580000686645505</v>
      </c>
      <c r="V149" s="1123">
        <v>62.780000686645508</v>
      </c>
      <c r="W149" s="1123">
        <v>51.440000343322751</v>
      </c>
      <c r="X149" s="1123">
        <v>38.120000171661374</v>
      </c>
      <c r="Y149" s="1123">
        <v>32</v>
      </c>
      <c r="Z149" s="1123">
        <v>51.435561924960517</v>
      </c>
      <c r="AA149" s="1123">
        <f t="shared" si="150"/>
        <v>47.940992612217741</v>
      </c>
      <c r="AB149" s="1123">
        <f t="shared" si="151"/>
        <v>46.771933798859166</v>
      </c>
      <c r="AC149" s="1123">
        <f t="shared" si="152"/>
        <v>48.382513988052608</v>
      </c>
      <c r="AD149" s="1123">
        <f t="shared" si="153"/>
        <v>52.352910633692787</v>
      </c>
      <c r="AE149" s="1123">
        <f t="shared" si="154"/>
        <v>57.648178664429203</v>
      </c>
      <c r="AF149" s="1123">
        <f t="shared" si="155"/>
        <v>62.888024865499972</v>
      </c>
      <c r="AG149" s="1123">
        <f t="shared" si="156"/>
        <v>66.70660257612181</v>
      </c>
      <c r="AH149" s="1123">
        <f t="shared" si="157"/>
        <v>68.108540669957335</v>
      </c>
      <c r="AI149" s="1123">
        <f t="shared" si="158"/>
        <v>66.728402378328369</v>
      </c>
      <c r="AJ149" s="1123">
        <f t="shared" si="159"/>
        <v>62.925942015522828</v>
      </c>
      <c r="AK149" s="1123">
        <f t="shared" si="160"/>
        <v>57.692329472793936</v>
      </c>
      <c r="AL149" s="1123">
        <f t="shared" si="161"/>
        <v>52.391786511814573</v>
      </c>
      <c r="AM149" s="1120">
        <f t="shared" si="162"/>
        <v>1</v>
      </c>
      <c r="AN149" s="1120">
        <f t="shared" si="163"/>
        <v>1</v>
      </c>
      <c r="AO149" s="1120">
        <f t="shared" si="164"/>
        <v>1</v>
      </c>
      <c r="AP149" s="1120">
        <f t="shared" si="165"/>
        <v>1</v>
      </c>
      <c r="AQ149" s="1120">
        <f t="shared" si="166"/>
        <v>1</v>
      </c>
      <c r="AR149" s="1120">
        <f t="shared" si="167"/>
        <v>0</v>
      </c>
      <c r="AS149" s="1120">
        <f t="shared" si="168"/>
        <v>0</v>
      </c>
      <c r="AT149" s="1120">
        <f t="shared" si="169"/>
        <v>0</v>
      </c>
      <c r="AU149" s="1120">
        <f t="shared" si="170"/>
        <v>1</v>
      </c>
      <c r="AV149" s="1120">
        <f t="shared" si="171"/>
        <v>1</v>
      </c>
      <c r="AW149" s="1120">
        <f t="shared" si="172"/>
        <v>1</v>
      </c>
      <c r="AX149" s="1120">
        <f t="shared" si="173"/>
        <v>1</v>
      </c>
      <c r="AY149" s="1120">
        <f t="shared" si="174"/>
        <v>0</v>
      </c>
      <c r="AZ149" s="1120">
        <f t="shared" si="175"/>
        <v>0</v>
      </c>
      <c r="BA149" s="1120">
        <f t="shared" si="176"/>
        <v>0</v>
      </c>
      <c r="BB149" s="1120">
        <f t="shared" si="177"/>
        <v>0</v>
      </c>
      <c r="BC149" s="1120">
        <f t="shared" si="178"/>
        <v>0</v>
      </c>
      <c r="BD149" s="1120">
        <f t="shared" si="179"/>
        <v>1</v>
      </c>
      <c r="BE149" s="1120">
        <f t="shared" si="180"/>
        <v>1</v>
      </c>
      <c r="BF149" s="1120">
        <f t="shared" si="181"/>
        <v>1</v>
      </c>
      <c r="BG149" s="1120">
        <f t="shared" si="182"/>
        <v>0</v>
      </c>
      <c r="BH149" s="1120">
        <f t="shared" si="183"/>
        <v>0</v>
      </c>
      <c r="BI149" s="1120">
        <f t="shared" si="184"/>
        <v>0</v>
      </c>
      <c r="BJ149" s="1120">
        <f t="shared" si="185"/>
        <v>0</v>
      </c>
      <c r="BK149" s="1120">
        <f t="shared" si="186"/>
        <v>1</v>
      </c>
      <c r="BL149" s="1120">
        <f t="shared" si="187"/>
        <v>1</v>
      </c>
      <c r="BM149" s="1120">
        <f t="shared" si="188"/>
        <v>1</v>
      </c>
      <c r="BN149" s="1120">
        <f t="shared" si="189"/>
        <v>1</v>
      </c>
      <c r="BO149" s="1120">
        <f t="shared" si="190"/>
        <v>1</v>
      </c>
      <c r="BP149" s="1120">
        <f t="shared" si="191"/>
        <v>1</v>
      </c>
      <c r="BQ149" s="1120">
        <f t="shared" si="192"/>
        <v>0</v>
      </c>
      <c r="BR149" s="1120">
        <f t="shared" si="193"/>
        <v>0</v>
      </c>
      <c r="BS149" s="1120">
        <f t="shared" si="194"/>
        <v>1</v>
      </c>
      <c r="BT149" s="1120">
        <f t="shared" si="195"/>
        <v>1</v>
      </c>
      <c r="BU149" s="1120">
        <f t="shared" si="196"/>
        <v>1</v>
      </c>
      <c r="BV149" s="1120">
        <f t="shared" si="197"/>
        <v>1</v>
      </c>
      <c r="BW149" s="1120">
        <f t="shared" si="198"/>
        <v>0</v>
      </c>
      <c r="BX149" s="1120">
        <f t="shared" si="199"/>
        <v>0</v>
      </c>
      <c r="BY149" s="1120">
        <f t="shared" si="200"/>
        <v>0</v>
      </c>
      <c r="BZ149" s="1120">
        <f t="shared" si="201"/>
        <v>0</v>
      </c>
      <c r="CA149" s="1120">
        <f t="shared" si="202"/>
        <v>1</v>
      </c>
      <c r="CB149" s="1120">
        <f t="shared" si="203"/>
        <v>1</v>
      </c>
      <c r="CC149" s="1120">
        <f t="shared" si="204"/>
        <v>1</v>
      </c>
      <c r="CD149" s="1120">
        <f t="shared" si="205"/>
        <v>1</v>
      </c>
      <c r="CE149" s="1120">
        <f t="shared" si="206"/>
        <v>1</v>
      </c>
      <c r="CF149" s="1120">
        <f t="shared" si="207"/>
        <v>0</v>
      </c>
      <c r="CG149" s="1120">
        <f t="shared" si="208"/>
        <v>0</v>
      </c>
      <c r="CH149" s="1120">
        <f t="shared" si="209"/>
        <v>0</v>
      </c>
      <c r="CI149" s="1120">
        <f t="shared" si="210"/>
        <v>0.85</v>
      </c>
      <c r="CJ149" s="1120">
        <f t="shared" si="211"/>
        <v>0.85</v>
      </c>
      <c r="CK149" s="1120">
        <f t="shared" si="212"/>
        <v>0.85</v>
      </c>
      <c r="CL149" s="1120">
        <f t="shared" si="213"/>
        <v>0.85</v>
      </c>
      <c r="CM149" s="1120">
        <f t="shared" si="214"/>
        <v>0.85</v>
      </c>
      <c r="CN149" s="1120">
        <f t="shared" si="215"/>
        <v>0.85</v>
      </c>
      <c r="CO149" s="1120">
        <f t="shared" si="216"/>
        <v>0.7</v>
      </c>
      <c r="CP149" s="1120">
        <f t="shared" si="217"/>
        <v>0.7</v>
      </c>
      <c r="CQ149" s="1120">
        <f t="shared" si="218"/>
        <v>0.85</v>
      </c>
      <c r="CR149" s="1120">
        <f t="shared" si="219"/>
        <v>0.85</v>
      </c>
      <c r="CS149" s="1120">
        <f t="shared" si="220"/>
        <v>0.85</v>
      </c>
      <c r="CT149" s="1120">
        <f t="shared" si="221"/>
        <v>0.85</v>
      </c>
      <c r="CU149" s="1120">
        <v>1</v>
      </c>
      <c r="CV149" s="1120"/>
      <c r="CW149" s="1120">
        <f t="shared" si="222"/>
        <v>153</v>
      </c>
      <c r="CX149" s="1120">
        <f t="shared" si="223"/>
        <v>212</v>
      </c>
      <c r="CY149" s="1135" t="s">
        <v>4889</v>
      </c>
      <c r="CZ149" s="1124" t="s">
        <v>4890</v>
      </c>
      <c r="DA149" s="1124"/>
      <c r="DB149" s="1124"/>
      <c r="DC149" s="1120" t="s">
        <v>5619</v>
      </c>
      <c r="DD149" s="1120" t="s">
        <v>905</v>
      </c>
      <c r="DE149" s="1120" t="str">
        <f t="shared" si="224"/>
        <v/>
      </c>
      <c r="DF149" s="1133">
        <v>1</v>
      </c>
      <c r="DG149" s="1125">
        <v>0</v>
      </c>
    </row>
    <row r="150" spans="1:111">
      <c r="A150" s="1120" t="s">
        <v>3118</v>
      </c>
      <c r="B150" s="1125" t="s">
        <v>3414</v>
      </c>
      <c r="C150" s="1125" t="s">
        <v>3415</v>
      </c>
      <c r="D150" s="1125" t="s">
        <v>566</v>
      </c>
      <c r="E150" s="1125">
        <v>840</v>
      </c>
      <c r="F150" s="1125">
        <v>-91.72</v>
      </c>
      <c r="G150" s="1125">
        <v>41.88</v>
      </c>
      <c r="H150" s="1125">
        <v>-6</v>
      </c>
      <c r="I150" s="1126">
        <v>-3.8199993133544932</v>
      </c>
      <c r="J150" s="1126">
        <v>88.519999313354489</v>
      </c>
      <c r="K150" s="1127">
        <v>74.66000137329101</v>
      </c>
      <c r="L150" s="1125">
        <v>6699.6</v>
      </c>
      <c r="M150" s="1125">
        <v>792</v>
      </c>
      <c r="N150" s="1128">
        <v>17.959999656677248</v>
      </c>
      <c r="O150" s="1128">
        <v>26.420000171661378</v>
      </c>
      <c r="P150" s="1128">
        <v>39.740000343322755</v>
      </c>
      <c r="Q150" s="1128">
        <v>50.180000686645506</v>
      </c>
      <c r="R150" s="1128">
        <v>59.359999656677246</v>
      </c>
      <c r="S150" s="1128">
        <v>73.219999313354492</v>
      </c>
      <c r="T150" s="1128">
        <v>70.880000686645502</v>
      </c>
      <c r="U150" s="1128">
        <v>71.060001373291016</v>
      </c>
      <c r="V150" s="1128">
        <v>65.3</v>
      </c>
      <c r="W150" s="1128">
        <v>51.980000686645511</v>
      </c>
      <c r="X150" s="1128">
        <v>40.279999828338624</v>
      </c>
      <c r="Y150" s="1128">
        <v>11.299999999999999</v>
      </c>
      <c r="Z150" s="1128">
        <v>48.218739929199216</v>
      </c>
      <c r="AA150" s="1128">
        <f t="shared" si="150"/>
        <v>42.404820700803853</v>
      </c>
      <c r="AB150" s="1128">
        <f t="shared" si="151"/>
        <v>40.529855486344488</v>
      </c>
      <c r="AC150" s="1128">
        <f t="shared" si="152"/>
        <v>42.223108954009938</v>
      </c>
      <c r="AD150" s="1128">
        <f t="shared" si="153"/>
        <v>47.043208493627418</v>
      </c>
      <c r="AE150" s="1128">
        <f t="shared" si="154"/>
        <v>53.733720880213276</v>
      </c>
      <c r="AF150" s="1128">
        <f t="shared" si="155"/>
        <v>60.550660956287125</v>
      </c>
      <c r="AG150" s="1128">
        <f t="shared" si="156"/>
        <v>65.717088238793821</v>
      </c>
      <c r="AH150" s="1128">
        <f t="shared" si="157"/>
        <v>67.88629383949359</v>
      </c>
      <c r="AI150" s="1128">
        <f t="shared" si="158"/>
        <v>66.492840890093845</v>
      </c>
      <c r="AJ150" s="1128">
        <f t="shared" si="159"/>
        <v>61.899954375615614</v>
      </c>
      <c r="AK150" s="1128">
        <f t="shared" si="160"/>
        <v>55.304840944581258</v>
      </c>
      <c r="AL150" s="1128">
        <f t="shared" si="161"/>
        <v>48.426618546564292</v>
      </c>
      <c r="AM150" s="1125">
        <f t="shared" si="162"/>
        <v>1</v>
      </c>
      <c r="AN150" s="1125">
        <f t="shared" si="163"/>
        <v>1</v>
      </c>
      <c r="AO150" s="1125">
        <f t="shared" si="164"/>
        <v>1</v>
      </c>
      <c r="AP150" s="1125">
        <f t="shared" si="165"/>
        <v>1</v>
      </c>
      <c r="AQ150" s="1125">
        <f t="shared" si="166"/>
        <v>1</v>
      </c>
      <c r="AR150" s="1125">
        <f t="shared" si="167"/>
        <v>0</v>
      </c>
      <c r="AS150" s="1125">
        <f t="shared" si="168"/>
        <v>0</v>
      </c>
      <c r="AT150" s="1125">
        <f t="shared" si="169"/>
        <v>0</v>
      </c>
      <c r="AU150" s="1125">
        <f t="shared" si="170"/>
        <v>1</v>
      </c>
      <c r="AV150" s="1125">
        <f t="shared" si="171"/>
        <v>1</v>
      </c>
      <c r="AW150" s="1125">
        <f t="shared" si="172"/>
        <v>1</v>
      </c>
      <c r="AX150" s="1125">
        <f t="shared" si="173"/>
        <v>1</v>
      </c>
      <c r="AY150" s="1125">
        <f t="shared" si="174"/>
        <v>0</v>
      </c>
      <c r="AZ150" s="1125">
        <f t="shared" si="175"/>
        <v>0</v>
      </c>
      <c r="BA150" s="1125">
        <f t="shared" si="176"/>
        <v>0</v>
      </c>
      <c r="BB150" s="1125">
        <f t="shared" si="177"/>
        <v>0</v>
      </c>
      <c r="BC150" s="1125">
        <f t="shared" si="178"/>
        <v>0</v>
      </c>
      <c r="BD150" s="1125">
        <f t="shared" si="179"/>
        <v>1</v>
      </c>
      <c r="BE150" s="1125">
        <f t="shared" si="180"/>
        <v>1</v>
      </c>
      <c r="BF150" s="1125">
        <f t="shared" si="181"/>
        <v>1</v>
      </c>
      <c r="BG150" s="1125">
        <f t="shared" si="182"/>
        <v>0</v>
      </c>
      <c r="BH150" s="1125">
        <f t="shared" si="183"/>
        <v>0</v>
      </c>
      <c r="BI150" s="1125">
        <f t="shared" si="184"/>
        <v>0</v>
      </c>
      <c r="BJ150" s="1125">
        <f t="shared" si="185"/>
        <v>0</v>
      </c>
      <c r="BK150" s="1125">
        <f t="shared" si="186"/>
        <v>1</v>
      </c>
      <c r="BL150" s="1125">
        <f t="shared" si="187"/>
        <v>1</v>
      </c>
      <c r="BM150" s="1125">
        <f t="shared" si="188"/>
        <v>1</v>
      </c>
      <c r="BN150" s="1125">
        <f t="shared" si="189"/>
        <v>1</v>
      </c>
      <c r="BO150" s="1125">
        <f t="shared" si="190"/>
        <v>1</v>
      </c>
      <c r="BP150" s="1125">
        <f t="shared" si="191"/>
        <v>1</v>
      </c>
      <c r="BQ150" s="1125">
        <f t="shared" si="192"/>
        <v>0</v>
      </c>
      <c r="BR150" s="1125">
        <f t="shared" si="193"/>
        <v>0</v>
      </c>
      <c r="BS150" s="1125">
        <f t="shared" si="194"/>
        <v>1</v>
      </c>
      <c r="BT150" s="1125">
        <f t="shared" si="195"/>
        <v>1</v>
      </c>
      <c r="BU150" s="1125">
        <f t="shared" si="196"/>
        <v>1</v>
      </c>
      <c r="BV150" s="1125">
        <f t="shared" si="197"/>
        <v>1</v>
      </c>
      <c r="BW150" s="1125">
        <f t="shared" si="198"/>
        <v>0</v>
      </c>
      <c r="BX150" s="1125">
        <f t="shared" si="199"/>
        <v>0</v>
      </c>
      <c r="BY150" s="1125">
        <f t="shared" si="200"/>
        <v>0</v>
      </c>
      <c r="BZ150" s="1125">
        <f t="shared" si="201"/>
        <v>0</v>
      </c>
      <c r="CA150" s="1125">
        <f t="shared" si="202"/>
        <v>1</v>
      </c>
      <c r="CB150" s="1125">
        <f t="shared" si="203"/>
        <v>1</v>
      </c>
      <c r="CC150" s="1125">
        <f t="shared" si="204"/>
        <v>1</v>
      </c>
      <c r="CD150" s="1125">
        <f t="shared" si="205"/>
        <v>1</v>
      </c>
      <c r="CE150" s="1125">
        <f t="shared" si="206"/>
        <v>1</v>
      </c>
      <c r="CF150" s="1125">
        <f t="shared" si="207"/>
        <v>0</v>
      </c>
      <c r="CG150" s="1125">
        <f t="shared" si="208"/>
        <v>0</v>
      </c>
      <c r="CH150" s="1125">
        <f t="shared" si="209"/>
        <v>0</v>
      </c>
      <c r="CI150" s="1125">
        <f t="shared" si="210"/>
        <v>0.85</v>
      </c>
      <c r="CJ150" s="1125">
        <f t="shared" si="211"/>
        <v>0.85</v>
      </c>
      <c r="CK150" s="1125">
        <f t="shared" si="212"/>
        <v>0.85</v>
      </c>
      <c r="CL150" s="1125">
        <f t="shared" si="213"/>
        <v>0.85</v>
      </c>
      <c r="CM150" s="1125">
        <f t="shared" si="214"/>
        <v>0.85</v>
      </c>
      <c r="CN150" s="1125">
        <f t="shared" si="215"/>
        <v>0.85</v>
      </c>
      <c r="CO150" s="1125">
        <f t="shared" si="216"/>
        <v>0.7</v>
      </c>
      <c r="CP150" s="1125">
        <f t="shared" si="217"/>
        <v>0.7</v>
      </c>
      <c r="CQ150" s="1125">
        <f t="shared" si="218"/>
        <v>0.85</v>
      </c>
      <c r="CR150" s="1125">
        <f t="shared" si="219"/>
        <v>0.85</v>
      </c>
      <c r="CS150" s="1125">
        <f t="shared" si="220"/>
        <v>0.85</v>
      </c>
      <c r="CT150" s="1125">
        <f t="shared" si="221"/>
        <v>0.85</v>
      </c>
      <c r="CU150" s="1125">
        <v>1</v>
      </c>
      <c r="CV150" s="1125"/>
      <c r="CW150" s="1125">
        <f t="shared" si="222"/>
        <v>153</v>
      </c>
      <c r="CX150" s="1125">
        <f t="shared" si="223"/>
        <v>212</v>
      </c>
      <c r="CY150" s="1136" t="s">
        <v>4889</v>
      </c>
      <c r="CZ150" s="1129" t="s">
        <v>4897</v>
      </c>
      <c r="DA150" s="1129"/>
      <c r="DB150" s="1129"/>
      <c r="DC150" s="1125" t="s">
        <v>5162</v>
      </c>
      <c r="DD150" s="1125" t="s">
        <v>566</v>
      </c>
      <c r="DE150" s="1120" t="str">
        <f t="shared" si="224"/>
        <v/>
      </c>
      <c r="DF150" s="1133">
        <v>0</v>
      </c>
      <c r="DG150" s="1120">
        <v>0</v>
      </c>
    </row>
    <row r="151" spans="1:111">
      <c r="A151" s="1125" t="s">
        <v>3124</v>
      </c>
      <c r="B151" s="1125" t="s">
        <v>3501</v>
      </c>
      <c r="C151" s="1125" t="s">
        <v>3502</v>
      </c>
      <c r="D151" s="1125" t="s">
        <v>932</v>
      </c>
      <c r="E151" s="1125">
        <v>892</v>
      </c>
      <c r="F151" s="1125">
        <v>-88.92</v>
      </c>
      <c r="G151" s="1125">
        <v>40.47</v>
      </c>
      <c r="H151" s="1125">
        <v>-6</v>
      </c>
      <c r="I151" s="1126">
        <v>-14.080000686645509</v>
      </c>
      <c r="J151" s="1126">
        <v>92.120002746582031</v>
      </c>
      <c r="K151" s="1127">
        <v>75.019999313354489</v>
      </c>
      <c r="L151" s="1125">
        <v>5947.2</v>
      </c>
      <c r="M151" s="1125">
        <v>9</v>
      </c>
      <c r="N151" s="1128">
        <v>30.740000021457671</v>
      </c>
      <c r="O151" s="1128">
        <v>28.580000042915344</v>
      </c>
      <c r="P151" s="1128">
        <v>35.960000085830686</v>
      </c>
      <c r="Q151" s="1128">
        <v>46.759999656677245</v>
      </c>
      <c r="R151" s="1128">
        <v>61.519999313354496</v>
      </c>
      <c r="S151" s="1128">
        <v>73.760001373291018</v>
      </c>
      <c r="T151" s="1128">
        <v>75.2</v>
      </c>
      <c r="U151" s="1128">
        <v>69.439998626708984</v>
      </c>
      <c r="V151" s="1128">
        <v>63.139998626708987</v>
      </c>
      <c r="W151" s="1128">
        <v>54.319999313354494</v>
      </c>
      <c r="X151" s="1128">
        <v>37.939999914169313</v>
      </c>
      <c r="Y151" s="1128">
        <v>28.939999914169313</v>
      </c>
      <c r="Z151" s="1128">
        <v>50.651944942049788</v>
      </c>
      <c r="AA151" s="1128">
        <f t="shared" si="150"/>
        <v>47.045924606107249</v>
      </c>
      <c r="AB151" s="1128">
        <f t="shared" si="151"/>
        <v>45.781770509507531</v>
      </c>
      <c r="AC151" s="1128">
        <f t="shared" si="152"/>
        <v>47.351094893208582</v>
      </c>
      <c r="AD151" s="1128">
        <f t="shared" si="153"/>
        <v>51.344829172577917</v>
      </c>
      <c r="AE151" s="1128">
        <f t="shared" si="154"/>
        <v>56.721944962389728</v>
      </c>
      <c r="AF151" s="1128">
        <f t="shared" si="155"/>
        <v>62.08081416816696</v>
      </c>
      <c r="AG151" s="1128">
        <f t="shared" si="156"/>
        <v>66.024564948749571</v>
      </c>
      <c r="AH151" s="1128">
        <f t="shared" si="157"/>
        <v>67.525197888139516</v>
      </c>
      <c r="AI151" s="1128">
        <f t="shared" si="158"/>
        <v>66.191549885231225</v>
      </c>
      <c r="AJ151" s="1128">
        <f t="shared" si="159"/>
        <v>62.371256844120573</v>
      </c>
      <c r="AK151" s="1128">
        <f t="shared" si="160"/>
        <v>57.060137018470861</v>
      </c>
      <c r="AL151" s="1128">
        <f t="shared" si="161"/>
        <v>51.642615637671703</v>
      </c>
      <c r="AM151" s="1125">
        <f t="shared" si="162"/>
        <v>1</v>
      </c>
      <c r="AN151" s="1125">
        <f t="shared" si="163"/>
        <v>1</v>
      </c>
      <c r="AO151" s="1125">
        <f t="shared" si="164"/>
        <v>1</v>
      </c>
      <c r="AP151" s="1125">
        <f t="shared" si="165"/>
        <v>1</v>
      </c>
      <c r="AQ151" s="1125">
        <f t="shared" si="166"/>
        <v>1</v>
      </c>
      <c r="AR151" s="1125">
        <f t="shared" si="167"/>
        <v>0</v>
      </c>
      <c r="AS151" s="1125">
        <f t="shared" si="168"/>
        <v>0</v>
      </c>
      <c r="AT151" s="1125">
        <f t="shared" si="169"/>
        <v>0</v>
      </c>
      <c r="AU151" s="1125">
        <f t="shared" si="170"/>
        <v>1</v>
      </c>
      <c r="AV151" s="1125">
        <f t="shared" si="171"/>
        <v>1</v>
      </c>
      <c r="AW151" s="1125">
        <f t="shared" si="172"/>
        <v>1</v>
      </c>
      <c r="AX151" s="1125">
        <f t="shared" si="173"/>
        <v>1</v>
      </c>
      <c r="AY151" s="1125">
        <f t="shared" si="174"/>
        <v>0</v>
      </c>
      <c r="AZ151" s="1125">
        <f t="shared" si="175"/>
        <v>0</v>
      </c>
      <c r="BA151" s="1125">
        <f t="shared" si="176"/>
        <v>0</v>
      </c>
      <c r="BB151" s="1125">
        <f t="shared" si="177"/>
        <v>0</v>
      </c>
      <c r="BC151" s="1125">
        <f t="shared" si="178"/>
        <v>0</v>
      </c>
      <c r="BD151" s="1125">
        <f t="shared" si="179"/>
        <v>1</v>
      </c>
      <c r="BE151" s="1125">
        <f t="shared" si="180"/>
        <v>1</v>
      </c>
      <c r="BF151" s="1125">
        <f t="shared" si="181"/>
        <v>1</v>
      </c>
      <c r="BG151" s="1125">
        <f t="shared" si="182"/>
        <v>0</v>
      </c>
      <c r="BH151" s="1125">
        <f t="shared" si="183"/>
        <v>0</v>
      </c>
      <c r="BI151" s="1125">
        <f t="shared" si="184"/>
        <v>0</v>
      </c>
      <c r="BJ151" s="1125">
        <f t="shared" si="185"/>
        <v>0</v>
      </c>
      <c r="BK151" s="1125">
        <f t="shared" si="186"/>
        <v>1</v>
      </c>
      <c r="BL151" s="1125">
        <f t="shared" si="187"/>
        <v>1</v>
      </c>
      <c r="BM151" s="1125">
        <f t="shared" si="188"/>
        <v>1</v>
      </c>
      <c r="BN151" s="1125">
        <f t="shared" si="189"/>
        <v>1</v>
      </c>
      <c r="BO151" s="1125">
        <f t="shared" si="190"/>
        <v>1</v>
      </c>
      <c r="BP151" s="1125">
        <f t="shared" si="191"/>
        <v>1</v>
      </c>
      <c r="BQ151" s="1125">
        <f t="shared" si="192"/>
        <v>0</v>
      </c>
      <c r="BR151" s="1125">
        <f t="shared" si="193"/>
        <v>0</v>
      </c>
      <c r="BS151" s="1125">
        <f t="shared" si="194"/>
        <v>1</v>
      </c>
      <c r="BT151" s="1125">
        <f t="shared" si="195"/>
        <v>1</v>
      </c>
      <c r="BU151" s="1125">
        <f t="shared" si="196"/>
        <v>1</v>
      </c>
      <c r="BV151" s="1125">
        <f t="shared" si="197"/>
        <v>1</v>
      </c>
      <c r="BW151" s="1125">
        <f t="shared" si="198"/>
        <v>0</v>
      </c>
      <c r="BX151" s="1125">
        <f t="shared" si="199"/>
        <v>0</v>
      </c>
      <c r="BY151" s="1125">
        <f t="shared" si="200"/>
        <v>0</v>
      </c>
      <c r="BZ151" s="1125">
        <f t="shared" si="201"/>
        <v>0</v>
      </c>
      <c r="CA151" s="1125">
        <f t="shared" si="202"/>
        <v>1</v>
      </c>
      <c r="CB151" s="1125">
        <f t="shared" si="203"/>
        <v>1</v>
      </c>
      <c r="CC151" s="1125">
        <f t="shared" si="204"/>
        <v>1</v>
      </c>
      <c r="CD151" s="1125">
        <f t="shared" si="205"/>
        <v>1</v>
      </c>
      <c r="CE151" s="1125">
        <f t="shared" si="206"/>
        <v>1</v>
      </c>
      <c r="CF151" s="1125">
        <f t="shared" si="207"/>
        <v>0</v>
      </c>
      <c r="CG151" s="1125">
        <f t="shared" si="208"/>
        <v>0</v>
      </c>
      <c r="CH151" s="1125">
        <f t="shared" si="209"/>
        <v>0</v>
      </c>
      <c r="CI151" s="1125">
        <f t="shared" si="210"/>
        <v>0.85</v>
      </c>
      <c r="CJ151" s="1125">
        <f t="shared" si="211"/>
        <v>0.85</v>
      </c>
      <c r="CK151" s="1125">
        <f t="shared" si="212"/>
        <v>0.85</v>
      </c>
      <c r="CL151" s="1125">
        <f t="shared" si="213"/>
        <v>0.85</v>
      </c>
      <c r="CM151" s="1125">
        <f t="shared" si="214"/>
        <v>0.85</v>
      </c>
      <c r="CN151" s="1125">
        <f t="shared" si="215"/>
        <v>0.85</v>
      </c>
      <c r="CO151" s="1125">
        <f t="shared" si="216"/>
        <v>0.7</v>
      </c>
      <c r="CP151" s="1125">
        <f t="shared" si="217"/>
        <v>0.7</v>
      </c>
      <c r="CQ151" s="1125">
        <f t="shared" si="218"/>
        <v>0.85</v>
      </c>
      <c r="CR151" s="1125">
        <f t="shared" si="219"/>
        <v>0.85</v>
      </c>
      <c r="CS151" s="1125">
        <f t="shared" si="220"/>
        <v>0.85</v>
      </c>
      <c r="CT151" s="1125">
        <f t="shared" si="221"/>
        <v>0.85</v>
      </c>
      <c r="CU151" s="1125">
        <v>1</v>
      </c>
      <c r="CV151" s="1125"/>
      <c r="CW151" s="1125">
        <f t="shared" si="222"/>
        <v>153</v>
      </c>
      <c r="CX151" s="1125">
        <f t="shared" si="223"/>
        <v>212</v>
      </c>
      <c r="CY151" s="1135" t="s">
        <v>4889</v>
      </c>
      <c r="CZ151" s="1124" t="s">
        <v>4897</v>
      </c>
      <c r="DA151" s="1124"/>
      <c r="DB151" s="1124"/>
      <c r="DC151" s="1120" t="s">
        <v>5203</v>
      </c>
      <c r="DD151" s="1120" t="s">
        <v>932</v>
      </c>
      <c r="DE151" s="1120" t="str">
        <f t="shared" si="224"/>
        <v/>
      </c>
      <c r="DF151" s="1133">
        <v>0</v>
      </c>
      <c r="DG151" s="1125">
        <v>0</v>
      </c>
    </row>
    <row r="152" spans="1:111">
      <c r="A152" s="1120" t="s">
        <v>3126</v>
      </c>
      <c r="B152" s="1125" t="s">
        <v>3998</v>
      </c>
      <c r="C152" s="1125" t="s">
        <v>3999</v>
      </c>
      <c r="D152" s="1125" t="s">
        <v>771</v>
      </c>
      <c r="E152" s="1125">
        <v>3316</v>
      </c>
      <c r="F152" s="1125">
        <v>-103.08</v>
      </c>
      <c r="G152" s="1125">
        <v>42.83</v>
      </c>
      <c r="H152" s="1125">
        <v>-7</v>
      </c>
      <c r="I152" s="1126">
        <v>-13.180000686645508</v>
      </c>
      <c r="J152" s="1126">
        <v>98.779997253417974</v>
      </c>
      <c r="K152" s="1127">
        <v>67.460001373291021</v>
      </c>
      <c r="L152" s="1125">
        <v>6492.6</v>
      </c>
      <c r="M152" s="1125">
        <v>874.80000000000007</v>
      </c>
      <c r="N152" s="1128">
        <v>28.039999914169311</v>
      </c>
      <c r="O152" s="1128">
        <v>29.480000042915343</v>
      </c>
      <c r="P152" s="1128">
        <v>37.220000171661376</v>
      </c>
      <c r="Q152" s="1128">
        <v>46.4</v>
      </c>
      <c r="R152" s="1128">
        <v>55.940000343322751</v>
      </c>
      <c r="S152" s="1128">
        <v>67.099999999999994</v>
      </c>
      <c r="T152" s="1128">
        <v>76.460001373291021</v>
      </c>
      <c r="U152" s="1128">
        <v>74.66000137329101</v>
      </c>
      <c r="V152" s="1128">
        <v>58.1</v>
      </c>
      <c r="W152" s="1128">
        <v>49.640000343322754</v>
      </c>
      <c r="X152" s="1128">
        <v>37.4</v>
      </c>
      <c r="Y152" s="1128">
        <v>25.879999828338622</v>
      </c>
      <c r="Z152" s="1128">
        <v>48.982137273892967</v>
      </c>
      <c r="AA152" s="1128">
        <f t="shared" si="150"/>
        <v>45.090543733225644</v>
      </c>
      <c r="AB152" s="1128">
        <f t="shared" si="151"/>
        <v>43.606154947329955</v>
      </c>
      <c r="AC152" s="1128">
        <f t="shared" si="152"/>
        <v>45.087091264047132</v>
      </c>
      <c r="AD152" s="1128">
        <f t="shared" si="153"/>
        <v>49.147323810505384</v>
      </c>
      <c r="AE152" s="1128">
        <f t="shared" si="154"/>
        <v>54.728490403392854</v>
      </c>
      <c r="AF152" s="1128">
        <f t="shared" si="155"/>
        <v>60.375773961892769</v>
      </c>
      <c r="AG152" s="1128">
        <f t="shared" si="156"/>
        <v>64.617122999208206</v>
      </c>
      <c r="AH152" s="1128">
        <f t="shared" si="157"/>
        <v>66.346964527595759</v>
      </c>
      <c r="AI152" s="1128">
        <f t="shared" si="158"/>
        <v>65.114388695016331</v>
      </c>
      <c r="AJ152" s="1128">
        <f t="shared" si="159"/>
        <v>61.240685386800301</v>
      </c>
      <c r="AK152" s="1128">
        <f t="shared" si="160"/>
        <v>55.735595065809122</v>
      </c>
      <c r="AL152" s="1128">
        <f t="shared" si="161"/>
        <v>50.034104360218961</v>
      </c>
      <c r="AM152" s="1125">
        <f t="shared" si="162"/>
        <v>1</v>
      </c>
      <c r="AN152" s="1125">
        <f t="shared" si="163"/>
        <v>1</v>
      </c>
      <c r="AO152" s="1125">
        <f t="shared" si="164"/>
        <v>1</v>
      </c>
      <c r="AP152" s="1125">
        <f t="shared" si="165"/>
        <v>1</v>
      </c>
      <c r="AQ152" s="1125">
        <f t="shared" si="166"/>
        <v>1</v>
      </c>
      <c r="AR152" s="1125">
        <f t="shared" si="167"/>
        <v>0</v>
      </c>
      <c r="AS152" s="1125">
        <f t="shared" si="168"/>
        <v>0</v>
      </c>
      <c r="AT152" s="1125">
        <f t="shared" si="169"/>
        <v>0</v>
      </c>
      <c r="AU152" s="1125">
        <f t="shared" si="170"/>
        <v>1</v>
      </c>
      <c r="AV152" s="1125">
        <f t="shared" si="171"/>
        <v>1</v>
      </c>
      <c r="AW152" s="1125">
        <f t="shared" si="172"/>
        <v>1</v>
      </c>
      <c r="AX152" s="1125">
        <f t="shared" si="173"/>
        <v>1</v>
      </c>
      <c r="AY152" s="1125">
        <f t="shared" si="174"/>
        <v>0</v>
      </c>
      <c r="AZ152" s="1125">
        <f t="shared" si="175"/>
        <v>0</v>
      </c>
      <c r="BA152" s="1125">
        <f t="shared" si="176"/>
        <v>0</v>
      </c>
      <c r="BB152" s="1125">
        <f t="shared" si="177"/>
        <v>0</v>
      </c>
      <c r="BC152" s="1125">
        <f t="shared" si="178"/>
        <v>0</v>
      </c>
      <c r="BD152" s="1125">
        <f t="shared" si="179"/>
        <v>1</v>
      </c>
      <c r="BE152" s="1125">
        <f t="shared" si="180"/>
        <v>1</v>
      </c>
      <c r="BF152" s="1125">
        <f t="shared" si="181"/>
        <v>1</v>
      </c>
      <c r="BG152" s="1125">
        <f t="shared" si="182"/>
        <v>0</v>
      </c>
      <c r="BH152" s="1125">
        <f t="shared" si="183"/>
        <v>0</v>
      </c>
      <c r="BI152" s="1125">
        <f t="shared" si="184"/>
        <v>0</v>
      </c>
      <c r="BJ152" s="1125">
        <f t="shared" si="185"/>
        <v>0</v>
      </c>
      <c r="BK152" s="1125">
        <f t="shared" si="186"/>
        <v>1</v>
      </c>
      <c r="BL152" s="1125">
        <f t="shared" si="187"/>
        <v>1</v>
      </c>
      <c r="BM152" s="1125">
        <f t="shared" si="188"/>
        <v>1</v>
      </c>
      <c r="BN152" s="1125">
        <f t="shared" si="189"/>
        <v>1</v>
      </c>
      <c r="BO152" s="1125">
        <f t="shared" si="190"/>
        <v>1</v>
      </c>
      <c r="BP152" s="1125">
        <f t="shared" si="191"/>
        <v>1</v>
      </c>
      <c r="BQ152" s="1125">
        <f t="shared" si="192"/>
        <v>0</v>
      </c>
      <c r="BR152" s="1125">
        <f t="shared" si="193"/>
        <v>0</v>
      </c>
      <c r="BS152" s="1125">
        <f t="shared" si="194"/>
        <v>1</v>
      </c>
      <c r="BT152" s="1125">
        <f t="shared" si="195"/>
        <v>1</v>
      </c>
      <c r="BU152" s="1125">
        <f t="shared" si="196"/>
        <v>1</v>
      </c>
      <c r="BV152" s="1125">
        <f t="shared" si="197"/>
        <v>1</v>
      </c>
      <c r="BW152" s="1125">
        <f t="shared" si="198"/>
        <v>0</v>
      </c>
      <c r="BX152" s="1125">
        <f t="shared" si="199"/>
        <v>0</v>
      </c>
      <c r="BY152" s="1125">
        <f t="shared" si="200"/>
        <v>0</v>
      </c>
      <c r="BZ152" s="1125">
        <f t="shared" si="201"/>
        <v>0</v>
      </c>
      <c r="CA152" s="1125">
        <f t="shared" si="202"/>
        <v>1</v>
      </c>
      <c r="CB152" s="1125">
        <f t="shared" si="203"/>
        <v>1</v>
      </c>
      <c r="CC152" s="1125">
        <f t="shared" si="204"/>
        <v>1</v>
      </c>
      <c r="CD152" s="1125">
        <f t="shared" si="205"/>
        <v>1</v>
      </c>
      <c r="CE152" s="1125">
        <f t="shared" si="206"/>
        <v>1</v>
      </c>
      <c r="CF152" s="1125">
        <f t="shared" si="207"/>
        <v>0</v>
      </c>
      <c r="CG152" s="1125">
        <f t="shared" si="208"/>
        <v>0</v>
      </c>
      <c r="CH152" s="1125">
        <f t="shared" si="209"/>
        <v>0</v>
      </c>
      <c r="CI152" s="1125">
        <f t="shared" si="210"/>
        <v>0.85</v>
      </c>
      <c r="CJ152" s="1125">
        <f t="shared" si="211"/>
        <v>0.85</v>
      </c>
      <c r="CK152" s="1125">
        <f t="shared" si="212"/>
        <v>0.85</v>
      </c>
      <c r="CL152" s="1125">
        <f t="shared" si="213"/>
        <v>0.85</v>
      </c>
      <c r="CM152" s="1125">
        <f t="shared" si="214"/>
        <v>0.85</v>
      </c>
      <c r="CN152" s="1125">
        <f t="shared" si="215"/>
        <v>0.85</v>
      </c>
      <c r="CO152" s="1125">
        <f t="shared" si="216"/>
        <v>0.7</v>
      </c>
      <c r="CP152" s="1125">
        <f t="shared" si="217"/>
        <v>0.7</v>
      </c>
      <c r="CQ152" s="1125">
        <f t="shared" si="218"/>
        <v>0.85</v>
      </c>
      <c r="CR152" s="1125">
        <f t="shared" si="219"/>
        <v>0.85</v>
      </c>
      <c r="CS152" s="1125">
        <f t="shared" si="220"/>
        <v>0.85</v>
      </c>
      <c r="CT152" s="1125">
        <f t="shared" si="221"/>
        <v>0.85</v>
      </c>
      <c r="CU152" s="1125">
        <v>1</v>
      </c>
      <c r="CV152" s="1125"/>
      <c r="CW152" s="1125">
        <f t="shared" si="222"/>
        <v>153</v>
      </c>
      <c r="CX152" s="1125">
        <f t="shared" si="223"/>
        <v>212</v>
      </c>
      <c r="CY152" s="1135" t="s">
        <v>4889</v>
      </c>
      <c r="CZ152" s="1124" t="s">
        <v>4897</v>
      </c>
      <c r="DA152" s="1124"/>
      <c r="DB152" s="1124"/>
      <c r="DC152" s="1120" t="s">
        <v>5416</v>
      </c>
      <c r="DD152" s="1120" t="s">
        <v>771</v>
      </c>
      <c r="DE152" s="1120" t="str">
        <f t="shared" si="224"/>
        <v/>
      </c>
      <c r="DF152" s="1133">
        <v>0</v>
      </c>
      <c r="DG152" s="1120">
        <v>0</v>
      </c>
    </row>
    <row r="153" spans="1:111">
      <c r="A153" s="1125" t="s">
        <v>3128</v>
      </c>
      <c r="B153" s="1120" t="s">
        <v>4334</v>
      </c>
      <c r="C153" s="1120" t="s">
        <v>4335</v>
      </c>
      <c r="D153" s="1120" t="s">
        <v>1147</v>
      </c>
      <c r="E153" s="1120">
        <v>1338</v>
      </c>
      <c r="F153" s="1120">
        <v>-97.38</v>
      </c>
      <c r="G153" s="1120">
        <v>42.92</v>
      </c>
      <c r="H153" s="1120">
        <v>-6</v>
      </c>
      <c r="I153" s="1121">
        <v>-3.2800006866455087</v>
      </c>
      <c r="J153" s="1121">
        <v>89.960001373291021</v>
      </c>
      <c r="K153" s="1122">
        <v>73.039998626708979</v>
      </c>
      <c r="L153" s="1120">
        <v>6931.8</v>
      </c>
      <c r="M153" s="1120">
        <v>1074.6000000000001</v>
      </c>
      <c r="N153" s="1123">
        <v>20.479999828338624</v>
      </c>
      <c r="O153" s="1123">
        <v>26.23999991416931</v>
      </c>
      <c r="P153" s="1123">
        <v>28.4</v>
      </c>
      <c r="Q153" s="1123">
        <v>47.840000343322757</v>
      </c>
      <c r="R153" s="1123">
        <v>59</v>
      </c>
      <c r="S153" s="1123">
        <v>70.33999862670899</v>
      </c>
      <c r="T153" s="1123">
        <v>79.16000137329101</v>
      </c>
      <c r="U153" s="1123">
        <v>71.419999313354495</v>
      </c>
      <c r="V153" s="1123">
        <v>66.560001373291016</v>
      </c>
      <c r="W153" s="1123">
        <v>42.97999982833862</v>
      </c>
      <c r="X153" s="1123">
        <v>40.820000171661377</v>
      </c>
      <c r="Y153" s="1123">
        <v>25.520000171661376</v>
      </c>
      <c r="Z153" s="1123">
        <v>48.321315147974722</v>
      </c>
      <c r="AA153" s="1123">
        <f t="shared" si="150"/>
        <v>43.088013521149676</v>
      </c>
      <c r="AB153" s="1123">
        <f t="shared" si="151"/>
        <v>41.318327857625661</v>
      </c>
      <c r="AC153" s="1123">
        <f t="shared" si="152"/>
        <v>42.938071213430788</v>
      </c>
      <c r="AD153" s="1123">
        <f t="shared" si="153"/>
        <v>47.525032521873783</v>
      </c>
      <c r="AE153" s="1123">
        <f t="shared" si="154"/>
        <v>53.883549630695519</v>
      </c>
      <c r="AF153" s="1123">
        <f t="shared" si="155"/>
        <v>60.3561770677669</v>
      </c>
      <c r="AG153" s="1123">
        <f t="shared" si="156"/>
        <v>65.255724745407193</v>
      </c>
      <c r="AH153" s="1123">
        <f t="shared" si="157"/>
        <v>67.30505005712422</v>
      </c>
      <c r="AI153" s="1123">
        <f t="shared" si="158"/>
        <v>65.969964779359941</v>
      </c>
      <c r="AJ153" s="1123">
        <f t="shared" si="159"/>
        <v>61.598479464050548</v>
      </c>
      <c r="AK153" s="1123">
        <f t="shared" si="160"/>
        <v>55.330089125259299</v>
      </c>
      <c r="AL153" s="1123">
        <f t="shared" si="161"/>
        <v>48.798746303611246</v>
      </c>
      <c r="AM153" s="1120">
        <f t="shared" si="162"/>
        <v>1</v>
      </c>
      <c r="AN153" s="1120">
        <f t="shared" si="163"/>
        <v>1</v>
      </c>
      <c r="AO153" s="1120">
        <f t="shared" si="164"/>
        <v>1</v>
      </c>
      <c r="AP153" s="1120">
        <f t="shared" si="165"/>
        <v>1</v>
      </c>
      <c r="AQ153" s="1120">
        <f t="shared" si="166"/>
        <v>1</v>
      </c>
      <c r="AR153" s="1120">
        <f t="shared" si="167"/>
        <v>0</v>
      </c>
      <c r="AS153" s="1120">
        <f t="shared" si="168"/>
        <v>0</v>
      </c>
      <c r="AT153" s="1120">
        <f t="shared" si="169"/>
        <v>0</v>
      </c>
      <c r="AU153" s="1120">
        <f t="shared" si="170"/>
        <v>0</v>
      </c>
      <c r="AV153" s="1120">
        <f t="shared" si="171"/>
        <v>1</v>
      </c>
      <c r="AW153" s="1120">
        <f t="shared" si="172"/>
        <v>1</v>
      </c>
      <c r="AX153" s="1120">
        <f t="shared" si="173"/>
        <v>1</v>
      </c>
      <c r="AY153" s="1120">
        <f t="shared" si="174"/>
        <v>0</v>
      </c>
      <c r="AZ153" s="1120">
        <f t="shared" si="175"/>
        <v>0</v>
      </c>
      <c r="BA153" s="1120">
        <f t="shared" si="176"/>
        <v>0</v>
      </c>
      <c r="BB153" s="1120">
        <f t="shared" si="177"/>
        <v>0</v>
      </c>
      <c r="BC153" s="1120">
        <f t="shared" si="178"/>
        <v>0</v>
      </c>
      <c r="BD153" s="1120">
        <f t="shared" si="179"/>
        <v>1</v>
      </c>
      <c r="BE153" s="1120">
        <f t="shared" si="180"/>
        <v>1</v>
      </c>
      <c r="BF153" s="1120">
        <f t="shared" si="181"/>
        <v>1</v>
      </c>
      <c r="BG153" s="1120">
        <f t="shared" si="182"/>
        <v>1</v>
      </c>
      <c r="BH153" s="1120">
        <f t="shared" si="183"/>
        <v>0</v>
      </c>
      <c r="BI153" s="1120">
        <f t="shared" si="184"/>
        <v>0</v>
      </c>
      <c r="BJ153" s="1120">
        <f t="shared" si="185"/>
        <v>0</v>
      </c>
      <c r="BK153" s="1120">
        <f t="shared" si="186"/>
        <v>1</v>
      </c>
      <c r="BL153" s="1120">
        <f t="shared" si="187"/>
        <v>1</v>
      </c>
      <c r="BM153" s="1120">
        <f t="shared" si="188"/>
        <v>1</v>
      </c>
      <c r="BN153" s="1120">
        <f t="shared" si="189"/>
        <v>1</v>
      </c>
      <c r="BO153" s="1120">
        <f t="shared" si="190"/>
        <v>1</v>
      </c>
      <c r="BP153" s="1120">
        <f t="shared" si="191"/>
        <v>1</v>
      </c>
      <c r="BQ153" s="1120">
        <f t="shared" si="192"/>
        <v>0</v>
      </c>
      <c r="BR153" s="1120">
        <f t="shared" si="193"/>
        <v>0</v>
      </c>
      <c r="BS153" s="1120">
        <f t="shared" si="194"/>
        <v>0</v>
      </c>
      <c r="BT153" s="1120">
        <f t="shared" si="195"/>
        <v>1</v>
      </c>
      <c r="BU153" s="1120">
        <f t="shared" si="196"/>
        <v>1</v>
      </c>
      <c r="BV153" s="1120">
        <f t="shared" si="197"/>
        <v>1</v>
      </c>
      <c r="BW153" s="1120">
        <f t="shared" si="198"/>
        <v>0</v>
      </c>
      <c r="BX153" s="1120">
        <f t="shared" si="199"/>
        <v>0</v>
      </c>
      <c r="BY153" s="1120">
        <f t="shared" si="200"/>
        <v>0</v>
      </c>
      <c r="BZ153" s="1120">
        <f t="shared" si="201"/>
        <v>0</v>
      </c>
      <c r="CA153" s="1120">
        <f t="shared" si="202"/>
        <v>1</v>
      </c>
      <c r="CB153" s="1120">
        <f t="shared" si="203"/>
        <v>1</v>
      </c>
      <c r="CC153" s="1120">
        <f t="shared" si="204"/>
        <v>1</v>
      </c>
      <c r="CD153" s="1120">
        <f t="shared" si="205"/>
        <v>1</v>
      </c>
      <c r="CE153" s="1120">
        <f t="shared" si="206"/>
        <v>1</v>
      </c>
      <c r="CF153" s="1120">
        <f t="shared" si="207"/>
        <v>1</v>
      </c>
      <c r="CG153" s="1120">
        <f t="shared" si="208"/>
        <v>0</v>
      </c>
      <c r="CH153" s="1120">
        <f t="shared" si="209"/>
        <v>0</v>
      </c>
      <c r="CI153" s="1120">
        <f t="shared" si="210"/>
        <v>0.85</v>
      </c>
      <c r="CJ153" s="1120">
        <f t="shared" si="211"/>
        <v>0.85</v>
      </c>
      <c r="CK153" s="1120">
        <f t="shared" si="212"/>
        <v>0.85</v>
      </c>
      <c r="CL153" s="1120">
        <f t="shared" si="213"/>
        <v>0.85</v>
      </c>
      <c r="CM153" s="1120">
        <f t="shared" si="214"/>
        <v>0.85</v>
      </c>
      <c r="CN153" s="1120">
        <f t="shared" si="215"/>
        <v>0.85</v>
      </c>
      <c r="CO153" s="1120">
        <f t="shared" si="216"/>
        <v>0.7</v>
      </c>
      <c r="CP153" s="1120">
        <f t="shared" si="217"/>
        <v>0.7</v>
      </c>
      <c r="CQ153" s="1120">
        <f t="shared" si="218"/>
        <v>0.7</v>
      </c>
      <c r="CR153" s="1120">
        <f t="shared" si="219"/>
        <v>0.85</v>
      </c>
      <c r="CS153" s="1120">
        <f t="shared" si="220"/>
        <v>0.85</v>
      </c>
      <c r="CT153" s="1120">
        <f t="shared" si="221"/>
        <v>0.85</v>
      </c>
      <c r="CU153" s="1120">
        <v>1</v>
      </c>
      <c r="CV153" s="1120"/>
      <c r="CW153" s="1120">
        <f t="shared" si="222"/>
        <v>184</v>
      </c>
      <c r="CX153" s="1120">
        <f t="shared" si="223"/>
        <v>181</v>
      </c>
      <c r="CY153" s="1135" t="s">
        <v>4889</v>
      </c>
      <c r="CZ153" s="1124" t="s">
        <v>4897</v>
      </c>
      <c r="DA153" s="1124"/>
      <c r="DB153" s="1124"/>
      <c r="DC153" s="1120" t="s">
        <v>5557</v>
      </c>
      <c r="DD153" s="1120" t="s">
        <v>1147</v>
      </c>
      <c r="DE153" s="1120" t="str">
        <f t="shared" si="224"/>
        <v/>
      </c>
      <c r="DF153" s="1133">
        <v>0</v>
      </c>
      <c r="DG153" s="1125">
        <v>0</v>
      </c>
    </row>
    <row r="154" spans="1:111">
      <c r="A154" s="1120" t="s">
        <v>5816</v>
      </c>
      <c r="B154" s="1125" t="s">
        <v>3551</v>
      </c>
      <c r="C154" s="1125" t="s">
        <v>3552</v>
      </c>
      <c r="D154" s="1125" t="s">
        <v>256</v>
      </c>
      <c r="E154" s="1125">
        <v>977</v>
      </c>
      <c r="F154" s="1125">
        <v>-95.48</v>
      </c>
      <c r="G154" s="1125">
        <v>37.67</v>
      </c>
      <c r="H154" s="1125">
        <v>-6</v>
      </c>
      <c r="I154" s="1126">
        <v>11.659999656677245</v>
      </c>
      <c r="J154" s="1126">
        <v>94.820002746582034</v>
      </c>
      <c r="K154" s="1127">
        <v>75.739998626708982</v>
      </c>
      <c r="L154" s="1125">
        <v>4363.2</v>
      </c>
      <c r="M154" s="1125">
        <v>1868.4</v>
      </c>
      <c r="N154" s="1128">
        <v>35.419999957084656</v>
      </c>
      <c r="O154" s="1128">
        <v>38.839999914169312</v>
      </c>
      <c r="P154" s="1128">
        <v>49.1</v>
      </c>
      <c r="Q154" s="1128">
        <v>62.239998626708989</v>
      </c>
      <c r="R154" s="1128">
        <v>67.819999313354487</v>
      </c>
      <c r="S154" s="1128">
        <v>73.580000686645505</v>
      </c>
      <c r="T154" s="1128">
        <v>79.880000686645502</v>
      </c>
      <c r="U154" s="1128">
        <v>80.419999313354495</v>
      </c>
      <c r="V154" s="1128">
        <v>75.739998626708982</v>
      </c>
      <c r="W154" s="1128">
        <v>60.440000343322751</v>
      </c>
      <c r="X154" s="1128">
        <v>43.52000017166138</v>
      </c>
      <c r="Y154" s="1128">
        <v>22.820000171661377</v>
      </c>
      <c r="Z154" s="1128">
        <v>57.569369683004403</v>
      </c>
      <c r="AA154" s="1128">
        <f t="shared" si="150"/>
        <v>49.178751288583321</v>
      </c>
      <c r="AB154" s="1128">
        <f t="shared" si="151"/>
        <v>48.30884645167491</v>
      </c>
      <c r="AC154" s="1128">
        <f t="shared" si="152"/>
        <v>51.416832166794116</v>
      </c>
      <c r="AD154" s="1128">
        <f t="shared" si="153"/>
        <v>57.692564061785461</v>
      </c>
      <c r="AE154" s="1128">
        <f t="shared" si="154"/>
        <v>65.500175906263507</v>
      </c>
      <c r="AF154" s="1128">
        <f t="shared" si="155"/>
        <v>72.804493354024501</v>
      </c>
      <c r="AG154" s="1128">
        <f t="shared" si="156"/>
        <v>77.701533499370427</v>
      </c>
      <c r="AH154" s="1128">
        <f t="shared" si="157"/>
        <v>78.914807362743886</v>
      </c>
      <c r="AI154" s="1128">
        <f t="shared" si="158"/>
        <v>76.12805641454041</v>
      </c>
      <c r="AJ154" s="1128">
        <f t="shared" si="159"/>
        <v>70.067690234541288</v>
      </c>
      <c r="AK154" s="1128">
        <f t="shared" si="160"/>
        <v>62.31343666063308</v>
      </c>
      <c r="AL154" s="1128">
        <f t="shared" si="161"/>
        <v>54.886561383519698</v>
      </c>
      <c r="AM154" s="1125">
        <f t="shared" si="162"/>
        <v>1</v>
      </c>
      <c r="AN154" s="1125">
        <f t="shared" si="163"/>
        <v>1</v>
      </c>
      <c r="AO154" s="1125">
        <f t="shared" si="164"/>
        <v>1</v>
      </c>
      <c r="AP154" s="1125">
        <f t="shared" si="165"/>
        <v>1</v>
      </c>
      <c r="AQ154" s="1125">
        <f t="shared" si="166"/>
        <v>0</v>
      </c>
      <c r="AR154" s="1125">
        <f t="shared" si="167"/>
        <v>0</v>
      </c>
      <c r="AS154" s="1125">
        <f t="shared" si="168"/>
        <v>0</v>
      </c>
      <c r="AT154" s="1125">
        <f t="shared" si="169"/>
        <v>0</v>
      </c>
      <c r="AU154" s="1125">
        <f t="shared" si="170"/>
        <v>0</v>
      </c>
      <c r="AV154" s="1125">
        <f t="shared" si="171"/>
        <v>1</v>
      </c>
      <c r="AW154" s="1125">
        <f t="shared" si="172"/>
        <v>1</v>
      </c>
      <c r="AX154" s="1125">
        <f t="shared" si="173"/>
        <v>1</v>
      </c>
      <c r="AY154" s="1125">
        <f t="shared" si="174"/>
        <v>0</v>
      </c>
      <c r="AZ154" s="1125">
        <f t="shared" si="175"/>
        <v>0</v>
      </c>
      <c r="BA154" s="1125">
        <f t="shared" si="176"/>
        <v>0</v>
      </c>
      <c r="BB154" s="1125">
        <f t="shared" si="177"/>
        <v>0</v>
      </c>
      <c r="BC154" s="1125">
        <f t="shared" si="178"/>
        <v>1</v>
      </c>
      <c r="BD154" s="1125">
        <f t="shared" si="179"/>
        <v>1</v>
      </c>
      <c r="BE154" s="1125">
        <f t="shared" si="180"/>
        <v>1</v>
      </c>
      <c r="BF154" s="1125">
        <f t="shared" si="181"/>
        <v>1</v>
      </c>
      <c r="BG154" s="1125">
        <f t="shared" si="182"/>
        <v>1</v>
      </c>
      <c r="BH154" s="1125">
        <f t="shared" si="183"/>
        <v>0</v>
      </c>
      <c r="BI154" s="1125">
        <f t="shared" si="184"/>
        <v>0</v>
      </c>
      <c r="BJ154" s="1125">
        <f t="shared" si="185"/>
        <v>0</v>
      </c>
      <c r="BK154" s="1125">
        <f t="shared" si="186"/>
        <v>1</v>
      </c>
      <c r="BL154" s="1125">
        <f t="shared" si="187"/>
        <v>1</v>
      </c>
      <c r="BM154" s="1125">
        <f t="shared" si="188"/>
        <v>1</v>
      </c>
      <c r="BN154" s="1125">
        <f t="shared" si="189"/>
        <v>1</v>
      </c>
      <c r="BO154" s="1125">
        <f t="shared" si="190"/>
        <v>1</v>
      </c>
      <c r="BP154" s="1125">
        <f t="shared" si="191"/>
        <v>0</v>
      </c>
      <c r="BQ154" s="1125">
        <f t="shared" si="192"/>
        <v>0</v>
      </c>
      <c r="BR154" s="1125">
        <f t="shared" si="193"/>
        <v>0</v>
      </c>
      <c r="BS154" s="1125">
        <f t="shared" si="194"/>
        <v>0</v>
      </c>
      <c r="BT154" s="1125">
        <f t="shared" si="195"/>
        <v>1</v>
      </c>
      <c r="BU154" s="1125">
        <f t="shared" si="196"/>
        <v>1</v>
      </c>
      <c r="BV154" s="1125">
        <f t="shared" si="197"/>
        <v>1</v>
      </c>
      <c r="BW154" s="1125">
        <f t="shared" si="198"/>
        <v>0</v>
      </c>
      <c r="BX154" s="1125">
        <f t="shared" si="199"/>
        <v>0</v>
      </c>
      <c r="BY154" s="1125">
        <f t="shared" si="200"/>
        <v>0</v>
      </c>
      <c r="BZ154" s="1125">
        <f t="shared" si="201"/>
        <v>1</v>
      </c>
      <c r="CA154" s="1125">
        <f t="shared" si="202"/>
        <v>1</v>
      </c>
      <c r="CB154" s="1125">
        <f t="shared" si="203"/>
        <v>1</v>
      </c>
      <c r="CC154" s="1125">
        <f t="shared" si="204"/>
        <v>1</v>
      </c>
      <c r="CD154" s="1125">
        <f t="shared" si="205"/>
        <v>1</v>
      </c>
      <c r="CE154" s="1125">
        <f t="shared" si="206"/>
        <v>1</v>
      </c>
      <c r="CF154" s="1125">
        <f t="shared" si="207"/>
        <v>1</v>
      </c>
      <c r="CG154" s="1125">
        <f t="shared" si="208"/>
        <v>0</v>
      </c>
      <c r="CH154" s="1125">
        <f t="shared" si="209"/>
        <v>0</v>
      </c>
      <c r="CI154" s="1125">
        <f t="shared" si="210"/>
        <v>0.85</v>
      </c>
      <c r="CJ154" s="1125">
        <f t="shared" si="211"/>
        <v>0.85</v>
      </c>
      <c r="CK154" s="1125">
        <f t="shared" si="212"/>
        <v>0.85</v>
      </c>
      <c r="CL154" s="1125">
        <f t="shared" si="213"/>
        <v>0.85</v>
      </c>
      <c r="CM154" s="1125">
        <f t="shared" si="214"/>
        <v>0.85</v>
      </c>
      <c r="CN154" s="1125">
        <f t="shared" si="215"/>
        <v>0.7</v>
      </c>
      <c r="CO154" s="1125">
        <f t="shared" si="216"/>
        <v>0.7</v>
      </c>
      <c r="CP154" s="1125">
        <f t="shared" si="217"/>
        <v>0.7</v>
      </c>
      <c r="CQ154" s="1125">
        <f t="shared" si="218"/>
        <v>0.7</v>
      </c>
      <c r="CR154" s="1125">
        <f t="shared" si="219"/>
        <v>0.85</v>
      </c>
      <c r="CS154" s="1125">
        <f t="shared" si="220"/>
        <v>0.85</v>
      </c>
      <c r="CT154" s="1125">
        <f t="shared" si="221"/>
        <v>0.85</v>
      </c>
      <c r="CU154" s="1125">
        <v>1</v>
      </c>
      <c r="CV154" s="1125"/>
      <c r="CW154" s="1125">
        <f t="shared" si="222"/>
        <v>214</v>
      </c>
      <c r="CX154" s="1125">
        <f t="shared" si="223"/>
        <v>151</v>
      </c>
      <c r="CY154" s="1136" t="s">
        <v>4881</v>
      </c>
      <c r="CZ154" s="1129" t="s">
        <v>4885</v>
      </c>
      <c r="DA154" s="1129"/>
      <c r="DB154" s="1129"/>
      <c r="DC154" s="1125" t="s">
        <v>5225</v>
      </c>
      <c r="DD154" s="1125" t="s">
        <v>256</v>
      </c>
      <c r="DE154" s="1120" t="str">
        <f t="shared" si="224"/>
        <v/>
      </c>
      <c r="DF154" s="1133">
        <v>0</v>
      </c>
      <c r="DG154" s="1120">
        <v>0</v>
      </c>
    </row>
    <row r="155" spans="1:111">
      <c r="A155" s="1125" t="s">
        <v>3130</v>
      </c>
      <c r="B155" s="1120" t="s">
        <v>3416</v>
      </c>
      <c r="C155" s="1120" t="s">
        <v>3417</v>
      </c>
      <c r="D155" s="1120" t="s">
        <v>566</v>
      </c>
      <c r="E155" s="1120">
        <v>1050</v>
      </c>
      <c r="F155" s="1120">
        <v>-93.37</v>
      </c>
      <c r="G155" s="1120">
        <v>41.03</v>
      </c>
      <c r="H155" s="1120">
        <v>-6</v>
      </c>
      <c r="I155" s="1121">
        <v>3.0199993133544916</v>
      </c>
      <c r="J155" s="1121">
        <v>90.5</v>
      </c>
      <c r="K155" s="1122">
        <v>77.900000000000006</v>
      </c>
      <c r="L155" s="1120">
        <v>5886</v>
      </c>
      <c r="M155" s="1120">
        <v>1281.6000000000001</v>
      </c>
      <c r="N155" s="1123">
        <v>24.8</v>
      </c>
      <c r="O155" s="1123">
        <v>23</v>
      </c>
      <c r="P155" s="1123">
        <v>42.620000171661374</v>
      </c>
      <c r="Q155" s="1123">
        <v>52.340000343322757</v>
      </c>
      <c r="R155" s="1123">
        <v>62.419999313354495</v>
      </c>
      <c r="S155" s="1123">
        <v>72.5</v>
      </c>
      <c r="T155" s="1123">
        <v>78.080000686645505</v>
      </c>
      <c r="U155" s="1123">
        <v>76.639998626708987</v>
      </c>
      <c r="V155" s="1123">
        <v>67.460001373291021</v>
      </c>
      <c r="W155" s="1123">
        <v>52.880000686645509</v>
      </c>
      <c r="X155" s="1123">
        <v>36.679999828338623</v>
      </c>
      <c r="Y155" s="1123">
        <v>29.660000085830688</v>
      </c>
      <c r="Z155" s="1123">
        <v>51.763013789163878</v>
      </c>
      <c r="AA155" s="1123">
        <f t="shared" si="150"/>
        <v>46.027766600813223</v>
      </c>
      <c r="AB155" s="1123">
        <f t="shared" si="151"/>
        <v>44.623946462353246</v>
      </c>
      <c r="AC155" s="1123">
        <f t="shared" si="152"/>
        <v>46.64502670178296</v>
      </c>
      <c r="AD155" s="1123">
        <f t="shared" si="153"/>
        <v>51.564181608905749</v>
      </c>
      <c r="AE155" s="1123">
        <f t="shared" si="154"/>
        <v>58.099157650708285</v>
      </c>
      <c r="AF155" s="1123">
        <f t="shared" si="155"/>
        <v>64.546512614865563</v>
      </c>
      <c r="AG155" s="1123">
        <f t="shared" si="156"/>
        <v>69.225644073222497</v>
      </c>
      <c r="AH155" s="1123">
        <f t="shared" si="157"/>
        <v>70.91686430355989</v>
      </c>
      <c r="AI155" s="1123">
        <f t="shared" si="158"/>
        <v>69.179330690347641</v>
      </c>
      <c r="AJ155" s="1123">
        <f t="shared" si="159"/>
        <v>64.465958146073021</v>
      </c>
      <c r="AK155" s="1123">
        <f t="shared" si="160"/>
        <v>58.005359859670762</v>
      </c>
      <c r="AL155" s="1123">
        <f t="shared" si="161"/>
        <v>51.481590335324896</v>
      </c>
      <c r="AM155" s="1120">
        <f t="shared" si="162"/>
        <v>1</v>
      </c>
      <c r="AN155" s="1120">
        <f t="shared" si="163"/>
        <v>1</v>
      </c>
      <c r="AO155" s="1120">
        <f t="shared" si="164"/>
        <v>1</v>
      </c>
      <c r="AP155" s="1120">
        <f t="shared" si="165"/>
        <v>1</v>
      </c>
      <c r="AQ155" s="1120">
        <f t="shared" si="166"/>
        <v>1</v>
      </c>
      <c r="AR155" s="1120">
        <f t="shared" si="167"/>
        <v>0</v>
      </c>
      <c r="AS155" s="1120">
        <f t="shared" si="168"/>
        <v>0</v>
      </c>
      <c r="AT155" s="1120">
        <f t="shared" si="169"/>
        <v>0</v>
      </c>
      <c r="AU155" s="1120">
        <f t="shared" si="170"/>
        <v>0</v>
      </c>
      <c r="AV155" s="1120">
        <f t="shared" si="171"/>
        <v>1</v>
      </c>
      <c r="AW155" s="1120">
        <f t="shared" si="172"/>
        <v>1</v>
      </c>
      <c r="AX155" s="1120">
        <f t="shared" si="173"/>
        <v>1</v>
      </c>
      <c r="AY155" s="1120">
        <f t="shared" si="174"/>
        <v>0</v>
      </c>
      <c r="AZ155" s="1120">
        <f t="shared" si="175"/>
        <v>0</v>
      </c>
      <c r="BA155" s="1120">
        <f t="shared" si="176"/>
        <v>0</v>
      </c>
      <c r="BB155" s="1120">
        <f t="shared" si="177"/>
        <v>0</v>
      </c>
      <c r="BC155" s="1120">
        <f t="shared" si="178"/>
        <v>0</v>
      </c>
      <c r="BD155" s="1120">
        <f t="shared" si="179"/>
        <v>1</v>
      </c>
      <c r="BE155" s="1120">
        <f t="shared" si="180"/>
        <v>1</v>
      </c>
      <c r="BF155" s="1120">
        <f t="shared" si="181"/>
        <v>1</v>
      </c>
      <c r="BG155" s="1120">
        <f t="shared" si="182"/>
        <v>1</v>
      </c>
      <c r="BH155" s="1120">
        <f t="shared" si="183"/>
        <v>0</v>
      </c>
      <c r="BI155" s="1120">
        <f t="shared" si="184"/>
        <v>0</v>
      </c>
      <c r="BJ155" s="1120">
        <f t="shared" si="185"/>
        <v>0</v>
      </c>
      <c r="BK155" s="1120">
        <f t="shared" si="186"/>
        <v>1</v>
      </c>
      <c r="BL155" s="1120">
        <f t="shared" si="187"/>
        <v>1</v>
      </c>
      <c r="BM155" s="1120">
        <f t="shared" si="188"/>
        <v>1</v>
      </c>
      <c r="BN155" s="1120">
        <f t="shared" si="189"/>
        <v>1</v>
      </c>
      <c r="BO155" s="1120">
        <f t="shared" si="190"/>
        <v>1</v>
      </c>
      <c r="BP155" s="1120">
        <f t="shared" si="191"/>
        <v>1</v>
      </c>
      <c r="BQ155" s="1120">
        <f t="shared" si="192"/>
        <v>0</v>
      </c>
      <c r="BR155" s="1120">
        <f t="shared" si="193"/>
        <v>0</v>
      </c>
      <c r="BS155" s="1120">
        <f t="shared" si="194"/>
        <v>0</v>
      </c>
      <c r="BT155" s="1120">
        <f t="shared" si="195"/>
        <v>1</v>
      </c>
      <c r="BU155" s="1120">
        <f t="shared" si="196"/>
        <v>1</v>
      </c>
      <c r="BV155" s="1120">
        <f t="shared" si="197"/>
        <v>1</v>
      </c>
      <c r="BW155" s="1120">
        <f t="shared" si="198"/>
        <v>0</v>
      </c>
      <c r="BX155" s="1120">
        <f t="shared" si="199"/>
        <v>0</v>
      </c>
      <c r="BY155" s="1120">
        <f t="shared" si="200"/>
        <v>0</v>
      </c>
      <c r="BZ155" s="1120">
        <f t="shared" si="201"/>
        <v>0</v>
      </c>
      <c r="CA155" s="1120">
        <f t="shared" si="202"/>
        <v>1</v>
      </c>
      <c r="CB155" s="1120">
        <f t="shared" si="203"/>
        <v>1</v>
      </c>
      <c r="CC155" s="1120">
        <f t="shared" si="204"/>
        <v>1</v>
      </c>
      <c r="CD155" s="1120">
        <f t="shared" si="205"/>
        <v>1</v>
      </c>
      <c r="CE155" s="1120">
        <f t="shared" si="206"/>
        <v>1</v>
      </c>
      <c r="CF155" s="1120">
        <f t="shared" si="207"/>
        <v>1</v>
      </c>
      <c r="CG155" s="1120">
        <f t="shared" si="208"/>
        <v>0</v>
      </c>
      <c r="CH155" s="1120">
        <f t="shared" si="209"/>
        <v>0</v>
      </c>
      <c r="CI155" s="1120">
        <f t="shared" si="210"/>
        <v>0.85</v>
      </c>
      <c r="CJ155" s="1120">
        <f t="shared" si="211"/>
        <v>0.85</v>
      </c>
      <c r="CK155" s="1120">
        <f t="shared" si="212"/>
        <v>0.85</v>
      </c>
      <c r="CL155" s="1120">
        <f t="shared" si="213"/>
        <v>0.85</v>
      </c>
      <c r="CM155" s="1120">
        <f t="shared" si="214"/>
        <v>0.85</v>
      </c>
      <c r="CN155" s="1120">
        <f t="shared" si="215"/>
        <v>0.85</v>
      </c>
      <c r="CO155" s="1120">
        <f t="shared" si="216"/>
        <v>0.7</v>
      </c>
      <c r="CP155" s="1120">
        <f t="shared" si="217"/>
        <v>0.7</v>
      </c>
      <c r="CQ155" s="1120">
        <f t="shared" si="218"/>
        <v>0.7</v>
      </c>
      <c r="CR155" s="1120">
        <f t="shared" si="219"/>
        <v>0.85</v>
      </c>
      <c r="CS155" s="1120">
        <f t="shared" si="220"/>
        <v>0.85</v>
      </c>
      <c r="CT155" s="1120">
        <f t="shared" si="221"/>
        <v>0.85</v>
      </c>
      <c r="CU155" s="1120">
        <v>1</v>
      </c>
      <c r="CV155" s="1120"/>
      <c r="CW155" s="1120">
        <f t="shared" si="222"/>
        <v>184</v>
      </c>
      <c r="CX155" s="1120">
        <f t="shared" si="223"/>
        <v>181</v>
      </c>
      <c r="CY155" s="1135" t="s">
        <v>4889</v>
      </c>
      <c r="CZ155" s="1124" t="s">
        <v>4897</v>
      </c>
      <c r="DA155" s="1124"/>
      <c r="DB155" s="1124"/>
      <c r="DC155" s="1120" t="s">
        <v>5163</v>
      </c>
      <c r="DD155" s="1120" t="s">
        <v>566</v>
      </c>
      <c r="DE155" s="1120" t="str">
        <f t="shared" si="224"/>
        <v/>
      </c>
      <c r="DF155" s="1133">
        <v>0</v>
      </c>
      <c r="DG155" s="1125">
        <v>0</v>
      </c>
    </row>
    <row r="156" spans="1:111">
      <c r="A156" s="1120" t="s">
        <v>3132</v>
      </c>
      <c r="B156" s="1125" t="s">
        <v>3418</v>
      </c>
      <c r="C156" s="1125" t="s">
        <v>3419</v>
      </c>
      <c r="D156" s="1125" t="s">
        <v>566</v>
      </c>
      <c r="E156" s="1125">
        <v>1125</v>
      </c>
      <c r="F156" s="1125">
        <v>-92.62</v>
      </c>
      <c r="G156" s="1125">
        <v>43.07</v>
      </c>
      <c r="H156" s="1125">
        <v>-6</v>
      </c>
      <c r="I156" s="1126">
        <v>-3.2800006866455087</v>
      </c>
      <c r="J156" s="1126">
        <v>87.8</v>
      </c>
      <c r="K156" s="1127">
        <v>76.280000686645508</v>
      </c>
      <c r="L156" s="1125">
        <v>6597</v>
      </c>
      <c r="M156" s="1125">
        <v>779.4</v>
      </c>
      <c r="N156" s="1128">
        <v>23.720000171661376</v>
      </c>
      <c r="O156" s="1128">
        <v>20.120000171661378</v>
      </c>
      <c r="P156" s="1128">
        <v>38.47999982833862</v>
      </c>
      <c r="Q156" s="1128">
        <v>51.080000686645505</v>
      </c>
      <c r="R156" s="1128">
        <v>55.040000343322752</v>
      </c>
      <c r="S156" s="1128">
        <v>69.260001373291018</v>
      </c>
      <c r="T156" s="1128">
        <v>68.360001373291013</v>
      </c>
      <c r="U156" s="1128">
        <v>72.319999313354487</v>
      </c>
      <c r="V156" s="1128">
        <v>68.539998626708979</v>
      </c>
      <c r="W156" s="1128">
        <v>49.1</v>
      </c>
      <c r="X156" s="1128">
        <v>34.160000085830688</v>
      </c>
      <c r="Y156" s="1128">
        <v>29.480000042915343</v>
      </c>
      <c r="Z156" s="1128">
        <v>48.454959071890947</v>
      </c>
      <c r="AA156" s="1128">
        <f t="shared" si="150"/>
        <v>44.41859714919309</v>
      </c>
      <c r="AB156" s="1128">
        <f t="shared" si="151"/>
        <v>42.852725325710885</v>
      </c>
      <c r="AC156" s="1128">
        <f t="shared" si="152"/>
        <v>44.31115452400465</v>
      </c>
      <c r="AD156" s="1128">
        <f t="shared" si="153"/>
        <v>48.413722698464852</v>
      </c>
      <c r="AE156" s="1128">
        <f t="shared" si="154"/>
        <v>54.091032231929141</v>
      </c>
      <c r="AF156" s="1128">
        <f t="shared" si="155"/>
        <v>59.863204904511839</v>
      </c>
      <c r="AG156" s="1128">
        <f t="shared" si="156"/>
        <v>64.225634957230824</v>
      </c>
      <c r="AH156" s="1128">
        <f t="shared" si="157"/>
        <v>66.041187769762857</v>
      </c>
      <c r="AI156" s="1128">
        <f t="shared" si="158"/>
        <v>64.836611523005701</v>
      </c>
      <c r="AJ156" s="1128">
        <f t="shared" si="159"/>
        <v>60.925897578758459</v>
      </c>
      <c r="AK156" s="1128">
        <f t="shared" si="160"/>
        <v>55.328433792515327</v>
      </c>
      <c r="AL156" s="1128">
        <f t="shared" si="161"/>
        <v>49.503285359688547</v>
      </c>
      <c r="AM156" s="1125">
        <f t="shared" si="162"/>
        <v>1</v>
      </c>
      <c r="AN156" s="1125">
        <f t="shared" si="163"/>
        <v>1</v>
      </c>
      <c r="AO156" s="1125">
        <f t="shared" si="164"/>
        <v>1</v>
      </c>
      <c r="AP156" s="1125">
        <f t="shared" si="165"/>
        <v>1</v>
      </c>
      <c r="AQ156" s="1125">
        <f t="shared" si="166"/>
        <v>1</v>
      </c>
      <c r="AR156" s="1125">
        <f t="shared" si="167"/>
        <v>0</v>
      </c>
      <c r="AS156" s="1125">
        <f t="shared" si="168"/>
        <v>0</v>
      </c>
      <c r="AT156" s="1125">
        <f t="shared" si="169"/>
        <v>0</v>
      </c>
      <c r="AU156" s="1125">
        <f t="shared" si="170"/>
        <v>0</v>
      </c>
      <c r="AV156" s="1125">
        <f t="shared" si="171"/>
        <v>1</v>
      </c>
      <c r="AW156" s="1125">
        <f t="shared" si="172"/>
        <v>1</v>
      </c>
      <c r="AX156" s="1125">
        <f t="shared" si="173"/>
        <v>1</v>
      </c>
      <c r="AY156" s="1125">
        <f t="shared" si="174"/>
        <v>0</v>
      </c>
      <c r="AZ156" s="1125">
        <f t="shared" si="175"/>
        <v>0</v>
      </c>
      <c r="BA156" s="1125">
        <f t="shared" si="176"/>
        <v>0</v>
      </c>
      <c r="BB156" s="1125">
        <f t="shared" si="177"/>
        <v>0</v>
      </c>
      <c r="BC156" s="1125">
        <f t="shared" si="178"/>
        <v>0</v>
      </c>
      <c r="BD156" s="1125">
        <f t="shared" si="179"/>
        <v>1</v>
      </c>
      <c r="BE156" s="1125">
        <f t="shared" si="180"/>
        <v>1</v>
      </c>
      <c r="BF156" s="1125">
        <f t="shared" si="181"/>
        <v>1</v>
      </c>
      <c r="BG156" s="1125">
        <f t="shared" si="182"/>
        <v>1</v>
      </c>
      <c r="BH156" s="1125">
        <f t="shared" si="183"/>
        <v>0</v>
      </c>
      <c r="BI156" s="1125">
        <f t="shared" si="184"/>
        <v>0</v>
      </c>
      <c r="BJ156" s="1125">
        <f t="shared" si="185"/>
        <v>0</v>
      </c>
      <c r="BK156" s="1125">
        <f t="shared" si="186"/>
        <v>1</v>
      </c>
      <c r="BL156" s="1125">
        <f t="shared" si="187"/>
        <v>1</v>
      </c>
      <c r="BM156" s="1125">
        <f t="shared" si="188"/>
        <v>1</v>
      </c>
      <c r="BN156" s="1125">
        <f t="shared" si="189"/>
        <v>1</v>
      </c>
      <c r="BO156" s="1125">
        <f t="shared" si="190"/>
        <v>1</v>
      </c>
      <c r="BP156" s="1125">
        <f t="shared" si="191"/>
        <v>1</v>
      </c>
      <c r="BQ156" s="1125">
        <f t="shared" si="192"/>
        <v>0</v>
      </c>
      <c r="BR156" s="1125">
        <f t="shared" si="193"/>
        <v>0</v>
      </c>
      <c r="BS156" s="1125">
        <f t="shared" si="194"/>
        <v>0</v>
      </c>
      <c r="BT156" s="1125">
        <f t="shared" si="195"/>
        <v>1</v>
      </c>
      <c r="BU156" s="1125">
        <f t="shared" si="196"/>
        <v>1</v>
      </c>
      <c r="BV156" s="1125">
        <f t="shared" si="197"/>
        <v>1</v>
      </c>
      <c r="BW156" s="1125">
        <f t="shared" si="198"/>
        <v>0</v>
      </c>
      <c r="BX156" s="1125">
        <f t="shared" si="199"/>
        <v>0</v>
      </c>
      <c r="BY156" s="1125">
        <f t="shared" si="200"/>
        <v>0</v>
      </c>
      <c r="BZ156" s="1125">
        <f t="shared" si="201"/>
        <v>0</v>
      </c>
      <c r="CA156" s="1125">
        <f t="shared" si="202"/>
        <v>1</v>
      </c>
      <c r="CB156" s="1125">
        <f t="shared" si="203"/>
        <v>1</v>
      </c>
      <c r="CC156" s="1125">
        <f t="shared" si="204"/>
        <v>1</v>
      </c>
      <c r="CD156" s="1125">
        <f t="shared" si="205"/>
        <v>1</v>
      </c>
      <c r="CE156" s="1125">
        <f t="shared" si="206"/>
        <v>1</v>
      </c>
      <c r="CF156" s="1125">
        <f t="shared" si="207"/>
        <v>1</v>
      </c>
      <c r="CG156" s="1125">
        <f t="shared" si="208"/>
        <v>0</v>
      </c>
      <c r="CH156" s="1125">
        <f t="shared" si="209"/>
        <v>0</v>
      </c>
      <c r="CI156" s="1125">
        <f t="shared" si="210"/>
        <v>0.85</v>
      </c>
      <c r="CJ156" s="1125">
        <f t="shared" si="211"/>
        <v>0.85</v>
      </c>
      <c r="CK156" s="1125">
        <f t="shared" si="212"/>
        <v>0.85</v>
      </c>
      <c r="CL156" s="1125">
        <f t="shared" si="213"/>
        <v>0.85</v>
      </c>
      <c r="CM156" s="1125">
        <f t="shared" si="214"/>
        <v>0.85</v>
      </c>
      <c r="CN156" s="1125">
        <f t="shared" si="215"/>
        <v>0.85</v>
      </c>
      <c r="CO156" s="1125">
        <f t="shared" si="216"/>
        <v>0.7</v>
      </c>
      <c r="CP156" s="1125">
        <f t="shared" si="217"/>
        <v>0.7</v>
      </c>
      <c r="CQ156" s="1125">
        <f t="shared" si="218"/>
        <v>0.7</v>
      </c>
      <c r="CR156" s="1125">
        <f t="shared" si="219"/>
        <v>0.85</v>
      </c>
      <c r="CS156" s="1125">
        <f t="shared" si="220"/>
        <v>0.85</v>
      </c>
      <c r="CT156" s="1125">
        <f t="shared" si="221"/>
        <v>0.85</v>
      </c>
      <c r="CU156" s="1125">
        <v>1</v>
      </c>
      <c r="CV156" s="1125"/>
      <c r="CW156" s="1125">
        <f t="shared" si="222"/>
        <v>184</v>
      </c>
      <c r="CX156" s="1125">
        <f t="shared" si="223"/>
        <v>181</v>
      </c>
      <c r="CY156" s="1136" t="s">
        <v>4889</v>
      </c>
      <c r="CZ156" s="1129" t="s">
        <v>4899</v>
      </c>
      <c r="DA156" s="1129"/>
      <c r="DB156" s="1129"/>
      <c r="DC156" s="1125" t="s">
        <v>5164</v>
      </c>
      <c r="DD156" s="1125" t="s">
        <v>566</v>
      </c>
      <c r="DE156" s="1120" t="str">
        <f t="shared" si="224"/>
        <v/>
      </c>
      <c r="DF156" s="1133">
        <v>0</v>
      </c>
      <c r="DG156" s="1120">
        <v>0</v>
      </c>
    </row>
    <row r="157" spans="1:111">
      <c r="A157" s="1125" t="s">
        <v>3134</v>
      </c>
      <c r="B157" s="1120" t="s">
        <v>4300</v>
      </c>
      <c r="C157" s="1120" t="s">
        <v>4301</v>
      </c>
      <c r="D157" s="1120" t="s">
        <v>512</v>
      </c>
      <c r="E157" s="1120">
        <v>39</v>
      </c>
      <c r="F157" s="1120">
        <v>-80.03</v>
      </c>
      <c r="G157" s="1120">
        <v>32.9</v>
      </c>
      <c r="H157" s="1120">
        <v>-5</v>
      </c>
      <c r="I157" s="1121">
        <v>30.380000042915345</v>
      </c>
      <c r="J157" s="1121">
        <v>92.120002746582031</v>
      </c>
      <c r="K157" s="1122">
        <v>77.539998626708979</v>
      </c>
      <c r="L157" s="1120">
        <v>1960.2</v>
      </c>
      <c r="M157" s="1120">
        <v>2280.6</v>
      </c>
      <c r="N157" s="1123">
        <v>47.119999313354491</v>
      </c>
      <c r="O157" s="1123">
        <v>48.919999313354495</v>
      </c>
      <c r="P157" s="1123">
        <v>60.080000686645505</v>
      </c>
      <c r="Q157" s="1123">
        <v>64.939998626708984</v>
      </c>
      <c r="R157" s="1123">
        <v>71.599999999999994</v>
      </c>
      <c r="S157" s="1123">
        <v>78.080000686645505</v>
      </c>
      <c r="T157" s="1123">
        <v>81.319999313354487</v>
      </c>
      <c r="U157" s="1123">
        <v>80.419999313354495</v>
      </c>
      <c r="V157" s="1123">
        <v>75.919999313354495</v>
      </c>
      <c r="W157" s="1123">
        <v>65.3</v>
      </c>
      <c r="X157" s="1123">
        <v>59</v>
      </c>
      <c r="Y157" s="1123">
        <v>49.459999656677248</v>
      </c>
      <c r="Z157" s="1123">
        <v>65.266465442082648</v>
      </c>
      <c r="AA157" s="1123">
        <f t="shared" si="150"/>
        <v>61.081132259732193</v>
      </c>
      <c r="AB157" s="1123">
        <f t="shared" si="151"/>
        <v>61.197698793639432</v>
      </c>
      <c r="AC157" s="1123">
        <f t="shared" si="152"/>
        <v>63.938844518854239</v>
      </c>
      <c r="AD157" s="1123">
        <f t="shared" si="153"/>
        <v>68.590047559765068</v>
      </c>
      <c r="AE157" s="1123">
        <f t="shared" si="154"/>
        <v>73.938900166550027</v>
      </c>
      <c r="AF157" s="1123">
        <f t="shared" si="155"/>
        <v>78.591141478936834</v>
      </c>
      <c r="AG157" s="1123">
        <f t="shared" si="156"/>
        <v>81.33409310564312</v>
      </c>
      <c r="AH157" s="1123">
        <f t="shared" si="157"/>
        <v>81.452762435003834</v>
      </c>
      <c r="AI157" s="1123">
        <f t="shared" si="158"/>
        <v>78.916216477571353</v>
      </c>
      <c r="AJ157" s="1123">
        <f t="shared" si="159"/>
        <v>74.385645026506893</v>
      </c>
      <c r="AK157" s="1123">
        <f t="shared" si="160"/>
        <v>69.042011348749867</v>
      </c>
      <c r="AL157" s="1123">
        <f t="shared" si="161"/>
        <v>64.278215910295245</v>
      </c>
      <c r="AM157" s="1120">
        <f t="shared" si="162"/>
        <v>1</v>
      </c>
      <c r="AN157" s="1120">
        <f t="shared" si="163"/>
        <v>1</v>
      </c>
      <c r="AO157" s="1120">
        <f t="shared" si="164"/>
        <v>1</v>
      </c>
      <c r="AP157" s="1120">
        <f t="shared" si="165"/>
        <v>1</v>
      </c>
      <c r="AQ157" s="1120">
        <f t="shared" si="166"/>
        <v>0</v>
      </c>
      <c r="AR157" s="1120">
        <f t="shared" si="167"/>
        <v>0</v>
      </c>
      <c r="AS157" s="1120">
        <f t="shared" si="168"/>
        <v>0</v>
      </c>
      <c r="AT157" s="1120">
        <f t="shared" si="169"/>
        <v>0</v>
      </c>
      <c r="AU157" s="1120">
        <f t="shared" si="170"/>
        <v>0</v>
      </c>
      <c r="AV157" s="1120">
        <f t="shared" si="171"/>
        <v>1</v>
      </c>
      <c r="AW157" s="1120">
        <f t="shared" si="172"/>
        <v>1</v>
      </c>
      <c r="AX157" s="1120">
        <f t="shared" si="173"/>
        <v>1</v>
      </c>
      <c r="AY157" s="1120">
        <f t="shared" si="174"/>
        <v>0</v>
      </c>
      <c r="AZ157" s="1120">
        <f t="shared" si="175"/>
        <v>0</v>
      </c>
      <c r="BA157" s="1120">
        <f t="shared" si="176"/>
        <v>0</v>
      </c>
      <c r="BB157" s="1120">
        <f t="shared" si="177"/>
        <v>0</v>
      </c>
      <c r="BC157" s="1120">
        <f t="shared" si="178"/>
        <v>1</v>
      </c>
      <c r="BD157" s="1120">
        <f t="shared" si="179"/>
        <v>1</v>
      </c>
      <c r="BE157" s="1120">
        <f t="shared" si="180"/>
        <v>1</v>
      </c>
      <c r="BF157" s="1120">
        <f t="shared" si="181"/>
        <v>1</v>
      </c>
      <c r="BG157" s="1120">
        <f t="shared" si="182"/>
        <v>1</v>
      </c>
      <c r="BH157" s="1120">
        <f t="shared" si="183"/>
        <v>0</v>
      </c>
      <c r="BI157" s="1120">
        <f t="shared" si="184"/>
        <v>0</v>
      </c>
      <c r="BJ157" s="1120">
        <f t="shared" si="185"/>
        <v>0</v>
      </c>
      <c r="BK157" s="1120">
        <f t="shared" si="186"/>
        <v>1</v>
      </c>
      <c r="BL157" s="1120">
        <f t="shared" si="187"/>
        <v>1</v>
      </c>
      <c r="BM157" s="1120">
        <f t="shared" si="188"/>
        <v>1</v>
      </c>
      <c r="BN157" s="1120">
        <f t="shared" si="189"/>
        <v>1</v>
      </c>
      <c r="BO157" s="1120">
        <f t="shared" si="190"/>
        <v>1</v>
      </c>
      <c r="BP157" s="1120">
        <f t="shared" si="191"/>
        <v>0</v>
      </c>
      <c r="BQ157" s="1120">
        <f t="shared" si="192"/>
        <v>0</v>
      </c>
      <c r="BR157" s="1120">
        <f t="shared" si="193"/>
        <v>0</v>
      </c>
      <c r="BS157" s="1120">
        <f t="shared" si="194"/>
        <v>0</v>
      </c>
      <c r="BT157" s="1120">
        <f t="shared" si="195"/>
        <v>1</v>
      </c>
      <c r="BU157" s="1120">
        <f t="shared" si="196"/>
        <v>1</v>
      </c>
      <c r="BV157" s="1120">
        <f t="shared" si="197"/>
        <v>1</v>
      </c>
      <c r="BW157" s="1120">
        <f t="shared" si="198"/>
        <v>0</v>
      </c>
      <c r="BX157" s="1120">
        <f t="shared" si="199"/>
        <v>0</v>
      </c>
      <c r="BY157" s="1120">
        <f t="shared" si="200"/>
        <v>0</v>
      </c>
      <c r="BZ157" s="1120">
        <f t="shared" si="201"/>
        <v>1</v>
      </c>
      <c r="CA157" s="1120">
        <f t="shared" si="202"/>
        <v>1</v>
      </c>
      <c r="CB157" s="1120">
        <f t="shared" si="203"/>
        <v>1</v>
      </c>
      <c r="CC157" s="1120">
        <f t="shared" si="204"/>
        <v>1</v>
      </c>
      <c r="CD157" s="1120">
        <f t="shared" si="205"/>
        <v>1</v>
      </c>
      <c r="CE157" s="1120">
        <f t="shared" si="206"/>
        <v>1</v>
      </c>
      <c r="CF157" s="1120">
        <f t="shared" si="207"/>
        <v>1</v>
      </c>
      <c r="CG157" s="1120">
        <f t="shared" si="208"/>
        <v>0</v>
      </c>
      <c r="CH157" s="1120">
        <f t="shared" si="209"/>
        <v>0</v>
      </c>
      <c r="CI157" s="1120">
        <f t="shared" si="210"/>
        <v>0.85</v>
      </c>
      <c r="CJ157" s="1120">
        <f t="shared" si="211"/>
        <v>0.85</v>
      </c>
      <c r="CK157" s="1120">
        <f t="shared" si="212"/>
        <v>0.85</v>
      </c>
      <c r="CL157" s="1120">
        <f t="shared" si="213"/>
        <v>0.85</v>
      </c>
      <c r="CM157" s="1120">
        <f t="shared" si="214"/>
        <v>0.85</v>
      </c>
      <c r="CN157" s="1120">
        <f t="shared" si="215"/>
        <v>0.7</v>
      </c>
      <c r="CO157" s="1120">
        <f t="shared" si="216"/>
        <v>0.7</v>
      </c>
      <c r="CP157" s="1120">
        <f t="shared" si="217"/>
        <v>0.7</v>
      </c>
      <c r="CQ157" s="1120">
        <f t="shared" si="218"/>
        <v>0.7</v>
      </c>
      <c r="CR157" s="1120">
        <f t="shared" si="219"/>
        <v>0.85</v>
      </c>
      <c r="CS157" s="1120">
        <f t="shared" si="220"/>
        <v>0.85</v>
      </c>
      <c r="CT157" s="1120">
        <f t="shared" si="221"/>
        <v>0.85</v>
      </c>
      <c r="CU157" s="1120">
        <v>1</v>
      </c>
      <c r="CV157" s="1120"/>
      <c r="CW157" s="1120">
        <f t="shared" si="222"/>
        <v>214</v>
      </c>
      <c r="CX157" s="1120">
        <f t="shared" si="223"/>
        <v>151</v>
      </c>
      <c r="CY157" s="1135" t="s">
        <v>4883</v>
      </c>
      <c r="CZ157" s="1124" t="s">
        <v>4882</v>
      </c>
      <c r="DA157" s="1124"/>
      <c r="DB157" s="1124"/>
      <c r="DC157" s="1120" t="s">
        <v>5550</v>
      </c>
      <c r="DD157" s="1120" t="s">
        <v>512</v>
      </c>
      <c r="DE157" s="1120" t="str">
        <f t="shared" si="224"/>
        <v/>
      </c>
      <c r="DF157" s="1133">
        <v>1</v>
      </c>
      <c r="DG157" s="1125">
        <v>0</v>
      </c>
    </row>
    <row r="158" spans="1:111">
      <c r="A158" s="1120" t="s">
        <v>3136</v>
      </c>
      <c r="B158" s="1125" t="s">
        <v>4647</v>
      </c>
      <c r="C158" s="1125" t="s">
        <v>4648</v>
      </c>
      <c r="D158" s="1125" t="s">
        <v>513</v>
      </c>
      <c r="E158" s="1125">
        <v>1017</v>
      </c>
      <c r="F158" s="1125">
        <v>-81.58</v>
      </c>
      <c r="G158" s="1125">
        <v>38.380000000000003</v>
      </c>
      <c r="H158" s="1125">
        <v>-5</v>
      </c>
      <c r="I158" s="1126">
        <v>14.719999313354492</v>
      </c>
      <c r="J158" s="1126">
        <v>88.880000686645502</v>
      </c>
      <c r="K158" s="1127">
        <v>73.039998626708979</v>
      </c>
      <c r="L158" s="1125">
        <v>4539.6000000000004</v>
      </c>
      <c r="M158" s="1125">
        <v>1067.4000000000001</v>
      </c>
      <c r="N158" s="1128">
        <v>30.2</v>
      </c>
      <c r="O158" s="1128">
        <v>34.519999957084657</v>
      </c>
      <c r="P158" s="1128">
        <v>49.459999656677248</v>
      </c>
      <c r="Q158" s="1128">
        <v>54.859999656677246</v>
      </c>
      <c r="R158" s="1128">
        <v>63.86000137329102</v>
      </c>
      <c r="S158" s="1128">
        <v>71.780000686645508</v>
      </c>
      <c r="T158" s="1128">
        <v>75.739998626708982</v>
      </c>
      <c r="U158" s="1128">
        <v>72.680000686645513</v>
      </c>
      <c r="V158" s="1128">
        <v>66.380000686645502</v>
      </c>
      <c r="W158" s="1128">
        <v>54.319999313354494</v>
      </c>
      <c r="X158" s="1128">
        <v>46.940000343322751</v>
      </c>
      <c r="Y158" s="1128">
        <v>36.320000171661377</v>
      </c>
      <c r="Z158" s="1128">
        <v>54.863945300481092</v>
      </c>
      <c r="AA158" s="1128">
        <f t="shared" si="150"/>
        <v>50.266987711477682</v>
      </c>
      <c r="AB158" s="1128">
        <f t="shared" si="151"/>
        <v>49.341145323297205</v>
      </c>
      <c r="AC158" s="1128">
        <f t="shared" si="152"/>
        <v>51.41889832089241</v>
      </c>
      <c r="AD158" s="1128">
        <f t="shared" si="153"/>
        <v>55.958648366297197</v>
      </c>
      <c r="AE158" s="1128">
        <f t="shared" si="154"/>
        <v>61.77703965051095</v>
      </c>
      <c r="AF158" s="1128">
        <f t="shared" si="155"/>
        <v>67.357418821179564</v>
      </c>
      <c r="AG158" s="1128">
        <f t="shared" si="156"/>
        <v>71.245174051222136</v>
      </c>
      <c r="AH158" s="1128">
        <f t="shared" si="157"/>
        <v>72.426902027806477</v>
      </c>
      <c r="AI158" s="1128">
        <f t="shared" si="158"/>
        <v>70.594567142856505</v>
      </c>
      <c r="AJ158" s="1128">
        <f t="shared" si="159"/>
        <v>66.225795721269733</v>
      </c>
      <c r="AK158" s="1128">
        <f t="shared" si="160"/>
        <v>60.459375358888273</v>
      </c>
      <c r="AL158" s="1128">
        <f t="shared" si="161"/>
        <v>54.798412386394503</v>
      </c>
      <c r="AM158" s="1125">
        <f t="shared" si="162"/>
        <v>1</v>
      </c>
      <c r="AN158" s="1125">
        <f t="shared" si="163"/>
        <v>1</v>
      </c>
      <c r="AO158" s="1125">
        <f t="shared" si="164"/>
        <v>1</v>
      </c>
      <c r="AP158" s="1125">
        <f t="shared" si="165"/>
        <v>1</v>
      </c>
      <c r="AQ158" s="1125">
        <f t="shared" si="166"/>
        <v>1</v>
      </c>
      <c r="AR158" s="1125">
        <f t="shared" si="167"/>
        <v>0</v>
      </c>
      <c r="AS158" s="1125">
        <f t="shared" si="168"/>
        <v>0</v>
      </c>
      <c r="AT158" s="1125">
        <f t="shared" si="169"/>
        <v>0</v>
      </c>
      <c r="AU158" s="1125">
        <f t="shared" si="170"/>
        <v>0</v>
      </c>
      <c r="AV158" s="1125">
        <f t="shared" si="171"/>
        <v>1</v>
      </c>
      <c r="AW158" s="1125">
        <f t="shared" si="172"/>
        <v>1</v>
      </c>
      <c r="AX158" s="1125">
        <f t="shared" si="173"/>
        <v>1</v>
      </c>
      <c r="AY158" s="1125">
        <f t="shared" si="174"/>
        <v>0</v>
      </c>
      <c r="AZ158" s="1125">
        <f t="shared" si="175"/>
        <v>0</v>
      </c>
      <c r="BA158" s="1125">
        <f t="shared" si="176"/>
        <v>0</v>
      </c>
      <c r="BB158" s="1125">
        <f t="shared" si="177"/>
        <v>0</v>
      </c>
      <c r="BC158" s="1125">
        <f t="shared" si="178"/>
        <v>0</v>
      </c>
      <c r="BD158" s="1125">
        <f t="shared" si="179"/>
        <v>1</v>
      </c>
      <c r="BE158" s="1125">
        <f t="shared" si="180"/>
        <v>1</v>
      </c>
      <c r="BF158" s="1125">
        <f t="shared" si="181"/>
        <v>1</v>
      </c>
      <c r="BG158" s="1125">
        <f t="shared" si="182"/>
        <v>1</v>
      </c>
      <c r="BH158" s="1125">
        <f t="shared" si="183"/>
        <v>0</v>
      </c>
      <c r="BI158" s="1125">
        <f t="shared" si="184"/>
        <v>0</v>
      </c>
      <c r="BJ158" s="1125">
        <f t="shared" si="185"/>
        <v>0</v>
      </c>
      <c r="BK158" s="1125">
        <f t="shared" si="186"/>
        <v>1</v>
      </c>
      <c r="BL158" s="1125">
        <f t="shared" si="187"/>
        <v>1</v>
      </c>
      <c r="BM158" s="1125">
        <f t="shared" si="188"/>
        <v>1</v>
      </c>
      <c r="BN158" s="1125">
        <f t="shared" si="189"/>
        <v>1</v>
      </c>
      <c r="BO158" s="1125">
        <f t="shared" si="190"/>
        <v>1</v>
      </c>
      <c r="BP158" s="1125">
        <f t="shared" si="191"/>
        <v>1</v>
      </c>
      <c r="BQ158" s="1125">
        <f t="shared" si="192"/>
        <v>0</v>
      </c>
      <c r="BR158" s="1125">
        <f t="shared" si="193"/>
        <v>0</v>
      </c>
      <c r="BS158" s="1125">
        <f t="shared" si="194"/>
        <v>0</v>
      </c>
      <c r="BT158" s="1125">
        <f t="shared" si="195"/>
        <v>1</v>
      </c>
      <c r="BU158" s="1125">
        <f t="shared" si="196"/>
        <v>1</v>
      </c>
      <c r="BV158" s="1125">
        <f t="shared" si="197"/>
        <v>1</v>
      </c>
      <c r="BW158" s="1125">
        <f t="shared" si="198"/>
        <v>0</v>
      </c>
      <c r="BX158" s="1125">
        <f t="shared" si="199"/>
        <v>0</v>
      </c>
      <c r="BY158" s="1125">
        <f t="shared" si="200"/>
        <v>0</v>
      </c>
      <c r="BZ158" s="1125">
        <f t="shared" si="201"/>
        <v>0</v>
      </c>
      <c r="CA158" s="1125">
        <f t="shared" si="202"/>
        <v>1</v>
      </c>
      <c r="CB158" s="1125">
        <f t="shared" si="203"/>
        <v>1</v>
      </c>
      <c r="CC158" s="1125">
        <f t="shared" si="204"/>
        <v>1</v>
      </c>
      <c r="CD158" s="1125">
        <f t="shared" si="205"/>
        <v>1</v>
      </c>
      <c r="CE158" s="1125">
        <f t="shared" si="206"/>
        <v>1</v>
      </c>
      <c r="CF158" s="1125">
        <f t="shared" si="207"/>
        <v>1</v>
      </c>
      <c r="CG158" s="1125">
        <f t="shared" si="208"/>
        <v>0</v>
      </c>
      <c r="CH158" s="1125">
        <f t="shared" si="209"/>
        <v>0</v>
      </c>
      <c r="CI158" s="1125">
        <f t="shared" si="210"/>
        <v>0.85</v>
      </c>
      <c r="CJ158" s="1125">
        <f t="shared" si="211"/>
        <v>0.85</v>
      </c>
      <c r="CK158" s="1125">
        <f t="shared" si="212"/>
        <v>0.85</v>
      </c>
      <c r="CL158" s="1125">
        <f t="shared" si="213"/>
        <v>0.85</v>
      </c>
      <c r="CM158" s="1125">
        <f t="shared" si="214"/>
        <v>0.85</v>
      </c>
      <c r="CN158" s="1125">
        <f t="shared" si="215"/>
        <v>0.85</v>
      </c>
      <c r="CO158" s="1125">
        <f t="shared" si="216"/>
        <v>0.7</v>
      </c>
      <c r="CP158" s="1125">
        <f t="shared" si="217"/>
        <v>0.7</v>
      </c>
      <c r="CQ158" s="1125">
        <f t="shared" si="218"/>
        <v>0.7</v>
      </c>
      <c r="CR158" s="1125">
        <f t="shared" si="219"/>
        <v>0.85</v>
      </c>
      <c r="CS158" s="1125">
        <f t="shared" si="220"/>
        <v>0.85</v>
      </c>
      <c r="CT158" s="1125">
        <f t="shared" si="221"/>
        <v>0.85</v>
      </c>
      <c r="CU158" s="1125">
        <v>1</v>
      </c>
      <c r="CV158" s="1125"/>
      <c r="CW158" s="1125">
        <f t="shared" si="222"/>
        <v>184</v>
      </c>
      <c r="CX158" s="1125">
        <f t="shared" si="223"/>
        <v>181</v>
      </c>
      <c r="CY158" s="1135" t="s">
        <v>4881</v>
      </c>
      <c r="CZ158" s="1124" t="s">
        <v>4885</v>
      </c>
      <c r="DA158" s="1124"/>
      <c r="DB158" s="1124"/>
      <c r="DC158" s="1120" t="s">
        <v>5689</v>
      </c>
      <c r="DD158" s="1120" t="s">
        <v>513</v>
      </c>
      <c r="DE158" s="1120" t="str">
        <f t="shared" si="224"/>
        <v/>
      </c>
      <c r="DF158" s="1133">
        <v>0</v>
      </c>
      <c r="DG158" s="1120">
        <v>0</v>
      </c>
    </row>
    <row r="159" spans="1:111">
      <c r="A159" s="1125" t="s">
        <v>3138</v>
      </c>
      <c r="B159" s="1125" t="s">
        <v>3932</v>
      </c>
      <c r="C159" s="1125" t="s">
        <v>3933</v>
      </c>
      <c r="D159" s="1125" t="s">
        <v>426</v>
      </c>
      <c r="E159" s="1125">
        <v>728</v>
      </c>
      <c r="F159" s="1125">
        <v>-80.95</v>
      </c>
      <c r="G159" s="1125">
        <v>35.22</v>
      </c>
      <c r="H159" s="1125">
        <v>-5</v>
      </c>
      <c r="I159" s="1126">
        <v>24.620000171661378</v>
      </c>
      <c r="J159" s="1126">
        <v>91.579997253417972</v>
      </c>
      <c r="K159" s="1127">
        <v>74.119999313354498</v>
      </c>
      <c r="L159" s="1125">
        <v>3018.6</v>
      </c>
      <c r="M159" s="1125">
        <v>1695.6000000000001</v>
      </c>
      <c r="N159" s="1128">
        <v>39.02000017166138</v>
      </c>
      <c r="O159" s="1128">
        <v>46.759999656677245</v>
      </c>
      <c r="P159" s="1128">
        <v>50.9</v>
      </c>
      <c r="Q159" s="1128">
        <v>61.7</v>
      </c>
      <c r="R159" s="1128">
        <v>68</v>
      </c>
      <c r="S159" s="1128">
        <v>75.2</v>
      </c>
      <c r="T159" s="1128">
        <v>79.33999862670899</v>
      </c>
      <c r="U159" s="1128">
        <v>78.980000686645511</v>
      </c>
      <c r="V159" s="1128">
        <v>72.680000686645513</v>
      </c>
      <c r="W159" s="1128">
        <v>59.180000686645506</v>
      </c>
      <c r="X159" s="1128">
        <v>52.880000686645509</v>
      </c>
      <c r="Y159" s="1128">
        <v>43.879999828338626</v>
      </c>
      <c r="Z159" s="1128">
        <v>60.770904196125187</v>
      </c>
      <c r="AA159" s="1128">
        <f t="shared" si="150"/>
        <v>55.884438537725885</v>
      </c>
      <c r="AB159" s="1128">
        <f t="shared" si="151"/>
        <v>55.559897439395712</v>
      </c>
      <c r="AC159" s="1128">
        <f t="shared" si="152"/>
        <v>58.157678019050806</v>
      </c>
      <c r="AD159" s="1128">
        <f t="shared" si="153"/>
        <v>63.000628735593544</v>
      </c>
      <c r="AE159" s="1128">
        <f t="shared" si="154"/>
        <v>68.826359852627419</v>
      </c>
      <c r="AF159" s="1128">
        <f t="shared" si="155"/>
        <v>74.116304777263522</v>
      </c>
      <c r="AG159" s="1128">
        <f t="shared" si="156"/>
        <v>77.491557844376544</v>
      </c>
      <c r="AH159" s="1128">
        <f t="shared" si="157"/>
        <v>78.072307327799251</v>
      </c>
      <c r="AI159" s="1128">
        <f t="shared" si="158"/>
        <v>75.707171925057082</v>
      </c>
      <c r="AJ159" s="1128">
        <f t="shared" si="159"/>
        <v>71.012660626714606</v>
      </c>
      <c r="AK159" s="1128">
        <f t="shared" si="160"/>
        <v>65.212470147293757</v>
      </c>
      <c r="AL159" s="1128">
        <f t="shared" si="161"/>
        <v>59.818509518896462</v>
      </c>
      <c r="AM159" s="1125">
        <f t="shared" si="162"/>
        <v>1</v>
      </c>
      <c r="AN159" s="1125">
        <f t="shared" si="163"/>
        <v>1</v>
      </c>
      <c r="AO159" s="1125">
        <f t="shared" si="164"/>
        <v>1</v>
      </c>
      <c r="AP159" s="1125">
        <f t="shared" si="165"/>
        <v>1</v>
      </c>
      <c r="AQ159" s="1125">
        <f t="shared" si="166"/>
        <v>0</v>
      </c>
      <c r="AR159" s="1125">
        <f t="shared" si="167"/>
        <v>0</v>
      </c>
      <c r="AS159" s="1125">
        <f t="shared" si="168"/>
        <v>0</v>
      </c>
      <c r="AT159" s="1125">
        <f t="shared" si="169"/>
        <v>0</v>
      </c>
      <c r="AU159" s="1125">
        <f t="shared" si="170"/>
        <v>0</v>
      </c>
      <c r="AV159" s="1125">
        <f t="shared" si="171"/>
        <v>1</v>
      </c>
      <c r="AW159" s="1125">
        <f t="shared" si="172"/>
        <v>1</v>
      </c>
      <c r="AX159" s="1125">
        <f t="shared" si="173"/>
        <v>1</v>
      </c>
      <c r="AY159" s="1125">
        <f t="shared" si="174"/>
        <v>0</v>
      </c>
      <c r="AZ159" s="1125">
        <f t="shared" si="175"/>
        <v>0</v>
      </c>
      <c r="BA159" s="1125">
        <f t="shared" si="176"/>
        <v>0</v>
      </c>
      <c r="BB159" s="1125">
        <f t="shared" si="177"/>
        <v>0</v>
      </c>
      <c r="BC159" s="1125">
        <f t="shared" si="178"/>
        <v>1</v>
      </c>
      <c r="BD159" s="1125">
        <f t="shared" si="179"/>
        <v>1</v>
      </c>
      <c r="BE159" s="1125">
        <f t="shared" si="180"/>
        <v>1</v>
      </c>
      <c r="BF159" s="1125">
        <f t="shared" si="181"/>
        <v>1</v>
      </c>
      <c r="BG159" s="1125">
        <f t="shared" si="182"/>
        <v>1</v>
      </c>
      <c r="BH159" s="1125">
        <f t="shared" si="183"/>
        <v>0</v>
      </c>
      <c r="BI159" s="1125">
        <f t="shared" si="184"/>
        <v>0</v>
      </c>
      <c r="BJ159" s="1125">
        <f t="shared" si="185"/>
        <v>0</v>
      </c>
      <c r="BK159" s="1125">
        <f t="shared" si="186"/>
        <v>1</v>
      </c>
      <c r="BL159" s="1125">
        <f t="shared" si="187"/>
        <v>1</v>
      </c>
      <c r="BM159" s="1125">
        <f t="shared" si="188"/>
        <v>1</v>
      </c>
      <c r="BN159" s="1125">
        <f t="shared" si="189"/>
        <v>1</v>
      </c>
      <c r="BO159" s="1125">
        <f t="shared" si="190"/>
        <v>1</v>
      </c>
      <c r="BP159" s="1125">
        <f t="shared" si="191"/>
        <v>0</v>
      </c>
      <c r="BQ159" s="1125">
        <f t="shared" si="192"/>
        <v>0</v>
      </c>
      <c r="BR159" s="1125">
        <f t="shared" si="193"/>
        <v>0</v>
      </c>
      <c r="BS159" s="1125">
        <f t="shared" si="194"/>
        <v>0</v>
      </c>
      <c r="BT159" s="1125">
        <f t="shared" si="195"/>
        <v>1</v>
      </c>
      <c r="BU159" s="1125">
        <f t="shared" si="196"/>
        <v>1</v>
      </c>
      <c r="BV159" s="1125">
        <f t="shared" si="197"/>
        <v>1</v>
      </c>
      <c r="BW159" s="1125">
        <f t="shared" si="198"/>
        <v>0</v>
      </c>
      <c r="BX159" s="1125">
        <f t="shared" si="199"/>
        <v>0</v>
      </c>
      <c r="BY159" s="1125">
        <f t="shared" si="200"/>
        <v>0</v>
      </c>
      <c r="BZ159" s="1125">
        <f t="shared" si="201"/>
        <v>1</v>
      </c>
      <c r="CA159" s="1125">
        <f t="shared" si="202"/>
        <v>1</v>
      </c>
      <c r="CB159" s="1125">
        <f t="shared" si="203"/>
        <v>1</v>
      </c>
      <c r="CC159" s="1125">
        <f t="shared" si="204"/>
        <v>1</v>
      </c>
      <c r="CD159" s="1125">
        <f t="shared" si="205"/>
        <v>1</v>
      </c>
      <c r="CE159" s="1125">
        <f t="shared" si="206"/>
        <v>1</v>
      </c>
      <c r="CF159" s="1125">
        <f t="shared" si="207"/>
        <v>1</v>
      </c>
      <c r="CG159" s="1125">
        <f t="shared" si="208"/>
        <v>0</v>
      </c>
      <c r="CH159" s="1125">
        <f t="shared" si="209"/>
        <v>0</v>
      </c>
      <c r="CI159" s="1125">
        <f t="shared" si="210"/>
        <v>0.85</v>
      </c>
      <c r="CJ159" s="1125">
        <f t="shared" si="211"/>
        <v>0.85</v>
      </c>
      <c r="CK159" s="1125">
        <f t="shared" si="212"/>
        <v>0.85</v>
      </c>
      <c r="CL159" s="1125">
        <f t="shared" si="213"/>
        <v>0.85</v>
      </c>
      <c r="CM159" s="1125">
        <f t="shared" si="214"/>
        <v>0.85</v>
      </c>
      <c r="CN159" s="1125">
        <f t="shared" si="215"/>
        <v>0.7</v>
      </c>
      <c r="CO159" s="1125">
        <f t="shared" si="216"/>
        <v>0.7</v>
      </c>
      <c r="CP159" s="1125">
        <f t="shared" si="217"/>
        <v>0.7</v>
      </c>
      <c r="CQ159" s="1125">
        <f t="shared" si="218"/>
        <v>0.7</v>
      </c>
      <c r="CR159" s="1125">
        <f t="shared" si="219"/>
        <v>0.85</v>
      </c>
      <c r="CS159" s="1125">
        <f t="shared" si="220"/>
        <v>0.85</v>
      </c>
      <c r="CT159" s="1125">
        <f t="shared" si="221"/>
        <v>0.85</v>
      </c>
      <c r="CU159" s="1125">
        <v>1</v>
      </c>
      <c r="CV159" s="1125"/>
      <c r="CW159" s="1125">
        <f t="shared" si="222"/>
        <v>214</v>
      </c>
      <c r="CX159" s="1125">
        <f t="shared" si="223"/>
        <v>151</v>
      </c>
      <c r="CY159" s="1136" t="s">
        <v>4881</v>
      </c>
      <c r="CZ159" s="1129" t="s">
        <v>4882</v>
      </c>
      <c r="DA159" s="1129"/>
      <c r="DB159" s="1129"/>
      <c r="DC159" s="1125" t="s">
        <v>5386</v>
      </c>
      <c r="DD159" s="1125" t="s">
        <v>426</v>
      </c>
      <c r="DE159" s="1120" t="str">
        <f t="shared" si="224"/>
        <v/>
      </c>
      <c r="DF159" s="1133">
        <v>0</v>
      </c>
      <c r="DG159" s="1125">
        <v>0</v>
      </c>
    </row>
    <row r="160" spans="1:111">
      <c r="A160" s="1120" t="s">
        <v>3140</v>
      </c>
      <c r="B160" s="1120" t="s">
        <v>4490</v>
      </c>
      <c r="C160" s="1120" t="s">
        <v>4491</v>
      </c>
      <c r="D160" s="1120" t="s">
        <v>501</v>
      </c>
      <c r="E160" s="1120">
        <v>623</v>
      </c>
      <c r="F160" s="1120">
        <v>-78.45</v>
      </c>
      <c r="G160" s="1120">
        <v>38.130000000000003</v>
      </c>
      <c r="H160" s="1120">
        <v>-5</v>
      </c>
      <c r="I160" s="1121">
        <v>15.619999313354493</v>
      </c>
      <c r="J160" s="1121">
        <v>91.579997253417972</v>
      </c>
      <c r="K160" s="1122">
        <v>75.380000686645502</v>
      </c>
      <c r="L160" s="1120">
        <v>3558.6</v>
      </c>
      <c r="M160" s="1120">
        <v>1162.8</v>
      </c>
      <c r="N160" s="1123">
        <v>34.339999914169312</v>
      </c>
      <c r="O160" s="1123">
        <v>43.340000343322757</v>
      </c>
      <c r="P160" s="1123">
        <v>48.559999656677249</v>
      </c>
      <c r="Q160" s="1123">
        <v>59</v>
      </c>
      <c r="R160" s="1123">
        <v>67.280000686645508</v>
      </c>
      <c r="S160" s="1123">
        <v>73.219999313354492</v>
      </c>
      <c r="T160" s="1123">
        <v>74.480000686645511</v>
      </c>
      <c r="U160" s="1123">
        <v>72.139998626708987</v>
      </c>
      <c r="V160" s="1123">
        <v>68.360001373291013</v>
      </c>
      <c r="W160" s="1123">
        <v>57.740000343322755</v>
      </c>
      <c r="X160" s="1123">
        <v>51.980000686645511</v>
      </c>
      <c r="Y160" s="1123">
        <v>43.159999656677243</v>
      </c>
      <c r="Z160" s="1123">
        <v>57.86032886988496</v>
      </c>
      <c r="AA160" s="1123">
        <f t="shared" si="150"/>
        <v>53.758011737020091</v>
      </c>
      <c r="AB160" s="1123">
        <f t="shared" si="151"/>
        <v>53.175976689302537</v>
      </c>
      <c r="AC160" s="1123">
        <f t="shared" si="152"/>
        <v>55.378982688304838</v>
      </c>
      <c r="AD160" s="1123">
        <f t="shared" si="153"/>
        <v>59.792782271036955</v>
      </c>
      <c r="AE160" s="1123">
        <f t="shared" si="154"/>
        <v>65.26685055754929</v>
      </c>
      <c r="AF160" s="1123">
        <f t="shared" si="155"/>
        <v>70.3742872910166</v>
      </c>
      <c r="AG160" s="1123">
        <f t="shared" si="156"/>
        <v>73.783760378878114</v>
      </c>
      <c r="AH160" s="1123">
        <f t="shared" si="157"/>
        <v>74.606538119212019</v>
      </c>
      <c r="AI160" s="1123">
        <f t="shared" si="158"/>
        <v>72.628150814611487</v>
      </c>
      <c r="AJ160" s="1123">
        <f t="shared" si="159"/>
        <v>68.364295603891904</v>
      </c>
      <c r="AK160" s="1123">
        <f t="shared" si="160"/>
        <v>62.926412055725066</v>
      </c>
      <c r="AL160" s="1123">
        <f t="shared" si="161"/>
        <v>57.731968317262748</v>
      </c>
      <c r="AM160" s="1120">
        <f t="shared" si="162"/>
        <v>1</v>
      </c>
      <c r="AN160" s="1120">
        <f t="shared" si="163"/>
        <v>1</v>
      </c>
      <c r="AO160" s="1120">
        <f t="shared" si="164"/>
        <v>1</v>
      </c>
      <c r="AP160" s="1120">
        <f t="shared" si="165"/>
        <v>1</v>
      </c>
      <c r="AQ160" s="1120">
        <f t="shared" si="166"/>
        <v>0</v>
      </c>
      <c r="AR160" s="1120">
        <f t="shared" si="167"/>
        <v>0</v>
      </c>
      <c r="AS160" s="1120">
        <f t="shared" si="168"/>
        <v>0</v>
      </c>
      <c r="AT160" s="1120">
        <f t="shared" si="169"/>
        <v>0</v>
      </c>
      <c r="AU160" s="1120">
        <f t="shared" si="170"/>
        <v>0</v>
      </c>
      <c r="AV160" s="1120">
        <f t="shared" si="171"/>
        <v>1</v>
      </c>
      <c r="AW160" s="1120">
        <f t="shared" si="172"/>
        <v>1</v>
      </c>
      <c r="AX160" s="1120">
        <f t="shared" si="173"/>
        <v>1</v>
      </c>
      <c r="AY160" s="1120">
        <f t="shared" si="174"/>
        <v>0</v>
      </c>
      <c r="AZ160" s="1120">
        <f t="shared" si="175"/>
        <v>0</v>
      </c>
      <c r="BA160" s="1120">
        <f t="shared" si="176"/>
        <v>0</v>
      </c>
      <c r="BB160" s="1120">
        <f t="shared" si="177"/>
        <v>0</v>
      </c>
      <c r="BC160" s="1120">
        <f t="shared" si="178"/>
        <v>1</v>
      </c>
      <c r="BD160" s="1120">
        <f t="shared" si="179"/>
        <v>1</v>
      </c>
      <c r="BE160" s="1120">
        <f t="shared" si="180"/>
        <v>1</v>
      </c>
      <c r="BF160" s="1120">
        <f t="shared" si="181"/>
        <v>1</v>
      </c>
      <c r="BG160" s="1120">
        <f t="shared" si="182"/>
        <v>1</v>
      </c>
      <c r="BH160" s="1120">
        <f t="shared" si="183"/>
        <v>0</v>
      </c>
      <c r="BI160" s="1120">
        <f t="shared" si="184"/>
        <v>0</v>
      </c>
      <c r="BJ160" s="1120">
        <f t="shared" si="185"/>
        <v>0</v>
      </c>
      <c r="BK160" s="1120">
        <f t="shared" si="186"/>
        <v>1</v>
      </c>
      <c r="BL160" s="1120">
        <f t="shared" si="187"/>
        <v>1</v>
      </c>
      <c r="BM160" s="1120">
        <f t="shared" si="188"/>
        <v>1</v>
      </c>
      <c r="BN160" s="1120">
        <f t="shared" si="189"/>
        <v>1</v>
      </c>
      <c r="BO160" s="1120">
        <f t="shared" si="190"/>
        <v>1</v>
      </c>
      <c r="BP160" s="1120">
        <f t="shared" si="191"/>
        <v>0</v>
      </c>
      <c r="BQ160" s="1120">
        <f t="shared" si="192"/>
        <v>0</v>
      </c>
      <c r="BR160" s="1120">
        <f t="shared" si="193"/>
        <v>0</v>
      </c>
      <c r="BS160" s="1120">
        <f t="shared" si="194"/>
        <v>0</v>
      </c>
      <c r="BT160" s="1120">
        <f t="shared" si="195"/>
        <v>1</v>
      </c>
      <c r="BU160" s="1120">
        <f t="shared" si="196"/>
        <v>1</v>
      </c>
      <c r="BV160" s="1120">
        <f t="shared" si="197"/>
        <v>1</v>
      </c>
      <c r="BW160" s="1120">
        <f t="shared" si="198"/>
        <v>0</v>
      </c>
      <c r="BX160" s="1120">
        <f t="shared" si="199"/>
        <v>0</v>
      </c>
      <c r="BY160" s="1120">
        <f t="shared" si="200"/>
        <v>0</v>
      </c>
      <c r="BZ160" s="1120">
        <f t="shared" si="201"/>
        <v>1</v>
      </c>
      <c r="CA160" s="1120">
        <f t="shared" si="202"/>
        <v>1</v>
      </c>
      <c r="CB160" s="1120">
        <f t="shared" si="203"/>
        <v>1</v>
      </c>
      <c r="CC160" s="1120">
        <f t="shared" si="204"/>
        <v>1</v>
      </c>
      <c r="CD160" s="1120">
        <f t="shared" si="205"/>
        <v>1</v>
      </c>
      <c r="CE160" s="1120">
        <f t="shared" si="206"/>
        <v>1</v>
      </c>
      <c r="CF160" s="1120">
        <f t="shared" si="207"/>
        <v>1</v>
      </c>
      <c r="CG160" s="1120">
        <f t="shared" si="208"/>
        <v>0</v>
      </c>
      <c r="CH160" s="1120">
        <f t="shared" si="209"/>
        <v>0</v>
      </c>
      <c r="CI160" s="1120">
        <f t="shared" si="210"/>
        <v>0.85</v>
      </c>
      <c r="CJ160" s="1120">
        <f t="shared" si="211"/>
        <v>0.85</v>
      </c>
      <c r="CK160" s="1120">
        <f t="shared" si="212"/>
        <v>0.85</v>
      </c>
      <c r="CL160" s="1120">
        <f t="shared" si="213"/>
        <v>0.85</v>
      </c>
      <c r="CM160" s="1120">
        <f t="shared" si="214"/>
        <v>0.85</v>
      </c>
      <c r="CN160" s="1120">
        <f t="shared" si="215"/>
        <v>0.7</v>
      </c>
      <c r="CO160" s="1120">
        <f t="shared" si="216"/>
        <v>0.7</v>
      </c>
      <c r="CP160" s="1120">
        <f t="shared" si="217"/>
        <v>0.7</v>
      </c>
      <c r="CQ160" s="1120">
        <f t="shared" si="218"/>
        <v>0.7</v>
      </c>
      <c r="CR160" s="1120">
        <f t="shared" si="219"/>
        <v>0.85</v>
      </c>
      <c r="CS160" s="1120">
        <f t="shared" si="220"/>
        <v>0.85</v>
      </c>
      <c r="CT160" s="1120">
        <f t="shared" si="221"/>
        <v>0.85</v>
      </c>
      <c r="CU160" s="1120">
        <v>1</v>
      </c>
      <c r="CV160" s="1120"/>
      <c r="CW160" s="1120">
        <f t="shared" si="222"/>
        <v>214</v>
      </c>
      <c r="CX160" s="1120">
        <f t="shared" si="223"/>
        <v>151</v>
      </c>
      <c r="CY160" s="1135" t="s">
        <v>4881</v>
      </c>
      <c r="CZ160" s="1124" t="s">
        <v>4885</v>
      </c>
      <c r="DA160" s="1124"/>
      <c r="DB160" s="1124"/>
      <c r="DC160" s="1120" t="s">
        <v>5627</v>
      </c>
      <c r="DD160" s="1120" t="s">
        <v>501</v>
      </c>
      <c r="DE160" s="1120" t="str">
        <f t="shared" si="224"/>
        <v/>
      </c>
      <c r="DF160" s="1133">
        <v>0</v>
      </c>
      <c r="DG160" s="1120">
        <v>0</v>
      </c>
    </row>
    <row r="161" spans="1:111">
      <c r="A161" s="1125" t="s">
        <v>3142</v>
      </c>
      <c r="B161" s="1120" t="s">
        <v>4338</v>
      </c>
      <c r="C161" s="1120" t="s">
        <v>4339</v>
      </c>
      <c r="D161" s="1120" t="s">
        <v>560</v>
      </c>
      <c r="E161" s="1120">
        <v>669</v>
      </c>
      <c r="F161" s="1120">
        <v>-85.2</v>
      </c>
      <c r="G161" s="1120">
        <v>35.03</v>
      </c>
      <c r="H161" s="1120">
        <v>-5</v>
      </c>
      <c r="I161" s="1121">
        <v>22.279999828338624</v>
      </c>
      <c r="J161" s="1121">
        <v>92.120002746582031</v>
      </c>
      <c r="K161" s="1122">
        <v>74.66000137329101</v>
      </c>
      <c r="L161" s="1120">
        <v>3142.8</v>
      </c>
      <c r="M161" s="1120">
        <v>1675.8</v>
      </c>
      <c r="N161" s="1123">
        <v>41.540000343322752</v>
      </c>
      <c r="O161" s="1123">
        <v>42.97999982833862</v>
      </c>
      <c r="P161" s="1123">
        <v>53.959999656677248</v>
      </c>
      <c r="Q161" s="1123">
        <v>60.440000343322751</v>
      </c>
      <c r="R161" s="1123">
        <v>67.460001373291021</v>
      </c>
      <c r="S161" s="1123">
        <v>76.280000686645508</v>
      </c>
      <c r="T161" s="1123">
        <v>80.239998626708982</v>
      </c>
      <c r="U161" s="1123">
        <v>77.180000686645513</v>
      </c>
      <c r="V161" s="1123">
        <v>71.599999999999994</v>
      </c>
      <c r="W161" s="1123">
        <v>59.359999656677246</v>
      </c>
      <c r="X161" s="1123">
        <v>51.440000343322751</v>
      </c>
      <c r="Y161" s="1123">
        <v>41</v>
      </c>
      <c r="Z161" s="1123">
        <v>60.381315197356763</v>
      </c>
      <c r="AA161" s="1123">
        <f t="shared" si="150"/>
        <v>55.882280472045963</v>
      </c>
      <c r="AB161" s="1123">
        <f t="shared" si="151"/>
        <v>55.530800814010036</v>
      </c>
      <c r="AC161" s="1123">
        <f t="shared" si="152"/>
        <v>58.007674941481525</v>
      </c>
      <c r="AD161" s="1123">
        <f t="shared" si="153"/>
        <v>62.667267443349303</v>
      </c>
      <c r="AE161" s="1123">
        <f t="shared" si="154"/>
        <v>68.294983727507514</v>
      </c>
      <c r="AF161" s="1123">
        <f t="shared" si="155"/>
        <v>73.423872818757204</v>
      </c>
      <c r="AG161" s="1123">
        <f t="shared" si="156"/>
        <v>76.717010736890785</v>
      </c>
      <c r="AH161" s="1123">
        <f t="shared" si="157"/>
        <v>77.315990334755256</v>
      </c>
      <c r="AI161" s="1123">
        <f t="shared" si="158"/>
        <v>75.064678349612237</v>
      </c>
      <c r="AJ161" s="1123">
        <f t="shared" si="159"/>
        <v>70.549913944157112</v>
      </c>
      <c r="AK161" s="1123">
        <f t="shared" si="160"/>
        <v>64.94854003529727</v>
      </c>
      <c r="AL161" s="1123">
        <f t="shared" si="161"/>
        <v>59.720641052161831</v>
      </c>
      <c r="AM161" s="1120">
        <f t="shared" si="162"/>
        <v>1</v>
      </c>
      <c r="AN161" s="1120">
        <f t="shared" si="163"/>
        <v>1</v>
      </c>
      <c r="AO161" s="1120">
        <f t="shared" si="164"/>
        <v>1</v>
      </c>
      <c r="AP161" s="1120">
        <f t="shared" si="165"/>
        <v>1</v>
      </c>
      <c r="AQ161" s="1120">
        <f t="shared" si="166"/>
        <v>0</v>
      </c>
      <c r="AR161" s="1120">
        <f t="shared" si="167"/>
        <v>0</v>
      </c>
      <c r="AS161" s="1120">
        <f t="shared" si="168"/>
        <v>0</v>
      </c>
      <c r="AT161" s="1120">
        <f t="shared" si="169"/>
        <v>0</v>
      </c>
      <c r="AU161" s="1120">
        <f t="shared" si="170"/>
        <v>0</v>
      </c>
      <c r="AV161" s="1120">
        <f t="shared" si="171"/>
        <v>1</v>
      </c>
      <c r="AW161" s="1120">
        <f t="shared" si="172"/>
        <v>1</v>
      </c>
      <c r="AX161" s="1120">
        <f t="shared" si="173"/>
        <v>1</v>
      </c>
      <c r="AY161" s="1120">
        <f t="shared" si="174"/>
        <v>0</v>
      </c>
      <c r="AZ161" s="1120">
        <f t="shared" si="175"/>
        <v>0</v>
      </c>
      <c r="BA161" s="1120">
        <f t="shared" si="176"/>
        <v>0</v>
      </c>
      <c r="BB161" s="1120">
        <f t="shared" si="177"/>
        <v>0</v>
      </c>
      <c r="BC161" s="1120">
        <f t="shared" si="178"/>
        <v>1</v>
      </c>
      <c r="BD161" s="1120">
        <f t="shared" si="179"/>
        <v>1</v>
      </c>
      <c r="BE161" s="1120">
        <f t="shared" si="180"/>
        <v>1</v>
      </c>
      <c r="BF161" s="1120">
        <f t="shared" si="181"/>
        <v>1</v>
      </c>
      <c r="BG161" s="1120">
        <f t="shared" si="182"/>
        <v>1</v>
      </c>
      <c r="BH161" s="1120">
        <f t="shared" si="183"/>
        <v>0</v>
      </c>
      <c r="BI161" s="1120">
        <f t="shared" si="184"/>
        <v>0</v>
      </c>
      <c r="BJ161" s="1120">
        <f t="shared" si="185"/>
        <v>0</v>
      </c>
      <c r="BK161" s="1120">
        <f t="shared" si="186"/>
        <v>1</v>
      </c>
      <c r="BL161" s="1120">
        <f t="shared" si="187"/>
        <v>1</v>
      </c>
      <c r="BM161" s="1120">
        <f t="shared" si="188"/>
        <v>1</v>
      </c>
      <c r="BN161" s="1120">
        <f t="shared" si="189"/>
        <v>1</v>
      </c>
      <c r="BO161" s="1120">
        <f t="shared" si="190"/>
        <v>1</v>
      </c>
      <c r="BP161" s="1120">
        <f t="shared" si="191"/>
        <v>0</v>
      </c>
      <c r="BQ161" s="1120">
        <f t="shared" si="192"/>
        <v>0</v>
      </c>
      <c r="BR161" s="1120">
        <f t="shared" si="193"/>
        <v>0</v>
      </c>
      <c r="BS161" s="1120">
        <f t="shared" si="194"/>
        <v>0</v>
      </c>
      <c r="BT161" s="1120">
        <f t="shared" si="195"/>
        <v>1</v>
      </c>
      <c r="BU161" s="1120">
        <f t="shared" si="196"/>
        <v>1</v>
      </c>
      <c r="BV161" s="1120">
        <f t="shared" si="197"/>
        <v>1</v>
      </c>
      <c r="BW161" s="1120">
        <f t="shared" si="198"/>
        <v>0</v>
      </c>
      <c r="BX161" s="1120">
        <f t="shared" si="199"/>
        <v>0</v>
      </c>
      <c r="BY161" s="1120">
        <f t="shared" si="200"/>
        <v>0</v>
      </c>
      <c r="BZ161" s="1120">
        <f t="shared" si="201"/>
        <v>1</v>
      </c>
      <c r="CA161" s="1120">
        <f t="shared" si="202"/>
        <v>1</v>
      </c>
      <c r="CB161" s="1120">
        <f t="shared" si="203"/>
        <v>1</v>
      </c>
      <c r="CC161" s="1120">
        <f t="shared" si="204"/>
        <v>1</v>
      </c>
      <c r="CD161" s="1120">
        <f t="shared" si="205"/>
        <v>1</v>
      </c>
      <c r="CE161" s="1120">
        <f t="shared" si="206"/>
        <v>1</v>
      </c>
      <c r="CF161" s="1120">
        <f t="shared" si="207"/>
        <v>1</v>
      </c>
      <c r="CG161" s="1120">
        <f t="shared" si="208"/>
        <v>0</v>
      </c>
      <c r="CH161" s="1120">
        <f t="shared" si="209"/>
        <v>0</v>
      </c>
      <c r="CI161" s="1120">
        <f t="shared" si="210"/>
        <v>0.85</v>
      </c>
      <c r="CJ161" s="1120">
        <f t="shared" si="211"/>
        <v>0.85</v>
      </c>
      <c r="CK161" s="1120">
        <f t="shared" si="212"/>
        <v>0.85</v>
      </c>
      <c r="CL161" s="1120">
        <f t="shared" si="213"/>
        <v>0.85</v>
      </c>
      <c r="CM161" s="1120">
        <f t="shared" si="214"/>
        <v>0.85</v>
      </c>
      <c r="CN161" s="1120">
        <f t="shared" si="215"/>
        <v>0.7</v>
      </c>
      <c r="CO161" s="1120">
        <f t="shared" si="216"/>
        <v>0.7</v>
      </c>
      <c r="CP161" s="1120">
        <f t="shared" si="217"/>
        <v>0.7</v>
      </c>
      <c r="CQ161" s="1120">
        <f t="shared" si="218"/>
        <v>0.7</v>
      </c>
      <c r="CR161" s="1120">
        <f t="shared" si="219"/>
        <v>0.85</v>
      </c>
      <c r="CS161" s="1120">
        <f t="shared" si="220"/>
        <v>0.85</v>
      </c>
      <c r="CT161" s="1120">
        <f t="shared" si="221"/>
        <v>0.85</v>
      </c>
      <c r="CU161" s="1120">
        <v>1</v>
      </c>
      <c r="CV161" s="1120"/>
      <c r="CW161" s="1120">
        <f t="shared" si="222"/>
        <v>214</v>
      </c>
      <c r="CX161" s="1120">
        <f t="shared" si="223"/>
        <v>151</v>
      </c>
      <c r="CY161" s="1135" t="s">
        <v>4881</v>
      </c>
      <c r="CZ161" s="1124" t="s">
        <v>4885</v>
      </c>
      <c r="DA161" s="1124"/>
      <c r="DB161" s="1124"/>
      <c r="DC161" s="1120" t="s">
        <v>5566</v>
      </c>
      <c r="DD161" s="1120" t="s">
        <v>560</v>
      </c>
      <c r="DE161" s="1120" t="str">
        <f t="shared" si="224"/>
        <v/>
      </c>
      <c r="DF161" s="1133">
        <v>0</v>
      </c>
      <c r="DG161" s="1125">
        <v>0</v>
      </c>
    </row>
    <row r="162" spans="1:111">
      <c r="A162" s="1120" t="s">
        <v>3144</v>
      </c>
      <c r="B162" s="1120" t="s">
        <v>3934</v>
      </c>
      <c r="C162" s="1120" t="s">
        <v>3935</v>
      </c>
      <c r="D162" s="1120" t="s">
        <v>426</v>
      </c>
      <c r="E162" s="1120">
        <v>36</v>
      </c>
      <c r="F162" s="1120">
        <v>-76.88</v>
      </c>
      <c r="G162" s="1120">
        <v>34.9</v>
      </c>
      <c r="H162" s="1120">
        <v>-5</v>
      </c>
      <c r="I162" s="1121">
        <v>27.320000171661377</v>
      </c>
      <c r="J162" s="1121">
        <v>90.860001373291013</v>
      </c>
      <c r="K162" s="1122">
        <v>77.539998626708979</v>
      </c>
      <c r="L162" s="1120">
        <v>3240</v>
      </c>
      <c r="M162" s="1120">
        <v>1733.4</v>
      </c>
      <c r="N162" s="1123">
        <v>42.440000343322751</v>
      </c>
      <c r="O162" s="1123">
        <v>45.320000171661377</v>
      </c>
      <c r="P162" s="1123">
        <v>48.740000343322755</v>
      </c>
      <c r="Q162" s="1123">
        <v>58.459999656677248</v>
      </c>
      <c r="R162" s="1123">
        <v>66.380000686645502</v>
      </c>
      <c r="S162" s="1123">
        <v>75.919999313354495</v>
      </c>
      <c r="T162" s="1123">
        <v>82.039998626708979</v>
      </c>
      <c r="U162" s="1123">
        <v>77.360001373291013</v>
      </c>
      <c r="V162" s="1123">
        <v>71.960001373291021</v>
      </c>
      <c r="W162" s="1123">
        <v>62.6</v>
      </c>
      <c r="X162" s="1123">
        <v>50.180000686645506</v>
      </c>
      <c r="Y162" s="1123">
        <v>40.820000171661377</v>
      </c>
      <c r="Z162" s="1123">
        <v>60.263945434518057</v>
      </c>
      <c r="AA162" s="1123">
        <f t="shared" si="150"/>
        <v>55.265500941920706</v>
      </c>
      <c r="AB162" s="1123">
        <f t="shared" si="151"/>
        <v>54.885120561194363</v>
      </c>
      <c r="AC162" s="1123">
        <f t="shared" si="152"/>
        <v>57.470806236699033</v>
      </c>
      <c r="AD162" s="1123">
        <f t="shared" si="153"/>
        <v>62.348559150492015</v>
      </c>
      <c r="AE162" s="1123">
        <f t="shared" si="154"/>
        <v>68.246917837145446</v>
      </c>
      <c r="AF162" s="1123">
        <f t="shared" si="155"/>
        <v>73.628384208524309</v>
      </c>
      <c r="AG162" s="1123">
        <f t="shared" si="156"/>
        <v>77.090196124021659</v>
      </c>
      <c r="AH162" s="1123">
        <f t="shared" si="157"/>
        <v>77.729978959726623</v>
      </c>
      <c r="AI162" s="1123">
        <f t="shared" si="158"/>
        <v>75.3809634601608</v>
      </c>
      <c r="AJ162" s="1123">
        <f t="shared" si="159"/>
        <v>70.655456714710596</v>
      </c>
      <c r="AK162" s="1123">
        <f t="shared" si="160"/>
        <v>64.785234878840853</v>
      </c>
      <c r="AL162" s="1123">
        <f t="shared" si="161"/>
        <v>59.300461736927829</v>
      </c>
      <c r="AM162" s="1120">
        <f t="shared" si="162"/>
        <v>1</v>
      </c>
      <c r="AN162" s="1120">
        <f t="shared" si="163"/>
        <v>1</v>
      </c>
      <c r="AO162" s="1120">
        <f t="shared" si="164"/>
        <v>1</v>
      </c>
      <c r="AP162" s="1120">
        <f t="shared" si="165"/>
        <v>1</v>
      </c>
      <c r="AQ162" s="1120">
        <f t="shared" si="166"/>
        <v>0</v>
      </c>
      <c r="AR162" s="1120">
        <f t="shared" si="167"/>
        <v>0</v>
      </c>
      <c r="AS162" s="1120">
        <f t="shared" si="168"/>
        <v>0</v>
      </c>
      <c r="AT162" s="1120">
        <f t="shared" si="169"/>
        <v>0</v>
      </c>
      <c r="AU162" s="1120">
        <f t="shared" si="170"/>
        <v>0</v>
      </c>
      <c r="AV162" s="1120">
        <f t="shared" si="171"/>
        <v>1</v>
      </c>
      <c r="AW162" s="1120">
        <f t="shared" si="172"/>
        <v>1</v>
      </c>
      <c r="AX162" s="1120">
        <f t="shared" si="173"/>
        <v>1</v>
      </c>
      <c r="AY162" s="1120">
        <f t="shared" si="174"/>
        <v>0</v>
      </c>
      <c r="AZ162" s="1120">
        <f t="shared" si="175"/>
        <v>0</v>
      </c>
      <c r="BA162" s="1120">
        <f t="shared" si="176"/>
        <v>0</v>
      </c>
      <c r="BB162" s="1120">
        <f t="shared" si="177"/>
        <v>0</v>
      </c>
      <c r="BC162" s="1120">
        <f t="shared" si="178"/>
        <v>1</v>
      </c>
      <c r="BD162" s="1120">
        <f t="shared" si="179"/>
        <v>1</v>
      </c>
      <c r="BE162" s="1120">
        <f t="shared" si="180"/>
        <v>1</v>
      </c>
      <c r="BF162" s="1120">
        <f t="shared" si="181"/>
        <v>1</v>
      </c>
      <c r="BG162" s="1120">
        <f t="shared" si="182"/>
        <v>1</v>
      </c>
      <c r="BH162" s="1120">
        <f t="shared" si="183"/>
        <v>0</v>
      </c>
      <c r="BI162" s="1120">
        <f t="shared" si="184"/>
        <v>0</v>
      </c>
      <c r="BJ162" s="1120">
        <f t="shared" si="185"/>
        <v>0</v>
      </c>
      <c r="BK162" s="1120">
        <f t="shared" si="186"/>
        <v>1</v>
      </c>
      <c r="BL162" s="1120">
        <f t="shared" si="187"/>
        <v>1</v>
      </c>
      <c r="BM162" s="1120">
        <f t="shared" si="188"/>
        <v>1</v>
      </c>
      <c r="BN162" s="1120">
        <f t="shared" si="189"/>
        <v>1</v>
      </c>
      <c r="BO162" s="1120">
        <f t="shared" si="190"/>
        <v>1</v>
      </c>
      <c r="BP162" s="1120">
        <f t="shared" si="191"/>
        <v>0</v>
      </c>
      <c r="BQ162" s="1120">
        <f t="shared" si="192"/>
        <v>0</v>
      </c>
      <c r="BR162" s="1120">
        <f t="shared" si="193"/>
        <v>0</v>
      </c>
      <c r="BS162" s="1120">
        <f t="shared" si="194"/>
        <v>0</v>
      </c>
      <c r="BT162" s="1120">
        <f t="shared" si="195"/>
        <v>1</v>
      </c>
      <c r="BU162" s="1120">
        <f t="shared" si="196"/>
        <v>1</v>
      </c>
      <c r="BV162" s="1120">
        <f t="shared" si="197"/>
        <v>1</v>
      </c>
      <c r="BW162" s="1120">
        <f t="shared" si="198"/>
        <v>0</v>
      </c>
      <c r="BX162" s="1120">
        <f t="shared" si="199"/>
        <v>0</v>
      </c>
      <c r="BY162" s="1120">
        <f t="shared" si="200"/>
        <v>0</v>
      </c>
      <c r="BZ162" s="1120">
        <f t="shared" si="201"/>
        <v>1</v>
      </c>
      <c r="CA162" s="1120">
        <f t="shared" si="202"/>
        <v>1</v>
      </c>
      <c r="CB162" s="1120">
        <f t="shared" si="203"/>
        <v>1</v>
      </c>
      <c r="CC162" s="1120">
        <f t="shared" si="204"/>
        <v>1</v>
      </c>
      <c r="CD162" s="1120">
        <f t="shared" si="205"/>
        <v>1</v>
      </c>
      <c r="CE162" s="1120">
        <f t="shared" si="206"/>
        <v>1</v>
      </c>
      <c r="CF162" s="1120">
        <f t="shared" si="207"/>
        <v>1</v>
      </c>
      <c r="CG162" s="1120">
        <f t="shared" si="208"/>
        <v>0</v>
      </c>
      <c r="CH162" s="1120">
        <f t="shared" si="209"/>
        <v>0</v>
      </c>
      <c r="CI162" s="1120">
        <f t="shared" si="210"/>
        <v>0.85</v>
      </c>
      <c r="CJ162" s="1120">
        <f t="shared" si="211"/>
        <v>0.85</v>
      </c>
      <c r="CK162" s="1120">
        <f t="shared" si="212"/>
        <v>0.85</v>
      </c>
      <c r="CL162" s="1120">
        <f t="shared" si="213"/>
        <v>0.85</v>
      </c>
      <c r="CM162" s="1120">
        <f t="shared" si="214"/>
        <v>0.85</v>
      </c>
      <c r="CN162" s="1120">
        <f t="shared" si="215"/>
        <v>0.7</v>
      </c>
      <c r="CO162" s="1120">
        <f t="shared" si="216"/>
        <v>0.7</v>
      </c>
      <c r="CP162" s="1120">
        <f t="shared" si="217"/>
        <v>0.7</v>
      </c>
      <c r="CQ162" s="1120">
        <f t="shared" si="218"/>
        <v>0.7</v>
      </c>
      <c r="CR162" s="1120">
        <f t="shared" si="219"/>
        <v>0.85</v>
      </c>
      <c r="CS162" s="1120">
        <f t="shared" si="220"/>
        <v>0.85</v>
      </c>
      <c r="CT162" s="1120">
        <f t="shared" si="221"/>
        <v>0.85</v>
      </c>
      <c r="CU162" s="1120">
        <v>1</v>
      </c>
      <c r="CV162" s="1120"/>
      <c r="CW162" s="1120">
        <f t="shared" si="222"/>
        <v>214</v>
      </c>
      <c r="CX162" s="1120">
        <f t="shared" si="223"/>
        <v>151</v>
      </c>
      <c r="CY162" s="1135" t="s">
        <v>4881</v>
      </c>
      <c r="CZ162" s="1124" t="s">
        <v>4882</v>
      </c>
      <c r="DA162" s="1124"/>
      <c r="DB162" s="1124"/>
      <c r="DC162" s="1120" t="s">
        <v>5387</v>
      </c>
      <c r="DD162" s="1120" t="s">
        <v>426</v>
      </c>
      <c r="DE162" s="1120" t="str">
        <f t="shared" si="224"/>
        <v/>
      </c>
      <c r="DF162" s="1133">
        <v>0</v>
      </c>
      <c r="DG162" s="1120">
        <v>0</v>
      </c>
    </row>
    <row r="163" spans="1:111">
      <c r="A163" s="1125" t="s">
        <v>3146</v>
      </c>
      <c r="B163" s="1125" t="s">
        <v>4667</v>
      </c>
      <c r="C163" s="1125" t="s">
        <v>4668</v>
      </c>
      <c r="D163" s="1125" t="s">
        <v>904</v>
      </c>
      <c r="E163" s="1125">
        <v>6124</v>
      </c>
      <c r="F163" s="1125">
        <v>-104.8</v>
      </c>
      <c r="G163" s="1125">
        <v>41.15</v>
      </c>
      <c r="H163" s="1125">
        <v>-7</v>
      </c>
      <c r="I163" s="1126">
        <v>1.7600013732910149</v>
      </c>
      <c r="J163" s="1126">
        <v>86.360001373291013</v>
      </c>
      <c r="K163" s="1127">
        <v>57.919999313354495</v>
      </c>
      <c r="L163" s="1125">
        <v>7196.4000000000005</v>
      </c>
      <c r="M163" s="1125">
        <v>313.2</v>
      </c>
      <c r="N163" s="1128">
        <v>26.23999991416931</v>
      </c>
      <c r="O163" s="1128">
        <v>26.960000085830689</v>
      </c>
      <c r="P163" s="1128">
        <v>34.339999914169312</v>
      </c>
      <c r="Q163" s="1128">
        <v>42.97999982833862</v>
      </c>
      <c r="R163" s="1128">
        <v>49.280000686645508</v>
      </c>
      <c r="S163" s="1128">
        <v>61.519999313354496</v>
      </c>
      <c r="T163" s="1128">
        <v>69.080000686645505</v>
      </c>
      <c r="U163" s="1128">
        <v>65.66000137329101</v>
      </c>
      <c r="V163" s="1128">
        <v>58.459999656677248</v>
      </c>
      <c r="W163" s="1128">
        <v>45.679999828338623</v>
      </c>
      <c r="X163" s="1128">
        <v>33.259999978542325</v>
      </c>
      <c r="Y163" s="1128">
        <v>31.639999994635581</v>
      </c>
      <c r="Z163" s="1128">
        <v>45.536986411083234</v>
      </c>
      <c r="AA163" s="1128">
        <f t="shared" si="150"/>
        <v>44.074685166873095</v>
      </c>
      <c r="AB163" s="1128">
        <f t="shared" si="151"/>
        <v>42.655558515942346</v>
      </c>
      <c r="AC163" s="1128">
        <f t="shared" si="152"/>
        <v>43.551512912826858</v>
      </c>
      <c r="AD163" s="1128">
        <f t="shared" si="153"/>
        <v>46.529004036903494</v>
      </c>
      <c r="AE163" s="1128">
        <f t="shared" si="154"/>
        <v>50.811902942154546</v>
      </c>
      <c r="AF163" s="1128">
        <f t="shared" si="155"/>
        <v>55.283806027456343</v>
      </c>
      <c r="AG163" s="1128">
        <f t="shared" si="156"/>
        <v>58.779042839512421</v>
      </c>
      <c r="AH163" s="1128">
        <f t="shared" si="157"/>
        <v>60.38652604003066</v>
      </c>
      <c r="AI163" s="1128">
        <f t="shared" si="158"/>
        <v>59.687240360730016</v>
      </c>
      <c r="AJ163" s="1128">
        <f t="shared" si="159"/>
        <v>56.863465390238723</v>
      </c>
      <c r="AK163" s="1128">
        <f t="shared" si="160"/>
        <v>52.651261590304834</v>
      </c>
      <c r="AL163" s="1128">
        <f t="shared" si="161"/>
        <v>48.148604793406534</v>
      </c>
      <c r="AM163" s="1125">
        <f t="shared" si="162"/>
        <v>1</v>
      </c>
      <c r="AN163" s="1125">
        <f t="shared" si="163"/>
        <v>1</v>
      </c>
      <c r="AO163" s="1125">
        <f t="shared" si="164"/>
        <v>1</v>
      </c>
      <c r="AP163" s="1125">
        <f t="shared" si="165"/>
        <v>1</v>
      </c>
      <c r="AQ163" s="1125">
        <f t="shared" si="166"/>
        <v>1</v>
      </c>
      <c r="AR163" s="1125">
        <f t="shared" si="167"/>
        <v>1</v>
      </c>
      <c r="AS163" s="1125">
        <f t="shared" si="168"/>
        <v>0</v>
      </c>
      <c r="AT163" s="1125">
        <f t="shared" si="169"/>
        <v>1</v>
      </c>
      <c r="AU163" s="1125">
        <f t="shared" si="170"/>
        <v>1</v>
      </c>
      <c r="AV163" s="1125">
        <f t="shared" si="171"/>
        <v>1</v>
      </c>
      <c r="AW163" s="1125">
        <f t="shared" si="172"/>
        <v>1</v>
      </c>
      <c r="AX163" s="1125">
        <f t="shared" si="173"/>
        <v>1</v>
      </c>
      <c r="AY163" s="1125">
        <f t="shared" si="174"/>
        <v>0</v>
      </c>
      <c r="AZ163" s="1125">
        <f t="shared" si="175"/>
        <v>0</v>
      </c>
      <c r="BA163" s="1125">
        <f t="shared" si="176"/>
        <v>0</v>
      </c>
      <c r="BB163" s="1125">
        <f t="shared" si="177"/>
        <v>0</v>
      </c>
      <c r="BC163" s="1125">
        <f t="shared" si="178"/>
        <v>0</v>
      </c>
      <c r="BD163" s="1125">
        <f t="shared" si="179"/>
        <v>0</v>
      </c>
      <c r="BE163" s="1125">
        <f t="shared" si="180"/>
        <v>1</v>
      </c>
      <c r="BF163" s="1125">
        <f t="shared" si="181"/>
        <v>1</v>
      </c>
      <c r="BG163" s="1125">
        <f t="shared" si="182"/>
        <v>0</v>
      </c>
      <c r="BH163" s="1125">
        <f t="shared" si="183"/>
        <v>0</v>
      </c>
      <c r="BI163" s="1125">
        <f t="shared" si="184"/>
        <v>0</v>
      </c>
      <c r="BJ163" s="1125">
        <f t="shared" si="185"/>
        <v>0</v>
      </c>
      <c r="BK163" s="1125">
        <f t="shared" si="186"/>
        <v>1</v>
      </c>
      <c r="BL163" s="1125">
        <f t="shared" si="187"/>
        <v>1</v>
      </c>
      <c r="BM163" s="1125">
        <f t="shared" si="188"/>
        <v>1</v>
      </c>
      <c r="BN163" s="1125">
        <f t="shared" si="189"/>
        <v>1</v>
      </c>
      <c r="BO163" s="1125">
        <f t="shared" si="190"/>
        <v>1</v>
      </c>
      <c r="BP163" s="1125">
        <f t="shared" si="191"/>
        <v>1</v>
      </c>
      <c r="BQ163" s="1125">
        <f t="shared" si="192"/>
        <v>1</v>
      </c>
      <c r="BR163" s="1125">
        <f t="shared" si="193"/>
        <v>1</v>
      </c>
      <c r="BS163" s="1125">
        <f t="shared" si="194"/>
        <v>1</v>
      </c>
      <c r="BT163" s="1125">
        <f t="shared" si="195"/>
        <v>1</v>
      </c>
      <c r="BU163" s="1125">
        <f t="shared" si="196"/>
        <v>1</v>
      </c>
      <c r="BV163" s="1125">
        <f t="shared" si="197"/>
        <v>1</v>
      </c>
      <c r="BW163" s="1125">
        <f t="shared" si="198"/>
        <v>0</v>
      </c>
      <c r="BX163" s="1125">
        <f t="shared" si="199"/>
        <v>0</v>
      </c>
      <c r="BY163" s="1125">
        <f t="shared" si="200"/>
        <v>0</v>
      </c>
      <c r="BZ163" s="1125">
        <f t="shared" si="201"/>
        <v>0</v>
      </c>
      <c r="CA163" s="1125">
        <f t="shared" si="202"/>
        <v>0</v>
      </c>
      <c r="CB163" s="1125">
        <f t="shared" si="203"/>
        <v>1</v>
      </c>
      <c r="CC163" s="1125">
        <f t="shared" si="204"/>
        <v>1</v>
      </c>
      <c r="CD163" s="1125">
        <f t="shared" si="205"/>
        <v>1</v>
      </c>
      <c r="CE163" s="1125">
        <f t="shared" si="206"/>
        <v>0</v>
      </c>
      <c r="CF163" s="1125">
        <f t="shared" si="207"/>
        <v>0</v>
      </c>
      <c r="CG163" s="1125">
        <f t="shared" si="208"/>
        <v>0</v>
      </c>
      <c r="CH163" s="1125">
        <f t="shared" si="209"/>
        <v>0</v>
      </c>
      <c r="CI163" s="1125">
        <f t="shared" si="210"/>
        <v>0.85</v>
      </c>
      <c r="CJ163" s="1125">
        <f t="shared" si="211"/>
        <v>0.85</v>
      </c>
      <c r="CK163" s="1125">
        <f t="shared" si="212"/>
        <v>0.85</v>
      </c>
      <c r="CL163" s="1125">
        <f t="shared" si="213"/>
        <v>0.85</v>
      </c>
      <c r="CM163" s="1125">
        <f t="shared" si="214"/>
        <v>0.85</v>
      </c>
      <c r="CN163" s="1125">
        <f t="shared" si="215"/>
        <v>0.85</v>
      </c>
      <c r="CO163" s="1125">
        <f t="shared" si="216"/>
        <v>0.85</v>
      </c>
      <c r="CP163" s="1125">
        <f t="shared" si="217"/>
        <v>0.85</v>
      </c>
      <c r="CQ163" s="1125">
        <f t="shared" si="218"/>
        <v>0.85</v>
      </c>
      <c r="CR163" s="1125">
        <f t="shared" si="219"/>
        <v>0.85</v>
      </c>
      <c r="CS163" s="1125">
        <f t="shared" si="220"/>
        <v>0.85</v>
      </c>
      <c r="CT163" s="1125">
        <f t="shared" si="221"/>
        <v>0.85</v>
      </c>
      <c r="CU163" s="1125">
        <v>1</v>
      </c>
      <c r="CV163" s="1125"/>
      <c r="CW163" s="1125">
        <f t="shared" si="222"/>
        <v>92</v>
      </c>
      <c r="CX163" s="1125">
        <f t="shared" si="223"/>
        <v>273</v>
      </c>
      <c r="CY163" s="1135" t="s">
        <v>4889</v>
      </c>
      <c r="CZ163" s="1124" t="s">
        <v>4896</v>
      </c>
      <c r="DA163" s="1124"/>
      <c r="DB163" s="1124"/>
      <c r="DC163" s="1120" t="s">
        <v>5696</v>
      </c>
      <c r="DD163" s="1120" t="s">
        <v>904</v>
      </c>
      <c r="DE163" s="1120" t="str">
        <f t="shared" si="224"/>
        <v/>
      </c>
      <c r="DF163" s="1133">
        <v>0</v>
      </c>
      <c r="DG163" s="1125">
        <v>0</v>
      </c>
    </row>
    <row r="164" spans="1:111">
      <c r="A164" s="1120" t="s">
        <v>3148</v>
      </c>
      <c r="B164" s="1120" t="s">
        <v>3507</v>
      </c>
      <c r="C164" s="1120" t="s">
        <v>3508</v>
      </c>
      <c r="D164" s="1120" t="s">
        <v>932</v>
      </c>
      <c r="E164" s="1120">
        <v>610</v>
      </c>
      <c r="F164" s="1120">
        <v>-87.75</v>
      </c>
      <c r="G164" s="1120">
        <v>41.78</v>
      </c>
      <c r="H164" s="1120">
        <v>-6</v>
      </c>
      <c r="I164" s="1121">
        <v>4.2800006866455069</v>
      </c>
      <c r="J164" s="1121">
        <v>89.6</v>
      </c>
      <c r="K164" s="1122">
        <v>73.400000000000006</v>
      </c>
      <c r="L164" s="1120">
        <v>5590.8</v>
      </c>
      <c r="M164" s="1120">
        <v>1243.8</v>
      </c>
      <c r="N164" s="1123">
        <v>21.740000343322755</v>
      </c>
      <c r="O164" s="1123">
        <v>28.76000008583069</v>
      </c>
      <c r="P164" s="1123">
        <v>40.820000171661377</v>
      </c>
      <c r="Q164" s="1123">
        <v>52.159999656677243</v>
      </c>
      <c r="R164" s="1123">
        <v>57.019999313354489</v>
      </c>
      <c r="S164" s="1123">
        <v>70.519999313354489</v>
      </c>
      <c r="T164" s="1123">
        <v>77.360001373291013</v>
      </c>
      <c r="U164" s="1123">
        <v>75.560001373291016</v>
      </c>
      <c r="V164" s="1123">
        <v>70.16000137329101</v>
      </c>
      <c r="W164" s="1123">
        <v>56.3</v>
      </c>
      <c r="X164" s="1123">
        <v>47.480000686645511</v>
      </c>
      <c r="Y164" s="1123">
        <v>30.559999978542329</v>
      </c>
      <c r="Z164" s="1123">
        <v>52.479561951944277</v>
      </c>
      <c r="AA164" s="1123">
        <f t="shared" si="150"/>
        <v>46.377297442381497</v>
      </c>
      <c r="AB164" s="1123">
        <f t="shared" si="151"/>
        <v>45.021558900459226</v>
      </c>
      <c r="AC164" s="1123">
        <f t="shared" si="152"/>
        <v>47.173856248011319</v>
      </c>
      <c r="AD164" s="1123">
        <f t="shared" si="153"/>
        <v>52.273160013492223</v>
      </c>
      <c r="AE164" s="1123">
        <f t="shared" si="154"/>
        <v>58.990258087779623</v>
      </c>
      <c r="AF164" s="1123">
        <f t="shared" si="155"/>
        <v>65.57423534419587</v>
      </c>
      <c r="AG164" s="1123">
        <f t="shared" si="156"/>
        <v>70.308876648695303</v>
      </c>
      <c r="AH164" s="1123">
        <f t="shared" si="157"/>
        <v>71.96002478222907</v>
      </c>
      <c r="AI164" s="1123">
        <f t="shared" si="158"/>
        <v>70.097282538828651</v>
      </c>
      <c r="AJ164" s="1123">
        <f t="shared" si="159"/>
        <v>65.206202389963252</v>
      </c>
      <c r="AK164" s="1123">
        <f t="shared" si="160"/>
        <v>58.561719750261261</v>
      </c>
      <c r="AL164" s="1123">
        <f t="shared" si="161"/>
        <v>51.895821414337966</v>
      </c>
      <c r="AM164" s="1120">
        <f t="shared" si="162"/>
        <v>1</v>
      </c>
      <c r="AN164" s="1120">
        <f t="shared" si="163"/>
        <v>1</v>
      </c>
      <c r="AO164" s="1120">
        <f t="shared" si="164"/>
        <v>1</v>
      </c>
      <c r="AP164" s="1120">
        <f t="shared" si="165"/>
        <v>1</v>
      </c>
      <c r="AQ164" s="1120">
        <f t="shared" si="166"/>
        <v>1</v>
      </c>
      <c r="AR164" s="1120">
        <f t="shared" si="167"/>
        <v>0</v>
      </c>
      <c r="AS164" s="1120">
        <f t="shared" si="168"/>
        <v>0</v>
      </c>
      <c r="AT164" s="1120">
        <f t="shared" si="169"/>
        <v>0</v>
      </c>
      <c r="AU164" s="1120">
        <f t="shared" si="170"/>
        <v>0</v>
      </c>
      <c r="AV164" s="1120">
        <f t="shared" si="171"/>
        <v>1</v>
      </c>
      <c r="AW164" s="1120">
        <f t="shared" si="172"/>
        <v>1</v>
      </c>
      <c r="AX164" s="1120">
        <f t="shared" si="173"/>
        <v>1</v>
      </c>
      <c r="AY164" s="1120">
        <f t="shared" si="174"/>
        <v>0</v>
      </c>
      <c r="AZ164" s="1120">
        <f t="shared" si="175"/>
        <v>0</v>
      </c>
      <c r="BA164" s="1120">
        <f t="shared" si="176"/>
        <v>0</v>
      </c>
      <c r="BB164" s="1120">
        <f t="shared" si="177"/>
        <v>0</v>
      </c>
      <c r="BC164" s="1120">
        <f t="shared" si="178"/>
        <v>0</v>
      </c>
      <c r="BD164" s="1120">
        <f t="shared" si="179"/>
        <v>1</v>
      </c>
      <c r="BE164" s="1120">
        <f t="shared" si="180"/>
        <v>1</v>
      </c>
      <c r="BF164" s="1120">
        <f t="shared" si="181"/>
        <v>1</v>
      </c>
      <c r="BG164" s="1120">
        <f t="shared" si="182"/>
        <v>1</v>
      </c>
      <c r="BH164" s="1120">
        <f t="shared" si="183"/>
        <v>0</v>
      </c>
      <c r="BI164" s="1120">
        <f t="shared" si="184"/>
        <v>0</v>
      </c>
      <c r="BJ164" s="1120">
        <f t="shared" si="185"/>
        <v>0</v>
      </c>
      <c r="BK164" s="1120">
        <f t="shared" si="186"/>
        <v>1</v>
      </c>
      <c r="BL164" s="1120">
        <f t="shared" si="187"/>
        <v>1</v>
      </c>
      <c r="BM164" s="1120">
        <f t="shared" si="188"/>
        <v>1</v>
      </c>
      <c r="BN164" s="1120">
        <f t="shared" si="189"/>
        <v>1</v>
      </c>
      <c r="BO164" s="1120">
        <f t="shared" si="190"/>
        <v>1</v>
      </c>
      <c r="BP164" s="1120">
        <f t="shared" si="191"/>
        <v>1</v>
      </c>
      <c r="BQ164" s="1120">
        <f t="shared" si="192"/>
        <v>0</v>
      </c>
      <c r="BR164" s="1120">
        <f t="shared" si="193"/>
        <v>0</v>
      </c>
      <c r="BS164" s="1120">
        <f t="shared" si="194"/>
        <v>0</v>
      </c>
      <c r="BT164" s="1120">
        <f t="shared" si="195"/>
        <v>1</v>
      </c>
      <c r="BU164" s="1120">
        <f t="shared" si="196"/>
        <v>1</v>
      </c>
      <c r="BV164" s="1120">
        <f t="shared" si="197"/>
        <v>1</v>
      </c>
      <c r="BW164" s="1120">
        <f t="shared" si="198"/>
        <v>0</v>
      </c>
      <c r="BX164" s="1120">
        <f t="shared" si="199"/>
        <v>0</v>
      </c>
      <c r="BY164" s="1120">
        <f t="shared" si="200"/>
        <v>0</v>
      </c>
      <c r="BZ164" s="1120">
        <f t="shared" si="201"/>
        <v>0</v>
      </c>
      <c r="CA164" s="1120">
        <f t="shared" si="202"/>
        <v>1</v>
      </c>
      <c r="CB164" s="1120">
        <f t="shared" si="203"/>
        <v>1</v>
      </c>
      <c r="CC164" s="1120">
        <f t="shared" si="204"/>
        <v>1</v>
      </c>
      <c r="CD164" s="1120">
        <f t="shared" si="205"/>
        <v>1</v>
      </c>
      <c r="CE164" s="1120">
        <f t="shared" si="206"/>
        <v>1</v>
      </c>
      <c r="CF164" s="1120">
        <f t="shared" si="207"/>
        <v>1</v>
      </c>
      <c r="CG164" s="1120">
        <f t="shared" si="208"/>
        <v>0</v>
      </c>
      <c r="CH164" s="1120">
        <f t="shared" si="209"/>
        <v>0</v>
      </c>
      <c r="CI164" s="1120">
        <f t="shared" si="210"/>
        <v>0.85</v>
      </c>
      <c r="CJ164" s="1120">
        <f t="shared" si="211"/>
        <v>0.85</v>
      </c>
      <c r="CK164" s="1120">
        <f t="shared" si="212"/>
        <v>0.85</v>
      </c>
      <c r="CL164" s="1120">
        <f t="shared" si="213"/>
        <v>0.85</v>
      </c>
      <c r="CM164" s="1120">
        <f t="shared" si="214"/>
        <v>0.85</v>
      </c>
      <c r="CN164" s="1120">
        <f t="shared" si="215"/>
        <v>0.85</v>
      </c>
      <c r="CO164" s="1120">
        <f t="shared" si="216"/>
        <v>0.7</v>
      </c>
      <c r="CP164" s="1120">
        <f t="shared" si="217"/>
        <v>0.7</v>
      </c>
      <c r="CQ164" s="1120">
        <f t="shared" si="218"/>
        <v>0.7</v>
      </c>
      <c r="CR164" s="1120">
        <f t="shared" si="219"/>
        <v>0.85</v>
      </c>
      <c r="CS164" s="1120">
        <f t="shared" si="220"/>
        <v>0.85</v>
      </c>
      <c r="CT164" s="1120">
        <f t="shared" si="221"/>
        <v>0.85</v>
      </c>
      <c r="CU164" s="1120">
        <v>1</v>
      </c>
      <c r="CV164" s="1120"/>
      <c r="CW164" s="1120">
        <f t="shared" si="222"/>
        <v>184</v>
      </c>
      <c r="CX164" s="1120">
        <f t="shared" si="223"/>
        <v>181</v>
      </c>
      <c r="CY164" s="1136" t="s">
        <v>4889</v>
      </c>
      <c r="CZ164" s="1129" t="s">
        <v>4897</v>
      </c>
      <c r="DA164" s="1129"/>
      <c r="DB164" s="1129"/>
      <c r="DC164" s="1125" t="s">
        <v>5204</v>
      </c>
      <c r="DD164" s="1125" t="s">
        <v>932</v>
      </c>
      <c r="DE164" s="1120" t="str">
        <f t="shared" si="224"/>
        <v/>
      </c>
      <c r="DF164" s="1133">
        <v>0</v>
      </c>
      <c r="DG164" s="1120">
        <v>0</v>
      </c>
    </row>
    <row r="165" spans="1:111">
      <c r="A165" s="1125" t="s">
        <v>3150</v>
      </c>
      <c r="B165" s="1125" t="s">
        <v>3509</v>
      </c>
      <c r="C165" s="1125" t="s">
        <v>3510</v>
      </c>
      <c r="D165" s="1125" t="s">
        <v>932</v>
      </c>
      <c r="E165" s="1125">
        <v>659</v>
      </c>
      <c r="F165" s="1125">
        <v>-87.92</v>
      </c>
      <c r="G165" s="1125">
        <v>41.98</v>
      </c>
      <c r="H165" s="1125">
        <v>-6</v>
      </c>
      <c r="I165" s="1126">
        <v>2.1199993133544917</v>
      </c>
      <c r="J165" s="1126">
        <v>88.880000686645502</v>
      </c>
      <c r="K165" s="1127">
        <v>73.400000000000006</v>
      </c>
      <c r="L165" s="1125">
        <v>6174</v>
      </c>
      <c r="M165" s="1125">
        <v>910.80000000000007</v>
      </c>
      <c r="N165" s="1128">
        <v>23.720000171661376</v>
      </c>
      <c r="O165" s="1128">
        <v>27.5</v>
      </c>
      <c r="P165" s="1128">
        <v>38.839999914169312</v>
      </c>
      <c r="Q165" s="1128">
        <v>50</v>
      </c>
      <c r="R165" s="1128">
        <v>59.540000343322752</v>
      </c>
      <c r="S165" s="1128">
        <v>69.980000686645511</v>
      </c>
      <c r="T165" s="1128">
        <v>75.380000686645502</v>
      </c>
      <c r="U165" s="1128">
        <v>71.239998626708982</v>
      </c>
      <c r="V165" s="1128">
        <v>64.580000686645505</v>
      </c>
      <c r="W165" s="1128">
        <v>51.8</v>
      </c>
      <c r="X165" s="1128">
        <v>40.459999656677248</v>
      </c>
      <c r="Y165" s="1128">
        <v>25.339999914169312</v>
      </c>
      <c r="Z165" s="1128">
        <v>49.978794576043953</v>
      </c>
      <c r="AA165" s="1128">
        <f t="shared" si="150"/>
        <v>45.553065018583226</v>
      </c>
      <c r="AB165" s="1128">
        <f t="shared" si="151"/>
        <v>44.104156560653024</v>
      </c>
      <c r="AC165" s="1128">
        <f t="shared" si="152"/>
        <v>45.750555495145463</v>
      </c>
      <c r="AD165" s="1128">
        <f t="shared" si="153"/>
        <v>50.063102568009498</v>
      </c>
      <c r="AE165" s="1128">
        <f t="shared" si="154"/>
        <v>55.917665926341058</v>
      </c>
      <c r="AF165" s="1128">
        <f t="shared" si="155"/>
        <v>61.788163409238685</v>
      </c>
      <c r="AG165" s="1128">
        <f t="shared" si="156"/>
        <v>66.144359380680484</v>
      </c>
      <c r="AH165" s="1128">
        <f t="shared" si="157"/>
        <v>67.850744229698194</v>
      </c>
      <c r="AI165" s="1128">
        <f t="shared" si="158"/>
        <v>66.462522449208848</v>
      </c>
      <c r="AJ165" s="1128">
        <f t="shared" si="159"/>
        <v>62.341555439442182</v>
      </c>
      <c r="AK165" s="1128">
        <f t="shared" si="160"/>
        <v>56.562036757517831</v>
      </c>
      <c r="AL165" s="1128">
        <f t="shared" si="161"/>
        <v>50.630487012958234</v>
      </c>
      <c r="AM165" s="1125">
        <f t="shared" si="162"/>
        <v>1</v>
      </c>
      <c r="AN165" s="1125">
        <f t="shared" si="163"/>
        <v>1</v>
      </c>
      <c r="AO165" s="1125">
        <f t="shared" si="164"/>
        <v>1</v>
      </c>
      <c r="AP165" s="1125">
        <f t="shared" si="165"/>
        <v>1</v>
      </c>
      <c r="AQ165" s="1125">
        <f t="shared" si="166"/>
        <v>1</v>
      </c>
      <c r="AR165" s="1125">
        <f t="shared" si="167"/>
        <v>0</v>
      </c>
      <c r="AS165" s="1125">
        <f t="shared" si="168"/>
        <v>0</v>
      </c>
      <c r="AT165" s="1125">
        <f t="shared" si="169"/>
        <v>0</v>
      </c>
      <c r="AU165" s="1125">
        <f t="shared" si="170"/>
        <v>1</v>
      </c>
      <c r="AV165" s="1125">
        <f t="shared" si="171"/>
        <v>1</v>
      </c>
      <c r="AW165" s="1125">
        <f t="shared" si="172"/>
        <v>1</v>
      </c>
      <c r="AX165" s="1125">
        <f t="shared" si="173"/>
        <v>1</v>
      </c>
      <c r="AY165" s="1125">
        <f t="shared" si="174"/>
        <v>0</v>
      </c>
      <c r="AZ165" s="1125">
        <f t="shared" si="175"/>
        <v>0</v>
      </c>
      <c r="BA165" s="1125">
        <f t="shared" si="176"/>
        <v>0</v>
      </c>
      <c r="BB165" s="1125">
        <f t="shared" si="177"/>
        <v>0</v>
      </c>
      <c r="BC165" s="1125">
        <f t="shared" si="178"/>
        <v>0</v>
      </c>
      <c r="BD165" s="1125">
        <f t="shared" si="179"/>
        <v>1</v>
      </c>
      <c r="BE165" s="1125">
        <f t="shared" si="180"/>
        <v>1</v>
      </c>
      <c r="BF165" s="1125">
        <f t="shared" si="181"/>
        <v>1</v>
      </c>
      <c r="BG165" s="1125">
        <f t="shared" si="182"/>
        <v>0</v>
      </c>
      <c r="BH165" s="1125">
        <f t="shared" si="183"/>
        <v>0</v>
      </c>
      <c r="BI165" s="1125">
        <f t="shared" si="184"/>
        <v>0</v>
      </c>
      <c r="BJ165" s="1125">
        <f t="shared" si="185"/>
        <v>0</v>
      </c>
      <c r="BK165" s="1125">
        <f t="shared" si="186"/>
        <v>1</v>
      </c>
      <c r="BL165" s="1125">
        <f t="shared" si="187"/>
        <v>1</v>
      </c>
      <c r="BM165" s="1125">
        <f t="shared" si="188"/>
        <v>1</v>
      </c>
      <c r="BN165" s="1125">
        <f t="shared" si="189"/>
        <v>1</v>
      </c>
      <c r="BO165" s="1125">
        <f t="shared" si="190"/>
        <v>1</v>
      </c>
      <c r="BP165" s="1125">
        <f t="shared" si="191"/>
        <v>1</v>
      </c>
      <c r="BQ165" s="1125">
        <f t="shared" si="192"/>
        <v>0</v>
      </c>
      <c r="BR165" s="1125">
        <f t="shared" si="193"/>
        <v>0</v>
      </c>
      <c r="BS165" s="1125">
        <f t="shared" si="194"/>
        <v>1</v>
      </c>
      <c r="BT165" s="1125">
        <f t="shared" si="195"/>
        <v>1</v>
      </c>
      <c r="BU165" s="1125">
        <f t="shared" si="196"/>
        <v>1</v>
      </c>
      <c r="BV165" s="1125">
        <f t="shared" si="197"/>
        <v>1</v>
      </c>
      <c r="BW165" s="1125">
        <f t="shared" si="198"/>
        <v>0</v>
      </c>
      <c r="BX165" s="1125">
        <f t="shared" si="199"/>
        <v>0</v>
      </c>
      <c r="BY165" s="1125">
        <f t="shared" si="200"/>
        <v>0</v>
      </c>
      <c r="BZ165" s="1125">
        <f t="shared" si="201"/>
        <v>0</v>
      </c>
      <c r="CA165" s="1125">
        <f t="shared" si="202"/>
        <v>1</v>
      </c>
      <c r="CB165" s="1125">
        <f t="shared" si="203"/>
        <v>1</v>
      </c>
      <c r="CC165" s="1125">
        <f t="shared" si="204"/>
        <v>1</v>
      </c>
      <c r="CD165" s="1125">
        <f t="shared" si="205"/>
        <v>1</v>
      </c>
      <c r="CE165" s="1125">
        <f t="shared" si="206"/>
        <v>1</v>
      </c>
      <c r="CF165" s="1125">
        <f t="shared" si="207"/>
        <v>0</v>
      </c>
      <c r="CG165" s="1125">
        <f t="shared" si="208"/>
        <v>0</v>
      </c>
      <c r="CH165" s="1125">
        <f t="shared" si="209"/>
        <v>0</v>
      </c>
      <c r="CI165" s="1125">
        <f t="shared" si="210"/>
        <v>0.85</v>
      </c>
      <c r="CJ165" s="1125">
        <f t="shared" si="211"/>
        <v>0.85</v>
      </c>
      <c r="CK165" s="1125">
        <f t="shared" si="212"/>
        <v>0.85</v>
      </c>
      <c r="CL165" s="1125">
        <f t="shared" si="213"/>
        <v>0.85</v>
      </c>
      <c r="CM165" s="1125">
        <f t="shared" si="214"/>
        <v>0.85</v>
      </c>
      <c r="CN165" s="1125">
        <f t="shared" si="215"/>
        <v>0.85</v>
      </c>
      <c r="CO165" s="1125">
        <f t="shared" si="216"/>
        <v>0.7</v>
      </c>
      <c r="CP165" s="1125">
        <f t="shared" si="217"/>
        <v>0.7</v>
      </c>
      <c r="CQ165" s="1125">
        <f t="shared" si="218"/>
        <v>0.85</v>
      </c>
      <c r="CR165" s="1125">
        <f t="shared" si="219"/>
        <v>0.85</v>
      </c>
      <c r="CS165" s="1125">
        <f t="shared" si="220"/>
        <v>0.85</v>
      </c>
      <c r="CT165" s="1125">
        <f t="shared" si="221"/>
        <v>0.85</v>
      </c>
      <c r="CU165" s="1125">
        <v>1</v>
      </c>
      <c r="CV165" s="1125"/>
      <c r="CW165" s="1125">
        <f t="shared" si="222"/>
        <v>153</v>
      </c>
      <c r="CX165" s="1125">
        <f t="shared" si="223"/>
        <v>212</v>
      </c>
      <c r="CY165" s="1135" t="s">
        <v>4889</v>
      </c>
      <c r="CZ165" s="1124" t="s">
        <v>4897</v>
      </c>
      <c r="DA165" s="1124"/>
      <c r="DB165" s="1124"/>
      <c r="DC165" s="1120" t="s">
        <v>5205</v>
      </c>
      <c r="DD165" s="1120" t="s">
        <v>932</v>
      </c>
      <c r="DE165" s="1120" t="str">
        <f t="shared" si="224"/>
        <v/>
      </c>
      <c r="DF165" s="1133">
        <v>0</v>
      </c>
      <c r="DG165" s="1125">
        <v>0</v>
      </c>
    </row>
    <row r="166" spans="1:111">
      <c r="A166" s="1120" t="s">
        <v>3152</v>
      </c>
      <c r="B166" s="1120" t="s">
        <v>3529</v>
      </c>
      <c r="C166" s="1120" t="s">
        <v>3530</v>
      </c>
      <c r="D166" s="1120" t="s">
        <v>932</v>
      </c>
      <c r="E166" s="1120">
        <v>728</v>
      </c>
      <c r="F166" s="1120">
        <v>-87.87</v>
      </c>
      <c r="G166" s="1120">
        <v>42.42</v>
      </c>
      <c r="H166" s="1120">
        <v>-6</v>
      </c>
      <c r="I166" s="1121">
        <v>-0.58000068664550863</v>
      </c>
      <c r="J166" s="1121">
        <v>90.139998626708987</v>
      </c>
      <c r="K166" s="1122">
        <v>78.980000686645511</v>
      </c>
      <c r="L166" s="1120">
        <v>6744.6</v>
      </c>
      <c r="M166" s="1120">
        <v>732.6</v>
      </c>
      <c r="N166" s="1123">
        <v>24.979999828338624</v>
      </c>
      <c r="O166" s="1123">
        <v>26.6</v>
      </c>
      <c r="P166" s="1123">
        <v>32.540000021457672</v>
      </c>
      <c r="Q166" s="1123">
        <v>47.840000343322757</v>
      </c>
      <c r="R166" s="1123">
        <v>52.519999313354489</v>
      </c>
      <c r="S166" s="1123">
        <v>68.180000686645513</v>
      </c>
      <c r="T166" s="1123">
        <v>72.319999313354487</v>
      </c>
      <c r="U166" s="1123">
        <v>71.419999313354495</v>
      </c>
      <c r="V166" s="1123">
        <v>63.5</v>
      </c>
      <c r="W166" s="1123">
        <v>48.019999313354489</v>
      </c>
      <c r="X166" s="1123">
        <v>42.620000171661374</v>
      </c>
      <c r="Y166" s="1123">
        <v>23.540000343322752</v>
      </c>
      <c r="Z166" s="1123">
        <v>47.930246457237089</v>
      </c>
      <c r="AA166" s="1123">
        <f t="shared" si="150"/>
        <v>44.711063455449604</v>
      </c>
      <c r="AB166" s="1123">
        <f t="shared" si="151"/>
        <v>43.217475126680974</v>
      </c>
      <c r="AC166" s="1123">
        <f t="shared" si="152"/>
        <v>44.516335734025184</v>
      </c>
      <c r="AD166" s="1123">
        <f t="shared" si="153"/>
        <v>48.269077244130145</v>
      </c>
      <c r="AE166" s="1123">
        <f t="shared" si="154"/>
        <v>53.49748975088977</v>
      </c>
      <c r="AF166" s="1123">
        <f t="shared" si="155"/>
        <v>58.838706962141543</v>
      </c>
      <c r="AG166" s="1123">
        <f t="shared" si="156"/>
        <v>62.900458301123933</v>
      </c>
      <c r="AH166" s="1123">
        <f t="shared" si="157"/>
        <v>64.623985687848361</v>
      </c>
      <c r="AI166" s="1123">
        <f t="shared" si="158"/>
        <v>63.560025148604097</v>
      </c>
      <c r="AJ166" s="1123">
        <f t="shared" si="159"/>
        <v>59.985914394073383</v>
      </c>
      <c r="AK166" s="1123">
        <f t="shared" si="160"/>
        <v>54.833300471138585</v>
      </c>
      <c r="AL166" s="1123">
        <f t="shared" si="161"/>
        <v>49.445291602996768</v>
      </c>
      <c r="AM166" s="1120">
        <f t="shared" si="162"/>
        <v>1</v>
      </c>
      <c r="AN166" s="1120">
        <f t="shared" si="163"/>
        <v>1</v>
      </c>
      <c r="AO166" s="1120">
        <f t="shared" si="164"/>
        <v>1</v>
      </c>
      <c r="AP166" s="1120">
        <f t="shared" si="165"/>
        <v>1</v>
      </c>
      <c r="AQ166" s="1120">
        <f t="shared" si="166"/>
        <v>1</v>
      </c>
      <c r="AR166" s="1120">
        <f t="shared" si="167"/>
        <v>0</v>
      </c>
      <c r="AS166" s="1120">
        <f t="shared" si="168"/>
        <v>0</v>
      </c>
      <c r="AT166" s="1120">
        <f t="shared" si="169"/>
        <v>0</v>
      </c>
      <c r="AU166" s="1120">
        <f t="shared" si="170"/>
        <v>1</v>
      </c>
      <c r="AV166" s="1120">
        <f t="shared" si="171"/>
        <v>1</v>
      </c>
      <c r="AW166" s="1120">
        <f t="shared" si="172"/>
        <v>1</v>
      </c>
      <c r="AX166" s="1120">
        <f t="shared" si="173"/>
        <v>1</v>
      </c>
      <c r="AY166" s="1120">
        <f t="shared" si="174"/>
        <v>0</v>
      </c>
      <c r="AZ166" s="1120">
        <f t="shared" si="175"/>
        <v>0</v>
      </c>
      <c r="BA166" s="1120">
        <f t="shared" si="176"/>
        <v>0</v>
      </c>
      <c r="BB166" s="1120">
        <f t="shared" si="177"/>
        <v>0</v>
      </c>
      <c r="BC166" s="1120">
        <f t="shared" si="178"/>
        <v>0</v>
      </c>
      <c r="BD166" s="1120">
        <f t="shared" si="179"/>
        <v>1</v>
      </c>
      <c r="BE166" s="1120">
        <f t="shared" si="180"/>
        <v>1</v>
      </c>
      <c r="BF166" s="1120">
        <f t="shared" si="181"/>
        <v>1</v>
      </c>
      <c r="BG166" s="1120">
        <f t="shared" si="182"/>
        <v>0</v>
      </c>
      <c r="BH166" s="1120">
        <f t="shared" si="183"/>
        <v>0</v>
      </c>
      <c r="BI166" s="1120">
        <f t="shared" si="184"/>
        <v>0</v>
      </c>
      <c r="BJ166" s="1120">
        <f t="shared" si="185"/>
        <v>0</v>
      </c>
      <c r="BK166" s="1120">
        <f t="shared" si="186"/>
        <v>1</v>
      </c>
      <c r="BL166" s="1120">
        <f t="shared" si="187"/>
        <v>1</v>
      </c>
      <c r="BM166" s="1120">
        <f t="shared" si="188"/>
        <v>1</v>
      </c>
      <c r="BN166" s="1120">
        <f t="shared" si="189"/>
        <v>1</v>
      </c>
      <c r="BO166" s="1120">
        <f t="shared" si="190"/>
        <v>1</v>
      </c>
      <c r="BP166" s="1120">
        <f t="shared" si="191"/>
        <v>1</v>
      </c>
      <c r="BQ166" s="1120">
        <f t="shared" si="192"/>
        <v>0</v>
      </c>
      <c r="BR166" s="1120">
        <f t="shared" si="193"/>
        <v>0</v>
      </c>
      <c r="BS166" s="1120">
        <f t="shared" si="194"/>
        <v>1</v>
      </c>
      <c r="BT166" s="1120">
        <f t="shared" si="195"/>
        <v>1</v>
      </c>
      <c r="BU166" s="1120">
        <f t="shared" si="196"/>
        <v>1</v>
      </c>
      <c r="BV166" s="1120">
        <f t="shared" si="197"/>
        <v>1</v>
      </c>
      <c r="BW166" s="1120">
        <f t="shared" si="198"/>
        <v>0</v>
      </c>
      <c r="BX166" s="1120">
        <f t="shared" si="199"/>
        <v>0</v>
      </c>
      <c r="BY166" s="1120">
        <f t="shared" si="200"/>
        <v>0</v>
      </c>
      <c r="BZ166" s="1120">
        <f t="shared" si="201"/>
        <v>0</v>
      </c>
      <c r="CA166" s="1120">
        <f t="shared" si="202"/>
        <v>1</v>
      </c>
      <c r="CB166" s="1120">
        <f t="shared" si="203"/>
        <v>1</v>
      </c>
      <c r="CC166" s="1120">
        <f t="shared" si="204"/>
        <v>1</v>
      </c>
      <c r="CD166" s="1120">
        <f t="shared" si="205"/>
        <v>1</v>
      </c>
      <c r="CE166" s="1120">
        <f t="shared" si="206"/>
        <v>1</v>
      </c>
      <c r="CF166" s="1120">
        <f t="shared" si="207"/>
        <v>0</v>
      </c>
      <c r="CG166" s="1120">
        <f t="shared" si="208"/>
        <v>0</v>
      </c>
      <c r="CH166" s="1120">
        <f t="shared" si="209"/>
        <v>0</v>
      </c>
      <c r="CI166" s="1120">
        <f t="shared" si="210"/>
        <v>0.85</v>
      </c>
      <c r="CJ166" s="1120">
        <f t="shared" si="211"/>
        <v>0.85</v>
      </c>
      <c r="CK166" s="1120">
        <f t="shared" si="212"/>
        <v>0.85</v>
      </c>
      <c r="CL166" s="1120">
        <f t="shared" si="213"/>
        <v>0.85</v>
      </c>
      <c r="CM166" s="1120">
        <f t="shared" si="214"/>
        <v>0.85</v>
      </c>
      <c r="CN166" s="1120">
        <f t="shared" si="215"/>
        <v>0.85</v>
      </c>
      <c r="CO166" s="1120">
        <f t="shared" si="216"/>
        <v>0.7</v>
      </c>
      <c r="CP166" s="1120">
        <f t="shared" si="217"/>
        <v>0.7</v>
      </c>
      <c r="CQ166" s="1120">
        <f t="shared" si="218"/>
        <v>0.85</v>
      </c>
      <c r="CR166" s="1120">
        <f t="shared" si="219"/>
        <v>0.85</v>
      </c>
      <c r="CS166" s="1120">
        <f t="shared" si="220"/>
        <v>0.85</v>
      </c>
      <c r="CT166" s="1120">
        <f t="shared" si="221"/>
        <v>0.85</v>
      </c>
      <c r="CU166" s="1120">
        <v>1</v>
      </c>
      <c r="CV166" s="1120"/>
      <c r="CW166" s="1120">
        <f t="shared" si="222"/>
        <v>153</v>
      </c>
      <c r="CX166" s="1120">
        <f t="shared" si="223"/>
        <v>212</v>
      </c>
      <c r="CY166" s="1136" t="s">
        <v>4889</v>
      </c>
      <c r="CZ166" s="1129" t="s">
        <v>4897</v>
      </c>
      <c r="DA166" s="1129"/>
      <c r="DB166" s="1129"/>
      <c r="DC166" s="1125" t="s">
        <v>5965</v>
      </c>
      <c r="DD166" s="1125" t="s">
        <v>932</v>
      </c>
      <c r="DE166" s="1120" t="str">
        <f t="shared" si="224"/>
        <v/>
      </c>
      <c r="DF166" s="1133">
        <v>0</v>
      </c>
      <c r="DG166" s="1120">
        <v>0</v>
      </c>
    </row>
    <row r="167" spans="1:111">
      <c r="A167" s="1125" t="s">
        <v>3156</v>
      </c>
      <c r="B167" s="1120" t="s">
        <v>3653</v>
      </c>
      <c r="C167" s="1120" t="s">
        <v>3654</v>
      </c>
      <c r="D167" s="1120" t="s">
        <v>250</v>
      </c>
      <c r="E167" s="1120">
        <v>246</v>
      </c>
      <c r="F167" s="1120">
        <v>-72.53</v>
      </c>
      <c r="G167" s="1120">
        <v>42.2</v>
      </c>
      <c r="H167" s="1120">
        <v>-5</v>
      </c>
      <c r="I167" s="1121">
        <v>4.8199993133544918</v>
      </c>
      <c r="J167" s="1121">
        <v>94.100000000000009</v>
      </c>
      <c r="K167" s="1122">
        <v>73.219999313354492</v>
      </c>
      <c r="L167" s="1120">
        <v>6028.2</v>
      </c>
      <c r="M167" s="1120">
        <v>556.20000000000005</v>
      </c>
      <c r="N167" s="1123">
        <v>31.279999989271165</v>
      </c>
      <c r="O167" s="1123">
        <v>30.019999957084657</v>
      </c>
      <c r="P167" s="1123">
        <v>35.6</v>
      </c>
      <c r="Q167" s="1123">
        <v>45.140000343322754</v>
      </c>
      <c r="R167" s="1123">
        <v>55.580000686645505</v>
      </c>
      <c r="S167" s="1123">
        <v>65.66000137329101</v>
      </c>
      <c r="T167" s="1123">
        <v>71.960001373291021</v>
      </c>
      <c r="U167" s="1123">
        <v>68.360001373291013</v>
      </c>
      <c r="V167" s="1123">
        <v>59.9</v>
      </c>
      <c r="W167" s="1123">
        <v>51.980000686645511</v>
      </c>
      <c r="X167" s="1123">
        <v>41.359999656677246</v>
      </c>
      <c r="Y167" s="1123">
        <v>34.700000000000003</v>
      </c>
      <c r="Z167" s="1123">
        <v>49.412657992823483</v>
      </c>
      <c r="AA167" s="1123">
        <f t="shared" si="150"/>
        <v>47.097612009349071</v>
      </c>
      <c r="AB167" s="1123">
        <f t="shared" si="151"/>
        <v>45.889863412537053</v>
      </c>
      <c r="AC167" s="1123">
        <f t="shared" si="152"/>
        <v>47.164377973783274</v>
      </c>
      <c r="AD167" s="1123">
        <f t="shared" si="153"/>
        <v>50.588933831835014</v>
      </c>
      <c r="AE167" s="1123">
        <f t="shared" si="154"/>
        <v>55.27086772828784</v>
      </c>
      <c r="AF167" s="1123">
        <f t="shared" si="155"/>
        <v>59.989761442245999</v>
      </c>
      <c r="AG167" s="1123">
        <f t="shared" si="156"/>
        <v>63.515562606812935</v>
      </c>
      <c r="AH167" s="1123">
        <f t="shared" si="157"/>
        <v>64.929216814203656</v>
      </c>
      <c r="AI167" s="1123">
        <f t="shared" si="158"/>
        <v>63.862233310190994</v>
      </c>
      <c r="AJ167" s="1123">
        <f t="shared" si="159"/>
        <v>60.592737787809376</v>
      </c>
      <c r="AK167" s="1123">
        <f t="shared" si="160"/>
        <v>55.97297463941868</v>
      </c>
      <c r="AL167" s="1123">
        <f t="shared" si="161"/>
        <v>51.207156322352056</v>
      </c>
      <c r="AM167" s="1120">
        <f t="shared" si="162"/>
        <v>1</v>
      </c>
      <c r="AN167" s="1120">
        <f t="shared" si="163"/>
        <v>1</v>
      </c>
      <c r="AO167" s="1120">
        <f t="shared" si="164"/>
        <v>1</v>
      </c>
      <c r="AP167" s="1120">
        <f t="shared" si="165"/>
        <v>1</v>
      </c>
      <c r="AQ167" s="1120">
        <f t="shared" si="166"/>
        <v>1</v>
      </c>
      <c r="AR167" s="1120">
        <f t="shared" si="167"/>
        <v>1</v>
      </c>
      <c r="AS167" s="1120">
        <f t="shared" si="168"/>
        <v>0</v>
      </c>
      <c r="AT167" s="1120">
        <f t="shared" si="169"/>
        <v>0</v>
      </c>
      <c r="AU167" s="1120">
        <f t="shared" si="170"/>
        <v>1</v>
      </c>
      <c r="AV167" s="1120">
        <f t="shared" si="171"/>
        <v>1</v>
      </c>
      <c r="AW167" s="1120">
        <f t="shared" si="172"/>
        <v>1</v>
      </c>
      <c r="AX167" s="1120">
        <f t="shared" si="173"/>
        <v>1</v>
      </c>
      <c r="AY167" s="1120">
        <f t="shared" si="174"/>
        <v>0</v>
      </c>
      <c r="AZ167" s="1120">
        <f t="shared" si="175"/>
        <v>0</v>
      </c>
      <c r="BA167" s="1120">
        <f t="shared" si="176"/>
        <v>0</v>
      </c>
      <c r="BB167" s="1120">
        <f t="shared" si="177"/>
        <v>0</v>
      </c>
      <c r="BC167" s="1120">
        <f t="shared" si="178"/>
        <v>0</v>
      </c>
      <c r="BD167" s="1120">
        <f t="shared" si="179"/>
        <v>0</v>
      </c>
      <c r="BE167" s="1120">
        <f t="shared" si="180"/>
        <v>1</v>
      </c>
      <c r="BF167" s="1120">
        <f t="shared" si="181"/>
        <v>1</v>
      </c>
      <c r="BG167" s="1120">
        <f t="shared" si="182"/>
        <v>0</v>
      </c>
      <c r="BH167" s="1120">
        <f t="shared" si="183"/>
        <v>0</v>
      </c>
      <c r="BI167" s="1120">
        <f t="shared" si="184"/>
        <v>0</v>
      </c>
      <c r="BJ167" s="1120">
        <f t="shared" si="185"/>
        <v>0</v>
      </c>
      <c r="BK167" s="1120">
        <f t="shared" si="186"/>
        <v>1</v>
      </c>
      <c r="BL167" s="1120">
        <f t="shared" si="187"/>
        <v>1</v>
      </c>
      <c r="BM167" s="1120">
        <f t="shared" si="188"/>
        <v>1</v>
      </c>
      <c r="BN167" s="1120">
        <f t="shared" si="189"/>
        <v>1</v>
      </c>
      <c r="BO167" s="1120">
        <f t="shared" si="190"/>
        <v>1</v>
      </c>
      <c r="BP167" s="1120">
        <f t="shared" si="191"/>
        <v>1</v>
      </c>
      <c r="BQ167" s="1120">
        <f t="shared" si="192"/>
        <v>1</v>
      </c>
      <c r="BR167" s="1120">
        <f t="shared" si="193"/>
        <v>0</v>
      </c>
      <c r="BS167" s="1120">
        <f t="shared" si="194"/>
        <v>1</v>
      </c>
      <c r="BT167" s="1120">
        <f t="shared" si="195"/>
        <v>1</v>
      </c>
      <c r="BU167" s="1120">
        <f t="shared" si="196"/>
        <v>1</v>
      </c>
      <c r="BV167" s="1120">
        <f t="shared" si="197"/>
        <v>1</v>
      </c>
      <c r="BW167" s="1120">
        <f t="shared" si="198"/>
        <v>0</v>
      </c>
      <c r="BX167" s="1120">
        <f t="shared" si="199"/>
        <v>0</v>
      </c>
      <c r="BY167" s="1120">
        <f t="shared" si="200"/>
        <v>0</v>
      </c>
      <c r="BZ167" s="1120">
        <f t="shared" si="201"/>
        <v>0</v>
      </c>
      <c r="CA167" s="1120">
        <f t="shared" si="202"/>
        <v>0</v>
      </c>
      <c r="CB167" s="1120">
        <f t="shared" si="203"/>
        <v>1</v>
      </c>
      <c r="CC167" s="1120">
        <f t="shared" si="204"/>
        <v>1</v>
      </c>
      <c r="CD167" s="1120">
        <f t="shared" si="205"/>
        <v>1</v>
      </c>
      <c r="CE167" s="1120">
        <f t="shared" si="206"/>
        <v>1</v>
      </c>
      <c r="CF167" s="1120">
        <f t="shared" si="207"/>
        <v>0</v>
      </c>
      <c r="CG167" s="1120">
        <f t="shared" si="208"/>
        <v>0</v>
      </c>
      <c r="CH167" s="1120">
        <f t="shared" si="209"/>
        <v>0</v>
      </c>
      <c r="CI167" s="1120">
        <f t="shared" si="210"/>
        <v>0.85</v>
      </c>
      <c r="CJ167" s="1120">
        <f t="shared" si="211"/>
        <v>0.85</v>
      </c>
      <c r="CK167" s="1120">
        <f t="shared" si="212"/>
        <v>0.85</v>
      </c>
      <c r="CL167" s="1120">
        <f t="shared" si="213"/>
        <v>0.85</v>
      </c>
      <c r="CM167" s="1120">
        <f t="shared" si="214"/>
        <v>0.85</v>
      </c>
      <c r="CN167" s="1120">
        <f t="shared" si="215"/>
        <v>0.85</v>
      </c>
      <c r="CO167" s="1120">
        <f t="shared" si="216"/>
        <v>0.85</v>
      </c>
      <c r="CP167" s="1120">
        <f t="shared" si="217"/>
        <v>0.7</v>
      </c>
      <c r="CQ167" s="1120">
        <f t="shared" si="218"/>
        <v>0.85</v>
      </c>
      <c r="CR167" s="1120">
        <f t="shared" si="219"/>
        <v>0.85</v>
      </c>
      <c r="CS167" s="1120">
        <f t="shared" si="220"/>
        <v>0.85</v>
      </c>
      <c r="CT167" s="1120">
        <f t="shared" si="221"/>
        <v>0.85</v>
      </c>
      <c r="CU167" s="1120">
        <v>1</v>
      </c>
      <c r="CV167" s="1120"/>
      <c r="CW167" s="1120">
        <f t="shared" si="222"/>
        <v>122</v>
      </c>
      <c r="CX167" s="1120">
        <f t="shared" si="223"/>
        <v>243</v>
      </c>
      <c r="CY167" s="1135" t="s">
        <v>4889</v>
      </c>
      <c r="CZ167" s="1124" t="s">
        <v>4897</v>
      </c>
      <c r="DA167" s="1124"/>
      <c r="DB167" s="1124"/>
      <c r="DC167" s="1120" t="s">
        <v>5268</v>
      </c>
      <c r="DD167" s="1120" t="s">
        <v>250</v>
      </c>
      <c r="DE167" s="1120" t="str">
        <f t="shared" si="224"/>
        <v/>
      </c>
      <c r="DF167" s="1133">
        <v>1</v>
      </c>
      <c r="DG167" s="1125">
        <v>0</v>
      </c>
    </row>
    <row r="168" spans="1:111">
      <c r="A168" s="1120" t="s">
        <v>3154</v>
      </c>
      <c r="B168" s="1120" t="s">
        <v>4366</v>
      </c>
      <c r="C168" s="1120" t="s">
        <v>4367</v>
      </c>
      <c r="D168" s="1120" t="s">
        <v>228</v>
      </c>
      <c r="E168" s="1120">
        <v>1952</v>
      </c>
      <c r="F168" s="1120">
        <v>-100.28</v>
      </c>
      <c r="G168" s="1120">
        <v>34.43</v>
      </c>
      <c r="H168" s="1120">
        <v>-6</v>
      </c>
      <c r="I168" s="1121">
        <v>20.840000343322753</v>
      </c>
      <c r="J168" s="1121">
        <v>98.779997253417974</v>
      </c>
      <c r="K168" s="1122">
        <v>71.419999313354495</v>
      </c>
      <c r="L168" s="1120">
        <v>3301.2000000000003</v>
      </c>
      <c r="M168" s="1120">
        <v>2077.2000000000003</v>
      </c>
      <c r="N168" s="1123">
        <v>41.540000343322752</v>
      </c>
      <c r="O168" s="1123">
        <v>46.580000686645505</v>
      </c>
      <c r="P168" s="1123">
        <v>48.019999313354489</v>
      </c>
      <c r="Q168" s="1123">
        <v>54.5</v>
      </c>
      <c r="R168" s="1123">
        <v>67.280000686645508</v>
      </c>
      <c r="S168" s="1123">
        <v>82.4</v>
      </c>
      <c r="T168" s="1123">
        <v>83.66000137329101</v>
      </c>
      <c r="U168" s="1123">
        <v>78.980000686645511</v>
      </c>
      <c r="V168" s="1123">
        <v>73.580000686645505</v>
      </c>
      <c r="W168" s="1123">
        <v>62.6</v>
      </c>
      <c r="X168" s="1123">
        <v>49.459999656677248</v>
      </c>
      <c r="Y168" s="1123">
        <v>43.159999656677243</v>
      </c>
      <c r="Z168" s="1123">
        <v>61.054466009270655</v>
      </c>
      <c r="AA168" s="1123">
        <f t="shared" si="150"/>
        <v>55.607235637253922</v>
      </c>
      <c r="AB168" s="1123">
        <f t="shared" si="151"/>
        <v>55.296406266623997</v>
      </c>
      <c r="AC168" s="1123">
        <f t="shared" si="152"/>
        <v>58.050496365100344</v>
      </c>
      <c r="AD168" s="1123">
        <f t="shared" si="153"/>
        <v>63.151609906701992</v>
      </c>
      <c r="AE168" s="1123">
        <f t="shared" si="154"/>
        <v>69.270063036271267</v>
      </c>
      <c r="AF168" s="1123">
        <f t="shared" si="155"/>
        <v>74.810986657369142</v>
      </c>
      <c r="AG168" s="1123">
        <f t="shared" si="156"/>
        <v>78.330053639938768</v>
      </c>
      <c r="AH168" s="1123">
        <f t="shared" si="157"/>
        <v>78.909964944509625</v>
      </c>
      <c r="AI168" s="1123">
        <f t="shared" si="158"/>
        <v>76.399557752841602</v>
      </c>
      <c r="AJ168" s="1123">
        <f t="shared" si="159"/>
        <v>71.453208385988844</v>
      </c>
      <c r="AK168" s="1123">
        <f t="shared" si="160"/>
        <v>65.360259031972575</v>
      </c>
      <c r="AL168" s="1123">
        <f t="shared" si="161"/>
        <v>59.708930835108866</v>
      </c>
      <c r="AM168" s="1120">
        <f t="shared" si="162"/>
        <v>1</v>
      </c>
      <c r="AN168" s="1120">
        <f t="shared" si="163"/>
        <v>1</v>
      </c>
      <c r="AO168" s="1120">
        <f t="shared" si="164"/>
        <v>1</v>
      </c>
      <c r="AP168" s="1120">
        <f t="shared" si="165"/>
        <v>1</v>
      </c>
      <c r="AQ168" s="1120">
        <f t="shared" si="166"/>
        <v>0</v>
      </c>
      <c r="AR168" s="1120">
        <f t="shared" si="167"/>
        <v>0</v>
      </c>
      <c r="AS168" s="1120">
        <f t="shared" si="168"/>
        <v>0</v>
      </c>
      <c r="AT168" s="1120">
        <f t="shared" si="169"/>
        <v>0</v>
      </c>
      <c r="AU168" s="1120">
        <f t="shared" si="170"/>
        <v>0</v>
      </c>
      <c r="AV168" s="1120">
        <f t="shared" si="171"/>
        <v>1</v>
      </c>
      <c r="AW168" s="1120">
        <f t="shared" si="172"/>
        <v>1</v>
      </c>
      <c r="AX168" s="1120">
        <f t="shared" si="173"/>
        <v>1</v>
      </c>
      <c r="AY168" s="1120">
        <f t="shared" si="174"/>
        <v>0</v>
      </c>
      <c r="AZ168" s="1120">
        <f t="shared" si="175"/>
        <v>0</v>
      </c>
      <c r="BA168" s="1120">
        <f t="shared" si="176"/>
        <v>0</v>
      </c>
      <c r="BB168" s="1120">
        <f t="shared" si="177"/>
        <v>0</v>
      </c>
      <c r="BC168" s="1120">
        <f t="shared" si="178"/>
        <v>1</v>
      </c>
      <c r="BD168" s="1120">
        <f t="shared" si="179"/>
        <v>1</v>
      </c>
      <c r="BE168" s="1120">
        <f t="shared" si="180"/>
        <v>1</v>
      </c>
      <c r="BF168" s="1120">
        <f t="shared" si="181"/>
        <v>1</v>
      </c>
      <c r="BG168" s="1120">
        <f t="shared" si="182"/>
        <v>1</v>
      </c>
      <c r="BH168" s="1120">
        <f t="shared" si="183"/>
        <v>0</v>
      </c>
      <c r="BI168" s="1120">
        <f t="shared" si="184"/>
        <v>0</v>
      </c>
      <c r="BJ168" s="1120">
        <f t="shared" si="185"/>
        <v>0</v>
      </c>
      <c r="BK168" s="1120">
        <f t="shared" si="186"/>
        <v>1</v>
      </c>
      <c r="BL168" s="1120">
        <f t="shared" si="187"/>
        <v>1</v>
      </c>
      <c r="BM168" s="1120">
        <f t="shared" si="188"/>
        <v>1</v>
      </c>
      <c r="BN168" s="1120">
        <f t="shared" si="189"/>
        <v>1</v>
      </c>
      <c r="BO168" s="1120">
        <f t="shared" si="190"/>
        <v>1</v>
      </c>
      <c r="BP168" s="1120">
        <f t="shared" si="191"/>
        <v>0</v>
      </c>
      <c r="BQ168" s="1120">
        <f t="shared" si="192"/>
        <v>0</v>
      </c>
      <c r="BR168" s="1120">
        <f t="shared" si="193"/>
        <v>0</v>
      </c>
      <c r="BS168" s="1120">
        <f t="shared" si="194"/>
        <v>0</v>
      </c>
      <c r="BT168" s="1120">
        <f t="shared" si="195"/>
        <v>1</v>
      </c>
      <c r="BU168" s="1120">
        <f t="shared" si="196"/>
        <v>1</v>
      </c>
      <c r="BV168" s="1120">
        <f t="shared" si="197"/>
        <v>1</v>
      </c>
      <c r="BW168" s="1120">
        <f t="shared" si="198"/>
        <v>0</v>
      </c>
      <c r="BX168" s="1120">
        <f t="shared" si="199"/>
        <v>0</v>
      </c>
      <c r="BY168" s="1120">
        <f t="shared" si="200"/>
        <v>0</v>
      </c>
      <c r="BZ168" s="1120">
        <f t="shared" si="201"/>
        <v>1</v>
      </c>
      <c r="CA168" s="1120">
        <f t="shared" si="202"/>
        <v>1</v>
      </c>
      <c r="CB168" s="1120">
        <f t="shared" si="203"/>
        <v>1</v>
      </c>
      <c r="CC168" s="1120">
        <f t="shared" si="204"/>
        <v>1</v>
      </c>
      <c r="CD168" s="1120">
        <f t="shared" si="205"/>
        <v>1</v>
      </c>
      <c r="CE168" s="1120">
        <f t="shared" si="206"/>
        <v>1</v>
      </c>
      <c r="CF168" s="1120">
        <f t="shared" si="207"/>
        <v>1</v>
      </c>
      <c r="CG168" s="1120">
        <f t="shared" si="208"/>
        <v>0</v>
      </c>
      <c r="CH168" s="1120">
        <f t="shared" si="209"/>
        <v>0</v>
      </c>
      <c r="CI168" s="1120">
        <f t="shared" si="210"/>
        <v>0.85</v>
      </c>
      <c r="CJ168" s="1120">
        <f t="shared" si="211"/>
        <v>0.85</v>
      </c>
      <c r="CK168" s="1120">
        <f t="shared" si="212"/>
        <v>0.85</v>
      </c>
      <c r="CL168" s="1120">
        <f t="shared" si="213"/>
        <v>0.85</v>
      </c>
      <c r="CM168" s="1120">
        <f t="shared" si="214"/>
        <v>0.85</v>
      </c>
      <c r="CN168" s="1120">
        <f t="shared" si="215"/>
        <v>0.7</v>
      </c>
      <c r="CO168" s="1120">
        <f t="shared" si="216"/>
        <v>0.7</v>
      </c>
      <c r="CP168" s="1120">
        <f t="shared" si="217"/>
        <v>0.7</v>
      </c>
      <c r="CQ168" s="1120">
        <f t="shared" si="218"/>
        <v>0.7</v>
      </c>
      <c r="CR168" s="1120">
        <f t="shared" si="219"/>
        <v>0.85</v>
      </c>
      <c r="CS168" s="1120">
        <f t="shared" si="220"/>
        <v>0.85</v>
      </c>
      <c r="CT168" s="1120">
        <f t="shared" si="221"/>
        <v>0.85</v>
      </c>
      <c r="CU168" s="1120">
        <v>1</v>
      </c>
      <c r="CV168" s="1120"/>
      <c r="CW168" s="1120">
        <f t="shared" si="222"/>
        <v>214</v>
      </c>
      <c r="CX168" s="1120">
        <f t="shared" si="223"/>
        <v>151</v>
      </c>
      <c r="CY168" s="1135" t="s">
        <v>4886</v>
      </c>
      <c r="CZ168" s="1124" t="s">
        <v>4888</v>
      </c>
      <c r="DA168" s="1124"/>
      <c r="DB168" s="1124"/>
      <c r="DC168" s="1120" t="s">
        <v>5578</v>
      </c>
      <c r="DD168" s="1120" t="s">
        <v>228</v>
      </c>
      <c r="DE168" s="1120" t="str">
        <f t="shared" si="224"/>
        <v/>
      </c>
      <c r="DF168" s="1133">
        <v>1</v>
      </c>
      <c r="DG168" s="1120">
        <v>0</v>
      </c>
    </row>
    <row r="169" spans="1:111">
      <c r="A169" s="1125" t="s">
        <v>3158</v>
      </c>
      <c r="B169" s="1125" t="s">
        <v>3102</v>
      </c>
      <c r="C169" s="1125" t="s">
        <v>3103</v>
      </c>
      <c r="D169" s="1125" t="s">
        <v>954</v>
      </c>
      <c r="E169" s="1125">
        <v>2221</v>
      </c>
      <c r="F169" s="1125">
        <v>-117.68</v>
      </c>
      <c r="G169" s="1125">
        <v>35.68</v>
      </c>
      <c r="H169" s="1125">
        <v>-8</v>
      </c>
      <c r="I169" s="1126">
        <v>19.220000171661376</v>
      </c>
      <c r="J169" s="1126">
        <v>109.22000274658204</v>
      </c>
      <c r="K169" s="1127">
        <v>53.780000686645508</v>
      </c>
      <c r="L169" s="1125">
        <v>2680.2000000000003</v>
      </c>
      <c r="M169" s="1125">
        <v>2782.8</v>
      </c>
      <c r="N169" s="1128">
        <v>43.879999828338626</v>
      </c>
      <c r="O169" s="1128">
        <v>47.119999313354491</v>
      </c>
      <c r="P169" s="1128">
        <v>55.219999313354492</v>
      </c>
      <c r="Q169" s="1128">
        <v>64.400000000000006</v>
      </c>
      <c r="R169" s="1128">
        <v>74.480000686645511</v>
      </c>
      <c r="S169" s="1128">
        <v>83.66000137329101</v>
      </c>
      <c r="T169" s="1128">
        <v>87.080000686645505</v>
      </c>
      <c r="U169" s="1128">
        <v>84.019999313354489</v>
      </c>
      <c r="V169" s="1128">
        <v>79.16000137329101</v>
      </c>
      <c r="W169" s="1128">
        <v>63.5</v>
      </c>
      <c r="X169" s="1128">
        <v>49.459999656677248</v>
      </c>
      <c r="Y169" s="1128">
        <v>43.159999656677243</v>
      </c>
      <c r="Z169" s="1128">
        <v>64.688493251800537</v>
      </c>
      <c r="AA169" s="1128">
        <f t="shared" si="150"/>
        <v>57.763453121764741</v>
      </c>
      <c r="AB169" s="1128">
        <f t="shared" si="151"/>
        <v>57.844069672618048</v>
      </c>
      <c r="AC169" s="1128">
        <f t="shared" si="152"/>
        <v>61.272783167944183</v>
      </c>
      <c r="AD169" s="1128">
        <f t="shared" si="153"/>
        <v>67.155846597112017</v>
      </c>
      <c r="AE169" s="1128">
        <f t="shared" si="154"/>
        <v>73.959748816557237</v>
      </c>
      <c r="AF169" s="1128">
        <f t="shared" si="155"/>
        <v>79.910947861474426</v>
      </c>
      <c r="AG169" s="1128">
        <f t="shared" si="156"/>
        <v>83.458171990052577</v>
      </c>
      <c r="AH169" s="1128">
        <f t="shared" si="157"/>
        <v>83.676782568799297</v>
      </c>
      <c r="AI169" s="1128">
        <f t="shared" si="158"/>
        <v>80.509795381473253</v>
      </c>
      <c r="AJ169" s="1128">
        <f t="shared" si="159"/>
        <v>74.782734443200837</v>
      </c>
      <c r="AK169" s="1128">
        <f t="shared" si="160"/>
        <v>67.988446444223342</v>
      </c>
      <c r="AL169" s="1128">
        <f t="shared" si="161"/>
        <v>61.897967254621634</v>
      </c>
      <c r="AM169" s="1125">
        <f t="shared" si="162"/>
        <v>1</v>
      </c>
      <c r="AN169" s="1125">
        <f t="shared" si="163"/>
        <v>1</v>
      </c>
      <c r="AO169" s="1125">
        <f t="shared" si="164"/>
        <v>1</v>
      </c>
      <c r="AP169" s="1125">
        <f t="shared" si="165"/>
        <v>1</v>
      </c>
      <c r="AQ169" s="1125">
        <f t="shared" si="166"/>
        <v>0</v>
      </c>
      <c r="AR169" s="1125">
        <f t="shared" si="167"/>
        <v>0</v>
      </c>
      <c r="AS169" s="1125">
        <f t="shared" si="168"/>
        <v>0</v>
      </c>
      <c r="AT169" s="1125">
        <f t="shared" si="169"/>
        <v>0</v>
      </c>
      <c r="AU169" s="1125">
        <f t="shared" si="170"/>
        <v>0</v>
      </c>
      <c r="AV169" s="1125">
        <f t="shared" si="171"/>
        <v>1</v>
      </c>
      <c r="AW169" s="1125">
        <f t="shared" si="172"/>
        <v>1</v>
      </c>
      <c r="AX169" s="1125">
        <f t="shared" si="173"/>
        <v>1</v>
      </c>
      <c r="AY169" s="1125">
        <f t="shared" si="174"/>
        <v>0</v>
      </c>
      <c r="AZ169" s="1125">
        <f t="shared" si="175"/>
        <v>0</v>
      </c>
      <c r="BA169" s="1125">
        <f t="shared" si="176"/>
        <v>0</v>
      </c>
      <c r="BB169" s="1125">
        <f t="shared" si="177"/>
        <v>0</v>
      </c>
      <c r="BC169" s="1125">
        <f t="shared" si="178"/>
        <v>1</v>
      </c>
      <c r="BD169" s="1125">
        <f t="shared" si="179"/>
        <v>1</v>
      </c>
      <c r="BE169" s="1125">
        <f t="shared" si="180"/>
        <v>1</v>
      </c>
      <c r="BF169" s="1125">
        <f t="shared" si="181"/>
        <v>1</v>
      </c>
      <c r="BG169" s="1125">
        <f t="shared" si="182"/>
        <v>1</v>
      </c>
      <c r="BH169" s="1125">
        <f t="shared" si="183"/>
        <v>0</v>
      </c>
      <c r="BI169" s="1125">
        <f t="shared" si="184"/>
        <v>0</v>
      </c>
      <c r="BJ169" s="1125">
        <f t="shared" si="185"/>
        <v>0</v>
      </c>
      <c r="BK169" s="1125">
        <f t="shared" si="186"/>
        <v>1</v>
      </c>
      <c r="BL169" s="1125">
        <f t="shared" si="187"/>
        <v>1</v>
      </c>
      <c r="BM169" s="1125">
        <f t="shared" si="188"/>
        <v>1</v>
      </c>
      <c r="BN169" s="1125">
        <f t="shared" si="189"/>
        <v>1</v>
      </c>
      <c r="BO169" s="1125">
        <f t="shared" si="190"/>
        <v>1</v>
      </c>
      <c r="BP169" s="1125">
        <f t="shared" si="191"/>
        <v>0</v>
      </c>
      <c r="BQ169" s="1125">
        <f t="shared" si="192"/>
        <v>0</v>
      </c>
      <c r="BR169" s="1125">
        <f t="shared" si="193"/>
        <v>0</v>
      </c>
      <c r="BS169" s="1125">
        <f t="shared" si="194"/>
        <v>0</v>
      </c>
      <c r="BT169" s="1125">
        <f t="shared" si="195"/>
        <v>1</v>
      </c>
      <c r="BU169" s="1125">
        <f t="shared" si="196"/>
        <v>1</v>
      </c>
      <c r="BV169" s="1125">
        <f t="shared" si="197"/>
        <v>1</v>
      </c>
      <c r="BW169" s="1125">
        <f t="shared" si="198"/>
        <v>0</v>
      </c>
      <c r="BX169" s="1125">
        <f t="shared" si="199"/>
        <v>0</v>
      </c>
      <c r="BY169" s="1125">
        <f t="shared" si="200"/>
        <v>0</v>
      </c>
      <c r="BZ169" s="1125">
        <f t="shared" si="201"/>
        <v>1</v>
      </c>
      <c r="CA169" s="1125">
        <f t="shared" si="202"/>
        <v>1</v>
      </c>
      <c r="CB169" s="1125">
        <f t="shared" si="203"/>
        <v>1</v>
      </c>
      <c r="CC169" s="1125">
        <f t="shared" si="204"/>
        <v>1</v>
      </c>
      <c r="CD169" s="1125">
        <f t="shared" si="205"/>
        <v>1</v>
      </c>
      <c r="CE169" s="1125">
        <f t="shared" si="206"/>
        <v>1</v>
      </c>
      <c r="CF169" s="1125">
        <f t="shared" si="207"/>
        <v>1</v>
      </c>
      <c r="CG169" s="1125">
        <f t="shared" si="208"/>
        <v>0</v>
      </c>
      <c r="CH169" s="1125">
        <f t="shared" si="209"/>
        <v>0</v>
      </c>
      <c r="CI169" s="1125">
        <f t="shared" si="210"/>
        <v>0.85</v>
      </c>
      <c r="CJ169" s="1125">
        <f t="shared" si="211"/>
        <v>0.85</v>
      </c>
      <c r="CK169" s="1125">
        <f t="shared" si="212"/>
        <v>0.85</v>
      </c>
      <c r="CL169" s="1125">
        <f t="shared" si="213"/>
        <v>0.85</v>
      </c>
      <c r="CM169" s="1125">
        <f t="shared" si="214"/>
        <v>0.85</v>
      </c>
      <c r="CN169" s="1125">
        <f t="shared" si="215"/>
        <v>0.7</v>
      </c>
      <c r="CO169" s="1125">
        <f t="shared" si="216"/>
        <v>0.7</v>
      </c>
      <c r="CP169" s="1125">
        <f t="shared" si="217"/>
        <v>0.7</v>
      </c>
      <c r="CQ169" s="1125">
        <f t="shared" si="218"/>
        <v>0.7</v>
      </c>
      <c r="CR169" s="1125">
        <f t="shared" si="219"/>
        <v>0.85</v>
      </c>
      <c r="CS169" s="1125">
        <f t="shared" si="220"/>
        <v>0.85</v>
      </c>
      <c r="CT169" s="1125">
        <f t="shared" si="221"/>
        <v>0.85</v>
      </c>
      <c r="CU169" s="1125">
        <v>1</v>
      </c>
      <c r="CV169" s="1125"/>
      <c r="CW169" s="1125">
        <f t="shared" si="222"/>
        <v>214</v>
      </c>
      <c r="CX169" s="1125">
        <f t="shared" si="223"/>
        <v>151</v>
      </c>
      <c r="CY169" s="1136" t="s">
        <v>4886</v>
      </c>
      <c r="CZ169" s="1129" t="s">
        <v>4888</v>
      </c>
      <c r="DA169" s="1129"/>
      <c r="DB169" s="1129"/>
      <c r="DC169" s="1125" t="s">
        <v>5018</v>
      </c>
      <c r="DD169" s="1125" t="s">
        <v>954</v>
      </c>
      <c r="DE169" s="1120" t="str">
        <f t="shared" si="224"/>
        <v/>
      </c>
      <c r="DF169" s="1125">
        <v>1</v>
      </c>
      <c r="DG169" s="1125">
        <v>0</v>
      </c>
    </row>
    <row r="170" spans="1:111">
      <c r="A170" s="1120" t="s">
        <v>3160</v>
      </c>
      <c r="B170" s="1120" t="s">
        <v>3104</v>
      </c>
      <c r="C170" s="1120" t="s">
        <v>3105</v>
      </c>
      <c r="D170" s="1120" t="s">
        <v>954</v>
      </c>
      <c r="E170" s="1120">
        <v>649</v>
      </c>
      <c r="F170" s="1120">
        <v>-117.63</v>
      </c>
      <c r="G170" s="1120">
        <v>33.97</v>
      </c>
      <c r="H170" s="1120">
        <v>-8</v>
      </c>
      <c r="I170" s="1121">
        <v>33.619999957084659</v>
      </c>
      <c r="J170" s="1121">
        <v>100.57999725341797</v>
      </c>
      <c r="K170" s="1122">
        <v>64.580000686645505</v>
      </c>
      <c r="L170" s="1120">
        <v>1697.4</v>
      </c>
      <c r="M170" s="1120">
        <v>1130.4000000000001</v>
      </c>
      <c r="N170" s="1123">
        <v>52.7</v>
      </c>
      <c r="O170" s="1123">
        <v>54.140000343322754</v>
      </c>
      <c r="P170" s="1123">
        <v>56.3</v>
      </c>
      <c r="Q170" s="1123">
        <v>61.339998626708983</v>
      </c>
      <c r="R170" s="1123">
        <v>65.119999313354498</v>
      </c>
      <c r="S170" s="1123">
        <v>68.719999313354492</v>
      </c>
      <c r="T170" s="1123">
        <v>73.400000000000006</v>
      </c>
      <c r="U170" s="1123">
        <v>74.66000137329101</v>
      </c>
      <c r="V170" s="1123">
        <v>73.219999313354492</v>
      </c>
      <c r="W170" s="1123">
        <v>63.5</v>
      </c>
      <c r="X170" s="1123">
        <v>57.380000686645509</v>
      </c>
      <c r="Y170" s="1123">
        <v>53.059999656677249</v>
      </c>
      <c r="Z170" s="1123">
        <v>62.840164269747802</v>
      </c>
      <c r="AA170" s="1123">
        <f t="shared" si="150"/>
        <v>62.627728817277507</v>
      </c>
      <c r="AB170" s="1123">
        <f t="shared" si="151"/>
        <v>62.561896388752601</v>
      </c>
      <c r="AC170" s="1123">
        <f t="shared" si="152"/>
        <v>64.132591234445769</v>
      </c>
      <c r="AD170" s="1123">
        <f t="shared" si="153"/>
        <v>66.93038753768684</v>
      </c>
      <c r="AE170" s="1123">
        <f t="shared" si="154"/>
        <v>70.22599657668988</v>
      </c>
      <c r="AF170" s="1123">
        <f t="shared" si="155"/>
        <v>73.160367068566188</v>
      </c>
      <c r="AG170" s="1123">
        <f t="shared" si="156"/>
        <v>74.968610124590086</v>
      </c>
      <c r="AH170" s="1123">
        <f t="shared" si="157"/>
        <v>75.179379326339998</v>
      </c>
      <c r="AI170" s="1123">
        <f t="shared" si="158"/>
        <v>73.737734433328058</v>
      </c>
      <c r="AJ170" s="1123">
        <f t="shared" si="159"/>
        <v>71.019462403338139</v>
      </c>
      <c r="AK170" s="1123">
        <f t="shared" si="160"/>
        <v>67.733122730827077</v>
      </c>
      <c r="AL170" s="1123">
        <f t="shared" si="161"/>
        <v>64.735350495462228</v>
      </c>
      <c r="AM170" s="1120">
        <f t="shared" si="162"/>
        <v>1</v>
      </c>
      <c r="AN170" s="1120">
        <f t="shared" si="163"/>
        <v>1</v>
      </c>
      <c r="AO170" s="1120">
        <f t="shared" si="164"/>
        <v>1</v>
      </c>
      <c r="AP170" s="1120">
        <f t="shared" si="165"/>
        <v>1</v>
      </c>
      <c r="AQ170" s="1120">
        <f t="shared" si="166"/>
        <v>1</v>
      </c>
      <c r="AR170" s="1120">
        <f t="shared" si="167"/>
        <v>0</v>
      </c>
      <c r="AS170" s="1120">
        <f t="shared" si="168"/>
        <v>0</v>
      </c>
      <c r="AT170" s="1120">
        <f t="shared" si="169"/>
        <v>0</v>
      </c>
      <c r="AU170" s="1120">
        <f t="shared" si="170"/>
        <v>0</v>
      </c>
      <c r="AV170" s="1120">
        <f t="shared" si="171"/>
        <v>1</v>
      </c>
      <c r="AW170" s="1120">
        <f t="shared" si="172"/>
        <v>1</v>
      </c>
      <c r="AX170" s="1120">
        <f t="shared" si="173"/>
        <v>1</v>
      </c>
      <c r="AY170" s="1120">
        <f t="shared" si="174"/>
        <v>0</v>
      </c>
      <c r="AZ170" s="1120">
        <f t="shared" si="175"/>
        <v>0</v>
      </c>
      <c r="BA170" s="1120">
        <f t="shared" si="176"/>
        <v>0</v>
      </c>
      <c r="BB170" s="1120">
        <f t="shared" si="177"/>
        <v>0</v>
      </c>
      <c r="BC170" s="1120">
        <f t="shared" si="178"/>
        <v>0</v>
      </c>
      <c r="BD170" s="1120">
        <f t="shared" si="179"/>
        <v>1</v>
      </c>
      <c r="BE170" s="1120">
        <f t="shared" si="180"/>
        <v>1</v>
      </c>
      <c r="BF170" s="1120">
        <f t="shared" si="181"/>
        <v>1</v>
      </c>
      <c r="BG170" s="1120">
        <f t="shared" si="182"/>
        <v>1</v>
      </c>
      <c r="BH170" s="1120">
        <f t="shared" si="183"/>
        <v>0</v>
      </c>
      <c r="BI170" s="1120">
        <f t="shared" si="184"/>
        <v>0</v>
      </c>
      <c r="BJ170" s="1120">
        <f t="shared" si="185"/>
        <v>0</v>
      </c>
      <c r="BK170" s="1120">
        <f t="shared" si="186"/>
        <v>1</v>
      </c>
      <c r="BL170" s="1120">
        <f t="shared" si="187"/>
        <v>1</v>
      </c>
      <c r="BM170" s="1120">
        <f t="shared" si="188"/>
        <v>1</v>
      </c>
      <c r="BN170" s="1120">
        <f t="shared" si="189"/>
        <v>1</v>
      </c>
      <c r="BO170" s="1120">
        <f t="shared" si="190"/>
        <v>1</v>
      </c>
      <c r="BP170" s="1120">
        <f t="shared" si="191"/>
        <v>1</v>
      </c>
      <c r="BQ170" s="1120">
        <f t="shared" si="192"/>
        <v>0</v>
      </c>
      <c r="BR170" s="1120">
        <f t="shared" si="193"/>
        <v>0</v>
      </c>
      <c r="BS170" s="1120">
        <f t="shared" si="194"/>
        <v>0</v>
      </c>
      <c r="BT170" s="1120">
        <f t="shared" si="195"/>
        <v>1</v>
      </c>
      <c r="BU170" s="1120">
        <f t="shared" si="196"/>
        <v>1</v>
      </c>
      <c r="BV170" s="1120">
        <f t="shared" si="197"/>
        <v>1</v>
      </c>
      <c r="BW170" s="1120">
        <f t="shared" si="198"/>
        <v>0</v>
      </c>
      <c r="BX170" s="1120">
        <f t="shared" si="199"/>
        <v>0</v>
      </c>
      <c r="BY170" s="1120">
        <f t="shared" si="200"/>
        <v>0</v>
      </c>
      <c r="BZ170" s="1120">
        <f t="shared" si="201"/>
        <v>0</v>
      </c>
      <c r="CA170" s="1120">
        <f t="shared" si="202"/>
        <v>1</v>
      </c>
      <c r="CB170" s="1120">
        <f t="shared" si="203"/>
        <v>1</v>
      </c>
      <c r="CC170" s="1120">
        <f t="shared" si="204"/>
        <v>1</v>
      </c>
      <c r="CD170" s="1120">
        <f t="shared" si="205"/>
        <v>1</v>
      </c>
      <c r="CE170" s="1120">
        <f t="shared" si="206"/>
        <v>1</v>
      </c>
      <c r="CF170" s="1120">
        <f t="shared" si="207"/>
        <v>1</v>
      </c>
      <c r="CG170" s="1120">
        <f t="shared" si="208"/>
        <v>0</v>
      </c>
      <c r="CH170" s="1120">
        <f t="shared" si="209"/>
        <v>0</v>
      </c>
      <c r="CI170" s="1120">
        <f t="shared" si="210"/>
        <v>0.85</v>
      </c>
      <c r="CJ170" s="1120">
        <f t="shared" si="211"/>
        <v>0.85</v>
      </c>
      <c r="CK170" s="1120">
        <f t="shared" si="212"/>
        <v>0.85</v>
      </c>
      <c r="CL170" s="1120">
        <f t="shared" si="213"/>
        <v>0.85</v>
      </c>
      <c r="CM170" s="1120">
        <f t="shared" si="214"/>
        <v>0.85</v>
      </c>
      <c r="CN170" s="1120">
        <f t="shared" si="215"/>
        <v>0.85</v>
      </c>
      <c r="CO170" s="1120">
        <f t="shared" si="216"/>
        <v>0.7</v>
      </c>
      <c r="CP170" s="1120">
        <f t="shared" si="217"/>
        <v>0.7</v>
      </c>
      <c r="CQ170" s="1120">
        <f t="shared" si="218"/>
        <v>0.7</v>
      </c>
      <c r="CR170" s="1120">
        <f t="shared" si="219"/>
        <v>0.85</v>
      </c>
      <c r="CS170" s="1120">
        <f t="shared" si="220"/>
        <v>0.85</v>
      </c>
      <c r="CT170" s="1120">
        <f t="shared" si="221"/>
        <v>0.85</v>
      </c>
      <c r="CU170" s="1120">
        <v>1</v>
      </c>
      <c r="CV170" s="1120"/>
      <c r="CW170" s="1120">
        <f t="shared" si="222"/>
        <v>184</v>
      </c>
      <c r="CX170" s="1120">
        <f t="shared" si="223"/>
        <v>181</v>
      </c>
      <c r="CY170" s="1135" t="s">
        <v>4886</v>
      </c>
      <c r="CZ170" s="1124" t="s">
        <v>4888</v>
      </c>
      <c r="DA170" s="1124"/>
      <c r="DB170" s="1124"/>
      <c r="DC170" s="1120" t="s">
        <v>5019</v>
      </c>
      <c r="DD170" s="1120" t="s">
        <v>954</v>
      </c>
      <c r="DE170" s="1120" t="str">
        <f t="shared" si="224"/>
        <v/>
      </c>
      <c r="DF170" s="1120">
        <v>0</v>
      </c>
      <c r="DG170" s="1120">
        <v>0</v>
      </c>
    </row>
    <row r="171" spans="1:111">
      <c r="A171" s="1125" t="s">
        <v>3162</v>
      </c>
      <c r="B171" s="1125" t="s">
        <v>3717</v>
      </c>
      <c r="C171" s="1125" t="s">
        <v>3718</v>
      </c>
      <c r="D171" s="1125" t="s">
        <v>540</v>
      </c>
      <c r="E171" s="1125">
        <v>820</v>
      </c>
      <c r="F171" s="1125">
        <v>-84.47</v>
      </c>
      <c r="G171" s="1125">
        <v>46.25</v>
      </c>
      <c r="H171" s="1125">
        <v>-5</v>
      </c>
      <c r="I171" s="1126">
        <v>-5.4399986267089853</v>
      </c>
      <c r="J171" s="1126">
        <v>80.599999999999994</v>
      </c>
      <c r="K171" s="1127">
        <v>67.280000686645508</v>
      </c>
      <c r="L171" s="1125">
        <v>8913.6</v>
      </c>
      <c r="M171" s="1125">
        <v>126</v>
      </c>
      <c r="N171" s="1128">
        <v>10.940000343322753</v>
      </c>
      <c r="O171" s="1128">
        <v>20.479999828338624</v>
      </c>
      <c r="P171" s="1128">
        <v>21.740000343322755</v>
      </c>
      <c r="Q171" s="1128">
        <v>42.8</v>
      </c>
      <c r="R171" s="1128">
        <v>47.480000686645511</v>
      </c>
      <c r="S171" s="1128">
        <v>60.259999656677245</v>
      </c>
      <c r="T171" s="1128">
        <v>64.219999313354492</v>
      </c>
      <c r="U171" s="1128">
        <v>60.080000686645505</v>
      </c>
      <c r="V171" s="1128">
        <v>55.4</v>
      </c>
      <c r="W171" s="1128">
        <v>40.279999828338624</v>
      </c>
      <c r="X171" s="1128">
        <v>33.440000021457671</v>
      </c>
      <c r="Y171" s="1128">
        <v>25.879999828338622</v>
      </c>
      <c r="Z171" s="1128">
        <v>40.327835664291904</v>
      </c>
      <c r="AA171" s="1128">
        <f t="shared" si="150"/>
        <v>38.715293235067783</v>
      </c>
      <c r="AB171" s="1128">
        <f t="shared" si="151"/>
        <v>36.757672889246152</v>
      </c>
      <c r="AC171" s="1128">
        <f t="shared" si="152"/>
        <v>37.294662951412761</v>
      </c>
      <c r="AD171" s="1128">
        <f t="shared" si="153"/>
        <v>40.186288686596534</v>
      </c>
      <c r="AE171" s="1128">
        <f t="shared" si="154"/>
        <v>44.67880328562039</v>
      </c>
      <c r="AF171" s="1128">
        <f t="shared" si="155"/>
        <v>49.601163586503148</v>
      </c>
      <c r="AG171" s="1128">
        <f t="shared" si="156"/>
        <v>53.670280520951358</v>
      </c>
      <c r="AH171" s="1128">
        <f t="shared" si="157"/>
        <v>55.825476053011002</v>
      </c>
      <c r="AI171" s="1128">
        <f t="shared" si="158"/>
        <v>55.504965254682247</v>
      </c>
      <c r="AJ171" s="1128">
        <f t="shared" si="159"/>
        <v>52.7922942047704</v>
      </c>
      <c r="AK171" s="1128">
        <f t="shared" si="160"/>
        <v>48.394562415961239</v>
      </c>
      <c r="AL171" s="1128">
        <f t="shared" si="161"/>
        <v>43.458106450106158</v>
      </c>
      <c r="AM171" s="1125">
        <f t="shared" si="162"/>
        <v>1</v>
      </c>
      <c r="AN171" s="1125">
        <f t="shared" si="163"/>
        <v>1</v>
      </c>
      <c r="AO171" s="1125">
        <f t="shared" si="164"/>
        <v>1</v>
      </c>
      <c r="AP171" s="1125">
        <f t="shared" si="165"/>
        <v>1</v>
      </c>
      <c r="AQ171" s="1125">
        <f t="shared" si="166"/>
        <v>1</v>
      </c>
      <c r="AR171" s="1125">
        <f t="shared" si="167"/>
        <v>1</v>
      </c>
      <c r="AS171" s="1125">
        <f t="shared" si="168"/>
        <v>1</v>
      </c>
      <c r="AT171" s="1125">
        <f t="shared" si="169"/>
        <v>1</v>
      </c>
      <c r="AU171" s="1125">
        <f t="shared" si="170"/>
        <v>1</v>
      </c>
      <c r="AV171" s="1125">
        <f t="shared" si="171"/>
        <v>1</v>
      </c>
      <c r="AW171" s="1125">
        <f t="shared" si="172"/>
        <v>1</v>
      </c>
      <c r="AX171" s="1125">
        <f t="shared" si="173"/>
        <v>1</v>
      </c>
      <c r="AY171" s="1125">
        <f t="shared" si="174"/>
        <v>0</v>
      </c>
      <c r="AZ171" s="1125">
        <f t="shared" si="175"/>
        <v>0</v>
      </c>
      <c r="BA171" s="1125">
        <f t="shared" si="176"/>
        <v>0</v>
      </c>
      <c r="BB171" s="1125">
        <f t="shared" si="177"/>
        <v>0</v>
      </c>
      <c r="BC171" s="1125">
        <f t="shared" si="178"/>
        <v>0</v>
      </c>
      <c r="BD171" s="1125">
        <f t="shared" si="179"/>
        <v>0</v>
      </c>
      <c r="BE171" s="1125">
        <f t="shared" si="180"/>
        <v>1</v>
      </c>
      <c r="BF171" s="1125">
        <f t="shared" si="181"/>
        <v>1</v>
      </c>
      <c r="BG171" s="1125">
        <f t="shared" si="182"/>
        <v>0</v>
      </c>
      <c r="BH171" s="1125">
        <f t="shared" si="183"/>
        <v>0</v>
      </c>
      <c r="BI171" s="1125">
        <f t="shared" si="184"/>
        <v>0</v>
      </c>
      <c r="BJ171" s="1125">
        <f t="shared" si="185"/>
        <v>0</v>
      </c>
      <c r="BK171" s="1125">
        <f t="shared" si="186"/>
        <v>1</v>
      </c>
      <c r="BL171" s="1125">
        <f t="shared" si="187"/>
        <v>1</v>
      </c>
      <c r="BM171" s="1125">
        <f t="shared" si="188"/>
        <v>1</v>
      </c>
      <c r="BN171" s="1125">
        <f t="shared" si="189"/>
        <v>1</v>
      </c>
      <c r="BO171" s="1125">
        <f t="shared" si="190"/>
        <v>1</v>
      </c>
      <c r="BP171" s="1125">
        <f t="shared" si="191"/>
        <v>1</v>
      </c>
      <c r="BQ171" s="1125">
        <f t="shared" si="192"/>
        <v>1</v>
      </c>
      <c r="BR171" s="1125">
        <f t="shared" si="193"/>
        <v>1</v>
      </c>
      <c r="BS171" s="1125">
        <f t="shared" si="194"/>
        <v>1</v>
      </c>
      <c r="BT171" s="1125">
        <f t="shared" si="195"/>
        <v>1</v>
      </c>
      <c r="BU171" s="1125">
        <f t="shared" si="196"/>
        <v>1</v>
      </c>
      <c r="BV171" s="1125">
        <f t="shared" si="197"/>
        <v>1</v>
      </c>
      <c r="BW171" s="1125">
        <f t="shared" si="198"/>
        <v>0</v>
      </c>
      <c r="BX171" s="1125">
        <f t="shared" si="199"/>
        <v>0</v>
      </c>
      <c r="BY171" s="1125">
        <f t="shared" si="200"/>
        <v>0</v>
      </c>
      <c r="BZ171" s="1125">
        <f t="shared" si="201"/>
        <v>0</v>
      </c>
      <c r="CA171" s="1125">
        <f t="shared" si="202"/>
        <v>0</v>
      </c>
      <c r="CB171" s="1125">
        <f t="shared" si="203"/>
        <v>0</v>
      </c>
      <c r="CC171" s="1125">
        <f t="shared" si="204"/>
        <v>1</v>
      </c>
      <c r="CD171" s="1125">
        <f t="shared" si="205"/>
        <v>1</v>
      </c>
      <c r="CE171" s="1125">
        <f t="shared" si="206"/>
        <v>0</v>
      </c>
      <c r="CF171" s="1125">
        <f t="shared" si="207"/>
        <v>0</v>
      </c>
      <c r="CG171" s="1125">
        <f t="shared" si="208"/>
        <v>0</v>
      </c>
      <c r="CH171" s="1125">
        <f t="shared" si="209"/>
        <v>0</v>
      </c>
      <c r="CI171" s="1125">
        <f t="shared" si="210"/>
        <v>0.85</v>
      </c>
      <c r="CJ171" s="1125">
        <f t="shared" si="211"/>
        <v>0.85</v>
      </c>
      <c r="CK171" s="1125">
        <f t="shared" si="212"/>
        <v>0.85</v>
      </c>
      <c r="CL171" s="1125">
        <f t="shared" si="213"/>
        <v>0.85</v>
      </c>
      <c r="CM171" s="1125">
        <f t="shared" si="214"/>
        <v>0.85</v>
      </c>
      <c r="CN171" s="1125">
        <f t="shared" si="215"/>
        <v>0.85</v>
      </c>
      <c r="CO171" s="1125">
        <f t="shared" si="216"/>
        <v>0.85</v>
      </c>
      <c r="CP171" s="1125">
        <f t="shared" si="217"/>
        <v>0.85</v>
      </c>
      <c r="CQ171" s="1125">
        <f t="shared" si="218"/>
        <v>0.85</v>
      </c>
      <c r="CR171" s="1125">
        <f t="shared" si="219"/>
        <v>0.85</v>
      </c>
      <c r="CS171" s="1125">
        <f t="shared" si="220"/>
        <v>0.85</v>
      </c>
      <c r="CT171" s="1125">
        <f t="shared" si="221"/>
        <v>0.85</v>
      </c>
      <c r="CU171" s="1125">
        <v>1</v>
      </c>
      <c r="CV171" s="1125"/>
      <c r="CW171" s="1125">
        <f t="shared" si="222"/>
        <v>62</v>
      </c>
      <c r="CX171" s="1125">
        <f t="shared" si="223"/>
        <v>303</v>
      </c>
      <c r="CY171" s="1136" t="s">
        <v>4879</v>
      </c>
      <c r="CZ171" s="1129">
        <v>7</v>
      </c>
      <c r="DA171" s="1129"/>
      <c r="DB171" s="1129"/>
      <c r="DC171" s="1125" t="s">
        <v>5299</v>
      </c>
      <c r="DD171" s="1125" t="s">
        <v>540</v>
      </c>
      <c r="DE171" s="1120" t="str">
        <f t="shared" si="224"/>
        <v/>
      </c>
      <c r="DF171" s="1133">
        <v>0</v>
      </c>
      <c r="DG171" s="1125">
        <v>0</v>
      </c>
    </row>
    <row r="172" spans="1:111">
      <c r="A172" s="1120" t="s">
        <v>5818</v>
      </c>
      <c r="B172" s="1125" t="s">
        <v>607</v>
      </c>
      <c r="C172" s="1125" t="s">
        <v>608</v>
      </c>
      <c r="D172" s="1125" t="s">
        <v>953</v>
      </c>
      <c r="E172" s="1125">
        <v>1250</v>
      </c>
      <c r="F172" s="1125">
        <v>-149.83000000000001</v>
      </c>
      <c r="G172" s="1125">
        <v>62.88</v>
      </c>
      <c r="H172" s="1125">
        <v>-9</v>
      </c>
      <c r="I172" s="1126">
        <v>-0.21999931335449299</v>
      </c>
      <c r="J172" s="1126">
        <v>72.5</v>
      </c>
      <c r="K172" s="1127">
        <v>57.380000686645509</v>
      </c>
      <c r="L172" s="1125">
        <v>10490.4</v>
      </c>
      <c r="M172" s="1125">
        <v>1.8</v>
      </c>
      <c r="N172" s="1128">
        <v>22.820000171661377</v>
      </c>
      <c r="O172" s="1128">
        <v>23.359999656677246</v>
      </c>
      <c r="P172" s="1128">
        <v>26.6</v>
      </c>
      <c r="Q172" s="1128">
        <v>32.720000010728839</v>
      </c>
      <c r="R172" s="1128">
        <v>39.559999656677249</v>
      </c>
      <c r="S172" s="1128">
        <v>55.940000343322751</v>
      </c>
      <c r="T172" s="1128">
        <v>54.859999656677246</v>
      </c>
      <c r="U172" s="1128">
        <v>50.180000686645506</v>
      </c>
      <c r="V172" s="1128">
        <v>34.700000000000003</v>
      </c>
      <c r="W172" s="1128">
        <v>35.6</v>
      </c>
      <c r="X172" s="1128">
        <v>32</v>
      </c>
      <c r="Y172" s="1128">
        <v>19.040000343322752</v>
      </c>
      <c r="Z172" s="1128">
        <v>35.680383608145256</v>
      </c>
      <c r="AA172" s="1128">
        <f t="shared" si="150"/>
        <v>37.385694474683724</v>
      </c>
      <c r="AB172" s="1128">
        <f t="shared" si="151"/>
        <v>35.988231355481915</v>
      </c>
      <c r="AC172" s="1128">
        <f t="shared" si="152"/>
        <v>36.074515439658242</v>
      </c>
      <c r="AD172" s="1128">
        <f t="shared" si="153"/>
        <v>37.622055450994154</v>
      </c>
      <c r="AE172" s="1128">
        <f t="shared" si="154"/>
        <v>40.227461237221505</v>
      </c>
      <c r="AF172" s="1128">
        <f t="shared" si="155"/>
        <v>43.211593629641605</v>
      </c>
      <c r="AG172" s="1128">
        <f t="shared" si="156"/>
        <v>45.796592533297989</v>
      </c>
      <c r="AH172" s="1128">
        <f t="shared" si="157"/>
        <v>47.30863814791369</v>
      </c>
      <c r="AI172" s="1128">
        <f t="shared" si="158"/>
        <v>47.353592482710866</v>
      </c>
      <c r="AJ172" s="1128">
        <f t="shared" si="159"/>
        <v>45.919737497557371</v>
      </c>
      <c r="AK172" s="1128">
        <f t="shared" si="160"/>
        <v>43.380829590707648</v>
      </c>
      <c r="AL172" s="1128">
        <f t="shared" si="161"/>
        <v>40.398674233837227</v>
      </c>
      <c r="AM172" s="1125">
        <f t="shared" si="162"/>
        <v>1</v>
      </c>
      <c r="AN172" s="1125">
        <f t="shared" si="163"/>
        <v>1</v>
      </c>
      <c r="AO172" s="1125">
        <f t="shared" si="164"/>
        <v>1</v>
      </c>
      <c r="AP172" s="1125">
        <f t="shared" si="165"/>
        <v>1</v>
      </c>
      <c r="AQ172" s="1125">
        <f t="shared" si="166"/>
        <v>1</v>
      </c>
      <c r="AR172" s="1125">
        <f t="shared" si="167"/>
        <v>1</v>
      </c>
      <c r="AS172" s="1125">
        <f t="shared" si="168"/>
        <v>1</v>
      </c>
      <c r="AT172" s="1125">
        <f t="shared" si="169"/>
        <v>1</v>
      </c>
      <c r="AU172" s="1125">
        <f t="shared" si="170"/>
        <v>1</v>
      </c>
      <c r="AV172" s="1125">
        <f t="shared" si="171"/>
        <v>1</v>
      </c>
      <c r="AW172" s="1125">
        <f t="shared" si="172"/>
        <v>1</v>
      </c>
      <c r="AX172" s="1125">
        <f t="shared" si="173"/>
        <v>1</v>
      </c>
      <c r="AY172" s="1125">
        <f t="shared" si="174"/>
        <v>0</v>
      </c>
      <c r="AZ172" s="1125">
        <f t="shared" si="175"/>
        <v>0</v>
      </c>
      <c r="BA172" s="1125">
        <f t="shared" si="176"/>
        <v>0</v>
      </c>
      <c r="BB172" s="1125">
        <f t="shared" si="177"/>
        <v>0</v>
      </c>
      <c r="BC172" s="1125">
        <f t="shared" si="178"/>
        <v>0</v>
      </c>
      <c r="BD172" s="1125">
        <f t="shared" si="179"/>
        <v>0</v>
      </c>
      <c r="BE172" s="1125">
        <f t="shared" si="180"/>
        <v>1</v>
      </c>
      <c r="BF172" s="1125">
        <f t="shared" si="181"/>
        <v>1</v>
      </c>
      <c r="BG172" s="1125">
        <f t="shared" si="182"/>
        <v>0</v>
      </c>
      <c r="BH172" s="1125">
        <f t="shared" si="183"/>
        <v>0</v>
      </c>
      <c r="BI172" s="1125">
        <f t="shared" si="184"/>
        <v>0</v>
      </c>
      <c r="BJ172" s="1125">
        <f t="shared" si="185"/>
        <v>0</v>
      </c>
      <c r="BK172" s="1125">
        <f t="shared" si="186"/>
        <v>1</v>
      </c>
      <c r="BL172" s="1125">
        <f t="shared" si="187"/>
        <v>1</v>
      </c>
      <c r="BM172" s="1125">
        <f t="shared" si="188"/>
        <v>1</v>
      </c>
      <c r="BN172" s="1125">
        <f t="shared" si="189"/>
        <v>1</v>
      </c>
      <c r="BO172" s="1125">
        <f t="shared" si="190"/>
        <v>1</v>
      </c>
      <c r="BP172" s="1125">
        <f t="shared" si="191"/>
        <v>1</v>
      </c>
      <c r="BQ172" s="1125">
        <f t="shared" si="192"/>
        <v>1</v>
      </c>
      <c r="BR172" s="1125">
        <f t="shared" si="193"/>
        <v>1</v>
      </c>
      <c r="BS172" s="1125">
        <f t="shared" si="194"/>
        <v>1</v>
      </c>
      <c r="BT172" s="1125">
        <f t="shared" si="195"/>
        <v>1</v>
      </c>
      <c r="BU172" s="1125">
        <f t="shared" si="196"/>
        <v>1</v>
      </c>
      <c r="BV172" s="1125">
        <f t="shared" si="197"/>
        <v>1</v>
      </c>
      <c r="BW172" s="1125">
        <f t="shared" si="198"/>
        <v>0</v>
      </c>
      <c r="BX172" s="1125">
        <f t="shared" si="199"/>
        <v>0</v>
      </c>
      <c r="BY172" s="1125">
        <f t="shared" si="200"/>
        <v>0</v>
      </c>
      <c r="BZ172" s="1125">
        <f t="shared" si="201"/>
        <v>0</v>
      </c>
      <c r="CA172" s="1125">
        <f t="shared" si="202"/>
        <v>0</v>
      </c>
      <c r="CB172" s="1125">
        <f t="shared" si="203"/>
        <v>0</v>
      </c>
      <c r="CC172" s="1125">
        <f t="shared" si="204"/>
        <v>1</v>
      </c>
      <c r="CD172" s="1125">
        <f t="shared" si="205"/>
        <v>1</v>
      </c>
      <c r="CE172" s="1125">
        <f t="shared" si="206"/>
        <v>0</v>
      </c>
      <c r="CF172" s="1125">
        <f t="shared" si="207"/>
        <v>0</v>
      </c>
      <c r="CG172" s="1125">
        <f t="shared" si="208"/>
        <v>0</v>
      </c>
      <c r="CH172" s="1125">
        <f t="shared" si="209"/>
        <v>0</v>
      </c>
      <c r="CI172" s="1125">
        <f t="shared" si="210"/>
        <v>0.85</v>
      </c>
      <c r="CJ172" s="1125">
        <f t="shared" si="211"/>
        <v>0.85</v>
      </c>
      <c r="CK172" s="1125">
        <f t="shared" si="212"/>
        <v>0.85</v>
      </c>
      <c r="CL172" s="1125">
        <f t="shared" si="213"/>
        <v>0.85</v>
      </c>
      <c r="CM172" s="1125">
        <f t="shared" si="214"/>
        <v>0.85</v>
      </c>
      <c r="CN172" s="1125">
        <f t="shared" si="215"/>
        <v>0.85</v>
      </c>
      <c r="CO172" s="1125">
        <f t="shared" si="216"/>
        <v>0.85</v>
      </c>
      <c r="CP172" s="1125">
        <f t="shared" si="217"/>
        <v>0.85</v>
      </c>
      <c r="CQ172" s="1125">
        <f t="shared" si="218"/>
        <v>0.85</v>
      </c>
      <c r="CR172" s="1125">
        <f t="shared" si="219"/>
        <v>0.85</v>
      </c>
      <c r="CS172" s="1125">
        <f t="shared" si="220"/>
        <v>0.85</v>
      </c>
      <c r="CT172" s="1125">
        <f t="shared" si="221"/>
        <v>0.85</v>
      </c>
      <c r="CU172" s="1125">
        <v>1</v>
      </c>
      <c r="CV172" s="1125"/>
      <c r="CW172" s="1125">
        <f t="shared" si="222"/>
        <v>62</v>
      </c>
      <c r="CX172" s="1125">
        <f t="shared" si="223"/>
        <v>303</v>
      </c>
      <c r="CY172" s="1136" t="s">
        <v>4879</v>
      </c>
      <c r="CZ172" s="1129">
        <v>7</v>
      </c>
      <c r="DA172" s="1129"/>
      <c r="DB172" s="1129"/>
      <c r="DC172" s="1125" t="s">
        <v>4916</v>
      </c>
      <c r="DD172" s="1125" t="s">
        <v>953</v>
      </c>
      <c r="DE172" s="1125" t="str">
        <f t="shared" si="224"/>
        <v/>
      </c>
      <c r="DF172" s="1125">
        <v>0</v>
      </c>
      <c r="DG172" s="1120">
        <v>0</v>
      </c>
    </row>
    <row r="173" spans="1:111">
      <c r="A173" s="1125" t="s">
        <v>3164</v>
      </c>
      <c r="B173" s="1125" t="s">
        <v>4166</v>
      </c>
      <c r="C173" s="1125" t="s">
        <v>4167</v>
      </c>
      <c r="D173" s="1125" t="s">
        <v>229</v>
      </c>
      <c r="E173" s="1125">
        <v>489</v>
      </c>
      <c r="F173" s="1125">
        <v>-84.42</v>
      </c>
      <c r="G173" s="1125">
        <v>39.1</v>
      </c>
      <c r="H173" s="1125">
        <v>-5</v>
      </c>
      <c r="I173" s="1126">
        <v>12.380000686645507</v>
      </c>
      <c r="J173" s="1126">
        <v>90.139998626708987</v>
      </c>
      <c r="K173" s="1127">
        <v>74.3</v>
      </c>
      <c r="L173" s="1125">
        <v>4782.6000000000004</v>
      </c>
      <c r="M173" s="1125">
        <v>1040.4000000000001</v>
      </c>
      <c r="N173" s="1128">
        <v>31.639999994635581</v>
      </c>
      <c r="O173" s="1128">
        <v>32</v>
      </c>
      <c r="P173" s="1128">
        <v>42.8</v>
      </c>
      <c r="Q173" s="1128">
        <v>56.480000686645511</v>
      </c>
      <c r="R173" s="1128">
        <v>63.319999313354494</v>
      </c>
      <c r="S173" s="1128">
        <v>68</v>
      </c>
      <c r="T173" s="1128">
        <v>77.360001373291013</v>
      </c>
      <c r="U173" s="1128">
        <v>73.939998626708984</v>
      </c>
      <c r="V173" s="1128">
        <v>65.119999313354498</v>
      </c>
      <c r="W173" s="1128">
        <v>53.6</v>
      </c>
      <c r="X173" s="1128">
        <v>48.019999313354489</v>
      </c>
      <c r="Y173" s="1128">
        <v>36.320000171661377</v>
      </c>
      <c r="Z173" s="1128">
        <v>54.172547844574879</v>
      </c>
      <c r="AA173" s="1128">
        <f t="shared" si="150"/>
        <v>49.734126703207302</v>
      </c>
      <c r="AB173" s="1128">
        <f t="shared" si="151"/>
        <v>48.748512195179593</v>
      </c>
      <c r="AC173" s="1128">
        <f t="shared" si="152"/>
        <v>50.7407486288851</v>
      </c>
      <c r="AD173" s="1128">
        <f t="shared" si="153"/>
        <v>55.191528876585721</v>
      </c>
      <c r="AE173" s="1128">
        <f t="shared" si="154"/>
        <v>60.940688478118517</v>
      </c>
      <c r="AF173" s="1128">
        <f t="shared" si="155"/>
        <v>66.489620386112676</v>
      </c>
      <c r="AG173" s="1128">
        <f t="shared" si="156"/>
        <v>70.391909987120414</v>
      </c>
      <c r="AH173" s="1128">
        <f t="shared" si="157"/>
        <v>71.630365360536018</v>
      </c>
      <c r="AI173" s="1128">
        <f t="shared" si="158"/>
        <v>69.882164028103688</v>
      </c>
      <c r="AJ173" s="1128">
        <f t="shared" si="159"/>
        <v>65.603001607719932</v>
      </c>
      <c r="AK173" s="1128">
        <f t="shared" si="160"/>
        <v>59.908307728146774</v>
      </c>
      <c r="AL173" s="1128">
        <f t="shared" si="161"/>
        <v>54.282492106984066</v>
      </c>
      <c r="AM173" s="1125">
        <f t="shared" si="162"/>
        <v>1</v>
      </c>
      <c r="AN173" s="1125">
        <f t="shared" si="163"/>
        <v>1</v>
      </c>
      <c r="AO173" s="1125">
        <f t="shared" si="164"/>
        <v>1</v>
      </c>
      <c r="AP173" s="1125">
        <f t="shared" si="165"/>
        <v>1</v>
      </c>
      <c r="AQ173" s="1125">
        <f t="shared" si="166"/>
        <v>1</v>
      </c>
      <c r="AR173" s="1125">
        <f t="shared" si="167"/>
        <v>0</v>
      </c>
      <c r="AS173" s="1125">
        <f t="shared" si="168"/>
        <v>0</v>
      </c>
      <c r="AT173" s="1125">
        <f t="shared" si="169"/>
        <v>0</v>
      </c>
      <c r="AU173" s="1125">
        <f t="shared" si="170"/>
        <v>1</v>
      </c>
      <c r="AV173" s="1125">
        <f t="shared" si="171"/>
        <v>1</v>
      </c>
      <c r="AW173" s="1125">
        <f t="shared" si="172"/>
        <v>1</v>
      </c>
      <c r="AX173" s="1125">
        <f t="shared" si="173"/>
        <v>1</v>
      </c>
      <c r="AY173" s="1125">
        <f t="shared" si="174"/>
        <v>0</v>
      </c>
      <c r="AZ173" s="1125">
        <f t="shared" si="175"/>
        <v>0</v>
      </c>
      <c r="BA173" s="1125">
        <f t="shared" si="176"/>
        <v>0</v>
      </c>
      <c r="BB173" s="1125">
        <f t="shared" si="177"/>
        <v>0</v>
      </c>
      <c r="BC173" s="1125">
        <f t="shared" si="178"/>
        <v>0</v>
      </c>
      <c r="BD173" s="1125">
        <f t="shared" si="179"/>
        <v>1</v>
      </c>
      <c r="BE173" s="1125">
        <f t="shared" si="180"/>
        <v>1</v>
      </c>
      <c r="BF173" s="1125">
        <f t="shared" si="181"/>
        <v>1</v>
      </c>
      <c r="BG173" s="1125">
        <f t="shared" si="182"/>
        <v>0</v>
      </c>
      <c r="BH173" s="1125">
        <f t="shared" si="183"/>
        <v>0</v>
      </c>
      <c r="BI173" s="1125">
        <f t="shared" si="184"/>
        <v>0</v>
      </c>
      <c r="BJ173" s="1125">
        <f t="shared" si="185"/>
        <v>0</v>
      </c>
      <c r="BK173" s="1125">
        <f t="shared" si="186"/>
        <v>1</v>
      </c>
      <c r="BL173" s="1125">
        <f t="shared" si="187"/>
        <v>1</v>
      </c>
      <c r="BM173" s="1125">
        <f t="shared" si="188"/>
        <v>1</v>
      </c>
      <c r="BN173" s="1125">
        <f t="shared" si="189"/>
        <v>1</v>
      </c>
      <c r="BO173" s="1125">
        <f t="shared" si="190"/>
        <v>1</v>
      </c>
      <c r="BP173" s="1125">
        <f t="shared" si="191"/>
        <v>1</v>
      </c>
      <c r="BQ173" s="1125">
        <f t="shared" si="192"/>
        <v>0</v>
      </c>
      <c r="BR173" s="1125">
        <f t="shared" si="193"/>
        <v>0</v>
      </c>
      <c r="BS173" s="1125">
        <f t="shared" si="194"/>
        <v>1</v>
      </c>
      <c r="BT173" s="1125">
        <f t="shared" si="195"/>
        <v>1</v>
      </c>
      <c r="BU173" s="1125">
        <f t="shared" si="196"/>
        <v>1</v>
      </c>
      <c r="BV173" s="1125">
        <f t="shared" si="197"/>
        <v>1</v>
      </c>
      <c r="BW173" s="1125">
        <f t="shared" si="198"/>
        <v>0</v>
      </c>
      <c r="BX173" s="1125">
        <f t="shared" si="199"/>
        <v>0</v>
      </c>
      <c r="BY173" s="1125">
        <f t="shared" si="200"/>
        <v>0</v>
      </c>
      <c r="BZ173" s="1125">
        <f t="shared" si="201"/>
        <v>0</v>
      </c>
      <c r="CA173" s="1125">
        <f t="shared" si="202"/>
        <v>1</v>
      </c>
      <c r="CB173" s="1125">
        <f t="shared" si="203"/>
        <v>1</v>
      </c>
      <c r="CC173" s="1125">
        <f t="shared" si="204"/>
        <v>1</v>
      </c>
      <c r="CD173" s="1125">
        <f t="shared" si="205"/>
        <v>1</v>
      </c>
      <c r="CE173" s="1125">
        <f t="shared" si="206"/>
        <v>1</v>
      </c>
      <c r="CF173" s="1125">
        <f t="shared" si="207"/>
        <v>0</v>
      </c>
      <c r="CG173" s="1125">
        <f t="shared" si="208"/>
        <v>0</v>
      </c>
      <c r="CH173" s="1125">
        <f t="shared" si="209"/>
        <v>0</v>
      </c>
      <c r="CI173" s="1125">
        <f t="shared" si="210"/>
        <v>0.85</v>
      </c>
      <c r="CJ173" s="1125">
        <f t="shared" si="211"/>
        <v>0.85</v>
      </c>
      <c r="CK173" s="1125">
        <f t="shared" si="212"/>
        <v>0.85</v>
      </c>
      <c r="CL173" s="1125">
        <f t="shared" si="213"/>
        <v>0.85</v>
      </c>
      <c r="CM173" s="1125">
        <f t="shared" si="214"/>
        <v>0.85</v>
      </c>
      <c r="CN173" s="1125">
        <f t="shared" si="215"/>
        <v>0.85</v>
      </c>
      <c r="CO173" s="1125">
        <f t="shared" si="216"/>
        <v>0.7</v>
      </c>
      <c r="CP173" s="1125">
        <f t="shared" si="217"/>
        <v>0.7</v>
      </c>
      <c r="CQ173" s="1125">
        <f t="shared" si="218"/>
        <v>0.85</v>
      </c>
      <c r="CR173" s="1125">
        <f t="shared" si="219"/>
        <v>0.85</v>
      </c>
      <c r="CS173" s="1125">
        <f t="shared" si="220"/>
        <v>0.85</v>
      </c>
      <c r="CT173" s="1125">
        <f t="shared" si="221"/>
        <v>0.85</v>
      </c>
      <c r="CU173" s="1125">
        <v>1</v>
      </c>
      <c r="CV173" s="1125"/>
      <c r="CW173" s="1125">
        <f t="shared" si="222"/>
        <v>153</v>
      </c>
      <c r="CX173" s="1125">
        <f t="shared" si="223"/>
        <v>212</v>
      </c>
      <c r="CY173" s="1136" t="s">
        <v>4881</v>
      </c>
      <c r="CZ173" s="1129" t="s">
        <v>4885</v>
      </c>
      <c r="DA173" s="1129"/>
      <c r="DB173" s="1129"/>
      <c r="DC173" s="1125" t="s">
        <v>5491</v>
      </c>
      <c r="DD173" s="1125" t="s">
        <v>229</v>
      </c>
      <c r="DE173" s="1120" t="str">
        <f t="shared" si="224"/>
        <v/>
      </c>
      <c r="DF173" s="1133">
        <v>0</v>
      </c>
      <c r="DG173" s="1125">
        <v>0</v>
      </c>
    </row>
    <row r="174" spans="1:111">
      <c r="A174" s="1120" t="s">
        <v>3166</v>
      </c>
      <c r="B174" s="1125" t="s">
        <v>3593</v>
      </c>
      <c r="C174" s="1125" t="s">
        <v>3594</v>
      </c>
      <c r="D174" s="1125" t="s">
        <v>1107</v>
      </c>
      <c r="E174" s="1125">
        <v>869</v>
      </c>
      <c r="F174" s="1125">
        <v>-84.67</v>
      </c>
      <c r="G174" s="1125">
        <v>39.049999999999997</v>
      </c>
      <c r="H174" s="1125">
        <v>-5</v>
      </c>
      <c r="I174" s="1126">
        <v>10.219999313354492</v>
      </c>
      <c r="J174" s="1126">
        <v>88.880000686645502</v>
      </c>
      <c r="K174" s="1127">
        <v>73.760001373291018</v>
      </c>
      <c r="L174" s="1125">
        <v>5095.8</v>
      </c>
      <c r="M174" s="1125">
        <v>1040.4000000000001</v>
      </c>
      <c r="N174" s="1128">
        <v>27.679999828338623</v>
      </c>
      <c r="O174" s="1128">
        <v>31.459999978542328</v>
      </c>
      <c r="P174" s="1128">
        <v>44.6</v>
      </c>
      <c r="Q174" s="1128">
        <v>53.419999313354495</v>
      </c>
      <c r="R174" s="1128">
        <v>65.480000686645511</v>
      </c>
      <c r="S174" s="1128">
        <v>71.599999999999994</v>
      </c>
      <c r="T174" s="1128">
        <v>75.2</v>
      </c>
      <c r="U174" s="1128">
        <v>72.680000686645513</v>
      </c>
      <c r="V174" s="1128">
        <v>64.939998626708984</v>
      </c>
      <c r="W174" s="1128">
        <v>51.980000686645511</v>
      </c>
      <c r="X174" s="1128">
        <v>45.320000171661377</v>
      </c>
      <c r="Y174" s="1128">
        <v>33.619999957084659</v>
      </c>
      <c r="Z174" s="1128">
        <v>53.281424657416672</v>
      </c>
      <c r="AA174" s="1128">
        <f t="shared" si="150"/>
        <v>48.700397183807148</v>
      </c>
      <c r="AB174" s="1128">
        <f t="shared" si="151"/>
        <v>47.603926008545471</v>
      </c>
      <c r="AC174" s="1128">
        <f t="shared" si="152"/>
        <v>49.55137481181346</v>
      </c>
      <c r="AD174" s="1128">
        <f t="shared" si="153"/>
        <v>54.035111051944831</v>
      </c>
      <c r="AE174" s="1128">
        <f t="shared" si="154"/>
        <v>59.886379781482354</v>
      </c>
      <c r="AF174" s="1128">
        <f t="shared" si="155"/>
        <v>65.579957635291493</v>
      </c>
      <c r="AG174" s="1128">
        <f t="shared" si="156"/>
        <v>69.63172580508629</v>
      </c>
      <c r="AH174" s="1128">
        <f t="shared" si="157"/>
        <v>70.985528477772206</v>
      </c>
      <c r="AI174" s="1128">
        <f t="shared" si="158"/>
        <v>69.28847612398296</v>
      </c>
      <c r="AJ174" s="1128">
        <f t="shared" si="159"/>
        <v>64.982931592102105</v>
      </c>
      <c r="AK174" s="1128">
        <f t="shared" si="160"/>
        <v>59.191201414814039</v>
      </c>
      <c r="AL174" s="1128">
        <f t="shared" si="161"/>
        <v>53.422989316092611</v>
      </c>
      <c r="AM174" s="1125">
        <f t="shared" si="162"/>
        <v>1</v>
      </c>
      <c r="AN174" s="1125">
        <f t="shared" si="163"/>
        <v>1</v>
      </c>
      <c r="AO174" s="1125">
        <f t="shared" si="164"/>
        <v>1</v>
      </c>
      <c r="AP174" s="1125">
        <f t="shared" si="165"/>
        <v>1</v>
      </c>
      <c r="AQ174" s="1125">
        <f t="shared" si="166"/>
        <v>1</v>
      </c>
      <c r="AR174" s="1125">
        <f t="shared" si="167"/>
        <v>0</v>
      </c>
      <c r="AS174" s="1125">
        <f t="shared" si="168"/>
        <v>0</v>
      </c>
      <c r="AT174" s="1125">
        <f t="shared" si="169"/>
        <v>0</v>
      </c>
      <c r="AU174" s="1125">
        <f t="shared" si="170"/>
        <v>1</v>
      </c>
      <c r="AV174" s="1125">
        <f t="shared" si="171"/>
        <v>1</v>
      </c>
      <c r="AW174" s="1125">
        <f t="shared" si="172"/>
        <v>1</v>
      </c>
      <c r="AX174" s="1125">
        <f t="shared" si="173"/>
        <v>1</v>
      </c>
      <c r="AY174" s="1125">
        <f t="shared" si="174"/>
        <v>0</v>
      </c>
      <c r="AZ174" s="1125">
        <f t="shared" si="175"/>
        <v>0</v>
      </c>
      <c r="BA174" s="1125">
        <f t="shared" si="176"/>
        <v>0</v>
      </c>
      <c r="BB174" s="1125">
        <f t="shared" si="177"/>
        <v>0</v>
      </c>
      <c r="BC174" s="1125">
        <f t="shared" si="178"/>
        <v>0</v>
      </c>
      <c r="BD174" s="1125">
        <f t="shared" si="179"/>
        <v>1</v>
      </c>
      <c r="BE174" s="1125">
        <f t="shared" si="180"/>
        <v>1</v>
      </c>
      <c r="BF174" s="1125">
        <f t="shared" si="181"/>
        <v>1</v>
      </c>
      <c r="BG174" s="1125">
        <f t="shared" si="182"/>
        <v>0</v>
      </c>
      <c r="BH174" s="1125">
        <f t="shared" si="183"/>
        <v>0</v>
      </c>
      <c r="BI174" s="1125">
        <f t="shared" si="184"/>
        <v>0</v>
      </c>
      <c r="BJ174" s="1125">
        <f t="shared" si="185"/>
        <v>0</v>
      </c>
      <c r="BK174" s="1125">
        <f t="shared" si="186"/>
        <v>1</v>
      </c>
      <c r="BL174" s="1125">
        <f t="shared" si="187"/>
        <v>1</v>
      </c>
      <c r="BM174" s="1125">
        <f t="shared" si="188"/>
        <v>1</v>
      </c>
      <c r="BN174" s="1125">
        <f t="shared" si="189"/>
        <v>1</v>
      </c>
      <c r="BO174" s="1125">
        <f t="shared" si="190"/>
        <v>1</v>
      </c>
      <c r="BP174" s="1125">
        <f t="shared" si="191"/>
        <v>1</v>
      </c>
      <c r="BQ174" s="1125">
        <f t="shared" si="192"/>
        <v>0</v>
      </c>
      <c r="BR174" s="1125">
        <f t="shared" si="193"/>
        <v>0</v>
      </c>
      <c r="BS174" s="1125">
        <f t="shared" si="194"/>
        <v>1</v>
      </c>
      <c r="BT174" s="1125">
        <f t="shared" si="195"/>
        <v>1</v>
      </c>
      <c r="BU174" s="1125">
        <f t="shared" si="196"/>
        <v>1</v>
      </c>
      <c r="BV174" s="1125">
        <f t="shared" si="197"/>
        <v>1</v>
      </c>
      <c r="BW174" s="1125">
        <f t="shared" si="198"/>
        <v>0</v>
      </c>
      <c r="BX174" s="1125">
        <f t="shared" si="199"/>
        <v>0</v>
      </c>
      <c r="BY174" s="1125">
        <f t="shared" si="200"/>
        <v>0</v>
      </c>
      <c r="BZ174" s="1125">
        <f t="shared" si="201"/>
        <v>0</v>
      </c>
      <c r="CA174" s="1125">
        <f t="shared" si="202"/>
        <v>1</v>
      </c>
      <c r="CB174" s="1125">
        <f t="shared" si="203"/>
        <v>1</v>
      </c>
      <c r="CC174" s="1125">
        <f t="shared" si="204"/>
        <v>1</v>
      </c>
      <c r="CD174" s="1125">
        <f t="shared" si="205"/>
        <v>1</v>
      </c>
      <c r="CE174" s="1125">
        <f t="shared" si="206"/>
        <v>1</v>
      </c>
      <c r="CF174" s="1125">
        <f t="shared" si="207"/>
        <v>0</v>
      </c>
      <c r="CG174" s="1125">
        <f t="shared" si="208"/>
        <v>0</v>
      </c>
      <c r="CH174" s="1125">
        <f t="shared" si="209"/>
        <v>0</v>
      </c>
      <c r="CI174" s="1125">
        <f t="shared" si="210"/>
        <v>0.85</v>
      </c>
      <c r="CJ174" s="1125">
        <f t="shared" si="211"/>
        <v>0.85</v>
      </c>
      <c r="CK174" s="1125">
        <f t="shared" si="212"/>
        <v>0.85</v>
      </c>
      <c r="CL174" s="1125">
        <f t="shared" si="213"/>
        <v>0.85</v>
      </c>
      <c r="CM174" s="1125">
        <f t="shared" si="214"/>
        <v>0.85</v>
      </c>
      <c r="CN174" s="1125">
        <f t="shared" si="215"/>
        <v>0.85</v>
      </c>
      <c r="CO174" s="1125">
        <f t="shared" si="216"/>
        <v>0.7</v>
      </c>
      <c r="CP174" s="1125">
        <f t="shared" si="217"/>
        <v>0.7</v>
      </c>
      <c r="CQ174" s="1125">
        <f t="shared" si="218"/>
        <v>0.85</v>
      </c>
      <c r="CR174" s="1125">
        <f t="shared" si="219"/>
        <v>0.85</v>
      </c>
      <c r="CS174" s="1125">
        <f t="shared" si="220"/>
        <v>0.85</v>
      </c>
      <c r="CT174" s="1125">
        <f t="shared" si="221"/>
        <v>0.85</v>
      </c>
      <c r="CU174" s="1125">
        <v>1</v>
      </c>
      <c r="CV174" s="1125"/>
      <c r="CW174" s="1125">
        <f t="shared" si="222"/>
        <v>153</v>
      </c>
      <c r="CX174" s="1125">
        <f t="shared" si="223"/>
        <v>212</v>
      </c>
      <c r="CY174" s="1136" t="s">
        <v>4881</v>
      </c>
      <c r="CZ174" s="1129" t="s">
        <v>4885</v>
      </c>
      <c r="DA174" s="1129"/>
      <c r="DB174" s="1129"/>
      <c r="DC174" s="1125" t="s">
        <v>5242</v>
      </c>
      <c r="DD174" s="1125" t="s">
        <v>1107</v>
      </c>
      <c r="DE174" s="1120" t="str">
        <f t="shared" si="224"/>
        <v/>
      </c>
      <c r="DF174" s="1133">
        <v>0</v>
      </c>
      <c r="DG174" s="1120">
        <v>0</v>
      </c>
    </row>
    <row r="175" spans="1:111">
      <c r="A175" s="1125" t="s">
        <v>3168</v>
      </c>
      <c r="B175" s="1120" t="s">
        <v>3420</v>
      </c>
      <c r="C175" s="1120" t="s">
        <v>3421</v>
      </c>
      <c r="D175" s="1120" t="s">
        <v>566</v>
      </c>
      <c r="E175" s="1120">
        <v>994</v>
      </c>
      <c r="F175" s="1120">
        <v>-95.03</v>
      </c>
      <c r="G175" s="1120">
        <v>40.72</v>
      </c>
      <c r="H175" s="1120">
        <v>-6</v>
      </c>
      <c r="I175" s="1121">
        <v>-2.3800006866455088</v>
      </c>
      <c r="J175" s="1121">
        <v>95.179997253417966</v>
      </c>
      <c r="K175" s="1122">
        <v>80.060001373291016</v>
      </c>
      <c r="L175" s="1120">
        <v>5907.6</v>
      </c>
      <c r="M175" s="1120">
        <v>1405.8</v>
      </c>
      <c r="N175" s="1123">
        <v>22.640000343322754</v>
      </c>
      <c r="O175" s="1123">
        <v>33.619999957084659</v>
      </c>
      <c r="P175" s="1123">
        <v>39.02000017166138</v>
      </c>
      <c r="Q175" s="1123">
        <v>52.340000343322757</v>
      </c>
      <c r="R175" s="1123">
        <v>65.119999313354498</v>
      </c>
      <c r="S175" s="1123">
        <v>71.960001373291021</v>
      </c>
      <c r="T175" s="1123">
        <v>76.639998626708987</v>
      </c>
      <c r="U175" s="1123">
        <v>75.919999313354495</v>
      </c>
      <c r="V175" s="1123">
        <v>72.860001373291013</v>
      </c>
      <c r="W175" s="1123">
        <v>53.419999313354495</v>
      </c>
      <c r="X175" s="1123">
        <v>36.679999828338623</v>
      </c>
      <c r="Y175" s="1123">
        <v>23.9</v>
      </c>
      <c r="Z175" s="1123">
        <v>52.090465742137333</v>
      </c>
      <c r="AA175" s="1123">
        <f t="shared" si="150"/>
        <v>46.473575987817547</v>
      </c>
      <c r="AB175" s="1123">
        <f t="shared" si="151"/>
        <v>45.124399310648748</v>
      </c>
      <c r="AC175" s="1123">
        <f t="shared" si="152"/>
        <v>47.155027661979446</v>
      </c>
      <c r="AD175" s="1123">
        <f t="shared" si="153"/>
        <v>52.036146469105176</v>
      </c>
      <c r="AE175" s="1123">
        <f t="shared" si="154"/>
        <v>58.4954168946309</v>
      </c>
      <c r="AF175" s="1123">
        <f t="shared" si="155"/>
        <v>64.849130561773023</v>
      </c>
      <c r="AG175" s="1123">
        <f t="shared" si="156"/>
        <v>69.441094089499501</v>
      </c>
      <c r="AH175" s="1123">
        <f t="shared" si="157"/>
        <v>71.074341420008466</v>
      </c>
      <c r="AI175" s="1123">
        <f t="shared" si="158"/>
        <v>69.323141467499525</v>
      </c>
      <c r="AJ175" s="1123">
        <f t="shared" si="159"/>
        <v>64.643971486402279</v>
      </c>
      <c r="AK175" s="1123">
        <f t="shared" si="160"/>
        <v>58.256529240481846</v>
      </c>
      <c r="AL175" s="1123">
        <f t="shared" si="161"/>
        <v>51.825799984601929</v>
      </c>
      <c r="AM175" s="1120">
        <f t="shared" si="162"/>
        <v>1</v>
      </c>
      <c r="AN175" s="1120">
        <f t="shared" si="163"/>
        <v>1</v>
      </c>
      <c r="AO175" s="1120">
        <f t="shared" si="164"/>
        <v>1</v>
      </c>
      <c r="AP175" s="1120">
        <f t="shared" si="165"/>
        <v>1</v>
      </c>
      <c r="AQ175" s="1120">
        <f t="shared" si="166"/>
        <v>1</v>
      </c>
      <c r="AR175" s="1120">
        <f t="shared" si="167"/>
        <v>0</v>
      </c>
      <c r="AS175" s="1120">
        <f t="shared" si="168"/>
        <v>0</v>
      </c>
      <c r="AT175" s="1120">
        <f t="shared" si="169"/>
        <v>0</v>
      </c>
      <c r="AU175" s="1120">
        <f t="shared" si="170"/>
        <v>0</v>
      </c>
      <c r="AV175" s="1120">
        <f t="shared" si="171"/>
        <v>1</v>
      </c>
      <c r="AW175" s="1120">
        <f t="shared" si="172"/>
        <v>1</v>
      </c>
      <c r="AX175" s="1120">
        <f t="shared" si="173"/>
        <v>1</v>
      </c>
      <c r="AY175" s="1120">
        <f t="shared" si="174"/>
        <v>0</v>
      </c>
      <c r="AZ175" s="1120">
        <f t="shared" si="175"/>
        <v>0</v>
      </c>
      <c r="BA175" s="1120">
        <f t="shared" si="176"/>
        <v>0</v>
      </c>
      <c r="BB175" s="1120">
        <f t="shared" si="177"/>
        <v>0</v>
      </c>
      <c r="BC175" s="1120">
        <f t="shared" si="178"/>
        <v>0</v>
      </c>
      <c r="BD175" s="1120">
        <f t="shared" si="179"/>
        <v>1</v>
      </c>
      <c r="BE175" s="1120">
        <f t="shared" si="180"/>
        <v>1</v>
      </c>
      <c r="BF175" s="1120">
        <f t="shared" si="181"/>
        <v>1</v>
      </c>
      <c r="BG175" s="1120">
        <f t="shared" si="182"/>
        <v>1</v>
      </c>
      <c r="BH175" s="1120">
        <f t="shared" si="183"/>
        <v>0</v>
      </c>
      <c r="BI175" s="1120">
        <f t="shared" si="184"/>
        <v>0</v>
      </c>
      <c r="BJ175" s="1120">
        <f t="shared" si="185"/>
        <v>0</v>
      </c>
      <c r="BK175" s="1120">
        <f t="shared" si="186"/>
        <v>1</v>
      </c>
      <c r="BL175" s="1120">
        <f t="shared" si="187"/>
        <v>1</v>
      </c>
      <c r="BM175" s="1120">
        <f t="shared" si="188"/>
        <v>1</v>
      </c>
      <c r="BN175" s="1120">
        <f t="shared" si="189"/>
        <v>1</v>
      </c>
      <c r="BO175" s="1120">
        <f t="shared" si="190"/>
        <v>1</v>
      </c>
      <c r="BP175" s="1120">
        <f t="shared" si="191"/>
        <v>1</v>
      </c>
      <c r="BQ175" s="1120">
        <f t="shared" si="192"/>
        <v>0</v>
      </c>
      <c r="BR175" s="1120">
        <f t="shared" si="193"/>
        <v>0</v>
      </c>
      <c r="BS175" s="1120">
        <f t="shared" si="194"/>
        <v>0</v>
      </c>
      <c r="BT175" s="1120">
        <f t="shared" si="195"/>
        <v>1</v>
      </c>
      <c r="BU175" s="1120">
        <f t="shared" si="196"/>
        <v>1</v>
      </c>
      <c r="BV175" s="1120">
        <f t="shared" si="197"/>
        <v>1</v>
      </c>
      <c r="BW175" s="1120">
        <f t="shared" si="198"/>
        <v>0</v>
      </c>
      <c r="BX175" s="1120">
        <f t="shared" si="199"/>
        <v>0</v>
      </c>
      <c r="BY175" s="1120">
        <f t="shared" si="200"/>
        <v>0</v>
      </c>
      <c r="BZ175" s="1120">
        <f t="shared" si="201"/>
        <v>0</v>
      </c>
      <c r="CA175" s="1120">
        <f t="shared" si="202"/>
        <v>1</v>
      </c>
      <c r="CB175" s="1120">
        <f t="shared" si="203"/>
        <v>1</v>
      </c>
      <c r="CC175" s="1120">
        <f t="shared" si="204"/>
        <v>1</v>
      </c>
      <c r="CD175" s="1120">
        <f t="shared" si="205"/>
        <v>1</v>
      </c>
      <c r="CE175" s="1120">
        <f t="shared" si="206"/>
        <v>1</v>
      </c>
      <c r="CF175" s="1120">
        <f t="shared" si="207"/>
        <v>1</v>
      </c>
      <c r="CG175" s="1120">
        <f t="shared" si="208"/>
        <v>0</v>
      </c>
      <c r="CH175" s="1120">
        <f t="shared" si="209"/>
        <v>0</v>
      </c>
      <c r="CI175" s="1120">
        <f t="shared" si="210"/>
        <v>0.85</v>
      </c>
      <c r="CJ175" s="1120">
        <f t="shared" si="211"/>
        <v>0.85</v>
      </c>
      <c r="CK175" s="1120">
        <f t="shared" si="212"/>
        <v>0.85</v>
      </c>
      <c r="CL175" s="1120">
        <f t="shared" si="213"/>
        <v>0.85</v>
      </c>
      <c r="CM175" s="1120">
        <f t="shared" si="214"/>
        <v>0.85</v>
      </c>
      <c r="CN175" s="1120">
        <f t="shared" si="215"/>
        <v>0.85</v>
      </c>
      <c r="CO175" s="1120">
        <f t="shared" si="216"/>
        <v>0.7</v>
      </c>
      <c r="CP175" s="1120">
        <f t="shared" si="217"/>
        <v>0.7</v>
      </c>
      <c r="CQ175" s="1120">
        <f t="shared" si="218"/>
        <v>0.7</v>
      </c>
      <c r="CR175" s="1120">
        <f t="shared" si="219"/>
        <v>0.85</v>
      </c>
      <c r="CS175" s="1120">
        <f t="shared" si="220"/>
        <v>0.85</v>
      </c>
      <c r="CT175" s="1120">
        <f t="shared" si="221"/>
        <v>0.85</v>
      </c>
      <c r="CU175" s="1120">
        <v>1</v>
      </c>
      <c r="CV175" s="1120"/>
      <c r="CW175" s="1120">
        <f t="shared" si="222"/>
        <v>184</v>
      </c>
      <c r="CX175" s="1120">
        <f t="shared" si="223"/>
        <v>181</v>
      </c>
      <c r="CY175" s="1135" t="s">
        <v>4889</v>
      </c>
      <c r="CZ175" s="1124" t="s">
        <v>4897</v>
      </c>
      <c r="DA175" s="1124"/>
      <c r="DB175" s="1124"/>
      <c r="DC175" s="1120" t="s">
        <v>5165</v>
      </c>
      <c r="DD175" s="1120" t="s">
        <v>566</v>
      </c>
      <c r="DE175" s="1120" t="str">
        <f t="shared" si="224"/>
        <v/>
      </c>
      <c r="DF175" s="1133">
        <v>1</v>
      </c>
      <c r="DG175" s="1125">
        <v>0</v>
      </c>
    </row>
    <row r="176" spans="1:111">
      <c r="A176" s="1120" t="s">
        <v>3170</v>
      </c>
      <c r="B176" s="1120" t="s">
        <v>4072</v>
      </c>
      <c r="C176" s="1120" t="s">
        <v>4073</v>
      </c>
      <c r="D176" s="1120" t="s">
        <v>538</v>
      </c>
      <c r="E176" s="1120">
        <v>4959</v>
      </c>
      <c r="F176" s="1120">
        <v>-103.15</v>
      </c>
      <c r="G176" s="1120">
        <v>36.450000000000003</v>
      </c>
      <c r="H176" s="1120">
        <v>-7</v>
      </c>
      <c r="I176" s="1121">
        <v>11.659999656677245</v>
      </c>
      <c r="J176" s="1121">
        <v>91.939998626708984</v>
      </c>
      <c r="K176" s="1122">
        <v>62.6</v>
      </c>
      <c r="L176" s="1120">
        <v>4716</v>
      </c>
      <c r="M176" s="1120">
        <v>1234.8</v>
      </c>
      <c r="N176" s="1123">
        <v>36.679999828338623</v>
      </c>
      <c r="O176" s="1123">
        <v>34.519999957084657</v>
      </c>
      <c r="P176" s="1123">
        <v>41.540000343322752</v>
      </c>
      <c r="Q176" s="1123">
        <v>56.3</v>
      </c>
      <c r="R176" s="1123">
        <v>66.739998626708982</v>
      </c>
      <c r="S176" s="1123">
        <v>69.260001373291018</v>
      </c>
      <c r="T176" s="1123">
        <v>76.099999999999994</v>
      </c>
      <c r="U176" s="1123">
        <v>76.099999999999994</v>
      </c>
      <c r="V176" s="1123">
        <v>66.739998626708982</v>
      </c>
      <c r="W176" s="1123">
        <v>54.140000343322754</v>
      </c>
      <c r="X176" s="1123">
        <v>42.440000343322751</v>
      </c>
      <c r="Y176" s="1123">
        <v>36.139999914169309</v>
      </c>
      <c r="Z176" s="1123">
        <v>54.847671177615858</v>
      </c>
      <c r="AA176" s="1123">
        <f t="shared" si="150"/>
        <v>51.176478591124209</v>
      </c>
      <c r="AB176" s="1123">
        <f t="shared" si="151"/>
        <v>50.329921816587927</v>
      </c>
      <c r="AC176" s="1123">
        <f t="shared" si="152"/>
        <v>52.224978496427454</v>
      </c>
      <c r="AD176" s="1123">
        <f t="shared" si="153"/>
        <v>56.36767290333519</v>
      </c>
      <c r="AE176" s="1123">
        <f t="shared" si="154"/>
        <v>61.678147899297379</v>
      </c>
      <c r="AF176" s="1123">
        <f t="shared" si="155"/>
        <v>66.772146339719598</v>
      </c>
      <c r="AG176" s="1123">
        <f t="shared" si="156"/>
        <v>70.321839030213638</v>
      </c>
      <c r="AH176" s="1123">
        <f t="shared" si="157"/>
        <v>71.401943868582038</v>
      </c>
      <c r="AI176" s="1123">
        <f t="shared" si="158"/>
        <v>69.730914883784664</v>
      </c>
      <c r="AJ176" s="1123">
        <f t="shared" si="159"/>
        <v>65.744331532045109</v>
      </c>
      <c r="AK176" s="1123">
        <f t="shared" si="160"/>
        <v>60.481358199103362</v>
      </c>
      <c r="AL176" s="1123">
        <f t="shared" si="161"/>
        <v>55.31386998906477</v>
      </c>
      <c r="AM176" s="1120">
        <f t="shared" si="162"/>
        <v>1</v>
      </c>
      <c r="AN176" s="1120">
        <f t="shared" si="163"/>
        <v>1</v>
      </c>
      <c r="AO176" s="1120">
        <f t="shared" si="164"/>
        <v>1</v>
      </c>
      <c r="AP176" s="1120">
        <f t="shared" si="165"/>
        <v>1</v>
      </c>
      <c r="AQ176" s="1120">
        <f t="shared" si="166"/>
        <v>0</v>
      </c>
      <c r="AR176" s="1120">
        <f t="shared" si="167"/>
        <v>0</v>
      </c>
      <c r="AS176" s="1120">
        <f t="shared" si="168"/>
        <v>0</v>
      </c>
      <c r="AT176" s="1120">
        <f t="shared" si="169"/>
        <v>0</v>
      </c>
      <c r="AU176" s="1120">
        <f t="shared" si="170"/>
        <v>0</v>
      </c>
      <c r="AV176" s="1120">
        <f t="shared" si="171"/>
        <v>1</v>
      </c>
      <c r="AW176" s="1120">
        <f t="shared" si="172"/>
        <v>1</v>
      </c>
      <c r="AX176" s="1120">
        <f t="shared" si="173"/>
        <v>1</v>
      </c>
      <c r="AY176" s="1120">
        <f t="shared" si="174"/>
        <v>0</v>
      </c>
      <c r="AZ176" s="1120">
        <f t="shared" si="175"/>
        <v>0</v>
      </c>
      <c r="BA176" s="1120">
        <f t="shared" si="176"/>
        <v>0</v>
      </c>
      <c r="BB176" s="1120">
        <f t="shared" si="177"/>
        <v>0</v>
      </c>
      <c r="BC176" s="1120">
        <f t="shared" si="178"/>
        <v>1</v>
      </c>
      <c r="BD176" s="1120">
        <f t="shared" si="179"/>
        <v>1</v>
      </c>
      <c r="BE176" s="1120">
        <f t="shared" si="180"/>
        <v>1</v>
      </c>
      <c r="BF176" s="1120">
        <f t="shared" si="181"/>
        <v>1</v>
      </c>
      <c r="BG176" s="1120">
        <f t="shared" si="182"/>
        <v>1</v>
      </c>
      <c r="BH176" s="1120">
        <f t="shared" si="183"/>
        <v>0</v>
      </c>
      <c r="BI176" s="1120">
        <f t="shared" si="184"/>
        <v>0</v>
      </c>
      <c r="BJ176" s="1120">
        <f t="shared" si="185"/>
        <v>0</v>
      </c>
      <c r="BK176" s="1120">
        <f t="shared" si="186"/>
        <v>1</v>
      </c>
      <c r="BL176" s="1120">
        <f t="shared" si="187"/>
        <v>1</v>
      </c>
      <c r="BM176" s="1120">
        <f t="shared" si="188"/>
        <v>1</v>
      </c>
      <c r="BN176" s="1120">
        <f t="shared" si="189"/>
        <v>1</v>
      </c>
      <c r="BO176" s="1120">
        <f t="shared" si="190"/>
        <v>1</v>
      </c>
      <c r="BP176" s="1120">
        <f t="shared" si="191"/>
        <v>0</v>
      </c>
      <c r="BQ176" s="1120">
        <f t="shared" si="192"/>
        <v>0</v>
      </c>
      <c r="BR176" s="1120">
        <f t="shared" si="193"/>
        <v>0</v>
      </c>
      <c r="BS176" s="1120">
        <f t="shared" si="194"/>
        <v>0</v>
      </c>
      <c r="BT176" s="1120">
        <f t="shared" si="195"/>
        <v>1</v>
      </c>
      <c r="BU176" s="1120">
        <f t="shared" si="196"/>
        <v>1</v>
      </c>
      <c r="BV176" s="1120">
        <f t="shared" si="197"/>
        <v>1</v>
      </c>
      <c r="BW176" s="1120">
        <f t="shared" si="198"/>
        <v>0</v>
      </c>
      <c r="BX176" s="1120">
        <f t="shared" si="199"/>
        <v>0</v>
      </c>
      <c r="BY176" s="1120">
        <f t="shared" si="200"/>
        <v>0</v>
      </c>
      <c r="BZ176" s="1120">
        <f t="shared" si="201"/>
        <v>1</v>
      </c>
      <c r="CA176" s="1120">
        <f t="shared" si="202"/>
        <v>1</v>
      </c>
      <c r="CB176" s="1120">
        <f t="shared" si="203"/>
        <v>1</v>
      </c>
      <c r="CC176" s="1120">
        <f t="shared" si="204"/>
        <v>1</v>
      </c>
      <c r="CD176" s="1120">
        <f t="shared" si="205"/>
        <v>1</v>
      </c>
      <c r="CE176" s="1120">
        <f t="shared" si="206"/>
        <v>1</v>
      </c>
      <c r="CF176" s="1120">
        <f t="shared" si="207"/>
        <v>1</v>
      </c>
      <c r="CG176" s="1120">
        <f t="shared" si="208"/>
        <v>0</v>
      </c>
      <c r="CH176" s="1120">
        <f t="shared" si="209"/>
        <v>0</v>
      </c>
      <c r="CI176" s="1120">
        <f t="shared" si="210"/>
        <v>0.85</v>
      </c>
      <c r="CJ176" s="1120">
        <f t="shared" si="211"/>
        <v>0.85</v>
      </c>
      <c r="CK176" s="1120">
        <f t="shared" si="212"/>
        <v>0.85</v>
      </c>
      <c r="CL176" s="1120">
        <f t="shared" si="213"/>
        <v>0.85</v>
      </c>
      <c r="CM176" s="1120">
        <f t="shared" si="214"/>
        <v>0.85</v>
      </c>
      <c r="CN176" s="1120">
        <f t="shared" si="215"/>
        <v>0.7</v>
      </c>
      <c r="CO176" s="1120">
        <f t="shared" si="216"/>
        <v>0.7</v>
      </c>
      <c r="CP176" s="1120">
        <f t="shared" si="217"/>
        <v>0.7</v>
      </c>
      <c r="CQ176" s="1120">
        <f t="shared" si="218"/>
        <v>0.7</v>
      </c>
      <c r="CR176" s="1120">
        <f t="shared" si="219"/>
        <v>0.85</v>
      </c>
      <c r="CS176" s="1120">
        <f t="shared" si="220"/>
        <v>0.85</v>
      </c>
      <c r="CT176" s="1120">
        <f t="shared" si="221"/>
        <v>0.85</v>
      </c>
      <c r="CU176" s="1120">
        <v>1</v>
      </c>
      <c r="CV176" s="1120"/>
      <c r="CW176" s="1120">
        <f t="shared" si="222"/>
        <v>214</v>
      </c>
      <c r="CX176" s="1120">
        <f t="shared" si="223"/>
        <v>151</v>
      </c>
      <c r="CY176" s="1136" t="s">
        <v>4891</v>
      </c>
      <c r="CZ176" s="1129" t="s">
        <v>4892</v>
      </c>
      <c r="DA176" s="1129"/>
      <c r="DB176" s="1129"/>
      <c r="DC176" s="1125" t="s">
        <v>5448</v>
      </c>
      <c r="DD176" s="1125" t="s">
        <v>538</v>
      </c>
      <c r="DE176" s="1120" t="str">
        <f t="shared" si="224"/>
        <v/>
      </c>
      <c r="DF176" s="1133">
        <v>0</v>
      </c>
      <c r="DG176" s="1120">
        <v>0</v>
      </c>
    </row>
    <row r="177" spans="1:111">
      <c r="A177" s="1125" t="s">
        <v>3172</v>
      </c>
      <c r="B177" s="1120" t="s">
        <v>4170</v>
      </c>
      <c r="C177" s="1120" t="s">
        <v>4171</v>
      </c>
      <c r="D177" s="1120" t="s">
        <v>229</v>
      </c>
      <c r="E177" s="1120">
        <v>771</v>
      </c>
      <c r="F177" s="1120">
        <v>-81.849999999999994</v>
      </c>
      <c r="G177" s="1120">
        <v>41.4</v>
      </c>
      <c r="H177" s="1120">
        <v>-5</v>
      </c>
      <c r="I177" s="1121">
        <v>8.4199993133544915</v>
      </c>
      <c r="J177" s="1121">
        <v>86.719999313354492</v>
      </c>
      <c r="K177" s="1122">
        <v>72.5</v>
      </c>
      <c r="L177" s="1120">
        <v>5909.4000000000005</v>
      </c>
      <c r="M177" s="1120">
        <v>880.2</v>
      </c>
      <c r="N177" s="1123">
        <v>26.060000085830687</v>
      </c>
      <c r="O177" s="1123">
        <v>25.7</v>
      </c>
      <c r="P177" s="1123">
        <v>37.579999828338622</v>
      </c>
      <c r="Q177" s="1123">
        <v>49.1</v>
      </c>
      <c r="R177" s="1123">
        <v>61.160001373291017</v>
      </c>
      <c r="S177" s="1123">
        <v>69.980000686645511</v>
      </c>
      <c r="T177" s="1123">
        <v>75.2</v>
      </c>
      <c r="U177" s="1123">
        <v>70.880000686645502</v>
      </c>
      <c r="V177" s="1123">
        <v>63.86000137329102</v>
      </c>
      <c r="W177" s="1123">
        <v>52.880000686645509</v>
      </c>
      <c r="X177" s="1123">
        <v>42.440000343322751</v>
      </c>
      <c r="Y177" s="1123">
        <v>30.919999957084656</v>
      </c>
      <c r="Z177" s="1123">
        <v>50.619397680138889</v>
      </c>
      <c r="AA177" s="1123">
        <f t="shared" si="150"/>
        <v>46.430101752378562</v>
      </c>
      <c r="AB177" s="1123">
        <f t="shared" si="151"/>
        <v>45.085576974392538</v>
      </c>
      <c r="AC177" s="1123">
        <f t="shared" si="152"/>
        <v>46.747520304916563</v>
      </c>
      <c r="AD177" s="1123">
        <f t="shared" si="153"/>
        <v>50.982720603527589</v>
      </c>
      <c r="AE177" s="1123">
        <f t="shared" si="154"/>
        <v>56.687207645980443</v>
      </c>
      <c r="AF177" s="1123">
        <f t="shared" si="155"/>
        <v>62.374018975853495</v>
      </c>
      <c r="AG177" s="1123">
        <f t="shared" si="156"/>
        <v>66.560799583600001</v>
      </c>
      <c r="AH177" s="1123">
        <f t="shared" si="157"/>
        <v>68.156200583568662</v>
      </c>
      <c r="AI177" s="1123">
        <f t="shared" si="158"/>
        <v>66.744356119244031</v>
      </c>
      <c r="AJ177" s="1123">
        <f t="shared" si="159"/>
        <v>62.693285207434101</v>
      </c>
      <c r="AK177" s="1123">
        <f t="shared" si="160"/>
        <v>57.058961910194576</v>
      </c>
      <c r="AL177" s="1123">
        <f t="shared" si="161"/>
        <v>51.310059422501226</v>
      </c>
      <c r="AM177" s="1120">
        <f t="shared" si="162"/>
        <v>1</v>
      </c>
      <c r="AN177" s="1120">
        <f t="shared" si="163"/>
        <v>1</v>
      </c>
      <c r="AO177" s="1120">
        <f t="shared" si="164"/>
        <v>1</v>
      </c>
      <c r="AP177" s="1120">
        <f t="shared" si="165"/>
        <v>1</v>
      </c>
      <c r="AQ177" s="1120">
        <f t="shared" si="166"/>
        <v>1</v>
      </c>
      <c r="AR177" s="1120">
        <f t="shared" si="167"/>
        <v>0</v>
      </c>
      <c r="AS177" s="1120">
        <f t="shared" si="168"/>
        <v>0</v>
      </c>
      <c r="AT177" s="1120">
        <f t="shared" si="169"/>
        <v>0</v>
      </c>
      <c r="AU177" s="1120">
        <f t="shared" si="170"/>
        <v>1</v>
      </c>
      <c r="AV177" s="1120">
        <f t="shared" si="171"/>
        <v>1</v>
      </c>
      <c r="AW177" s="1120">
        <f t="shared" si="172"/>
        <v>1</v>
      </c>
      <c r="AX177" s="1120">
        <f t="shared" si="173"/>
        <v>1</v>
      </c>
      <c r="AY177" s="1120">
        <f t="shared" si="174"/>
        <v>0</v>
      </c>
      <c r="AZ177" s="1120">
        <f t="shared" si="175"/>
        <v>0</v>
      </c>
      <c r="BA177" s="1120">
        <f t="shared" si="176"/>
        <v>0</v>
      </c>
      <c r="BB177" s="1120">
        <f t="shared" si="177"/>
        <v>0</v>
      </c>
      <c r="BC177" s="1120">
        <f t="shared" si="178"/>
        <v>0</v>
      </c>
      <c r="BD177" s="1120">
        <f t="shared" si="179"/>
        <v>1</v>
      </c>
      <c r="BE177" s="1120">
        <f t="shared" si="180"/>
        <v>1</v>
      </c>
      <c r="BF177" s="1120">
        <f t="shared" si="181"/>
        <v>1</v>
      </c>
      <c r="BG177" s="1120">
        <f t="shared" si="182"/>
        <v>0</v>
      </c>
      <c r="BH177" s="1120">
        <f t="shared" si="183"/>
        <v>0</v>
      </c>
      <c r="BI177" s="1120">
        <f t="shared" si="184"/>
        <v>0</v>
      </c>
      <c r="BJ177" s="1120">
        <f t="shared" si="185"/>
        <v>0</v>
      </c>
      <c r="BK177" s="1120">
        <f t="shared" si="186"/>
        <v>1</v>
      </c>
      <c r="BL177" s="1120">
        <f t="shared" si="187"/>
        <v>1</v>
      </c>
      <c r="BM177" s="1120">
        <f t="shared" si="188"/>
        <v>1</v>
      </c>
      <c r="BN177" s="1120">
        <f t="shared" si="189"/>
        <v>1</v>
      </c>
      <c r="BO177" s="1120">
        <f t="shared" si="190"/>
        <v>1</v>
      </c>
      <c r="BP177" s="1120">
        <f t="shared" si="191"/>
        <v>1</v>
      </c>
      <c r="BQ177" s="1120">
        <f t="shared" si="192"/>
        <v>0</v>
      </c>
      <c r="BR177" s="1120">
        <f t="shared" si="193"/>
        <v>0</v>
      </c>
      <c r="BS177" s="1120">
        <f t="shared" si="194"/>
        <v>1</v>
      </c>
      <c r="BT177" s="1120">
        <f t="shared" si="195"/>
        <v>1</v>
      </c>
      <c r="BU177" s="1120">
        <f t="shared" si="196"/>
        <v>1</v>
      </c>
      <c r="BV177" s="1120">
        <f t="shared" si="197"/>
        <v>1</v>
      </c>
      <c r="BW177" s="1120">
        <f t="shared" si="198"/>
        <v>0</v>
      </c>
      <c r="BX177" s="1120">
        <f t="shared" si="199"/>
        <v>0</v>
      </c>
      <c r="BY177" s="1120">
        <f t="shared" si="200"/>
        <v>0</v>
      </c>
      <c r="BZ177" s="1120">
        <f t="shared" si="201"/>
        <v>0</v>
      </c>
      <c r="CA177" s="1120">
        <f t="shared" si="202"/>
        <v>1</v>
      </c>
      <c r="CB177" s="1120">
        <f t="shared" si="203"/>
        <v>1</v>
      </c>
      <c r="CC177" s="1120">
        <f t="shared" si="204"/>
        <v>1</v>
      </c>
      <c r="CD177" s="1120">
        <f t="shared" si="205"/>
        <v>1</v>
      </c>
      <c r="CE177" s="1120">
        <f t="shared" si="206"/>
        <v>1</v>
      </c>
      <c r="CF177" s="1120">
        <f t="shared" si="207"/>
        <v>0</v>
      </c>
      <c r="CG177" s="1120">
        <f t="shared" si="208"/>
        <v>0</v>
      </c>
      <c r="CH177" s="1120">
        <f t="shared" si="209"/>
        <v>0</v>
      </c>
      <c r="CI177" s="1120">
        <f t="shared" si="210"/>
        <v>0.85</v>
      </c>
      <c r="CJ177" s="1120">
        <f t="shared" si="211"/>
        <v>0.85</v>
      </c>
      <c r="CK177" s="1120">
        <f t="shared" si="212"/>
        <v>0.85</v>
      </c>
      <c r="CL177" s="1120">
        <f t="shared" si="213"/>
        <v>0.85</v>
      </c>
      <c r="CM177" s="1120">
        <f t="shared" si="214"/>
        <v>0.85</v>
      </c>
      <c r="CN177" s="1120">
        <f t="shared" si="215"/>
        <v>0.85</v>
      </c>
      <c r="CO177" s="1120">
        <f t="shared" si="216"/>
        <v>0.7</v>
      </c>
      <c r="CP177" s="1120">
        <f t="shared" si="217"/>
        <v>0.7</v>
      </c>
      <c r="CQ177" s="1120">
        <f t="shared" si="218"/>
        <v>0.85</v>
      </c>
      <c r="CR177" s="1120">
        <f t="shared" si="219"/>
        <v>0.85</v>
      </c>
      <c r="CS177" s="1120">
        <f t="shared" si="220"/>
        <v>0.85</v>
      </c>
      <c r="CT177" s="1120">
        <f t="shared" si="221"/>
        <v>0.85</v>
      </c>
      <c r="CU177" s="1120">
        <v>1</v>
      </c>
      <c r="CV177" s="1120"/>
      <c r="CW177" s="1120">
        <f t="shared" si="222"/>
        <v>153</v>
      </c>
      <c r="CX177" s="1120">
        <f t="shared" si="223"/>
        <v>212</v>
      </c>
      <c r="CY177" s="1135" t="s">
        <v>4889</v>
      </c>
      <c r="CZ177" s="1124" t="s">
        <v>4897</v>
      </c>
      <c r="DA177" s="1124"/>
      <c r="DB177" s="1124"/>
      <c r="DC177" s="1120" t="s">
        <v>5492</v>
      </c>
      <c r="DD177" s="1120" t="s">
        <v>229</v>
      </c>
      <c r="DE177" s="1120" t="str">
        <f t="shared" si="224"/>
        <v/>
      </c>
      <c r="DF177" s="1133">
        <v>0</v>
      </c>
      <c r="DG177" s="1125">
        <v>0</v>
      </c>
    </row>
    <row r="178" spans="1:111">
      <c r="A178" s="1120" t="s">
        <v>3174</v>
      </c>
      <c r="B178" s="1125" t="s">
        <v>5836</v>
      </c>
      <c r="C178" s="1125" t="s">
        <v>5837</v>
      </c>
      <c r="D178" s="1125" t="s">
        <v>566</v>
      </c>
      <c r="E178" s="1125">
        <v>708</v>
      </c>
      <c r="F178" s="1125">
        <v>-90.33</v>
      </c>
      <c r="G178" s="1125">
        <v>41.83</v>
      </c>
      <c r="H178" s="1125">
        <v>-6</v>
      </c>
      <c r="I178" s="1126">
        <v>0.13999862670898358</v>
      </c>
      <c r="J178" s="1126">
        <v>88.16000137329101</v>
      </c>
      <c r="K178" s="1127">
        <v>73.939998626708984</v>
      </c>
      <c r="L178" s="1125">
        <v>6712.2</v>
      </c>
      <c r="M178" s="1125">
        <v>1080</v>
      </c>
      <c r="N178" s="1128">
        <v>20.479999828338624</v>
      </c>
      <c r="O178" s="1128">
        <v>32.9</v>
      </c>
      <c r="P178" s="1128">
        <v>34.880000042915341</v>
      </c>
      <c r="Q178" s="1128">
        <v>50</v>
      </c>
      <c r="R178" s="1128">
        <v>57.380000686645509</v>
      </c>
      <c r="S178" s="1128">
        <v>70.16000137329101</v>
      </c>
      <c r="T178" s="1128">
        <v>74.3</v>
      </c>
      <c r="U178" s="1128">
        <v>76.280000686645508</v>
      </c>
      <c r="V178" s="1128">
        <v>66.560001373291016</v>
      </c>
      <c r="W178" s="1128">
        <v>49.459999656677248</v>
      </c>
      <c r="X178" s="1128">
        <v>33.980000042915343</v>
      </c>
      <c r="Y178" s="1128">
        <v>20.479999828338624</v>
      </c>
      <c r="Z178" s="1128">
        <v>48.967835907674818</v>
      </c>
      <c r="AA178" s="1128">
        <f t="shared" si="150"/>
        <v>44.060396728495505</v>
      </c>
      <c r="AB178" s="1128">
        <f t="shared" si="151"/>
        <v>42.421811418337342</v>
      </c>
      <c r="AC178" s="1128">
        <f t="shared" si="152"/>
        <v>44.053540731414728</v>
      </c>
      <c r="AD178" s="1128">
        <f t="shared" si="153"/>
        <v>48.530249276564177</v>
      </c>
      <c r="AE178" s="1128">
        <f t="shared" si="154"/>
        <v>54.685013983325547</v>
      </c>
      <c r="AF178" s="1128">
        <f t="shared" si="155"/>
        <v>60.913500583086332</v>
      </c>
      <c r="AG178" s="1128">
        <f t="shared" si="156"/>
        <v>65.592158059734984</v>
      </c>
      <c r="AH178" s="1128">
        <f t="shared" si="157"/>
        <v>67.501422241688843</v>
      </c>
      <c r="AI178" s="1128">
        <f t="shared" si="158"/>
        <v>66.143613997269995</v>
      </c>
      <c r="AJ178" s="1128">
        <f t="shared" si="159"/>
        <v>61.87266696984463</v>
      </c>
      <c r="AK178" s="1128">
        <f t="shared" si="160"/>
        <v>55.801869319397127</v>
      </c>
      <c r="AL178" s="1128">
        <f t="shared" si="161"/>
        <v>49.513668007340272</v>
      </c>
      <c r="AM178" s="1125">
        <f t="shared" si="162"/>
        <v>1</v>
      </c>
      <c r="AN178" s="1125">
        <f t="shared" si="163"/>
        <v>1</v>
      </c>
      <c r="AO178" s="1125">
        <f t="shared" si="164"/>
        <v>1</v>
      </c>
      <c r="AP178" s="1125">
        <f t="shared" si="165"/>
        <v>1</v>
      </c>
      <c r="AQ178" s="1125">
        <f t="shared" si="166"/>
        <v>1</v>
      </c>
      <c r="AR178" s="1125">
        <f t="shared" si="167"/>
        <v>0</v>
      </c>
      <c r="AS178" s="1125">
        <f t="shared" si="168"/>
        <v>0</v>
      </c>
      <c r="AT178" s="1125">
        <f t="shared" si="169"/>
        <v>0</v>
      </c>
      <c r="AU178" s="1125">
        <f t="shared" si="170"/>
        <v>0</v>
      </c>
      <c r="AV178" s="1125">
        <f t="shared" si="171"/>
        <v>1</v>
      </c>
      <c r="AW178" s="1125">
        <f t="shared" si="172"/>
        <v>1</v>
      </c>
      <c r="AX178" s="1125">
        <f t="shared" si="173"/>
        <v>1</v>
      </c>
      <c r="AY178" s="1125">
        <f t="shared" si="174"/>
        <v>0</v>
      </c>
      <c r="AZ178" s="1125">
        <f t="shared" si="175"/>
        <v>0</v>
      </c>
      <c r="BA178" s="1125">
        <f t="shared" si="176"/>
        <v>0</v>
      </c>
      <c r="BB178" s="1125">
        <f t="shared" si="177"/>
        <v>0</v>
      </c>
      <c r="BC178" s="1125">
        <f t="shared" si="178"/>
        <v>0</v>
      </c>
      <c r="BD178" s="1125">
        <f t="shared" si="179"/>
        <v>1</v>
      </c>
      <c r="BE178" s="1125">
        <f t="shared" si="180"/>
        <v>1</v>
      </c>
      <c r="BF178" s="1125">
        <f t="shared" si="181"/>
        <v>1</v>
      </c>
      <c r="BG178" s="1125">
        <f t="shared" si="182"/>
        <v>1</v>
      </c>
      <c r="BH178" s="1125">
        <f t="shared" si="183"/>
        <v>0</v>
      </c>
      <c r="BI178" s="1125">
        <f t="shared" si="184"/>
        <v>0</v>
      </c>
      <c r="BJ178" s="1125">
        <f t="shared" si="185"/>
        <v>0</v>
      </c>
      <c r="BK178" s="1125">
        <f t="shared" si="186"/>
        <v>1</v>
      </c>
      <c r="BL178" s="1125">
        <f t="shared" si="187"/>
        <v>1</v>
      </c>
      <c r="BM178" s="1125">
        <f t="shared" si="188"/>
        <v>1</v>
      </c>
      <c r="BN178" s="1125">
        <f t="shared" si="189"/>
        <v>1</v>
      </c>
      <c r="BO178" s="1125">
        <f t="shared" si="190"/>
        <v>1</v>
      </c>
      <c r="BP178" s="1125">
        <f t="shared" si="191"/>
        <v>1</v>
      </c>
      <c r="BQ178" s="1125">
        <f t="shared" si="192"/>
        <v>0</v>
      </c>
      <c r="BR178" s="1125">
        <f t="shared" si="193"/>
        <v>0</v>
      </c>
      <c r="BS178" s="1125">
        <f t="shared" si="194"/>
        <v>0</v>
      </c>
      <c r="BT178" s="1125">
        <f t="shared" si="195"/>
        <v>1</v>
      </c>
      <c r="BU178" s="1125">
        <f t="shared" si="196"/>
        <v>1</v>
      </c>
      <c r="BV178" s="1125">
        <f t="shared" si="197"/>
        <v>1</v>
      </c>
      <c r="BW178" s="1125">
        <f t="shared" si="198"/>
        <v>0</v>
      </c>
      <c r="BX178" s="1125">
        <f t="shared" si="199"/>
        <v>0</v>
      </c>
      <c r="BY178" s="1125">
        <f t="shared" si="200"/>
        <v>0</v>
      </c>
      <c r="BZ178" s="1125">
        <f t="shared" si="201"/>
        <v>0</v>
      </c>
      <c r="CA178" s="1125">
        <f t="shared" si="202"/>
        <v>1</v>
      </c>
      <c r="CB178" s="1125">
        <f t="shared" si="203"/>
        <v>1</v>
      </c>
      <c r="CC178" s="1125">
        <f t="shared" si="204"/>
        <v>1</v>
      </c>
      <c r="CD178" s="1125">
        <f t="shared" si="205"/>
        <v>1</v>
      </c>
      <c r="CE178" s="1125">
        <f t="shared" si="206"/>
        <v>1</v>
      </c>
      <c r="CF178" s="1125">
        <f t="shared" si="207"/>
        <v>1</v>
      </c>
      <c r="CG178" s="1125">
        <f t="shared" si="208"/>
        <v>0</v>
      </c>
      <c r="CH178" s="1125">
        <f t="shared" si="209"/>
        <v>0</v>
      </c>
      <c r="CI178" s="1125">
        <f t="shared" si="210"/>
        <v>0.85</v>
      </c>
      <c r="CJ178" s="1125">
        <f t="shared" si="211"/>
        <v>0.85</v>
      </c>
      <c r="CK178" s="1125">
        <f t="shared" si="212"/>
        <v>0.85</v>
      </c>
      <c r="CL178" s="1125">
        <f t="shared" si="213"/>
        <v>0.85</v>
      </c>
      <c r="CM178" s="1125">
        <f t="shared" si="214"/>
        <v>0.85</v>
      </c>
      <c r="CN178" s="1125">
        <f t="shared" si="215"/>
        <v>0.85</v>
      </c>
      <c r="CO178" s="1125">
        <f t="shared" si="216"/>
        <v>0.7</v>
      </c>
      <c r="CP178" s="1125">
        <f t="shared" si="217"/>
        <v>0.7</v>
      </c>
      <c r="CQ178" s="1125">
        <f t="shared" si="218"/>
        <v>0.7</v>
      </c>
      <c r="CR178" s="1125">
        <f t="shared" si="219"/>
        <v>0.85</v>
      </c>
      <c r="CS178" s="1125">
        <f t="shared" si="220"/>
        <v>0.85</v>
      </c>
      <c r="CT178" s="1125">
        <f t="shared" si="221"/>
        <v>0.85</v>
      </c>
      <c r="CU178" s="1125">
        <v>1</v>
      </c>
      <c r="CV178" s="1125"/>
      <c r="CW178" s="1125">
        <f t="shared" si="222"/>
        <v>184</v>
      </c>
      <c r="CX178" s="1125">
        <f t="shared" si="223"/>
        <v>181</v>
      </c>
      <c r="CY178" s="1136" t="s">
        <v>4889</v>
      </c>
      <c r="CZ178" s="1129" t="s">
        <v>4897</v>
      </c>
      <c r="DA178" s="1129"/>
      <c r="DB178" s="1129"/>
      <c r="DC178" s="1125" t="s">
        <v>5727</v>
      </c>
      <c r="DD178" s="1125" t="s">
        <v>566</v>
      </c>
      <c r="DE178" s="1120" t="str">
        <f t="shared" si="224"/>
        <v/>
      </c>
      <c r="DF178" s="1133">
        <v>0</v>
      </c>
      <c r="DG178" s="1120">
        <v>0</v>
      </c>
    </row>
    <row r="179" spans="1:111">
      <c r="A179" s="1125" t="s">
        <v>3176</v>
      </c>
      <c r="B179" s="1120" t="s">
        <v>4194</v>
      </c>
      <c r="C179" s="1120" t="s">
        <v>4195</v>
      </c>
      <c r="D179" s="1120" t="s">
        <v>61</v>
      </c>
      <c r="E179" s="1120">
        <v>1922</v>
      </c>
      <c r="F179" s="1120">
        <v>-99.2</v>
      </c>
      <c r="G179" s="1120">
        <v>35.33</v>
      </c>
      <c r="H179" s="1120">
        <v>-6</v>
      </c>
      <c r="I179" s="1121">
        <v>19.399999999999999</v>
      </c>
      <c r="J179" s="1121">
        <v>99.5</v>
      </c>
      <c r="K179" s="1122">
        <v>71.599999999999994</v>
      </c>
      <c r="L179" s="1120">
        <v>4136.4000000000005</v>
      </c>
      <c r="M179" s="1120">
        <v>2061</v>
      </c>
      <c r="N179" s="1123">
        <v>37.4</v>
      </c>
      <c r="O179" s="1123">
        <v>38.660000085830688</v>
      </c>
      <c r="P179" s="1123">
        <v>44.420000171661378</v>
      </c>
      <c r="Q179" s="1123">
        <v>57.740000343322755</v>
      </c>
      <c r="R179" s="1123">
        <v>72.860001373291013</v>
      </c>
      <c r="S179" s="1123">
        <v>74.119999313354498</v>
      </c>
      <c r="T179" s="1123">
        <v>81.5</v>
      </c>
      <c r="U179" s="1123">
        <v>77.719999313354492</v>
      </c>
      <c r="V179" s="1123">
        <v>77</v>
      </c>
      <c r="W179" s="1123">
        <v>59.9</v>
      </c>
      <c r="X179" s="1123">
        <v>48.919999313354495</v>
      </c>
      <c r="Y179" s="1123">
        <v>33.259999978542325</v>
      </c>
      <c r="Z179" s="1123">
        <v>58.725315061497362</v>
      </c>
      <c r="AA179" s="1123">
        <f t="shared" si="150"/>
        <v>52.320889502042519</v>
      </c>
      <c r="AB179" s="1123">
        <f t="shared" si="151"/>
        <v>51.710001601302494</v>
      </c>
      <c r="AC179" s="1123">
        <f t="shared" si="152"/>
        <v>54.491755726013935</v>
      </c>
      <c r="AD179" s="1123">
        <f t="shared" si="153"/>
        <v>59.941044795442153</v>
      </c>
      <c r="AE179" s="1123">
        <f t="shared" si="154"/>
        <v>66.637427637554183</v>
      </c>
      <c r="AF179" s="1123">
        <f t="shared" si="155"/>
        <v>72.835388870170249</v>
      </c>
      <c r="AG179" s="1123">
        <f t="shared" si="156"/>
        <v>76.919334384535233</v>
      </c>
      <c r="AH179" s="1123">
        <f t="shared" si="157"/>
        <v>77.824720846824462</v>
      </c>
      <c r="AI179" s="1123">
        <f t="shared" si="158"/>
        <v>75.315545323214536</v>
      </c>
      <c r="AJ179" s="1123">
        <f t="shared" si="159"/>
        <v>70.045863081499661</v>
      </c>
      <c r="AK179" s="1123">
        <f t="shared" si="160"/>
        <v>63.38929800624431</v>
      </c>
      <c r="AL179" s="1123">
        <f t="shared" si="161"/>
        <v>57.080986365086709</v>
      </c>
      <c r="AM179" s="1120">
        <f t="shared" si="162"/>
        <v>1</v>
      </c>
      <c r="AN179" s="1120">
        <f t="shared" si="163"/>
        <v>1</v>
      </c>
      <c r="AO179" s="1120">
        <f t="shared" si="164"/>
        <v>1</v>
      </c>
      <c r="AP179" s="1120">
        <f t="shared" si="165"/>
        <v>1</v>
      </c>
      <c r="AQ179" s="1120">
        <f t="shared" si="166"/>
        <v>0</v>
      </c>
      <c r="AR179" s="1120">
        <f t="shared" si="167"/>
        <v>0</v>
      </c>
      <c r="AS179" s="1120">
        <f t="shared" si="168"/>
        <v>0</v>
      </c>
      <c r="AT179" s="1120">
        <f t="shared" si="169"/>
        <v>0</v>
      </c>
      <c r="AU179" s="1120">
        <f t="shared" si="170"/>
        <v>0</v>
      </c>
      <c r="AV179" s="1120">
        <f t="shared" si="171"/>
        <v>1</v>
      </c>
      <c r="AW179" s="1120">
        <f t="shared" si="172"/>
        <v>1</v>
      </c>
      <c r="AX179" s="1120">
        <f t="shared" si="173"/>
        <v>1</v>
      </c>
      <c r="AY179" s="1120">
        <f t="shared" si="174"/>
        <v>0</v>
      </c>
      <c r="AZ179" s="1120">
        <f t="shared" si="175"/>
        <v>0</v>
      </c>
      <c r="BA179" s="1120">
        <f t="shared" si="176"/>
        <v>0</v>
      </c>
      <c r="BB179" s="1120">
        <f t="shared" si="177"/>
        <v>0</v>
      </c>
      <c r="BC179" s="1120">
        <f t="shared" si="178"/>
        <v>1</v>
      </c>
      <c r="BD179" s="1120">
        <f t="shared" si="179"/>
        <v>1</v>
      </c>
      <c r="BE179" s="1120">
        <f t="shared" si="180"/>
        <v>1</v>
      </c>
      <c r="BF179" s="1120">
        <f t="shared" si="181"/>
        <v>1</v>
      </c>
      <c r="BG179" s="1120">
        <f t="shared" si="182"/>
        <v>1</v>
      </c>
      <c r="BH179" s="1120">
        <f t="shared" si="183"/>
        <v>0</v>
      </c>
      <c r="BI179" s="1120">
        <f t="shared" si="184"/>
        <v>0</v>
      </c>
      <c r="BJ179" s="1120">
        <f t="shared" si="185"/>
        <v>0</v>
      </c>
      <c r="BK179" s="1120">
        <f t="shared" si="186"/>
        <v>1</v>
      </c>
      <c r="BL179" s="1120">
        <f t="shared" si="187"/>
        <v>1</v>
      </c>
      <c r="BM179" s="1120">
        <f t="shared" si="188"/>
        <v>1</v>
      </c>
      <c r="BN179" s="1120">
        <f t="shared" si="189"/>
        <v>1</v>
      </c>
      <c r="BO179" s="1120">
        <f t="shared" si="190"/>
        <v>1</v>
      </c>
      <c r="BP179" s="1120">
        <f t="shared" si="191"/>
        <v>0</v>
      </c>
      <c r="BQ179" s="1120">
        <f t="shared" si="192"/>
        <v>0</v>
      </c>
      <c r="BR179" s="1120">
        <f t="shared" si="193"/>
        <v>0</v>
      </c>
      <c r="BS179" s="1120">
        <f t="shared" si="194"/>
        <v>0</v>
      </c>
      <c r="BT179" s="1120">
        <f t="shared" si="195"/>
        <v>1</v>
      </c>
      <c r="BU179" s="1120">
        <f t="shared" si="196"/>
        <v>1</v>
      </c>
      <c r="BV179" s="1120">
        <f t="shared" si="197"/>
        <v>1</v>
      </c>
      <c r="BW179" s="1120">
        <f t="shared" si="198"/>
        <v>0</v>
      </c>
      <c r="BX179" s="1120">
        <f t="shared" si="199"/>
        <v>0</v>
      </c>
      <c r="BY179" s="1120">
        <f t="shared" si="200"/>
        <v>0</v>
      </c>
      <c r="BZ179" s="1120">
        <f t="shared" si="201"/>
        <v>1</v>
      </c>
      <c r="CA179" s="1120">
        <f t="shared" si="202"/>
        <v>1</v>
      </c>
      <c r="CB179" s="1120">
        <f t="shared" si="203"/>
        <v>1</v>
      </c>
      <c r="CC179" s="1120">
        <f t="shared" si="204"/>
        <v>1</v>
      </c>
      <c r="CD179" s="1120">
        <f t="shared" si="205"/>
        <v>1</v>
      </c>
      <c r="CE179" s="1120">
        <f t="shared" si="206"/>
        <v>1</v>
      </c>
      <c r="CF179" s="1120">
        <f t="shared" si="207"/>
        <v>1</v>
      </c>
      <c r="CG179" s="1120">
        <f t="shared" si="208"/>
        <v>0</v>
      </c>
      <c r="CH179" s="1120">
        <f t="shared" si="209"/>
        <v>0</v>
      </c>
      <c r="CI179" s="1120">
        <f t="shared" si="210"/>
        <v>0.85</v>
      </c>
      <c r="CJ179" s="1120">
        <f t="shared" si="211"/>
        <v>0.85</v>
      </c>
      <c r="CK179" s="1120">
        <f t="shared" si="212"/>
        <v>0.85</v>
      </c>
      <c r="CL179" s="1120">
        <f t="shared" si="213"/>
        <v>0.85</v>
      </c>
      <c r="CM179" s="1120">
        <f t="shared" si="214"/>
        <v>0.85</v>
      </c>
      <c r="CN179" s="1120">
        <f t="shared" si="215"/>
        <v>0.7</v>
      </c>
      <c r="CO179" s="1120">
        <f t="shared" si="216"/>
        <v>0.7</v>
      </c>
      <c r="CP179" s="1120">
        <f t="shared" si="217"/>
        <v>0.7</v>
      </c>
      <c r="CQ179" s="1120">
        <f t="shared" si="218"/>
        <v>0.7</v>
      </c>
      <c r="CR179" s="1120">
        <f t="shared" si="219"/>
        <v>0.85</v>
      </c>
      <c r="CS179" s="1120">
        <f t="shared" si="220"/>
        <v>0.85</v>
      </c>
      <c r="CT179" s="1120">
        <f t="shared" si="221"/>
        <v>0.85</v>
      </c>
      <c r="CU179" s="1120">
        <v>1</v>
      </c>
      <c r="CV179" s="1120"/>
      <c r="CW179" s="1120">
        <f t="shared" si="222"/>
        <v>214</v>
      </c>
      <c r="CX179" s="1120">
        <f t="shared" si="223"/>
        <v>151</v>
      </c>
      <c r="CY179" s="1135" t="s">
        <v>4881</v>
      </c>
      <c r="CZ179" s="1124" t="s">
        <v>4882</v>
      </c>
      <c r="DA179" s="1124"/>
      <c r="DB179" s="1124"/>
      <c r="DC179" s="1120" t="s">
        <v>6047</v>
      </c>
      <c r="DD179" s="1120" t="s">
        <v>61</v>
      </c>
      <c r="DE179" s="1120" t="str">
        <f t="shared" si="224"/>
        <v/>
      </c>
      <c r="DF179" s="1133">
        <v>1</v>
      </c>
      <c r="DG179" s="1125">
        <v>0</v>
      </c>
    </row>
    <row r="180" spans="1:111">
      <c r="A180" s="1120" t="s">
        <v>3178</v>
      </c>
      <c r="B180" s="1120" t="s">
        <v>5870</v>
      </c>
      <c r="C180" s="1120" t="s">
        <v>5871</v>
      </c>
      <c r="D180" s="1120" t="s">
        <v>934</v>
      </c>
      <c r="E180" s="1120">
        <v>1279</v>
      </c>
      <c r="F180" s="1120">
        <v>-92.5</v>
      </c>
      <c r="G180" s="1120">
        <v>46.7</v>
      </c>
      <c r="H180" s="1120">
        <v>-6</v>
      </c>
      <c r="I180" s="1121">
        <v>-11.739998626708985</v>
      </c>
      <c r="J180" s="1121">
        <v>81.5</v>
      </c>
      <c r="K180" s="1122">
        <v>69.260001373291018</v>
      </c>
      <c r="L180" s="1120">
        <v>9079.2000000000007</v>
      </c>
      <c r="M180" s="1120">
        <v>273.60000000000002</v>
      </c>
      <c r="N180" s="1123">
        <v>14.719999313354492</v>
      </c>
      <c r="O180" s="1123">
        <v>17.779999828338624</v>
      </c>
      <c r="P180" s="1123">
        <v>34.700000000000003</v>
      </c>
      <c r="Q180" s="1123">
        <v>41.9</v>
      </c>
      <c r="R180" s="1123">
        <v>45.679999828338623</v>
      </c>
      <c r="S180" s="1123">
        <v>60.619999313354491</v>
      </c>
      <c r="T180" s="1123">
        <v>66.2</v>
      </c>
      <c r="U180" s="1123">
        <v>66.560001373291016</v>
      </c>
      <c r="V180" s="1123">
        <v>55.580000686645505</v>
      </c>
      <c r="W180" s="1123">
        <v>43.159999656677243</v>
      </c>
      <c r="X180" s="1123">
        <v>20.479999828338624</v>
      </c>
      <c r="Y180" s="1123">
        <v>14.180000686645508</v>
      </c>
      <c r="Z180" s="1123">
        <v>40.264219223701794</v>
      </c>
      <c r="AA180" s="1123">
        <f t="shared" si="150"/>
        <v>38.799797138303084</v>
      </c>
      <c r="AB180" s="1123">
        <f t="shared" si="151"/>
        <v>36.873741863552141</v>
      </c>
      <c r="AC180" s="1123">
        <f t="shared" si="152"/>
        <v>37.395459224360714</v>
      </c>
      <c r="AD180" s="1123">
        <f t="shared" si="153"/>
        <v>40.228955550726141</v>
      </c>
      <c r="AE180" s="1123">
        <f t="shared" si="154"/>
        <v>44.635636359681151</v>
      </c>
      <c r="AF180" s="1123">
        <f t="shared" si="155"/>
        <v>49.466832389364761</v>
      </c>
      <c r="AG180" s="1123">
        <f t="shared" si="156"/>
        <v>53.463217943655508</v>
      </c>
      <c r="AH180" s="1123">
        <f t="shared" si="157"/>
        <v>55.583073541661925</v>
      </c>
      <c r="AI180" s="1123">
        <f t="shared" si="158"/>
        <v>55.273826153800016</v>
      </c>
      <c r="AJ180" s="1123">
        <f t="shared" si="159"/>
        <v>52.616085877362494</v>
      </c>
      <c r="AK180" s="1123">
        <f t="shared" si="160"/>
        <v>48.302633672420214</v>
      </c>
      <c r="AL180" s="1123">
        <f t="shared" si="161"/>
        <v>43.457837328501967</v>
      </c>
      <c r="AM180" s="1120">
        <f t="shared" si="162"/>
        <v>1</v>
      </c>
      <c r="AN180" s="1120">
        <f t="shared" si="163"/>
        <v>1</v>
      </c>
      <c r="AO180" s="1120">
        <f t="shared" si="164"/>
        <v>1</v>
      </c>
      <c r="AP180" s="1120">
        <f t="shared" si="165"/>
        <v>1</v>
      </c>
      <c r="AQ180" s="1120">
        <f t="shared" si="166"/>
        <v>1</v>
      </c>
      <c r="AR180" s="1120">
        <f t="shared" si="167"/>
        <v>1</v>
      </c>
      <c r="AS180" s="1120">
        <f t="shared" si="168"/>
        <v>0</v>
      </c>
      <c r="AT180" s="1120">
        <f t="shared" si="169"/>
        <v>0</v>
      </c>
      <c r="AU180" s="1120">
        <f t="shared" si="170"/>
        <v>1</v>
      </c>
      <c r="AV180" s="1120">
        <f t="shared" si="171"/>
        <v>1</v>
      </c>
      <c r="AW180" s="1120">
        <f t="shared" si="172"/>
        <v>1</v>
      </c>
      <c r="AX180" s="1120">
        <f t="shared" si="173"/>
        <v>1</v>
      </c>
      <c r="AY180" s="1120">
        <f t="shared" si="174"/>
        <v>0</v>
      </c>
      <c r="AZ180" s="1120">
        <f t="shared" si="175"/>
        <v>0</v>
      </c>
      <c r="BA180" s="1120">
        <f t="shared" si="176"/>
        <v>0</v>
      </c>
      <c r="BB180" s="1120">
        <f t="shared" si="177"/>
        <v>0</v>
      </c>
      <c r="BC180" s="1120">
        <f t="shared" si="178"/>
        <v>0</v>
      </c>
      <c r="BD180" s="1120">
        <f t="shared" si="179"/>
        <v>0</v>
      </c>
      <c r="BE180" s="1120">
        <f t="shared" si="180"/>
        <v>1</v>
      </c>
      <c r="BF180" s="1120">
        <f t="shared" si="181"/>
        <v>1</v>
      </c>
      <c r="BG180" s="1120">
        <f t="shared" si="182"/>
        <v>0</v>
      </c>
      <c r="BH180" s="1120">
        <f t="shared" si="183"/>
        <v>0</v>
      </c>
      <c r="BI180" s="1120">
        <f t="shared" si="184"/>
        <v>0</v>
      </c>
      <c r="BJ180" s="1120">
        <f t="shared" si="185"/>
        <v>0</v>
      </c>
      <c r="BK180" s="1120">
        <f t="shared" si="186"/>
        <v>1</v>
      </c>
      <c r="BL180" s="1120">
        <f t="shared" si="187"/>
        <v>1</v>
      </c>
      <c r="BM180" s="1120">
        <f t="shared" si="188"/>
        <v>1</v>
      </c>
      <c r="BN180" s="1120">
        <f t="shared" si="189"/>
        <v>1</v>
      </c>
      <c r="BO180" s="1120">
        <f t="shared" si="190"/>
        <v>1</v>
      </c>
      <c r="BP180" s="1120">
        <f t="shared" si="191"/>
        <v>1</v>
      </c>
      <c r="BQ180" s="1120">
        <f t="shared" si="192"/>
        <v>1</v>
      </c>
      <c r="BR180" s="1120">
        <f t="shared" si="193"/>
        <v>0</v>
      </c>
      <c r="BS180" s="1120">
        <f t="shared" si="194"/>
        <v>1</v>
      </c>
      <c r="BT180" s="1120">
        <f t="shared" si="195"/>
        <v>1</v>
      </c>
      <c r="BU180" s="1120">
        <f t="shared" si="196"/>
        <v>1</v>
      </c>
      <c r="BV180" s="1120">
        <f t="shared" si="197"/>
        <v>1</v>
      </c>
      <c r="BW180" s="1120">
        <f t="shared" si="198"/>
        <v>0</v>
      </c>
      <c r="BX180" s="1120">
        <f t="shared" si="199"/>
        <v>0</v>
      </c>
      <c r="BY180" s="1120">
        <f t="shared" si="200"/>
        <v>0</v>
      </c>
      <c r="BZ180" s="1120">
        <f t="shared" si="201"/>
        <v>0</v>
      </c>
      <c r="CA180" s="1120">
        <f t="shared" si="202"/>
        <v>0</v>
      </c>
      <c r="CB180" s="1120">
        <f t="shared" si="203"/>
        <v>1</v>
      </c>
      <c r="CC180" s="1120">
        <f t="shared" si="204"/>
        <v>1</v>
      </c>
      <c r="CD180" s="1120">
        <f t="shared" si="205"/>
        <v>1</v>
      </c>
      <c r="CE180" s="1120">
        <f t="shared" si="206"/>
        <v>1</v>
      </c>
      <c r="CF180" s="1120">
        <f t="shared" si="207"/>
        <v>0</v>
      </c>
      <c r="CG180" s="1120">
        <f t="shared" si="208"/>
        <v>0</v>
      </c>
      <c r="CH180" s="1120">
        <f t="shared" si="209"/>
        <v>0</v>
      </c>
      <c r="CI180" s="1120">
        <f t="shared" si="210"/>
        <v>0.85</v>
      </c>
      <c r="CJ180" s="1120">
        <f t="shared" si="211"/>
        <v>0.85</v>
      </c>
      <c r="CK180" s="1120">
        <f t="shared" si="212"/>
        <v>0.85</v>
      </c>
      <c r="CL180" s="1120">
        <f t="shared" si="213"/>
        <v>0.85</v>
      </c>
      <c r="CM180" s="1120">
        <f t="shared" si="214"/>
        <v>0.85</v>
      </c>
      <c r="CN180" s="1120">
        <f t="shared" si="215"/>
        <v>0.85</v>
      </c>
      <c r="CO180" s="1120">
        <f t="shared" si="216"/>
        <v>0.85</v>
      </c>
      <c r="CP180" s="1120">
        <f t="shared" si="217"/>
        <v>0.7</v>
      </c>
      <c r="CQ180" s="1120">
        <f t="shared" si="218"/>
        <v>0.85</v>
      </c>
      <c r="CR180" s="1120">
        <f t="shared" si="219"/>
        <v>0.85</v>
      </c>
      <c r="CS180" s="1120">
        <f t="shared" si="220"/>
        <v>0.85</v>
      </c>
      <c r="CT180" s="1120">
        <f t="shared" si="221"/>
        <v>0.85</v>
      </c>
      <c r="CU180" s="1120">
        <v>1</v>
      </c>
      <c r="CV180" s="1120"/>
      <c r="CW180" s="1120">
        <f t="shared" si="222"/>
        <v>122</v>
      </c>
      <c r="CX180" s="1120">
        <f t="shared" si="223"/>
        <v>243</v>
      </c>
      <c r="CY180" s="1135" t="s">
        <v>4879</v>
      </c>
      <c r="CZ180" s="1124">
        <v>7</v>
      </c>
      <c r="DA180" s="1124"/>
      <c r="DB180" s="1124"/>
      <c r="DC180" s="1120" t="s">
        <v>5746</v>
      </c>
      <c r="DD180" s="1120" t="s">
        <v>934</v>
      </c>
      <c r="DE180" s="1120" t="str">
        <f t="shared" si="224"/>
        <v/>
      </c>
      <c r="DF180" s="1133">
        <v>1</v>
      </c>
      <c r="DG180" s="1120">
        <v>0</v>
      </c>
    </row>
    <row r="181" spans="1:111">
      <c r="A181" s="1125" t="s">
        <v>3180</v>
      </c>
      <c r="B181" s="1125" t="s">
        <v>4074</v>
      </c>
      <c r="C181" s="1125" t="s">
        <v>4075</v>
      </c>
      <c r="D181" s="1125" t="s">
        <v>538</v>
      </c>
      <c r="E181" s="1125">
        <v>4294</v>
      </c>
      <c r="F181" s="1125">
        <v>-103.32</v>
      </c>
      <c r="G181" s="1125">
        <v>34.380000000000003</v>
      </c>
      <c r="H181" s="1125">
        <v>-7</v>
      </c>
      <c r="I181" s="1126">
        <v>17.419999313354491</v>
      </c>
      <c r="J181" s="1126">
        <v>94.820002746582034</v>
      </c>
      <c r="K181" s="1127">
        <v>63.86000137329102</v>
      </c>
      <c r="L181" s="1125">
        <v>4501.8</v>
      </c>
      <c r="M181" s="1125">
        <v>1620</v>
      </c>
      <c r="N181" s="1128">
        <v>33.980000042915343</v>
      </c>
      <c r="O181" s="1128">
        <v>37.939999914169313</v>
      </c>
      <c r="P181" s="1128">
        <v>45.5</v>
      </c>
      <c r="Q181" s="1128">
        <v>50.180000686645506</v>
      </c>
      <c r="R181" s="1128">
        <v>67.280000686645508</v>
      </c>
      <c r="S181" s="1128">
        <v>79.519999313354489</v>
      </c>
      <c r="T181" s="1128">
        <v>79.33999862670899</v>
      </c>
      <c r="U181" s="1128">
        <v>71.419999313354495</v>
      </c>
      <c r="V181" s="1128">
        <v>73.400000000000006</v>
      </c>
      <c r="W181" s="1128">
        <v>57.740000343322755</v>
      </c>
      <c r="X181" s="1128">
        <v>41.9</v>
      </c>
      <c r="Y181" s="1128">
        <v>38.660000085830688</v>
      </c>
      <c r="Z181" s="1128">
        <v>56.503671149750282</v>
      </c>
      <c r="AA181" s="1128">
        <f t="shared" si="150"/>
        <v>51.433341563350588</v>
      </c>
      <c r="AB181" s="1128">
        <f t="shared" si="151"/>
        <v>50.648120299015829</v>
      </c>
      <c r="AC181" s="1128">
        <f t="shared" si="152"/>
        <v>52.953231063493888</v>
      </c>
      <c r="AD181" s="1128">
        <f t="shared" si="153"/>
        <v>57.747811213191405</v>
      </c>
      <c r="AE181" s="1128">
        <f t="shared" si="154"/>
        <v>63.782079545373087</v>
      </c>
      <c r="AF181" s="1128">
        <f t="shared" si="155"/>
        <v>69.483111028365968</v>
      </c>
      <c r="AG181" s="1128">
        <f t="shared" si="156"/>
        <v>73.36484395057343</v>
      </c>
      <c r="AH181" s="1128">
        <f t="shared" si="157"/>
        <v>74.415444806507068</v>
      </c>
      <c r="AI181" s="1128">
        <f t="shared" si="158"/>
        <v>72.361058292818498</v>
      </c>
      <c r="AJ181" s="1128">
        <f t="shared" si="159"/>
        <v>67.737191913355133</v>
      </c>
      <c r="AK181" s="1128">
        <f t="shared" si="160"/>
        <v>61.749127695861922</v>
      </c>
      <c r="AL181" s="1128">
        <f t="shared" si="161"/>
        <v>55.957746857491301</v>
      </c>
      <c r="AM181" s="1125">
        <f t="shared" si="162"/>
        <v>1</v>
      </c>
      <c r="AN181" s="1125">
        <f t="shared" si="163"/>
        <v>1</v>
      </c>
      <c r="AO181" s="1125">
        <f t="shared" si="164"/>
        <v>1</v>
      </c>
      <c r="AP181" s="1125">
        <f t="shared" si="165"/>
        <v>1</v>
      </c>
      <c r="AQ181" s="1125">
        <f t="shared" si="166"/>
        <v>0</v>
      </c>
      <c r="AR181" s="1125">
        <f t="shared" si="167"/>
        <v>0</v>
      </c>
      <c r="AS181" s="1125">
        <f t="shared" si="168"/>
        <v>0</v>
      </c>
      <c r="AT181" s="1125">
        <f t="shared" si="169"/>
        <v>0</v>
      </c>
      <c r="AU181" s="1125">
        <f t="shared" si="170"/>
        <v>0</v>
      </c>
      <c r="AV181" s="1125">
        <f t="shared" si="171"/>
        <v>1</v>
      </c>
      <c r="AW181" s="1125">
        <f t="shared" si="172"/>
        <v>1</v>
      </c>
      <c r="AX181" s="1125">
        <f t="shared" si="173"/>
        <v>1</v>
      </c>
      <c r="AY181" s="1125">
        <f t="shared" si="174"/>
        <v>0</v>
      </c>
      <c r="AZ181" s="1125">
        <f t="shared" si="175"/>
        <v>0</v>
      </c>
      <c r="BA181" s="1125">
        <f t="shared" si="176"/>
        <v>0</v>
      </c>
      <c r="BB181" s="1125">
        <f t="shared" si="177"/>
        <v>0</v>
      </c>
      <c r="BC181" s="1125">
        <f t="shared" si="178"/>
        <v>1</v>
      </c>
      <c r="BD181" s="1125">
        <f t="shared" si="179"/>
        <v>1</v>
      </c>
      <c r="BE181" s="1125">
        <f t="shared" si="180"/>
        <v>1</v>
      </c>
      <c r="BF181" s="1125">
        <f t="shared" si="181"/>
        <v>1</v>
      </c>
      <c r="BG181" s="1125">
        <f t="shared" si="182"/>
        <v>1</v>
      </c>
      <c r="BH181" s="1125">
        <f t="shared" si="183"/>
        <v>0</v>
      </c>
      <c r="BI181" s="1125">
        <f t="shared" si="184"/>
        <v>0</v>
      </c>
      <c r="BJ181" s="1125">
        <f t="shared" si="185"/>
        <v>0</v>
      </c>
      <c r="BK181" s="1125">
        <f t="shared" si="186"/>
        <v>1</v>
      </c>
      <c r="BL181" s="1125">
        <f t="shared" si="187"/>
        <v>1</v>
      </c>
      <c r="BM181" s="1125">
        <f t="shared" si="188"/>
        <v>1</v>
      </c>
      <c r="BN181" s="1125">
        <f t="shared" si="189"/>
        <v>1</v>
      </c>
      <c r="BO181" s="1125">
        <f t="shared" si="190"/>
        <v>1</v>
      </c>
      <c r="BP181" s="1125">
        <f t="shared" si="191"/>
        <v>0</v>
      </c>
      <c r="BQ181" s="1125">
        <f t="shared" si="192"/>
        <v>0</v>
      </c>
      <c r="BR181" s="1125">
        <f t="shared" si="193"/>
        <v>0</v>
      </c>
      <c r="BS181" s="1125">
        <f t="shared" si="194"/>
        <v>0</v>
      </c>
      <c r="BT181" s="1125">
        <f t="shared" si="195"/>
        <v>1</v>
      </c>
      <c r="BU181" s="1125">
        <f t="shared" si="196"/>
        <v>1</v>
      </c>
      <c r="BV181" s="1125">
        <f t="shared" si="197"/>
        <v>1</v>
      </c>
      <c r="BW181" s="1125">
        <f t="shared" si="198"/>
        <v>0</v>
      </c>
      <c r="BX181" s="1125">
        <f t="shared" si="199"/>
        <v>0</v>
      </c>
      <c r="BY181" s="1125">
        <f t="shared" si="200"/>
        <v>0</v>
      </c>
      <c r="BZ181" s="1125">
        <f t="shared" si="201"/>
        <v>1</v>
      </c>
      <c r="CA181" s="1125">
        <f t="shared" si="202"/>
        <v>1</v>
      </c>
      <c r="CB181" s="1125">
        <f t="shared" si="203"/>
        <v>1</v>
      </c>
      <c r="CC181" s="1125">
        <f t="shared" si="204"/>
        <v>1</v>
      </c>
      <c r="CD181" s="1125">
        <f t="shared" si="205"/>
        <v>1</v>
      </c>
      <c r="CE181" s="1125">
        <f t="shared" si="206"/>
        <v>1</v>
      </c>
      <c r="CF181" s="1125">
        <f t="shared" si="207"/>
        <v>1</v>
      </c>
      <c r="CG181" s="1125">
        <f t="shared" si="208"/>
        <v>0</v>
      </c>
      <c r="CH181" s="1125">
        <f t="shared" si="209"/>
        <v>0</v>
      </c>
      <c r="CI181" s="1125">
        <f t="shared" si="210"/>
        <v>0.85</v>
      </c>
      <c r="CJ181" s="1125">
        <f t="shared" si="211"/>
        <v>0.85</v>
      </c>
      <c r="CK181" s="1125">
        <f t="shared" si="212"/>
        <v>0.85</v>
      </c>
      <c r="CL181" s="1125">
        <f t="shared" si="213"/>
        <v>0.85</v>
      </c>
      <c r="CM181" s="1125">
        <f t="shared" si="214"/>
        <v>0.85</v>
      </c>
      <c r="CN181" s="1125">
        <f t="shared" si="215"/>
        <v>0.7</v>
      </c>
      <c r="CO181" s="1125">
        <f t="shared" si="216"/>
        <v>0.7</v>
      </c>
      <c r="CP181" s="1125">
        <f t="shared" si="217"/>
        <v>0.7</v>
      </c>
      <c r="CQ181" s="1125">
        <f t="shared" si="218"/>
        <v>0.7</v>
      </c>
      <c r="CR181" s="1125">
        <f t="shared" si="219"/>
        <v>0.85</v>
      </c>
      <c r="CS181" s="1125">
        <f t="shared" si="220"/>
        <v>0.85</v>
      </c>
      <c r="CT181" s="1125">
        <f t="shared" si="221"/>
        <v>0.85</v>
      </c>
      <c r="CU181" s="1125">
        <v>1</v>
      </c>
      <c r="CV181" s="1125"/>
      <c r="CW181" s="1125">
        <f t="shared" si="222"/>
        <v>214</v>
      </c>
      <c r="CX181" s="1125">
        <f t="shared" si="223"/>
        <v>151</v>
      </c>
      <c r="CY181" s="1136" t="s">
        <v>4891</v>
      </c>
      <c r="CZ181" s="1129" t="s">
        <v>4892</v>
      </c>
      <c r="DA181" s="1129"/>
      <c r="DB181" s="1129"/>
      <c r="DC181" s="1125" t="s">
        <v>5987</v>
      </c>
      <c r="DD181" s="1125" t="s">
        <v>538</v>
      </c>
      <c r="DE181" s="1120" t="b">
        <f t="shared" si="224"/>
        <v>0</v>
      </c>
      <c r="DF181" s="1133">
        <v>1</v>
      </c>
      <c r="DG181" s="1125">
        <v>0</v>
      </c>
    </row>
    <row r="182" spans="1:111">
      <c r="A182" s="1120" t="s">
        <v>3182</v>
      </c>
      <c r="B182" s="1120" t="s">
        <v>5906</v>
      </c>
      <c r="C182" s="1120" t="s">
        <v>5907</v>
      </c>
      <c r="D182" s="1120" t="s">
        <v>538</v>
      </c>
      <c r="E182" s="1120">
        <v>4212</v>
      </c>
      <c r="F182" s="1120">
        <v>-103.08</v>
      </c>
      <c r="G182" s="1120">
        <v>34.43</v>
      </c>
      <c r="H182" s="1120">
        <v>-7</v>
      </c>
      <c r="I182" s="1121">
        <v>17.959999656677248</v>
      </c>
      <c r="J182" s="1121">
        <v>93.379997253417969</v>
      </c>
      <c r="K182" s="1122">
        <v>63.5</v>
      </c>
      <c r="L182" s="1120">
        <v>4487.4000000000005</v>
      </c>
      <c r="M182" s="1120">
        <v>1481.4</v>
      </c>
      <c r="N182" s="1123">
        <v>38.299999999999997</v>
      </c>
      <c r="O182" s="1123">
        <v>39.02000017166138</v>
      </c>
      <c r="P182" s="1123">
        <v>44.420000171661378</v>
      </c>
      <c r="Q182" s="1123">
        <v>55.940000343322751</v>
      </c>
      <c r="R182" s="1123">
        <v>70.16000137329101</v>
      </c>
      <c r="S182" s="1123">
        <v>69.080000686645505</v>
      </c>
      <c r="T182" s="1123">
        <v>78.260001373291018</v>
      </c>
      <c r="U182" s="1123">
        <v>77.360001373291013</v>
      </c>
      <c r="V182" s="1123">
        <v>71.960001373291021</v>
      </c>
      <c r="W182" s="1123">
        <v>52.7</v>
      </c>
      <c r="X182" s="1123">
        <v>42.620000171661374</v>
      </c>
      <c r="Y182" s="1123">
        <v>32.720000010728839</v>
      </c>
      <c r="Z182" s="1123">
        <v>56.142685521710412</v>
      </c>
      <c r="AA182" s="1123">
        <f t="shared" si="150"/>
        <v>51.176526774103444</v>
      </c>
      <c r="AB182" s="1123">
        <f t="shared" si="151"/>
        <v>50.359375700428558</v>
      </c>
      <c r="AC182" s="1123">
        <f t="shared" si="152"/>
        <v>52.613725917971706</v>
      </c>
      <c r="AD182" s="1123">
        <f t="shared" si="153"/>
        <v>57.351946301941823</v>
      </c>
      <c r="AE182" s="1123">
        <f t="shared" si="154"/>
        <v>63.338946691070738</v>
      </c>
      <c r="AF182" s="1123">
        <f t="shared" si="155"/>
        <v>69.01412317146324</v>
      </c>
      <c r="AG182" s="1123">
        <f t="shared" si="156"/>
        <v>72.898153536388165</v>
      </c>
      <c r="AH182" s="1123">
        <f t="shared" si="157"/>
        <v>73.978605416508117</v>
      </c>
      <c r="AI182" s="1123">
        <f t="shared" si="158"/>
        <v>71.973842379002349</v>
      </c>
      <c r="AJ182" s="1123">
        <f t="shared" si="159"/>
        <v>67.406436803930319</v>
      </c>
      <c r="AK182" s="1123">
        <f t="shared" si="160"/>
        <v>61.466953340285031</v>
      </c>
      <c r="AL182" s="1123">
        <f t="shared" si="161"/>
        <v>55.703609883076389</v>
      </c>
      <c r="AM182" s="1120">
        <f t="shared" si="162"/>
        <v>1</v>
      </c>
      <c r="AN182" s="1120">
        <f t="shared" si="163"/>
        <v>1</v>
      </c>
      <c r="AO182" s="1120">
        <f t="shared" si="164"/>
        <v>1</v>
      </c>
      <c r="AP182" s="1120">
        <f t="shared" si="165"/>
        <v>1</v>
      </c>
      <c r="AQ182" s="1120">
        <f t="shared" si="166"/>
        <v>0</v>
      </c>
      <c r="AR182" s="1120">
        <f t="shared" si="167"/>
        <v>0</v>
      </c>
      <c r="AS182" s="1120">
        <f t="shared" si="168"/>
        <v>0</v>
      </c>
      <c r="AT182" s="1120">
        <f t="shared" si="169"/>
        <v>0</v>
      </c>
      <c r="AU182" s="1120">
        <f t="shared" si="170"/>
        <v>0</v>
      </c>
      <c r="AV182" s="1120">
        <f t="shared" si="171"/>
        <v>1</v>
      </c>
      <c r="AW182" s="1120">
        <f t="shared" si="172"/>
        <v>1</v>
      </c>
      <c r="AX182" s="1120">
        <f t="shared" si="173"/>
        <v>1</v>
      </c>
      <c r="AY182" s="1120">
        <f t="shared" si="174"/>
        <v>0</v>
      </c>
      <c r="AZ182" s="1120">
        <f t="shared" si="175"/>
        <v>0</v>
      </c>
      <c r="BA182" s="1120">
        <f t="shared" si="176"/>
        <v>0</v>
      </c>
      <c r="BB182" s="1120">
        <f t="shared" si="177"/>
        <v>0</v>
      </c>
      <c r="BC182" s="1120">
        <f t="shared" si="178"/>
        <v>1</v>
      </c>
      <c r="BD182" s="1120">
        <f t="shared" si="179"/>
        <v>1</v>
      </c>
      <c r="BE182" s="1120">
        <f t="shared" si="180"/>
        <v>1</v>
      </c>
      <c r="BF182" s="1120">
        <f t="shared" si="181"/>
        <v>1</v>
      </c>
      <c r="BG182" s="1120">
        <f t="shared" si="182"/>
        <v>1</v>
      </c>
      <c r="BH182" s="1120">
        <f t="shared" si="183"/>
        <v>0</v>
      </c>
      <c r="BI182" s="1120">
        <f t="shared" si="184"/>
        <v>0</v>
      </c>
      <c r="BJ182" s="1120">
        <f t="shared" si="185"/>
        <v>0</v>
      </c>
      <c r="BK182" s="1120">
        <f t="shared" si="186"/>
        <v>1</v>
      </c>
      <c r="BL182" s="1120">
        <f t="shared" si="187"/>
        <v>1</v>
      </c>
      <c r="BM182" s="1120">
        <f t="shared" si="188"/>
        <v>1</v>
      </c>
      <c r="BN182" s="1120">
        <f t="shared" si="189"/>
        <v>1</v>
      </c>
      <c r="BO182" s="1120">
        <f t="shared" si="190"/>
        <v>1</v>
      </c>
      <c r="BP182" s="1120">
        <f t="shared" si="191"/>
        <v>0</v>
      </c>
      <c r="BQ182" s="1120">
        <f t="shared" si="192"/>
        <v>0</v>
      </c>
      <c r="BR182" s="1120">
        <f t="shared" si="193"/>
        <v>0</v>
      </c>
      <c r="BS182" s="1120">
        <f t="shared" si="194"/>
        <v>0</v>
      </c>
      <c r="BT182" s="1120">
        <f t="shared" si="195"/>
        <v>1</v>
      </c>
      <c r="BU182" s="1120">
        <f t="shared" si="196"/>
        <v>1</v>
      </c>
      <c r="BV182" s="1120">
        <f t="shared" si="197"/>
        <v>1</v>
      </c>
      <c r="BW182" s="1120">
        <f t="shared" si="198"/>
        <v>0</v>
      </c>
      <c r="BX182" s="1120">
        <f t="shared" si="199"/>
        <v>0</v>
      </c>
      <c r="BY182" s="1120">
        <f t="shared" si="200"/>
        <v>0</v>
      </c>
      <c r="BZ182" s="1120">
        <f t="shared" si="201"/>
        <v>1</v>
      </c>
      <c r="CA182" s="1120">
        <f t="shared" si="202"/>
        <v>1</v>
      </c>
      <c r="CB182" s="1120">
        <f t="shared" si="203"/>
        <v>1</v>
      </c>
      <c r="CC182" s="1120">
        <f t="shared" si="204"/>
        <v>1</v>
      </c>
      <c r="CD182" s="1120">
        <f t="shared" si="205"/>
        <v>1</v>
      </c>
      <c r="CE182" s="1120">
        <f t="shared" si="206"/>
        <v>1</v>
      </c>
      <c r="CF182" s="1120">
        <f t="shared" si="207"/>
        <v>1</v>
      </c>
      <c r="CG182" s="1120">
        <f t="shared" si="208"/>
        <v>0</v>
      </c>
      <c r="CH182" s="1120">
        <f t="shared" si="209"/>
        <v>0</v>
      </c>
      <c r="CI182" s="1120">
        <f t="shared" si="210"/>
        <v>0.85</v>
      </c>
      <c r="CJ182" s="1120">
        <f t="shared" si="211"/>
        <v>0.85</v>
      </c>
      <c r="CK182" s="1120">
        <f t="shared" si="212"/>
        <v>0.85</v>
      </c>
      <c r="CL182" s="1120">
        <f t="shared" si="213"/>
        <v>0.85</v>
      </c>
      <c r="CM182" s="1120">
        <f t="shared" si="214"/>
        <v>0.85</v>
      </c>
      <c r="CN182" s="1120">
        <f t="shared" si="215"/>
        <v>0.7</v>
      </c>
      <c r="CO182" s="1120">
        <f t="shared" si="216"/>
        <v>0.7</v>
      </c>
      <c r="CP182" s="1120">
        <f t="shared" si="217"/>
        <v>0.7</v>
      </c>
      <c r="CQ182" s="1120">
        <f t="shared" si="218"/>
        <v>0.7</v>
      </c>
      <c r="CR182" s="1120">
        <f t="shared" si="219"/>
        <v>0.85</v>
      </c>
      <c r="CS182" s="1120">
        <f t="shared" si="220"/>
        <v>0.85</v>
      </c>
      <c r="CT182" s="1120">
        <f t="shared" si="221"/>
        <v>0.85</v>
      </c>
      <c r="CU182" s="1120">
        <v>1</v>
      </c>
      <c r="CV182" s="1120"/>
      <c r="CW182" s="1120">
        <f t="shared" si="222"/>
        <v>214</v>
      </c>
      <c r="CX182" s="1120">
        <f t="shared" si="223"/>
        <v>151</v>
      </c>
      <c r="CY182" s="1135" t="s">
        <v>4891</v>
      </c>
      <c r="CZ182" s="1124" t="s">
        <v>4892</v>
      </c>
      <c r="DA182" s="1124"/>
      <c r="DB182" s="1124"/>
      <c r="DC182" s="1120" t="s">
        <v>5908</v>
      </c>
      <c r="DD182" s="1120" t="s">
        <v>538</v>
      </c>
      <c r="DE182" s="1120" t="b">
        <f t="shared" si="224"/>
        <v>0</v>
      </c>
      <c r="DF182" s="1133">
        <v>1</v>
      </c>
      <c r="DG182" s="1120">
        <v>0</v>
      </c>
    </row>
    <row r="183" spans="1:111">
      <c r="A183" s="1125" t="s">
        <v>3184</v>
      </c>
      <c r="B183" s="1120" t="s">
        <v>5935</v>
      </c>
      <c r="C183" s="1120" t="s">
        <v>5936</v>
      </c>
      <c r="D183" s="1120" t="s">
        <v>904</v>
      </c>
      <c r="E183" s="1120">
        <v>5094</v>
      </c>
      <c r="F183" s="1120">
        <v>-109.02</v>
      </c>
      <c r="G183" s="1120">
        <v>44.52</v>
      </c>
      <c r="H183" s="1120">
        <v>-7</v>
      </c>
      <c r="I183" s="1121">
        <v>-5.4399986267089853</v>
      </c>
      <c r="J183" s="1121">
        <v>87.8</v>
      </c>
      <c r="K183" s="1122">
        <v>58.280000686645508</v>
      </c>
      <c r="L183" s="1120">
        <v>6888.6</v>
      </c>
      <c r="M183" s="1120">
        <v>516.6</v>
      </c>
      <c r="N183" s="1123">
        <v>26.779999828338624</v>
      </c>
      <c r="O183" s="1123">
        <v>28.220000171661376</v>
      </c>
      <c r="P183" s="1123">
        <v>39.02000017166138</v>
      </c>
      <c r="Q183" s="1123">
        <v>46.220000171661376</v>
      </c>
      <c r="R183" s="1123">
        <v>51.8</v>
      </c>
      <c r="S183" s="1123">
        <v>60.440000343322751</v>
      </c>
      <c r="T183" s="1123">
        <v>71.960001373291021</v>
      </c>
      <c r="U183" s="1123">
        <v>70.519999313354489</v>
      </c>
      <c r="V183" s="1123">
        <v>57.019999313354489</v>
      </c>
      <c r="W183" s="1123">
        <v>44.420000171661378</v>
      </c>
      <c r="X183" s="1123">
        <v>35.960000085830686</v>
      </c>
      <c r="Y183" s="1123">
        <v>29.660000085830688</v>
      </c>
      <c r="Z183" s="1123">
        <v>46.954301456164011</v>
      </c>
      <c r="AA183" s="1123">
        <f t="shared" si="150"/>
        <v>44.689412892274461</v>
      </c>
      <c r="AB183" s="1123">
        <f t="shared" si="151"/>
        <v>43.256936715040943</v>
      </c>
      <c r="AC183" s="1123">
        <f t="shared" si="152"/>
        <v>44.352228098495353</v>
      </c>
      <c r="AD183" s="1123">
        <f t="shared" si="153"/>
        <v>47.68978246458915</v>
      </c>
      <c r="AE183" s="1123">
        <f t="shared" si="154"/>
        <v>52.399614834530347</v>
      </c>
      <c r="AF183" s="1123">
        <f t="shared" si="155"/>
        <v>57.254034820379943</v>
      </c>
      <c r="AG183" s="1123">
        <f t="shared" si="156"/>
        <v>60.987663043949809</v>
      </c>
      <c r="AH183" s="1123">
        <f t="shared" si="157"/>
        <v>62.627271771813909</v>
      </c>
      <c r="AI183" s="1123">
        <f t="shared" si="158"/>
        <v>61.745471721919145</v>
      </c>
      <c r="AJ183" s="1123">
        <f t="shared" si="159"/>
        <v>58.572117666220684</v>
      </c>
      <c r="AK183" s="1123">
        <f t="shared" si="160"/>
        <v>53.934393242202603</v>
      </c>
      <c r="AL183" s="1123">
        <f t="shared" si="161"/>
        <v>49.041192790481965</v>
      </c>
      <c r="AM183" s="1120">
        <f t="shared" si="162"/>
        <v>1</v>
      </c>
      <c r="AN183" s="1120">
        <f t="shared" si="163"/>
        <v>1</v>
      </c>
      <c r="AO183" s="1120">
        <f t="shared" si="164"/>
        <v>1</v>
      </c>
      <c r="AP183" s="1120">
        <f t="shared" si="165"/>
        <v>1</v>
      </c>
      <c r="AQ183" s="1120">
        <f t="shared" si="166"/>
        <v>1</v>
      </c>
      <c r="AR183" s="1120">
        <f t="shared" si="167"/>
        <v>1</v>
      </c>
      <c r="AS183" s="1120">
        <f t="shared" si="168"/>
        <v>0</v>
      </c>
      <c r="AT183" s="1120">
        <f t="shared" si="169"/>
        <v>0</v>
      </c>
      <c r="AU183" s="1120">
        <f t="shared" si="170"/>
        <v>1</v>
      </c>
      <c r="AV183" s="1120">
        <f t="shared" si="171"/>
        <v>1</v>
      </c>
      <c r="AW183" s="1120">
        <f t="shared" si="172"/>
        <v>1</v>
      </c>
      <c r="AX183" s="1120">
        <f t="shared" si="173"/>
        <v>1</v>
      </c>
      <c r="AY183" s="1120">
        <f t="shared" si="174"/>
        <v>0</v>
      </c>
      <c r="AZ183" s="1120">
        <f t="shared" si="175"/>
        <v>0</v>
      </c>
      <c r="BA183" s="1120">
        <f t="shared" si="176"/>
        <v>0</v>
      </c>
      <c r="BB183" s="1120">
        <f t="shared" si="177"/>
        <v>0</v>
      </c>
      <c r="BC183" s="1120">
        <f t="shared" si="178"/>
        <v>0</v>
      </c>
      <c r="BD183" s="1120">
        <f t="shared" si="179"/>
        <v>0</v>
      </c>
      <c r="BE183" s="1120">
        <f t="shared" si="180"/>
        <v>1</v>
      </c>
      <c r="BF183" s="1120">
        <f t="shared" si="181"/>
        <v>1</v>
      </c>
      <c r="BG183" s="1120">
        <f t="shared" si="182"/>
        <v>0</v>
      </c>
      <c r="BH183" s="1120">
        <f t="shared" si="183"/>
        <v>0</v>
      </c>
      <c r="BI183" s="1120">
        <f t="shared" si="184"/>
        <v>0</v>
      </c>
      <c r="BJ183" s="1120">
        <f t="shared" si="185"/>
        <v>0</v>
      </c>
      <c r="BK183" s="1120">
        <f t="shared" si="186"/>
        <v>1</v>
      </c>
      <c r="BL183" s="1120">
        <f t="shared" si="187"/>
        <v>1</v>
      </c>
      <c r="BM183" s="1120">
        <f t="shared" si="188"/>
        <v>1</v>
      </c>
      <c r="BN183" s="1120">
        <f t="shared" si="189"/>
        <v>1</v>
      </c>
      <c r="BO183" s="1120">
        <f t="shared" si="190"/>
        <v>1</v>
      </c>
      <c r="BP183" s="1120">
        <f t="shared" si="191"/>
        <v>1</v>
      </c>
      <c r="BQ183" s="1120">
        <f t="shared" si="192"/>
        <v>1</v>
      </c>
      <c r="BR183" s="1120">
        <f t="shared" si="193"/>
        <v>0</v>
      </c>
      <c r="BS183" s="1120">
        <f t="shared" si="194"/>
        <v>1</v>
      </c>
      <c r="BT183" s="1120">
        <f t="shared" si="195"/>
        <v>1</v>
      </c>
      <c r="BU183" s="1120">
        <f t="shared" si="196"/>
        <v>1</v>
      </c>
      <c r="BV183" s="1120">
        <f t="shared" si="197"/>
        <v>1</v>
      </c>
      <c r="BW183" s="1120">
        <f t="shared" si="198"/>
        <v>0</v>
      </c>
      <c r="BX183" s="1120">
        <f t="shared" si="199"/>
        <v>0</v>
      </c>
      <c r="BY183" s="1120">
        <f t="shared" si="200"/>
        <v>0</v>
      </c>
      <c r="BZ183" s="1120">
        <f t="shared" si="201"/>
        <v>0</v>
      </c>
      <c r="CA183" s="1120">
        <f t="shared" si="202"/>
        <v>0</v>
      </c>
      <c r="CB183" s="1120">
        <f t="shared" si="203"/>
        <v>1</v>
      </c>
      <c r="CC183" s="1120">
        <f t="shared" si="204"/>
        <v>1</v>
      </c>
      <c r="CD183" s="1120">
        <f t="shared" si="205"/>
        <v>1</v>
      </c>
      <c r="CE183" s="1120">
        <f t="shared" si="206"/>
        <v>1</v>
      </c>
      <c r="CF183" s="1120">
        <f t="shared" si="207"/>
        <v>0</v>
      </c>
      <c r="CG183" s="1120">
        <f t="shared" si="208"/>
        <v>0</v>
      </c>
      <c r="CH183" s="1120">
        <f t="shared" si="209"/>
        <v>0</v>
      </c>
      <c r="CI183" s="1120">
        <f t="shared" si="210"/>
        <v>0.85</v>
      </c>
      <c r="CJ183" s="1120">
        <f t="shared" si="211"/>
        <v>0.85</v>
      </c>
      <c r="CK183" s="1120">
        <f t="shared" si="212"/>
        <v>0.85</v>
      </c>
      <c r="CL183" s="1120">
        <f t="shared" si="213"/>
        <v>0.85</v>
      </c>
      <c r="CM183" s="1120">
        <f t="shared" si="214"/>
        <v>0.85</v>
      </c>
      <c r="CN183" s="1120">
        <f t="shared" si="215"/>
        <v>0.85</v>
      </c>
      <c r="CO183" s="1120">
        <f t="shared" si="216"/>
        <v>0.85</v>
      </c>
      <c r="CP183" s="1120">
        <f t="shared" si="217"/>
        <v>0.7</v>
      </c>
      <c r="CQ183" s="1120">
        <f t="shared" si="218"/>
        <v>0.85</v>
      </c>
      <c r="CR183" s="1120">
        <f t="shared" si="219"/>
        <v>0.85</v>
      </c>
      <c r="CS183" s="1120">
        <f t="shared" si="220"/>
        <v>0.85</v>
      </c>
      <c r="CT183" s="1120">
        <f t="shared" si="221"/>
        <v>0.85</v>
      </c>
      <c r="CU183" s="1120">
        <v>1</v>
      </c>
      <c r="CV183" s="1120"/>
      <c r="CW183" s="1120">
        <f t="shared" si="222"/>
        <v>122</v>
      </c>
      <c r="CX183" s="1120">
        <f t="shared" si="223"/>
        <v>243</v>
      </c>
      <c r="CY183" s="1136" t="s">
        <v>4889</v>
      </c>
      <c r="CZ183" s="1129" t="s">
        <v>4896</v>
      </c>
      <c r="DA183" s="1129"/>
      <c r="DB183" s="1129"/>
      <c r="DC183" s="1125" t="s">
        <v>5791</v>
      </c>
      <c r="DD183" s="1125" t="s">
        <v>904</v>
      </c>
      <c r="DE183" s="1120" t="str">
        <f t="shared" si="224"/>
        <v/>
      </c>
      <c r="DF183" s="1133">
        <v>0</v>
      </c>
      <c r="DG183" s="1125">
        <v>0</v>
      </c>
    </row>
    <row r="184" spans="1:111">
      <c r="A184" s="1120" t="s">
        <v>3186</v>
      </c>
      <c r="B184" s="1120" t="s">
        <v>3479</v>
      </c>
      <c r="C184" s="1120" t="s">
        <v>3480</v>
      </c>
      <c r="D184" s="1120" t="s">
        <v>249</v>
      </c>
      <c r="E184" s="1120">
        <v>2319</v>
      </c>
      <c r="F184" s="1120">
        <v>-116.82</v>
      </c>
      <c r="G184" s="1120">
        <v>47.77</v>
      </c>
      <c r="H184" s="1120">
        <v>-8</v>
      </c>
      <c r="I184" s="1121">
        <v>11.659999656677245</v>
      </c>
      <c r="J184" s="1121">
        <v>88.519999313354489</v>
      </c>
      <c r="K184" s="1122">
        <v>62.239998626708989</v>
      </c>
      <c r="L184" s="1120">
        <v>6733.8</v>
      </c>
      <c r="M184" s="1120">
        <v>414</v>
      </c>
      <c r="N184" s="1123">
        <v>27.5</v>
      </c>
      <c r="O184" s="1123">
        <v>29.480000042915343</v>
      </c>
      <c r="P184" s="1123">
        <v>41.9</v>
      </c>
      <c r="Q184" s="1123">
        <v>46.759999656677245</v>
      </c>
      <c r="R184" s="1123">
        <v>50.719999313354492</v>
      </c>
      <c r="S184" s="1123">
        <v>61.519999313354496</v>
      </c>
      <c r="T184" s="1123">
        <v>69.980000686645511</v>
      </c>
      <c r="U184" s="1123">
        <v>69.439998626708984</v>
      </c>
      <c r="V184" s="1123">
        <v>54.5</v>
      </c>
      <c r="W184" s="1123">
        <v>44.779999828338624</v>
      </c>
      <c r="X184" s="1123">
        <v>36.320000171661377</v>
      </c>
      <c r="Y184" s="1123">
        <v>30.740000021457671</v>
      </c>
      <c r="Z184" s="1123">
        <v>47.0830135019838</v>
      </c>
      <c r="AA184" s="1123">
        <f t="shared" si="150"/>
        <v>45.278156403394462</v>
      </c>
      <c r="AB184" s="1123">
        <f t="shared" si="151"/>
        <v>43.937160237599244</v>
      </c>
      <c r="AC184" s="1123">
        <f t="shared" si="152"/>
        <v>44.980171667030937</v>
      </c>
      <c r="AD184" s="1123">
        <f t="shared" si="153"/>
        <v>48.135313689315517</v>
      </c>
      <c r="AE184" s="1123">
        <f t="shared" si="154"/>
        <v>52.580149914134147</v>
      </c>
      <c r="AF184" s="1123">
        <f t="shared" si="155"/>
        <v>57.156065282488257</v>
      </c>
      <c r="AG184" s="1123">
        <f t="shared" si="156"/>
        <v>60.670276936625982</v>
      </c>
      <c r="AH184" s="1123">
        <f t="shared" si="157"/>
        <v>62.20675145325545</v>
      </c>
      <c r="AI184" s="1123">
        <f t="shared" si="158"/>
        <v>61.364983071828185</v>
      </c>
      <c r="AJ184" s="1123">
        <f t="shared" si="159"/>
        <v>58.364391693006603</v>
      </c>
      <c r="AK184" s="1123">
        <f t="shared" si="160"/>
        <v>53.98712770019339</v>
      </c>
      <c r="AL184" s="1123">
        <f t="shared" si="161"/>
        <v>49.374192408795324</v>
      </c>
      <c r="AM184" s="1120">
        <f t="shared" si="162"/>
        <v>1</v>
      </c>
      <c r="AN184" s="1120">
        <f t="shared" si="163"/>
        <v>1</v>
      </c>
      <c r="AO184" s="1120">
        <f t="shared" si="164"/>
        <v>1</v>
      </c>
      <c r="AP184" s="1120">
        <f t="shared" si="165"/>
        <v>1</v>
      </c>
      <c r="AQ184" s="1120">
        <f t="shared" si="166"/>
        <v>1</v>
      </c>
      <c r="AR184" s="1120">
        <f t="shared" si="167"/>
        <v>1</v>
      </c>
      <c r="AS184" s="1120">
        <f t="shared" si="168"/>
        <v>0</v>
      </c>
      <c r="AT184" s="1120">
        <f t="shared" si="169"/>
        <v>0</v>
      </c>
      <c r="AU184" s="1120">
        <f t="shared" si="170"/>
        <v>1</v>
      </c>
      <c r="AV184" s="1120">
        <f t="shared" si="171"/>
        <v>1</v>
      </c>
      <c r="AW184" s="1120">
        <f t="shared" si="172"/>
        <v>1</v>
      </c>
      <c r="AX184" s="1120">
        <f t="shared" si="173"/>
        <v>1</v>
      </c>
      <c r="AY184" s="1120">
        <f t="shared" si="174"/>
        <v>0</v>
      </c>
      <c r="AZ184" s="1120">
        <f t="shared" si="175"/>
        <v>0</v>
      </c>
      <c r="BA184" s="1120">
        <f t="shared" si="176"/>
        <v>0</v>
      </c>
      <c r="BB184" s="1120">
        <f t="shared" si="177"/>
        <v>0</v>
      </c>
      <c r="BC184" s="1120">
        <f t="shared" si="178"/>
        <v>0</v>
      </c>
      <c r="BD184" s="1120">
        <f t="shared" si="179"/>
        <v>0</v>
      </c>
      <c r="BE184" s="1120">
        <f t="shared" si="180"/>
        <v>1</v>
      </c>
      <c r="BF184" s="1120">
        <f t="shared" si="181"/>
        <v>1</v>
      </c>
      <c r="BG184" s="1120">
        <f t="shared" si="182"/>
        <v>0</v>
      </c>
      <c r="BH184" s="1120">
        <f t="shared" si="183"/>
        <v>0</v>
      </c>
      <c r="BI184" s="1120">
        <f t="shared" si="184"/>
        <v>0</v>
      </c>
      <c r="BJ184" s="1120">
        <f t="shared" si="185"/>
        <v>0</v>
      </c>
      <c r="BK184" s="1120">
        <f t="shared" si="186"/>
        <v>1</v>
      </c>
      <c r="BL184" s="1120">
        <f t="shared" si="187"/>
        <v>1</v>
      </c>
      <c r="BM184" s="1120">
        <f t="shared" si="188"/>
        <v>1</v>
      </c>
      <c r="BN184" s="1120">
        <f t="shared" si="189"/>
        <v>1</v>
      </c>
      <c r="BO184" s="1120">
        <f t="shared" si="190"/>
        <v>1</v>
      </c>
      <c r="BP184" s="1120">
        <f t="shared" si="191"/>
        <v>1</v>
      </c>
      <c r="BQ184" s="1120">
        <f t="shared" si="192"/>
        <v>1</v>
      </c>
      <c r="BR184" s="1120">
        <f t="shared" si="193"/>
        <v>0</v>
      </c>
      <c r="BS184" s="1120">
        <f t="shared" si="194"/>
        <v>1</v>
      </c>
      <c r="BT184" s="1120">
        <f t="shared" si="195"/>
        <v>1</v>
      </c>
      <c r="BU184" s="1120">
        <f t="shared" si="196"/>
        <v>1</v>
      </c>
      <c r="BV184" s="1120">
        <f t="shared" si="197"/>
        <v>1</v>
      </c>
      <c r="BW184" s="1120">
        <f t="shared" si="198"/>
        <v>0</v>
      </c>
      <c r="BX184" s="1120">
        <f t="shared" si="199"/>
        <v>0</v>
      </c>
      <c r="BY184" s="1120">
        <f t="shared" si="200"/>
        <v>0</v>
      </c>
      <c r="BZ184" s="1120">
        <f t="shared" si="201"/>
        <v>0</v>
      </c>
      <c r="CA184" s="1120">
        <f t="shared" si="202"/>
        <v>0</v>
      </c>
      <c r="CB184" s="1120">
        <f t="shared" si="203"/>
        <v>1</v>
      </c>
      <c r="CC184" s="1120">
        <f t="shared" si="204"/>
        <v>1</v>
      </c>
      <c r="CD184" s="1120">
        <f t="shared" si="205"/>
        <v>1</v>
      </c>
      <c r="CE184" s="1120">
        <f t="shared" si="206"/>
        <v>1</v>
      </c>
      <c r="CF184" s="1120">
        <f t="shared" si="207"/>
        <v>0</v>
      </c>
      <c r="CG184" s="1120">
        <f t="shared" si="208"/>
        <v>0</v>
      </c>
      <c r="CH184" s="1120">
        <f t="shared" si="209"/>
        <v>0</v>
      </c>
      <c r="CI184" s="1120">
        <f t="shared" si="210"/>
        <v>0.85</v>
      </c>
      <c r="CJ184" s="1120">
        <f t="shared" si="211"/>
        <v>0.85</v>
      </c>
      <c r="CK184" s="1120">
        <f t="shared" si="212"/>
        <v>0.85</v>
      </c>
      <c r="CL184" s="1120">
        <f t="shared" si="213"/>
        <v>0.85</v>
      </c>
      <c r="CM184" s="1120">
        <f t="shared" si="214"/>
        <v>0.85</v>
      </c>
      <c r="CN184" s="1120">
        <f t="shared" si="215"/>
        <v>0.85</v>
      </c>
      <c r="CO184" s="1120">
        <f t="shared" si="216"/>
        <v>0.85</v>
      </c>
      <c r="CP184" s="1120">
        <f t="shared" si="217"/>
        <v>0.7</v>
      </c>
      <c r="CQ184" s="1120">
        <f t="shared" si="218"/>
        <v>0.85</v>
      </c>
      <c r="CR184" s="1120">
        <f t="shared" si="219"/>
        <v>0.85</v>
      </c>
      <c r="CS184" s="1120">
        <f t="shared" si="220"/>
        <v>0.85</v>
      </c>
      <c r="CT184" s="1120">
        <f t="shared" si="221"/>
        <v>0.85</v>
      </c>
      <c r="CU184" s="1120">
        <v>1</v>
      </c>
      <c r="CV184" s="1120"/>
      <c r="CW184" s="1120">
        <f t="shared" si="222"/>
        <v>122</v>
      </c>
      <c r="CX184" s="1120">
        <f t="shared" si="223"/>
        <v>243</v>
      </c>
      <c r="CY184" s="1135" t="s">
        <v>4889</v>
      </c>
      <c r="CZ184" s="1124" t="s">
        <v>4890</v>
      </c>
      <c r="DA184" s="1124"/>
      <c r="DB184" s="1124"/>
      <c r="DC184" s="1120" t="s">
        <v>5730</v>
      </c>
      <c r="DD184" s="1120" t="s">
        <v>249</v>
      </c>
      <c r="DE184" s="1120" t="b">
        <f t="shared" si="224"/>
        <v>0</v>
      </c>
      <c r="DF184" s="1133">
        <v>0</v>
      </c>
      <c r="DG184" s="1120">
        <v>0</v>
      </c>
    </row>
    <row r="185" spans="1:111">
      <c r="A185" s="1125" t="s">
        <v>3188</v>
      </c>
      <c r="B185" s="1120" t="s">
        <v>2934</v>
      </c>
      <c r="C185" s="1120" t="s">
        <v>2935</v>
      </c>
      <c r="D185" s="1120" t="s">
        <v>953</v>
      </c>
      <c r="E185" s="1120">
        <v>95</v>
      </c>
      <c r="F185" s="1120">
        <v>-162.72</v>
      </c>
      <c r="G185" s="1120">
        <v>55.2</v>
      </c>
      <c r="H185" s="1120">
        <v>-9</v>
      </c>
      <c r="I185" s="1121">
        <v>12.740000343322754</v>
      </c>
      <c r="J185" s="1121">
        <v>57.380000686645509</v>
      </c>
      <c r="K185" s="1122">
        <v>53.419999313354495</v>
      </c>
      <c r="L185" s="1120">
        <v>9298.8000000000011</v>
      </c>
      <c r="M185" s="1120">
        <v>0</v>
      </c>
      <c r="N185" s="1123">
        <v>31.1</v>
      </c>
      <c r="O185" s="1123">
        <v>29.480000042915343</v>
      </c>
      <c r="P185" s="1123">
        <v>31.459999978542328</v>
      </c>
      <c r="Q185" s="1123">
        <v>34.160000085830688</v>
      </c>
      <c r="R185" s="1123">
        <v>39.920000171661378</v>
      </c>
      <c r="S185" s="1123">
        <v>45.320000171661377</v>
      </c>
      <c r="T185" s="1123">
        <v>50.359999656677246</v>
      </c>
      <c r="U185" s="1123">
        <v>50.540000343322752</v>
      </c>
      <c r="V185" s="1123">
        <v>47.659999656677243</v>
      </c>
      <c r="W185" s="1123">
        <v>40.820000171661377</v>
      </c>
      <c r="X185" s="1123">
        <v>34.700000000000003</v>
      </c>
      <c r="Y185" s="1123">
        <v>31.1</v>
      </c>
      <c r="Z185" s="1123">
        <v>38.945041119464456</v>
      </c>
      <c r="AA185" s="1123">
        <f t="shared" si="150"/>
        <v>42.105446848170715</v>
      </c>
      <c r="AB185" s="1123">
        <f t="shared" si="151"/>
        <v>41.320278430062977</v>
      </c>
      <c r="AC185" s="1123">
        <f t="shared" si="152"/>
        <v>41.479960266231629</v>
      </c>
      <c r="AD185" s="1123">
        <f t="shared" si="153"/>
        <v>42.542868825307721</v>
      </c>
      <c r="AE185" s="1123">
        <f t="shared" si="154"/>
        <v>44.231940611451364</v>
      </c>
      <c r="AF185" s="1123">
        <f t="shared" si="155"/>
        <v>46.106893034220093</v>
      </c>
      <c r="AG185" s="1123">
        <f t="shared" si="156"/>
        <v>47.678990850727779</v>
      </c>
      <c r="AH185" s="1123">
        <f t="shared" si="157"/>
        <v>48.538442538341016</v>
      </c>
      <c r="AI185" s="1123">
        <f t="shared" si="158"/>
        <v>48.461218770132</v>
      </c>
      <c r="AJ185" s="1123">
        <f t="shared" si="159"/>
        <v>47.467449111338695</v>
      </c>
      <c r="AK185" s="1123">
        <f t="shared" si="160"/>
        <v>45.816174937979582</v>
      </c>
      <c r="AL185" s="1123">
        <f t="shared" si="161"/>
        <v>43.937826310246002</v>
      </c>
      <c r="AM185" s="1120">
        <f t="shared" si="162"/>
        <v>1</v>
      </c>
      <c r="AN185" s="1120">
        <f t="shared" si="163"/>
        <v>1</v>
      </c>
      <c r="AO185" s="1120">
        <f t="shared" si="164"/>
        <v>1</v>
      </c>
      <c r="AP185" s="1120">
        <f t="shared" si="165"/>
        <v>1</v>
      </c>
      <c r="AQ185" s="1120">
        <f t="shared" si="166"/>
        <v>1</v>
      </c>
      <c r="AR185" s="1120">
        <f t="shared" si="167"/>
        <v>1</v>
      </c>
      <c r="AS185" s="1120">
        <f t="shared" si="168"/>
        <v>1</v>
      </c>
      <c r="AT185" s="1120">
        <f t="shared" si="169"/>
        <v>1</v>
      </c>
      <c r="AU185" s="1120">
        <f t="shared" si="170"/>
        <v>1</v>
      </c>
      <c r="AV185" s="1120">
        <f t="shared" si="171"/>
        <v>1</v>
      </c>
      <c r="AW185" s="1120">
        <f t="shared" si="172"/>
        <v>1</v>
      </c>
      <c r="AX185" s="1120">
        <f t="shared" si="173"/>
        <v>1</v>
      </c>
      <c r="AY185" s="1120">
        <f t="shared" si="174"/>
        <v>0</v>
      </c>
      <c r="AZ185" s="1120">
        <f t="shared" si="175"/>
        <v>0</v>
      </c>
      <c r="BA185" s="1120">
        <f t="shared" si="176"/>
        <v>0</v>
      </c>
      <c r="BB185" s="1120">
        <f t="shared" si="177"/>
        <v>0</v>
      </c>
      <c r="BC185" s="1120">
        <f t="shared" si="178"/>
        <v>0</v>
      </c>
      <c r="BD185" s="1120">
        <f t="shared" si="179"/>
        <v>0</v>
      </c>
      <c r="BE185" s="1120">
        <f t="shared" si="180"/>
        <v>1</v>
      </c>
      <c r="BF185" s="1120">
        <f t="shared" si="181"/>
        <v>1</v>
      </c>
      <c r="BG185" s="1120">
        <f t="shared" si="182"/>
        <v>0</v>
      </c>
      <c r="BH185" s="1120">
        <f t="shared" si="183"/>
        <v>0</v>
      </c>
      <c r="BI185" s="1120">
        <f t="shared" si="184"/>
        <v>0</v>
      </c>
      <c r="BJ185" s="1120">
        <f t="shared" si="185"/>
        <v>0</v>
      </c>
      <c r="BK185" s="1120">
        <f t="shared" si="186"/>
        <v>1</v>
      </c>
      <c r="BL185" s="1120">
        <f t="shared" si="187"/>
        <v>1</v>
      </c>
      <c r="BM185" s="1120">
        <f t="shared" si="188"/>
        <v>1</v>
      </c>
      <c r="BN185" s="1120">
        <f t="shared" si="189"/>
        <v>1</v>
      </c>
      <c r="BO185" s="1120">
        <f t="shared" si="190"/>
        <v>1</v>
      </c>
      <c r="BP185" s="1120">
        <f t="shared" si="191"/>
        <v>1</v>
      </c>
      <c r="BQ185" s="1120">
        <f t="shared" si="192"/>
        <v>1</v>
      </c>
      <c r="BR185" s="1120">
        <f t="shared" si="193"/>
        <v>1</v>
      </c>
      <c r="BS185" s="1120">
        <f t="shared" si="194"/>
        <v>1</v>
      </c>
      <c r="BT185" s="1120">
        <f t="shared" si="195"/>
        <v>1</v>
      </c>
      <c r="BU185" s="1120">
        <f t="shared" si="196"/>
        <v>1</v>
      </c>
      <c r="BV185" s="1120">
        <f t="shared" si="197"/>
        <v>1</v>
      </c>
      <c r="BW185" s="1120">
        <f t="shared" si="198"/>
        <v>0</v>
      </c>
      <c r="BX185" s="1120">
        <f t="shared" si="199"/>
        <v>0</v>
      </c>
      <c r="BY185" s="1120">
        <f t="shared" si="200"/>
        <v>0</v>
      </c>
      <c r="BZ185" s="1120">
        <f t="shared" si="201"/>
        <v>0</v>
      </c>
      <c r="CA185" s="1120">
        <f t="shared" si="202"/>
        <v>0</v>
      </c>
      <c r="CB185" s="1120">
        <f t="shared" si="203"/>
        <v>0</v>
      </c>
      <c r="CC185" s="1120">
        <f t="shared" si="204"/>
        <v>1</v>
      </c>
      <c r="CD185" s="1120">
        <f t="shared" si="205"/>
        <v>1</v>
      </c>
      <c r="CE185" s="1120">
        <f t="shared" si="206"/>
        <v>0</v>
      </c>
      <c r="CF185" s="1120">
        <f t="shared" si="207"/>
        <v>0</v>
      </c>
      <c r="CG185" s="1120">
        <f t="shared" si="208"/>
        <v>0</v>
      </c>
      <c r="CH185" s="1120">
        <f t="shared" si="209"/>
        <v>0</v>
      </c>
      <c r="CI185" s="1120">
        <f t="shared" si="210"/>
        <v>0.85</v>
      </c>
      <c r="CJ185" s="1120">
        <f t="shared" si="211"/>
        <v>0.85</v>
      </c>
      <c r="CK185" s="1120">
        <f t="shared" si="212"/>
        <v>0.85</v>
      </c>
      <c r="CL185" s="1120">
        <f t="shared" si="213"/>
        <v>0.85</v>
      </c>
      <c r="CM185" s="1120">
        <f t="shared" si="214"/>
        <v>0.85</v>
      </c>
      <c r="CN185" s="1120">
        <f t="shared" si="215"/>
        <v>0.85</v>
      </c>
      <c r="CO185" s="1120">
        <f t="shared" si="216"/>
        <v>0.85</v>
      </c>
      <c r="CP185" s="1120">
        <f t="shared" si="217"/>
        <v>0.85</v>
      </c>
      <c r="CQ185" s="1120">
        <f t="shared" si="218"/>
        <v>0.85</v>
      </c>
      <c r="CR185" s="1120">
        <f t="shared" si="219"/>
        <v>0.85</v>
      </c>
      <c r="CS185" s="1120">
        <f t="shared" si="220"/>
        <v>0.85</v>
      </c>
      <c r="CT185" s="1120">
        <f t="shared" si="221"/>
        <v>0.85</v>
      </c>
      <c r="CU185" s="1120">
        <v>1</v>
      </c>
      <c r="CV185" s="1120"/>
      <c r="CW185" s="1120">
        <f t="shared" si="222"/>
        <v>62</v>
      </c>
      <c r="CX185" s="1120">
        <f t="shared" si="223"/>
        <v>303</v>
      </c>
      <c r="CY185" s="1135" t="s">
        <v>4879</v>
      </c>
      <c r="CZ185" s="1124">
        <v>7</v>
      </c>
      <c r="DA185" s="1124"/>
      <c r="DB185" s="1124"/>
      <c r="DC185" s="1120" t="s">
        <v>4917</v>
      </c>
      <c r="DD185" s="1120" t="s">
        <v>953</v>
      </c>
      <c r="DE185" s="1120" t="str">
        <f t="shared" si="224"/>
        <v/>
      </c>
      <c r="DF185" s="1120">
        <v>0</v>
      </c>
      <c r="DG185" s="1125">
        <v>0</v>
      </c>
    </row>
    <row r="186" spans="1:111">
      <c r="A186" s="1120" t="s">
        <v>981</v>
      </c>
      <c r="B186" s="1125" t="s">
        <v>4368</v>
      </c>
      <c r="C186" s="1125" t="s">
        <v>4369</v>
      </c>
      <c r="D186" s="1125" t="s">
        <v>228</v>
      </c>
      <c r="E186" s="1125">
        <v>315</v>
      </c>
      <c r="F186" s="1125">
        <v>-96.37</v>
      </c>
      <c r="G186" s="1125">
        <v>30.58</v>
      </c>
      <c r="H186" s="1125">
        <v>-6</v>
      </c>
      <c r="I186" s="1126">
        <v>30.380000042915345</v>
      </c>
      <c r="J186" s="1126">
        <v>97.160001373291024</v>
      </c>
      <c r="K186" s="1127">
        <v>75.919999313354495</v>
      </c>
      <c r="L186" s="1125">
        <v>1573.2</v>
      </c>
      <c r="M186" s="1125">
        <v>2660.4</v>
      </c>
      <c r="N186" s="1128">
        <v>50.540000343322752</v>
      </c>
      <c r="O186" s="1128">
        <v>60.440000343322751</v>
      </c>
      <c r="P186" s="1128">
        <v>60.259999656677245</v>
      </c>
      <c r="Q186" s="1128">
        <v>62.419999313354495</v>
      </c>
      <c r="R186" s="1128">
        <v>75.919999313354495</v>
      </c>
      <c r="S186" s="1128">
        <v>79.519999313354489</v>
      </c>
      <c r="T186" s="1128">
        <v>83.480000686645511</v>
      </c>
      <c r="U186" s="1128">
        <v>83.480000686645511</v>
      </c>
      <c r="V186" s="1128">
        <v>75.919999313354495</v>
      </c>
      <c r="W186" s="1128">
        <v>68.539998626708979</v>
      </c>
      <c r="X186" s="1128">
        <v>55.219999313354492</v>
      </c>
      <c r="Y186" s="1128">
        <v>52.340000343322757</v>
      </c>
      <c r="Z186" s="1128">
        <v>67.386520319376913</v>
      </c>
      <c r="AA186" s="1128">
        <f t="shared" si="150"/>
        <v>63.154561379895092</v>
      </c>
      <c r="AB186" s="1128">
        <f t="shared" si="151"/>
        <v>63.465013278482324</v>
      </c>
      <c r="AC186" s="1128">
        <f t="shared" si="152"/>
        <v>66.361658882330318</v>
      </c>
      <c r="AD186" s="1128">
        <f t="shared" si="153"/>
        <v>71.089442876136161</v>
      </c>
      <c r="AE186" s="1128">
        <f t="shared" si="154"/>
        <v>76.415995504557614</v>
      </c>
      <c r="AF186" s="1128">
        <f t="shared" si="155"/>
        <v>80.952868740335958</v>
      </c>
      <c r="AG186" s="1128">
        <f t="shared" si="156"/>
        <v>83.517456659232664</v>
      </c>
      <c r="AH186" s="1128">
        <f t="shared" si="157"/>
        <v>83.4412598986912</v>
      </c>
      <c r="AI186" s="1128">
        <f t="shared" si="158"/>
        <v>80.74414031857431</v>
      </c>
      <c r="AJ186" s="1128">
        <f t="shared" si="159"/>
        <v>76.129143701310298</v>
      </c>
      <c r="AK186" s="1128">
        <f t="shared" si="160"/>
        <v>70.799240034439691</v>
      </c>
      <c r="AL186" s="1128">
        <f t="shared" si="161"/>
        <v>66.143750845034049</v>
      </c>
      <c r="AM186" s="1125">
        <f t="shared" si="162"/>
        <v>1</v>
      </c>
      <c r="AN186" s="1125">
        <f t="shared" si="163"/>
        <v>1</v>
      </c>
      <c r="AO186" s="1125">
        <f t="shared" si="164"/>
        <v>1</v>
      </c>
      <c r="AP186" s="1125">
        <f t="shared" si="165"/>
        <v>1</v>
      </c>
      <c r="AQ186" s="1125">
        <f t="shared" si="166"/>
        <v>0</v>
      </c>
      <c r="AR186" s="1125">
        <f t="shared" si="167"/>
        <v>0</v>
      </c>
      <c r="AS186" s="1125">
        <f t="shared" si="168"/>
        <v>0</v>
      </c>
      <c r="AT186" s="1125">
        <f t="shared" si="169"/>
        <v>0</v>
      </c>
      <c r="AU186" s="1125">
        <f t="shared" si="170"/>
        <v>0</v>
      </c>
      <c r="AV186" s="1125">
        <f t="shared" si="171"/>
        <v>0</v>
      </c>
      <c r="AW186" s="1125">
        <f t="shared" si="172"/>
        <v>1</v>
      </c>
      <c r="AX186" s="1125">
        <f t="shared" si="173"/>
        <v>1</v>
      </c>
      <c r="AY186" s="1125">
        <f t="shared" si="174"/>
        <v>0</v>
      </c>
      <c r="AZ186" s="1125">
        <f t="shared" si="175"/>
        <v>0</v>
      </c>
      <c r="BA186" s="1125">
        <f t="shared" si="176"/>
        <v>0</v>
      </c>
      <c r="BB186" s="1125">
        <f t="shared" si="177"/>
        <v>0</v>
      </c>
      <c r="BC186" s="1125">
        <f t="shared" si="178"/>
        <v>1</v>
      </c>
      <c r="BD186" s="1125">
        <f t="shared" si="179"/>
        <v>1</v>
      </c>
      <c r="BE186" s="1125">
        <f t="shared" si="180"/>
        <v>1</v>
      </c>
      <c r="BF186" s="1125">
        <f t="shared" si="181"/>
        <v>1</v>
      </c>
      <c r="BG186" s="1125">
        <f t="shared" si="182"/>
        <v>1</v>
      </c>
      <c r="BH186" s="1125">
        <f t="shared" si="183"/>
        <v>1</v>
      </c>
      <c r="BI186" s="1125">
        <f t="shared" si="184"/>
        <v>0</v>
      </c>
      <c r="BJ186" s="1125">
        <f t="shared" si="185"/>
        <v>0</v>
      </c>
      <c r="BK186" s="1125">
        <f t="shared" si="186"/>
        <v>1</v>
      </c>
      <c r="BL186" s="1125">
        <f t="shared" si="187"/>
        <v>1</v>
      </c>
      <c r="BM186" s="1125">
        <f t="shared" si="188"/>
        <v>1</v>
      </c>
      <c r="BN186" s="1125">
        <f t="shared" si="189"/>
        <v>1</v>
      </c>
      <c r="BO186" s="1125">
        <f t="shared" si="190"/>
        <v>1</v>
      </c>
      <c r="BP186" s="1125">
        <f t="shared" si="191"/>
        <v>0</v>
      </c>
      <c r="BQ186" s="1125">
        <f t="shared" si="192"/>
        <v>0</v>
      </c>
      <c r="BR186" s="1125">
        <f t="shared" si="193"/>
        <v>0</v>
      </c>
      <c r="BS186" s="1125">
        <f t="shared" si="194"/>
        <v>0</v>
      </c>
      <c r="BT186" s="1125">
        <f t="shared" si="195"/>
        <v>0</v>
      </c>
      <c r="BU186" s="1125">
        <f t="shared" si="196"/>
        <v>1</v>
      </c>
      <c r="BV186" s="1125">
        <f t="shared" si="197"/>
        <v>1</v>
      </c>
      <c r="BW186" s="1125">
        <f t="shared" si="198"/>
        <v>0</v>
      </c>
      <c r="BX186" s="1125">
        <f t="shared" si="199"/>
        <v>0</v>
      </c>
      <c r="BY186" s="1125">
        <f t="shared" si="200"/>
        <v>0</v>
      </c>
      <c r="BZ186" s="1125">
        <f t="shared" si="201"/>
        <v>1</v>
      </c>
      <c r="CA186" s="1125">
        <f t="shared" si="202"/>
        <v>1</v>
      </c>
      <c r="CB186" s="1125">
        <f t="shared" si="203"/>
        <v>1</v>
      </c>
      <c r="CC186" s="1125">
        <f t="shared" si="204"/>
        <v>1</v>
      </c>
      <c r="CD186" s="1125">
        <f t="shared" si="205"/>
        <v>1</v>
      </c>
      <c r="CE186" s="1125">
        <f t="shared" si="206"/>
        <v>1</v>
      </c>
      <c r="CF186" s="1125">
        <f t="shared" si="207"/>
        <v>1</v>
      </c>
      <c r="CG186" s="1125">
        <f t="shared" si="208"/>
        <v>1</v>
      </c>
      <c r="CH186" s="1125">
        <f t="shared" si="209"/>
        <v>0</v>
      </c>
      <c r="CI186" s="1125">
        <f t="shared" si="210"/>
        <v>0.85</v>
      </c>
      <c r="CJ186" s="1125">
        <f t="shared" si="211"/>
        <v>0.85</v>
      </c>
      <c r="CK186" s="1125">
        <f t="shared" si="212"/>
        <v>0.85</v>
      </c>
      <c r="CL186" s="1125">
        <f t="shared" si="213"/>
        <v>0.85</v>
      </c>
      <c r="CM186" s="1125">
        <f t="shared" si="214"/>
        <v>0.85</v>
      </c>
      <c r="CN186" s="1125">
        <f t="shared" si="215"/>
        <v>0.7</v>
      </c>
      <c r="CO186" s="1125">
        <f t="shared" si="216"/>
        <v>0.7</v>
      </c>
      <c r="CP186" s="1125">
        <f t="shared" si="217"/>
        <v>0.7</v>
      </c>
      <c r="CQ186" s="1125">
        <f t="shared" si="218"/>
        <v>0.7</v>
      </c>
      <c r="CR186" s="1125">
        <f t="shared" si="219"/>
        <v>0.7</v>
      </c>
      <c r="CS186" s="1125">
        <f t="shared" si="220"/>
        <v>0.85</v>
      </c>
      <c r="CT186" s="1125">
        <f t="shared" si="221"/>
        <v>0.85</v>
      </c>
      <c r="CU186" s="1125">
        <v>1</v>
      </c>
      <c r="CV186" s="1125"/>
      <c r="CW186" s="1125">
        <f t="shared" si="222"/>
        <v>244</v>
      </c>
      <c r="CX186" s="1125">
        <f t="shared" si="223"/>
        <v>121</v>
      </c>
      <c r="CY186" s="1136" t="s">
        <v>4883</v>
      </c>
      <c r="CZ186" s="1129" t="s">
        <v>4884</v>
      </c>
      <c r="DA186" s="1129"/>
      <c r="DB186" s="1129"/>
      <c r="DC186" s="1125" t="s">
        <v>5579</v>
      </c>
      <c r="DD186" s="1125" t="s">
        <v>228</v>
      </c>
      <c r="DE186" s="1120" t="str">
        <f t="shared" si="224"/>
        <v/>
      </c>
      <c r="DF186" s="1133">
        <v>0</v>
      </c>
      <c r="DG186" s="1120">
        <v>0</v>
      </c>
    </row>
    <row r="187" spans="1:111">
      <c r="A187" s="1125" t="s">
        <v>3190</v>
      </c>
      <c r="B187" s="1120" t="s">
        <v>3218</v>
      </c>
      <c r="C187" s="1120" t="s">
        <v>3219</v>
      </c>
      <c r="D187" s="1120" t="s">
        <v>536</v>
      </c>
      <c r="E187" s="1120">
        <v>6140</v>
      </c>
      <c r="F187" s="1120">
        <v>-104.72</v>
      </c>
      <c r="G187" s="1120">
        <v>38.82</v>
      </c>
      <c r="H187" s="1120">
        <v>-7</v>
      </c>
      <c r="I187" s="1121">
        <v>5.7199993133544913</v>
      </c>
      <c r="J187" s="1121">
        <v>87.619999313354498</v>
      </c>
      <c r="K187" s="1122">
        <v>58.459999656677248</v>
      </c>
      <c r="L187" s="1120">
        <v>6028.2</v>
      </c>
      <c r="M187" s="1120">
        <v>561.6</v>
      </c>
      <c r="N187" s="1123">
        <v>27.679999828338623</v>
      </c>
      <c r="O187" s="1123">
        <v>31.81999999731779</v>
      </c>
      <c r="P187" s="1123">
        <v>40.459999656677248</v>
      </c>
      <c r="Q187" s="1123">
        <v>48.2</v>
      </c>
      <c r="R187" s="1123">
        <v>57.559999656677249</v>
      </c>
      <c r="S187" s="1123">
        <v>66.739998626708982</v>
      </c>
      <c r="T187" s="1123">
        <v>71.239998626708982</v>
      </c>
      <c r="U187" s="1123">
        <v>67.280000686645508</v>
      </c>
      <c r="V187" s="1123">
        <v>60.440000343322751</v>
      </c>
      <c r="W187" s="1123">
        <v>49.819999313354494</v>
      </c>
      <c r="X187" s="1123">
        <v>38.120000171661374</v>
      </c>
      <c r="Y187" s="1123">
        <v>32.540000021457672</v>
      </c>
      <c r="Z187" s="1123">
        <v>49.424492892222865</v>
      </c>
      <c r="AA187" s="1123">
        <f t="shared" si="150"/>
        <v>46.7850327213608</v>
      </c>
      <c r="AB187" s="1123">
        <f t="shared" si="151"/>
        <v>45.531302589816114</v>
      </c>
      <c r="AC187" s="1123">
        <f t="shared" si="152"/>
        <v>46.85638496927119</v>
      </c>
      <c r="AD187" s="1123">
        <f t="shared" si="153"/>
        <v>50.414876717383493</v>
      </c>
      <c r="AE187" s="1123">
        <f t="shared" si="154"/>
        <v>55.279202121989762</v>
      </c>
      <c r="AF187" s="1123">
        <f t="shared" si="155"/>
        <v>60.181399804855843</v>
      </c>
      <c r="AG187" s="1123">
        <f t="shared" si="156"/>
        <v>63.843636394789648</v>
      </c>
      <c r="AH187" s="1123">
        <f t="shared" si="157"/>
        <v>65.311293487850762</v>
      </c>
      <c r="AI187" s="1123">
        <f t="shared" si="158"/>
        <v>64.201803645452387</v>
      </c>
      <c r="AJ187" s="1123">
        <f t="shared" si="159"/>
        <v>60.804372492771662</v>
      </c>
      <c r="AK187" s="1123">
        <f t="shared" si="160"/>
        <v>56.004592815753703</v>
      </c>
      <c r="AL187" s="1123">
        <f t="shared" si="161"/>
        <v>51.053601154056999</v>
      </c>
      <c r="AM187" s="1120">
        <f t="shared" si="162"/>
        <v>1</v>
      </c>
      <c r="AN187" s="1120">
        <f t="shared" si="163"/>
        <v>1</v>
      </c>
      <c r="AO187" s="1120">
        <f t="shared" si="164"/>
        <v>1</v>
      </c>
      <c r="AP187" s="1120">
        <f t="shared" si="165"/>
        <v>1</v>
      </c>
      <c r="AQ187" s="1120">
        <f t="shared" si="166"/>
        <v>1</v>
      </c>
      <c r="AR187" s="1120">
        <f t="shared" si="167"/>
        <v>0</v>
      </c>
      <c r="AS187" s="1120">
        <f t="shared" si="168"/>
        <v>0</v>
      </c>
      <c r="AT187" s="1120">
        <f t="shared" si="169"/>
        <v>0</v>
      </c>
      <c r="AU187" s="1120">
        <f t="shared" si="170"/>
        <v>1</v>
      </c>
      <c r="AV187" s="1120">
        <f t="shared" si="171"/>
        <v>1</v>
      </c>
      <c r="AW187" s="1120">
        <f t="shared" si="172"/>
        <v>1</v>
      </c>
      <c r="AX187" s="1120">
        <f t="shared" si="173"/>
        <v>1</v>
      </c>
      <c r="AY187" s="1120">
        <f t="shared" si="174"/>
        <v>0</v>
      </c>
      <c r="AZ187" s="1120">
        <f t="shared" si="175"/>
        <v>0</v>
      </c>
      <c r="BA187" s="1120">
        <f t="shared" si="176"/>
        <v>0</v>
      </c>
      <c r="BB187" s="1120">
        <f t="shared" si="177"/>
        <v>0</v>
      </c>
      <c r="BC187" s="1120">
        <f t="shared" si="178"/>
        <v>0</v>
      </c>
      <c r="BD187" s="1120">
        <f t="shared" si="179"/>
        <v>1</v>
      </c>
      <c r="BE187" s="1120">
        <f t="shared" si="180"/>
        <v>1</v>
      </c>
      <c r="BF187" s="1120">
        <f t="shared" si="181"/>
        <v>1</v>
      </c>
      <c r="BG187" s="1120">
        <f t="shared" si="182"/>
        <v>0</v>
      </c>
      <c r="BH187" s="1120">
        <f t="shared" si="183"/>
        <v>0</v>
      </c>
      <c r="BI187" s="1120">
        <f t="shared" si="184"/>
        <v>0</v>
      </c>
      <c r="BJ187" s="1120">
        <f t="shared" si="185"/>
        <v>0</v>
      </c>
      <c r="BK187" s="1120">
        <f t="shared" si="186"/>
        <v>1</v>
      </c>
      <c r="BL187" s="1120">
        <f t="shared" si="187"/>
        <v>1</v>
      </c>
      <c r="BM187" s="1120">
        <f t="shared" si="188"/>
        <v>1</v>
      </c>
      <c r="BN187" s="1120">
        <f t="shared" si="189"/>
        <v>1</v>
      </c>
      <c r="BO187" s="1120">
        <f t="shared" si="190"/>
        <v>1</v>
      </c>
      <c r="BP187" s="1120">
        <f t="shared" si="191"/>
        <v>1</v>
      </c>
      <c r="BQ187" s="1120">
        <f t="shared" si="192"/>
        <v>0</v>
      </c>
      <c r="BR187" s="1120">
        <f t="shared" si="193"/>
        <v>0</v>
      </c>
      <c r="BS187" s="1120">
        <f t="shared" si="194"/>
        <v>1</v>
      </c>
      <c r="BT187" s="1120">
        <f t="shared" si="195"/>
        <v>1</v>
      </c>
      <c r="BU187" s="1120">
        <f t="shared" si="196"/>
        <v>1</v>
      </c>
      <c r="BV187" s="1120">
        <f t="shared" si="197"/>
        <v>1</v>
      </c>
      <c r="BW187" s="1120">
        <f t="shared" si="198"/>
        <v>0</v>
      </c>
      <c r="BX187" s="1120">
        <f t="shared" si="199"/>
        <v>0</v>
      </c>
      <c r="BY187" s="1120">
        <f t="shared" si="200"/>
        <v>0</v>
      </c>
      <c r="BZ187" s="1120">
        <f t="shared" si="201"/>
        <v>0</v>
      </c>
      <c r="CA187" s="1120">
        <f t="shared" si="202"/>
        <v>1</v>
      </c>
      <c r="CB187" s="1120">
        <f t="shared" si="203"/>
        <v>1</v>
      </c>
      <c r="CC187" s="1120">
        <f t="shared" si="204"/>
        <v>1</v>
      </c>
      <c r="CD187" s="1120">
        <f t="shared" si="205"/>
        <v>1</v>
      </c>
      <c r="CE187" s="1120">
        <f t="shared" si="206"/>
        <v>1</v>
      </c>
      <c r="CF187" s="1120">
        <f t="shared" si="207"/>
        <v>0</v>
      </c>
      <c r="CG187" s="1120">
        <f t="shared" si="208"/>
        <v>0</v>
      </c>
      <c r="CH187" s="1120">
        <f t="shared" si="209"/>
        <v>0</v>
      </c>
      <c r="CI187" s="1120">
        <f t="shared" si="210"/>
        <v>0.85</v>
      </c>
      <c r="CJ187" s="1120">
        <f t="shared" si="211"/>
        <v>0.85</v>
      </c>
      <c r="CK187" s="1120">
        <f t="shared" si="212"/>
        <v>0.85</v>
      </c>
      <c r="CL187" s="1120">
        <f t="shared" si="213"/>
        <v>0.85</v>
      </c>
      <c r="CM187" s="1120">
        <f t="shared" si="214"/>
        <v>0.85</v>
      </c>
      <c r="CN187" s="1120">
        <f t="shared" si="215"/>
        <v>0.85</v>
      </c>
      <c r="CO187" s="1120">
        <f t="shared" si="216"/>
        <v>0.7</v>
      </c>
      <c r="CP187" s="1120">
        <f t="shared" si="217"/>
        <v>0.7</v>
      </c>
      <c r="CQ187" s="1120">
        <f t="shared" si="218"/>
        <v>0.85</v>
      </c>
      <c r="CR187" s="1120">
        <f t="shared" si="219"/>
        <v>0.85</v>
      </c>
      <c r="CS187" s="1120">
        <f t="shared" si="220"/>
        <v>0.85</v>
      </c>
      <c r="CT187" s="1120">
        <f t="shared" si="221"/>
        <v>0.85</v>
      </c>
      <c r="CU187" s="1120">
        <v>1</v>
      </c>
      <c r="CV187" s="1120"/>
      <c r="CW187" s="1120">
        <f t="shared" si="222"/>
        <v>153</v>
      </c>
      <c r="CX187" s="1120">
        <f t="shared" si="223"/>
        <v>212</v>
      </c>
      <c r="CY187" s="1135" t="s">
        <v>4889</v>
      </c>
      <c r="CZ187" s="1124" t="s">
        <v>4890</v>
      </c>
      <c r="DA187" s="1124"/>
      <c r="DB187" s="1124"/>
      <c r="DC187" s="1120" t="s">
        <v>5073</v>
      </c>
      <c r="DD187" s="1120" t="s">
        <v>536</v>
      </c>
      <c r="DE187" s="1120" t="str">
        <f t="shared" si="224"/>
        <v/>
      </c>
      <c r="DF187" s="1133">
        <v>1</v>
      </c>
      <c r="DG187" s="1125">
        <v>0</v>
      </c>
    </row>
    <row r="188" spans="1:111">
      <c r="A188" s="1120" t="s">
        <v>3192</v>
      </c>
      <c r="B188" s="1125" t="s">
        <v>4302</v>
      </c>
      <c r="C188" s="1125" t="s">
        <v>4303</v>
      </c>
      <c r="D188" s="1125" t="s">
        <v>512</v>
      </c>
      <c r="E188" s="1125">
        <v>213</v>
      </c>
      <c r="F188" s="1125">
        <v>-81.12</v>
      </c>
      <c r="G188" s="1125">
        <v>33.950000000000003</v>
      </c>
      <c r="H188" s="1125">
        <v>-5</v>
      </c>
      <c r="I188" s="1126">
        <v>25.879999828338622</v>
      </c>
      <c r="J188" s="1126">
        <v>94.460001373291021</v>
      </c>
      <c r="K188" s="1127">
        <v>75.019999313354489</v>
      </c>
      <c r="L188" s="1125">
        <v>2500.2000000000003</v>
      </c>
      <c r="M188" s="1125">
        <v>2030.4</v>
      </c>
      <c r="N188" s="1128">
        <v>42.440000343322751</v>
      </c>
      <c r="O188" s="1128">
        <v>49.640000343322754</v>
      </c>
      <c r="P188" s="1128">
        <v>56.480000686645511</v>
      </c>
      <c r="Q188" s="1128">
        <v>63.680000686645506</v>
      </c>
      <c r="R188" s="1128">
        <v>71.060001373291016</v>
      </c>
      <c r="S188" s="1128">
        <v>78.260001373291018</v>
      </c>
      <c r="T188" s="1128">
        <v>80.960001373291021</v>
      </c>
      <c r="U188" s="1128">
        <v>77</v>
      </c>
      <c r="V188" s="1128">
        <v>73.939998626708984</v>
      </c>
      <c r="W188" s="1128">
        <v>62.780000686645508</v>
      </c>
      <c r="X188" s="1128">
        <v>56.3</v>
      </c>
      <c r="Y188" s="1128">
        <v>44.059999656677249</v>
      </c>
      <c r="Z188" s="1128">
        <v>63.105479884735523</v>
      </c>
      <c r="AA188" s="1128">
        <f t="shared" si="150"/>
        <v>58.144966460094189</v>
      </c>
      <c r="AB188" s="1128">
        <f t="shared" si="151"/>
        <v>58.055501497214479</v>
      </c>
      <c r="AC188" s="1128">
        <f t="shared" si="152"/>
        <v>60.846383686363581</v>
      </c>
      <c r="AD188" s="1128">
        <f t="shared" si="153"/>
        <v>65.790126576143365</v>
      </c>
      <c r="AE188" s="1128">
        <f t="shared" si="154"/>
        <v>71.598067396948707</v>
      </c>
      <c r="AF188" s="1128">
        <f t="shared" si="155"/>
        <v>76.756276870759407</v>
      </c>
      <c r="AG188" s="1128">
        <f t="shared" si="156"/>
        <v>79.920188207812544</v>
      </c>
      <c r="AH188" s="1128">
        <f t="shared" si="157"/>
        <v>80.265079160755661</v>
      </c>
      <c r="AI188" s="1128">
        <f t="shared" si="158"/>
        <v>77.701048587773656</v>
      </c>
      <c r="AJ188" s="1128">
        <f t="shared" si="159"/>
        <v>72.896450570621468</v>
      </c>
      <c r="AK188" s="1128">
        <f t="shared" si="160"/>
        <v>67.103677623566455</v>
      </c>
      <c r="AL188" s="1128">
        <f t="shared" si="161"/>
        <v>61.832705284591803</v>
      </c>
      <c r="AM188" s="1125">
        <f t="shared" si="162"/>
        <v>1</v>
      </c>
      <c r="AN188" s="1125">
        <f t="shared" si="163"/>
        <v>1</v>
      </c>
      <c r="AO188" s="1125">
        <f t="shared" si="164"/>
        <v>1</v>
      </c>
      <c r="AP188" s="1125">
        <f t="shared" si="165"/>
        <v>1</v>
      </c>
      <c r="AQ188" s="1125">
        <f t="shared" si="166"/>
        <v>0</v>
      </c>
      <c r="AR188" s="1125">
        <f t="shared" si="167"/>
        <v>0</v>
      </c>
      <c r="AS188" s="1125">
        <f t="shared" si="168"/>
        <v>0</v>
      </c>
      <c r="AT188" s="1125">
        <f t="shared" si="169"/>
        <v>0</v>
      </c>
      <c r="AU188" s="1125">
        <f t="shared" si="170"/>
        <v>0</v>
      </c>
      <c r="AV188" s="1125">
        <f t="shared" si="171"/>
        <v>1</v>
      </c>
      <c r="AW188" s="1125">
        <f t="shared" si="172"/>
        <v>1</v>
      </c>
      <c r="AX188" s="1125">
        <f t="shared" si="173"/>
        <v>1</v>
      </c>
      <c r="AY188" s="1125">
        <f t="shared" si="174"/>
        <v>0</v>
      </c>
      <c r="AZ188" s="1125">
        <f t="shared" si="175"/>
        <v>0</v>
      </c>
      <c r="BA188" s="1125">
        <f t="shared" si="176"/>
        <v>0</v>
      </c>
      <c r="BB188" s="1125">
        <f t="shared" si="177"/>
        <v>0</v>
      </c>
      <c r="BC188" s="1125">
        <f t="shared" si="178"/>
        <v>1</v>
      </c>
      <c r="BD188" s="1125">
        <f t="shared" si="179"/>
        <v>1</v>
      </c>
      <c r="BE188" s="1125">
        <f t="shared" si="180"/>
        <v>1</v>
      </c>
      <c r="BF188" s="1125">
        <f t="shared" si="181"/>
        <v>1</v>
      </c>
      <c r="BG188" s="1125">
        <f t="shared" si="182"/>
        <v>1</v>
      </c>
      <c r="BH188" s="1125">
        <f t="shared" si="183"/>
        <v>0</v>
      </c>
      <c r="BI188" s="1125">
        <f t="shared" si="184"/>
        <v>0</v>
      </c>
      <c r="BJ188" s="1125">
        <f t="shared" si="185"/>
        <v>0</v>
      </c>
      <c r="BK188" s="1125">
        <f t="shared" si="186"/>
        <v>1</v>
      </c>
      <c r="BL188" s="1125">
        <f t="shared" si="187"/>
        <v>1</v>
      </c>
      <c r="BM188" s="1125">
        <f t="shared" si="188"/>
        <v>1</v>
      </c>
      <c r="BN188" s="1125">
        <f t="shared" si="189"/>
        <v>1</v>
      </c>
      <c r="BO188" s="1125">
        <f t="shared" si="190"/>
        <v>1</v>
      </c>
      <c r="BP188" s="1125">
        <f t="shared" si="191"/>
        <v>0</v>
      </c>
      <c r="BQ188" s="1125">
        <f t="shared" si="192"/>
        <v>0</v>
      </c>
      <c r="BR188" s="1125">
        <f t="shared" si="193"/>
        <v>0</v>
      </c>
      <c r="BS188" s="1125">
        <f t="shared" si="194"/>
        <v>0</v>
      </c>
      <c r="BT188" s="1125">
        <f t="shared" si="195"/>
        <v>1</v>
      </c>
      <c r="BU188" s="1125">
        <f t="shared" si="196"/>
        <v>1</v>
      </c>
      <c r="BV188" s="1125">
        <f t="shared" si="197"/>
        <v>1</v>
      </c>
      <c r="BW188" s="1125">
        <f t="shared" si="198"/>
        <v>0</v>
      </c>
      <c r="BX188" s="1125">
        <f t="shared" si="199"/>
        <v>0</v>
      </c>
      <c r="BY188" s="1125">
        <f t="shared" si="200"/>
        <v>0</v>
      </c>
      <c r="BZ188" s="1125">
        <f t="shared" si="201"/>
        <v>1</v>
      </c>
      <c r="CA188" s="1125">
        <f t="shared" si="202"/>
        <v>1</v>
      </c>
      <c r="CB188" s="1125">
        <f t="shared" si="203"/>
        <v>1</v>
      </c>
      <c r="CC188" s="1125">
        <f t="shared" si="204"/>
        <v>1</v>
      </c>
      <c r="CD188" s="1125">
        <f t="shared" si="205"/>
        <v>1</v>
      </c>
      <c r="CE188" s="1125">
        <f t="shared" si="206"/>
        <v>1</v>
      </c>
      <c r="CF188" s="1125">
        <f t="shared" si="207"/>
        <v>1</v>
      </c>
      <c r="CG188" s="1125">
        <f t="shared" si="208"/>
        <v>0</v>
      </c>
      <c r="CH188" s="1125">
        <f t="shared" si="209"/>
        <v>0</v>
      </c>
      <c r="CI188" s="1125">
        <f t="shared" si="210"/>
        <v>0.85</v>
      </c>
      <c r="CJ188" s="1125">
        <f t="shared" si="211"/>
        <v>0.85</v>
      </c>
      <c r="CK188" s="1125">
        <f t="shared" si="212"/>
        <v>0.85</v>
      </c>
      <c r="CL188" s="1125">
        <f t="shared" si="213"/>
        <v>0.85</v>
      </c>
      <c r="CM188" s="1125">
        <f t="shared" si="214"/>
        <v>0.85</v>
      </c>
      <c r="CN188" s="1125">
        <f t="shared" si="215"/>
        <v>0.7</v>
      </c>
      <c r="CO188" s="1125">
        <f t="shared" si="216"/>
        <v>0.7</v>
      </c>
      <c r="CP188" s="1125">
        <f t="shared" si="217"/>
        <v>0.7</v>
      </c>
      <c r="CQ188" s="1125">
        <f t="shared" si="218"/>
        <v>0.7</v>
      </c>
      <c r="CR188" s="1125">
        <f t="shared" si="219"/>
        <v>0.85</v>
      </c>
      <c r="CS188" s="1125">
        <f t="shared" si="220"/>
        <v>0.85</v>
      </c>
      <c r="CT188" s="1125">
        <f t="shared" si="221"/>
        <v>0.85</v>
      </c>
      <c r="CU188" s="1125">
        <v>1</v>
      </c>
      <c r="CV188" s="1125"/>
      <c r="CW188" s="1125">
        <f t="shared" si="222"/>
        <v>214</v>
      </c>
      <c r="CX188" s="1125">
        <f t="shared" si="223"/>
        <v>151</v>
      </c>
      <c r="CY188" s="1136" t="s">
        <v>4881</v>
      </c>
      <c r="CZ188" s="1129" t="s">
        <v>4882</v>
      </c>
      <c r="DA188" s="1129"/>
      <c r="DB188" s="1129"/>
      <c r="DC188" s="1125" t="s">
        <v>5551</v>
      </c>
      <c r="DD188" s="1125" t="s">
        <v>512</v>
      </c>
      <c r="DE188" s="1120" t="str">
        <f t="shared" si="224"/>
        <v/>
      </c>
      <c r="DF188" s="1133">
        <v>0</v>
      </c>
      <c r="DG188" s="1120">
        <v>0</v>
      </c>
    </row>
    <row r="189" spans="1:111">
      <c r="A189" s="1125" t="s">
        <v>3194</v>
      </c>
      <c r="B189" s="1120" t="s">
        <v>3841</v>
      </c>
      <c r="C189" s="1120" t="s">
        <v>3842</v>
      </c>
      <c r="D189" s="1120" t="s">
        <v>1248</v>
      </c>
      <c r="E189" s="1120">
        <v>892</v>
      </c>
      <c r="F189" s="1120">
        <v>-92.22</v>
      </c>
      <c r="G189" s="1120">
        <v>38.82</v>
      </c>
      <c r="H189" s="1120">
        <v>-6</v>
      </c>
      <c r="I189" s="1121">
        <v>7.1599996566772459</v>
      </c>
      <c r="J189" s="1121">
        <v>91.579997253417972</v>
      </c>
      <c r="K189" s="1122">
        <v>75.919999313354495</v>
      </c>
      <c r="L189" s="1120">
        <v>5144.4000000000005</v>
      </c>
      <c r="M189" s="1120">
        <v>1254.6000000000001</v>
      </c>
      <c r="N189" s="1123">
        <v>27.320000171661377</v>
      </c>
      <c r="O189" s="1123">
        <v>27.860000085830688</v>
      </c>
      <c r="P189" s="1123">
        <v>46.040000343322752</v>
      </c>
      <c r="Q189" s="1123">
        <v>55.759999656677245</v>
      </c>
      <c r="R189" s="1123">
        <v>64.760001373291018</v>
      </c>
      <c r="S189" s="1123">
        <v>72.139998626708987</v>
      </c>
      <c r="T189" s="1123">
        <v>78.080000686645505</v>
      </c>
      <c r="U189" s="1123">
        <v>74.66000137329101</v>
      </c>
      <c r="V189" s="1123">
        <v>69.080000686645505</v>
      </c>
      <c r="W189" s="1123">
        <v>55.040000343322752</v>
      </c>
      <c r="X189" s="1123">
        <v>41.179999828338623</v>
      </c>
      <c r="Y189" s="1123">
        <v>31.1</v>
      </c>
      <c r="Z189" s="1123">
        <v>53.731178354498461</v>
      </c>
      <c r="AA189" s="1123">
        <f t="shared" si="150"/>
        <v>48.284071576025958</v>
      </c>
      <c r="AB189" s="1123">
        <f t="shared" si="151"/>
        <v>47.151216843883113</v>
      </c>
      <c r="AC189" s="1123">
        <f t="shared" si="152"/>
        <v>49.297522942557215</v>
      </c>
      <c r="AD189" s="1123">
        <f t="shared" si="153"/>
        <v>54.163522111850703</v>
      </c>
      <c r="AE189" s="1123">
        <f t="shared" si="154"/>
        <v>60.480816680970179</v>
      </c>
      <c r="AF189" s="1123">
        <f t="shared" si="155"/>
        <v>66.602706468018496</v>
      </c>
      <c r="AG189" s="1123">
        <f t="shared" si="156"/>
        <v>70.933426558824237</v>
      </c>
      <c r="AH189" s="1123">
        <f t="shared" si="157"/>
        <v>72.344108023302098</v>
      </c>
      <c r="AI189" s="1123">
        <f t="shared" si="158"/>
        <v>70.467034998476535</v>
      </c>
      <c r="AJ189" s="1123">
        <f t="shared" si="159"/>
        <v>65.791495494839239</v>
      </c>
      <c r="AK189" s="1123">
        <f t="shared" si="160"/>
        <v>59.536240936258025</v>
      </c>
      <c r="AL189" s="1123">
        <f t="shared" si="161"/>
        <v>53.331799819817725</v>
      </c>
      <c r="AM189" s="1120">
        <f t="shared" si="162"/>
        <v>1</v>
      </c>
      <c r="AN189" s="1120">
        <f t="shared" si="163"/>
        <v>1</v>
      </c>
      <c r="AO189" s="1120">
        <f t="shared" si="164"/>
        <v>1</v>
      </c>
      <c r="AP189" s="1120">
        <f t="shared" si="165"/>
        <v>1</v>
      </c>
      <c r="AQ189" s="1120">
        <f t="shared" si="166"/>
        <v>1</v>
      </c>
      <c r="AR189" s="1120">
        <f t="shared" si="167"/>
        <v>0</v>
      </c>
      <c r="AS189" s="1120">
        <f t="shared" si="168"/>
        <v>0</v>
      </c>
      <c r="AT189" s="1120">
        <f t="shared" si="169"/>
        <v>0</v>
      </c>
      <c r="AU189" s="1120">
        <f t="shared" si="170"/>
        <v>0</v>
      </c>
      <c r="AV189" s="1120">
        <f t="shared" si="171"/>
        <v>1</v>
      </c>
      <c r="AW189" s="1120">
        <f t="shared" si="172"/>
        <v>1</v>
      </c>
      <c r="AX189" s="1120">
        <f t="shared" si="173"/>
        <v>1</v>
      </c>
      <c r="AY189" s="1120">
        <f t="shared" si="174"/>
        <v>0</v>
      </c>
      <c r="AZ189" s="1120">
        <f t="shared" si="175"/>
        <v>0</v>
      </c>
      <c r="BA189" s="1120">
        <f t="shared" si="176"/>
        <v>0</v>
      </c>
      <c r="BB189" s="1120">
        <f t="shared" si="177"/>
        <v>0</v>
      </c>
      <c r="BC189" s="1120">
        <f t="shared" si="178"/>
        <v>0</v>
      </c>
      <c r="BD189" s="1120">
        <f t="shared" si="179"/>
        <v>1</v>
      </c>
      <c r="BE189" s="1120">
        <f t="shared" si="180"/>
        <v>1</v>
      </c>
      <c r="BF189" s="1120">
        <f t="shared" si="181"/>
        <v>1</v>
      </c>
      <c r="BG189" s="1120">
        <f t="shared" si="182"/>
        <v>1</v>
      </c>
      <c r="BH189" s="1120">
        <f t="shared" si="183"/>
        <v>0</v>
      </c>
      <c r="BI189" s="1120">
        <f t="shared" si="184"/>
        <v>0</v>
      </c>
      <c r="BJ189" s="1120">
        <f t="shared" si="185"/>
        <v>0</v>
      </c>
      <c r="BK189" s="1120">
        <f t="shared" si="186"/>
        <v>1</v>
      </c>
      <c r="BL189" s="1120">
        <f t="shared" si="187"/>
        <v>1</v>
      </c>
      <c r="BM189" s="1120">
        <f t="shared" si="188"/>
        <v>1</v>
      </c>
      <c r="BN189" s="1120">
        <f t="shared" si="189"/>
        <v>1</v>
      </c>
      <c r="BO189" s="1120">
        <f t="shared" si="190"/>
        <v>1</v>
      </c>
      <c r="BP189" s="1120">
        <f t="shared" si="191"/>
        <v>1</v>
      </c>
      <c r="BQ189" s="1120">
        <f t="shared" si="192"/>
        <v>0</v>
      </c>
      <c r="BR189" s="1120">
        <f t="shared" si="193"/>
        <v>0</v>
      </c>
      <c r="BS189" s="1120">
        <f t="shared" si="194"/>
        <v>0</v>
      </c>
      <c r="BT189" s="1120">
        <f t="shared" si="195"/>
        <v>1</v>
      </c>
      <c r="BU189" s="1120">
        <f t="shared" si="196"/>
        <v>1</v>
      </c>
      <c r="BV189" s="1120">
        <f t="shared" si="197"/>
        <v>1</v>
      </c>
      <c r="BW189" s="1120">
        <f t="shared" si="198"/>
        <v>0</v>
      </c>
      <c r="BX189" s="1120">
        <f t="shared" si="199"/>
        <v>0</v>
      </c>
      <c r="BY189" s="1120">
        <f t="shared" si="200"/>
        <v>0</v>
      </c>
      <c r="BZ189" s="1120">
        <f t="shared" si="201"/>
        <v>0</v>
      </c>
      <c r="CA189" s="1120">
        <f t="shared" si="202"/>
        <v>1</v>
      </c>
      <c r="CB189" s="1120">
        <f t="shared" si="203"/>
        <v>1</v>
      </c>
      <c r="CC189" s="1120">
        <f t="shared" si="204"/>
        <v>1</v>
      </c>
      <c r="CD189" s="1120">
        <f t="shared" si="205"/>
        <v>1</v>
      </c>
      <c r="CE189" s="1120">
        <f t="shared" si="206"/>
        <v>1</v>
      </c>
      <c r="CF189" s="1120">
        <f t="shared" si="207"/>
        <v>1</v>
      </c>
      <c r="CG189" s="1120">
        <f t="shared" si="208"/>
        <v>0</v>
      </c>
      <c r="CH189" s="1120">
        <f t="shared" si="209"/>
        <v>0</v>
      </c>
      <c r="CI189" s="1120">
        <f t="shared" si="210"/>
        <v>0.85</v>
      </c>
      <c r="CJ189" s="1120">
        <f t="shared" si="211"/>
        <v>0.85</v>
      </c>
      <c r="CK189" s="1120">
        <f t="shared" si="212"/>
        <v>0.85</v>
      </c>
      <c r="CL189" s="1120">
        <f t="shared" si="213"/>
        <v>0.85</v>
      </c>
      <c r="CM189" s="1120">
        <f t="shared" si="214"/>
        <v>0.85</v>
      </c>
      <c r="CN189" s="1120">
        <f t="shared" si="215"/>
        <v>0.85</v>
      </c>
      <c r="CO189" s="1120">
        <f t="shared" si="216"/>
        <v>0.7</v>
      </c>
      <c r="CP189" s="1120">
        <f t="shared" si="217"/>
        <v>0.7</v>
      </c>
      <c r="CQ189" s="1120">
        <f t="shared" si="218"/>
        <v>0.7</v>
      </c>
      <c r="CR189" s="1120">
        <f t="shared" si="219"/>
        <v>0.85</v>
      </c>
      <c r="CS189" s="1120">
        <f t="shared" si="220"/>
        <v>0.85</v>
      </c>
      <c r="CT189" s="1120">
        <f t="shared" si="221"/>
        <v>0.85</v>
      </c>
      <c r="CU189" s="1120">
        <v>1</v>
      </c>
      <c r="CV189" s="1120"/>
      <c r="CW189" s="1120">
        <f t="shared" si="222"/>
        <v>184</v>
      </c>
      <c r="CX189" s="1120">
        <f t="shared" si="223"/>
        <v>181</v>
      </c>
      <c r="CY189" s="1135" t="s">
        <v>4881</v>
      </c>
      <c r="CZ189" s="1124" t="s">
        <v>4885</v>
      </c>
      <c r="DA189" s="1124"/>
      <c r="DB189" s="1124"/>
      <c r="DC189" s="1120" t="s">
        <v>5347</v>
      </c>
      <c r="DD189" s="1120" t="s">
        <v>1248</v>
      </c>
      <c r="DE189" s="1120" t="str">
        <f t="shared" si="224"/>
        <v/>
      </c>
      <c r="DF189" s="1133">
        <v>0</v>
      </c>
      <c r="DG189" s="1125">
        <v>0</v>
      </c>
    </row>
    <row r="190" spans="1:111">
      <c r="A190" s="1120" t="s">
        <v>3196</v>
      </c>
      <c r="B190" s="1120" t="s">
        <v>3872</v>
      </c>
      <c r="C190" s="1120" t="s">
        <v>3873</v>
      </c>
      <c r="D190" s="1120" t="s">
        <v>460</v>
      </c>
      <c r="E190" s="1120">
        <v>223</v>
      </c>
      <c r="F190" s="1120">
        <v>-88.45</v>
      </c>
      <c r="G190" s="1120">
        <v>33.65</v>
      </c>
      <c r="H190" s="1120">
        <v>-6</v>
      </c>
      <c r="I190" s="1121">
        <v>24.979999828338624</v>
      </c>
      <c r="J190" s="1121">
        <v>94.460001373291021</v>
      </c>
      <c r="K190" s="1122">
        <v>76.280000686645508</v>
      </c>
      <c r="L190" s="1120">
        <v>3292.2000000000003</v>
      </c>
      <c r="M190" s="1120">
        <v>2062.8000000000002</v>
      </c>
      <c r="N190" s="1123">
        <v>39.920000171661378</v>
      </c>
      <c r="O190" s="1123">
        <v>48.380000686645509</v>
      </c>
      <c r="P190" s="1123">
        <v>50.719999313354492</v>
      </c>
      <c r="Q190" s="1123">
        <v>61.339998626708983</v>
      </c>
      <c r="R190" s="1123">
        <v>68.719999313354492</v>
      </c>
      <c r="S190" s="1123">
        <v>78.439998626708984</v>
      </c>
      <c r="T190" s="1123">
        <v>81.860001373291013</v>
      </c>
      <c r="U190" s="1123">
        <v>79.880000686645502</v>
      </c>
      <c r="V190" s="1123">
        <v>74.480000686645511</v>
      </c>
      <c r="W190" s="1123">
        <v>62.419999313354495</v>
      </c>
      <c r="X190" s="1123">
        <v>48.740000343322755</v>
      </c>
      <c r="Y190" s="1123">
        <v>37.039999914169314</v>
      </c>
      <c r="Z190" s="1123">
        <v>61.04657526133812</v>
      </c>
      <c r="AA190" s="1123">
        <f t="shared" si="150"/>
        <v>54.867760374577898</v>
      </c>
      <c r="AB190" s="1123">
        <f t="shared" si="151"/>
        <v>54.536166617162472</v>
      </c>
      <c r="AC190" s="1123">
        <f t="shared" si="152"/>
        <v>57.465603664084384</v>
      </c>
      <c r="AD190" s="1123">
        <f t="shared" si="153"/>
        <v>62.892468605072033</v>
      </c>
      <c r="AE190" s="1123">
        <f t="shared" si="154"/>
        <v>69.402165462736789</v>
      </c>
      <c r="AF190" s="1123">
        <f t="shared" si="155"/>
        <v>75.297841433663166</v>
      </c>
      <c r="AG190" s="1123">
        <f t="shared" si="156"/>
        <v>79.042697720912315</v>
      </c>
      <c r="AH190" s="1123">
        <f t="shared" si="157"/>
        <v>79.66057982323052</v>
      </c>
      <c r="AI190" s="1123">
        <f t="shared" si="158"/>
        <v>76.990427248797104</v>
      </c>
      <c r="AJ190" s="1123">
        <f t="shared" si="159"/>
        <v>71.728256414434853</v>
      </c>
      <c r="AK190" s="1123">
        <f t="shared" si="160"/>
        <v>65.245733240627516</v>
      </c>
      <c r="AL190" s="1123">
        <f t="shared" si="161"/>
        <v>59.232627291333962</v>
      </c>
      <c r="AM190" s="1120">
        <f t="shared" si="162"/>
        <v>1</v>
      </c>
      <c r="AN190" s="1120">
        <f t="shared" si="163"/>
        <v>1</v>
      </c>
      <c r="AO190" s="1120">
        <f t="shared" si="164"/>
        <v>1</v>
      </c>
      <c r="AP190" s="1120">
        <f t="shared" si="165"/>
        <v>1</v>
      </c>
      <c r="AQ190" s="1120">
        <f t="shared" si="166"/>
        <v>0</v>
      </c>
      <c r="AR190" s="1120">
        <f t="shared" si="167"/>
        <v>0</v>
      </c>
      <c r="AS190" s="1120">
        <f t="shared" si="168"/>
        <v>0</v>
      </c>
      <c r="AT190" s="1120">
        <f t="shared" si="169"/>
        <v>0</v>
      </c>
      <c r="AU190" s="1120">
        <f t="shared" si="170"/>
        <v>0</v>
      </c>
      <c r="AV190" s="1120">
        <f t="shared" si="171"/>
        <v>1</v>
      </c>
      <c r="AW190" s="1120">
        <f t="shared" si="172"/>
        <v>1</v>
      </c>
      <c r="AX190" s="1120">
        <f t="shared" si="173"/>
        <v>1</v>
      </c>
      <c r="AY190" s="1120">
        <f t="shared" si="174"/>
        <v>0</v>
      </c>
      <c r="AZ190" s="1120">
        <f t="shared" si="175"/>
        <v>0</v>
      </c>
      <c r="BA190" s="1120">
        <f t="shared" si="176"/>
        <v>0</v>
      </c>
      <c r="BB190" s="1120">
        <f t="shared" si="177"/>
        <v>0</v>
      </c>
      <c r="BC190" s="1120">
        <f t="shared" si="178"/>
        <v>1</v>
      </c>
      <c r="BD190" s="1120">
        <f t="shared" si="179"/>
        <v>1</v>
      </c>
      <c r="BE190" s="1120">
        <f t="shared" si="180"/>
        <v>1</v>
      </c>
      <c r="BF190" s="1120">
        <f t="shared" si="181"/>
        <v>1</v>
      </c>
      <c r="BG190" s="1120">
        <f t="shared" si="182"/>
        <v>1</v>
      </c>
      <c r="BH190" s="1120">
        <f t="shared" si="183"/>
        <v>0</v>
      </c>
      <c r="BI190" s="1120">
        <f t="shared" si="184"/>
        <v>0</v>
      </c>
      <c r="BJ190" s="1120">
        <f t="shared" si="185"/>
        <v>0</v>
      </c>
      <c r="BK190" s="1120">
        <f t="shared" si="186"/>
        <v>1</v>
      </c>
      <c r="BL190" s="1120">
        <f t="shared" si="187"/>
        <v>1</v>
      </c>
      <c r="BM190" s="1120">
        <f t="shared" si="188"/>
        <v>1</v>
      </c>
      <c r="BN190" s="1120">
        <f t="shared" si="189"/>
        <v>1</v>
      </c>
      <c r="BO190" s="1120">
        <f t="shared" si="190"/>
        <v>1</v>
      </c>
      <c r="BP190" s="1120">
        <f t="shared" si="191"/>
        <v>0</v>
      </c>
      <c r="BQ190" s="1120">
        <f t="shared" si="192"/>
        <v>0</v>
      </c>
      <c r="BR190" s="1120">
        <f t="shared" si="193"/>
        <v>0</v>
      </c>
      <c r="BS190" s="1120">
        <f t="shared" si="194"/>
        <v>0</v>
      </c>
      <c r="BT190" s="1120">
        <f t="shared" si="195"/>
        <v>1</v>
      </c>
      <c r="BU190" s="1120">
        <f t="shared" si="196"/>
        <v>1</v>
      </c>
      <c r="BV190" s="1120">
        <f t="shared" si="197"/>
        <v>1</v>
      </c>
      <c r="BW190" s="1120">
        <f t="shared" si="198"/>
        <v>0</v>
      </c>
      <c r="BX190" s="1120">
        <f t="shared" si="199"/>
        <v>0</v>
      </c>
      <c r="BY190" s="1120">
        <f t="shared" si="200"/>
        <v>0</v>
      </c>
      <c r="BZ190" s="1120">
        <f t="shared" si="201"/>
        <v>1</v>
      </c>
      <c r="CA190" s="1120">
        <f t="shared" si="202"/>
        <v>1</v>
      </c>
      <c r="CB190" s="1120">
        <f t="shared" si="203"/>
        <v>1</v>
      </c>
      <c r="CC190" s="1120">
        <f t="shared" si="204"/>
        <v>1</v>
      </c>
      <c r="CD190" s="1120">
        <f t="shared" si="205"/>
        <v>1</v>
      </c>
      <c r="CE190" s="1120">
        <f t="shared" si="206"/>
        <v>1</v>
      </c>
      <c r="CF190" s="1120">
        <f t="shared" si="207"/>
        <v>1</v>
      </c>
      <c r="CG190" s="1120">
        <f t="shared" si="208"/>
        <v>0</v>
      </c>
      <c r="CH190" s="1120">
        <f t="shared" si="209"/>
        <v>0</v>
      </c>
      <c r="CI190" s="1120">
        <f t="shared" si="210"/>
        <v>0.85</v>
      </c>
      <c r="CJ190" s="1120">
        <f t="shared" si="211"/>
        <v>0.85</v>
      </c>
      <c r="CK190" s="1120">
        <f t="shared" si="212"/>
        <v>0.85</v>
      </c>
      <c r="CL190" s="1120">
        <f t="shared" si="213"/>
        <v>0.85</v>
      </c>
      <c r="CM190" s="1120">
        <f t="shared" si="214"/>
        <v>0.85</v>
      </c>
      <c r="CN190" s="1120">
        <f t="shared" si="215"/>
        <v>0.7</v>
      </c>
      <c r="CO190" s="1120">
        <f t="shared" si="216"/>
        <v>0.7</v>
      </c>
      <c r="CP190" s="1120">
        <f t="shared" si="217"/>
        <v>0.7</v>
      </c>
      <c r="CQ190" s="1120">
        <f t="shared" si="218"/>
        <v>0.7</v>
      </c>
      <c r="CR190" s="1120">
        <f t="shared" si="219"/>
        <v>0.85</v>
      </c>
      <c r="CS190" s="1120">
        <f t="shared" si="220"/>
        <v>0.85</v>
      </c>
      <c r="CT190" s="1120">
        <f t="shared" si="221"/>
        <v>0.85</v>
      </c>
      <c r="CU190" s="1120">
        <v>1</v>
      </c>
      <c r="CV190" s="1120"/>
      <c r="CW190" s="1120">
        <f t="shared" si="222"/>
        <v>214</v>
      </c>
      <c r="CX190" s="1120">
        <f t="shared" si="223"/>
        <v>151</v>
      </c>
      <c r="CY190" s="1135" t="s">
        <v>4881</v>
      </c>
      <c r="CZ190" s="1124" t="s">
        <v>4882</v>
      </c>
      <c r="DA190" s="1124"/>
      <c r="DB190" s="1124"/>
      <c r="DC190" s="1120" t="s">
        <v>5362</v>
      </c>
      <c r="DD190" s="1120" t="s">
        <v>460</v>
      </c>
      <c r="DE190" s="1120" t="str">
        <f t="shared" si="224"/>
        <v/>
      </c>
      <c r="DF190" s="1133">
        <v>0</v>
      </c>
      <c r="DG190" s="1120">
        <v>0</v>
      </c>
    </row>
    <row r="191" spans="1:111">
      <c r="A191" s="1125" t="s">
        <v>5820</v>
      </c>
      <c r="B191" s="1120" t="s">
        <v>3360</v>
      </c>
      <c r="C191" s="1120" t="s">
        <v>3361</v>
      </c>
      <c r="D191" s="1120" t="s">
        <v>428</v>
      </c>
      <c r="E191" s="1120">
        <v>394</v>
      </c>
      <c r="F191" s="1120">
        <v>-84.95</v>
      </c>
      <c r="G191" s="1120">
        <v>32.520000000000003</v>
      </c>
      <c r="H191" s="1120">
        <v>-6</v>
      </c>
      <c r="I191" s="1121">
        <v>28.939999914169313</v>
      </c>
      <c r="J191" s="1121">
        <v>94.100000000000009</v>
      </c>
      <c r="K191" s="1122">
        <v>74.83999862670899</v>
      </c>
      <c r="L191" s="1120">
        <v>2030.4</v>
      </c>
      <c r="M191" s="1120">
        <v>2388.6</v>
      </c>
      <c r="N191" s="1123">
        <v>44.959999656677248</v>
      </c>
      <c r="O191" s="1123">
        <v>50</v>
      </c>
      <c r="P191" s="1123">
        <v>59.180000686645506</v>
      </c>
      <c r="Q191" s="1123">
        <v>65.3</v>
      </c>
      <c r="R191" s="1123">
        <v>71.419999313354495</v>
      </c>
      <c r="S191" s="1123">
        <v>79.880000686645502</v>
      </c>
      <c r="T191" s="1123">
        <v>82.219999313354492</v>
      </c>
      <c r="U191" s="1123">
        <v>81.319999313354487</v>
      </c>
      <c r="V191" s="1123">
        <v>77.180000686645513</v>
      </c>
      <c r="W191" s="1123">
        <v>63.86000137329102</v>
      </c>
      <c r="X191" s="1123">
        <v>59</v>
      </c>
      <c r="Y191" s="1123">
        <v>49.280000686645508</v>
      </c>
      <c r="Z191" s="1123">
        <v>65.370520689977354</v>
      </c>
      <c r="AA191" s="1123">
        <f t="shared" si="150"/>
        <v>60.250245775791612</v>
      </c>
      <c r="AB191" s="1123">
        <f t="shared" si="151"/>
        <v>60.387907744458857</v>
      </c>
      <c r="AC191" s="1123">
        <f t="shared" si="152"/>
        <v>63.388357024564058</v>
      </c>
      <c r="AD191" s="1123">
        <f t="shared" si="153"/>
        <v>68.46948027292477</v>
      </c>
      <c r="AE191" s="1123">
        <f t="shared" si="154"/>
        <v>74.306804412376309</v>
      </c>
      <c r="AF191" s="1123">
        <f t="shared" si="155"/>
        <v>79.378740950082715</v>
      </c>
      <c r="AG191" s="1123">
        <f t="shared" si="156"/>
        <v>82.36321146658284</v>
      </c>
      <c r="AH191" s="1123">
        <f t="shared" si="157"/>
        <v>82.482267729668109</v>
      </c>
      <c r="AI191" s="1123">
        <f t="shared" si="158"/>
        <v>79.704875889652797</v>
      </c>
      <c r="AJ191" s="1123">
        <f t="shared" si="159"/>
        <v>74.755005930540719</v>
      </c>
      <c r="AK191" s="1123">
        <f t="shared" si="160"/>
        <v>68.922917736979471</v>
      </c>
      <c r="AL191" s="1123">
        <f t="shared" si="161"/>
        <v>63.728834971820369</v>
      </c>
      <c r="AM191" s="1120">
        <f t="shared" si="162"/>
        <v>1</v>
      </c>
      <c r="AN191" s="1120">
        <f t="shared" si="163"/>
        <v>1</v>
      </c>
      <c r="AO191" s="1120">
        <f t="shared" si="164"/>
        <v>1</v>
      </c>
      <c r="AP191" s="1120">
        <f t="shared" si="165"/>
        <v>1</v>
      </c>
      <c r="AQ191" s="1120">
        <f t="shared" si="166"/>
        <v>0</v>
      </c>
      <c r="AR191" s="1120">
        <f t="shared" si="167"/>
        <v>0</v>
      </c>
      <c r="AS191" s="1120">
        <f t="shared" si="168"/>
        <v>0</v>
      </c>
      <c r="AT191" s="1120">
        <f t="shared" si="169"/>
        <v>0</v>
      </c>
      <c r="AU191" s="1120">
        <f t="shared" si="170"/>
        <v>0</v>
      </c>
      <c r="AV191" s="1120">
        <f t="shared" si="171"/>
        <v>1</v>
      </c>
      <c r="AW191" s="1120">
        <f t="shared" si="172"/>
        <v>1</v>
      </c>
      <c r="AX191" s="1120">
        <f t="shared" si="173"/>
        <v>1</v>
      </c>
      <c r="AY191" s="1120">
        <f t="shared" si="174"/>
        <v>0</v>
      </c>
      <c r="AZ191" s="1120">
        <f t="shared" si="175"/>
        <v>0</v>
      </c>
      <c r="BA191" s="1120">
        <f t="shared" si="176"/>
        <v>0</v>
      </c>
      <c r="BB191" s="1120">
        <f t="shared" si="177"/>
        <v>0</v>
      </c>
      <c r="BC191" s="1120">
        <f t="shared" si="178"/>
        <v>1</v>
      </c>
      <c r="BD191" s="1120">
        <f t="shared" si="179"/>
        <v>1</v>
      </c>
      <c r="BE191" s="1120">
        <f t="shared" si="180"/>
        <v>1</v>
      </c>
      <c r="BF191" s="1120">
        <f t="shared" si="181"/>
        <v>1</v>
      </c>
      <c r="BG191" s="1120">
        <f t="shared" si="182"/>
        <v>1</v>
      </c>
      <c r="BH191" s="1120">
        <f t="shared" si="183"/>
        <v>0</v>
      </c>
      <c r="BI191" s="1120">
        <f t="shared" si="184"/>
        <v>0</v>
      </c>
      <c r="BJ191" s="1120">
        <f t="shared" si="185"/>
        <v>0</v>
      </c>
      <c r="BK191" s="1120">
        <f t="shared" si="186"/>
        <v>1</v>
      </c>
      <c r="BL191" s="1120">
        <f t="shared" si="187"/>
        <v>1</v>
      </c>
      <c r="BM191" s="1120">
        <f t="shared" si="188"/>
        <v>1</v>
      </c>
      <c r="BN191" s="1120">
        <f t="shared" si="189"/>
        <v>1</v>
      </c>
      <c r="BO191" s="1120">
        <f t="shared" si="190"/>
        <v>1</v>
      </c>
      <c r="BP191" s="1120">
        <f t="shared" si="191"/>
        <v>0</v>
      </c>
      <c r="BQ191" s="1120">
        <f t="shared" si="192"/>
        <v>0</v>
      </c>
      <c r="BR191" s="1120">
        <f t="shared" si="193"/>
        <v>0</v>
      </c>
      <c r="BS191" s="1120">
        <f t="shared" si="194"/>
        <v>0</v>
      </c>
      <c r="BT191" s="1120">
        <f t="shared" si="195"/>
        <v>1</v>
      </c>
      <c r="BU191" s="1120">
        <f t="shared" si="196"/>
        <v>1</v>
      </c>
      <c r="BV191" s="1120">
        <f t="shared" si="197"/>
        <v>1</v>
      </c>
      <c r="BW191" s="1120">
        <f t="shared" si="198"/>
        <v>0</v>
      </c>
      <c r="BX191" s="1120">
        <f t="shared" si="199"/>
        <v>0</v>
      </c>
      <c r="BY191" s="1120">
        <f t="shared" si="200"/>
        <v>0</v>
      </c>
      <c r="BZ191" s="1120">
        <f t="shared" si="201"/>
        <v>1</v>
      </c>
      <c r="CA191" s="1120">
        <f t="shared" si="202"/>
        <v>1</v>
      </c>
      <c r="CB191" s="1120">
        <f t="shared" si="203"/>
        <v>1</v>
      </c>
      <c r="CC191" s="1120">
        <f t="shared" si="204"/>
        <v>1</v>
      </c>
      <c r="CD191" s="1120">
        <f t="shared" si="205"/>
        <v>1</v>
      </c>
      <c r="CE191" s="1120">
        <f t="shared" si="206"/>
        <v>1</v>
      </c>
      <c r="CF191" s="1120">
        <f t="shared" si="207"/>
        <v>1</v>
      </c>
      <c r="CG191" s="1120">
        <f t="shared" si="208"/>
        <v>0</v>
      </c>
      <c r="CH191" s="1120">
        <f t="shared" si="209"/>
        <v>0</v>
      </c>
      <c r="CI191" s="1120">
        <f t="shared" si="210"/>
        <v>0.85</v>
      </c>
      <c r="CJ191" s="1120">
        <f t="shared" si="211"/>
        <v>0.85</v>
      </c>
      <c r="CK191" s="1120">
        <f t="shared" si="212"/>
        <v>0.85</v>
      </c>
      <c r="CL191" s="1120">
        <f t="shared" si="213"/>
        <v>0.85</v>
      </c>
      <c r="CM191" s="1120">
        <f t="shared" si="214"/>
        <v>0.85</v>
      </c>
      <c r="CN191" s="1120">
        <f t="shared" si="215"/>
        <v>0.7</v>
      </c>
      <c r="CO191" s="1120">
        <f t="shared" si="216"/>
        <v>0.7</v>
      </c>
      <c r="CP191" s="1120">
        <f t="shared" si="217"/>
        <v>0.7</v>
      </c>
      <c r="CQ191" s="1120">
        <f t="shared" si="218"/>
        <v>0.7</v>
      </c>
      <c r="CR191" s="1120">
        <f t="shared" si="219"/>
        <v>0.85</v>
      </c>
      <c r="CS191" s="1120">
        <f t="shared" si="220"/>
        <v>0.85</v>
      </c>
      <c r="CT191" s="1120">
        <f t="shared" si="221"/>
        <v>0.85</v>
      </c>
      <c r="CU191" s="1120">
        <v>1</v>
      </c>
      <c r="CV191" s="1120"/>
      <c r="CW191" s="1120">
        <f t="shared" si="222"/>
        <v>214</v>
      </c>
      <c r="CX191" s="1120">
        <f t="shared" si="223"/>
        <v>151</v>
      </c>
      <c r="CY191" s="1135" t="s">
        <v>4881</v>
      </c>
      <c r="CZ191" s="1124" t="s">
        <v>4882</v>
      </c>
      <c r="DA191" s="1124"/>
      <c r="DB191" s="1124"/>
      <c r="DC191" s="1120" t="s">
        <v>5137</v>
      </c>
      <c r="DD191" s="1120" t="s">
        <v>428</v>
      </c>
      <c r="DE191" s="1120" t="str">
        <f t="shared" si="224"/>
        <v/>
      </c>
      <c r="DF191" s="1133">
        <v>0</v>
      </c>
      <c r="DG191" s="1125">
        <v>0</v>
      </c>
    </row>
    <row r="192" spans="1:111">
      <c r="A192" s="1120" t="s">
        <v>3198</v>
      </c>
      <c r="B192" s="1120" t="s">
        <v>4000</v>
      </c>
      <c r="C192" s="1120" t="s">
        <v>4001</v>
      </c>
      <c r="D192" s="1120" t="s">
        <v>771</v>
      </c>
      <c r="E192" s="1120">
        <v>1479</v>
      </c>
      <c r="F192" s="1120">
        <v>-97.33</v>
      </c>
      <c r="G192" s="1120">
        <v>41.45</v>
      </c>
      <c r="H192" s="1120">
        <v>-6</v>
      </c>
      <c r="I192" s="1121">
        <v>-0.21999931335449299</v>
      </c>
      <c r="J192" s="1121">
        <v>90.679997253417966</v>
      </c>
      <c r="K192" s="1122">
        <v>73.580000686645505</v>
      </c>
      <c r="L192" s="1120">
        <v>6478.2</v>
      </c>
      <c r="M192" s="1120">
        <v>1018.8000000000001</v>
      </c>
      <c r="N192" s="1123">
        <v>19.940000343322755</v>
      </c>
      <c r="O192" s="1123">
        <v>25.160000085830688</v>
      </c>
      <c r="P192" s="1123">
        <v>30.740000021457671</v>
      </c>
      <c r="Q192" s="1123">
        <v>52.340000343322757</v>
      </c>
      <c r="R192" s="1123">
        <v>63.86000137329102</v>
      </c>
      <c r="S192" s="1123">
        <v>68.360001373291013</v>
      </c>
      <c r="T192" s="1123">
        <v>78.080000686645505</v>
      </c>
      <c r="U192" s="1123">
        <v>70.33999862670899</v>
      </c>
      <c r="V192" s="1123">
        <v>64.580000686645505</v>
      </c>
      <c r="W192" s="1123">
        <v>53.419999313354495</v>
      </c>
      <c r="X192" s="1123">
        <v>38.839999914169312</v>
      </c>
      <c r="Y192" s="1123">
        <v>26.420000171661378</v>
      </c>
      <c r="Z192" s="1123">
        <v>49.465424900152911</v>
      </c>
      <c r="AA192" s="1123">
        <f t="shared" si="150"/>
        <v>43.919319879584229</v>
      </c>
      <c r="AB192" s="1123">
        <f t="shared" si="151"/>
        <v>42.249049741063821</v>
      </c>
      <c r="AC192" s="1123">
        <f t="shared" si="152"/>
        <v>44.023831458266244</v>
      </c>
      <c r="AD192" s="1123">
        <f t="shared" si="153"/>
        <v>48.781040826388534</v>
      </c>
      <c r="AE192" s="1123">
        <f t="shared" si="154"/>
        <v>55.280637912814157</v>
      </c>
      <c r="AF192" s="1123">
        <f t="shared" si="155"/>
        <v>61.828402575143301</v>
      </c>
      <c r="AG192" s="1123">
        <f t="shared" si="156"/>
        <v>66.717559050032079</v>
      </c>
      <c r="AH192" s="1123">
        <f t="shared" si="157"/>
        <v>68.673673358118805</v>
      </c>
      <c r="AI192" s="1123">
        <f t="shared" si="158"/>
        <v>67.186854160366735</v>
      </c>
      <c r="AJ192" s="1123">
        <f t="shared" si="159"/>
        <v>62.644663793247311</v>
      </c>
      <c r="AK192" s="1123">
        <f t="shared" si="160"/>
        <v>56.231094173222594</v>
      </c>
      <c r="AL192" s="1123">
        <f t="shared" si="161"/>
        <v>49.617941057851596</v>
      </c>
      <c r="AM192" s="1120">
        <f t="shared" si="162"/>
        <v>1</v>
      </c>
      <c r="AN192" s="1120">
        <f t="shared" si="163"/>
        <v>1</v>
      </c>
      <c r="AO192" s="1120">
        <f t="shared" si="164"/>
        <v>1</v>
      </c>
      <c r="AP192" s="1120">
        <f t="shared" si="165"/>
        <v>1</v>
      </c>
      <c r="AQ192" s="1120">
        <f t="shared" si="166"/>
        <v>1</v>
      </c>
      <c r="AR192" s="1120">
        <f t="shared" si="167"/>
        <v>0</v>
      </c>
      <c r="AS192" s="1120">
        <f t="shared" si="168"/>
        <v>0</v>
      </c>
      <c r="AT192" s="1120">
        <f t="shared" si="169"/>
        <v>0</v>
      </c>
      <c r="AU192" s="1120">
        <f t="shared" si="170"/>
        <v>1</v>
      </c>
      <c r="AV192" s="1120">
        <f t="shared" si="171"/>
        <v>1</v>
      </c>
      <c r="AW192" s="1120">
        <f t="shared" si="172"/>
        <v>1</v>
      </c>
      <c r="AX192" s="1120">
        <f t="shared" si="173"/>
        <v>1</v>
      </c>
      <c r="AY192" s="1120">
        <f t="shared" si="174"/>
        <v>0</v>
      </c>
      <c r="AZ192" s="1120">
        <f t="shared" si="175"/>
        <v>0</v>
      </c>
      <c r="BA192" s="1120">
        <f t="shared" si="176"/>
        <v>0</v>
      </c>
      <c r="BB192" s="1120">
        <f t="shared" si="177"/>
        <v>0</v>
      </c>
      <c r="BC192" s="1120">
        <f t="shared" si="178"/>
        <v>0</v>
      </c>
      <c r="BD192" s="1120">
        <f t="shared" si="179"/>
        <v>1</v>
      </c>
      <c r="BE192" s="1120">
        <f t="shared" si="180"/>
        <v>1</v>
      </c>
      <c r="BF192" s="1120">
        <f t="shared" si="181"/>
        <v>1</v>
      </c>
      <c r="BG192" s="1120">
        <f t="shared" si="182"/>
        <v>0</v>
      </c>
      <c r="BH192" s="1120">
        <f t="shared" si="183"/>
        <v>0</v>
      </c>
      <c r="BI192" s="1120">
        <f t="shared" si="184"/>
        <v>0</v>
      </c>
      <c r="BJ192" s="1120">
        <f t="shared" si="185"/>
        <v>0</v>
      </c>
      <c r="BK192" s="1120">
        <f t="shared" si="186"/>
        <v>1</v>
      </c>
      <c r="BL192" s="1120">
        <f t="shared" si="187"/>
        <v>1</v>
      </c>
      <c r="BM192" s="1120">
        <f t="shared" si="188"/>
        <v>1</v>
      </c>
      <c r="BN192" s="1120">
        <f t="shared" si="189"/>
        <v>1</v>
      </c>
      <c r="BO192" s="1120">
        <f t="shared" si="190"/>
        <v>1</v>
      </c>
      <c r="BP192" s="1120">
        <f t="shared" si="191"/>
        <v>1</v>
      </c>
      <c r="BQ192" s="1120">
        <f t="shared" si="192"/>
        <v>0</v>
      </c>
      <c r="BR192" s="1120">
        <f t="shared" si="193"/>
        <v>0</v>
      </c>
      <c r="BS192" s="1120">
        <f t="shared" si="194"/>
        <v>1</v>
      </c>
      <c r="BT192" s="1120">
        <f t="shared" si="195"/>
        <v>1</v>
      </c>
      <c r="BU192" s="1120">
        <f t="shared" si="196"/>
        <v>1</v>
      </c>
      <c r="BV192" s="1120">
        <f t="shared" si="197"/>
        <v>1</v>
      </c>
      <c r="BW192" s="1120">
        <f t="shared" si="198"/>
        <v>0</v>
      </c>
      <c r="BX192" s="1120">
        <f t="shared" si="199"/>
        <v>0</v>
      </c>
      <c r="BY192" s="1120">
        <f t="shared" si="200"/>
        <v>0</v>
      </c>
      <c r="BZ192" s="1120">
        <f t="shared" si="201"/>
        <v>0</v>
      </c>
      <c r="CA192" s="1120">
        <f t="shared" si="202"/>
        <v>1</v>
      </c>
      <c r="CB192" s="1120">
        <f t="shared" si="203"/>
        <v>1</v>
      </c>
      <c r="CC192" s="1120">
        <f t="shared" si="204"/>
        <v>1</v>
      </c>
      <c r="CD192" s="1120">
        <f t="shared" si="205"/>
        <v>1</v>
      </c>
      <c r="CE192" s="1120">
        <f t="shared" si="206"/>
        <v>1</v>
      </c>
      <c r="CF192" s="1120">
        <f t="shared" si="207"/>
        <v>0</v>
      </c>
      <c r="CG192" s="1120">
        <f t="shared" si="208"/>
        <v>0</v>
      </c>
      <c r="CH192" s="1120">
        <f t="shared" si="209"/>
        <v>0</v>
      </c>
      <c r="CI192" s="1120">
        <f t="shared" si="210"/>
        <v>0.85</v>
      </c>
      <c r="CJ192" s="1120">
        <f t="shared" si="211"/>
        <v>0.85</v>
      </c>
      <c r="CK192" s="1120">
        <f t="shared" si="212"/>
        <v>0.85</v>
      </c>
      <c r="CL192" s="1120">
        <f t="shared" si="213"/>
        <v>0.85</v>
      </c>
      <c r="CM192" s="1120">
        <f t="shared" si="214"/>
        <v>0.85</v>
      </c>
      <c r="CN192" s="1120">
        <f t="shared" si="215"/>
        <v>0.85</v>
      </c>
      <c r="CO192" s="1120">
        <f t="shared" si="216"/>
        <v>0.7</v>
      </c>
      <c r="CP192" s="1120">
        <f t="shared" si="217"/>
        <v>0.7</v>
      </c>
      <c r="CQ192" s="1120">
        <f t="shared" si="218"/>
        <v>0.85</v>
      </c>
      <c r="CR192" s="1120">
        <f t="shared" si="219"/>
        <v>0.85</v>
      </c>
      <c r="CS192" s="1120">
        <f t="shared" si="220"/>
        <v>0.85</v>
      </c>
      <c r="CT192" s="1120">
        <f t="shared" si="221"/>
        <v>0.85</v>
      </c>
      <c r="CU192" s="1120">
        <v>1</v>
      </c>
      <c r="CV192" s="1120"/>
      <c r="CW192" s="1120">
        <f t="shared" si="222"/>
        <v>153</v>
      </c>
      <c r="CX192" s="1120">
        <f t="shared" si="223"/>
        <v>212</v>
      </c>
      <c r="CY192" s="1136" t="s">
        <v>4889</v>
      </c>
      <c r="CZ192" s="1129" t="s">
        <v>4897</v>
      </c>
      <c r="DA192" s="1129"/>
      <c r="DB192" s="1129"/>
      <c r="DC192" s="1125" t="s">
        <v>5417</v>
      </c>
      <c r="DD192" s="1125" t="s">
        <v>771</v>
      </c>
      <c r="DE192" s="1120" t="str">
        <f t="shared" si="224"/>
        <v/>
      </c>
      <c r="DF192" s="1133">
        <v>0</v>
      </c>
      <c r="DG192" s="1120">
        <v>0</v>
      </c>
    </row>
    <row r="193" spans="1:111">
      <c r="A193" s="1125" t="s">
        <v>3200</v>
      </c>
      <c r="B193" s="1125" t="s">
        <v>4172</v>
      </c>
      <c r="C193" s="1125" t="s">
        <v>4173</v>
      </c>
      <c r="D193" s="1125" t="s">
        <v>229</v>
      </c>
      <c r="E193" s="1125">
        <v>810</v>
      </c>
      <c r="F193" s="1125">
        <v>-82.88</v>
      </c>
      <c r="G193" s="1125">
        <v>39.979999999999997</v>
      </c>
      <c r="H193" s="1125">
        <v>-5</v>
      </c>
      <c r="I193" s="1126">
        <v>9.1400003433227539</v>
      </c>
      <c r="J193" s="1126">
        <v>88.7</v>
      </c>
      <c r="K193" s="1127">
        <v>72.860001373291013</v>
      </c>
      <c r="L193" s="1125">
        <v>5374.8</v>
      </c>
      <c r="M193" s="1125">
        <v>815.4</v>
      </c>
      <c r="N193" s="1128">
        <v>27.5</v>
      </c>
      <c r="O193" s="1128">
        <v>28.76000008583069</v>
      </c>
      <c r="P193" s="1128">
        <v>41.540000343322752</v>
      </c>
      <c r="Q193" s="1128">
        <v>53.059999656677249</v>
      </c>
      <c r="R193" s="1128">
        <v>63.139998626708987</v>
      </c>
      <c r="S193" s="1128">
        <v>69.8</v>
      </c>
      <c r="T193" s="1128">
        <v>73.400000000000006</v>
      </c>
      <c r="U193" s="1128">
        <v>71.419999313354495</v>
      </c>
      <c r="V193" s="1128">
        <v>64.400000000000006</v>
      </c>
      <c r="W193" s="1128">
        <v>51.259999656677245</v>
      </c>
      <c r="X193" s="1128">
        <v>44.059999656677249</v>
      </c>
      <c r="Y193" s="1128">
        <v>32.720000010728839</v>
      </c>
      <c r="Z193" s="1128">
        <v>51.877424433639604</v>
      </c>
      <c r="AA193" s="1128">
        <f t="shared" si="150"/>
        <v>48.064872593799926</v>
      </c>
      <c r="AB193" s="1128">
        <f t="shared" si="151"/>
        <v>46.903023775557514</v>
      </c>
      <c r="AC193" s="1128">
        <f t="shared" si="152"/>
        <v>48.601821609477575</v>
      </c>
      <c r="AD193" s="1128">
        <f t="shared" si="153"/>
        <v>52.718448260881793</v>
      </c>
      <c r="AE193" s="1128">
        <f t="shared" si="154"/>
        <v>58.179841553944662</v>
      </c>
      <c r="AF193" s="1128">
        <f t="shared" si="155"/>
        <v>63.562405164211135</v>
      </c>
      <c r="AG193" s="1128">
        <f t="shared" si="156"/>
        <v>67.463090938849192</v>
      </c>
      <c r="AH193" s="1128">
        <f t="shared" si="157"/>
        <v>68.865125019312103</v>
      </c>
      <c r="AI193" s="1128">
        <f t="shared" si="158"/>
        <v>67.40304561652799</v>
      </c>
      <c r="AJ193" s="1128">
        <f t="shared" si="159"/>
        <v>63.45796625815818</v>
      </c>
      <c r="AK193" s="1128">
        <f t="shared" si="160"/>
        <v>58.05823267447493</v>
      </c>
      <c r="AL193" s="1128">
        <f t="shared" si="161"/>
        <v>52.611368636478609</v>
      </c>
      <c r="AM193" s="1125">
        <f t="shared" si="162"/>
        <v>1</v>
      </c>
      <c r="AN193" s="1125">
        <f t="shared" si="163"/>
        <v>1</v>
      </c>
      <c r="AO193" s="1125">
        <f t="shared" si="164"/>
        <v>1</v>
      </c>
      <c r="AP193" s="1125">
        <f t="shared" si="165"/>
        <v>1</v>
      </c>
      <c r="AQ193" s="1125">
        <f t="shared" si="166"/>
        <v>1</v>
      </c>
      <c r="AR193" s="1125">
        <f t="shared" si="167"/>
        <v>0</v>
      </c>
      <c r="AS193" s="1125">
        <f t="shared" si="168"/>
        <v>0</v>
      </c>
      <c r="AT193" s="1125">
        <f t="shared" si="169"/>
        <v>0</v>
      </c>
      <c r="AU193" s="1125">
        <f t="shared" si="170"/>
        <v>1</v>
      </c>
      <c r="AV193" s="1125">
        <f t="shared" si="171"/>
        <v>1</v>
      </c>
      <c r="AW193" s="1125">
        <f t="shared" si="172"/>
        <v>1</v>
      </c>
      <c r="AX193" s="1125">
        <f t="shared" si="173"/>
        <v>1</v>
      </c>
      <c r="AY193" s="1125">
        <f t="shared" si="174"/>
        <v>0</v>
      </c>
      <c r="AZ193" s="1125">
        <f t="shared" si="175"/>
        <v>0</v>
      </c>
      <c r="BA193" s="1125">
        <f t="shared" si="176"/>
        <v>0</v>
      </c>
      <c r="BB193" s="1125">
        <f t="shared" si="177"/>
        <v>0</v>
      </c>
      <c r="BC193" s="1125">
        <f t="shared" si="178"/>
        <v>0</v>
      </c>
      <c r="BD193" s="1125">
        <f t="shared" si="179"/>
        <v>1</v>
      </c>
      <c r="BE193" s="1125">
        <f t="shared" si="180"/>
        <v>1</v>
      </c>
      <c r="BF193" s="1125">
        <f t="shared" si="181"/>
        <v>1</v>
      </c>
      <c r="BG193" s="1125">
        <f t="shared" si="182"/>
        <v>0</v>
      </c>
      <c r="BH193" s="1125">
        <f t="shared" si="183"/>
        <v>0</v>
      </c>
      <c r="BI193" s="1125">
        <f t="shared" si="184"/>
        <v>0</v>
      </c>
      <c r="BJ193" s="1125">
        <f t="shared" si="185"/>
        <v>0</v>
      </c>
      <c r="BK193" s="1125">
        <f t="shared" si="186"/>
        <v>1</v>
      </c>
      <c r="BL193" s="1125">
        <f t="shared" si="187"/>
        <v>1</v>
      </c>
      <c r="BM193" s="1125">
        <f t="shared" si="188"/>
        <v>1</v>
      </c>
      <c r="BN193" s="1125">
        <f t="shared" si="189"/>
        <v>1</v>
      </c>
      <c r="BO193" s="1125">
        <f t="shared" si="190"/>
        <v>1</v>
      </c>
      <c r="BP193" s="1125">
        <f t="shared" si="191"/>
        <v>1</v>
      </c>
      <c r="BQ193" s="1125">
        <f t="shared" si="192"/>
        <v>0</v>
      </c>
      <c r="BR193" s="1125">
        <f t="shared" si="193"/>
        <v>0</v>
      </c>
      <c r="BS193" s="1125">
        <f t="shared" si="194"/>
        <v>1</v>
      </c>
      <c r="BT193" s="1125">
        <f t="shared" si="195"/>
        <v>1</v>
      </c>
      <c r="BU193" s="1125">
        <f t="shared" si="196"/>
        <v>1</v>
      </c>
      <c r="BV193" s="1125">
        <f t="shared" si="197"/>
        <v>1</v>
      </c>
      <c r="BW193" s="1125">
        <f t="shared" si="198"/>
        <v>0</v>
      </c>
      <c r="BX193" s="1125">
        <f t="shared" si="199"/>
        <v>0</v>
      </c>
      <c r="BY193" s="1125">
        <f t="shared" si="200"/>
        <v>0</v>
      </c>
      <c r="BZ193" s="1125">
        <f t="shared" si="201"/>
        <v>0</v>
      </c>
      <c r="CA193" s="1125">
        <f t="shared" si="202"/>
        <v>1</v>
      </c>
      <c r="CB193" s="1125">
        <f t="shared" si="203"/>
        <v>1</v>
      </c>
      <c r="CC193" s="1125">
        <f t="shared" si="204"/>
        <v>1</v>
      </c>
      <c r="CD193" s="1125">
        <f t="shared" si="205"/>
        <v>1</v>
      </c>
      <c r="CE193" s="1125">
        <f t="shared" si="206"/>
        <v>1</v>
      </c>
      <c r="CF193" s="1125">
        <f t="shared" si="207"/>
        <v>0</v>
      </c>
      <c r="CG193" s="1125">
        <f t="shared" si="208"/>
        <v>0</v>
      </c>
      <c r="CH193" s="1125">
        <f t="shared" si="209"/>
        <v>0</v>
      </c>
      <c r="CI193" s="1125">
        <f t="shared" si="210"/>
        <v>0.85</v>
      </c>
      <c r="CJ193" s="1125">
        <f t="shared" si="211"/>
        <v>0.85</v>
      </c>
      <c r="CK193" s="1125">
        <f t="shared" si="212"/>
        <v>0.85</v>
      </c>
      <c r="CL193" s="1125">
        <f t="shared" si="213"/>
        <v>0.85</v>
      </c>
      <c r="CM193" s="1125">
        <f t="shared" si="214"/>
        <v>0.85</v>
      </c>
      <c r="CN193" s="1125">
        <f t="shared" si="215"/>
        <v>0.85</v>
      </c>
      <c r="CO193" s="1125">
        <f t="shared" si="216"/>
        <v>0.7</v>
      </c>
      <c r="CP193" s="1125">
        <f t="shared" si="217"/>
        <v>0.7</v>
      </c>
      <c r="CQ193" s="1125">
        <f t="shared" si="218"/>
        <v>0.85</v>
      </c>
      <c r="CR193" s="1125">
        <f t="shared" si="219"/>
        <v>0.85</v>
      </c>
      <c r="CS193" s="1125">
        <f t="shared" si="220"/>
        <v>0.85</v>
      </c>
      <c r="CT193" s="1125">
        <f t="shared" si="221"/>
        <v>0.85</v>
      </c>
      <c r="CU193" s="1125">
        <v>1</v>
      </c>
      <c r="CV193" s="1125"/>
      <c r="CW193" s="1125">
        <f t="shared" si="222"/>
        <v>153</v>
      </c>
      <c r="CX193" s="1125">
        <f t="shared" si="223"/>
        <v>212</v>
      </c>
      <c r="CY193" s="1136" t="s">
        <v>4889</v>
      </c>
      <c r="CZ193" s="1129" t="s">
        <v>4897</v>
      </c>
      <c r="DA193" s="1129"/>
      <c r="DB193" s="1129"/>
      <c r="DC193" s="1125" t="s">
        <v>5493</v>
      </c>
      <c r="DD193" s="1125" t="s">
        <v>229</v>
      </c>
      <c r="DE193" s="1120" t="str">
        <f t="shared" si="224"/>
        <v/>
      </c>
      <c r="DF193" s="1133">
        <v>0</v>
      </c>
      <c r="DG193" s="1125">
        <v>0</v>
      </c>
    </row>
    <row r="194" spans="1:111">
      <c r="A194" s="1120" t="s">
        <v>3112</v>
      </c>
      <c r="B194" s="1120" t="s">
        <v>3106</v>
      </c>
      <c r="C194" s="1120" t="s">
        <v>3107</v>
      </c>
      <c r="D194" s="1120" t="s">
        <v>954</v>
      </c>
      <c r="E194" s="1120">
        <v>23</v>
      </c>
      <c r="F194" s="1120">
        <v>-122.05</v>
      </c>
      <c r="G194" s="1120">
        <v>38</v>
      </c>
      <c r="H194" s="1120">
        <v>-8</v>
      </c>
      <c r="I194" s="1121">
        <v>33.799999999999997</v>
      </c>
      <c r="J194" s="1121">
        <v>96.079997253417972</v>
      </c>
      <c r="K194" s="1122">
        <v>59.180000686645506</v>
      </c>
      <c r="L194" s="1120">
        <v>2579.4</v>
      </c>
      <c r="M194" s="1120">
        <v>612</v>
      </c>
      <c r="N194" s="1123">
        <v>47.480000686645511</v>
      </c>
      <c r="O194" s="1123">
        <v>49.1</v>
      </c>
      <c r="P194" s="1123">
        <v>50.9</v>
      </c>
      <c r="Q194" s="1123">
        <v>57.2</v>
      </c>
      <c r="R194" s="1123">
        <v>64.039998626708979</v>
      </c>
      <c r="S194" s="1123">
        <v>67.639998626708987</v>
      </c>
      <c r="T194" s="1123">
        <v>68.180000686645513</v>
      </c>
      <c r="U194" s="1123">
        <v>69.260001373291018</v>
      </c>
      <c r="V194" s="1123">
        <v>68.539998626708979</v>
      </c>
      <c r="W194" s="1123">
        <v>61.880000686645509</v>
      </c>
      <c r="X194" s="1123">
        <v>55.219999313354492</v>
      </c>
      <c r="Y194" s="1123">
        <v>48.2</v>
      </c>
      <c r="Z194" s="1123">
        <v>59.016273865373165</v>
      </c>
      <c r="AA194" s="1123">
        <f t="shared" si="150"/>
        <v>59.375806750361988</v>
      </c>
      <c r="AB194" s="1123">
        <f t="shared" si="151"/>
        <v>59.113785402921302</v>
      </c>
      <c r="AC194" s="1123">
        <f t="shared" si="152"/>
        <v>60.390338633319246</v>
      </c>
      <c r="AD194" s="1123">
        <f t="shared" si="153"/>
        <v>62.872713169771835</v>
      </c>
      <c r="AE194" s="1123">
        <f t="shared" si="154"/>
        <v>65.913839834803127</v>
      </c>
      <c r="AF194" s="1123">
        <f t="shared" si="155"/>
        <v>68.72100209799224</v>
      </c>
      <c r="AG194" s="1123">
        <f t="shared" si="156"/>
        <v>70.562469855758962</v>
      </c>
      <c r="AH194" s="1123">
        <f t="shared" si="157"/>
        <v>70.958236159164287</v>
      </c>
      <c r="AI194" s="1123">
        <f t="shared" si="158"/>
        <v>69.805138422282241</v>
      </c>
      <c r="AJ194" s="1123">
        <f t="shared" si="159"/>
        <v>67.403749340005177</v>
      </c>
      <c r="AK194" s="1123">
        <f t="shared" si="160"/>
        <v>64.38002798315452</v>
      </c>
      <c r="AL194" s="1123">
        <f t="shared" si="161"/>
        <v>61.522153920349979</v>
      </c>
      <c r="AM194" s="1120">
        <f t="shared" si="162"/>
        <v>1</v>
      </c>
      <c r="AN194" s="1120">
        <f t="shared" si="163"/>
        <v>1</v>
      </c>
      <c r="AO194" s="1120">
        <f t="shared" si="164"/>
        <v>1</v>
      </c>
      <c r="AP194" s="1120">
        <f t="shared" si="165"/>
        <v>1</v>
      </c>
      <c r="AQ194" s="1120">
        <f t="shared" si="166"/>
        <v>1</v>
      </c>
      <c r="AR194" s="1120">
        <f t="shared" si="167"/>
        <v>0</v>
      </c>
      <c r="AS194" s="1120">
        <f t="shared" si="168"/>
        <v>0</v>
      </c>
      <c r="AT194" s="1120">
        <f t="shared" si="169"/>
        <v>0</v>
      </c>
      <c r="AU194" s="1120">
        <f t="shared" si="170"/>
        <v>0</v>
      </c>
      <c r="AV194" s="1120">
        <f t="shared" si="171"/>
        <v>1</v>
      </c>
      <c r="AW194" s="1120">
        <f t="shared" si="172"/>
        <v>1</v>
      </c>
      <c r="AX194" s="1120">
        <f t="shared" si="173"/>
        <v>1</v>
      </c>
      <c r="AY194" s="1120">
        <f t="shared" si="174"/>
        <v>0</v>
      </c>
      <c r="AZ194" s="1120">
        <f t="shared" si="175"/>
        <v>0</v>
      </c>
      <c r="BA194" s="1120">
        <f t="shared" si="176"/>
        <v>0</v>
      </c>
      <c r="BB194" s="1120">
        <f t="shared" si="177"/>
        <v>0</v>
      </c>
      <c r="BC194" s="1120">
        <f t="shared" si="178"/>
        <v>0</v>
      </c>
      <c r="BD194" s="1120">
        <f t="shared" si="179"/>
        <v>1</v>
      </c>
      <c r="BE194" s="1120">
        <f t="shared" si="180"/>
        <v>1</v>
      </c>
      <c r="BF194" s="1120">
        <f t="shared" si="181"/>
        <v>1</v>
      </c>
      <c r="BG194" s="1120">
        <f t="shared" si="182"/>
        <v>1</v>
      </c>
      <c r="BH194" s="1120">
        <f t="shared" si="183"/>
        <v>0</v>
      </c>
      <c r="BI194" s="1120">
        <f t="shared" si="184"/>
        <v>0</v>
      </c>
      <c r="BJ194" s="1120">
        <f t="shared" si="185"/>
        <v>0</v>
      </c>
      <c r="BK194" s="1120">
        <f t="shared" si="186"/>
        <v>1</v>
      </c>
      <c r="BL194" s="1120">
        <f t="shared" si="187"/>
        <v>1</v>
      </c>
      <c r="BM194" s="1120">
        <f t="shared" si="188"/>
        <v>1</v>
      </c>
      <c r="BN194" s="1120">
        <f t="shared" si="189"/>
        <v>1</v>
      </c>
      <c r="BO194" s="1120">
        <f t="shared" si="190"/>
        <v>1</v>
      </c>
      <c r="BP194" s="1120">
        <f t="shared" si="191"/>
        <v>1</v>
      </c>
      <c r="BQ194" s="1120">
        <f t="shared" si="192"/>
        <v>0</v>
      </c>
      <c r="BR194" s="1120">
        <f t="shared" si="193"/>
        <v>0</v>
      </c>
      <c r="BS194" s="1120">
        <f t="shared" si="194"/>
        <v>0</v>
      </c>
      <c r="BT194" s="1120">
        <f t="shared" si="195"/>
        <v>1</v>
      </c>
      <c r="BU194" s="1120">
        <f t="shared" si="196"/>
        <v>1</v>
      </c>
      <c r="BV194" s="1120">
        <f t="shared" si="197"/>
        <v>1</v>
      </c>
      <c r="BW194" s="1120">
        <f t="shared" si="198"/>
        <v>0</v>
      </c>
      <c r="BX194" s="1120">
        <f t="shared" si="199"/>
        <v>0</v>
      </c>
      <c r="BY194" s="1120">
        <f t="shared" si="200"/>
        <v>0</v>
      </c>
      <c r="BZ194" s="1120">
        <f t="shared" si="201"/>
        <v>0</v>
      </c>
      <c r="CA194" s="1120">
        <f t="shared" si="202"/>
        <v>1</v>
      </c>
      <c r="CB194" s="1120">
        <f t="shared" si="203"/>
        <v>1</v>
      </c>
      <c r="CC194" s="1120">
        <f t="shared" si="204"/>
        <v>1</v>
      </c>
      <c r="CD194" s="1120">
        <f t="shared" si="205"/>
        <v>1</v>
      </c>
      <c r="CE194" s="1120">
        <f t="shared" si="206"/>
        <v>1</v>
      </c>
      <c r="CF194" s="1120">
        <f t="shared" si="207"/>
        <v>1</v>
      </c>
      <c r="CG194" s="1120">
        <f t="shared" si="208"/>
        <v>0</v>
      </c>
      <c r="CH194" s="1120">
        <f t="shared" si="209"/>
        <v>0</v>
      </c>
      <c r="CI194" s="1120">
        <f t="shared" si="210"/>
        <v>0.85</v>
      </c>
      <c r="CJ194" s="1120">
        <f t="shared" si="211"/>
        <v>0.85</v>
      </c>
      <c r="CK194" s="1120">
        <f t="shared" si="212"/>
        <v>0.85</v>
      </c>
      <c r="CL194" s="1120">
        <f t="shared" si="213"/>
        <v>0.85</v>
      </c>
      <c r="CM194" s="1120">
        <f t="shared" si="214"/>
        <v>0.85</v>
      </c>
      <c r="CN194" s="1120">
        <f t="shared" si="215"/>
        <v>0.85</v>
      </c>
      <c r="CO194" s="1120">
        <f t="shared" si="216"/>
        <v>0.7</v>
      </c>
      <c r="CP194" s="1120">
        <f t="shared" si="217"/>
        <v>0.7</v>
      </c>
      <c r="CQ194" s="1120">
        <f t="shared" si="218"/>
        <v>0.7</v>
      </c>
      <c r="CR194" s="1120">
        <f t="shared" si="219"/>
        <v>0.85</v>
      </c>
      <c r="CS194" s="1120">
        <f t="shared" si="220"/>
        <v>0.85</v>
      </c>
      <c r="CT194" s="1120">
        <f t="shared" si="221"/>
        <v>0.85</v>
      </c>
      <c r="CU194" s="1120">
        <v>1</v>
      </c>
      <c r="CV194" s="1120"/>
      <c r="CW194" s="1120">
        <f t="shared" si="222"/>
        <v>184</v>
      </c>
      <c r="CX194" s="1120">
        <f t="shared" si="223"/>
        <v>181</v>
      </c>
      <c r="CY194" s="1136" t="s">
        <v>4886</v>
      </c>
      <c r="CZ194" s="1129" t="s">
        <v>4888</v>
      </c>
      <c r="DA194" s="1129"/>
      <c r="DB194" s="1129"/>
      <c r="DC194" s="1125" t="s">
        <v>5020</v>
      </c>
      <c r="DD194" s="1125" t="s">
        <v>954</v>
      </c>
      <c r="DE194" s="1120" t="b">
        <f t="shared" si="224"/>
        <v>0</v>
      </c>
      <c r="DF194" s="1133">
        <v>0</v>
      </c>
      <c r="DG194" s="1120">
        <v>0</v>
      </c>
    </row>
    <row r="195" spans="1:111">
      <c r="A195" s="1125" t="s">
        <v>3202</v>
      </c>
      <c r="B195" s="1120" t="s">
        <v>4040</v>
      </c>
      <c r="C195" s="1120" t="s">
        <v>4041</v>
      </c>
      <c r="D195" s="1120" t="s">
        <v>1249</v>
      </c>
      <c r="E195" s="1120">
        <v>348</v>
      </c>
      <c r="F195" s="1120">
        <v>-71.5</v>
      </c>
      <c r="G195" s="1120">
        <v>43.2</v>
      </c>
      <c r="H195" s="1120">
        <v>-5</v>
      </c>
      <c r="I195" s="1121">
        <v>0.31999931335449139</v>
      </c>
      <c r="J195" s="1121">
        <v>86.9</v>
      </c>
      <c r="K195" s="1122">
        <v>69.8</v>
      </c>
      <c r="L195" s="1120">
        <v>7075.8</v>
      </c>
      <c r="M195" s="1120">
        <v>473.40000000000003</v>
      </c>
      <c r="N195" s="1123">
        <v>21.559999656677245</v>
      </c>
      <c r="O195" s="1123">
        <v>22.640000343322754</v>
      </c>
      <c r="P195" s="1123">
        <v>34.880000042915341</v>
      </c>
      <c r="Q195" s="1123">
        <v>45.859999656677246</v>
      </c>
      <c r="R195" s="1123">
        <v>57.740000343322755</v>
      </c>
      <c r="S195" s="1123">
        <v>65.119999313354498</v>
      </c>
      <c r="T195" s="1123">
        <v>71.239998626708982</v>
      </c>
      <c r="U195" s="1123">
        <v>67.280000686645508</v>
      </c>
      <c r="V195" s="1123">
        <v>60.259999656677245</v>
      </c>
      <c r="W195" s="1123">
        <v>47.659999656677243</v>
      </c>
      <c r="X195" s="1123">
        <v>36.5</v>
      </c>
      <c r="Y195" s="1123">
        <v>23.359999656677246</v>
      </c>
      <c r="Z195" s="1123">
        <v>46.305314868966192</v>
      </c>
      <c r="AA195" s="1123">
        <f t="shared" ref="AA195:AA258" si="225">MAX($Z195+6+(0.4+0.01*($Z195-44))*(MAX($N195:$Y195)-MIN($N195:$Y195))/2*SIN((0.986*((1*30-15)-15-(35-1*($Z195-44)))-90)*PI()/180),32)</f>
        <v>43.416589611063571</v>
      </c>
      <c r="AB195" s="1123">
        <f t="shared" ref="AB195:AB258" si="226">MAX($Z195+6+(0.4+0.01*($Z195-44))*(MAX($N195:$Y195)-MIN($N195:$Y195))/2*SIN((0.986*((2*30-15)-15-(35-1*($Z195-44)))-90)*PI()/180),32)</f>
        <v>41.80797187803519</v>
      </c>
      <c r="AC195" s="1123">
        <f t="shared" ref="AC195:AC258" si="227">MAX($Z195+6+(0.4+0.01*($Z195-44))*(MAX($N195:$Y195)-MIN($N195:$Y195))/2*SIN((0.986*((3*30-15)-15-(35-1*($Z195-44)))-90)*PI()/180),32)</f>
        <v>42.935648364545159</v>
      </c>
      <c r="AD195" s="1123">
        <f t="shared" ref="AD195:AD258" si="228">MAX($Z195+6+(0.4+0.01*($Z195-44))*(MAX($N195:$Y195)-MIN($N195:$Y195))/2*SIN((0.986*((4*30-15)-15-(35-1*($Z195-44)))-90)*PI()/180),32)</f>
        <v>46.50567281636399</v>
      </c>
      <c r="AE195" s="1123">
        <f t="shared" ref="AE195:AE258" si="229">MAX($Z195+6+(0.4+0.01*($Z195-44))*(MAX($N195:$Y195)-MIN($N195:$Y195))/2*SIN((0.986*((5*30-15)-15-(35-1*($Z195-44)))-90)*PI()/180),32)</f>
        <v>51.587463344382975</v>
      </c>
      <c r="AF195" s="1123">
        <f t="shared" ref="AF195:AF258" si="230">MAX($Z195+6+(0.4+0.01*($Z195-44))*(MAX($N195:$Y195)-MIN($N195:$Y195))/2*SIN((0.986*((6*30-15)-15-(35-1*($Z195-44)))-90)*PI()/180),32)</f>
        <v>56.856372934711423</v>
      </c>
      <c r="AG195" s="1123">
        <f t="shared" ref="AG195:AG258" si="231">MAX($Z195+6+(0.4+0.01*($Z195-44))*(MAX($N195:$Y195)-MIN($N195:$Y195))/2*SIN((0.986*((7*30-15)-15-(35-1*($Z195-44)))-90)*PI()/180),32)</f>
        <v>60.938979106275653</v>
      </c>
      <c r="AH195" s="1123">
        <f t="shared" ref="AH195:AH258" si="232">MAX($Z195+6+(0.4+0.01*($Z195-44))*(MAX($N195:$Y195)-MIN($N195:$Y195))/2*SIN((0.986*((8*30-15)-15-(35-1*($Z195-44)))-90)*PI()/180),32)</f>
        <v>62.771087645591919</v>
      </c>
      <c r="AI195" s="1123">
        <f t="shared" ref="AI195:AI258" si="233">MAX($Z195+6+(0.4+0.01*($Z195-44))*(MAX($N195:$Y195)-MIN($N195:$Y195))/2*SIN((0.986*((9*30-15)-15-(35-1*($Z195-44)))-90)*PI()/180),32)</f>
        <v>61.875131228240221</v>
      </c>
      <c r="AJ195" s="1123">
        <f t="shared" ref="AJ195:AJ258" si="234">MAX($Z195+6+(0.4+0.01*($Z195-44))*(MAX($N195:$Y195)-MIN($N195:$Y195))/2*SIN((0.986*((10*30-15)-15-(35-1*($Z195-44)))-90)*PI()/180),32)</f>
        <v>58.484654701509612</v>
      </c>
      <c r="AK195" s="1123">
        <f t="shared" ref="AK195:AK258" si="235">MAX($Z195+6+(0.4+0.01*($Z195-44))*(MAX($N195:$Y195)-MIN($N195:$Y195))/2*SIN((0.986*((11*30-15)-15-(35-1*($Z195-44)))-90)*PI()/180),32)</f>
        <v>53.483438020917262</v>
      </c>
      <c r="AL195" s="1123">
        <f t="shared" ref="AL195:AL258" si="236">MAX($Z195+6+(0.4+0.01*($Z195-44))*(MAX($N195:$Y195)-MIN($N195:$Y195))/2*SIN((0.986*((12*30-15)-15-(35-1*($Z195-44)))-90)*PI()/180),32)</f>
        <v>48.175125385341531</v>
      </c>
      <c r="AM195" s="1120">
        <f t="shared" ref="AM195:AM258" si="237">IF(AND(OR(LEFT(AM$1,3)="Jan",LEFT(AM$1,3)="Dec"),I195&lt;59),1,IF(N195&lt;66,1,0))</f>
        <v>1</v>
      </c>
      <c r="AN195" s="1120">
        <f t="shared" ref="AN195:AN258" si="238">IF(AND(OR(LEFT(AN$1,3)="Jan",LEFT(AN$1,3)="Dec"),J195&lt;59),1,IF(O195&lt;66,1,0))</f>
        <v>1</v>
      </c>
      <c r="AO195" s="1120">
        <f t="shared" ref="AO195:AO258" si="239">IF(AND(OR(LEFT(AO$1,3)="Jan",LEFT(AO$1,3)="Dec"),K195&lt;59),1,IF(P195&lt;66,1,0))</f>
        <v>1</v>
      </c>
      <c r="AP195" s="1120">
        <f t="shared" ref="AP195:AP258" si="240">IF(AND(OR(LEFT(AP$1,3)="Jan",LEFT(AP$1,3)="Dec"),L195&lt;59),1,IF(Q195&lt;66,1,0))</f>
        <v>1</v>
      </c>
      <c r="AQ195" s="1120">
        <f t="shared" ref="AQ195:AQ258" si="241">IF(AND(OR(LEFT(AQ$1,3)="Jan",LEFT(AQ$1,3)="Dec"),M195&lt;59),1,IF(R195&lt;66,1,0))</f>
        <v>1</v>
      </c>
      <c r="AR195" s="1120">
        <f t="shared" ref="AR195:AR258" si="242">IF(AND(OR(LEFT(AR$1,3)="Jan",LEFT(AR$1,3)="Dec"),N195&lt;59),1,IF(S195&lt;66,1,0))</f>
        <v>1</v>
      </c>
      <c r="AS195" s="1120">
        <f t="shared" ref="AS195:AS258" si="243">IF(AND(OR(LEFT(AS$1,3)="Jan",LEFT(AS$1,3)="Dec"),O195&lt;59),1,IF(T195&lt;66,1,0))</f>
        <v>0</v>
      </c>
      <c r="AT195" s="1120">
        <f t="shared" ref="AT195:AT258" si="244">IF(AND(OR(LEFT(AT$1,3)="Jan",LEFT(AT$1,3)="Dec"),P195&lt;59),1,IF(U195&lt;66,1,0))</f>
        <v>0</v>
      </c>
      <c r="AU195" s="1120">
        <f t="shared" ref="AU195:AU258" si="245">IF(AND(OR(LEFT(AU$1,3)="Jan",LEFT(AU$1,3)="Dec"),Q195&lt;59),1,IF(V195&lt;66,1,0))</f>
        <v>1</v>
      </c>
      <c r="AV195" s="1120">
        <f t="shared" ref="AV195:AV258" si="246">IF(AND(OR(LEFT(AV$1,3)="Jan",LEFT(AV$1,3)="Dec"),R195&lt;59),1,IF(W195&lt;66,1,0))</f>
        <v>1</v>
      </c>
      <c r="AW195" s="1120">
        <f t="shared" ref="AW195:AW258" si="247">IF(AND(OR(LEFT(AW$1,3)="Jan",LEFT(AW$1,3)="Dec"),S195&lt;59),1,IF(X195&lt;66,1,0))</f>
        <v>1</v>
      </c>
      <c r="AX195" s="1120">
        <f t="shared" ref="AX195:AX258" si="248">IF(AND(OR(LEFT(AX$1,3)="Jan",LEFT(AX$1,3)="Dec"),T195&lt;59),1,IF(Y195&lt;66,1,0))</f>
        <v>1</v>
      </c>
      <c r="AY195" s="1120">
        <f t="shared" ref="AY195:AY258" si="249">IF(OR(LEFT(AY$1,3)="Jul", LEFT(AY$1,3)="Aug"),1,IF(N195&gt;66,1,0))</f>
        <v>0</v>
      </c>
      <c r="AZ195" s="1120">
        <f t="shared" ref="AZ195:AZ258" si="250">IF(OR(LEFT(AZ$1,3)="Jul", LEFT(AZ$1,3)="Aug"),1,IF(O195&gt;66,1,0))</f>
        <v>0</v>
      </c>
      <c r="BA195" s="1120">
        <f t="shared" ref="BA195:BA258" si="251">IF(OR(LEFT(BA$1,3)="Jul", LEFT(BA$1,3)="Aug"),1,IF(P195&gt;66,1,0))</f>
        <v>0</v>
      </c>
      <c r="BB195" s="1120">
        <f t="shared" ref="BB195:BB258" si="252">IF(OR(LEFT(BB$1,3)="Jul", LEFT(BB$1,3)="Aug"),1,IF(Q195&gt;66,1,0))</f>
        <v>0</v>
      </c>
      <c r="BC195" s="1120">
        <f t="shared" ref="BC195:BC258" si="253">IF(OR(LEFT(BC$1,3)="Jul", LEFT(BC$1,3)="Aug"),1,IF(R195&gt;66,1,0))</f>
        <v>0</v>
      </c>
      <c r="BD195" s="1120">
        <f t="shared" ref="BD195:BD258" si="254">IF(OR(LEFT(BD$1,3)="Jul", LEFT(BD$1,3)="Aug"),1,IF(S195&gt;66,1,0))</f>
        <v>0</v>
      </c>
      <c r="BE195" s="1120">
        <f t="shared" ref="BE195:BE258" si="255">IF(OR(LEFT(BE$1,3)="Jul", LEFT(BE$1,3)="Aug"),1,IF(T195&gt;66,1,0))</f>
        <v>1</v>
      </c>
      <c r="BF195" s="1120">
        <f t="shared" ref="BF195:BF258" si="256">IF(OR(LEFT(BF$1,3)="Jul", LEFT(BF$1,3)="Aug"),1,IF(U195&gt;66,1,0))</f>
        <v>1</v>
      </c>
      <c r="BG195" s="1120">
        <f t="shared" ref="BG195:BG258" si="257">IF(OR(LEFT(BG$1,3)="Jul", LEFT(BG$1,3)="Aug"),1,IF(V195&gt;66,1,0))</f>
        <v>0</v>
      </c>
      <c r="BH195" s="1120">
        <f t="shared" ref="BH195:BH258" si="258">IF(OR(LEFT(BH$1,3)="Jul", LEFT(BH$1,3)="Aug"),1,IF(W195&gt;66,1,0))</f>
        <v>0</v>
      </c>
      <c r="BI195" s="1120">
        <f t="shared" ref="BI195:BI258" si="259">IF(OR(LEFT(BI$1,3)="Jul", LEFT(BI$1,3)="Aug"),1,IF(X195&gt;66,1,0))</f>
        <v>0</v>
      </c>
      <c r="BJ195" s="1120">
        <f t="shared" ref="BJ195:BJ258" si="260">IF(OR(LEFT(BJ$1,3)="Jul", LEFT(BJ$1,3)="Aug"),1,IF(Y195&gt;66,1,0))</f>
        <v>0</v>
      </c>
      <c r="BK195" s="1120">
        <f t="shared" ref="BK195:BK258" si="261">IF(AND(AY195=1,BJ195=0),1,AM195)</f>
        <v>1</v>
      </c>
      <c r="BL195" s="1120">
        <f t="shared" ref="BL195:BL258" si="262">IF(AND(AY195=0,AZ195=1),1,AN195)</f>
        <v>1</v>
      </c>
      <c r="BM195" s="1120">
        <f t="shared" ref="BM195:BM258" si="263">IF(AND(AZ195=0,BA195=1),1,AO195)</f>
        <v>1</v>
      </c>
      <c r="BN195" s="1120">
        <f t="shared" ref="BN195:BN258" si="264">IF(AND(BA195=0,BB195=1),1,AP195)</f>
        <v>1</v>
      </c>
      <c r="BO195" s="1120">
        <f t="shared" ref="BO195:BO258" si="265">IF(AND(BB195=0,BC195=1),1,AQ195)</f>
        <v>1</v>
      </c>
      <c r="BP195" s="1120">
        <f t="shared" ref="BP195:BP258" si="266">IF(AND(BC195=0,BD195=1),1,AR195)</f>
        <v>1</v>
      </c>
      <c r="BQ195" s="1120">
        <f t="shared" ref="BQ195:BQ258" si="267">IF(AND(BD195=0,BE195=1),1,AS195)</f>
        <v>1</v>
      </c>
      <c r="BR195" s="1120">
        <f t="shared" ref="BR195:BR258" si="268">IF(AND(BE195=0,BF195=1),1,AT195)</f>
        <v>0</v>
      </c>
      <c r="BS195" s="1120">
        <f t="shared" ref="BS195:BS258" si="269">IF(AND(BF195=0,BG195=1),1,AU195)</f>
        <v>1</v>
      </c>
      <c r="BT195" s="1120">
        <f t="shared" ref="BT195:BT258" si="270">IF(AND(BG195=0,BH195=1),1,AV195)</f>
        <v>1</v>
      </c>
      <c r="BU195" s="1120">
        <f t="shared" ref="BU195:BU258" si="271">IF(AND(BH195=0,BI195=1),1,AW195)</f>
        <v>1</v>
      </c>
      <c r="BV195" s="1120">
        <f t="shared" ref="BV195:BV258" si="272">IF(AND(BI195=0,BJ195=1),1,AX195)</f>
        <v>1</v>
      </c>
      <c r="BW195" s="1120">
        <f t="shared" ref="BW195:BW258" si="273">IF(OR(AND(AX195=0,AM195=1),AND(AM195=1,AN195=0)),1,AY195)</f>
        <v>0</v>
      </c>
      <c r="BX195" s="1120">
        <f t="shared" ref="BX195:BX258" si="274">IF(OR(AND(AM195=0,AN195=1),AND(AN195=1,AO195=0)),1,AZ195)</f>
        <v>0</v>
      </c>
      <c r="BY195" s="1120">
        <f t="shared" ref="BY195:BY258" si="275">IF(OR(AND(AN195=0,AO195=1),AND(AO195=1,AP195=0)),1,BA195)</f>
        <v>0</v>
      </c>
      <c r="BZ195" s="1120">
        <f t="shared" ref="BZ195:BZ258" si="276">IF(OR(AND(AO195=0,AP195=1),AND(AP195=1,AQ195=0)),1,BB195)</f>
        <v>0</v>
      </c>
      <c r="CA195" s="1120">
        <f t="shared" ref="CA195:CA258" si="277">IF(OR(AND(AP195=0,AQ195=1),AND(AQ195=1,AR195=0)),1,BC195)</f>
        <v>0</v>
      </c>
      <c r="CB195" s="1120">
        <f t="shared" ref="CB195:CB258" si="278">IF(OR(AND(AQ195=0,AR195=1),AND(AR195=1,AS195=0)),1,BD195)</f>
        <v>1</v>
      </c>
      <c r="CC195" s="1120">
        <f t="shared" ref="CC195:CC258" si="279">IF(OR(AND(AR195=0,AS195=1),AND(AS195=1,AT195=0)),1,BE195)</f>
        <v>1</v>
      </c>
      <c r="CD195" s="1120">
        <f t="shared" ref="CD195:CD258" si="280">IF(OR(AND(AS195=0,AT195=1),AND(AT195=1,AU195=0)),1,BF195)</f>
        <v>1</v>
      </c>
      <c r="CE195" s="1120">
        <f t="shared" ref="CE195:CE258" si="281">IF(OR(AND(AT195=0,AU195=1),AND(AU195=1,AV195=0)),1,BG195)</f>
        <v>1</v>
      </c>
      <c r="CF195" s="1120">
        <f t="shared" ref="CF195:CF258" si="282">IF(OR(AND(AU195=0,AV195=1),AND(AV195=1,AW195=0)),1,BH195)</f>
        <v>0</v>
      </c>
      <c r="CG195" s="1120">
        <f t="shared" ref="CG195:CG258" si="283">IF(OR(AND(AV195=0,AW195=1),AND(AW195=1,AX195=0)),1,BI195)</f>
        <v>0</v>
      </c>
      <c r="CH195" s="1120">
        <f t="shared" ref="CH195:CH258" si="284">IF(OR(AND(AW195=0,AX195=1),AND(AX195=1,AM195=0)),1,BJ195)</f>
        <v>0</v>
      </c>
      <c r="CI195" s="1120">
        <f t="shared" ref="CI195:CI258" si="285">IF(BK195=1,0.85,0.7)</f>
        <v>0.85</v>
      </c>
      <c r="CJ195" s="1120">
        <f t="shared" ref="CJ195:CJ258" si="286">IF(BL195=1,0.85,0.7)</f>
        <v>0.85</v>
      </c>
      <c r="CK195" s="1120">
        <f t="shared" ref="CK195:CK258" si="287">IF(BM195=1,0.85,0.7)</f>
        <v>0.85</v>
      </c>
      <c r="CL195" s="1120">
        <f t="shared" ref="CL195:CL258" si="288">IF(BN195=1,0.85,0.7)</f>
        <v>0.85</v>
      </c>
      <c r="CM195" s="1120">
        <f t="shared" ref="CM195:CM258" si="289">IF(BO195=1,0.85,0.7)</f>
        <v>0.85</v>
      </c>
      <c r="CN195" s="1120">
        <f t="shared" ref="CN195:CN258" si="290">IF(BP195=1,0.85,0.7)</f>
        <v>0.85</v>
      </c>
      <c r="CO195" s="1120">
        <f t="shared" ref="CO195:CO258" si="291">IF(BQ195=1,0.85,0.7)</f>
        <v>0.85</v>
      </c>
      <c r="CP195" s="1120">
        <f t="shared" ref="CP195:CP258" si="292">IF(BR195=1,0.85,0.7)</f>
        <v>0.7</v>
      </c>
      <c r="CQ195" s="1120">
        <f t="shared" ref="CQ195:CQ258" si="293">IF(BS195=1,0.85,0.7)</f>
        <v>0.85</v>
      </c>
      <c r="CR195" s="1120">
        <f t="shared" ref="CR195:CR258" si="294">IF(BT195=1,0.85,0.7)</f>
        <v>0.85</v>
      </c>
      <c r="CS195" s="1120">
        <f t="shared" ref="CS195:CS258" si="295">IF(BU195=1,0.85,0.7)</f>
        <v>0.85</v>
      </c>
      <c r="CT195" s="1120">
        <f t="shared" ref="CT195:CT258" si="296">IF(BV195=1,0.85,0.7)</f>
        <v>0.85</v>
      </c>
      <c r="CU195" s="1120">
        <v>1</v>
      </c>
      <c r="CV195" s="1120"/>
      <c r="CW195" s="1120">
        <f t="shared" ref="CW195:CW258" si="297">BW195*31+BX195*28+BY195*31+BZ195*30+CA195*31+CB195*30+CC195*31+CD195*31+CE195*30+CF195*31+CG195*30+CH195*31</f>
        <v>122</v>
      </c>
      <c r="CX195" s="1120">
        <f t="shared" ref="CX195:CX258" si="298">365-CW195</f>
        <v>243</v>
      </c>
      <c r="CY195" s="1135" t="s">
        <v>4889</v>
      </c>
      <c r="CZ195" s="1124" t="s">
        <v>4899</v>
      </c>
      <c r="DA195" s="1124"/>
      <c r="DB195" s="1124"/>
      <c r="DC195" s="1120" t="s">
        <v>5433</v>
      </c>
      <c r="DD195" s="1120" t="s">
        <v>1249</v>
      </c>
      <c r="DE195" s="1120" t="str">
        <f t="shared" ref="DE195:DE258" si="299">IF(AND(C195=DC195,D195=DD195),"",FALSE)</f>
        <v/>
      </c>
      <c r="DF195" s="1133">
        <v>0</v>
      </c>
      <c r="DG195" s="1125">
        <v>0</v>
      </c>
    </row>
    <row r="196" spans="1:111">
      <c r="A196" s="1120" t="s">
        <v>655</v>
      </c>
      <c r="B196" s="1120" t="s">
        <v>3553</v>
      </c>
      <c r="C196" s="1120" t="s">
        <v>3554</v>
      </c>
      <c r="D196" s="1120" t="s">
        <v>256</v>
      </c>
      <c r="E196" s="1120">
        <v>1469</v>
      </c>
      <c r="F196" s="1120">
        <v>-97.65</v>
      </c>
      <c r="G196" s="1120">
        <v>39.549999999999997</v>
      </c>
      <c r="H196" s="1120">
        <v>-6</v>
      </c>
      <c r="I196" s="1121">
        <v>4.8199993133544918</v>
      </c>
      <c r="J196" s="1121">
        <v>95.9</v>
      </c>
      <c r="K196" s="1122">
        <v>73.400000000000006</v>
      </c>
      <c r="L196" s="1120">
        <v>4806</v>
      </c>
      <c r="M196" s="1120">
        <v>1695.6000000000001</v>
      </c>
      <c r="N196" s="1123">
        <v>26.23999991416931</v>
      </c>
      <c r="O196" s="1123">
        <v>35.060000085830687</v>
      </c>
      <c r="P196" s="1123">
        <v>46.4</v>
      </c>
      <c r="Q196" s="1123">
        <v>55.219999313354492</v>
      </c>
      <c r="R196" s="1123">
        <v>66.560001373291016</v>
      </c>
      <c r="S196" s="1123">
        <v>75.560001373291016</v>
      </c>
      <c r="T196" s="1123">
        <v>82.939998626708984</v>
      </c>
      <c r="U196" s="1123">
        <v>76.460001373291021</v>
      </c>
      <c r="V196" s="1123">
        <v>70.33999862670899</v>
      </c>
      <c r="W196" s="1123">
        <v>55.4</v>
      </c>
      <c r="X196" s="1123">
        <v>43.52000017166138</v>
      </c>
      <c r="Y196" s="1123">
        <v>35.419999957084656</v>
      </c>
      <c r="Z196" s="1123">
        <v>55.870958974067477</v>
      </c>
      <c r="AA196" s="1123">
        <f t="shared" si="225"/>
        <v>48.315098011103629</v>
      </c>
      <c r="AB196" s="1123">
        <f t="shared" si="226"/>
        <v>47.268222130680684</v>
      </c>
      <c r="AC196" s="1123">
        <f t="shared" si="227"/>
        <v>50.027774643473016</v>
      </c>
      <c r="AD196" s="1123">
        <f t="shared" si="228"/>
        <v>55.874435661029828</v>
      </c>
      <c r="AE196" s="1123">
        <f t="shared" si="229"/>
        <v>63.284182889351356</v>
      </c>
      <c r="AF196" s="1123">
        <f t="shared" si="230"/>
        <v>70.325551525714388</v>
      </c>
      <c r="AG196" s="1123">
        <f t="shared" si="231"/>
        <v>75.163100324275604</v>
      </c>
      <c r="AH196" s="1123">
        <f t="shared" si="232"/>
        <v>76.53584764180647</v>
      </c>
      <c r="AI196" s="1123">
        <f t="shared" si="233"/>
        <v>74.085965735316051</v>
      </c>
      <c r="AJ196" s="1123">
        <f t="shared" si="234"/>
        <v>68.452054077554067</v>
      </c>
      <c r="AK196" s="1123">
        <f t="shared" si="235"/>
        <v>61.10267856332284</v>
      </c>
      <c r="AL196" s="1123">
        <f t="shared" si="236"/>
        <v>53.953567177711747</v>
      </c>
      <c r="AM196" s="1120">
        <f t="shared" si="237"/>
        <v>1</v>
      </c>
      <c r="AN196" s="1120">
        <f t="shared" si="238"/>
        <v>1</v>
      </c>
      <c r="AO196" s="1120">
        <f t="shared" si="239"/>
        <v>1</v>
      </c>
      <c r="AP196" s="1120">
        <f t="shared" si="240"/>
        <v>1</v>
      </c>
      <c r="AQ196" s="1120">
        <f t="shared" si="241"/>
        <v>0</v>
      </c>
      <c r="AR196" s="1120">
        <f t="shared" si="242"/>
        <v>0</v>
      </c>
      <c r="AS196" s="1120">
        <f t="shared" si="243"/>
        <v>0</v>
      </c>
      <c r="AT196" s="1120">
        <f t="shared" si="244"/>
        <v>0</v>
      </c>
      <c r="AU196" s="1120">
        <f t="shared" si="245"/>
        <v>0</v>
      </c>
      <c r="AV196" s="1120">
        <f t="shared" si="246"/>
        <v>1</v>
      </c>
      <c r="AW196" s="1120">
        <f t="shared" si="247"/>
        <v>1</v>
      </c>
      <c r="AX196" s="1120">
        <f t="shared" si="248"/>
        <v>1</v>
      </c>
      <c r="AY196" s="1120">
        <f t="shared" si="249"/>
        <v>0</v>
      </c>
      <c r="AZ196" s="1120">
        <f t="shared" si="250"/>
        <v>0</v>
      </c>
      <c r="BA196" s="1120">
        <f t="shared" si="251"/>
        <v>0</v>
      </c>
      <c r="BB196" s="1120">
        <f t="shared" si="252"/>
        <v>0</v>
      </c>
      <c r="BC196" s="1120">
        <f t="shared" si="253"/>
        <v>1</v>
      </c>
      <c r="BD196" s="1120">
        <f t="shared" si="254"/>
        <v>1</v>
      </c>
      <c r="BE196" s="1120">
        <f t="shared" si="255"/>
        <v>1</v>
      </c>
      <c r="BF196" s="1120">
        <f t="shared" si="256"/>
        <v>1</v>
      </c>
      <c r="BG196" s="1120">
        <f t="shared" si="257"/>
        <v>1</v>
      </c>
      <c r="BH196" s="1120">
        <f t="shared" si="258"/>
        <v>0</v>
      </c>
      <c r="BI196" s="1120">
        <f t="shared" si="259"/>
        <v>0</v>
      </c>
      <c r="BJ196" s="1120">
        <f t="shared" si="260"/>
        <v>0</v>
      </c>
      <c r="BK196" s="1120">
        <f t="shared" si="261"/>
        <v>1</v>
      </c>
      <c r="BL196" s="1120">
        <f t="shared" si="262"/>
        <v>1</v>
      </c>
      <c r="BM196" s="1120">
        <f t="shared" si="263"/>
        <v>1</v>
      </c>
      <c r="BN196" s="1120">
        <f t="shared" si="264"/>
        <v>1</v>
      </c>
      <c r="BO196" s="1120">
        <f t="shared" si="265"/>
        <v>1</v>
      </c>
      <c r="BP196" s="1120">
        <f t="shared" si="266"/>
        <v>0</v>
      </c>
      <c r="BQ196" s="1120">
        <f t="shared" si="267"/>
        <v>0</v>
      </c>
      <c r="BR196" s="1120">
        <f t="shared" si="268"/>
        <v>0</v>
      </c>
      <c r="BS196" s="1120">
        <f t="shared" si="269"/>
        <v>0</v>
      </c>
      <c r="BT196" s="1120">
        <f t="shared" si="270"/>
        <v>1</v>
      </c>
      <c r="BU196" s="1120">
        <f t="shared" si="271"/>
        <v>1</v>
      </c>
      <c r="BV196" s="1120">
        <f t="shared" si="272"/>
        <v>1</v>
      </c>
      <c r="BW196" s="1120">
        <f t="shared" si="273"/>
        <v>0</v>
      </c>
      <c r="BX196" s="1120">
        <f t="shared" si="274"/>
        <v>0</v>
      </c>
      <c r="BY196" s="1120">
        <f t="shared" si="275"/>
        <v>0</v>
      </c>
      <c r="BZ196" s="1120">
        <f t="shared" si="276"/>
        <v>1</v>
      </c>
      <c r="CA196" s="1120">
        <f t="shared" si="277"/>
        <v>1</v>
      </c>
      <c r="CB196" s="1120">
        <f t="shared" si="278"/>
        <v>1</v>
      </c>
      <c r="CC196" s="1120">
        <f t="shared" si="279"/>
        <v>1</v>
      </c>
      <c r="CD196" s="1120">
        <f t="shared" si="280"/>
        <v>1</v>
      </c>
      <c r="CE196" s="1120">
        <f t="shared" si="281"/>
        <v>1</v>
      </c>
      <c r="CF196" s="1120">
        <f t="shared" si="282"/>
        <v>1</v>
      </c>
      <c r="CG196" s="1120">
        <f t="shared" si="283"/>
        <v>0</v>
      </c>
      <c r="CH196" s="1120">
        <f t="shared" si="284"/>
        <v>0</v>
      </c>
      <c r="CI196" s="1120">
        <f t="shared" si="285"/>
        <v>0.85</v>
      </c>
      <c r="CJ196" s="1120">
        <f t="shared" si="286"/>
        <v>0.85</v>
      </c>
      <c r="CK196" s="1120">
        <f t="shared" si="287"/>
        <v>0.85</v>
      </c>
      <c r="CL196" s="1120">
        <f t="shared" si="288"/>
        <v>0.85</v>
      </c>
      <c r="CM196" s="1120">
        <f t="shared" si="289"/>
        <v>0.85</v>
      </c>
      <c r="CN196" s="1120">
        <f t="shared" si="290"/>
        <v>0.7</v>
      </c>
      <c r="CO196" s="1120">
        <f t="shared" si="291"/>
        <v>0.7</v>
      </c>
      <c r="CP196" s="1120">
        <f t="shared" si="292"/>
        <v>0.7</v>
      </c>
      <c r="CQ196" s="1120">
        <f t="shared" si="293"/>
        <v>0.7</v>
      </c>
      <c r="CR196" s="1120">
        <f t="shared" si="294"/>
        <v>0.85</v>
      </c>
      <c r="CS196" s="1120">
        <f t="shared" si="295"/>
        <v>0.85</v>
      </c>
      <c r="CT196" s="1120">
        <f t="shared" si="296"/>
        <v>0.85</v>
      </c>
      <c r="CU196" s="1120">
        <v>1</v>
      </c>
      <c r="CV196" s="1120"/>
      <c r="CW196" s="1120">
        <f t="shared" si="297"/>
        <v>214</v>
      </c>
      <c r="CX196" s="1120">
        <f t="shared" si="298"/>
        <v>151</v>
      </c>
      <c r="CY196" s="1135" t="s">
        <v>4889</v>
      </c>
      <c r="CZ196" s="1124" t="s">
        <v>4897</v>
      </c>
      <c r="DA196" s="1124"/>
      <c r="DB196" s="1124"/>
      <c r="DC196" s="1120" t="s">
        <v>5226</v>
      </c>
      <c r="DD196" s="1120" t="s">
        <v>256</v>
      </c>
      <c r="DE196" s="1120" t="str">
        <f t="shared" si="299"/>
        <v/>
      </c>
      <c r="DF196" s="1133">
        <v>1</v>
      </c>
      <c r="DG196" s="1120">
        <v>0</v>
      </c>
    </row>
    <row r="197" spans="1:111">
      <c r="A197" s="1125" t="s">
        <v>3204</v>
      </c>
      <c r="B197" s="1125" t="s">
        <v>609</v>
      </c>
      <c r="C197" s="1125" t="s">
        <v>610</v>
      </c>
      <c r="D197" s="1125" t="s">
        <v>953</v>
      </c>
      <c r="E197" s="1125">
        <v>39</v>
      </c>
      <c r="F197" s="1125">
        <v>-145.5</v>
      </c>
      <c r="G197" s="1125">
        <v>60.5</v>
      </c>
      <c r="H197" s="1125">
        <v>-9</v>
      </c>
      <c r="I197" s="1126">
        <v>1.580000686645507</v>
      </c>
      <c r="J197" s="1126">
        <v>67.280000686645508</v>
      </c>
      <c r="K197" s="1127">
        <v>57.559999656677249</v>
      </c>
      <c r="L197" s="1125">
        <v>8971.2000000000007</v>
      </c>
      <c r="M197" s="1125">
        <v>0</v>
      </c>
      <c r="N197" s="1128">
        <v>28.76000008583069</v>
      </c>
      <c r="O197" s="1128">
        <v>31.1</v>
      </c>
      <c r="P197" s="1128">
        <v>33.799999999999997</v>
      </c>
      <c r="Q197" s="1128">
        <v>41.720000171661376</v>
      </c>
      <c r="R197" s="1128">
        <v>44.959999656677248</v>
      </c>
      <c r="S197" s="1128">
        <v>52.519999313354489</v>
      </c>
      <c r="T197" s="1128">
        <v>52.159999656677243</v>
      </c>
      <c r="U197" s="1128">
        <v>53.059999656677249</v>
      </c>
      <c r="V197" s="1128">
        <v>49.280000686645508</v>
      </c>
      <c r="W197" s="1128">
        <v>34.519999957084657</v>
      </c>
      <c r="X197" s="1128">
        <v>28.580000042915344</v>
      </c>
      <c r="Y197" s="1128">
        <v>26.960000085830689</v>
      </c>
      <c r="Z197" s="1128">
        <v>39.820876653423049</v>
      </c>
      <c r="AA197" s="1128">
        <f t="shared" si="225"/>
        <v>42.16912092340462</v>
      </c>
      <c r="AB197" s="1128">
        <f t="shared" si="226"/>
        <v>41.204452523831023</v>
      </c>
      <c r="AC197" s="1128">
        <f t="shared" si="227"/>
        <v>41.443126214884849</v>
      </c>
      <c r="AD197" s="1128">
        <f t="shared" si="228"/>
        <v>42.82292802092001</v>
      </c>
      <c r="AE197" s="1128">
        <f t="shared" si="229"/>
        <v>44.984191337803971</v>
      </c>
      <c r="AF197" s="1128">
        <f t="shared" si="230"/>
        <v>47.363549575915052</v>
      </c>
      <c r="AG197" s="1128">
        <f t="shared" si="231"/>
        <v>49.340786343469233</v>
      </c>
      <c r="AH197" s="1128">
        <f t="shared" si="232"/>
        <v>50.40050440686263</v>
      </c>
      <c r="AI197" s="1128">
        <f t="shared" si="233"/>
        <v>50.266471922122051</v>
      </c>
      <c r="AJ197" s="1128">
        <f t="shared" si="234"/>
        <v>48.97362652189824</v>
      </c>
      <c r="AK197" s="1128">
        <f t="shared" si="235"/>
        <v>46.858968283110244</v>
      </c>
      <c r="AL197" s="1128">
        <f t="shared" si="236"/>
        <v>44.47371546356802</v>
      </c>
      <c r="AM197" s="1125">
        <f t="shared" si="237"/>
        <v>1</v>
      </c>
      <c r="AN197" s="1125">
        <f t="shared" si="238"/>
        <v>1</v>
      </c>
      <c r="AO197" s="1125">
        <f t="shared" si="239"/>
        <v>1</v>
      </c>
      <c r="AP197" s="1125">
        <f t="shared" si="240"/>
        <v>1</v>
      </c>
      <c r="AQ197" s="1125">
        <f t="shared" si="241"/>
        <v>1</v>
      </c>
      <c r="AR197" s="1125">
        <f t="shared" si="242"/>
        <v>1</v>
      </c>
      <c r="AS197" s="1125">
        <f t="shared" si="243"/>
        <v>1</v>
      </c>
      <c r="AT197" s="1125">
        <f t="shared" si="244"/>
        <v>1</v>
      </c>
      <c r="AU197" s="1125">
        <f t="shared" si="245"/>
        <v>1</v>
      </c>
      <c r="AV197" s="1125">
        <f t="shared" si="246"/>
        <v>1</v>
      </c>
      <c r="AW197" s="1125">
        <f t="shared" si="247"/>
        <v>1</v>
      </c>
      <c r="AX197" s="1125">
        <f t="shared" si="248"/>
        <v>1</v>
      </c>
      <c r="AY197" s="1125">
        <f t="shared" si="249"/>
        <v>0</v>
      </c>
      <c r="AZ197" s="1125">
        <f t="shared" si="250"/>
        <v>0</v>
      </c>
      <c r="BA197" s="1125">
        <f t="shared" si="251"/>
        <v>0</v>
      </c>
      <c r="BB197" s="1125">
        <f t="shared" si="252"/>
        <v>0</v>
      </c>
      <c r="BC197" s="1125">
        <f t="shared" si="253"/>
        <v>0</v>
      </c>
      <c r="BD197" s="1125">
        <f t="shared" si="254"/>
        <v>0</v>
      </c>
      <c r="BE197" s="1125">
        <f t="shared" si="255"/>
        <v>1</v>
      </c>
      <c r="BF197" s="1125">
        <f t="shared" si="256"/>
        <v>1</v>
      </c>
      <c r="BG197" s="1125">
        <f t="shared" si="257"/>
        <v>0</v>
      </c>
      <c r="BH197" s="1125">
        <f t="shared" si="258"/>
        <v>0</v>
      </c>
      <c r="BI197" s="1125">
        <f t="shared" si="259"/>
        <v>0</v>
      </c>
      <c r="BJ197" s="1125">
        <f t="shared" si="260"/>
        <v>0</v>
      </c>
      <c r="BK197" s="1125">
        <f t="shared" si="261"/>
        <v>1</v>
      </c>
      <c r="BL197" s="1125">
        <f t="shared" si="262"/>
        <v>1</v>
      </c>
      <c r="BM197" s="1125">
        <f t="shared" si="263"/>
        <v>1</v>
      </c>
      <c r="BN197" s="1125">
        <f t="shared" si="264"/>
        <v>1</v>
      </c>
      <c r="BO197" s="1125">
        <f t="shared" si="265"/>
        <v>1</v>
      </c>
      <c r="BP197" s="1125">
        <f t="shared" si="266"/>
        <v>1</v>
      </c>
      <c r="BQ197" s="1125">
        <f t="shared" si="267"/>
        <v>1</v>
      </c>
      <c r="BR197" s="1125">
        <f t="shared" si="268"/>
        <v>1</v>
      </c>
      <c r="BS197" s="1125">
        <f t="shared" si="269"/>
        <v>1</v>
      </c>
      <c r="BT197" s="1125">
        <f t="shared" si="270"/>
        <v>1</v>
      </c>
      <c r="BU197" s="1125">
        <f t="shared" si="271"/>
        <v>1</v>
      </c>
      <c r="BV197" s="1125">
        <f t="shared" si="272"/>
        <v>1</v>
      </c>
      <c r="BW197" s="1125">
        <f t="shared" si="273"/>
        <v>0</v>
      </c>
      <c r="BX197" s="1125">
        <f t="shared" si="274"/>
        <v>0</v>
      </c>
      <c r="BY197" s="1125">
        <f t="shared" si="275"/>
        <v>0</v>
      </c>
      <c r="BZ197" s="1125">
        <f t="shared" si="276"/>
        <v>0</v>
      </c>
      <c r="CA197" s="1125">
        <f t="shared" si="277"/>
        <v>0</v>
      </c>
      <c r="CB197" s="1125">
        <f t="shared" si="278"/>
        <v>0</v>
      </c>
      <c r="CC197" s="1125">
        <f t="shared" si="279"/>
        <v>1</v>
      </c>
      <c r="CD197" s="1125">
        <f t="shared" si="280"/>
        <v>1</v>
      </c>
      <c r="CE197" s="1125">
        <f t="shared" si="281"/>
        <v>0</v>
      </c>
      <c r="CF197" s="1125">
        <f t="shared" si="282"/>
        <v>0</v>
      </c>
      <c r="CG197" s="1125">
        <f t="shared" si="283"/>
        <v>0</v>
      </c>
      <c r="CH197" s="1125">
        <f t="shared" si="284"/>
        <v>0</v>
      </c>
      <c r="CI197" s="1125">
        <f t="shared" si="285"/>
        <v>0.85</v>
      </c>
      <c r="CJ197" s="1125">
        <f t="shared" si="286"/>
        <v>0.85</v>
      </c>
      <c r="CK197" s="1125">
        <f t="shared" si="287"/>
        <v>0.85</v>
      </c>
      <c r="CL197" s="1125">
        <f t="shared" si="288"/>
        <v>0.85</v>
      </c>
      <c r="CM197" s="1125">
        <f t="shared" si="289"/>
        <v>0.85</v>
      </c>
      <c r="CN197" s="1125">
        <f t="shared" si="290"/>
        <v>0.85</v>
      </c>
      <c r="CO197" s="1125">
        <f t="shared" si="291"/>
        <v>0.85</v>
      </c>
      <c r="CP197" s="1125">
        <f t="shared" si="292"/>
        <v>0.85</v>
      </c>
      <c r="CQ197" s="1125">
        <f t="shared" si="293"/>
        <v>0.85</v>
      </c>
      <c r="CR197" s="1125">
        <f t="shared" si="294"/>
        <v>0.85</v>
      </c>
      <c r="CS197" s="1125">
        <f t="shared" si="295"/>
        <v>0.85</v>
      </c>
      <c r="CT197" s="1125">
        <f t="shared" si="296"/>
        <v>0.85</v>
      </c>
      <c r="CU197" s="1125">
        <v>1</v>
      </c>
      <c r="CV197" s="1125"/>
      <c r="CW197" s="1125">
        <f t="shared" si="297"/>
        <v>62</v>
      </c>
      <c r="CX197" s="1125">
        <f t="shared" si="298"/>
        <v>303</v>
      </c>
      <c r="CY197" s="1136" t="s">
        <v>4879</v>
      </c>
      <c r="CZ197" s="1129">
        <v>7</v>
      </c>
      <c r="DA197" s="1129"/>
      <c r="DB197" s="1129"/>
      <c r="DC197" s="1125" t="s">
        <v>4918</v>
      </c>
      <c r="DD197" s="1125" t="s">
        <v>953</v>
      </c>
      <c r="DE197" s="1125" t="str">
        <f t="shared" si="299"/>
        <v/>
      </c>
      <c r="DF197" s="1125">
        <v>0</v>
      </c>
      <c r="DG197" s="1125">
        <v>0</v>
      </c>
    </row>
    <row r="198" spans="1:111">
      <c r="A198" s="1120" t="s">
        <v>551</v>
      </c>
      <c r="B198" s="1120" t="s">
        <v>4370</v>
      </c>
      <c r="C198" s="1120" t="s">
        <v>4371</v>
      </c>
      <c r="D198" s="1120" t="s">
        <v>228</v>
      </c>
      <c r="E198" s="1120">
        <v>20</v>
      </c>
      <c r="F198" s="1120">
        <v>-97.63</v>
      </c>
      <c r="G198" s="1120">
        <v>27.88</v>
      </c>
      <c r="H198" s="1120">
        <v>-6</v>
      </c>
      <c r="I198" s="1121">
        <v>37.039999914169314</v>
      </c>
      <c r="J198" s="1121">
        <v>94.279997253417974</v>
      </c>
      <c r="K198" s="1122">
        <v>77.719999313354492</v>
      </c>
      <c r="L198" s="1120">
        <v>910.80000000000007</v>
      </c>
      <c r="M198" s="1120">
        <v>109.8</v>
      </c>
      <c r="N198" s="1123">
        <v>54.5</v>
      </c>
      <c r="O198" s="1123">
        <v>58.1</v>
      </c>
      <c r="P198" s="1123">
        <v>65.3</v>
      </c>
      <c r="Q198" s="1123">
        <v>71.780000686645508</v>
      </c>
      <c r="R198" s="1123">
        <v>76.280000686645508</v>
      </c>
      <c r="S198" s="1123">
        <v>82.219999313354492</v>
      </c>
      <c r="T198" s="1123">
        <v>83.3</v>
      </c>
      <c r="U198" s="1123">
        <v>83.119999313354498</v>
      </c>
      <c r="V198" s="1123">
        <v>80.060001373291016</v>
      </c>
      <c r="W198" s="1123">
        <v>72.680000686645513</v>
      </c>
      <c r="X198" s="1123">
        <v>68</v>
      </c>
      <c r="Y198" s="1123">
        <v>57.019999313354489</v>
      </c>
      <c r="Z198" s="1123">
        <v>71.087123400544471</v>
      </c>
      <c r="AA198" s="1123">
        <f t="shared" si="225"/>
        <v>67.516006517649345</v>
      </c>
      <c r="AB198" s="1123">
        <f t="shared" si="226"/>
        <v>68.116060663292586</v>
      </c>
      <c r="AC198" s="1123">
        <f t="shared" si="227"/>
        <v>71.054560559662065</v>
      </c>
      <c r="AD198" s="1123">
        <f t="shared" si="228"/>
        <v>75.565540925114917</v>
      </c>
      <c r="AE198" s="1123">
        <f t="shared" si="229"/>
        <v>80.473145211084216</v>
      </c>
      <c r="AF198" s="1123">
        <f t="shared" si="230"/>
        <v>84.498130731960742</v>
      </c>
      <c r="AG198" s="1123">
        <f t="shared" si="231"/>
        <v>86.59132298482362</v>
      </c>
      <c r="AH198" s="1123">
        <f t="shared" si="232"/>
        <v>86.207099151895108</v>
      </c>
      <c r="AI198" s="1123">
        <f t="shared" si="233"/>
        <v>83.445613096296526</v>
      </c>
      <c r="AJ198" s="1123">
        <f t="shared" si="234"/>
        <v>79.026688714207921</v>
      </c>
      <c r="AK198" s="1123">
        <f t="shared" si="235"/>
        <v>74.102186743506692</v>
      </c>
      <c r="AL198" s="1123">
        <f t="shared" si="236"/>
        <v>69.955754511728628</v>
      </c>
      <c r="AM198" s="1120">
        <f t="shared" si="237"/>
        <v>1</v>
      </c>
      <c r="AN198" s="1120">
        <f t="shared" si="238"/>
        <v>1</v>
      </c>
      <c r="AO198" s="1120">
        <f t="shared" si="239"/>
        <v>1</v>
      </c>
      <c r="AP198" s="1120">
        <f t="shared" si="240"/>
        <v>0</v>
      </c>
      <c r="AQ198" s="1120">
        <f t="shared" si="241"/>
        <v>0</v>
      </c>
      <c r="AR198" s="1120">
        <f t="shared" si="242"/>
        <v>0</v>
      </c>
      <c r="AS198" s="1120">
        <f t="shared" si="243"/>
        <v>0</v>
      </c>
      <c r="AT198" s="1120">
        <f t="shared" si="244"/>
        <v>0</v>
      </c>
      <c r="AU198" s="1120">
        <f t="shared" si="245"/>
        <v>0</v>
      </c>
      <c r="AV198" s="1120">
        <f t="shared" si="246"/>
        <v>0</v>
      </c>
      <c r="AW198" s="1120">
        <f t="shared" si="247"/>
        <v>0</v>
      </c>
      <c r="AX198" s="1120">
        <f t="shared" si="248"/>
        <v>1</v>
      </c>
      <c r="AY198" s="1120">
        <f t="shared" si="249"/>
        <v>0</v>
      </c>
      <c r="AZ198" s="1120">
        <f t="shared" si="250"/>
        <v>0</v>
      </c>
      <c r="BA198" s="1120">
        <f t="shared" si="251"/>
        <v>0</v>
      </c>
      <c r="BB198" s="1120">
        <f t="shared" si="252"/>
        <v>1</v>
      </c>
      <c r="BC198" s="1120">
        <f t="shared" si="253"/>
        <v>1</v>
      </c>
      <c r="BD198" s="1120">
        <f t="shared" si="254"/>
        <v>1</v>
      </c>
      <c r="BE198" s="1120">
        <f t="shared" si="255"/>
        <v>1</v>
      </c>
      <c r="BF198" s="1120">
        <f t="shared" si="256"/>
        <v>1</v>
      </c>
      <c r="BG198" s="1120">
        <f t="shared" si="257"/>
        <v>1</v>
      </c>
      <c r="BH198" s="1120">
        <f t="shared" si="258"/>
        <v>1</v>
      </c>
      <c r="BI198" s="1120">
        <f t="shared" si="259"/>
        <v>1</v>
      </c>
      <c r="BJ198" s="1120">
        <f t="shared" si="260"/>
        <v>0</v>
      </c>
      <c r="BK198" s="1120">
        <f t="shared" si="261"/>
        <v>1</v>
      </c>
      <c r="BL198" s="1120">
        <f t="shared" si="262"/>
        <v>1</v>
      </c>
      <c r="BM198" s="1120">
        <f t="shared" si="263"/>
        <v>1</v>
      </c>
      <c r="BN198" s="1120">
        <f t="shared" si="264"/>
        <v>1</v>
      </c>
      <c r="BO198" s="1120">
        <f t="shared" si="265"/>
        <v>0</v>
      </c>
      <c r="BP198" s="1120">
        <f t="shared" si="266"/>
        <v>0</v>
      </c>
      <c r="BQ198" s="1120">
        <f t="shared" si="267"/>
        <v>0</v>
      </c>
      <c r="BR198" s="1120">
        <f t="shared" si="268"/>
        <v>0</v>
      </c>
      <c r="BS198" s="1120">
        <f t="shared" si="269"/>
        <v>0</v>
      </c>
      <c r="BT198" s="1120">
        <f t="shared" si="270"/>
        <v>0</v>
      </c>
      <c r="BU198" s="1120">
        <f t="shared" si="271"/>
        <v>0</v>
      </c>
      <c r="BV198" s="1120">
        <f t="shared" si="272"/>
        <v>1</v>
      </c>
      <c r="BW198" s="1120">
        <f t="shared" si="273"/>
        <v>0</v>
      </c>
      <c r="BX198" s="1120">
        <f t="shared" si="274"/>
        <v>0</v>
      </c>
      <c r="BY198" s="1120">
        <f t="shared" si="275"/>
        <v>1</v>
      </c>
      <c r="BZ198" s="1120">
        <f t="shared" si="276"/>
        <v>1</v>
      </c>
      <c r="CA198" s="1120">
        <f t="shared" si="277"/>
        <v>1</v>
      </c>
      <c r="CB198" s="1120">
        <f t="shared" si="278"/>
        <v>1</v>
      </c>
      <c r="CC198" s="1120">
        <f t="shared" si="279"/>
        <v>1</v>
      </c>
      <c r="CD198" s="1120">
        <f t="shared" si="280"/>
        <v>1</v>
      </c>
      <c r="CE198" s="1120">
        <f t="shared" si="281"/>
        <v>1</v>
      </c>
      <c r="CF198" s="1120">
        <f t="shared" si="282"/>
        <v>1</v>
      </c>
      <c r="CG198" s="1120">
        <f t="shared" si="283"/>
        <v>1</v>
      </c>
      <c r="CH198" s="1120">
        <f t="shared" si="284"/>
        <v>1</v>
      </c>
      <c r="CI198" s="1120">
        <f t="shared" si="285"/>
        <v>0.85</v>
      </c>
      <c r="CJ198" s="1120">
        <f t="shared" si="286"/>
        <v>0.85</v>
      </c>
      <c r="CK198" s="1120">
        <f t="shared" si="287"/>
        <v>0.85</v>
      </c>
      <c r="CL198" s="1120">
        <f t="shared" si="288"/>
        <v>0.85</v>
      </c>
      <c r="CM198" s="1120">
        <f t="shared" si="289"/>
        <v>0.7</v>
      </c>
      <c r="CN198" s="1120">
        <f t="shared" si="290"/>
        <v>0.7</v>
      </c>
      <c r="CO198" s="1120">
        <f t="shared" si="291"/>
        <v>0.7</v>
      </c>
      <c r="CP198" s="1120">
        <f t="shared" si="292"/>
        <v>0.7</v>
      </c>
      <c r="CQ198" s="1120">
        <f t="shared" si="293"/>
        <v>0.7</v>
      </c>
      <c r="CR198" s="1120">
        <f t="shared" si="294"/>
        <v>0.7</v>
      </c>
      <c r="CS198" s="1120">
        <f t="shared" si="295"/>
        <v>0.7</v>
      </c>
      <c r="CT198" s="1120">
        <f t="shared" si="296"/>
        <v>0.85</v>
      </c>
      <c r="CU198" s="1120">
        <v>1</v>
      </c>
      <c r="CV198" s="1120"/>
      <c r="CW198" s="1120">
        <f t="shared" si="297"/>
        <v>306</v>
      </c>
      <c r="CX198" s="1120">
        <f t="shared" si="298"/>
        <v>59</v>
      </c>
      <c r="CY198" s="1135" t="s">
        <v>4883</v>
      </c>
      <c r="CZ198" s="1124" t="s">
        <v>4884</v>
      </c>
      <c r="DA198" s="1124"/>
      <c r="DB198" s="1124"/>
      <c r="DC198" s="1120" t="s">
        <v>5580</v>
      </c>
      <c r="DD198" s="1120" t="s">
        <v>228</v>
      </c>
      <c r="DE198" s="1120" t="b">
        <f t="shared" si="299"/>
        <v>0</v>
      </c>
      <c r="DF198" s="1133">
        <v>0</v>
      </c>
      <c r="DG198" s="1120">
        <v>0</v>
      </c>
    </row>
    <row r="199" spans="1:111">
      <c r="A199" s="1125" t="s">
        <v>5822</v>
      </c>
      <c r="B199" s="1125" t="s">
        <v>4372</v>
      </c>
      <c r="C199" s="1125" t="s">
        <v>4373</v>
      </c>
      <c r="D199" s="1125" t="s">
        <v>228</v>
      </c>
      <c r="E199" s="1125">
        <v>20</v>
      </c>
      <c r="F199" s="1125">
        <v>-97.28</v>
      </c>
      <c r="G199" s="1125">
        <v>27.68</v>
      </c>
      <c r="H199" s="1125">
        <v>-6</v>
      </c>
      <c r="I199" s="1126">
        <v>39.920000171661378</v>
      </c>
      <c r="J199" s="1126">
        <v>92.120002746582031</v>
      </c>
      <c r="K199" s="1127">
        <v>79.16000137329101</v>
      </c>
      <c r="L199" s="1125">
        <v>536.4</v>
      </c>
      <c r="M199" s="1125">
        <v>3760.2000000000003</v>
      </c>
      <c r="N199" s="1128">
        <v>59.359999656677246</v>
      </c>
      <c r="O199" s="1128">
        <v>62.419999313354495</v>
      </c>
      <c r="P199" s="1128">
        <v>68.180000686645513</v>
      </c>
      <c r="Q199" s="1128">
        <v>71.419999313354495</v>
      </c>
      <c r="R199" s="1128">
        <v>76.460001373291021</v>
      </c>
      <c r="S199" s="1128">
        <v>83.480000686645511</v>
      </c>
      <c r="T199" s="1128">
        <v>84.560001373291016</v>
      </c>
      <c r="U199" s="1128">
        <v>83.66000137329101</v>
      </c>
      <c r="V199" s="1128">
        <v>83.119999313354498</v>
      </c>
      <c r="W199" s="1128">
        <v>75.019999313354489</v>
      </c>
      <c r="X199" s="1128">
        <v>71.060001373291016</v>
      </c>
      <c r="Y199" s="1128">
        <v>59.540000343322752</v>
      </c>
      <c r="Z199" s="1128">
        <v>73.233808572847551</v>
      </c>
      <c r="AA199" s="1128">
        <f t="shared" si="225"/>
        <v>70.553261119445125</v>
      </c>
      <c r="AB199" s="1128">
        <f t="shared" si="226"/>
        <v>71.258013279235584</v>
      </c>
      <c r="AC199" s="1128">
        <f t="shared" si="227"/>
        <v>74.041779393031959</v>
      </c>
      <c r="AD199" s="1128">
        <f t="shared" si="228"/>
        <v>78.178927924138847</v>
      </c>
      <c r="AE199" s="1128">
        <f t="shared" si="229"/>
        <v>82.591047352534531</v>
      </c>
      <c r="AF199" s="1128">
        <f t="shared" si="230"/>
        <v>86.128050756389158</v>
      </c>
      <c r="AG199" s="1128">
        <f t="shared" si="231"/>
        <v>87.867963691615643</v>
      </c>
      <c r="AH199" s="1128">
        <f t="shared" si="232"/>
        <v>87.357251038777278</v>
      </c>
      <c r="AI199" s="1128">
        <f t="shared" si="233"/>
        <v>84.729037921156575</v>
      </c>
      <c r="AJ199" s="1128">
        <f t="shared" si="234"/>
        <v>80.668408589851495</v>
      </c>
      <c r="AK199" s="1128">
        <f t="shared" si="235"/>
        <v>76.233828656258879</v>
      </c>
      <c r="AL199" s="1128">
        <f t="shared" si="236"/>
        <v>72.581239719015016</v>
      </c>
      <c r="AM199" s="1125">
        <f t="shared" si="237"/>
        <v>1</v>
      </c>
      <c r="AN199" s="1125">
        <f t="shared" si="238"/>
        <v>1</v>
      </c>
      <c r="AO199" s="1125">
        <f t="shared" si="239"/>
        <v>0</v>
      </c>
      <c r="AP199" s="1125">
        <f t="shared" si="240"/>
        <v>0</v>
      </c>
      <c r="AQ199" s="1125">
        <f t="shared" si="241"/>
        <v>0</v>
      </c>
      <c r="AR199" s="1125">
        <f t="shared" si="242"/>
        <v>0</v>
      </c>
      <c r="AS199" s="1125">
        <f t="shared" si="243"/>
        <v>0</v>
      </c>
      <c r="AT199" s="1125">
        <f t="shared" si="244"/>
        <v>0</v>
      </c>
      <c r="AU199" s="1125">
        <f t="shared" si="245"/>
        <v>0</v>
      </c>
      <c r="AV199" s="1125">
        <f t="shared" si="246"/>
        <v>0</v>
      </c>
      <c r="AW199" s="1125">
        <f t="shared" si="247"/>
        <v>0</v>
      </c>
      <c r="AX199" s="1125">
        <f t="shared" si="248"/>
        <v>1</v>
      </c>
      <c r="AY199" s="1125">
        <f t="shared" si="249"/>
        <v>0</v>
      </c>
      <c r="AZ199" s="1125">
        <f t="shared" si="250"/>
        <v>0</v>
      </c>
      <c r="BA199" s="1125">
        <f t="shared" si="251"/>
        <v>1</v>
      </c>
      <c r="BB199" s="1125">
        <f t="shared" si="252"/>
        <v>1</v>
      </c>
      <c r="BC199" s="1125">
        <f t="shared" si="253"/>
        <v>1</v>
      </c>
      <c r="BD199" s="1125">
        <f t="shared" si="254"/>
        <v>1</v>
      </c>
      <c r="BE199" s="1125">
        <f t="shared" si="255"/>
        <v>1</v>
      </c>
      <c r="BF199" s="1125">
        <f t="shared" si="256"/>
        <v>1</v>
      </c>
      <c r="BG199" s="1125">
        <f t="shared" si="257"/>
        <v>1</v>
      </c>
      <c r="BH199" s="1125">
        <f t="shared" si="258"/>
        <v>1</v>
      </c>
      <c r="BI199" s="1125">
        <f t="shared" si="259"/>
        <v>1</v>
      </c>
      <c r="BJ199" s="1125">
        <f t="shared" si="260"/>
        <v>0</v>
      </c>
      <c r="BK199" s="1125">
        <f t="shared" si="261"/>
        <v>1</v>
      </c>
      <c r="BL199" s="1125">
        <f t="shared" si="262"/>
        <v>1</v>
      </c>
      <c r="BM199" s="1125">
        <f t="shared" si="263"/>
        <v>1</v>
      </c>
      <c r="BN199" s="1125">
        <f t="shared" si="264"/>
        <v>0</v>
      </c>
      <c r="BO199" s="1125">
        <f t="shared" si="265"/>
        <v>0</v>
      </c>
      <c r="BP199" s="1125">
        <f t="shared" si="266"/>
        <v>0</v>
      </c>
      <c r="BQ199" s="1125">
        <f t="shared" si="267"/>
        <v>0</v>
      </c>
      <c r="BR199" s="1125">
        <f t="shared" si="268"/>
        <v>0</v>
      </c>
      <c r="BS199" s="1125">
        <f t="shared" si="269"/>
        <v>0</v>
      </c>
      <c r="BT199" s="1125">
        <f t="shared" si="270"/>
        <v>0</v>
      </c>
      <c r="BU199" s="1125">
        <f t="shared" si="271"/>
        <v>0</v>
      </c>
      <c r="BV199" s="1125">
        <f t="shared" si="272"/>
        <v>1</v>
      </c>
      <c r="BW199" s="1125">
        <f t="shared" si="273"/>
        <v>0</v>
      </c>
      <c r="BX199" s="1125">
        <f t="shared" si="274"/>
        <v>1</v>
      </c>
      <c r="BY199" s="1125">
        <f t="shared" si="275"/>
        <v>1</v>
      </c>
      <c r="BZ199" s="1125">
        <f t="shared" si="276"/>
        <v>1</v>
      </c>
      <c r="CA199" s="1125">
        <f t="shared" si="277"/>
        <v>1</v>
      </c>
      <c r="CB199" s="1125">
        <f t="shared" si="278"/>
        <v>1</v>
      </c>
      <c r="CC199" s="1125">
        <f t="shared" si="279"/>
        <v>1</v>
      </c>
      <c r="CD199" s="1125">
        <f t="shared" si="280"/>
        <v>1</v>
      </c>
      <c r="CE199" s="1125">
        <f t="shared" si="281"/>
        <v>1</v>
      </c>
      <c r="CF199" s="1125">
        <f t="shared" si="282"/>
        <v>1</v>
      </c>
      <c r="CG199" s="1125">
        <f t="shared" si="283"/>
        <v>1</v>
      </c>
      <c r="CH199" s="1125">
        <f t="shared" si="284"/>
        <v>1</v>
      </c>
      <c r="CI199" s="1125">
        <f t="shared" si="285"/>
        <v>0.85</v>
      </c>
      <c r="CJ199" s="1125">
        <f t="shared" si="286"/>
        <v>0.85</v>
      </c>
      <c r="CK199" s="1125">
        <f t="shared" si="287"/>
        <v>0.85</v>
      </c>
      <c r="CL199" s="1125">
        <f t="shared" si="288"/>
        <v>0.7</v>
      </c>
      <c r="CM199" s="1125">
        <f t="shared" si="289"/>
        <v>0.7</v>
      </c>
      <c r="CN199" s="1125">
        <f t="shared" si="290"/>
        <v>0.7</v>
      </c>
      <c r="CO199" s="1125">
        <f t="shared" si="291"/>
        <v>0.7</v>
      </c>
      <c r="CP199" s="1125">
        <f t="shared" si="292"/>
        <v>0.7</v>
      </c>
      <c r="CQ199" s="1125">
        <f t="shared" si="293"/>
        <v>0.7</v>
      </c>
      <c r="CR199" s="1125">
        <f t="shared" si="294"/>
        <v>0.7</v>
      </c>
      <c r="CS199" s="1125">
        <f t="shared" si="295"/>
        <v>0.7</v>
      </c>
      <c r="CT199" s="1125">
        <f t="shared" si="296"/>
        <v>0.85</v>
      </c>
      <c r="CU199" s="1125">
        <v>1</v>
      </c>
      <c r="CV199" s="1125"/>
      <c r="CW199" s="1125">
        <f t="shared" si="297"/>
        <v>334</v>
      </c>
      <c r="CX199" s="1125">
        <f t="shared" si="298"/>
        <v>31</v>
      </c>
      <c r="CY199" s="1136" t="s">
        <v>4883</v>
      </c>
      <c r="CZ199" s="1129" t="s">
        <v>4884</v>
      </c>
      <c r="DA199" s="1129"/>
      <c r="DB199" s="1129"/>
      <c r="DC199" s="1125" t="s">
        <v>5581</v>
      </c>
      <c r="DD199" s="1125" t="s">
        <v>228</v>
      </c>
      <c r="DE199" s="1120" t="str">
        <f t="shared" si="299"/>
        <v/>
      </c>
      <c r="DF199" s="1133">
        <v>0</v>
      </c>
      <c r="DG199" s="1125">
        <v>0</v>
      </c>
    </row>
    <row r="200" spans="1:111">
      <c r="A200" s="1120" t="s">
        <v>3206</v>
      </c>
      <c r="B200" s="1125" t="s">
        <v>3220</v>
      </c>
      <c r="C200" s="1125" t="s">
        <v>3221</v>
      </c>
      <c r="D200" s="1125" t="s">
        <v>536</v>
      </c>
      <c r="E200" s="1125">
        <v>5914</v>
      </c>
      <c r="F200" s="1125">
        <v>-108.63</v>
      </c>
      <c r="G200" s="1125">
        <v>37.299999999999997</v>
      </c>
      <c r="H200" s="1125">
        <v>-7</v>
      </c>
      <c r="I200" s="1126">
        <v>8.9599996566772457</v>
      </c>
      <c r="J200" s="1126">
        <v>90.860001373291013</v>
      </c>
      <c r="K200" s="1127">
        <v>59.180000686645506</v>
      </c>
      <c r="L200" s="1125">
        <v>5830.2</v>
      </c>
      <c r="M200" s="1125">
        <v>628.20000000000005</v>
      </c>
      <c r="N200" s="1128">
        <v>30.019999957084657</v>
      </c>
      <c r="O200" s="1128">
        <v>33.080000042915344</v>
      </c>
      <c r="P200" s="1128">
        <v>40.459999656677248</v>
      </c>
      <c r="Q200" s="1128">
        <v>50.719999313354492</v>
      </c>
      <c r="R200" s="1128">
        <v>59.9</v>
      </c>
      <c r="S200" s="1128">
        <v>68.719999313354492</v>
      </c>
      <c r="T200" s="1128">
        <v>73.219999313354492</v>
      </c>
      <c r="U200" s="1128">
        <v>68.719999313354492</v>
      </c>
      <c r="V200" s="1128">
        <v>62.960001373291014</v>
      </c>
      <c r="W200" s="1128">
        <v>48.919999313354495</v>
      </c>
      <c r="X200" s="1128">
        <v>35.6</v>
      </c>
      <c r="Y200" s="1128">
        <v>28.580000042915344</v>
      </c>
      <c r="Z200" s="1128">
        <v>50.166191580001623</v>
      </c>
      <c r="AA200" s="1128">
        <f t="shared" si="225"/>
        <v>47.104613203940303</v>
      </c>
      <c r="AB200" s="1128">
        <f t="shared" si="226"/>
        <v>45.863972806515214</v>
      </c>
      <c r="AC200" s="1128">
        <f t="shared" si="227"/>
        <v>47.308764494396343</v>
      </c>
      <c r="AD200" s="1128">
        <f t="shared" si="228"/>
        <v>51.062381049223603</v>
      </c>
      <c r="AE200" s="1128">
        <f t="shared" si="229"/>
        <v>56.146384470999216</v>
      </c>
      <c r="AF200" s="1128">
        <f t="shared" si="230"/>
        <v>61.235550920973097</v>
      </c>
      <c r="AG200" s="1128">
        <f t="shared" si="231"/>
        <v>65.003310737530612</v>
      </c>
      <c r="AH200" s="1128">
        <f t="shared" si="232"/>
        <v>66.467539261549717</v>
      </c>
      <c r="AI200" s="1128">
        <f t="shared" si="233"/>
        <v>65.246562763800256</v>
      </c>
      <c r="AJ200" s="1128">
        <f t="shared" si="234"/>
        <v>61.658647584238025</v>
      </c>
      <c r="AK200" s="1128">
        <f t="shared" si="235"/>
        <v>56.639039105862466</v>
      </c>
      <c r="AL200" s="1128">
        <f t="shared" si="236"/>
        <v>51.496175633070344</v>
      </c>
      <c r="AM200" s="1125">
        <f t="shared" si="237"/>
        <v>1</v>
      </c>
      <c r="AN200" s="1125">
        <f t="shared" si="238"/>
        <v>1</v>
      </c>
      <c r="AO200" s="1125">
        <f t="shared" si="239"/>
        <v>1</v>
      </c>
      <c r="AP200" s="1125">
        <f t="shared" si="240"/>
        <v>1</v>
      </c>
      <c r="AQ200" s="1125">
        <f t="shared" si="241"/>
        <v>1</v>
      </c>
      <c r="AR200" s="1125">
        <f t="shared" si="242"/>
        <v>0</v>
      </c>
      <c r="AS200" s="1125">
        <f t="shared" si="243"/>
        <v>0</v>
      </c>
      <c r="AT200" s="1125">
        <f t="shared" si="244"/>
        <v>0</v>
      </c>
      <c r="AU200" s="1125">
        <f t="shared" si="245"/>
        <v>1</v>
      </c>
      <c r="AV200" s="1125">
        <f t="shared" si="246"/>
        <v>1</v>
      </c>
      <c r="AW200" s="1125">
        <f t="shared" si="247"/>
        <v>1</v>
      </c>
      <c r="AX200" s="1125">
        <f t="shared" si="248"/>
        <v>1</v>
      </c>
      <c r="AY200" s="1125">
        <f t="shared" si="249"/>
        <v>0</v>
      </c>
      <c r="AZ200" s="1125">
        <f t="shared" si="250"/>
        <v>0</v>
      </c>
      <c r="BA200" s="1125">
        <f t="shared" si="251"/>
        <v>0</v>
      </c>
      <c r="BB200" s="1125">
        <f t="shared" si="252"/>
        <v>0</v>
      </c>
      <c r="BC200" s="1125">
        <f t="shared" si="253"/>
        <v>0</v>
      </c>
      <c r="BD200" s="1125">
        <f t="shared" si="254"/>
        <v>1</v>
      </c>
      <c r="BE200" s="1125">
        <f t="shared" si="255"/>
        <v>1</v>
      </c>
      <c r="BF200" s="1125">
        <f t="shared" si="256"/>
        <v>1</v>
      </c>
      <c r="BG200" s="1125">
        <f t="shared" si="257"/>
        <v>0</v>
      </c>
      <c r="BH200" s="1125">
        <f t="shared" si="258"/>
        <v>0</v>
      </c>
      <c r="BI200" s="1125">
        <f t="shared" si="259"/>
        <v>0</v>
      </c>
      <c r="BJ200" s="1125">
        <f t="shared" si="260"/>
        <v>0</v>
      </c>
      <c r="BK200" s="1125">
        <f t="shared" si="261"/>
        <v>1</v>
      </c>
      <c r="BL200" s="1125">
        <f t="shared" si="262"/>
        <v>1</v>
      </c>
      <c r="BM200" s="1125">
        <f t="shared" si="263"/>
        <v>1</v>
      </c>
      <c r="BN200" s="1125">
        <f t="shared" si="264"/>
        <v>1</v>
      </c>
      <c r="BO200" s="1125">
        <f t="shared" si="265"/>
        <v>1</v>
      </c>
      <c r="BP200" s="1125">
        <f t="shared" si="266"/>
        <v>1</v>
      </c>
      <c r="BQ200" s="1125">
        <f t="shared" si="267"/>
        <v>0</v>
      </c>
      <c r="BR200" s="1125">
        <f t="shared" si="268"/>
        <v>0</v>
      </c>
      <c r="BS200" s="1125">
        <f t="shared" si="269"/>
        <v>1</v>
      </c>
      <c r="BT200" s="1125">
        <f t="shared" si="270"/>
        <v>1</v>
      </c>
      <c r="BU200" s="1125">
        <f t="shared" si="271"/>
        <v>1</v>
      </c>
      <c r="BV200" s="1125">
        <f t="shared" si="272"/>
        <v>1</v>
      </c>
      <c r="BW200" s="1125">
        <f t="shared" si="273"/>
        <v>0</v>
      </c>
      <c r="BX200" s="1125">
        <f t="shared" si="274"/>
        <v>0</v>
      </c>
      <c r="BY200" s="1125">
        <f t="shared" si="275"/>
        <v>0</v>
      </c>
      <c r="BZ200" s="1125">
        <f t="shared" si="276"/>
        <v>0</v>
      </c>
      <c r="CA200" s="1125">
        <f t="shared" si="277"/>
        <v>1</v>
      </c>
      <c r="CB200" s="1125">
        <f t="shared" si="278"/>
        <v>1</v>
      </c>
      <c r="CC200" s="1125">
        <f t="shared" si="279"/>
        <v>1</v>
      </c>
      <c r="CD200" s="1125">
        <f t="shared" si="280"/>
        <v>1</v>
      </c>
      <c r="CE200" s="1125">
        <f t="shared" si="281"/>
        <v>1</v>
      </c>
      <c r="CF200" s="1125">
        <f t="shared" si="282"/>
        <v>0</v>
      </c>
      <c r="CG200" s="1125">
        <f t="shared" si="283"/>
        <v>0</v>
      </c>
      <c r="CH200" s="1125">
        <f t="shared" si="284"/>
        <v>0</v>
      </c>
      <c r="CI200" s="1125">
        <f t="shared" si="285"/>
        <v>0.85</v>
      </c>
      <c r="CJ200" s="1125">
        <f t="shared" si="286"/>
        <v>0.85</v>
      </c>
      <c r="CK200" s="1125">
        <f t="shared" si="287"/>
        <v>0.85</v>
      </c>
      <c r="CL200" s="1125">
        <f t="shared" si="288"/>
        <v>0.85</v>
      </c>
      <c r="CM200" s="1125">
        <f t="shared" si="289"/>
        <v>0.85</v>
      </c>
      <c r="CN200" s="1125">
        <f t="shared" si="290"/>
        <v>0.85</v>
      </c>
      <c r="CO200" s="1125">
        <f t="shared" si="291"/>
        <v>0.7</v>
      </c>
      <c r="CP200" s="1125">
        <f t="shared" si="292"/>
        <v>0.7</v>
      </c>
      <c r="CQ200" s="1125">
        <f t="shared" si="293"/>
        <v>0.85</v>
      </c>
      <c r="CR200" s="1125">
        <f t="shared" si="294"/>
        <v>0.85</v>
      </c>
      <c r="CS200" s="1125">
        <f t="shared" si="295"/>
        <v>0.85</v>
      </c>
      <c r="CT200" s="1125">
        <f t="shared" si="296"/>
        <v>0.85</v>
      </c>
      <c r="CU200" s="1125">
        <v>1</v>
      </c>
      <c r="CV200" s="1125"/>
      <c r="CW200" s="1125">
        <f t="shared" si="297"/>
        <v>153</v>
      </c>
      <c r="CX200" s="1125">
        <f t="shared" si="298"/>
        <v>212</v>
      </c>
      <c r="CY200" s="1136" t="s">
        <v>4889</v>
      </c>
      <c r="CZ200" s="1129" t="s">
        <v>4890</v>
      </c>
      <c r="DA200" s="1129"/>
      <c r="DB200" s="1129"/>
      <c r="DC200" s="1125" t="s">
        <v>5948</v>
      </c>
      <c r="DD200" s="1125" t="s">
        <v>536</v>
      </c>
      <c r="DE200" s="1120" t="str">
        <f t="shared" si="299"/>
        <v/>
      </c>
      <c r="DF200" s="1133">
        <v>0</v>
      </c>
      <c r="DG200" s="1120">
        <v>0</v>
      </c>
    </row>
    <row r="201" spans="1:111">
      <c r="A201" s="1125" t="s">
        <v>3208</v>
      </c>
      <c r="B201" s="1125" t="s">
        <v>4228</v>
      </c>
      <c r="C201" s="1125" t="s">
        <v>4229</v>
      </c>
      <c r="D201" s="1125" t="s">
        <v>427</v>
      </c>
      <c r="E201" s="1125">
        <v>253</v>
      </c>
      <c r="F201" s="1125">
        <v>-123.28</v>
      </c>
      <c r="G201" s="1125">
        <v>44.48</v>
      </c>
      <c r="H201" s="1125">
        <v>-8</v>
      </c>
      <c r="I201" s="1126">
        <v>27.679999828338623</v>
      </c>
      <c r="J201" s="1126">
        <v>89.779997253417974</v>
      </c>
      <c r="K201" s="1127">
        <v>65.66000137329101</v>
      </c>
      <c r="L201" s="1125">
        <v>4123.8</v>
      </c>
      <c r="M201" s="1125">
        <v>405</v>
      </c>
      <c r="N201" s="1128">
        <v>41.9</v>
      </c>
      <c r="O201" s="1128">
        <v>44.959999656677248</v>
      </c>
      <c r="P201" s="1128">
        <v>50.180000686645506</v>
      </c>
      <c r="Q201" s="1128">
        <v>52.7</v>
      </c>
      <c r="R201" s="1128">
        <v>54.319999313354494</v>
      </c>
      <c r="S201" s="1128">
        <v>62.780000686645508</v>
      </c>
      <c r="T201" s="1128">
        <v>69.260001373291018</v>
      </c>
      <c r="U201" s="1128">
        <v>68.180000686645513</v>
      </c>
      <c r="V201" s="1128">
        <v>64.580000686645505</v>
      </c>
      <c r="W201" s="1128">
        <v>52.519999313354489</v>
      </c>
      <c r="X201" s="1128">
        <v>44.959999656677248</v>
      </c>
      <c r="Y201" s="1128">
        <v>43.340000343322757</v>
      </c>
      <c r="Z201" s="1128">
        <v>54.192274176715173</v>
      </c>
      <c r="AA201" s="1128">
        <f t="shared" si="225"/>
        <v>53.942238341898204</v>
      </c>
      <c r="AB201" s="1128">
        <f t="shared" si="226"/>
        <v>53.35336298214186</v>
      </c>
      <c r="AC201" s="1128">
        <f t="shared" si="227"/>
        <v>54.547155216062713</v>
      </c>
      <c r="AD201" s="1128">
        <f t="shared" si="228"/>
        <v>57.212434700994095</v>
      </c>
      <c r="AE201" s="1128">
        <f t="shared" si="229"/>
        <v>60.654455265988503</v>
      </c>
      <c r="AF201" s="1128">
        <f t="shared" si="230"/>
        <v>63.976001207637644</v>
      </c>
      <c r="AG201" s="1128">
        <f t="shared" si="231"/>
        <v>66.311260389678296</v>
      </c>
      <c r="AH201" s="1128">
        <f t="shared" si="232"/>
        <v>67.051511518878243</v>
      </c>
      <c r="AI201" s="1128">
        <f t="shared" si="233"/>
        <v>66.003796730796296</v>
      </c>
      <c r="AJ201" s="1128">
        <f t="shared" si="234"/>
        <v>63.441219030719658</v>
      </c>
      <c r="AK201" s="1128">
        <f t="shared" si="235"/>
        <v>60.031753786691006</v>
      </c>
      <c r="AL201" s="1128">
        <f t="shared" si="236"/>
        <v>56.664130656016241</v>
      </c>
      <c r="AM201" s="1125">
        <f t="shared" si="237"/>
        <v>1</v>
      </c>
      <c r="AN201" s="1125">
        <f t="shared" si="238"/>
        <v>1</v>
      </c>
      <c r="AO201" s="1125">
        <f t="shared" si="239"/>
        <v>1</v>
      </c>
      <c r="AP201" s="1125">
        <f t="shared" si="240"/>
        <v>1</v>
      </c>
      <c r="AQ201" s="1125">
        <f t="shared" si="241"/>
        <v>1</v>
      </c>
      <c r="AR201" s="1125">
        <f t="shared" si="242"/>
        <v>1</v>
      </c>
      <c r="AS201" s="1125">
        <f t="shared" si="243"/>
        <v>0</v>
      </c>
      <c r="AT201" s="1125">
        <f t="shared" si="244"/>
        <v>0</v>
      </c>
      <c r="AU201" s="1125">
        <f t="shared" si="245"/>
        <v>1</v>
      </c>
      <c r="AV201" s="1125">
        <f t="shared" si="246"/>
        <v>1</v>
      </c>
      <c r="AW201" s="1125">
        <f t="shared" si="247"/>
        <v>1</v>
      </c>
      <c r="AX201" s="1125">
        <f t="shared" si="248"/>
        <v>1</v>
      </c>
      <c r="AY201" s="1125">
        <f t="shared" si="249"/>
        <v>0</v>
      </c>
      <c r="AZ201" s="1125">
        <f t="shared" si="250"/>
        <v>0</v>
      </c>
      <c r="BA201" s="1125">
        <f t="shared" si="251"/>
        <v>0</v>
      </c>
      <c r="BB201" s="1125">
        <f t="shared" si="252"/>
        <v>0</v>
      </c>
      <c r="BC201" s="1125">
        <f t="shared" si="253"/>
        <v>0</v>
      </c>
      <c r="BD201" s="1125">
        <f t="shared" si="254"/>
        <v>0</v>
      </c>
      <c r="BE201" s="1125">
        <f t="shared" si="255"/>
        <v>1</v>
      </c>
      <c r="BF201" s="1125">
        <f t="shared" si="256"/>
        <v>1</v>
      </c>
      <c r="BG201" s="1125">
        <f t="shared" si="257"/>
        <v>0</v>
      </c>
      <c r="BH201" s="1125">
        <f t="shared" si="258"/>
        <v>0</v>
      </c>
      <c r="BI201" s="1125">
        <f t="shared" si="259"/>
        <v>0</v>
      </c>
      <c r="BJ201" s="1125">
        <f t="shared" si="260"/>
        <v>0</v>
      </c>
      <c r="BK201" s="1125">
        <f t="shared" si="261"/>
        <v>1</v>
      </c>
      <c r="BL201" s="1125">
        <f t="shared" si="262"/>
        <v>1</v>
      </c>
      <c r="BM201" s="1125">
        <f t="shared" si="263"/>
        <v>1</v>
      </c>
      <c r="BN201" s="1125">
        <f t="shared" si="264"/>
        <v>1</v>
      </c>
      <c r="BO201" s="1125">
        <f t="shared" si="265"/>
        <v>1</v>
      </c>
      <c r="BP201" s="1125">
        <f t="shared" si="266"/>
        <v>1</v>
      </c>
      <c r="BQ201" s="1125">
        <f t="shared" si="267"/>
        <v>1</v>
      </c>
      <c r="BR201" s="1125">
        <f t="shared" si="268"/>
        <v>0</v>
      </c>
      <c r="BS201" s="1125">
        <f t="shared" si="269"/>
        <v>1</v>
      </c>
      <c r="BT201" s="1125">
        <f t="shared" si="270"/>
        <v>1</v>
      </c>
      <c r="BU201" s="1125">
        <f t="shared" si="271"/>
        <v>1</v>
      </c>
      <c r="BV201" s="1125">
        <f t="shared" si="272"/>
        <v>1</v>
      </c>
      <c r="BW201" s="1125">
        <f t="shared" si="273"/>
        <v>0</v>
      </c>
      <c r="BX201" s="1125">
        <f t="shared" si="274"/>
        <v>0</v>
      </c>
      <c r="BY201" s="1125">
        <f t="shared" si="275"/>
        <v>0</v>
      </c>
      <c r="BZ201" s="1125">
        <f t="shared" si="276"/>
        <v>0</v>
      </c>
      <c r="CA201" s="1125">
        <f t="shared" si="277"/>
        <v>0</v>
      </c>
      <c r="CB201" s="1125">
        <f t="shared" si="278"/>
        <v>1</v>
      </c>
      <c r="CC201" s="1125">
        <f t="shared" si="279"/>
        <v>1</v>
      </c>
      <c r="CD201" s="1125">
        <f t="shared" si="280"/>
        <v>1</v>
      </c>
      <c r="CE201" s="1125">
        <f t="shared" si="281"/>
        <v>1</v>
      </c>
      <c r="CF201" s="1125">
        <f t="shared" si="282"/>
        <v>0</v>
      </c>
      <c r="CG201" s="1125">
        <f t="shared" si="283"/>
        <v>0</v>
      </c>
      <c r="CH201" s="1125">
        <f t="shared" si="284"/>
        <v>0</v>
      </c>
      <c r="CI201" s="1125">
        <f t="shared" si="285"/>
        <v>0.85</v>
      </c>
      <c r="CJ201" s="1125">
        <f t="shared" si="286"/>
        <v>0.85</v>
      </c>
      <c r="CK201" s="1125">
        <f t="shared" si="287"/>
        <v>0.85</v>
      </c>
      <c r="CL201" s="1125">
        <f t="shared" si="288"/>
        <v>0.85</v>
      </c>
      <c r="CM201" s="1125">
        <f t="shared" si="289"/>
        <v>0.85</v>
      </c>
      <c r="CN201" s="1125">
        <f t="shared" si="290"/>
        <v>0.85</v>
      </c>
      <c r="CO201" s="1125">
        <f t="shared" si="291"/>
        <v>0.85</v>
      </c>
      <c r="CP201" s="1125">
        <f t="shared" si="292"/>
        <v>0.7</v>
      </c>
      <c r="CQ201" s="1125">
        <f t="shared" si="293"/>
        <v>0.85</v>
      </c>
      <c r="CR201" s="1125">
        <f t="shared" si="294"/>
        <v>0.85</v>
      </c>
      <c r="CS201" s="1125">
        <f t="shared" si="295"/>
        <v>0.85</v>
      </c>
      <c r="CT201" s="1125">
        <f t="shared" si="296"/>
        <v>0.85</v>
      </c>
      <c r="CU201" s="1125">
        <v>1</v>
      </c>
      <c r="CV201" s="1125"/>
      <c r="CW201" s="1125">
        <f t="shared" si="297"/>
        <v>122</v>
      </c>
      <c r="CX201" s="1125">
        <f t="shared" si="298"/>
        <v>243</v>
      </c>
      <c r="CY201" s="1136" t="s">
        <v>4893</v>
      </c>
      <c r="CZ201" s="1129" t="s">
        <v>4894</v>
      </c>
      <c r="DA201" s="1129"/>
      <c r="DB201" s="1129"/>
      <c r="DC201" s="1125" t="s">
        <v>5517</v>
      </c>
      <c r="DD201" s="1125" t="s">
        <v>427</v>
      </c>
      <c r="DE201" s="1120" t="str">
        <f t="shared" si="299"/>
        <v/>
      </c>
      <c r="DF201" s="1133">
        <v>1</v>
      </c>
      <c r="DG201" s="1125">
        <v>0</v>
      </c>
    </row>
    <row r="202" spans="1:111">
      <c r="A202" s="1120" t="s">
        <v>3210</v>
      </c>
      <c r="B202" s="1120" t="s">
        <v>4374</v>
      </c>
      <c r="C202" s="1120" t="s">
        <v>4375</v>
      </c>
      <c r="D202" s="1120" t="s">
        <v>228</v>
      </c>
      <c r="E202" s="1120">
        <v>462</v>
      </c>
      <c r="F202" s="1120">
        <v>-99.22</v>
      </c>
      <c r="G202" s="1120">
        <v>28.45</v>
      </c>
      <c r="H202" s="1120">
        <v>-6</v>
      </c>
      <c r="I202" s="1121">
        <v>34.519999957084657</v>
      </c>
      <c r="J202" s="1121">
        <v>100.4</v>
      </c>
      <c r="K202" s="1122">
        <v>73.760001373291018</v>
      </c>
      <c r="L202" s="1120">
        <v>889.2</v>
      </c>
      <c r="M202" s="1120">
        <v>3816</v>
      </c>
      <c r="N202" s="1123">
        <v>59.180000686645506</v>
      </c>
      <c r="O202" s="1123">
        <v>65.83999862670899</v>
      </c>
      <c r="P202" s="1123">
        <v>70.519999313354489</v>
      </c>
      <c r="Q202" s="1123">
        <v>73.039998626708979</v>
      </c>
      <c r="R202" s="1123">
        <v>82.039998626708979</v>
      </c>
      <c r="S202" s="1123">
        <v>84.019999313354489</v>
      </c>
      <c r="T202" s="1123">
        <v>82.760001373291018</v>
      </c>
      <c r="U202" s="1123">
        <v>85.819999313354487</v>
      </c>
      <c r="V202" s="1123">
        <v>81.680000686645513</v>
      </c>
      <c r="W202" s="1123">
        <v>72.680000686645513</v>
      </c>
      <c r="X202" s="1123">
        <v>59.540000343322752</v>
      </c>
      <c r="Y202" s="1123">
        <v>51.440000343322751</v>
      </c>
      <c r="Z202" s="1123">
        <v>72.409753263813172</v>
      </c>
      <c r="AA202" s="1123">
        <f t="shared" si="225"/>
        <v>66.725662819123258</v>
      </c>
      <c r="AB202" s="1123">
        <f t="shared" si="226"/>
        <v>67.591539484645509</v>
      </c>
      <c r="AC202" s="1123">
        <f t="shared" si="227"/>
        <v>71.277350285428525</v>
      </c>
      <c r="AD202" s="1123">
        <f t="shared" si="228"/>
        <v>76.82233183618446</v>
      </c>
      <c r="AE202" s="1123">
        <f t="shared" si="229"/>
        <v>82.781099244956508</v>
      </c>
      <c r="AF202" s="1123">
        <f t="shared" si="230"/>
        <v>87.600407959262867</v>
      </c>
      <c r="AG202" s="1123">
        <f t="shared" si="231"/>
        <v>90.024030894924238</v>
      </c>
      <c r="AH202" s="1123">
        <f t="shared" si="232"/>
        <v>89.420213384600487</v>
      </c>
      <c r="AI202" s="1123">
        <f t="shared" si="233"/>
        <v>85.946349767467012</v>
      </c>
      <c r="AJ202" s="1123">
        <f t="shared" si="234"/>
        <v>80.507956129188429</v>
      </c>
      <c r="AK202" s="1123">
        <f t="shared" si="235"/>
        <v>74.522633579764886</v>
      </c>
      <c r="AL202" s="1123">
        <f t="shared" si="236"/>
        <v>69.55054867831609</v>
      </c>
      <c r="AM202" s="1120">
        <f t="shared" si="237"/>
        <v>1</v>
      </c>
      <c r="AN202" s="1120">
        <f t="shared" si="238"/>
        <v>1</v>
      </c>
      <c r="AO202" s="1120">
        <f t="shared" si="239"/>
        <v>0</v>
      </c>
      <c r="AP202" s="1120">
        <f t="shared" si="240"/>
        <v>0</v>
      </c>
      <c r="AQ202" s="1120">
        <f t="shared" si="241"/>
        <v>0</v>
      </c>
      <c r="AR202" s="1120">
        <f t="shared" si="242"/>
        <v>0</v>
      </c>
      <c r="AS202" s="1120">
        <f t="shared" si="243"/>
        <v>0</v>
      </c>
      <c r="AT202" s="1120">
        <f t="shared" si="244"/>
        <v>0</v>
      </c>
      <c r="AU202" s="1120">
        <f t="shared" si="245"/>
        <v>0</v>
      </c>
      <c r="AV202" s="1120">
        <f t="shared" si="246"/>
        <v>0</v>
      </c>
      <c r="AW202" s="1120">
        <f t="shared" si="247"/>
        <v>1</v>
      </c>
      <c r="AX202" s="1120">
        <f t="shared" si="248"/>
        <v>1</v>
      </c>
      <c r="AY202" s="1120">
        <f t="shared" si="249"/>
        <v>0</v>
      </c>
      <c r="AZ202" s="1120">
        <f t="shared" si="250"/>
        <v>0</v>
      </c>
      <c r="BA202" s="1120">
        <f t="shared" si="251"/>
        <v>1</v>
      </c>
      <c r="BB202" s="1120">
        <f t="shared" si="252"/>
        <v>1</v>
      </c>
      <c r="BC202" s="1120">
        <f t="shared" si="253"/>
        <v>1</v>
      </c>
      <c r="BD202" s="1120">
        <f t="shared" si="254"/>
        <v>1</v>
      </c>
      <c r="BE202" s="1120">
        <f t="shared" si="255"/>
        <v>1</v>
      </c>
      <c r="BF202" s="1120">
        <f t="shared" si="256"/>
        <v>1</v>
      </c>
      <c r="BG202" s="1120">
        <f t="shared" si="257"/>
        <v>1</v>
      </c>
      <c r="BH202" s="1120">
        <f t="shared" si="258"/>
        <v>1</v>
      </c>
      <c r="BI202" s="1120">
        <f t="shared" si="259"/>
        <v>0</v>
      </c>
      <c r="BJ202" s="1120">
        <f t="shared" si="260"/>
        <v>0</v>
      </c>
      <c r="BK202" s="1120">
        <f t="shared" si="261"/>
        <v>1</v>
      </c>
      <c r="BL202" s="1120">
        <f t="shared" si="262"/>
        <v>1</v>
      </c>
      <c r="BM202" s="1120">
        <f t="shared" si="263"/>
        <v>1</v>
      </c>
      <c r="BN202" s="1120">
        <f t="shared" si="264"/>
        <v>0</v>
      </c>
      <c r="BO202" s="1120">
        <f t="shared" si="265"/>
        <v>0</v>
      </c>
      <c r="BP202" s="1120">
        <f t="shared" si="266"/>
        <v>0</v>
      </c>
      <c r="BQ202" s="1120">
        <f t="shared" si="267"/>
        <v>0</v>
      </c>
      <c r="BR202" s="1120">
        <f t="shared" si="268"/>
        <v>0</v>
      </c>
      <c r="BS202" s="1120">
        <f t="shared" si="269"/>
        <v>0</v>
      </c>
      <c r="BT202" s="1120">
        <f t="shared" si="270"/>
        <v>0</v>
      </c>
      <c r="BU202" s="1120">
        <f t="shared" si="271"/>
        <v>1</v>
      </c>
      <c r="BV202" s="1120">
        <f t="shared" si="272"/>
        <v>1</v>
      </c>
      <c r="BW202" s="1120">
        <f t="shared" si="273"/>
        <v>0</v>
      </c>
      <c r="BX202" s="1120">
        <f t="shared" si="274"/>
        <v>1</v>
      </c>
      <c r="BY202" s="1120">
        <f t="shared" si="275"/>
        <v>1</v>
      </c>
      <c r="BZ202" s="1120">
        <f t="shared" si="276"/>
        <v>1</v>
      </c>
      <c r="CA202" s="1120">
        <f t="shared" si="277"/>
        <v>1</v>
      </c>
      <c r="CB202" s="1120">
        <f t="shared" si="278"/>
        <v>1</v>
      </c>
      <c r="CC202" s="1120">
        <f t="shared" si="279"/>
        <v>1</v>
      </c>
      <c r="CD202" s="1120">
        <f t="shared" si="280"/>
        <v>1</v>
      </c>
      <c r="CE202" s="1120">
        <f t="shared" si="281"/>
        <v>1</v>
      </c>
      <c r="CF202" s="1120">
        <f t="shared" si="282"/>
        <v>1</v>
      </c>
      <c r="CG202" s="1120">
        <f t="shared" si="283"/>
        <v>1</v>
      </c>
      <c r="CH202" s="1120">
        <f t="shared" si="284"/>
        <v>0</v>
      </c>
      <c r="CI202" s="1120">
        <f t="shared" si="285"/>
        <v>0.85</v>
      </c>
      <c r="CJ202" s="1120">
        <f t="shared" si="286"/>
        <v>0.85</v>
      </c>
      <c r="CK202" s="1120">
        <f t="shared" si="287"/>
        <v>0.85</v>
      </c>
      <c r="CL202" s="1120">
        <f t="shared" si="288"/>
        <v>0.7</v>
      </c>
      <c r="CM202" s="1120">
        <f t="shared" si="289"/>
        <v>0.7</v>
      </c>
      <c r="CN202" s="1120">
        <f t="shared" si="290"/>
        <v>0.7</v>
      </c>
      <c r="CO202" s="1120">
        <f t="shared" si="291"/>
        <v>0.7</v>
      </c>
      <c r="CP202" s="1120">
        <f t="shared" si="292"/>
        <v>0.7</v>
      </c>
      <c r="CQ202" s="1120">
        <f t="shared" si="293"/>
        <v>0.7</v>
      </c>
      <c r="CR202" s="1120">
        <f t="shared" si="294"/>
        <v>0.7</v>
      </c>
      <c r="CS202" s="1120">
        <f t="shared" si="295"/>
        <v>0.85</v>
      </c>
      <c r="CT202" s="1120">
        <f t="shared" si="296"/>
        <v>0.85</v>
      </c>
      <c r="CU202" s="1120">
        <v>1</v>
      </c>
      <c r="CV202" s="1120"/>
      <c r="CW202" s="1120">
        <f t="shared" si="297"/>
        <v>303</v>
      </c>
      <c r="CX202" s="1120">
        <f t="shared" si="298"/>
        <v>62</v>
      </c>
      <c r="CY202" s="1135" t="s">
        <v>4883</v>
      </c>
      <c r="CZ202" s="1124" t="s">
        <v>4887</v>
      </c>
      <c r="DA202" s="1124"/>
      <c r="DB202" s="1124"/>
      <c r="DC202" s="1120" t="s">
        <v>5582</v>
      </c>
      <c r="DD202" s="1120" t="s">
        <v>228</v>
      </c>
      <c r="DE202" s="1120" t="str">
        <f t="shared" si="299"/>
        <v/>
      </c>
      <c r="DF202" s="1133">
        <v>0</v>
      </c>
      <c r="DG202" s="1120">
        <v>0</v>
      </c>
    </row>
    <row r="203" spans="1:111">
      <c r="A203" s="1125" t="s">
        <v>3212</v>
      </c>
      <c r="B203" s="1120" t="s">
        <v>3422</v>
      </c>
      <c r="C203" s="1120" t="s">
        <v>3423</v>
      </c>
      <c r="D203" s="1120" t="s">
        <v>566</v>
      </c>
      <c r="E203" s="1120">
        <v>1253</v>
      </c>
      <c r="F203" s="1120">
        <v>-95.77</v>
      </c>
      <c r="G203" s="1120">
        <v>41.27</v>
      </c>
      <c r="H203" s="1120">
        <v>-6</v>
      </c>
      <c r="I203" s="1121">
        <v>-2.3800006866455088</v>
      </c>
      <c r="J203" s="1121">
        <v>91.579997253417972</v>
      </c>
      <c r="K203" s="1122">
        <v>80.780000686645508</v>
      </c>
      <c r="L203" s="1120">
        <v>5747.4000000000005</v>
      </c>
      <c r="M203" s="1120">
        <v>993.6</v>
      </c>
      <c r="N203" s="1123">
        <v>26.060000085830687</v>
      </c>
      <c r="O203" s="1123">
        <v>21.379999828338622</v>
      </c>
      <c r="P203" s="1123">
        <v>46.040000343322752</v>
      </c>
      <c r="Q203" s="1123">
        <v>51.440000343322751</v>
      </c>
      <c r="R203" s="1123">
        <v>63.139998626708987</v>
      </c>
      <c r="S203" s="1123">
        <v>70.880000686645502</v>
      </c>
      <c r="T203" s="1123">
        <v>71.060001373291016</v>
      </c>
      <c r="U203" s="1123">
        <v>74.83999862670899</v>
      </c>
      <c r="V203" s="1123">
        <v>67.460001373291021</v>
      </c>
      <c r="W203" s="1123">
        <v>53.959999656677248</v>
      </c>
      <c r="X203" s="1123">
        <v>35.419999957084656</v>
      </c>
      <c r="Y203" s="1123">
        <v>32.720000010728839</v>
      </c>
      <c r="Z203" s="1123">
        <v>51.389205551849656</v>
      </c>
      <c r="AA203" s="1123">
        <f t="shared" si="225"/>
        <v>46.125299808340557</v>
      </c>
      <c r="AB203" s="1123">
        <f t="shared" si="226"/>
        <v>44.732776589993172</v>
      </c>
      <c r="AC203" s="1123">
        <f t="shared" si="227"/>
        <v>46.639346622027837</v>
      </c>
      <c r="AD203" s="1123">
        <f t="shared" si="228"/>
        <v>51.348033044461161</v>
      </c>
      <c r="AE203" s="1123">
        <f t="shared" si="229"/>
        <v>57.631444178231668</v>
      </c>
      <c r="AF203" s="1123">
        <f t="shared" si="230"/>
        <v>63.851712081025475</v>
      </c>
      <c r="AG203" s="1123">
        <f t="shared" si="231"/>
        <v>68.387428066749422</v>
      </c>
      <c r="AH203" s="1123">
        <f t="shared" si="232"/>
        <v>70.056287866225432</v>
      </c>
      <c r="AI203" s="1123">
        <f t="shared" si="233"/>
        <v>68.423277454812109</v>
      </c>
      <c r="AJ203" s="1123">
        <f t="shared" si="234"/>
        <v>63.914066161696525</v>
      </c>
      <c r="AK203" s="1123">
        <f t="shared" si="235"/>
        <v>57.704049399478691</v>
      </c>
      <c r="AL203" s="1123">
        <f t="shared" si="236"/>
        <v>51.411963736485809</v>
      </c>
      <c r="AM203" s="1120">
        <f t="shared" si="237"/>
        <v>1</v>
      </c>
      <c r="AN203" s="1120">
        <f t="shared" si="238"/>
        <v>1</v>
      </c>
      <c r="AO203" s="1120">
        <f t="shared" si="239"/>
        <v>1</v>
      </c>
      <c r="AP203" s="1120">
        <f t="shared" si="240"/>
        <v>1</v>
      </c>
      <c r="AQ203" s="1120">
        <f t="shared" si="241"/>
        <v>1</v>
      </c>
      <c r="AR203" s="1120">
        <f t="shared" si="242"/>
        <v>0</v>
      </c>
      <c r="AS203" s="1120">
        <f t="shared" si="243"/>
        <v>0</v>
      </c>
      <c r="AT203" s="1120">
        <f t="shared" si="244"/>
        <v>0</v>
      </c>
      <c r="AU203" s="1120">
        <f t="shared" si="245"/>
        <v>0</v>
      </c>
      <c r="AV203" s="1120">
        <f t="shared" si="246"/>
        <v>1</v>
      </c>
      <c r="AW203" s="1120">
        <f t="shared" si="247"/>
        <v>1</v>
      </c>
      <c r="AX203" s="1120">
        <f t="shared" si="248"/>
        <v>1</v>
      </c>
      <c r="AY203" s="1120">
        <f t="shared" si="249"/>
        <v>0</v>
      </c>
      <c r="AZ203" s="1120">
        <f t="shared" si="250"/>
        <v>0</v>
      </c>
      <c r="BA203" s="1120">
        <f t="shared" si="251"/>
        <v>0</v>
      </c>
      <c r="BB203" s="1120">
        <f t="shared" si="252"/>
        <v>0</v>
      </c>
      <c r="BC203" s="1120">
        <f t="shared" si="253"/>
        <v>0</v>
      </c>
      <c r="BD203" s="1120">
        <f t="shared" si="254"/>
        <v>1</v>
      </c>
      <c r="BE203" s="1120">
        <f t="shared" si="255"/>
        <v>1</v>
      </c>
      <c r="BF203" s="1120">
        <f t="shared" si="256"/>
        <v>1</v>
      </c>
      <c r="BG203" s="1120">
        <f t="shared" si="257"/>
        <v>1</v>
      </c>
      <c r="BH203" s="1120">
        <f t="shared" si="258"/>
        <v>0</v>
      </c>
      <c r="BI203" s="1120">
        <f t="shared" si="259"/>
        <v>0</v>
      </c>
      <c r="BJ203" s="1120">
        <f t="shared" si="260"/>
        <v>0</v>
      </c>
      <c r="BK203" s="1120">
        <f t="shared" si="261"/>
        <v>1</v>
      </c>
      <c r="BL203" s="1120">
        <f t="shared" si="262"/>
        <v>1</v>
      </c>
      <c r="BM203" s="1120">
        <f t="shared" si="263"/>
        <v>1</v>
      </c>
      <c r="BN203" s="1120">
        <f t="shared" si="264"/>
        <v>1</v>
      </c>
      <c r="BO203" s="1120">
        <f t="shared" si="265"/>
        <v>1</v>
      </c>
      <c r="BP203" s="1120">
        <f t="shared" si="266"/>
        <v>1</v>
      </c>
      <c r="BQ203" s="1120">
        <f t="shared" si="267"/>
        <v>0</v>
      </c>
      <c r="BR203" s="1120">
        <f t="shared" si="268"/>
        <v>0</v>
      </c>
      <c r="BS203" s="1120">
        <f t="shared" si="269"/>
        <v>0</v>
      </c>
      <c r="BT203" s="1120">
        <f t="shared" si="270"/>
        <v>1</v>
      </c>
      <c r="BU203" s="1120">
        <f t="shared" si="271"/>
        <v>1</v>
      </c>
      <c r="BV203" s="1120">
        <f t="shared" si="272"/>
        <v>1</v>
      </c>
      <c r="BW203" s="1120">
        <f t="shared" si="273"/>
        <v>0</v>
      </c>
      <c r="BX203" s="1120">
        <f t="shared" si="274"/>
        <v>0</v>
      </c>
      <c r="BY203" s="1120">
        <f t="shared" si="275"/>
        <v>0</v>
      </c>
      <c r="BZ203" s="1120">
        <f t="shared" si="276"/>
        <v>0</v>
      </c>
      <c r="CA203" s="1120">
        <f t="shared" si="277"/>
        <v>1</v>
      </c>
      <c r="CB203" s="1120">
        <f t="shared" si="278"/>
        <v>1</v>
      </c>
      <c r="CC203" s="1120">
        <f t="shared" si="279"/>
        <v>1</v>
      </c>
      <c r="CD203" s="1120">
        <f t="shared" si="280"/>
        <v>1</v>
      </c>
      <c r="CE203" s="1120">
        <f t="shared" si="281"/>
        <v>1</v>
      </c>
      <c r="CF203" s="1120">
        <f t="shared" si="282"/>
        <v>1</v>
      </c>
      <c r="CG203" s="1120">
        <f t="shared" si="283"/>
        <v>0</v>
      </c>
      <c r="CH203" s="1120">
        <f t="shared" si="284"/>
        <v>0</v>
      </c>
      <c r="CI203" s="1120">
        <f t="shared" si="285"/>
        <v>0.85</v>
      </c>
      <c r="CJ203" s="1120">
        <f t="shared" si="286"/>
        <v>0.85</v>
      </c>
      <c r="CK203" s="1120">
        <f t="shared" si="287"/>
        <v>0.85</v>
      </c>
      <c r="CL203" s="1120">
        <f t="shared" si="288"/>
        <v>0.85</v>
      </c>
      <c r="CM203" s="1120">
        <f t="shared" si="289"/>
        <v>0.85</v>
      </c>
      <c r="CN203" s="1120">
        <f t="shared" si="290"/>
        <v>0.85</v>
      </c>
      <c r="CO203" s="1120">
        <f t="shared" si="291"/>
        <v>0.7</v>
      </c>
      <c r="CP203" s="1120">
        <f t="shared" si="292"/>
        <v>0.7</v>
      </c>
      <c r="CQ203" s="1120">
        <f t="shared" si="293"/>
        <v>0.7</v>
      </c>
      <c r="CR203" s="1120">
        <f t="shared" si="294"/>
        <v>0.85</v>
      </c>
      <c r="CS203" s="1120">
        <f t="shared" si="295"/>
        <v>0.85</v>
      </c>
      <c r="CT203" s="1120">
        <f t="shared" si="296"/>
        <v>0.85</v>
      </c>
      <c r="CU203" s="1120">
        <v>1</v>
      </c>
      <c r="CV203" s="1120"/>
      <c r="CW203" s="1120">
        <f t="shared" si="297"/>
        <v>184</v>
      </c>
      <c r="CX203" s="1120">
        <f t="shared" si="298"/>
        <v>181</v>
      </c>
      <c r="CY203" s="1135" t="s">
        <v>4889</v>
      </c>
      <c r="CZ203" s="1124" t="s">
        <v>4897</v>
      </c>
      <c r="DA203" s="1124"/>
      <c r="DB203" s="1124"/>
      <c r="DC203" s="1120" t="s">
        <v>5166</v>
      </c>
      <c r="DD203" s="1120" t="s">
        <v>566</v>
      </c>
      <c r="DE203" s="1120" t="str">
        <f t="shared" si="299"/>
        <v/>
      </c>
      <c r="DF203" s="1133">
        <v>0</v>
      </c>
      <c r="DG203" s="1125">
        <v>0</v>
      </c>
    </row>
    <row r="204" spans="1:111">
      <c r="A204" s="1120" t="s">
        <v>3214</v>
      </c>
      <c r="B204" s="1125" t="s">
        <v>4376</v>
      </c>
      <c r="C204" s="1125" t="s">
        <v>4377</v>
      </c>
      <c r="D204" s="1125" t="s">
        <v>228</v>
      </c>
      <c r="E204" s="1125">
        <v>561</v>
      </c>
      <c r="F204" s="1125">
        <v>-95.45</v>
      </c>
      <c r="G204" s="1125">
        <v>33.630000000000003</v>
      </c>
      <c r="H204" s="1125">
        <v>-6</v>
      </c>
      <c r="I204" s="1126">
        <v>25.160000085830688</v>
      </c>
      <c r="J204" s="1126">
        <v>96.979997253417977</v>
      </c>
      <c r="K204" s="1127">
        <v>75.380000686645502</v>
      </c>
      <c r="L204" s="1125">
        <v>2982.6</v>
      </c>
      <c r="M204" s="1125">
        <v>2098.8000000000002</v>
      </c>
      <c r="N204" s="1128">
        <v>42.620000171661374</v>
      </c>
      <c r="O204" s="1128">
        <v>50.540000343322752</v>
      </c>
      <c r="P204" s="1128">
        <v>49.819999313354494</v>
      </c>
      <c r="Q204" s="1128">
        <v>61.519999313354496</v>
      </c>
      <c r="R204" s="1128">
        <v>70.33999862670899</v>
      </c>
      <c r="S204" s="1128">
        <v>77.180000686645513</v>
      </c>
      <c r="T204" s="1128">
        <v>81.5</v>
      </c>
      <c r="U204" s="1128">
        <v>80.060001373291016</v>
      </c>
      <c r="V204" s="1128">
        <v>72.139998626708987</v>
      </c>
      <c r="W204" s="1128">
        <v>66.019999313354489</v>
      </c>
      <c r="X204" s="1128">
        <v>46.940000343322751</v>
      </c>
      <c r="Y204" s="1128">
        <v>44.240000343322755</v>
      </c>
      <c r="Z204" s="1128">
        <v>61.975671101661575</v>
      </c>
      <c r="AA204" s="1128">
        <f t="shared" si="225"/>
        <v>57.185433723250007</v>
      </c>
      <c r="AB204" s="1128">
        <f t="shared" si="226"/>
        <v>56.985018245875281</v>
      </c>
      <c r="AC204" s="1128">
        <f t="shared" si="227"/>
        <v>59.649485806448588</v>
      </c>
      <c r="AD204" s="1128">
        <f t="shared" si="228"/>
        <v>64.484301874618481</v>
      </c>
      <c r="AE204" s="1128">
        <f t="shared" si="229"/>
        <v>70.22919713544556</v>
      </c>
      <c r="AF204" s="1128">
        <f t="shared" si="230"/>
        <v>75.386676107679463</v>
      </c>
      <c r="AG204" s="1128">
        <f t="shared" si="231"/>
        <v>78.612362418050651</v>
      </c>
      <c r="AH204" s="1128">
        <f t="shared" si="232"/>
        <v>79.065431220430114</v>
      </c>
      <c r="AI204" s="1128">
        <f t="shared" si="233"/>
        <v>76.627783149476102</v>
      </c>
      <c r="AJ204" s="1128">
        <f t="shared" si="234"/>
        <v>71.934828740176599</v>
      </c>
      <c r="AK204" s="1128">
        <f t="shared" si="235"/>
        <v>66.209858879932128</v>
      </c>
      <c r="AL204" s="1128">
        <f t="shared" si="236"/>
        <v>60.94517518727146</v>
      </c>
      <c r="AM204" s="1125">
        <f t="shared" si="237"/>
        <v>1</v>
      </c>
      <c r="AN204" s="1125">
        <f t="shared" si="238"/>
        <v>1</v>
      </c>
      <c r="AO204" s="1125">
        <f t="shared" si="239"/>
        <v>1</v>
      </c>
      <c r="AP204" s="1125">
        <f t="shared" si="240"/>
        <v>1</v>
      </c>
      <c r="AQ204" s="1125">
        <f t="shared" si="241"/>
        <v>0</v>
      </c>
      <c r="AR204" s="1125">
        <f t="shared" si="242"/>
        <v>0</v>
      </c>
      <c r="AS204" s="1125">
        <f t="shared" si="243"/>
        <v>0</v>
      </c>
      <c r="AT204" s="1125">
        <f t="shared" si="244"/>
        <v>0</v>
      </c>
      <c r="AU204" s="1125">
        <f t="shared" si="245"/>
        <v>0</v>
      </c>
      <c r="AV204" s="1125">
        <f t="shared" si="246"/>
        <v>0</v>
      </c>
      <c r="AW204" s="1125">
        <f t="shared" si="247"/>
        <v>1</v>
      </c>
      <c r="AX204" s="1125">
        <f t="shared" si="248"/>
        <v>1</v>
      </c>
      <c r="AY204" s="1125">
        <f t="shared" si="249"/>
        <v>0</v>
      </c>
      <c r="AZ204" s="1125">
        <f t="shared" si="250"/>
        <v>0</v>
      </c>
      <c r="BA204" s="1125">
        <f t="shared" si="251"/>
        <v>0</v>
      </c>
      <c r="BB204" s="1125">
        <f t="shared" si="252"/>
        <v>0</v>
      </c>
      <c r="BC204" s="1125">
        <f t="shared" si="253"/>
        <v>1</v>
      </c>
      <c r="BD204" s="1125">
        <f t="shared" si="254"/>
        <v>1</v>
      </c>
      <c r="BE204" s="1125">
        <f t="shared" si="255"/>
        <v>1</v>
      </c>
      <c r="BF204" s="1125">
        <f t="shared" si="256"/>
        <v>1</v>
      </c>
      <c r="BG204" s="1125">
        <f t="shared" si="257"/>
        <v>1</v>
      </c>
      <c r="BH204" s="1125">
        <f t="shared" si="258"/>
        <v>1</v>
      </c>
      <c r="BI204" s="1125">
        <f t="shared" si="259"/>
        <v>0</v>
      </c>
      <c r="BJ204" s="1125">
        <f t="shared" si="260"/>
        <v>0</v>
      </c>
      <c r="BK204" s="1125">
        <f t="shared" si="261"/>
        <v>1</v>
      </c>
      <c r="BL204" s="1125">
        <f t="shared" si="262"/>
        <v>1</v>
      </c>
      <c r="BM204" s="1125">
        <f t="shared" si="263"/>
        <v>1</v>
      </c>
      <c r="BN204" s="1125">
        <f t="shared" si="264"/>
        <v>1</v>
      </c>
      <c r="BO204" s="1125">
        <f t="shared" si="265"/>
        <v>1</v>
      </c>
      <c r="BP204" s="1125">
        <f t="shared" si="266"/>
        <v>0</v>
      </c>
      <c r="BQ204" s="1125">
        <f t="shared" si="267"/>
        <v>0</v>
      </c>
      <c r="BR204" s="1125">
        <f t="shared" si="268"/>
        <v>0</v>
      </c>
      <c r="BS204" s="1125">
        <f t="shared" si="269"/>
        <v>0</v>
      </c>
      <c r="BT204" s="1125">
        <f t="shared" si="270"/>
        <v>0</v>
      </c>
      <c r="BU204" s="1125">
        <f t="shared" si="271"/>
        <v>1</v>
      </c>
      <c r="BV204" s="1125">
        <f t="shared" si="272"/>
        <v>1</v>
      </c>
      <c r="BW204" s="1125">
        <f t="shared" si="273"/>
        <v>0</v>
      </c>
      <c r="BX204" s="1125">
        <f t="shared" si="274"/>
        <v>0</v>
      </c>
      <c r="BY204" s="1125">
        <f t="shared" si="275"/>
        <v>0</v>
      </c>
      <c r="BZ204" s="1125">
        <f t="shared" si="276"/>
        <v>1</v>
      </c>
      <c r="CA204" s="1125">
        <f t="shared" si="277"/>
        <v>1</v>
      </c>
      <c r="CB204" s="1125">
        <f t="shared" si="278"/>
        <v>1</v>
      </c>
      <c r="CC204" s="1125">
        <f t="shared" si="279"/>
        <v>1</v>
      </c>
      <c r="CD204" s="1125">
        <f t="shared" si="280"/>
        <v>1</v>
      </c>
      <c r="CE204" s="1125">
        <f t="shared" si="281"/>
        <v>1</v>
      </c>
      <c r="CF204" s="1125">
        <f t="shared" si="282"/>
        <v>1</v>
      </c>
      <c r="CG204" s="1125">
        <f t="shared" si="283"/>
        <v>1</v>
      </c>
      <c r="CH204" s="1125">
        <f t="shared" si="284"/>
        <v>0</v>
      </c>
      <c r="CI204" s="1125">
        <f t="shared" si="285"/>
        <v>0.85</v>
      </c>
      <c r="CJ204" s="1125">
        <f t="shared" si="286"/>
        <v>0.85</v>
      </c>
      <c r="CK204" s="1125">
        <f t="shared" si="287"/>
        <v>0.85</v>
      </c>
      <c r="CL204" s="1125">
        <f t="shared" si="288"/>
        <v>0.85</v>
      </c>
      <c r="CM204" s="1125">
        <f t="shared" si="289"/>
        <v>0.85</v>
      </c>
      <c r="CN204" s="1125">
        <f t="shared" si="290"/>
        <v>0.7</v>
      </c>
      <c r="CO204" s="1125">
        <f t="shared" si="291"/>
        <v>0.7</v>
      </c>
      <c r="CP204" s="1125">
        <f t="shared" si="292"/>
        <v>0.7</v>
      </c>
      <c r="CQ204" s="1125">
        <f t="shared" si="293"/>
        <v>0.7</v>
      </c>
      <c r="CR204" s="1125">
        <f t="shared" si="294"/>
        <v>0.7</v>
      </c>
      <c r="CS204" s="1125">
        <f t="shared" si="295"/>
        <v>0.85</v>
      </c>
      <c r="CT204" s="1125">
        <f t="shared" si="296"/>
        <v>0.85</v>
      </c>
      <c r="CU204" s="1125">
        <v>1</v>
      </c>
      <c r="CV204" s="1125"/>
      <c r="CW204" s="1125">
        <f t="shared" si="297"/>
        <v>244</v>
      </c>
      <c r="CX204" s="1125">
        <f t="shared" si="298"/>
        <v>121</v>
      </c>
      <c r="CY204" s="1136" t="s">
        <v>4883</v>
      </c>
      <c r="CZ204" s="1129" t="s">
        <v>4882</v>
      </c>
      <c r="DA204" s="1129"/>
      <c r="DB204" s="1129"/>
      <c r="DC204" s="1125" t="s">
        <v>5583</v>
      </c>
      <c r="DD204" s="1125" t="s">
        <v>228</v>
      </c>
      <c r="DE204" s="1120" t="str">
        <f t="shared" si="299"/>
        <v/>
      </c>
      <c r="DF204" s="1133">
        <v>0</v>
      </c>
      <c r="DG204" s="1120">
        <v>0</v>
      </c>
    </row>
    <row r="205" spans="1:111">
      <c r="A205" s="1125" t="s">
        <v>3216</v>
      </c>
      <c r="B205" s="1120" t="s">
        <v>3222</v>
      </c>
      <c r="C205" s="1120" t="s">
        <v>3223</v>
      </c>
      <c r="D205" s="1120" t="s">
        <v>536</v>
      </c>
      <c r="E205" s="1120">
        <v>6281</v>
      </c>
      <c r="F205" s="1120">
        <v>-107.53</v>
      </c>
      <c r="G205" s="1120">
        <v>40.5</v>
      </c>
      <c r="H205" s="1120">
        <v>-7</v>
      </c>
      <c r="I205" s="1121">
        <v>-9.0399986267089858</v>
      </c>
      <c r="J205" s="1121">
        <v>87.439998626708984</v>
      </c>
      <c r="K205" s="1122">
        <v>57.380000686645509</v>
      </c>
      <c r="L205" s="1120">
        <v>8404.2000000000007</v>
      </c>
      <c r="M205" s="1120">
        <v>117</v>
      </c>
      <c r="N205" s="1123">
        <v>8.7800006866455078</v>
      </c>
      <c r="O205" s="1123">
        <v>24.979999828338624</v>
      </c>
      <c r="P205" s="1123">
        <v>25.520000171661376</v>
      </c>
      <c r="Q205" s="1123">
        <v>44.779999828338624</v>
      </c>
      <c r="R205" s="1123">
        <v>52.340000343322757</v>
      </c>
      <c r="S205" s="1123">
        <v>60.440000343322751</v>
      </c>
      <c r="T205" s="1123">
        <v>65.480000686645511</v>
      </c>
      <c r="U205" s="1123">
        <v>64.219999313354492</v>
      </c>
      <c r="V205" s="1123">
        <v>59.9</v>
      </c>
      <c r="W205" s="1123">
        <v>39.559999656677249</v>
      </c>
      <c r="X205" s="1123">
        <v>32.180000002682206</v>
      </c>
      <c r="Y205" s="1123">
        <v>21.559999656677245</v>
      </c>
      <c r="Z205" s="1123">
        <v>41.69780826407753</v>
      </c>
      <c r="AA205" s="1123">
        <f t="shared" si="225"/>
        <v>39.137890413296603</v>
      </c>
      <c r="AB205" s="1123">
        <f t="shared" si="226"/>
        <v>37.094751489166725</v>
      </c>
      <c r="AC205" s="1123">
        <f t="shared" si="227"/>
        <v>37.815462711468271</v>
      </c>
      <c r="AD205" s="1123">
        <f t="shared" si="228"/>
        <v>41.112159593612219</v>
      </c>
      <c r="AE205" s="1123">
        <f t="shared" si="229"/>
        <v>46.125507289630967</v>
      </c>
      <c r="AF205" s="1123">
        <f t="shared" si="230"/>
        <v>51.548699464530664</v>
      </c>
      <c r="AG205" s="1123">
        <f t="shared" si="231"/>
        <v>55.968097504002522</v>
      </c>
      <c r="AH205" s="1123">
        <f t="shared" si="232"/>
        <v>58.231717204072893</v>
      </c>
      <c r="AI205" s="1123">
        <f t="shared" si="233"/>
        <v>57.74951120648295</v>
      </c>
      <c r="AJ205" s="1123">
        <f t="shared" si="234"/>
        <v>54.64717393552386</v>
      </c>
      <c r="AK205" s="1123">
        <f t="shared" si="235"/>
        <v>49.733377409335617</v>
      </c>
      <c r="AL205" s="1123">
        <f t="shared" si="236"/>
        <v>44.288978416365779</v>
      </c>
      <c r="AM205" s="1120">
        <f t="shared" si="237"/>
        <v>1</v>
      </c>
      <c r="AN205" s="1120">
        <f t="shared" si="238"/>
        <v>1</v>
      </c>
      <c r="AO205" s="1120">
        <f t="shared" si="239"/>
        <v>1</v>
      </c>
      <c r="AP205" s="1120">
        <f t="shared" si="240"/>
        <v>1</v>
      </c>
      <c r="AQ205" s="1120">
        <f t="shared" si="241"/>
        <v>1</v>
      </c>
      <c r="AR205" s="1120">
        <f t="shared" si="242"/>
        <v>1</v>
      </c>
      <c r="AS205" s="1120">
        <f t="shared" si="243"/>
        <v>1</v>
      </c>
      <c r="AT205" s="1120">
        <f t="shared" si="244"/>
        <v>1</v>
      </c>
      <c r="AU205" s="1120">
        <f t="shared" si="245"/>
        <v>1</v>
      </c>
      <c r="AV205" s="1120">
        <f t="shared" si="246"/>
        <v>1</v>
      </c>
      <c r="AW205" s="1120">
        <f t="shared" si="247"/>
        <v>1</v>
      </c>
      <c r="AX205" s="1120">
        <f t="shared" si="248"/>
        <v>1</v>
      </c>
      <c r="AY205" s="1120">
        <f t="shared" si="249"/>
        <v>0</v>
      </c>
      <c r="AZ205" s="1120">
        <f t="shared" si="250"/>
        <v>0</v>
      </c>
      <c r="BA205" s="1120">
        <f t="shared" si="251"/>
        <v>0</v>
      </c>
      <c r="BB205" s="1120">
        <f t="shared" si="252"/>
        <v>0</v>
      </c>
      <c r="BC205" s="1120">
        <f t="shared" si="253"/>
        <v>0</v>
      </c>
      <c r="BD205" s="1120">
        <f t="shared" si="254"/>
        <v>0</v>
      </c>
      <c r="BE205" s="1120">
        <f t="shared" si="255"/>
        <v>1</v>
      </c>
      <c r="BF205" s="1120">
        <f t="shared" si="256"/>
        <v>1</v>
      </c>
      <c r="BG205" s="1120">
        <f t="shared" si="257"/>
        <v>0</v>
      </c>
      <c r="BH205" s="1120">
        <f t="shared" si="258"/>
        <v>0</v>
      </c>
      <c r="BI205" s="1120">
        <f t="shared" si="259"/>
        <v>0</v>
      </c>
      <c r="BJ205" s="1120">
        <f t="shared" si="260"/>
        <v>0</v>
      </c>
      <c r="BK205" s="1120">
        <f t="shared" si="261"/>
        <v>1</v>
      </c>
      <c r="BL205" s="1120">
        <f t="shared" si="262"/>
        <v>1</v>
      </c>
      <c r="BM205" s="1120">
        <f t="shared" si="263"/>
        <v>1</v>
      </c>
      <c r="BN205" s="1120">
        <f t="shared" si="264"/>
        <v>1</v>
      </c>
      <c r="BO205" s="1120">
        <f t="shared" si="265"/>
        <v>1</v>
      </c>
      <c r="BP205" s="1120">
        <f t="shared" si="266"/>
        <v>1</v>
      </c>
      <c r="BQ205" s="1120">
        <f t="shared" si="267"/>
        <v>1</v>
      </c>
      <c r="BR205" s="1120">
        <f t="shared" si="268"/>
        <v>1</v>
      </c>
      <c r="BS205" s="1120">
        <f t="shared" si="269"/>
        <v>1</v>
      </c>
      <c r="BT205" s="1120">
        <f t="shared" si="270"/>
        <v>1</v>
      </c>
      <c r="BU205" s="1120">
        <f t="shared" si="271"/>
        <v>1</v>
      </c>
      <c r="BV205" s="1120">
        <f t="shared" si="272"/>
        <v>1</v>
      </c>
      <c r="BW205" s="1120">
        <f t="shared" si="273"/>
        <v>0</v>
      </c>
      <c r="BX205" s="1120">
        <f t="shared" si="274"/>
        <v>0</v>
      </c>
      <c r="BY205" s="1120">
        <f t="shared" si="275"/>
        <v>0</v>
      </c>
      <c r="BZ205" s="1120">
        <f t="shared" si="276"/>
        <v>0</v>
      </c>
      <c r="CA205" s="1120">
        <f t="shared" si="277"/>
        <v>0</v>
      </c>
      <c r="CB205" s="1120">
        <f t="shared" si="278"/>
        <v>0</v>
      </c>
      <c r="CC205" s="1120">
        <f t="shared" si="279"/>
        <v>1</v>
      </c>
      <c r="CD205" s="1120">
        <f t="shared" si="280"/>
        <v>1</v>
      </c>
      <c r="CE205" s="1120">
        <f t="shared" si="281"/>
        <v>0</v>
      </c>
      <c r="CF205" s="1120">
        <f t="shared" si="282"/>
        <v>0</v>
      </c>
      <c r="CG205" s="1120">
        <f t="shared" si="283"/>
        <v>0</v>
      </c>
      <c r="CH205" s="1120">
        <f t="shared" si="284"/>
        <v>0</v>
      </c>
      <c r="CI205" s="1120">
        <f t="shared" si="285"/>
        <v>0.85</v>
      </c>
      <c r="CJ205" s="1120">
        <f t="shared" si="286"/>
        <v>0.85</v>
      </c>
      <c r="CK205" s="1120">
        <f t="shared" si="287"/>
        <v>0.85</v>
      </c>
      <c r="CL205" s="1120">
        <f t="shared" si="288"/>
        <v>0.85</v>
      </c>
      <c r="CM205" s="1120">
        <f t="shared" si="289"/>
        <v>0.85</v>
      </c>
      <c r="CN205" s="1120">
        <f t="shared" si="290"/>
        <v>0.85</v>
      </c>
      <c r="CO205" s="1120">
        <f t="shared" si="291"/>
        <v>0.85</v>
      </c>
      <c r="CP205" s="1120">
        <f t="shared" si="292"/>
        <v>0.85</v>
      </c>
      <c r="CQ205" s="1120">
        <f t="shared" si="293"/>
        <v>0.85</v>
      </c>
      <c r="CR205" s="1120">
        <f t="shared" si="294"/>
        <v>0.85</v>
      </c>
      <c r="CS205" s="1120">
        <f t="shared" si="295"/>
        <v>0.85</v>
      </c>
      <c r="CT205" s="1120">
        <f t="shared" si="296"/>
        <v>0.85</v>
      </c>
      <c r="CU205" s="1120">
        <v>1</v>
      </c>
      <c r="CV205" s="1120"/>
      <c r="CW205" s="1120">
        <f t="shared" si="297"/>
        <v>62</v>
      </c>
      <c r="CX205" s="1120">
        <f t="shared" si="298"/>
        <v>303</v>
      </c>
      <c r="CY205" s="1135" t="s">
        <v>4889</v>
      </c>
      <c r="CZ205" s="1124" t="s">
        <v>4896</v>
      </c>
      <c r="DA205" s="1124"/>
      <c r="DB205" s="1124"/>
      <c r="DC205" s="1120" t="s">
        <v>6029</v>
      </c>
      <c r="DD205" s="1120" t="s">
        <v>536</v>
      </c>
      <c r="DE205" s="1120" t="str">
        <f t="shared" si="299"/>
        <v/>
      </c>
      <c r="DF205" s="1133">
        <v>0</v>
      </c>
      <c r="DG205" s="1125">
        <v>0</v>
      </c>
    </row>
    <row r="206" spans="1:111">
      <c r="A206" s="1120" t="s">
        <v>3218</v>
      </c>
      <c r="B206" s="1125" t="s">
        <v>5872</v>
      </c>
      <c r="C206" s="1125" t="s">
        <v>5873</v>
      </c>
      <c r="D206" s="1125" t="s">
        <v>934</v>
      </c>
      <c r="E206" s="1125">
        <v>1148</v>
      </c>
      <c r="F206" s="1125">
        <v>-92.57</v>
      </c>
      <c r="G206" s="1125">
        <v>46.27</v>
      </c>
      <c r="H206" s="1125">
        <v>-6</v>
      </c>
      <c r="I206" s="1126">
        <v>-18.219999313354492</v>
      </c>
      <c r="J206" s="1126">
        <v>82.219999313354492</v>
      </c>
      <c r="K206" s="1127">
        <v>67.099999999999994</v>
      </c>
      <c r="L206" s="1125">
        <v>9820.8000000000011</v>
      </c>
      <c r="M206" s="1125">
        <v>207</v>
      </c>
      <c r="N206" s="1128">
        <v>-3.9998626708985165E-2</v>
      </c>
      <c r="O206" s="1128">
        <v>20.120000171661378</v>
      </c>
      <c r="P206" s="1128">
        <v>17.959999656677248</v>
      </c>
      <c r="Q206" s="1128">
        <v>41.179999828338623</v>
      </c>
      <c r="R206" s="1128">
        <v>47.480000686645511</v>
      </c>
      <c r="S206" s="1128">
        <v>59</v>
      </c>
      <c r="T206" s="1128">
        <v>67.280000686645508</v>
      </c>
      <c r="U206" s="1128">
        <v>59.359999656677246</v>
      </c>
      <c r="V206" s="1128">
        <v>56.3</v>
      </c>
      <c r="W206" s="1128">
        <v>43.7</v>
      </c>
      <c r="X206" s="1128">
        <v>33.619999957084659</v>
      </c>
      <c r="Y206" s="1128">
        <v>10.040000343322752</v>
      </c>
      <c r="Z206" s="1128">
        <v>38.042575542110285</v>
      </c>
      <c r="AA206" s="1128">
        <f t="shared" si="225"/>
        <v>35.314242165942034</v>
      </c>
      <c r="AB206" s="1128">
        <f t="shared" si="226"/>
        <v>32.786961053344754</v>
      </c>
      <c r="AC206" s="1128">
        <f t="shared" si="227"/>
        <v>33.193629311513895</v>
      </c>
      <c r="AD206" s="1128">
        <f t="shared" si="228"/>
        <v>36.428242592010115</v>
      </c>
      <c r="AE206" s="1128">
        <f t="shared" si="229"/>
        <v>41.647649096372575</v>
      </c>
      <c r="AF206" s="1128">
        <f t="shared" si="230"/>
        <v>47.491330085750256</v>
      </c>
      <c r="AG206" s="1128">
        <f t="shared" si="231"/>
        <v>52.436040056411919</v>
      </c>
      <c r="AH206" s="1128">
        <f t="shared" si="232"/>
        <v>55.192864154217389</v>
      </c>
      <c r="AI206" s="1128">
        <f t="shared" si="233"/>
        <v>55.043193694128348</v>
      </c>
      <c r="AJ206" s="1128">
        <f t="shared" si="234"/>
        <v>52.026042588058601</v>
      </c>
      <c r="AK206" s="1128">
        <f t="shared" si="235"/>
        <v>46.927877767511191</v>
      </c>
      <c r="AL206" s="1128">
        <f t="shared" si="236"/>
        <v>41.077614458059848</v>
      </c>
      <c r="AM206" s="1125">
        <f t="shared" si="237"/>
        <v>1</v>
      </c>
      <c r="AN206" s="1125">
        <f t="shared" si="238"/>
        <v>1</v>
      </c>
      <c r="AO206" s="1125">
        <f t="shared" si="239"/>
        <v>1</v>
      </c>
      <c r="AP206" s="1125">
        <f t="shared" si="240"/>
        <v>1</v>
      </c>
      <c r="AQ206" s="1125">
        <f t="shared" si="241"/>
        <v>1</v>
      </c>
      <c r="AR206" s="1125">
        <f t="shared" si="242"/>
        <v>1</v>
      </c>
      <c r="AS206" s="1125">
        <f t="shared" si="243"/>
        <v>0</v>
      </c>
      <c r="AT206" s="1125">
        <f t="shared" si="244"/>
        <v>1</v>
      </c>
      <c r="AU206" s="1125">
        <f t="shared" si="245"/>
        <v>1</v>
      </c>
      <c r="AV206" s="1125">
        <f t="shared" si="246"/>
        <v>1</v>
      </c>
      <c r="AW206" s="1125">
        <f t="shared" si="247"/>
        <v>1</v>
      </c>
      <c r="AX206" s="1125">
        <f t="shared" si="248"/>
        <v>1</v>
      </c>
      <c r="AY206" s="1125">
        <f t="shared" si="249"/>
        <v>0</v>
      </c>
      <c r="AZ206" s="1125">
        <f t="shared" si="250"/>
        <v>0</v>
      </c>
      <c r="BA206" s="1125">
        <f t="shared" si="251"/>
        <v>0</v>
      </c>
      <c r="BB206" s="1125">
        <f t="shared" si="252"/>
        <v>0</v>
      </c>
      <c r="BC206" s="1125">
        <f t="shared" si="253"/>
        <v>0</v>
      </c>
      <c r="BD206" s="1125">
        <f t="shared" si="254"/>
        <v>0</v>
      </c>
      <c r="BE206" s="1125">
        <f t="shared" si="255"/>
        <v>1</v>
      </c>
      <c r="BF206" s="1125">
        <f t="shared" si="256"/>
        <v>1</v>
      </c>
      <c r="BG206" s="1125">
        <f t="shared" si="257"/>
        <v>0</v>
      </c>
      <c r="BH206" s="1125">
        <f t="shared" si="258"/>
        <v>0</v>
      </c>
      <c r="BI206" s="1125">
        <f t="shared" si="259"/>
        <v>0</v>
      </c>
      <c r="BJ206" s="1125">
        <f t="shared" si="260"/>
        <v>0</v>
      </c>
      <c r="BK206" s="1125">
        <f t="shared" si="261"/>
        <v>1</v>
      </c>
      <c r="BL206" s="1125">
        <f t="shared" si="262"/>
        <v>1</v>
      </c>
      <c r="BM206" s="1125">
        <f t="shared" si="263"/>
        <v>1</v>
      </c>
      <c r="BN206" s="1125">
        <f t="shared" si="264"/>
        <v>1</v>
      </c>
      <c r="BO206" s="1125">
        <f t="shared" si="265"/>
        <v>1</v>
      </c>
      <c r="BP206" s="1125">
        <f t="shared" si="266"/>
        <v>1</v>
      </c>
      <c r="BQ206" s="1125">
        <f t="shared" si="267"/>
        <v>1</v>
      </c>
      <c r="BR206" s="1125">
        <f t="shared" si="268"/>
        <v>1</v>
      </c>
      <c r="BS206" s="1125">
        <f t="shared" si="269"/>
        <v>1</v>
      </c>
      <c r="BT206" s="1125">
        <f t="shared" si="270"/>
        <v>1</v>
      </c>
      <c r="BU206" s="1125">
        <f t="shared" si="271"/>
        <v>1</v>
      </c>
      <c r="BV206" s="1125">
        <f t="shared" si="272"/>
        <v>1</v>
      </c>
      <c r="BW206" s="1125">
        <f t="shared" si="273"/>
        <v>0</v>
      </c>
      <c r="BX206" s="1125">
        <f t="shared" si="274"/>
        <v>0</v>
      </c>
      <c r="BY206" s="1125">
        <f t="shared" si="275"/>
        <v>0</v>
      </c>
      <c r="BZ206" s="1125">
        <f t="shared" si="276"/>
        <v>0</v>
      </c>
      <c r="CA206" s="1125">
        <f t="shared" si="277"/>
        <v>0</v>
      </c>
      <c r="CB206" s="1125">
        <f t="shared" si="278"/>
        <v>1</v>
      </c>
      <c r="CC206" s="1125">
        <f t="shared" si="279"/>
        <v>1</v>
      </c>
      <c r="CD206" s="1125">
        <f t="shared" si="280"/>
        <v>1</v>
      </c>
      <c r="CE206" s="1125">
        <f t="shared" si="281"/>
        <v>0</v>
      </c>
      <c r="CF206" s="1125">
        <f t="shared" si="282"/>
        <v>0</v>
      </c>
      <c r="CG206" s="1125">
        <f t="shared" si="283"/>
        <v>0</v>
      </c>
      <c r="CH206" s="1125">
        <f t="shared" si="284"/>
        <v>0</v>
      </c>
      <c r="CI206" s="1125">
        <f t="shared" si="285"/>
        <v>0.85</v>
      </c>
      <c r="CJ206" s="1125">
        <f t="shared" si="286"/>
        <v>0.85</v>
      </c>
      <c r="CK206" s="1125">
        <f t="shared" si="287"/>
        <v>0.85</v>
      </c>
      <c r="CL206" s="1125">
        <f t="shared" si="288"/>
        <v>0.85</v>
      </c>
      <c r="CM206" s="1125">
        <f t="shared" si="289"/>
        <v>0.85</v>
      </c>
      <c r="CN206" s="1125">
        <f t="shared" si="290"/>
        <v>0.85</v>
      </c>
      <c r="CO206" s="1125">
        <f t="shared" si="291"/>
        <v>0.85</v>
      </c>
      <c r="CP206" s="1125">
        <f t="shared" si="292"/>
        <v>0.85</v>
      </c>
      <c r="CQ206" s="1125">
        <f t="shared" si="293"/>
        <v>0.85</v>
      </c>
      <c r="CR206" s="1125">
        <f t="shared" si="294"/>
        <v>0.85</v>
      </c>
      <c r="CS206" s="1125">
        <f t="shared" si="295"/>
        <v>0.85</v>
      </c>
      <c r="CT206" s="1125">
        <f t="shared" si="296"/>
        <v>0.85</v>
      </c>
      <c r="CU206" s="1125">
        <v>1</v>
      </c>
      <c r="CV206" s="1125"/>
      <c r="CW206" s="1125">
        <f t="shared" si="297"/>
        <v>92</v>
      </c>
      <c r="CX206" s="1125">
        <f t="shared" si="298"/>
        <v>273</v>
      </c>
      <c r="CY206" s="1136" t="s">
        <v>4879</v>
      </c>
      <c r="CZ206" s="1129">
        <v>7</v>
      </c>
      <c r="DA206" s="1129"/>
      <c r="DB206" s="1129"/>
      <c r="DC206" s="1125" t="s">
        <v>5747</v>
      </c>
      <c r="DD206" s="1125" t="s">
        <v>934</v>
      </c>
      <c r="DE206" s="1120" t="str">
        <f t="shared" si="299"/>
        <v/>
      </c>
      <c r="DF206" s="1133">
        <v>0</v>
      </c>
      <c r="DG206" s="1120">
        <v>0</v>
      </c>
    </row>
    <row r="207" spans="1:111">
      <c r="A207" s="1125" t="s">
        <v>3220</v>
      </c>
      <c r="B207" s="1125" t="s">
        <v>3108</v>
      </c>
      <c r="C207" s="1125" t="s">
        <v>3109</v>
      </c>
      <c r="D207" s="1125" t="s">
        <v>954</v>
      </c>
      <c r="E207" s="1125">
        <v>56</v>
      </c>
      <c r="F207" s="1125">
        <v>-124.23</v>
      </c>
      <c r="G207" s="1125">
        <v>41.78</v>
      </c>
      <c r="H207" s="1125">
        <v>-8</v>
      </c>
      <c r="I207" s="1126">
        <v>36.679999828338623</v>
      </c>
      <c r="J207" s="1126">
        <v>65.66000137329101</v>
      </c>
      <c r="K207" s="1127">
        <v>58.640000343322754</v>
      </c>
      <c r="L207" s="1125">
        <v>4698</v>
      </c>
      <c r="M207" s="1125">
        <v>0</v>
      </c>
      <c r="N207" s="1128">
        <v>47.840000343322757</v>
      </c>
      <c r="O207" s="1128">
        <v>48.019999313354489</v>
      </c>
      <c r="P207" s="1128">
        <v>49.280000686645508</v>
      </c>
      <c r="Q207" s="1128">
        <v>49.640000343322754</v>
      </c>
      <c r="R207" s="1128">
        <v>51.980000686645511</v>
      </c>
      <c r="S207" s="1128">
        <v>53.240000343322755</v>
      </c>
      <c r="T207" s="1128">
        <v>55.759999656677245</v>
      </c>
      <c r="U207" s="1128">
        <v>56.3</v>
      </c>
      <c r="V207" s="1128">
        <v>56.480000686645511</v>
      </c>
      <c r="W207" s="1128">
        <v>52.519999313354489</v>
      </c>
      <c r="X207" s="1128">
        <v>50</v>
      </c>
      <c r="Y207" s="1128">
        <v>46.940000343322751</v>
      </c>
      <c r="Z207" s="1128">
        <v>51.519397407949789</v>
      </c>
      <c r="AA207" s="1128">
        <f t="shared" si="225"/>
        <v>55.501499648367172</v>
      </c>
      <c r="AB207" s="1128">
        <f t="shared" si="226"/>
        <v>55.254852136769493</v>
      </c>
      <c r="AC207" s="1128">
        <f t="shared" si="227"/>
        <v>55.598493247803937</v>
      </c>
      <c r="AD207" s="1128">
        <f t="shared" si="228"/>
        <v>56.442847630209549</v>
      </c>
      <c r="AE207" s="1128">
        <f t="shared" si="229"/>
        <v>57.567821302317405</v>
      </c>
      <c r="AF207" s="1128">
        <f t="shared" si="230"/>
        <v>58.68017254012355</v>
      </c>
      <c r="AG207" s="1128">
        <f t="shared" si="231"/>
        <v>59.489949851642344</v>
      </c>
      <c r="AH207" s="1128">
        <f t="shared" si="232"/>
        <v>59.786072301580312</v>
      </c>
      <c r="AI207" s="1128">
        <f t="shared" si="233"/>
        <v>59.491351009976036</v>
      </c>
      <c r="AJ207" s="1128">
        <f t="shared" si="234"/>
        <v>58.682609623278751</v>
      </c>
      <c r="AK207" s="1128">
        <f t="shared" si="235"/>
        <v>57.57065904701313</v>
      </c>
      <c r="AL207" s="1128">
        <f t="shared" si="236"/>
        <v>56.445346334559879</v>
      </c>
      <c r="AM207" s="1125">
        <f t="shared" si="237"/>
        <v>1</v>
      </c>
      <c r="AN207" s="1125">
        <f t="shared" si="238"/>
        <v>1</v>
      </c>
      <c r="AO207" s="1125">
        <f t="shared" si="239"/>
        <v>1</v>
      </c>
      <c r="AP207" s="1125">
        <f t="shared" si="240"/>
        <v>1</v>
      </c>
      <c r="AQ207" s="1125">
        <f t="shared" si="241"/>
        <v>1</v>
      </c>
      <c r="AR207" s="1125">
        <f t="shared" si="242"/>
        <v>1</v>
      </c>
      <c r="AS207" s="1125">
        <f t="shared" si="243"/>
        <v>1</v>
      </c>
      <c r="AT207" s="1125">
        <f t="shared" si="244"/>
        <v>1</v>
      </c>
      <c r="AU207" s="1125">
        <f t="shared" si="245"/>
        <v>1</v>
      </c>
      <c r="AV207" s="1125">
        <f t="shared" si="246"/>
        <v>1</v>
      </c>
      <c r="AW207" s="1125">
        <f t="shared" si="247"/>
        <v>1</v>
      </c>
      <c r="AX207" s="1125">
        <f t="shared" si="248"/>
        <v>1</v>
      </c>
      <c r="AY207" s="1125">
        <f t="shared" si="249"/>
        <v>0</v>
      </c>
      <c r="AZ207" s="1125">
        <f t="shared" si="250"/>
        <v>0</v>
      </c>
      <c r="BA207" s="1125">
        <f t="shared" si="251"/>
        <v>0</v>
      </c>
      <c r="BB207" s="1125">
        <f t="shared" si="252"/>
        <v>0</v>
      </c>
      <c r="BC207" s="1125">
        <f t="shared" si="253"/>
        <v>0</v>
      </c>
      <c r="BD207" s="1125">
        <f t="shared" si="254"/>
        <v>0</v>
      </c>
      <c r="BE207" s="1125">
        <f t="shared" si="255"/>
        <v>1</v>
      </c>
      <c r="BF207" s="1125">
        <f t="shared" si="256"/>
        <v>1</v>
      </c>
      <c r="BG207" s="1125">
        <f t="shared" si="257"/>
        <v>0</v>
      </c>
      <c r="BH207" s="1125">
        <f t="shared" si="258"/>
        <v>0</v>
      </c>
      <c r="BI207" s="1125">
        <f t="shared" si="259"/>
        <v>0</v>
      </c>
      <c r="BJ207" s="1125">
        <f t="shared" si="260"/>
        <v>0</v>
      </c>
      <c r="BK207" s="1125">
        <f t="shared" si="261"/>
        <v>1</v>
      </c>
      <c r="BL207" s="1125">
        <f t="shared" si="262"/>
        <v>1</v>
      </c>
      <c r="BM207" s="1125">
        <f t="shared" si="263"/>
        <v>1</v>
      </c>
      <c r="BN207" s="1125">
        <f t="shared" si="264"/>
        <v>1</v>
      </c>
      <c r="BO207" s="1125">
        <f t="shared" si="265"/>
        <v>1</v>
      </c>
      <c r="BP207" s="1125">
        <f t="shared" si="266"/>
        <v>1</v>
      </c>
      <c r="BQ207" s="1125">
        <f t="shared" si="267"/>
        <v>1</v>
      </c>
      <c r="BR207" s="1125">
        <f t="shared" si="268"/>
        <v>1</v>
      </c>
      <c r="BS207" s="1125">
        <f t="shared" si="269"/>
        <v>1</v>
      </c>
      <c r="BT207" s="1125">
        <f t="shared" si="270"/>
        <v>1</v>
      </c>
      <c r="BU207" s="1125">
        <f t="shared" si="271"/>
        <v>1</v>
      </c>
      <c r="BV207" s="1125">
        <f t="shared" si="272"/>
        <v>1</v>
      </c>
      <c r="BW207" s="1125">
        <f t="shared" si="273"/>
        <v>0</v>
      </c>
      <c r="BX207" s="1125">
        <f t="shared" si="274"/>
        <v>0</v>
      </c>
      <c r="BY207" s="1125">
        <f t="shared" si="275"/>
        <v>0</v>
      </c>
      <c r="BZ207" s="1125">
        <f t="shared" si="276"/>
        <v>0</v>
      </c>
      <c r="CA207" s="1125">
        <f t="shared" si="277"/>
        <v>0</v>
      </c>
      <c r="CB207" s="1125">
        <f t="shared" si="278"/>
        <v>0</v>
      </c>
      <c r="CC207" s="1125">
        <f t="shared" si="279"/>
        <v>1</v>
      </c>
      <c r="CD207" s="1125">
        <f t="shared" si="280"/>
        <v>1</v>
      </c>
      <c r="CE207" s="1125">
        <f t="shared" si="281"/>
        <v>0</v>
      </c>
      <c r="CF207" s="1125">
        <f t="shared" si="282"/>
        <v>0</v>
      </c>
      <c r="CG207" s="1125">
        <f t="shared" si="283"/>
        <v>0</v>
      </c>
      <c r="CH207" s="1125">
        <f t="shared" si="284"/>
        <v>0</v>
      </c>
      <c r="CI207" s="1125">
        <f t="shared" si="285"/>
        <v>0.85</v>
      </c>
      <c r="CJ207" s="1125">
        <f t="shared" si="286"/>
        <v>0.85</v>
      </c>
      <c r="CK207" s="1125">
        <f t="shared" si="287"/>
        <v>0.85</v>
      </c>
      <c r="CL207" s="1125">
        <f t="shared" si="288"/>
        <v>0.85</v>
      </c>
      <c r="CM207" s="1125">
        <f t="shared" si="289"/>
        <v>0.85</v>
      </c>
      <c r="CN207" s="1125">
        <f t="shared" si="290"/>
        <v>0.85</v>
      </c>
      <c r="CO207" s="1125">
        <f t="shared" si="291"/>
        <v>0.85</v>
      </c>
      <c r="CP207" s="1125">
        <f t="shared" si="292"/>
        <v>0.85</v>
      </c>
      <c r="CQ207" s="1125">
        <f t="shared" si="293"/>
        <v>0.85</v>
      </c>
      <c r="CR207" s="1125">
        <f t="shared" si="294"/>
        <v>0.85</v>
      </c>
      <c r="CS207" s="1125">
        <f t="shared" si="295"/>
        <v>0.85</v>
      </c>
      <c r="CT207" s="1125">
        <f t="shared" si="296"/>
        <v>0.85</v>
      </c>
      <c r="CU207" s="1125">
        <v>1</v>
      </c>
      <c r="CV207" s="1125"/>
      <c r="CW207" s="1125">
        <f t="shared" si="297"/>
        <v>62</v>
      </c>
      <c r="CX207" s="1125">
        <f t="shared" si="298"/>
        <v>303</v>
      </c>
      <c r="CY207" s="1135" t="s">
        <v>4893</v>
      </c>
      <c r="CZ207" s="1124" t="s">
        <v>4894</v>
      </c>
      <c r="DA207" s="1124"/>
      <c r="DB207" s="1124"/>
      <c r="DC207" s="1120" t="s">
        <v>5021</v>
      </c>
      <c r="DD207" s="1120" t="s">
        <v>954</v>
      </c>
      <c r="DE207" s="1120" t="str">
        <f t="shared" si="299"/>
        <v/>
      </c>
      <c r="DF207" s="1125">
        <v>0</v>
      </c>
      <c r="DG207" s="1125">
        <v>0</v>
      </c>
    </row>
    <row r="208" spans="1:111">
      <c r="A208" s="1120" t="s">
        <v>3222</v>
      </c>
      <c r="B208" s="1125" t="s">
        <v>3424</v>
      </c>
      <c r="C208" s="1125" t="s">
        <v>3425</v>
      </c>
      <c r="D208" s="1125" t="s">
        <v>566</v>
      </c>
      <c r="E208" s="1125">
        <v>1292</v>
      </c>
      <c r="F208" s="1125">
        <v>-94.37</v>
      </c>
      <c r="G208" s="1125">
        <v>41.02</v>
      </c>
      <c r="H208" s="1125">
        <v>-6</v>
      </c>
      <c r="I208" s="1126">
        <v>0.68000068664550706</v>
      </c>
      <c r="J208" s="1126">
        <v>90.5</v>
      </c>
      <c r="K208" s="1127">
        <v>76.639998626708987</v>
      </c>
      <c r="L208" s="1125">
        <v>5999.4000000000005</v>
      </c>
      <c r="M208" s="1125">
        <v>1024.2</v>
      </c>
      <c r="N208" s="1128">
        <v>22.279999828338624</v>
      </c>
      <c r="O208" s="1128">
        <v>28.039999914169311</v>
      </c>
      <c r="P208" s="1128">
        <v>45.320000171661377</v>
      </c>
      <c r="Q208" s="1128">
        <v>57.2</v>
      </c>
      <c r="R208" s="1128">
        <v>60.619999313354491</v>
      </c>
      <c r="S208" s="1128">
        <v>71.060001373291016</v>
      </c>
      <c r="T208" s="1128">
        <v>73.760001373291018</v>
      </c>
      <c r="U208" s="1128">
        <v>75.380000686645502</v>
      </c>
      <c r="V208" s="1128">
        <v>61.519999313354496</v>
      </c>
      <c r="W208" s="1128">
        <v>51.980000686645511</v>
      </c>
      <c r="X208" s="1128">
        <v>37.039999914169314</v>
      </c>
      <c r="Y208" s="1128">
        <v>23.720000171661376</v>
      </c>
      <c r="Z208" s="1128">
        <v>50.77967146520745</v>
      </c>
      <c r="AA208" s="1128">
        <f t="shared" si="225"/>
        <v>45.795726314554358</v>
      </c>
      <c r="AB208" s="1128">
        <f t="shared" si="226"/>
        <v>44.365492820752209</v>
      </c>
      <c r="AC208" s="1128">
        <f t="shared" si="227"/>
        <v>46.171206298911088</v>
      </c>
      <c r="AD208" s="1128">
        <f t="shared" si="228"/>
        <v>50.742179704061861</v>
      </c>
      <c r="AE208" s="1128">
        <f t="shared" si="229"/>
        <v>56.886918377319596</v>
      </c>
      <c r="AF208" s="1128">
        <f t="shared" si="230"/>
        <v>63.003701490210346</v>
      </c>
      <c r="AG208" s="1128">
        <f t="shared" si="231"/>
        <v>67.498095261878078</v>
      </c>
      <c r="AH208" s="1128">
        <f t="shared" si="232"/>
        <v>69.19856669503308</v>
      </c>
      <c r="AI208" s="1128">
        <f t="shared" si="233"/>
        <v>67.661861705565485</v>
      </c>
      <c r="AJ208" s="1128">
        <f t="shared" si="234"/>
        <v>63.288546130320732</v>
      </c>
      <c r="AK208" s="1128">
        <f t="shared" si="235"/>
        <v>57.218592068819419</v>
      </c>
      <c r="AL208" s="1128">
        <f t="shared" si="236"/>
        <v>51.034226588015393</v>
      </c>
      <c r="AM208" s="1125">
        <f t="shared" si="237"/>
        <v>1</v>
      </c>
      <c r="AN208" s="1125">
        <f t="shared" si="238"/>
        <v>1</v>
      </c>
      <c r="AO208" s="1125">
        <f t="shared" si="239"/>
        <v>1</v>
      </c>
      <c r="AP208" s="1125">
        <f t="shared" si="240"/>
        <v>1</v>
      </c>
      <c r="AQ208" s="1125">
        <f t="shared" si="241"/>
        <v>1</v>
      </c>
      <c r="AR208" s="1125">
        <f t="shared" si="242"/>
        <v>0</v>
      </c>
      <c r="AS208" s="1125">
        <f t="shared" si="243"/>
        <v>0</v>
      </c>
      <c r="AT208" s="1125">
        <f t="shared" si="244"/>
        <v>0</v>
      </c>
      <c r="AU208" s="1125">
        <f t="shared" si="245"/>
        <v>1</v>
      </c>
      <c r="AV208" s="1125">
        <f t="shared" si="246"/>
        <v>1</v>
      </c>
      <c r="AW208" s="1125">
        <f t="shared" si="247"/>
        <v>1</v>
      </c>
      <c r="AX208" s="1125">
        <f t="shared" si="248"/>
        <v>1</v>
      </c>
      <c r="AY208" s="1125">
        <f t="shared" si="249"/>
        <v>0</v>
      </c>
      <c r="AZ208" s="1125">
        <f t="shared" si="250"/>
        <v>0</v>
      </c>
      <c r="BA208" s="1125">
        <f t="shared" si="251"/>
        <v>0</v>
      </c>
      <c r="BB208" s="1125">
        <f t="shared" si="252"/>
        <v>0</v>
      </c>
      <c r="BC208" s="1125">
        <f t="shared" si="253"/>
        <v>0</v>
      </c>
      <c r="BD208" s="1125">
        <f t="shared" si="254"/>
        <v>1</v>
      </c>
      <c r="BE208" s="1125">
        <f t="shared" si="255"/>
        <v>1</v>
      </c>
      <c r="BF208" s="1125">
        <f t="shared" si="256"/>
        <v>1</v>
      </c>
      <c r="BG208" s="1125">
        <f t="shared" si="257"/>
        <v>0</v>
      </c>
      <c r="BH208" s="1125">
        <f t="shared" si="258"/>
        <v>0</v>
      </c>
      <c r="BI208" s="1125">
        <f t="shared" si="259"/>
        <v>0</v>
      </c>
      <c r="BJ208" s="1125">
        <f t="shared" si="260"/>
        <v>0</v>
      </c>
      <c r="BK208" s="1125">
        <f t="shared" si="261"/>
        <v>1</v>
      </c>
      <c r="BL208" s="1125">
        <f t="shared" si="262"/>
        <v>1</v>
      </c>
      <c r="BM208" s="1125">
        <f t="shared" si="263"/>
        <v>1</v>
      </c>
      <c r="BN208" s="1125">
        <f t="shared" si="264"/>
        <v>1</v>
      </c>
      <c r="BO208" s="1125">
        <f t="shared" si="265"/>
        <v>1</v>
      </c>
      <c r="BP208" s="1125">
        <f t="shared" si="266"/>
        <v>1</v>
      </c>
      <c r="BQ208" s="1125">
        <f t="shared" si="267"/>
        <v>0</v>
      </c>
      <c r="BR208" s="1125">
        <f t="shared" si="268"/>
        <v>0</v>
      </c>
      <c r="BS208" s="1125">
        <f t="shared" si="269"/>
        <v>1</v>
      </c>
      <c r="BT208" s="1125">
        <f t="shared" si="270"/>
        <v>1</v>
      </c>
      <c r="BU208" s="1125">
        <f t="shared" si="271"/>
        <v>1</v>
      </c>
      <c r="BV208" s="1125">
        <f t="shared" si="272"/>
        <v>1</v>
      </c>
      <c r="BW208" s="1125">
        <f t="shared" si="273"/>
        <v>0</v>
      </c>
      <c r="BX208" s="1125">
        <f t="shared" si="274"/>
        <v>0</v>
      </c>
      <c r="BY208" s="1125">
        <f t="shared" si="275"/>
        <v>0</v>
      </c>
      <c r="BZ208" s="1125">
        <f t="shared" si="276"/>
        <v>0</v>
      </c>
      <c r="CA208" s="1125">
        <f t="shared" si="277"/>
        <v>1</v>
      </c>
      <c r="CB208" s="1125">
        <f t="shared" si="278"/>
        <v>1</v>
      </c>
      <c r="CC208" s="1125">
        <f t="shared" si="279"/>
        <v>1</v>
      </c>
      <c r="CD208" s="1125">
        <f t="shared" si="280"/>
        <v>1</v>
      </c>
      <c r="CE208" s="1125">
        <f t="shared" si="281"/>
        <v>1</v>
      </c>
      <c r="CF208" s="1125">
        <f t="shared" si="282"/>
        <v>0</v>
      </c>
      <c r="CG208" s="1125">
        <f t="shared" si="283"/>
        <v>0</v>
      </c>
      <c r="CH208" s="1125">
        <f t="shared" si="284"/>
        <v>0</v>
      </c>
      <c r="CI208" s="1125">
        <f t="shared" si="285"/>
        <v>0.85</v>
      </c>
      <c r="CJ208" s="1125">
        <f t="shared" si="286"/>
        <v>0.85</v>
      </c>
      <c r="CK208" s="1125">
        <f t="shared" si="287"/>
        <v>0.85</v>
      </c>
      <c r="CL208" s="1125">
        <f t="shared" si="288"/>
        <v>0.85</v>
      </c>
      <c r="CM208" s="1125">
        <f t="shared" si="289"/>
        <v>0.85</v>
      </c>
      <c r="CN208" s="1125">
        <f t="shared" si="290"/>
        <v>0.85</v>
      </c>
      <c r="CO208" s="1125">
        <f t="shared" si="291"/>
        <v>0.7</v>
      </c>
      <c r="CP208" s="1125">
        <f t="shared" si="292"/>
        <v>0.7</v>
      </c>
      <c r="CQ208" s="1125">
        <f t="shared" si="293"/>
        <v>0.85</v>
      </c>
      <c r="CR208" s="1125">
        <f t="shared" si="294"/>
        <v>0.85</v>
      </c>
      <c r="CS208" s="1125">
        <f t="shared" si="295"/>
        <v>0.85</v>
      </c>
      <c r="CT208" s="1125">
        <f t="shared" si="296"/>
        <v>0.85</v>
      </c>
      <c r="CU208" s="1125">
        <v>1</v>
      </c>
      <c r="CV208" s="1125"/>
      <c r="CW208" s="1125">
        <f t="shared" si="297"/>
        <v>153</v>
      </c>
      <c r="CX208" s="1125">
        <f t="shared" si="298"/>
        <v>212</v>
      </c>
      <c r="CY208" s="1136" t="s">
        <v>4889</v>
      </c>
      <c r="CZ208" s="1129" t="s">
        <v>4897</v>
      </c>
      <c r="DA208" s="1129"/>
      <c r="DB208" s="1129"/>
      <c r="DC208" s="1125" t="s">
        <v>5167</v>
      </c>
      <c r="DD208" s="1125" t="s">
        <v>566</v>
      </c>
      <c r="DE208" s="1120" t="str">
        <f t="shared" si="299"/>
        <v/>
      </c>
      <c r="DF208" s="1133">
        <v>0</v>
      </c>
      <c r="DG208" s="1120">
        <v>0</v>
      </c>
    </row>
    <row r="209" spans="1:111">
      <c r="A209" s="1125" t="s">
        <v>3230</v>
      </c>
      <c r="B209" s="1125" t="s">
        <v>3264</v>
      </c>
      <c r="C209" s="1125" t="s">
        <v>3265</v>
      </c>
      <c r="D209" s="1125" t="s">
        <v>594</v>
      </c>
      <c r="E209" s="1125">
        <v>190</v>
      </c>
      <c r="F209" s="1125">
        <v>-86.52</v>
      </c>
      <c r="G209" s="1125">
        <v>30.78</v>
      </c>
      <c r="H209" s="1125">
        <v>-6</v>
      </c>
      <c r="I209" s="1126">
        <v>27.5</v>
      </c>
      <c r="J209" s="1126">
        <v>93.020002746582037</v>
      </c>
      <c r="K209" s="1127">
        <v>75.739998626708982</v>
      </c>
      <c r="L209" s="1125">
        <v>1598.4</v>
      </c>
      <c r="M209" s="1125">
        <v>2314.8000000000002</v>
      </c>
      <c r="N209" s="1128">
        <v>51.080000686645505</v>
      </c>
      <c r="O209" s="1128">
        <v>55.4</v>
      </c>
      <c r="P209" s="1128">
        <v>55.580000686645505</v>
      </c>
      <c r="Q209" s="1128">
        <v>64.760001373291018</v>
      </c>
      <c r="R209" s="1128">
        <v>72.319999313354487</v>
      </c>
      <c r="S209" s="1128">
        <v>76.639998626708987</v>
      </c>
      <c r="T209" s="1128">
        <v>80.060001373291016</v>
      </c>
      <c r="U209" s="1128">
        <v>78.8</v>
      </c>
      <c r="V209" s="1128">
        <v>76.639998626708987</v>
      </c>
      <c r="W209" s="1128">
        <v>70.33999862670899</v>
      </c>
      <c r="X209" s="1128">
        <v>61.160001373291017</v>
      </c>
      <c r="Y209" s="1128">
        <v>52.880000686645509</v>
      </c>
      <c r="Z209" s="1128">
        <v>66.356328883758962</v>
      </c>
      <c r="AA209" s="1128">
        <f t="shared" si="225"/>
        <v>63.533935956259754</v>
      </c>
      <c r="AB209" s="1128">
        <f t="shared" si="226"/>
        <v>63.720944652317719</v>
      </c>
      <c r="AC209" s="1128">
        <f t="shared" si="227"/>
        <v>66.158899323600011</v>
      </c>
      <c r="AD209" s="1128">
        <f t="shared" si="228"/>
        <v>70.212309515018177</v>
      </c>
      <c r="AE209" s="1128">
        <f t="shared" si="229"/>
        <v>74.824591395237221</v>
      </c>
      <c r="AF209" s="1128">
        <f t="shared" si="230"/>
        <v>78.79348261476278</v>
      </c>
      <c r="AG209" s="1128">
        <f t="shared" si="231"/>
        <v>81.084430514760456</v>
      </c>
      <c r="AH209" s="1128">
        <f t="shared" si="232"/>
        <v>81.10026422052006</v>
      </c>
      <c r="AI209" s="1128">
        <f t="shared" si="233"/>
        <v>78.836856432630555</v>
      </c>
      <c r="AJ209" s="1128">
        <f t="shared" si="234"/>
        <v>74.884199271175149</v>
      </c>
      <c r="AK209" s="1128">
        <f t="shared" si="235"/>
        <v>70.272613737577885</v>
      </c>
      <c r="AL209" s="1128">
        <f t="shared" si="236"/>
        <v>66.204180667855098</v>
      </c>
      <c r="AM209" s="1125">
        <f t="shared" si="237"/>
        <v>1</v>
      </c>
      <c r="AN209" s="1125">
        <f t="shared" si="238"/>
        <v>1</v>
      </c>
      <c r="AO209" s="1125">
        <f t="shared" si="239"/>
        <v>1</v>
      </c>
      <c r="AP209" s="1125">
        <f t="shared" si="240"/>
        <v>1</v>
      </c>
      <c r="AQ209" s="1125">
        <f t="shared" si="241"/>
        <v>0</v>
      </c>
      <c r="AR209" s="1125">
        <f t="shared" si="242"/>
        <v>0</v>
      </c>
      <c r="AS209" s="1125">
        <f t="shared" si="243"/>
        <v>0</v>
      </c>
      <c r="AT209" s="1125">
        <f t="shared" si="244"/>
        <v>0</v>
      </c>
      <c r="AU209" s="1125">
        <f t="shared" si="245"/>
        <v>0</v>
      </c>
      <c r="AV209" s="1125">
        <f t="shared" si="246"/>
        <v>0</v>
      </c>
      <c r="AW209" s="1125">
        <f t="shared" si="247"/>
        <v>1</v>
      </c>
      <c r="AX209" s="1125">
        <f t="shared" si="248"/>
        <v>1</v>
      </c>
      <c r="AY209" s="1125">
        <f t="shared" si="249"/>
        <v>0</v>
      </c>
      <c r="AZ209" s="1125">
        <f t="shared" si="250"/>
        <v>0</v>
      </c>
      <c r="BA209" s="1125">
        <f t="shared" si="251"/>
        <v>0</v>
      </c>
      <c r="BB209" s="1125">
        <f t="shared" si="252"/>
        <v>0</v>
      </c>
      <c r="BC209" s="1125">
        <f t="shared" si="253"/>
        <v>1</v>
      </c>
      <c r="BD209" s="1125">
        <f t="shared" si="254"/>
        <v>1</v>
      </c>
      <c r="BE209" s="1125">
        <f t="shared" si="255"/>
        <v>1</v>
      </c>
      <c r="BF209" s="1125">
        <f t="shared" si="256"/>
        <v>1</v>
      </c>
      <c r="BG209" s="1125">
        <f t="shared" si="257"/>
        <v>1</v>
      </c>
      <c r="BH209" s="1125">
        <f t="shared" si="258"/>
        <v>1</v>
      </c>
      <c r="BI209" s="1125">
        <f t="shared" si="259"/>
        <v>0</v>
      </c>
      <c r="BJ209" s="1125">
        <f t="shared" si="260"/>
        <v>0</v>
      </c>
      <c r="BK209" s="1125">
        <f t="shared" si="261"/>
        <v>1</v>
      </c>
      <c r="BL209" s="1125">
        <f t="shared" si="262"/>
        <v>1</v>
      </c>
      <c r="BM209" s="1125">
        <f t="shared" si="263"/>
        <v>1</v>
      </c>
      <c r="BN209" s="1125">
        <f t="shared" si="264"/>
        <v>1</v>
      </c>
      <c r="BO209" s="1125">
        <f t="shared" si="265"/>
        <v>1</v>
      </c>
      <c r="BP209" s="1125">
        <f t="shared" si="266"/>
        <v>0</v>
      </c>
      <c r="BQ209" s="1125">
        <f t="shared" si="267"/>
        <v>0</v>
      </c>
      <c r="BR209" s="1125">
        <f t="shared" si="268"/>
        <v>0</v>
      </c>
      <c r="BS209" s="1125">
        <f t="shared" si="269"/>
        <v>0</v>
      </c>
      <c r="BT209" s="1125">
        <f t="shared" si="270"/>
        <v>0</v>
      </c>
      <c r="BU209" s="1125">
        <f t="shared" si="271"/>
        <v>1</v>
      </c>
      <c r="BV209" s="1125">
        <f t="shared" si="272"/>
        <v>1</v>
      </c>
      <c r="BW209" s="1125">
        <f t="shared" si="273"/>
        <v>0</v>
      </c>
      <c r="BX209" s="1125">
        <f t="shared" si="274"/>
        <v>0</v>
      </c>
      <c r="BY209" s="1125">
        <f t="shared" si="275"/>
        <v>0</v>
      </c>
      <c r="BZ209" s="1125">
        <f t="shared" si="276"/>
        <v>1</v>
      </c>
      <c r="CA209" s="1125">
        <f t="shared" si="277"/>
        <v>1</v>
      </c>
      <c r="CB209" s="1125">
        <f t="shared" si="278"/>
        <v>1</v>
      </c>
      <c r="CC209" s="1125">
        <f t="shared" si="279"/>
        <v>1</v>
      </c>
      <c r="CD209" s="1125">
        <f t="shared" si="280"/>
        <v>1</v>
      </c>
      <c r="CE209" s="1125">
        <f t="shared" si="281"/>
        <v>1</v>
      </c>
      <c r="CF209" s="1125">
        <f t="shared" si="282"/>
        <v>1</v>
      </c>
      <c r="CG209" s="1125">
        <f t="shared" si="283"/>
        <v>1</v>
      </c>
      <c r="CH209" s="1125">
        <f t="shared" si="284"/>
        <v>0</v>
      </c>
      <c r="CI209" s="1125">
        <f t="shared" si="285"/>
        <v>0.85</v>
      </c>
      <c r="CJ209" s="1125">
        <f t="shared" si="286"/>
        <v>0.85</v>
      </c>
      <c r="CK209" s="1125">
        <f t="shared" si="287"/>
        <v>0.85</v>
      </c>
      <c r="CL209" s="1125">
        <f t="shared" si="288"/>
        <v>0.85</v>
      </c>
      <c r="CM209" s="1125">
        <f t="shared" si="289"/>
        <v>0.85</v>
      </c>
      <c r="CN209" s="1125">
        <f t="shared" si="290"/>
        <v>0.7</v>
      </c>
      <c r="CO209" s="1125">
        <f t="shared" si="291"/>
        <v>0.7</v>
      </c>
      <c r="CP209" s="1125">
        <f t="shared" si="292"/>
        <v>0.7</v>
      </c>
      <c r="CQ209" s="1125">
        <f t="shared" si="293"/>
        <v>0.7</v>
      </c>
      <c r="CR209" s="1125">
        <f t="shared" si="294"/>
        <v>0.7</v>
      </c>
      <c r="CS209" s="1125">
        <f t="shared" si="295"/>
        <v>0.85</v>
      </c>
      <c r="CT209" s="1125">
        <f t="shared" si="296"/>
        <v>0.85</v>
      </c>
      <c r="CU209" s="1125">
        <v>1</v>
      </c>
      <c r="CV209" s="1125"/>
      <c r="CW209" s="1125">
        <f t="shared" si="297"/>
        <v>244</v>
      </c>
      <c r="CX209" s="1125">
        <f t="shared" si="298"/>
        <v>121</v>
      </c>
      <c r="CY209" s="1135" t="s">
        <v>4883</v>
      </c>
      <c r="CZ209" s="1124" t="s">
        <v>4884</v>
      </c>
      <c r="DA209" s="1124"/>
      <c r="DB209" s="1124"/>
      <c r="DC209" s="1120" t="s">
        <v>5092</v>
      </c>
      <c r="DD209" s="1120" t="s">
        <v>594</v>
      </c>
      <c r="DE209" s="1120" t="str">
        <f t="shared" si="299"/>
        <v/>
      </c>
      <c r="DF209" s="1133">
        <v>0</v>
      </c>
      <c r="DG209" s="1125">
        <v>0</v>
      </c>
    </row>
    <row r="210" spans="1:111">
      <c r="A210" s="1120" t="s">
        <v>3224</v>
      </c>
      <c r="B210" s="1120" t="s">
        <v>3779</v>
      </c>
      <c r="C210" s="1120" t="s">
        <v>3780</v>
      </c>
      <c r="D210" s="1120" t="s">
        <v>934</v>
      </c>
      <c r="E210" s="1120">
        <v>895</v>
      </c>
      <c r="F210" s="1120">
        <v>-96.62</v>
      </c>
      <c r="G210" s="1120">
        <v>47.85</v>
      </c>
      <c r="H210" s="1120">
        <v>-6</v>
      </c>
      <c r="I210" s="1121">
        <v>-18.760001373291018</v>
      </c>
      <c r="J210" s="1121">
        <v>83.83999862670899</v>
      </c>
      <c r="K210" s="1122">
        <v>70.16000137329101</v>
      </c>
      <c r="L210" s="1120">
        <v>8764.2000000000007</v>
      </c>
      <c r="M210" s="1120">
        <v>414</v>
      </c>
      <c r="N210" s="1123">
        <v>13.280000686645508</v>
      </c>
      <c r="O210" s="1123">
        <v>16.519999313354493</v>
      </c>
      <c r="P210" s="1123">
        <v>25.520000171661376</v>
      </c>
      <c r="Q210" s="1123">
        <v>47.480000686645511</v>
      </c>
      <c r="R210" s="1123">
        <v>54.680000686645506</v>
      </c>
      <c r="S210" s="1123">
        <v>61.160001373291017</v>
      </c>
      <c r="T210" s="1123">
        <v>68.900000000000006</v>
      </c>
      <c r="U210" s="1123">
        <v>68.180000686645513</v>
      </c>
      <c r="V210" s="1123">
        <v>59.180000686645506</v>
      </c>
      <c r="W210" s="1123">
        <v>35.060000085830687</v>
      </c>
      <c r="X210" s="1123">
        <v>27.679999828338623</v>
      </c>
      <c r="Y210" s="1123">
        <v>19.220000171661376</v>
      </c>
      <c r="Z210" s="1123">
        <v>41.527671603242013</v>
      </c>
      <c r="AA210" s="1123">
        <f t="shared" si="225"/>
        <v>39.187027787641384</v>
      </c>
      <c r="AB210" s="1123">
        <f t="shared" si="226"/>
        <v>37.177393968238377</v>
      </c>
      <c r="AC210" s="1123">
        <f t="shared" si="227"/>
        <v>37.86571951700553</v>
      </c>
      <c r="AD210" s="1123">
        <f t="shared" si="228"/>
        <v>41.072581772238891</v>
      </c>
      <c r="AE210" s="1123">
        <f t="shared" si="229"/>
        <v>45.962062667868622</v>
      </c>
      <c r="AF210" s="1123">
        <f t="shared" si="230"/>
        <v>51.259643659267425</v>
      </c>
      <c r="AG210" s="1123">
        <f t="shared" si="231"/>
        <v>55.584428622832974</v>
      </c>
      <c r="AH210" s="1123">
        <f t="shared" si="232"/>
        <v>57.809095710858223</v>
      </c>
      <c r="AI210" s="1123">
        <f t="shared" si="233"/>
        <v>57.353751163691818</v>
      </c>
      <c r="AJ210" s="1123">
        <f t="shared" si="234"/>
        <v>54.337087554624567</v>
      </c>
      <c r="AK210" s="1123">
        <f t="shared" si="235"/>
        <v>49.545444741553247</v>
      </c>
      <c r="AL210" s="1123">
        <f t="shared" si="236"/>
        <v>44.22783826515581</v>
      </c>
      <c r="AM210" s="1120">
        <f t="shared" si="237"/>
        <v>1</v>
      </c>
      <c r="AN210" s="1120">
        <f t="shared" si="238"/>
        <v>1</v>
      </c>
      <c r="AO210" s="1120">
        <f t="shared" si="239"/>
        <v>1</v>
      </c>
      <c r="AP210" s="1120">
        <f t="shared" si="240"/>
        <v>1</v>
      </c>
      <c r="AQ210" s="1120">
        <f t="shared" si="241"/>
        <v>1</v>
      </c>
      <c r="AR210" s="1120">
        <f t="shared" si="242"/>
        <v>1</v>
      </c>
      <c r="AS210" s="1120">
        <f t="shared" si="243"/>
        <v>0</v>
      </c>
      <c r="AT210" s="1120">
        <f t="shared" si="244"/>
        <v>0</v>
      </c>
      <c r="AU210" s="1120">
        <f t="shared" si="245"/>
        <v>1</v>
      </c>
      <c r="AV210" s="1120">
        <f t="shared" si="246"/>
        <v>1</v>
      </c>
      <c r="AW210" s="1120">
        <f t="shared" si="247"/>
        <v>1</v>
      </c>
      <c r="AX210" s="1120">
        <f t="shared" si="248"/>
        <v>1</v>
      </c>
      <c r="AY210" s="1120">
        <f t="shared" si="249"/>
        <v>0</v>
      </c>
      <c r="AZ210" s="1120">
        <f t="shared" si="250"/>
        <v>0</v>
      </c>
      <c r="BA210" s="1120">
        <f t="shared" si="251"/>
        <v>0</v>
      </c>
      <c r="BB210" s="1120">
        <f t="shared" si="252"/>
        <v>0</v>
      </c>
      <c r="BC210" s="1120">
        <f t="shared" si="253"/>
        <v>0</v>
      </c>
      <c r="BD210" s="1120">
        <f t="shared" si="254"/>
        <v>0</v>
      </c>
      <c r="BE210" s="1120">
        <f t="shared" si="255"/>
        <v>1</v>
      </c>
      <c r="BF210" s="1120">
        <f t="shared" si="256"/>
        <v>1</v>
      </c>
      <c r="BG210" s="1120">
        <f t="shared" si="257"/>
        <v>0</v>
      </c>
      <c r="BH210" s="1120">
        <f t="shared" si="258"/>
        <v>0</v>
      </c>
      <c r="BI210" s="1120">
        <f t="shared" si="259"/>
        <v>0</v>
      </c>
      <c r="BJ210" s="1120">
        <f t="shared" si="260"/>
        <v>0</v>
      </c>
      <c r="BK210" s="1120">
        <f t="shared" si="261"/>
        <v>1</v>
      </c>
      <c r="BL210" s="1120">
        <f t="shared" si="262"/>
        <v>1</v>
      </c>
      <c r="BM210" s="1120">
        <f t="shared" si="263"/>
        <v>1</v>
      </c>
      <c r="BN210" s="1120">
        <f t="shared" si="264"/>
        <v>1</v>
      </c>
      <c r="BO210" s="1120">
        <f t="shared" si="265"/>
        <v>1</v>
      </c>
      <c r="BP210" s="1120">
        <f t="shared" si="266"/>
        <v>1</v>
      </c>
      <c r="BQ210" s="1120">
        <f t="shared" si="267"/>
        <v>1</v>
      </c>
      <c r="BR210" s="1120">
        <f t="shared" si="268"/>
        <v>0</v>
      </c>
      <c r="BS210" s="1120">
        <f t="shared" si="269"/>
        <v>1</v>
      </c>
      <c r="BT210" s="1120">
        <f t="shared" si="270"/>
        <v>1</v>
      </c>
      <c r="BU210" s="1120">
        <f t="shared" si="271"/>
        <v>1</v>
      </c>
      <c r="BV210" s="1120">
        <f t="shared" si="272"/>
        <v>1</v>
      </c>
      <c r="BW210" s="1120">
        <f t="shared" si="273"/>
        <v>0</v>
      </c>
      <c r="BX210" s="1120">
        <f t="shared" si="274"/>
        <v>0</v>
      </c>
      <c r="BY210" s="1120">
        <f t="shared" si="275"/>
        <v>0</v>
      </c>
      <c r="BZ210" s="1120">
        <f t="shared" si="276"/>
        <v>0</v>
      </c>
      <c r="CA210" s="1120">
        <f t="shared" si="277"/>
        <v>0</v>
      </c>
      <c r="CB210" s="1120">
        <f t="shared" si="278"/>
        <v>1</v>
      </c>
      <c r="CC210" s="1120">
        <f t="shared" si="279"/>
        <v>1</v>
      </c>
      <c r="CD210" s="1120">
        <f t="shared" si="280"/>
        <v>1</v>
      </c>
      <c r="CE210" s="1120">
        <f t="shared" si="281"/>
        <v>1</v>
      </c>
      <c r="CF210" s="1120">
        <f t="shared" si="282"/>
        <v>0</v>
      </c>
      <c r="CG210" s="1120">
        <f t="shared" si="283"/>
        <v>0</v>
      </c>
      <c r="CH210" s="1120">
        <f t="shared" si="284"/>
        <v>0</v>
      </c>
      <c r="CI210" s="1120">
        <f t="shared" si="285"/>
        <v>0.85</v>
      </c>
      <c r="CJ210" s="1120">
        <f t="shared" si="286"/>
        <v>0.85</v>
      </c>
      <c r="CK210" s="1120">
        <f t="shared" si="287"/>
        <v>0.85</v>
      </c>
      <c r="CL210" s="1120">
        <f t="shared" si="288"/>
        <v>0.85</v>
      </c>
      <c r="CM210" s="1120">
        <f t="shared" si="289"/>
        <v>0.85</v>
      </c>
      <c r="CN210" s="1120">
        <f t="shared" si="290"/>
        <v>0.85</v>
      </c>
      <c r="CO210" s="1120">
        <f t="shared" si="291"/>
        <v>0.85</v>
      </c>
      <c r="CP210" s="1120">
        <f t="shared" si="292"/>
        <v>0.7</v>
      </c>
      <c r="CQ210" s="1120">
        <f t="shared" si="293"/>
        <v>0.85</v>
      </c>
      <c r="CR210" s="1120">
        <f t="shared" si="294"/>
        <v>0.85</v>
      </c>
      <c r="CS210" s="1120">
        <f t="shared" si="295"/>
        <v>0.85</v>
      </c>
      <c r="CT210" s="1120">
        <f t="shared" si="296"/>
        <v>0.85</v>
      </c>
      <c r="CU210" s="1120">
        <v>1</v>
      </c>
      <c r="CV210" s="1120"/>
      <c r="CW210" s="1120">
        <f t="shared" si="297"/>
        <v>122</v>
      </c>
      <c r="CX210" s="1120">
        <f t="shared" si="298"/>
        <v>243</v>
      </c>
      <c r="CY210" s="1135" t="s">
        <v>4879</v>
      </c>
      <c r="CZ210" s="1124">
        <v>7</v>
      </c>
      <c r="DA210" s="1124"/>
      <c r="DB210" s="1124"/>
      <c r="DC210" s="1120" t="s">
        <v>5326</v>
      </c>
      <c r="DD210" s="1120" t="s">
        <v>934</v>
      </c>
      <c r="DE210" s="1120" t="str">
        <f t="shared" si="299"/>
        <v/>
      </c>
      <c r="DF210" s="1133">
        <v>0</v>
      </c>
      <c r="DG210" s="1120">
        <v>0</v>
      </c>
    </row>
    <row r="211" spans="1:111">
      <c r="A211" s="1125" t="s">
        <v>3226</v>
      </c>
      <c r="B211" s="1125" t="s">
        <v>4340</v>
      </c>
      <c r="C211" s="1125" t="s">
        <v>4341</v>
      </c>
      <c r="D211" s="1125" t="s">
        <v>560</v>
      </c>
      <c r="E211" s="1125">
        <v>1866</v>
      </c>
      <c r="F211" s="1125">
        <v>-85.08</v>
      </c>
      <c r="G211" s="1125">
        <v>35.950000000000003</v>
      </c>
      <c r="H211" s="1125">
        <v>-6</v>
      </c>
      <c r="I211" s="1126">
        <v>15.440000343322753</v>
      </c>
      <c r="J211" s="1126">
        <v>86.180000686645513</v>
      </c>
      <c r="K211" s="1127">
        <v>72.139998626708987</v>
      </c>
      <c r="L211" s="1125">
        <v>3787.2000000000003</v>
      </c>
      <c r="M211" s="1125">
        <v>973.80000000000007</v>
      </c>
      <c r="N211" s="1128">
        <v>37.579999828338622</v>
      </c>
      <c r="O211" s="1128">
        <v>41.179999828338623</v>
      </c>
      <c r="P211" s="1128">
        <v>50.540000343322752</v>
      </c>
      <c r="Q211" s="1128">
        <v>57.919999313354495</v>
      </c>
      <c r="R211" s="1128">
        <v>64.039998626708979</v>
      </c>
      <c r="S211" s="1128">
        <v>71.060001373291016</v>
      </c>
      <c r="T211" s="1128">
        <v>74.3</v>
      </c>
      <c r="U211" s="1128">
        <v>70.7</v>
      </c>
      <c r="V211" s="1128">
        <v>68.900000000000006</v>
      </c>
      <c r="W211" s="1128">
        <v>54.680000686645506</v>
      </c>
      <c r="X211" s="1128">
        <v>51.980000686645511</v>
      </c>
      <c r="Y211" s="1128">
        <v>36.5</v>
      </c>
      <c r="Z211" s="1128">
        <v>56.677753480623849</v>
      </c>
      <c r="AA211" s="1128">
        <f t="shared" si="225"/>
        <v>53.447256392993737</v>
      </c>
      <c r="AB211" s="1128">
        <f t="shared" si="226"/>
        <v>52.808434957282522</v>
      </c>
      <c r="AC211" s="1128">
        <f t="shared" si="227"/>
        <v>54.742203485482413</v>
      </c>
      <c r="AD211" s="1128">
        <f t="shared" si="228"/>
        <v>58.744495410443058</v>
      </c>
      <c r="AE211" s="1128">
        <f t="shared" si="229"/>
        <v>63.77205166473793</v>
      </c>
      <c r="AF211" s="1128">
        <f t="shared" si="230"/>
        <v>68.514362233697994</v>
      </c>
      <c r="AG211" s="1128">
        <f t="shared" si="231"/>
        <v>71.73527078630579</v>
      </c>
      <c r="AH211" s="1128">
        <f t="shared" si="232"/>
        <v>72.595197872620844</v>
      </c>
      <c r="AI211" s="1128">
        <f t="shared" si="233"/>
        <v>70.869990245717588</v>
      </c>
      <c r="AJ211" s="1128">
        <f t="shared" si="234"/>
        <v>67.009349859802683</v>
      </c>
      <c r="AK211" s="1128">
        <f t="shared" si="235"/>
        <v>62.019612125734028</v>
      </c>
      <c r="AL211" s="1128">
        <f t="shared" si="236"/>
        <v>57.20142907808269</v>
      </c>
      <c r="AM211" s="1125">
        <f t="shared" si="237"/>
        <v>1</v>
      </c>
      <c r="AN211" s="1125">
        <f t="shared" si="238"/>
        <v>1</v>
      </c>
      <c r="AO211" s="1125">
        <f t="shared" si="239"/>
        <v>1</v>
      </c>
      <c r="AP211" s="1125">
        <f t="shared" si="240"/>
        <v>1</v>
      </c>
      <c r="AQ211" s="1125">
        <f t="shared" si="241"/>
        <v>1</v>
      </c>
      <c r="AR211" s="1125">
        <f t="shared" si="242"/>
        <v>0</v>
      </c>
      <c r="AS211" s="1125">
        <f t="shared" si="243"/>
        <v>0</v>
      </c>
      <c r="AT211" s="1125">
        <f t="shared" si="244"/>
        <v>0</v>
      </c>
      <c r="AU211" s="1125">
        <f t="shared" si="245"/>
        <v>0</v>
      </c>
      <c r="AV211" s="1125">
        <f t="shared" si="246"/>
        <v>1</v>
      </c>
      <c r="AW211" s="1125">
        <f t="shared" si="247"/>
        <v>1</v>
      </c>
      <c r="AX211" s="1125">
        <f t="shared" si="248"/>
        <v>1</v>
      </c>
      <c r="AY211" s="1125">
        <f t="shared" si="249"/>
        <v>0</v>
      </c>
      <c r="AZ211" s="1125">
        <f t="shared" si="250"/>
        <v>0</v>
      </c>
      <c r="BA211" s="1125">
        <f t="shared" si="251"/>
        <v>0</v>
      </c>
      <c r="BB211" s="1125">
        <f t="shared" si="252"/>
        <v>0</v>
      </c>
      <c r="BC211" s="1125">
        <f t="shared" si="253"/>
        <v>0</v>
      </c>
      <c r="BD211" s="1125">
        <f t="shared" si="254"/>
        <v>1</v>
      </c>
      <c r="BE211" s="1125">
        <f t="shared" si="255"/>
        <v>1</v>
      </c>
      <c r="BF211" s="1125">
        <f t="shared" si="256"/>
        <v>1</v>
      </c>
      <c r="BG211" s="1125">
        <f t="shared" si="257"/>
        <v>1</v>
      </c>
      <c r="BH211" s="1125">
        <f t="shared" si="258"/>
        <v>0</v>
      </c>
      <c r="BI211" s="1125">
        <f t="shared" si="259"/>
        <v>0</v>
      </c>
      <c r="BJ211" s="1125">
        <f t="shared" si="260"/>
        <v>0</v>
      </c>
      <c r="BK211" s="1125">
        <f t="shared" si="261"/>
        <v>1</v>
      </c>
      <c r="BL211" s="1125">
        <f t="shared" si="262"/>
        <v>1</v>
      </c>
      <c r="BM211" s="1125">
        <f t="shared" si="263"/>
        <v>1</v>
      </c>
      <c r="BN211" s="1125">
        <f t="shared" si="264"/>
        <v>1</v>
      </c>
      <c r="BO211" s="1125">
        <f t="shared" si="265"/>
        <v>1</v>
      </c>
      <c r="BP211" s="1125">
        <f t="shared" si="266"/>
        <v>1</v>
      </c>
      <c r="BQ211" s="1125">
        <f t="shared" si="267"/>
        <v>0</v>
      </c>
      <c r="BR211" s="1125">
        <f t="shared" si="268"/>
        <v>0</v>
      </c>
      <c r="BS211" s="1125">
        <f t="shared" si="269"/>
        <v>0</v>
      </c>
      <c r="BT211" s="1125">
        <f t="shared" si="270"/>
        <v>1</v>
      </c>
      <c r="BU211" s="1125">
        <f t="shared" si="271"/>
        <v>1</v>
      </c>
      <c r="BV211" s="1125">
        <f t="shared" si="272"/>
        <v>1</v>
      </c>
      <c r="BW211" s="1125">
        <f t="shared" si="273"/>
        <v>0</v>
      </c>
      <c r="BX211" s="1125">
        <f t="shared" si="274"/>
        <v>0</v>
      </c>
      <c r="BY211" s="1125">
        <f t="shared" si="275"/>
        <v>0</v>
      </c>
      <c r="BZ211" s="1125">
        <f t="shared" si="276"/>
        <v>0</v>
      </c>
      <c r="CA211" s="1125">
        <f t="shared" si="277"/>
        <v>1</v>
      </c>
      <c r="CB211" s="1125">
        <f t="shared" si="278"/>
        <v>1</v>
      </c>
      <c r="CC211" s="1125">
        <f t="shared" si="279"/>
        <v>1</v>
      </c>
      <c r="CD211" s="1125">
        <f t="shared" si="280"/>
        <v>1</v>
      </c>
      <c r="CE211" s="1125">
        <f t="shared" si="281"/>
        <v>1</v>
      </c>
      <c r="CF211" s="1125">
        <f t="shared" si="282"/>
        <v>1</v>
      </c>
      <c r="CG211" s="1125">
        <f t="shared" si="283"/>
        <v>0</v>
      </c>
      <c r="CH211" s="1125">
        <f t="shared" si="284"/>
        <v>0</v>
      </c>
      <c r="CI211" s="1125">
        <f t="shared" si="285"/>
        <v>0.85</v>
      </c>
      <c r="CJ211" s="1125">
        <f t="shared" si="286"/>
        <v>0.85</v>
      </c>
      <c r="CK211" s="1125">
        <f t="shared" si="287"/>
        <v>0.85</v>
      </c>
      <c r="CL211" s="1125">
        <f t="shared" si="288"/>
        <v>0.85</v>
      </c>
      <c r="CM211" s="1125">
        <f t="shared" si="289"/>
        <v>0.85</v>
      </c>
      <c r="CN211" s="1125">
        <f t="shared" si="290"/>
        <v>0.85</v>
      </c>
      <c r="CO211" s="1125">
        <f t="shared" si="291"/>
        <v>0.7</v>
      </c>
      <c r="CP211" s="1125">
        <f t="shared" si="292"/>
        <v>0.7</v>
      </c>
      <c r="CQ211" s="1125">
        <f t="shared" si="293"/>
        <v>0.7</v>
      </c>
      <c r="CR211" s="1125">
        <f t="shared" si="294"/>
        <v>0.85</v>
      </c>
      <c r="CS211" s="1125">
        <f t="shared" si="295"/>
        <v>0.85</v>
      </c>
      <c r="CT211" s="1125">
        <f t="shared" si="296"/>
        <v>0.85</v>
      </c>
      <c r="CU211" s="1125">
        <v>1</v>
      </c>
      <c r="CV211" s="1125"/>
      <c r="CW211" s="1125">
        <f t="shared" si="297"/>
        <v>184</v>
      </c>
      <c r="CX211" s="1125">
        <f t="shared" si="298"/>
        <v>181</v>
      </c>
      <c r="CY211" s="1136" t="s">
        <v>4881</v>
      </c>
      <c r="CZ211" s="1129" t="s">
        <v>4885</v>
      </c>
      <c r="DA211" s="1129"/>
      <c r="DB211" s="1129"/>
      <c r="DC211" s="1125" t="s">
        <v>5567</v>
      </c>
      <c r="DD211" s="1125" t="s">
        <v>560</v>
      </c>
      <c r="DE211" s="1120" t="str">
        <f t="shared" si="299"/>
        <v/>
      </c>
      <c r="DF211" s="1133">
        <v>1</v>
      </c>
      <c r="DG211" s="1125">
        <v>0</v>
      </c>
    </row>
    <row r="212" spans="1:111">
      <c r="A212" s="1120" t="s">
        <v>3228</v>
      </c>
      <c r="B212" s="1120" t="s">
        <v>3902</v>
      </c>
      <c r="C212" s="1120" t="s">
        <v>3903</v>
      </c>
      <c r="D212" s="1120" t="s">
        <v>1108</v>
      </c>
      <c r="E212" s="1120">
        <v>3838</v>
      </c>
      <c r="F212" s="1120">
        <v>-112.37</v>
      </c>
      <c r="G212" s="1120">
        <v>48.6</v>
      </c>
      <c r="H212" s="1120">
        <v>-7</v>
      </c>
      <c r="I212" s="1121">
        <v>-13.000000000000002</v>
      </c>
      <c r="J212" s="1121">
        <v>85.1</v>
      </c>
      <c r="K212" s="1122">
        <v>59</v>
      </c>
      <c r="L212" s="1120">
        <v>7871.4000000000005</v>
      </c>
      <c r="M212" s="1120">
        <v>149.4</v>
      </c>
      <c r="N212" s="1123">
        <v>23.9</v>
      </c>
      <c r="O212" s="1123">
        <v>26.060000085830687</v>
      </c>
      <c r="P212" s="1123">
        <v>29.660000085830688</v>
      </c>
      <c r="Q212" s="1123">
        <v>41.720000171661376</v>
      </c>
      <c r="R212" s="1123">
        <v>50.719999313354492</v>
      </c>
      <c r="S212" s="1123">
        <v>58.640000343322754</v>
      </c>
      <c r="T212" s="1123">
        <v>64.219999313354492</v>
      </c>
      <c r="U212" s="1123">
        <v>62.780000686645508</v>
      </c>
      <c r="V212" s="1123">
        <v>53.6</v>
      </c>
      <c r="W212" s="1123">
        <v>43.52000017166138</v>
      </c>
      <c r="X212" s="1123">
        <v>34.160000085830688</v>
      </c>
      <c r="Y212" s="1123">
        <v>28.4</v>
      </c>
      <c r="Z212" s="1123">
        <v>43.212273992120402</v>
      </c>
      <c r="AA212" s="1123">
        <f t="shared" si="225"/>
        <v>42.759487385051386</v>
      </c>
      <c r="AB212" s="1123">
        <f t="shared" si="226"/>
        <v>41.346258206490695</v>
      </c>
      <c r="AC212" s="1123">
        <f t="shared" si="227"/>
        <v>41.983427261426904</v>
      </c>
      <c r="AD212" s="1123">
        <f t="shared" si="228"/>
        <v>44.504906616618541</v>
      </c>
      <c r="AE212" s="1123">
        <f t="shared" si="229"/>
        <v>48.253433820961845</v>
      </c>
      <c r="AF212" s="1123">
        <f t="shared" si="230"/>
        <v>52.251897492091942</v>
      </c>
      <c r="AG212" s="1123">
        <f t="shared" si="231"/>
        <v>55.458036455938412</v>
      </c>
      <c r="AH212" s="1123">
        <f t="shared" si="232"/>
        <v>57.036121183477697</v>
      </c>
      <c r="AI212" s="1123">
        <f t="shared" si="233"/>
        <v>56.574799571454882</v>
      </c>
      <c r="AJ212" s="1123">
        <f t="shared" si="234"/>
        <v>54.19432220722495</v>
      </c>
      <c r="AK212" s="1123">
        <f t="shared" si="235"/>
        <v>50.515197200041044</v>
      </c>
      <c r="AL212" s="1123">
        <f t="shared" si="236"/>
        <v>46.496445180058217</v>
      </c>
      <c r="AM212" s="1120">
        <f t="shared" si="237"/>
        <v>1</v>
      </c>
      <c r="AN212" s="1120">
        <f t="shared" si="238"/>
        <v>1</v>
      </c>
      <c r="AO212" s="1120">
        <f t="shared" si="239"/>
        <v>1</v>
      </c>
      <c r="AP212" s="1120">
        <f t="shared" si="240"/>
        <v>1</v>
      </c>
      <c r="AQ212" s="1120">
        <f t="shared" si="241"/>
        <v>1</v>
      </c>
      <c r="AR212" s="1120">
        <f t="shared" si="242"/>
        <v>1</v>
      </c>
      <c r="AS212" s="1120">
        <f t="shared" si="243"/>
        <v>1</v>
      </c>
      <c r="AT212" s="1120">
        <f t="shared" si="244"/>
        <v>1</v>
      </c>
      <c r="AU212" s="1120">
        <f t="shared" si="245"/>
        <v>1</v>
      </c>
      <c r="AV212" s="1120">
        <f t="shared" si="246"/>
        <v>1</v>
      </c>
      <c r="AW212" s="1120">
        <f t="shared" si="247"/>
        <v>1</v>
      </c>
      <c r="AX212" s="1120">
        <f t="shared" si="248"/>
        <v>1</v>
      </c>
      <c r="AY212" s="1120">
        <f t="shared" si="249"/>
        <v>0</v>
      </c>
      <c r="AZ212" s="1120">
        <f t="shared" si="250"/>
        <v>0</v>
      </c>
      <c r="BA212" s="1120">
        <f t="shared" si="251"/>
        <v>0</v>
      </c>
      <c r="BB212" s="1120">
        <f t="shared" si="252"/>
        <v>0</v>
      </c>
      <c r="BC212" s="1120">
        <f t="shared" si="253"/>
        <v>0</v>
      </c>
      <c r="BD212" s="1120">
        <f t="shared" si="254"/>
        <v>0</v>
      </c>
      <c r="BE212" s="1120">
        <f t="shared" si="255"/>
        <v>1</v>
      </c>
      <c r="BF212" s="1120">
        <f t="shared" si="256"/>
        <v>1</v>
      </c>
      <c r="BG212" s="1120">
        <f t="shared" si="257"/>
        <v>0</v>
      </c>
      <c r="BH212" s="1120">
        <f t="shared" si="258"/>
        <v>0</v>
      </c>
      <c r="BI212" s="1120">
        <f t="shared" si="259"/>
        <v>0</v>
      </c>
      <c r="BJ212" s="1120">
        <f t="shared" si="260"/>
        <v>0</v>
      </c>
      <c r="BK212" s="1120">
        <f t="shared" si="261"/>
        <v>1</v>
      </c>
      <c r="BL212" s="1120">
        <f t="shared" si="262"/>
        <v>1</v>
      </c>
      <c r="BM212" s="1120">
        <f t="shared" si="263"/>
        <v>1</v>
      </c>
      <c r="BN212" s="1120">
        <f t="shared" si="264"/>
        <v>1</v>
      </c>
      <c r="BO212" s="1120">
        <f t="shared" si="265"/>
        <v>1</v>
      </c>
      <c r="BP212" s="1120">
        <f t="shared" si="266"/>
        <v>1</v>
      </c>
      <c r="BQ212" s="1120">
        <f t="shared" si="267"/>
        <v>1</v>
      </c>
      <c r="BR212" s="1120">
        <f t="shared" si="268"/>
        <v>1</v>
      </c>
      <c r="BS212" s="1120">
        <f t="shared" si="269"/>
        <v>1</v>
      </c>
      <c r="BT212" s="1120">
        <f t="shared" si="270"/>
        <v>1</v>
      </c>
      <c r="BU212" s="1120">
        <f t="shared" si="271"/>
        <v>1</v>
      </c>
      <c r="BV212" s="1120">
        <f t="shared" si="272"/>
        <v>1</v>
      </c>
      <c r="BW212" s="1120">
        <f t="shared" si="273"/>
        <v>0</v>
      </c>
      <c r="BX212" s="1120">
        <f t="shared" si="274"/>
        <v>0</v>
      </c>
      <c r="BY212" s="1120">
        <f t="shared" si="275"/>
        <v>0</v>
      </c>
      <c r="BZ212" s="1120">
        <f t="shared" si="276"/>
        <v>0</v>
      </c>
      <c r="CA212" s="1120">
        <f t="shared" si="277"/>
        <v>0</v>
      </c>
      <c r="CB212" s="1120">
        <f t="shared" si="278"/>
        <v>0</v>
      </c>
      <c r="CC212" s="1120">
        <f t="shared" si="279"/>
        <v>1</v>
      </c>
      <c r="CD212" s="1120">
        <f t="shared" si="280"/>
        <v>1</v>
      </c>
      <c r="CE212" s="1120">
        <f t="shared" si="281"/>
        <v>0</v>
      </c>
      <c r="CF212" s="1120">
        <f t="shared" si="282"/>
        <v>0</v>
      </c>
      <c r="CG212" s="1120">
        <f t="shared" si="283"/>
        <v>0</v>
      </c>
      <c r="CH212" s="1120">
        <f t="shared" si="284"/>
        <v>0</v>
      </c>
      <c r="CI212" s="1120">
        <f t="shared" si="285"/>
        <v>0.85</v>
      </c>
      <c r="CJ212" s="1120">
        <f t="shared" si="286"/>
        <v>0.85</v>
      </c>
      <c r="CK212" s="1120">
        <f t="shared" si="287"/>
        <v>0.85</v>
      </c>
      <c r="CL212" s="1120">
        <f t="shared" si="288"/>
        <v>0.85</v>
      </c>
      <c r="CM212" s="1120">
        <f t="shared" si="289"/>
        <v>0.85</v>
      </c>
      <c r="CN212" s="1120">
        <f t="shared" si="290"/>
        <v>0.85</v>
      </c>
      <c r="CO212" s="1120">
        <f t="shared" si="291"/>
        <v>0.85</v>
      </c>
      <c r="CP212" s="1120">
        <f t="shared" si="292"/>
        <v>0.85</v>
      </c>
      <c r="CQ212" s="1120">
        <f t="shared" si="293"/>
        <v>0.85</v>
      </c>
      <c r="CR212" s="1120">
        <f t="shared" si="294"/>
        <v>0.85</v>
      </c>
      <c r="CS212" s="1120">
        <f t="shared" si="295"/>
        <v>0.85</v>
      </c>
      <c r="CT212" s="1120">
        <f t="shared" si="296"/>
        <v>0.85</v>
      </c>
      <c r="CU212" s="1120">
        <v>1</v>
      </c>
      <c r="CV212" s="1120"/>
      <c r="CW212" s="1120">
        <f t="shared" si="297"/>
        <v>62</v>
      </c>
      <c r="CX212" s="1120">
        <f t="shared" si="298"/>
        <v>303</v>
      </c>
      <c r="CY212" s="1135" t="s">
        <v>4889</v>
      </c>
      <c r="CZ212" s="1124" t="s">
        <v>4896</v>
      </c>
      <c r="DA212" s="1124"/>
      <c r="DB212" s="1124"/>
      <c r="DC212" s="1120" t="s">
        <v>5375</v>
      </c>
      <c r="DD212" s="1120" t="s">
        <v>1108</v>
      </c>
      <c r="DE212" s="1120" t="str">
        <f t="shared" si="299"/>
        <v/>
      </c>
      <c r="DF212" s="1133">
        <v>0</v>
      </c>
      <c r="DG212" s="1120">
        <v>0</v>
      </c>
    </row>
    <row r="213" spans="1:111">
      <c r="A213" s="1125" t="s">
        <v>5824</v>
      </c>
      <c r="B213" s="1120" t="s">
        <v>3086</v>
      </c>
      <c r="C213" s="1120" t="s">
        <v>3087</v>
      </c>
      <c r="D213" s="1120" t="s">
        <v>954</v>
      </c>
      <c r="E213" s="1120">
        <v>1922</v>
      </c>
      <c r="F213" s="1120">
        <v>-116.8</v>
      </c>
      <c r="G213" s="1120">
        <v>34.85</v>
      </c>
      <c r="H213" s="1120">
        <v>-8</v>
      </c>
      <c r="I213" s="1121">
        <v>32</v>
      </c>
      <c r="J213" s="1121">
        <v>106.33999862670899</v>
      </c>
      <c r="K213" s="1122">
        <v>68.719999313354492</v>
      </c>
      <c r="L213" s="1120">
        <v>1980</v>
      </c>
      <c r="M213" s="1120">
        <v>3090.6</v>
      </c>
      <c r="N213" s="1123">
        <v>45.140000343322754</v>
      </c>
      <c r="O213" s="1123">
        <v>52.519999313354489</v>
      </c>
      <c r="P213" s="1123">
        <v>59.9</v>
      </c>
      <c r="Q213" s="1123">
        <v>66.380000686645502</v>
      </c>
      <c r="R213" s="1123">
        <v>73.400000000000006</v>
      </c>
      <c r="S213" s="1123">
        <v>84.019999313354489</v>
      </c>
      <c r="T213" s="1123">
        <v>90.679997253417966</v>
      </c>
      <c r="U213" s="1123">
        <v>87.080000686645505</v>
      </c>
      <c r="V213" s="1123">
        <v>77.360001373291013</v>
      </c>
      <c r="W213" s="1123">
        <v>68.719999313354492</v>
      </c>
      <c r="X213" s="1123">
        <v>56.3</v>
      </c>
      <c r="Y213" s="1123">
        <v>46.759999656677245</v>
      </c>
      <c r="Z213" s="1123">
        <v>67.436821744735923</v>
      </c>
      <c r="AA213" s="1123">
        <f t="shared" si="225"/>
        <v>59.27729715338107</v>
      </c>
      <c r="AB213" s="1123">
        <f t="shared" si="226"/>
        <v>59.713214533958059</v>
      </c>
      <c r="AC213" s="1123">
        <f t="shared" si="227"/>
        <v>63.726401621213078</v>
      </c>
      <c r="AD213" s="1123">
        <f t="shared" si="228"/>
        <v>70.270759355768064</v>
      </c>
      <c r="AE213" s="1123">
        <f t="shared" si="229"/>
        <v>77.640400042505803</v>
      </c>
      <c r="AF213" s="1123">
        <f t="shared" si="230"/>
        <v>83.914313266827421</v>
      </c>
      <c r="AG213" s="1123">
        <f t="shared" si="231"/>
        <v>87.457106862884075</v>
      </c>
      <c r="AH213" s="1123">
        <f t="shared" si="232"/>
        <v>87.345297083761693</v>
      </c>
      <c r="AI213" s="1123">
        <f t="shared" si="233"/>
        <v>83.608028871429383</v>
      </c>
      <c r="AJ213" s="1123">
        <f t="shared" si="234"/>
        <v>77.219478778478006</v>
      </c>
      <c r="AK213" s="1123">
        <f t="shared" si="235"/>
        <v>69.844920837172381</v>
      </c>
      <c r="AL213" s="1123">
        <f t="shared" si="236"/>
        <v>63.406647220291688</v>
      </c>
      <c r="AM213" s="1120">
        <f t="shared" si="237"/>
        <v>1</v>
      </c>
      <c r="AN213" s="1120">
        <f t="shared" si="238"/>
        <v>1</v>
      </c>
      <c r="AO213" s="1120">
        <f t="shared" si="239"/>
        <v>1</v>
      </c>
      <c r="AP213" s="1120">
        <f t="shared" si="240"/>
        <v>0</v>
      </c>
      <c r="AQ213" s="1120">
        <f t="shared" si="241"/>
        <v>0</v>
      </c>
      <c r="AR213" s="1120">
        <f t="shared" si="242"/>
        <v>0</v>
      </c>
      <c r="AS213" s="1120">
        <f t="shared" si="243"/>
        <v>0</v>
      </c>
      <c r="AT213" s="1120">
        <f t="shared" si="244"/>
        <v>0</v>
      </c>
      <c r="AU213" s="1120">
        <f t="shared" si="245"/>
        <v>0</v>
      </c>
      <c r="AV213" s="1120">
        <f t="shared" si="246"/>
        <v>0</v>
      </c>
      <c r="AW213" s="1120">
        <f t="shared" si="247"/>
        <v>1</v>
      </c>
      <c r="AX213" s="1120">
        <f t="shared" si="248"/>
        <v>1</v>
      </c>
      <c r="AY213" s="1120">
        <f t="shared" si="249"/>
        <v>0</v>
      </c>
      <c r="AZ213" s="1120">
        <f t="shared" si="250"/>
        <v>0</v>
      </c>
      <c r="BA213" s="1120">
        <f t="shared" si="251"/>
        <v>0</v>
      </c>
      <c r="BB213" s="1120">
        <f t="shared" si="252"/>
        <v>1</v>
      </c>
      <c r="BC213" s="1120">
        <f t="shared" si="253"/>
        <v>1</v>
      </c>
      <c r="BD213" s="1120">
        <f t="shared" si="254"/>
        <v>1</v>
      </c>
      <c r="BE213" s="1120">
        <f t="shared" si="255"/>
        <v>1</v>
      </c>
      <c r="BF213" s="1120">
        <f t="shared" si="256"/>
        <v>1</v>
      </c>
      <c r="BG213" s="1120">
        <f t="shared" si="257"/>
        <v>1</v>
      </c>
      <c r="BH213" s="1120">
        <f t="shared" si="258"/>
        <v>1</v>
      </c>
      <c r="BI213" s="1120">
        <f t="shared" si="259"/>
        <v>0</v>
      </c>
      <c r="BJ213" s="1120">
        <f t="shared" si="260"/>
        <v>0</v>
      </c>
      <c r="BK213" s="1120">
        <f t="shared" si="261"/>
        <v>1</v>
      </c>
      <c r="BL213" s="1120">
        <f t="shared" si="262"/>
        <v>1</v>
      </c>
      <c r="BM213" s="1120">
        <f t="shared" si="263"/>
        <v>1</v>
      </c>
      <c r="BN213" s="1120">
        <f t="shared" si="264"/>
        <v>1</v>
      </c>
      <c r="BO213" s="1120">
        <f t="shared" si="265"/>
        <v>0</v>
      </c>
      <c r="BP213" s="1120">
        <f t="shared" si="266"/>
        <v>0</v>
      </c>
      <c r="BQ213" s="1120">
        <f t="shared" si="267"/>
        <v>0</v>
      </c>
      <c r="BR213" s="1120">
        <f t="shared" si="268"/>
        <v>0</v>
      </c>
      <c r="BS213" s="1120">
        <f t="shared" si="269"/>
        <v>0</v>
      </c>
      <c r="BT213" s="1120">
        <f t="shared" si="270"/>
        <v>0</v>
      </c>
      <c r="BU213" s="1120">
        <f t="shared" si="271"/>
        <v>1</v>
      </c>
      <c r="BV213" s="1120">
        <f t="shared" si="272"/>
        <v>1</v>
      </c>
      <c r="BW213" s="1120">
        <f t="shared" si="273"/>
        <v>0</v>
      </c>
      <c r="BX213" s="1120">
        <f t="shared" si="274"/>
        <v>0</v>
      </c>
      <c r="BY213" s="1120">
        <f t="shared" si="275"/>
        <v>1</v>
      </c>
      <c r="BZ213" s="1120">
        <f t="shared" si="276"/>
        <v>1</v>
      </c>
      <c r="CA213" s="1120">
        <f t="shared" si="277"/>
        <v>1</v>
      </c>
      <c r="CB213" s="1120">
        <f t="shared" si="278"/>
        <v>1</v>
      </c>
      <c r="CC213" s="1120">
        <f t="shared" si="279"/>
        <v>1</v>
      </c>
      <c r="CD213" s="1120">
        <f t="shared" si="280"/>
        <v>1</v>
      </c>
      <c r="CE213" s="1120">
        <f t="shared" si="281"/>
        <v>1</v>
      </c>
      <c r="CF213" s="1120">
        <f t="shared" si="282"/>
        <v>1</v>
      </c>
      <c r="CG213" s="1120">
        <f t="shared" si="283"/>
        <v>1</v>
      </c>
      <c r="CH213" s="1120">
        <f t="shared" si="284"/>
        <v>0</v>
      </c>
      <c r="CI213" s="1120">
        <f t="shared" si="285"/>
        <v>0.85</v>
      </c>
      <c r="CJ213" s="1120">
        <f t="shared" si="286"/>
        <v>0.85</v>
      </c>
      <c r="CK213" s="1120">
        <f t="shared" si="287"/>
        <v>0.85</v>
      </c>
      <c r="CL213" s="1120">
        <f t="shared" si="288"/>
        <v>0.85</v>
      </c>
      <c r="CM213" s="1120">
        <f t="shared" si="289"/>
        <v>0.7</v>
      </c>
      <c r="CN213" s="1120">
        <f t="shared" si="290"/>
        <v>0.7</v>
      </c>
      <c r="CO213" s="1120">
        <f t="shared" si="291"/>
        <v>0.7</v>
      </c>
      <c r="CP213" s="1120">
        <f t="shared" si="292"/>
        <v>0.7</v>
      </c>
      <c r="CQ213" s="1120">
        <f t="shared" si="293"/>
        <v>0.7</v>
      </c>
      <c r="CR213" s="1120">
        <f t="shared" si="294"/>
        <v>0.7</v>
      </c>
      <c r="CS213" s="1120">
        <f t="shared" si="295"/>
        <v>0.85</v>
      </c>
      <c r="CT213" s="1120">
        <f t="shared" si="296"/>
        <v>0.85</v>
      </c>
      <c r="CU213" s="1120">
        <v>1</v>
      </c>
      <c r="CV213" s="1120"/>
      <c r="CW213" s="1120">
        <f t="shared" si="297"/>
        <v>275</v>
      </c>
      <c r="CX213" s="1120">
        <f t="shared" si="298"/>
        <v>90</v>
      </c>
      <c r="CY213" s="1136" t="s">
        <v>4886</v>
      </c>
      <c r="CZ213" s="1129" t="s">
        <v>4888</v>
      </c>
      <c r="DA213" s="1129"/>
      <c r="DB213" s="1129"/>
      <c r="DC213" s="1125" t="s">
        <v>5022</v>
      </c>
      <c r="DD213" s="1125" t="s">
        <v>954</v>
      </c>
      <c r="DE213" s="1120" t="b">
        <f t="shared" si="299"/>
        <v>0</v>
      </c>
      <c r="DF213" s="1133">
        <v>0</v>
      </c>
      <c r="DG213" s="1125">
        <v>0</v>
      </c>
    </row>
    <row r="214" spans="1:111">
      <c r="A214" s="1120" t="s">
        <v>3232</v>
      </c>
      <c r="B214" s="1120" t="s">
        <v>4378</v>
      </c>
      <c r="C214" s="1120" t="s">
        <v>4379</v>
      </c>
      <c r="D214" s="1120" t="s">
        <v>228</v>
      </c>
      <c r="E214" s="1120">
        <v>3988</v>
      </c>
      <c r="F214" s="1120">
        <v>-102.55</v>
      </c>
      <c r="G214" s="1120">
        <v>36.020000000000003</v>
      </c>
      <c r="H214" s="1120">
        <v>-6</v>
      </c>
      <c r="I214" s="1121">
        <v>13.280000686645508</v>
      </c>
      <c r="J214" s="1121">
        <v>95</v>
      </c>
      <c r="K214" s="1122">
        <v>65.3</v>
      </c>
      <c r="L214" s="1120">
        <v>5081.4000000000005</v>
      </c>
      <c r="M214" s="1120">
        <v>1114.2</v>
      </c>
      <c r="N214" s="1123">
        <v>36.139999914169309</v>
      </c>
      <c r="O214" s="1123">
        <v>36.139999914169309</v>
      </c>
      <c r="P214" s="1123">
        <v>42.259999656677245</v>
      </c>
      <c r="Q214" s="1123">
        <v>46.940000343322751</v>
      </c>
      <c r="R214" s="1123">
        <v>64.760001373291018</v>
      </c>
      <c r="S214" s="1123">
        <v>68.180000686645513</v>
      </c>
      <c r="T214" s="1123">
        <v>74.480000686645511</v>
      </c>
      <c r="U214" s="1123">
        <v>77.539998626708979</v>
      </c>
      <c r="V214" s="1123">
        <v>67.280000686645508</v>
      </c>
      <c r="W214" s="1123">
        <v>50.540000343322752</v>
      </c>
      <c r="X214" s="1123">
        <v>45.320000171661377</v>
      </c>
      <c r="Y214" s="1123">
        <v>31.459999978542328</v>
      </c>
      <c r="Z214" s="1123">
        <v>53.523561841657717</v>
      </c>
      <c r="AA214" s="1123">
        <f t="shared" si="225"/>
        <v>49.1924856622772</v>
      </c>
      <c r="AB214" s="1123">
        <f t="shared" si="226"/>
        <v>48.147888825833228</v>
      </c>
      <c r="AC214" s="1123">
        <f t="shared" si="227"/>
        <v>50.068536465391503</v>
      </c>
      <c r="AD214" s="1123">
        <f t="shared" si="228"/>
        <v>54.453782175625108</v>
      </c>
      <c r="AE214" s="1123">
        <f t="shared" si="229"/>
        <v>60.160544083479671</v>
      </c>
      <c r="AF214" s="1123">
        <f t="shared" si="230"/>
        <v>65.701266753809861</v>
      </c>
      <c r="AG214" s="1123">
        <f t="shared" si="231"/>
        <v>69.631675437473177</v>
      </c>
      <c r="AH214" s="1123">
        <f t="shared" si="232"/>
        <v>70.927248541641546</v>
      </c>
      <c r="AI214" s="1123">
        <f t="shared" si="233"/>
        <v>69.250274971327585</v>
      </c>
      <c r="AJ214" s="1123">
        <f t="shared" si="234"/>
        <v>65.037883730578628</v>
      </c>
      <c r="AK214" s="1123">
        <f t="shared" si="235"/>
        <v>59.388099511209845</v>
      </c>
      <c r="AL214" s="1123">
        <f t="shared" si="236"/>
        <v>53.773625635809999</v>
      </c>
      <c r="AM214" s="1120">
        <f t="shared" si="237"/>
        <v>1</v>
      </c>
      <c r="AN214" s="1120">
        <f t="shared" si="238"/>
        <v>1</v>
      </c>
      <c r="AO214" s="1120">
        <f t="shared" si="239"/>
        <v>1</v>
      </c>
      <c r="AP214" s="1120">
        <f t="shared" si="240"/>
        <v>1</v>
      </c>
      <c r="AQ214" s="1120">
        <f t="shared" si="241"/>
        <v>1</v>
      </c>
      <c r="AR214" s="1120">
        <f t="shared" si="242"/>
        <v>0</v>
      </c>
      <c r="AS214" s="1120">
        <f t="shared" si="243"/>
        <v>0</v>
      </c>
      <c r="AT214" s="1120">
        <f t="shared" si="244"/>
        <v>0</v>
      </c>
      <c r="AU214" s="1120">
        <f t="shared" si="245"/>
        <v>0</v>
      </c>
      <c r="AV214" s="1120">
        <f t="shared" si="246"/>
        <v>1</v>
      </c>
      <c r="AW214" s="1120">
        <f t="shared" si="247"/>
        <v>1</v>
      </c>
      <c r="AX214" s="1120">
        <f t="shared" si="248"/>
        <v>1</v>
      </c>
      <c r="AY214" s="1120">
        <f t="shared" si="249"/>
        <v>0</v>
      </c>
      <c r="AZ214" s="1120">
        <f t="shared" si="250"/>
        <v>0</v>
      </c>
      <c r="BA214" s="1120">
        <f t="shared" si="251"/>
        <v>0</v>
      </c>
      <c r="BB214" s="1120">
        <f t="shared" si="252"/>
        <v>0</v>
      </c>
      <c r="BC214" s="1120">
        <f t="shared" si="253"/>
        <v>0</v>
      </c>
      <c r="BD214" s="1120">
        <f t="shared" si="254"/>
        <v>1</v>
      </c>
      <c r="BE214" s="1120">
        <f t="shared" si="255"/>
        <v>1</v>
      </c>
      <c r="BF214" s="1120">
        <f t="shared" si="256"/>
        <v>1</v>
      </c>
      <c r="BG214" s="1120">
        <f t="shared" si="257"/>
        <v>1</v>
      </c>
      <c r="BH214" s="1120">
        <f t="shared" si="258"/>
        <v>0</v>
      </c>
      <c r="BI214" s="1120">
        <f t="shared" si="259"/>
        <v>0</v>
      </c>
      <c r="BJ214" s="1120">
        <f t="shared" si="260"/>
        <v>0</v>
      </c>
      <c r="BK214" s="1120">
        <f t="shared" si="261"/>
        <v>1</v>
      </c>
      <c r="BL214" s="1120">
        <f t="shared" si="262"/>
        <v>1</v>
      </c>
      <c r="BM214" s="1120">
        <f t="shared" si="263"/>
        <v>1</v>
      </c>
      <c r="BN214" s="1120">
        <f t="shared" si="264"/>
        <v>1</v>
      </c>
      <c r="BO214" s="1120">
        <f t="shared" si="265"/>
        <v>1</v>
      </c>
      <c r="BP214" s="1120">
        <f t="shared" si="266"/>
        <v>1</v>
      </c>
      <c r="BQ214" s="1120">
        <f t="shared" si="267"/>
        <v>0</v>
      </c>
      <c r="BR214" s="1120">
        <f t="shared" si="268"/>
        <v>0</v>
      </c>
      <c r="BS214" s="1120">
        <f t="shared" si="269"/>
        <v>0</v>
      </c>
      <c r="BT214" s="1120">
        <f t="shared" si="270"/>
        <v>1</v>
      </c>
      <c r="BU214" s="1120">
        <f t="shared" si="271"/>
        <v>1</v>
      </c>
      <c r="BV214" s="1120">
        <f t="shared" si="272"/>
        <v>1</v>
      </c>
      <c r="BW214" s="1120">
        <f t="shared" si="273"/>
        <v>0</v>
      </c>
      <c r="BX214" s="1120">
        <f t="shared" si="274"/>
        <v>0</v>
      </c>
      <c r="BY214" s="1120">
        <f t="shared" si="275"/>
        <v>0</v>
      </c>
      <c r="BZ214" s="1120">
        <f t="shared" si="276"/>
        <v>0</v>
      </c>
      <c r="CA214" s="1120">
        <f t="shared" si="277"/>
        <v>1</v>
      </c>
      <c r="CB214" s="1120">
        <f t="shared" si="278"/>
        <v>1</v>
      </c>
      <c r="CC214" s="1120">
        <f t="shared" si="279"/>
        <v>1</v>
      </c>
      <c r="CD214" s="1120">
        <f t="shared" si="280"/>
        <v>1</v>
      </c>
      <c r="CE214" s="1120">
        <f t="shared" si="281"/>
        <v>1</v>
      </c>
      <c r="CF214" s="1120">
        <f t="shared" si="282"/>
        <v>1</v>
      </c>
      <c r="CG214" s="1120">
        <f t="shared" si="283"/>
        <v>0</v>
      </c>
      <c r="CH214" s="1120">
        <f t="shared" si="284"/>
        <v>0</v>
      </c>
      <c r="CI214" s="1120">
        <f t="shared" si="285"/>
        <v>0.85</v>
      </c>
      <c r="CJ214" s="1120">
        <f t="shared" si="286"/>
        <v>0.85</v>
      </c>
      <c r="CK214" s="1120">
        <f t="shared" si="287"/>
        <v>0.85</v>
      </c>
      <c r="CL214" s="1120">
        <f t="shared" si="288"/>
        <v>0.85</v>
      </c>
      <c r="CM214" s="1120">
        <f t="shared" si="289"/>
        <v>0.85</v>
      </c>
      <c r="CN214" s="1120">
        <f t="shared" si="290"/>
        <v>0.85</v>
      </c>
      <c r="CO214" s="1120">
        <f t="shared" si="291"/>
        <v>0.7</v>
      </c>
      <c r="CP214" s="1120">
        <f t="shared" si="292"/>
        <v>0.7</v>
      </c>
      <c r="CQ214" s="1120">
        <f t="shared" si="293"/>
        <v>0.7</v>
      </c>
      <c r="CR214" s="1120">
        <f t="shared" si="294"/>
        <v>0.85</v>
      </c>
      <c r="CS214" s="1120">
        <f t="shared" si="295"/>
        <v>0.85</v>
      </c>
      <c r="CT214" s="1120">
        <f t="shared" si="296"/>
        <v>0.85</v>
      </c>
      <c r="CU214" s="1120">
        <v>1</v>
      </c>
      <c r="CV214" s="1120"/>
      <c r="CW214" s="1120">
        <f t="shared" si="297"/>
        <v>184</v>
      </c>
      <c r="CX214" s="1120">
        <f t="shared" si="298"/>
        <v>181</v>
      </c>
      <c r="CY214" s="1135" t="s">
        <v>4891</v>
      </c>
      <c r="CZ214" s="1124" t="s">
        <v>4892</v>
      </c>
      <c r="DA214" s="1124"/>
      <c r="DB214" s="1124"/>
      <c r="DC214" s="1120" t="s">
        <v>5584</v>
      </c>
      <c r="DD214" s="1120" t="s">
        <v>228</v>
      </c>
      <c r="DE214" s="1120" t="str">
        <f t="shared" si="299"/>
        <v/>
      </c>
      <c r="DF214" s="1133">
        <v>1</v>
      </c>
      <c r="DG214" s="1120">
        <v>0</v>
      </c>
    </row>
    <row r="215" spans="1:111">
      <c r="A215" s="1125" t="s">
        <v>5826</v>
      </c>
      <c r="B215" s="1125" t="s">
        <v>4380</v>
      </c>
      <c r="C215" s="1125" t="s">
        <v>4381</v>
      </c>
      <c r="D215" s="1125" t="s">
        <v>228</v>
      </c>
      <c r="E215" s="1125">
        <v>643</v>
      </c>
      <c r="F215" s="1125">
        <v>-96.83</v>
      </c>
      <c r="G215" s="1125">
        <v>32.97</v>
      </c>
      <c r="H215" s="1125">
        <v>-6</v>
      </c>
      <c r="I215" s="1126">
        <v>17.419999313354491</v>
      </c>
      <c r="J215" s="1126">
        <v>104.17999725341797</v>
      </c>
      <c r="K215" s="1127">
        <v>74.480000686645511</v>
      </c>
      <c r="L215" s="1125">
        <v>2667.6</v>
      </c>
      <c r="M215" s="1125">
        <v>2950.2000000000003</v>
      </c>
      <c r="N215" s="1128">
        <v>44.420000171661378</v>
      </c>
      <c r="O215" s="1128">
        <v>53.959999656677248</v>
      </c>
      <c r="P215" s="1128">
        <v>53.240000343322755</v>
      </c>
      <c r="Q215" s="1128">
        <v>60.440000343322751</v>
      </c>
      <c r="R215" s="1128">
        <v>71.239998626708982</v>
      </c>
      <c r="S215" s="1128">
        <v>83.83999862670899</v>
      </c>
      <c r="T215" s="1128">
        <v>88.16000137329101</v>
      </c>
      <c r="U215" s="1128">
        <v>82.760001373291018</v>
      </c>
      <c r="V215" s="1128">
        <v>80.960001373291021</v>
      </c>
      <c r="W215" s="1128">
        <v>69.260001373291018</v>
      </c>
      <c r="X215" s="1128">
        <v>53.240000343322755</v>
      </c>
      <c r="Y215" s="1128">
        <v>39.920000171661378</v>
      </c>
      <c r="Z215" s="1128">
        <v>65.162411280592835</v>
      </c>
      <c r="AA215" s="1128">
        <f t="shared" si="225"/>
        <v>56.826338920001177</v>
      </c>
      <c r="AB215" s="1128">
        <f t="shared" si="226"/>
        <v>56.97699572382426</v>
      </c>
      <c r="AC215" s="1128">
        <f t="shared" si="227"/>
        <v>60.825299696389877</v>
      </c>
      <c r="AD215" s="1128">
        <f t="shared" si="228"/>
        <v>67.368131103089468</v>
      </c>
      <c r="AE215" s="1128">
        <f t="shared" si="229"/>
        <v>74.900000109682779</v>
      </c>
      <c r="AF215" s="1128">
        <f t="shared" si="230"/>
        <v>81.457608989986454</v>
      </c>
      <c r="AG215" s="1128">
        <f t="shared" si="231"/>
        <v>85.331615933537577</v>
      </c>
      <c r="AH215" s="1128">
        <f t="shared" si="232"/>
        <v>85.512201330245418</v>
      </c>
      <c r="AI215" s="1128">
        <f t="shared" si="233"/>
        <v>81.952292813552901</v>
      </c>
      <c r="AJ215" s="1128">
        <f t="shared" si="234"/>
        <v>75.579835398186745</v>
      </c>
      <c r="AK215" s="1128">
        <f t="shared" si="235"/>
        <v>68.055908312003481</v>
      </c>
      <c r="AL215" s="1128">
        <f t="shared" si="236"/>
        <v>61.341739097242879</v>
      </c>
      <c r="AM215" s="1125">
        <f t="shared" si="237"/>
        <v>1</v>
      </c>
      <c r="AN215" s="1125">
        <f t="shared" si="238"/>
        <v>1</v>
      </c>
      <c r="AO215" s="1125">
        <f t="shared" si="239"/>
        <v>1</v>
      </c>
      <c r="AP215" s="1125">
        <f t="shared" si="240"/>
        <v>1</v>
      </c>
      <c r="AQ215" s="1125">
        <f t="shared" si="241"/>
        <v>0</v>
      </c>
      <c r="AR215" s="1125">
        <f t="shared" si="242"/>
        <v>0</v>
      </c>
      <c r="AS215" s="1125">
        <f t="shared" si="243"/>
        <v>0</v>
      </c>
      <c r="AT215" s="1125">
        <f t="shared" si="244"/>
        <v>0</v>
      </c>
      <c r="AU215" s="1125">
        <f t="shared" si="245"/>
        <v>0</v>
      </c>
      <c r="AV215" s="1125">
        <f t="shared" si="246"/>
        <v>0</v>
      </c>
      <c r="AW215" s="1125">
        <f t="shared" si="247"/>
        <v>1</v>
      </c>
      <c r="AX215" s="1125">
        <f t="shared" si="248"/>
        <v>1</v>
      </c>
      <c r="AY215" s="1125">
        <f t="shared" si="249"/>
        <v>0</v>
      </c>
      <c r="AZ215" s="1125">
        <f t="shared" si="250"/>
        <v>0</v>
      </c>
      <c r="BA215" s="1125">
        <f t="shared" si="251"/>
        <v>0</v>
      </c>
      <c r="BB215" s="1125">
        <f t="shared" si="252"/>
        <v>0</v>
      </c>
      <c r="BC215" s="1125">
        <f t="shared" si="253"/>
        <v>1</v>
      </c>
      <c r="BD215" s="1125">
        <f t="shared" si="254"/>
        <v>1</v>
      </c>
      <c r="BE215" s="1125">
        <f t="shared" si="255"/>
        <v>1</v>
      </c>
      <c r="BF215" s="1125">
        <f t="shared" si="256"/>
        <v>1</v>
      </c>
      <c r="BG215" s="1125">
        <f t="shared" si="257"/>
        <v>1</v>
      </c>
      <c r="BH215" s="1125">
        <f t="shared" si="258"/>
        <v>1</v>
      </c>
      <c r="BI215" s="1125">
        <f t="shared" si="259"/>
        <v>0</v>
      </c>
      <c r="BJ215" s="1125">
        <f t="shared" si="260"/>
        <v>0</v>
      </c>
      <c r="BK215" s="1125">
        <f t="shared" si="261"/>
        <v>1</v>
      </c>
      <c r="BL215" s="1125">
        <f t="shared" si="262"/>
        <v>1</v>
      </c>
      <c r="BM215" s="1125">
        <f t="shared" si="263"/>
        <v>1</v>
      </c>
      <c r="BN215" s="1125">
        <f t="shared" si="264"/>
        <v>1</v>
      </c>
      <c r="BO215" s="1125">
        <f t="shared" si="265"/>
        <v>1</v>
      </c>
      <c r="BP215" s="1125">
        <f t="shared" si="266"/>
        <v>0</v>
      </c>
      <c r="BQ215" s="1125">
        <f t="shared" si="267"/>
        <v>0</v>
      </c>
      <c r="BR215" s="1125">
        <f t="shared" si="268"/>
        <v>0</v>
      </c>
      <c r="BS215" s="1125">
        <f t="shared" si="269"/>
        <v>0</v>
      </c>
      <c r="BT215" s="1125">
        <f t="shared" si="270"/>
        <v>0</v>
      </c>
      <c r="BU215" s="1125">
        <f t="shared" si="271"/>
        <v>1</v>
      </c>
      <c r="BV215" s="1125">
        <f t="shared" si="272"/>
        <v>1</v>
      </c>
      <c r="BW215" s="1125">
        <f t="shared" si="273"/>
        <v>0</v>
      </c>
      <c r="BX215" s="1125">
        <f t="shared" si="274"/>
        <v>0</v>
      </c>
      <c r="BY215" s="1125">
        <f t="shared" si="275"/>
        <v>0</v>
      </c>
      <c r="BZ215" s="1125">
        <f t="shared" si="276"/>
        <v>1</v>
      </c>
      <c r="CA215" s="1125">
        <f t="shared" si="277"/>
        <v>1</v>
      </c>
      <c r="CB215" s="1125">
        <f t="shared" si="278"/>
        <v>1</v>
      </c>
      <c r="CC215" s="1125">
        <f t="shared" si="279"/>
        <v>1</v>
      </c>
      <c r="CD215" s="1125">
        <f t="shared" si="280"/>
        <v>1</v>
      </c>
      <c r="CE215" s="1125">
        <f t="shared" si="281"/>
        <v>1</v>
      </c>
      <c r="CF215" s="1125">
        <f t="shared" si="282"/>
        <v>1</v>
      </c>
      <c r="CG215" s="1125">
        <f t="shared" si="283"/>
        <v>1</v>
      </c>
      <c r="CH215" s="1125">
        <f t="shared" si="284"/>
        <v>0</v>
      </c>
      <c r="CI215" s="1125">
        <f t="shared" si="285"/>
        <v>0.85</v>
      </c>
      <c r="CJ215" s="1125">
        <f t="shared" si="286"/>
        <v>0.85</v>
      </c>
      <c r="CK215" s="1125">
        <f t="shared" si="287"/>
        <v>0.85</v>
      </c>
      <c r="CL215" s="1125">
        <f t="shared" si="288"/>
        <v>0.85</v>
      </c>
      <c r="CM215" s="1125">
        <f t="shared" si="289"/>
        <v>0.85</v>
      </c>
      <c r="CN215" s="1125">
        <f t="shared" si="290"/>
        <v>0.7</v>
      </c>
      <c r="CO215" s="1125">
        <f t="shared" si="291"/>
        <v>0.7</v>
      </c>
      <c r="CP215" s="1125">
        <f t="shared" si="292"/>
        <v>0.7</v>
      </c>
      <c r="CQ215" s="1125">
        <f t="shared" si="293"/>
        <v>0.7</v>
      </c>
      <c r="CR215" s="1125">
        <f t="shared" si="294"/>
        <v>0.7</v>
      </c>
      <c r="CS215" s="1125">
        <f t="shared" si="295"/>
        <v>0.85</v>
      </c>
      <c r="CT215" s="1125">
        <f t="shared" si="296"/>
        <v>0.85</v>
      </c>
      <c r="CU215" s="1125">
        <v>1</v>
      </c>
      <c r="CV215" s="1125"/>
      <c r="CW215" s="1125">
        <f t="shared" si="297"/>
        <v>244</v>
      </c>
      <c r="CX215" s="1125">
        <f t="shared" si="298"/>
        <v>121</v>
      </c>
      <c r="CY215" s="1135" t="s">
        <v>4883</v>
      </c>
      <c r="CZ215" s="1124" t="s">
        <v>4882</v>
      </c>
      <c r="DA215" s="1124"/>
      <c r="DB215" s="1124"/>
      <c r="DC215" s="1120" t="s">
        <v>5995</v>
      </c>
      <c r="DD215" s="1120" t="s">
        <v>228</v>
      </c>
      <c r="DE215" s="1120" t="str">
        <f t="shared" si="299"/>
        <v/>
      </c>
      <c r="DF215" s="1133">
        <v>0</v>
      </c>
      <c r="DG215" s="1125">
        <v>0</v>
      </c>
    </row>
    <row r="216" spans="1:111">
      <c r="A216" s="1120" t="s">
        <v>5828</v>
      </c>
      <c r="B216" s="1120" t="s">
        <v>4382</v>
      </c>
      <c r="C216" s="1120" t="s">
        <v>4383</v>
      </c>
      <c r="D216" s="1120" t="s">
        <v>228</v>
      </c>
      <c r="E216" s="1120">
        <v>561</v>
      </c>
      <c r="F216" s="1120">
        <v>-97.02</v>
      </c>
      <c r="G216" s="1120">
        <v>32.9</v>
      </c>
      <c r="H216" s="1120">
        <v>-6</v>
      </c>
      <c r="I216" s="1121">
        <v>25.879999828338622</v>
      </c>
      <c r="J216" s="1121">
        <v>98.420002746582028</v>
      </c>
      <c r="K216" s="1122">
        <v>74.66000137329101</v>
      </c>
      <c r="L216" s="1120">
        <v>2277</v>
      </c>
      <c r="M216" s="1120">
        <v>2759.4</v>
      </c>
      <c r="N216" s="1123">
        <v>44.240000343322755</v>
      </c>
      <c r="O216" s="1123">
        <v>48.740000343322755</v>
      </c>
      <c r="P216" s="1123">
        <v>59</v>
      </c>
      <c r="Q216" s="1123">
        <v>67.099999999999994</v>
      </c>
      <c r="R216" s="1123">
        <v>73.219999313354492</v>
      </c>
      <c r="S216" s="1123">
        <v>80.239998626708982</v>
      </c>
      <c r="T216" s="1123">
        <v>85.460001373291021</v>
      </c>
      <c r="U216" s="1123">
        <v>84.2</v>
      </c>
      <c r="V216" s="1123">
        <v>79.16000137329101</v>
      </c>
      <c r="W216" s="1123">
        <v>65.119999313354498</v>
      </c>
      <c r="X216" s="1123">
        <v>55.759999656677245</v>
      </c>
      <c r="Y216" s="1123">
        <v>45.679999828338623</v>
      </c>
      <c r="Z216" s="1123">
        <v>65.745315081191393</v>
      </c>
      <c r="AA216" s="1123">
        <f t="shared" si="225"/>
        <v>59.349226863703429</v>
      </c>
      <c r="AB216" s="1123">
        <f t="shared" si="226"/>
        <v>59.544340014425728</v>
      </c>
      <c r="AC216" s="1123">
        <f t="shared" si="227"/>
        <v>62.919825339017677</v>
      </c>
      <c r="AD216" s="1123">
        <f t="shared" si="228"/>
        <v>68.595810569820969</v>
      </c>
      <c r="AE216" s="1123">
        <f t="shared" si="229"/>
        <v>75.092762686846626</v>
      </c>
      <c r="AF216" s="1123">
        <f t="shared" si="230"/>
        <v>80.717150999729171</v>
      </c>
      <c r="AG216" s="1123">
        <f t="shared" si="231"/>
        <v>84.002892020268234</v>
      </c>
      <c r="AH216" s="1123">
        <f t="shared" si="232"/>
        <v>84.093506716658482</v>
      </c>
      <c r="AI216" s="1123">
        <f t="shared" si="233"/>
        <v>80.965374971871057</v>
      </c>
      <c r="AJ216" s="1123">
        <f t="shared" si="234"/>
        <v>75.433892531154186</v>
      </c>
      <c r="AK216" s="1123">
        <f t="shared" si="235"/>
        <v>68.94092553540537</v>
      </c>
      <c r="AL216" s="1123">
        <f t="shared" si="236"/>
        <v>63.178965891716771</v>
      </c>
      <c r="AM216" s="1120">
        <f t="shared" si="237"/>
        <v>1</v>
      </c>
      <c r="AN216" s="1120">
        <f t="shared" si="238"/>
        <v>1</v>
      </c>
      <c r="AO216" s="1120">
        <f t="shared" si="239"/>
        <v>1</v>
      </c>
      <c r="AP216" s="1120">
        <f t="shared" si="240"/>
        <v>0</v>
      </c>
      <c r="AQ216" s="1120">
        <f t="shared" si="241"/>
        <v>0</v>
      </c>
      <c r="AR216" s="1120">
        <f t="shared" si="242"/>
        <v>0</v>
      </c>
      <c r="AS216" s="1120">
        <f t="shared" si="243"/>
        <v>0</v>
      </c>
      <c r="AT216" s="1120">
        <f t="shared" si="244"/>
        <v>0</v>
      </c>
      <c r="AU216" s="1120">
        <f t="shared" si="245"/>
        <v>0</v>
      </c>
      <c r="AV216" s="1120">
        <f t="shared" si="246"/>
        <v>1</v>
      </c>
      <c r="AW216" s="1120">
        <f t="shared" si="247"/>
        <v>1</v>
      </c>
      <c r="AX216" s="1120">
        <f t="shared" si="248"/>
        <v>1</v>
      </c>
      <c r="AY216" s="1120">
        <f t="shared" si="249"/>
        <v>0</v>
      </c>
      <c r="AZ216" s="1120">
        <f t="shared" si="250"/>
        <v>0</v>
      </c>
      <c r="BA216" s="1120">
        <f t="shared" si="251"/>
        <v>0</v>
      </c>
      <c r="BB216" s="1120">
        <f t="shared" si="252"/>
        <v>1</v>
      </c>
      <c r="BC216" s="1120">
        <f t="shared" si="253"/>
        <v>1</v>
      </c>
      <c r="BD216" s="1120">
        <f t="shared" si="254"/>
        <v>1</v>
      </c>
      <c r="BE216" s="1120">
        <f t="shared" si="255"/>
        <v>1</v>
      </c>
      <c r="BF216" s="1120">
        <f t="shared" si="256"/>
        <v>1</v>
      </c>
      <c r="BG216" s="1120">
        <f t="shared" si="257"/>
        <v>1</v>
      </c>
      <c r="BH216" s="1120">
        <f t="shared" si="258"/>
        <v>0</v>
      </c>
      <c r="BI216" s="1120">
        <f t="shared" si="259"/>
        <v>0</v>
      </c>
      <c r="BJ216" s="1120">
        <f t="shared" si="260"/>
        <v>0</v>
      </c>
      <c r="BK216" s="1120">
        <f t="shared" si="261"/>
        <v>1</v>
      </c>
      <c r="BL216" s="1120">
        <f t="shared" si="262"/>
        <v>1</v>
      </c>
      <c r="BM216" s="1120">
        <f t="shared" si="263"/>
        <v>1</v>
      </c>
      <c r="BN216" s="1120">
        <f t="shared" si="264"/>
        <v>1</v>
      </c>
      <c r="BO216" s="1120">
        <f t="shared" si="265"/>
        <v>0</v>
      </c>
      <c r="BP216" s="1120">
        <f t="shared" si="266"/>
        <v>0</v>
      </c>
      <c r="BQ216" s="1120">
        <f t="shared" si="267"/>
        <v>0</v>
      </c>
      <c r="BR216" s="1120">
        <f t="shared" si="268"/>
        <v>0</v>
      </c>
      <c r="BS216" s="1120">
        <f t="shared" si="269"/>
        <v>0</v>
      </c>
      <c r="BT216" s="1120">
        <f t="shared" si="270"/>
        <v>1</v>
      </c>
      <c r="BU216" s="1120">
        <f t="shared" si="271"/>
        <v>1</v>
      </c>
      <c r="BV216" s="1120">
        <f t="shared" si="272"/>
        <v>1</v>
      </c>
      <c r="BW216" s="1120">
        <f t="shared" si="273"/>
        <v>0</v>
      </c>
      <c r="BX216" s="1120">
        <f t="shared" si="274"/>
        <v>0</v>
      </c>
      <c r="BY216" s="1120">
        <f t="shared" si="275"/>
        <v>1</v>
      </c>
      <c r="BZ216" s="1120">
        <f t="shared" si="276"/>
        <v>1</v>
      </c>
      <c r="CA216" s="1120">
        <f t="shared" si="277"/>
        <v>1</v>
      </c>
      <c r="CB216" s="1120">
        <f t="shared" si="278"/>
        <v>1</v>
      </c>
      <c r="CC216" s="1120">
        <f t="shared" si="279"/>
        <v>1</v>
      </c>
      <c r="CD216" s="1120">
        <f t="shared" si="280"/>
        <v>1</v>
      </c>
      <c r="CE216" s="1120">
        <f t="shared" si="281"/>
        <v>1</v>
      </c>
      <c r="CF216" s="1120">
        <f t="shared" si="282"/>
        <v>1</v>
      </c>
      <c r="CG216" s="1120">
        <f t="shared" si="283"/>
        <v>0</v>
      </c>
      <c r="CH216" s="1120">
        <f t="shared" si="284"/>
        <v>0</v>
      </c>
      <c r="CI216" s="1120">
        <f t="shared" si="285"/>
        <v>0.85</v>
      </c>
      <c r="CJ216" s="1120">
        <f t="shared" si="286"/>
        <v>0.85</v>
      </c>
      <c r="CK216" s="1120">
        <f t="shared" si="287"/>
        <v>0.85</v>
      </c>
      <c r="CL216" s="1120">
        <f t="shared" si="288"/>
        <v>0.85</v>
      </c>
      <c r="CM216" s="1120">
        <f t="shared" si="289"/>
        <v>0.7</v>
      </c>
      <c r="CN216" s="1120">
        <f t="shared" si="290"/>
        <v>0.7</v>
      </c>
      <c r="CO216" s="1120">
        <f t="shared" si="291"/>
        <v>0.7</v>
      </c>
      <c r="CP216" s="1120">
        <f t="shared" si="292"/>
        <v>0.7</v>
      </c>
      <c r="CQ216" s="1120">
        <f t="shared" si="293"/>
        <v>0.7</v>
      </c>
      <c r="CR216" s="1120">
        <f t="shared" si="294"/>
        <v>0.85</v>
      </c>
      <c r="CS216" s="1120">
        <f t="shared" si="295"/>
        <v>0.85</v>
      </c>
      <c r="CT216" s="1120">
        <f t="shared" si="296"/>
        <v>0.85</v>
      </c>
      <c r="CU216" s="1120">
        <v>1</v>
      </c>
      <c r="CV216" s="1120"/>
      <c r="CW216" s="1120">
        <f t="shared" si="297"/>
        <v>245</v>
      </c>
      <c r="CX216" s="1120">
        <f t="shared" si="298"/>
        <v>120</v>
      </c>
      <c r="CY216" s="1135" t="s">
        <v>4883</v>
      </c>
      <c r="CZ216" s="1124" t="s">
        <v>4882</v>
      </c>
      <c r="DA216" s="1124"/>
      <c r="DB216" s="1124"/>
      <c r="DC216" s="1120" t="s">
        <v>6052</v>
      </c>
      <c r="DD216" s="1120" t="s">
        <v>228</v>
      </c>
      <c r="DE216" s="1120" t="str">
        <f t="shared" si="299"/>
        <v/>
      </c>
      <c r="DF216" s="1133">
        <v>0</v>
      </c>
      <c r="DG216" s="1120">
        <v>0</v>
      </c>
    </row>
    <row r="217" spans="1:111">
      <c r="A217" s="1125" t="s">
        <v>5830</v>
      </c>
      <c r="B217" s="1125" t="s">
        <v>4384</v>
      </c>
      <c r="C217" s="1125" t="s">
        <v>4385</v>
      </c>
      <c r="D217" s="1125" t="s">
        <v>228</v>
      </c>
      <c r="E217" s="1125">
        <v>440</v>
      </c>
      <c r="F217" s="1125">
        <v>-96.85</v>
      </c>
      <c r="G217" s="1125">
        <v>32.85</v>
      </c>
      <c r="H217" s="1125">
        <v>-6</v>
      </c>
      <c r="I217" s="1126">
        <v>27.320000171661377</v>
      </c>
      <c r="J217" s="1126">
        <v>98.779997253417974</v>
      </c>
      <c r="K217" s="1127">
        <v>75.560001373291016</v>
      </c>
      <c r="L217" s="1125">
        <v>2264.4</v>
      </c>
      <c r="M217" s="1125">
        <v>3432.6</v>
      </c>
      <c r="N217" s="1128">
        <v>48.380000686645509</v>
      </c>
      <c r="O217" s="1128">
        <v>46.4</v>
      </c>
      <c r="P217" s="1128">
        <v>54.859999656677246</v>
      </c>
      <c r="Q217" s="1128">
        <v>66.019999313354489</v>
      </c>
      <c r="R217" s="1128">
        <v>79.519999313354489</v>
      </c>
      <c r="S217" s="1128">
        <v>79.7</v>
      </c>
      <c r="T217" s="1128">
        <v>87.260001373291018</v>
      </c>
      <c r="U217" s="1128">
        <v>89.960001373291021</v>
      </c>
      <c r="V217" s="1128">
        <v>83.480000686645511</v>
      </c>
      <c r="W217" s="1128">
        <v>69.439998626708984</v>
      </c>
      <c r="X217" s="1128">
        <v>56.659999656677243</v>
      </c>
      <c r="Y217" s="1128">
        <v>47.659999656677243</v>
      </c>
      <c r="Z217" s="1128">
        <v>67.573917838318707</v>
      </c>
      <c r="AA217" s="1128">
        <f t="shared" si="225"/>
        <v>59.99433318389724</v>
      </c>
      <c r="AB217" s="1128">
        <f t="shared" si="226"/>
        <v>60.428846991853362</v>
      </c>
      <c r="AC217" s="1128">
        <f t="shared" si="227"/>
        <v>64.289826087614216</v>
      </c>
      <c r="AD217" s="1128">
        <f t="shared" si="228"/>
        <v>70.570846770380825</v>
      </c>
      <c r="AE217" s="1128">
        <f t="shared" si="229"/>
        <v>77.634664205731454</v>
      </c>
      <c r="AF217" s="1128">
        <f t="shared" si="230"/>
        <v>83.639985522420204</v>
      </c>
      <c r="AG217" s="1128">
        <f t="shared" si="231"/>
        <v>87.021431174449361</v>
      </c>
      <c r="AH217" s="1128">
        <f t="shared" si="232"/>
        <v>86.897575242962674</v>
      </c>
      <c r="AI217" s="1128">
        <f t="shared" si="233"/>
        <v>83.300702685179829</v>
      </c>
      <c r="AJ217" s="1128">
        <f t="shared" si="234"/>
        <v>77.16839376277089</v>
      </c>
      <c r="AK217" s="1128">
        <f t="shared" si="235"/>
        <v>70.099129298102767</v>
      </c>
      <c r="AL217" s="1128">
        <f t="shared" si="236"/>
        <v>63.935622014554227</v>
      </c>
      <c r="AM217" s="1125">
        <f t="shared" si="237"/>
        <v>1</v>
      </c>
      <c r="AN217" s="1125">
        <f t="shared" si="238"/>
        <v>1</v>
      </c>
      <c r="AO217" s="1125">
        <f t="shared" si="239"/>
        <v>1</v>
      </c>
      <c r="AP217" s="1125">
        <f t="shared" si="240"/>
        <v>0</v>
      </c>
      <c r="AQ217" s="1125">
        <f t="shared" si="241"/>
        <v>0</v>
      </c>
      <c r="AR217" s="1125">
        <f t="shared" si="242"/>
        <v>0</v>
      </c>
      <c r="AS217" s="1125">
        <f t="shared" si="243"/>
        <v>0</v>
      </c>
      <c r="AT217" s="1125">
        <f t="shared" si="244"/>
        <v>0</v>
      </c>
      <c r="AU217" s="1125">
        <f t="shared" si="245"/>
        <v>0</v>
      </c>
      <c r="AV217" s="1125">
        <f t="shared" si="246"/>
        <v>0</v>
      </c>
      <c r="AW217" s="1125">
        <f t="shared" si="247"/>
        <v>1</v>
      </c>
      <c r="AX217" s="1125">
        <f t="shared" si="248"/>
        <v>1</v>
      </c>
      <c r="AY217" s="1125">
        <f t="shared" si="249"/>
        <v>0</v>
      </c>
      <c r="AZ217" s="1125">
        <f t="shared" si="250"/>
        <v>0</v>
      </c>
      <c r="BA217" s="1125">
        <f t="shared" si="251"/>
        <v>0</v>
      </c>
      <c r="BB217" s="1125">
        <f t="shared" si="252"/>
        <v>1</v>
      </c>
      <c r="BC217" s="1125">
        <f t="shared" si="253"/>
        <v>1</v>
      </c>
      <c r="BD217" s="1125">
        <f t="shared" si="254"/>
        <v>1</v>
      </c>
      <c r="BE217" s="1125">
        <f t="shared" si="255"/>
        <v>1</v>
      </c>
      <c r="BF217" s="1125">
        <f t="shared" si="256"/>
        <v>1</v>
      </c>
      <c r="BG217" s="1125">
        <f t="shared" si="257"/>
        <v>1</v>
      </c>
      <c r="BH217" s="1125">
        <f t="shared" si="258"/>
        <v>1</v>
      </c>
      <c r="BI217" s="1125">
        <f t="shared" si="259"/>
        <v>0</v>
      </c>
      <c r="BJ217" s="1125">
        <f t="shared" si="260"/>
        <v>0</v>
      </c>
      <c r="BK217" s="1125">
        <f t="shared" si="261"/>
        <v>1</v>
      </c>
      <c r="BL217" s="1125">
        <f t="shared" si="262"/>
        <v>1</v>
      </c>
      <c r="BM217" s="1125">
        <f t="shared" si="263"/>
        <v>1</v>
      </c>
      <c r="BN217" s="1125">
        <f t="shared" si="264"/>
        <v>1</v>
      </c>
      <c r="BO217" s="1125">
        <f t="shared" si="265"/>
        <v>0</v>
      </c>
      <c r="BP217" s="1125">
        <f t="shared" si="266"/>
        <v>0</v>
      </c>
      <c r="BQ217" s="1125">
        <f t="shared" si="267"/>
        <v>0</v>
      </c>
      <c r="BR217" s="1125">
        <f t="shared" si="268"/>
        <v>0</v>
      </c>
      <c r="BS217" s="1125">
        <f t="shared" si="269"/>
        <v>0</v>
      </c>
      <c r="BT217" s="1125">
        <f t="shared" si="270"/>
        <v>0</v>
      </c>
      <c r="BU217" s="1125">
        <f t="shared" si="271"/>
        <v>1</v>
      </c>
      <c r="BV217" s="1125">
        <f t="shared" si="272"/>
        <v>1</v>
      </c>
      <c r="BW217" s="1125">
        <f t="shared" si="273"/>
        <v>0</v>
      </c>
      <c r="BX217" s="1125">
        <f t="shared" si="274"/>
        <v>0</v>
      </c>
      <c r="BY217" s="1125">
        <f t="shared" si="275"/>
        <v>1</v>
      </c>
      <c r="BZ217" s="1125">
        <f t="shared" si="276"/>
        <v>1</v>
      </c>
      <c r="CA217" s="1125">
        <f t="shared" si="277"/>
        <v>1</v>
      </c>
      <c r="CB217" s="1125">
        <f t="shared" si="278"/>
        <v>1</v>
      </c>
      <c r="CC217" s="1125">
        <f t="shared" si="279"/>
        <v>1</v>
      </c>
      <c r="CD217" s="1125">
        <f t="shared" si="280"/>
        <v>1</v>
      </c>
      <c r="CE217" s="1125">
        <f t="shared" si="281"/>
        <v>1</v>
      </c>
      <c r="CF217" s="1125">
        <f t="shared" si="282"/>
        <v>1</v>
      </c>
      <c r="CG217" s="1125">
        <f t="shared" si="283"/>
        <v>1</v>
      </c>
      <c r="CH217" s="1125">
        <f t="shared" si="284"/>
        <v>0</v>
      </c>
      <c r="CI217" s="1125">
        <f t="shared" si="285"/>
        <v>0.85</v>
      </c>
      <c r="CJ217" s="1125">
        <f t="shared" si="286"/>
        <v>0.85</v>
      </c>
      <c r="CK217" s="1125">
        <f t="shared" si="287"/>
        <v>0.85</v>
      </c>
      <c r="CL217" s="1125">
        <f t="shared" si="288"/>
        <v>0.85</v>
      </c>
      <c r="CM217" s="1125">
        <f t="shared" si="289"/>
        <v>0.7</v>
      </c>
      <c r="CN217" s="1125">
        <f t="shared" si="290"/>
        <v>0.7</v>
      </c>
      <c r="CO217" s="1125">
        <f t="shared" si="291"/>
        <v>0.7</v>
      </c>
      <c r="CP217" s="1125">
        <f t="shared" si="292"/>
        <v>0.7</v>
      </c>
      <c r="CQ217" s="1125">
        <f t="shared" si="293"/>
        <v>0.7</v>
      </c>
      <c r="CR217" s="1125">
        <f t="shared" si="294"/>
        <v>0.7</v>
      </c>
      <c r="CS217" s="1125">
        <f t="shared" si="295"/>
        <v>0.85</v>
      </c>
      <c r="CT217" s="1125">
        <f t="shared" si="296"/>
        <v>0.85</v>
      </c>
      <c r="CU217" s="1125">
        <v>1</v>
      </c>
      <c r="CV217" s="1125"/>
      <c r="CW217" s="1125">
        <f t="shared" si="297"/>
        <v>275</v>
      </c>
      <c r="CX217" s="1125">
        <f t="shared" si="298"/>
        <v>90</v>
      </c>
      <c r="CY217" s="1136" t="s">
        <v>4883</v>
      </c>
      <c r="CZ217" s="1129" t="s">
        <v>4882</v>
      </c>
      <c r="DA217" s="1129"/>
      <c r="DB217" s="1129"/>
      <c r="DC217" s="1125" t="s">
        <v>5585</v>
      </c>
      <c r="DD217" s="1125" t="s">
        <v>228</v>
      </c>
      <c r="DE217" s="1120" t="str">
        <f t="shared" si="299"/>
        <v/>
      </c>
      <c r="DF217" s="1133">
        <v>0</v>
      </c>
      <c r="DG217" s="1125">
        <v>0</v>
      </c>
    </row>
    <row r="218" spans="1:111">
      <c r="A218" s="1120" t="s">
        <v>3234</v>
      </c>
      <c r="B218" s="1120" t="s">
        <v>4386</v>
      </c>
      <c r="C218" s="1120" t="s">
        <v>4387</v>
      </c>
      <c r="D218" s="1120" t="s">
        <v>228</v>
      </c>
      <c r="E218" s="1120">
        <v>659</v>
      </c>
      <c r="F218" s="1120">
        <v>-96.87</v>
      </c>
      <c r="G218" s="1120">
        <v>32.68</v>
      </c>
      <c r="H218" s="1120">
        <v>-6</v>
      </c>
      <c r="I218" s="1121">
        <v>28.220000171661376</v>
      </c>
      <c r="J218" s="1121">
        <v>98.960001373291021</v>
      </c>
      <c r="K218" s="1122">
        <v>74.83999862670899</v>
      </c>
      <c r="L218" s="1120">
        <v>1899</v>
      </c>
      <c r="M218" s="1120">
        <v>3029.4</v>
      </c>
      <c r="N218" s="1123">
        <v>49.640000343322754</v>
      </c>
      <c r="O218" s="1123">
        <v>55.4</v>
      </c>
      <c r="P218" s="1123">
        <v>62.060001373291016</v>
      </c>
      <c r="Q218" s="1123">
        <v>67.819999313354487</v>
      </c>
      <c r="R218" s="1123">
        <v>74.3</v>
      </c>
      <c r="S218" s="1123">
        <v>79.519999313354489</v>
      </c>
      <c r="T218" s="1123">
        <v>84.919999313354495</v>
      </c>
      <c r="U218" s="1123">
        <v>87.619999313354498</v>
      </c>
      <c r="V218" s="1123">
        <v>80.060001373291016</v>
      </c>
      <c r="W218" s="1123">
        <v>66.380000686645502</v>
      </c>
      <c r="X218" s="1123">
        <v>55.4</v>
      </c>
      <c r="Y218" s="1123">
        <v>45.679999828338623</v>
      </c>
      <c r="Z218" s="1123">
        <v>67.46246582632196</v>
      </c>
      <c r="AA218" s="1123">
        <f t="shared" si="225"/>
        <v>60.415839378060411</v>
      </c>
      <c r="AB218" s="1123">
        <f t="shared" si="226"/>
        <v>60.820452376225624</v>
      </c>
      <c r="AC218" s="1123">
        <f t="shared" si="227"/>
        <v>64.520400999482845</v>
      </c>
      <c r="AD218" s="1123">
        <f t="shared" si="228"/>
        <v>70.551236621245877</v>
      </c>
      <c r="AE218" s="1123">
        <f t="shared" si="229"/>
        <v>77.340928998712045</v>
      </c>
      <c r="AF218" s="1123">
        <f t="shared" si="230"/>
        <v>83.119640181368055</v>
      </c>
      <c r="AG218" s="1123">
        <f t="shared" si="231"/>
        <v>86.381060046819712</v>
      </c>
      <c r="AH218" s="1123">
        <f t="shared" si="232"/>
        <v>86.275049247135527</v>
      </c>
      <c r="AI218" s="1123">
        <f t="shared" si="233"/>
        <v>82.829241130929077</v>
      </c>
      <c r="AJ218" s="1123">
        <f t="shared" si="234"/>
        <v>76.941838685200025</v>
      </c>
      <c r="AK218" s="1123">
        <f t="shared" si="235"/>
        <v>70.147484085045605</v>
      </c>
      <c r="AL218" s="1123">
        <f t="shared" si="236"/>
        <v>64.217230561169856</v>
      </c>
      <c r="AM218" s="1120">
        <f t="shared" si="237"/>
        <v>1</v>
      </c>
      <c r="AN218" s="1120">
        <f t="shared" si="238"/>
        <v>1</v>
      </c>
      <c r="AO218" s="1120">
        <f t="shared" si="239"/>
        <v>1</v>
      </c>
      <c r="AP218" s="1120">
        <f t="shared" si="240"/>
        <v>0</v>
      </c>
      <c r="AQ218" s="1120">
        <f t="shared" si="241"/>
        <v>0</v>
      </c>
      <c r="AR218" s="1120">
        <f t="shared" si="242"/>
        <v>0</v>
      </c>
      <c r="AS218" s="1120">
        <f t="shared" si="243"/>
        <v>0</v>
      </c>
      <c r="AT218" s="1120">
        <f t="shared" si="244"/>
        <v>0</v>
      </c>
      <c r="AU218" s="1120">
        <f t="shared" si="245"/>
        <v>0</v>
      </c>
      <c r="AV218" s="1120">
        <f t="shared" si="246"/>
        <v>0</v>
      </c>
      <c r="AW218" s="1120">
        <f t="shared" si="247"/>
        <v>1</v>
      </c>
      <c r="AX218" s="1120">
        <f t="shared" si="248"/>
        <v>1</v>
      </c>
      <c r="AY218" s="1120">
        <f t="shared" si="249"/>
        <v>0</v>
      </c>
      <c r="AZ218" s="1120">
        <f t="shared" si="250"/>
        <v>0</v>
      </c>
      <c r="BA218" s="1120">
        <f t="shared" si="251"/>
        <v>0</v>
      </c>
      <c r="BB218" s="1120">
        <f t="shared" si="252"/>
        <v>1</v>
      </c>
      <c r="BC218" s="1120">
        <f t="shared" si="253"/>
        <v>1</v>
      </c>
      <c r="BD218" s="1120">
        <f t="shared" si="254"/>
        <v>1</v>
      </c>
      <c r="BE218" s="1120">
        <f t="shared" si="255"/>
        <v>1</v>
      </c>
      <c r="BF218" s="1120">
        <f t="shared" si="256"/>
        <v>1</v>
      </c>
      <c r="BG218" s="1120">
        <f t="shared" si="257"/>
        <v>1</v>
      </c>
      <c r="BH218" s="1120">
        <f t="shared" si="258"/>
        <v>1</v>
      </c>
      <c r="BI218" s="1120">
        <f t="shared" si="259"/>
        <v>0</v>
      </c>
      <c r="BJ218" s="1120">
        <f t="shared" si="260"/>
        <v>0</v>
      </c>
      <c r="BK218" s="1120">
        <f t="shared" si="261"/>
        <v>1</v>
      </c>
      <c r="BL218" s="1120">
        <f t="shared" si="262"/>
        <v>1</v>
      </c>
      <c r="BM218" s="1120">
        <f t="shared" si="263"/>
        <v>1</v>
      </c>
      <c r="BN218" s="1120">
        <f t="shared" si="264"/>
        <v>1</v>
      </c>
      <c r="BO218" s="1120">
        <f t="shared" si="265"/>
        <v>0</v>
      </c>
      <c r="BP218" s="1120">
        <f t="shared" si="266"/>
        <v>0</v>
      </c>
      <c r="BQ218" s="1120">
        <f t="shared" si="267"/>
        <v>0</v>
      </c>
      <c r="BR218" s="1120">
        <f t="shared" si="268"/>
        <v>0</v>
      </c>
      <c r="BS218" s="1120">
        <f t="shared" si="269"/>
        <v>0</v>
      </c>
      <c r="BT218" s="1120">
        <f t="shared" si="270"/>
        <v>0</v>
      </c>
      <c r="BU218" s="1120">
        <f t="shared" si="271"/>
        <v>1</v>
      </c>
      <c r="BV218" s="1120">
        <f t="shared" si="272"/>
        <v>1</v>
      </c>
      <c r="BW218" s="1120">
        <f t="shared" si="273"/>
        <v>0</v>
      </c>
      <c r="BX218" s="1120">
        <f t="shared" si="274"/>
        <v>0</v>
      </c>
      <c r="BY218" s="1120">
        <f t="shared" si="275"/>
        <v>1</v>
      </c>
      <c r="BZ218" s="1120">
        <f t="shared" si="276"/>
        <v>1</v>
      </c>
      <c r="CA218" s="1120">
        <f t="shared" si="277"/>
        <v>1</v>
      </c>
      <c r="CB218" s="1120">
        <f t="shared" si="278"/>
        <v>1</v>
      </c>
      <c r="CC218" s="1120">
        <f t="shared" si="279"/>
        <v>1</v>
      </c>
      <c r="CD218" s="1120">
        <f t="shared" si="280"/>
        <v>1</v>
      </c>
      <c r="CE218" s="1120">
        <f t="shared" si="281"/>
        <v>1</v>
      </c>
      <c r="CF218" s="1120">
        <f t="shared" si="282"/>
        <v>1</v>
      </c>
      <c r="CG218" s="1120">
        <f t="shared" si="283"/>
        <v>1</v>
      </c>
      <c r="CH218" s="1120">
        <f t="shared" si="284"/>
        <v>0</v>
      </c>
      <c r="CI218" s="1120">
        <f t="shared" si="285"/>
        <v>0.85</v>
      </c>
      <c r="CJ218" s="1120">
        <f t="shared" si="286"/>
        <v>0.85</v>
      </c>
      <c r="CK218" s="1120">
        <f t="shared" si="287"/>
        <v>0.85</v>
      </c>
      <c r="CL218" s="1120">
        <f t="shared" si="288"/>
        <v>0.85</v>
      </c>
      <c r="CM218" s="1120">
        <f t="shared" si="289"/>
        <v>0.7</v>
      </c>
      <c r="CN218" s="1120">
        <f t="shared" si="290"/>
        <v>0.7</v>
      </c>
      <c r="CO218" s="1120">
        <f t="shared" si="291"/>
        <v>0.7</v>
      </c>
      <c r="CP218" s="1120">
        <f t="shared" si="292"/>
        <v>0.7</v>
      </c>
      <c r="CQ218" s="1120">
        <f t="shared" si="293"/>
        <v>0.7</v>
      </c>
      <c r="CR218" s="1120">
        <f t="shared" si="294"/>
        <v>0.7</v>
      </c>
      <c r="CS218" s="1120">
        <f t="shared" si="295"/>
        <v>0.85</v>
      </c>
      <c r="CT218" s="1120">
        <f t="shared" si="296"/>
        <v>0.85</v>
      </c>
      <c r="CU218" s="1120">
        <v>1</v>
      </c>
      <c r="CV218" s="1120"/>
      <c r="CW218" s="1120">
        <f t="shared" si="297"/>
        <v>275</v>
      </c>
      <c r="CX218" s="1120">
        <f t="shared" si="298"/>
        <v>90</v>
      </c>
      <c r="CY218" s="1136" t="s">
        <v>4883</v>
      </c>
      <c r="CZ218" s="1129" t="s">
        <v>4882</v>
      </c>
      <c r="DA218" s="1129"/>
      <c r="DB218" s="1129"/>
      <c r="DC218" s="1125" t="s">
        <v>5996</v>
      </c>
      <c r="DD218" s="1125" t="s">
        <v>228</v>
      </c>
      <c r="DE218" s="1120" t="str">
        <f t="shared" si="299"/>
        <v/>
      </c>
      <c r="DF218" s="1133">
        <v>0</v>
      </c>
      <c r="DG218" s="1120">
        <v>0</v>
      </c>
    </row>
    <row r="219" spans="1:111">
      <c r="A219" s="1125" t="s">
        <v>3236</v>
      </c>
      <c r="B219" s="1125" t="s">
        <v>3250</v>
      </c>
      <c r="C219" s="1125" t="s">
        <v>3251</v>
      </c>
      <c r="D219" s="1125" t="s">
        <v>620</v>
      </c>
      <c r="E219" s="1125">
        <v>456</v>
      </c>
      <c r="F219" s="1125">
        <v>-73.48</v>
      </c>
      <c r="G219" s="1125">
        <v>41.37</v>
      </c>
      <c r="H219" s="1125">
        <v>-5</v>
      </c>
      <c r="I219" s="1126">
        <v>-0.58000068664550863</v>
      </c>
      <c r="J219" s="1126">
        <v>89.779997253417974</v>
      </c>
      <c r="K219" s="1127">
        <v>73.580000686645505</v>
      </c>
      <c r="L219" s="1125">
        <v>5860.8</v>
      </c>
      <c r="M219" s="1125">
        <v>561.6</v>
      </c>
      <c r="N219" s="1128">
        <v>25.339999914169312</v>
      </c>
      <c r="O219" s="1128">
        <v>23.179999828338623</v>
      </c>
      <c r="P219" s="1128">
        <v>39.740000343322755</v>
      </c>
      <c r="Q219" s="1128">
        <v>50</v>
      </c>
      <c r="R219" s="1128">
        <v>53.419999313354495</v>
      </c>
      <c r="S219" s="1128">
        <v>68.360001373291013</v>
      </c>
      <c r="T219" s="1128">
        <v>72.860001373291013</v>
      </c>
      <c r="U219" s="1128">
        <v>67.819999313354487</v>
      </c>
      <c r="V219" s="1128">
        <v>60.440000343322751</v>
      </c>
      <c r="W219" s="1128">
        <v>52.7</v>
      </c>
      <c r="X219" s="1128">
        <v>45.679999828338623</v>
      </c>
      <c r="Y219" s="1128">
        <v>37.220000171661376</v>
      </c>
      <c r="Z219" s="1128">
        <v>49.878191931084409</v>
      </c>
      <c r="AA219" s="1128">
        <f t="shared" si="225"/>
        <v>45.883455965306226</v>
      </c>
      <c r="AB219" s="1128">
        <f t="shared" si="226"/>
        <v>44.483350089872403</v>
      </c>
      <c r="AC219" s="1128">
        <f t="shared" si="227"/>
        <v>46.053485340178625</v>
      </c>
      <c r="AD219" s="1128">
        <f t="shared" si="228"/>
        <v>50.184581766715944</v>
      </c>
      <c r="AE219" s="1128">
        <f t="shared" si="229"/>
        <v>55.799805423784441</v>
      </c>
      <c r="AF219" s="1128">
        <f t="shared" si="230"/>
        <v>61.435461731953318</v>
      </c>
      <c r="AG219" s="1128">
        <f t="shared" si="231"/>
        <v>65.622530026405769</v>
      </c>
      <c r="AH219" s="1128">
        <f t="shared" si="232"/>
        <v>67.269586431517212</v>
      </c>
      <c r="AI219" s="1128">
        <f t="shared" si="233"/>
        <v>65.947300313387842</v>
      </c>
      <c r="AJ219" s="1128">
        <f t="shared" si="234"/>
        <v>62.000345925753962</v>
      </c>
      <c r="AK219" s="1128">
        <f t="shared" si="235"/>
        <v>56.457557754160597</v>
      </c>
      <c r="AL219" s="1128">
        <f t="shared" si="236"/>
        <v>50.763748952484832</v>
      </c>
      <c r="AM219" s="1125">
        <f t="shared" si="237"/>
        <v>1</v>
      </c>
      <c r="AN219" s="1125">
        <f t="shared" si="238"/>
        <v>1</v>
      </c>
      <c r="AO219" s="1125">
        <f t="shared" si="239"/>
        <v>1</v>
      </c>
      <c r="AP219" s="1125">
        <f t="shared" si="240"/>
        <v>1</v>
      </c>
      <c r="AQ219" s="1125">
        <f t="shared" si="241"/>
        <v>1</v>
      </c>
      <c r="AR219" s="1125">
        <f t="shared" si="242"/>
        <v>0</v>
      </c>
      <c r="AS219" s="1125">
        <f t="shared" si="243"/>
        <v>0</v>
      </c>
      <c r="AT219" s="1125">
        <f t="shared" si="244"/>
        <v>0</v>
      </c>
      <c r="AU219" s="1125">
        <f t="shared" si="245"/>
        <v>1</v>
      </c>
      <c r="AV219" s="1125">
        <f t="shared" si="246"/>
        <v>1</v>
      </c>
      <c r="AW219" s="1125">
        <f t="shared" si="247"/>
        <v>1</v>
      </c>
      <c r="AX219" s="1125">
        <f t="shared" si="248"/>
        <v>1</v>
      </c>
      <c r="AY219" s="1125">
        <f t="shared" si="249"/>
        <v>0</v>
      </c>
      <c r="AZ219" s="1125">
        <f t="shared" si="250"/>
        <v>0</v>
      </c>
      <c r="BA219" s="1125">
        <f t="shared" si="251"/>
        <v>0</v>
      </c>
      <c r="BB219" s="1125">
        <f t="shared" si="252"/>
        <v>0</v>
      </c>
      <c r="BC219" s="1125">
        <f t="shared" si="253"/>
        <v>0</v>
      </c>
      <c r="BD219" s="1125">
        <f t="shared" si="254"/>
        <v>1</v>
      </c>
      <c r="BE219" s="1125">
        <f t="shared" si="255"/>
        <v>1</v>
      </c>
      <c r="BF219" s="1125">
        <f t="shared" si="256"/>
        <v>1</v>
      </c>
      <c r="BG219" s="1125">
        <f t="shared" si="257"/>
        <v>0</v>
      </c>
      <c r="BH219" s="1125">
        <f t="shared" si="258"/>
        <v>0</v>
      </c>
      <c r="BI219" s="1125">
        <f t="shared" si="259"/>
        <v>0</v>
      </c>
      <c r="BJ219" s="1125">
        <f t="shared" si="260"/>
        <v>0</v>
      </c>
      <c r="BK219" s="1125">
        <f t="shared" si="261"/>
        <v>1</v>
      </c>
      <c r="BL219" s="1125">
        <f t="shared" si="262"/>
        <v>1</v>
      </c>
      <c r="BM219" s="1125">
        <f t="shared" si="263"/>
        <v>1</v>
      </c>
      <c r="BN219" s="1125">
        <f t="shared" si="264"/>
        <v>1</v>
      </c>
      <c r="BO219" s="1125">
        <f t="shared" si="265"/>
        <v>1</v>
      </c>
      <c r="BP219" s="1125">
        <f t="shared" si="266"/>
        <v>1</v>
      </c>
      <c r="BQ219" s="1125">
        <f t="shared" si="267"/>
        <v>0</v>
      </c>
      <c r="BR219" s="1125">
        <f t="shared" si="268"/>
        <v>0</v>
      </c>
      <c r="BS219" s="1125">
        <f t="shared" si="269"/>
        <v>1</v>
      </c>
      <c r="BT219" s="1125">
        <f t="shared" si="270"/>
        <v>1</v>
      </c>
      <c r="BU219" s="1125">
        <f t="shared" si="271"/>
        <v>1</v>
      </c>
      <c r="BV219" s="1125">
        <f t="shared" si="272"/>
        <v>1</v>
      </c>
      <c r="BW219" s="1125">
        <f t="shared" si="273"/>
        <v>0</v>
      </c>
      <c r="BX219" s="1125">
        <f t="shared" si="274"/>
        <v>0</v>
      </c>
      <c r="BY219" s="1125">
        <f t="shared" si="275"/>
        <v>0</v>
      </c>
      <c r="BZ219" s="1125">
        <f t="shared" si="276"/>
        <v>0</v>
      </c>
      <c r="CA219" s="1125">
        <f t="shared" si="277"/>
        <v>1</v>
      </c>
      <c r="CB219" s="1125">
        <f t="shared" si="278"/>
        <v>1</v>
      </c>
      <c r="CC219" s="1125">
        <f t="shared" si="279"/>
        <v>1</v>
      </c>
      <c r="CD219" s="1125">
        <f t="shared" si="280"/>
        <v>1</v>
      </c>
      <c r="CE219" s="1125">
        <f t="shared" si="281"/>
        <v>1</v>
      </c>
      <c r="CF219" s="1125">
        <f t="shared" si="282"/>
        <v>0</v>
      </c>
      <c r="CG219" s="1125">
        <f t="shared" si="283"/>
        <v>0</v>
      </c>
      <c r="CH219" s="1125">
        <f t="shared" si="284"/>
        <v>0</v>
      </c>
      <c r="CI219" s="1125">
        <f t="shared" si="285"/>
        <v>0.85</v>
      </c>
      <c r="CJ219" s="1125">
        <f t="shared" si="286"/>
        <v>0.85</v>
      </c>
      <c r="CK219" s="1125">
        <f t="shared" si="287"/>
        <v>0.85</v>
      </c>
      <c r="CL219" s="1125">
        <f t="shared" si="288"/>
        <v>0.85</v>
      </c>
      <c r="CM219" s="1125">
        <f t="shared" si="289"/>
        <v>0.85</v>
      </c>
      <c r="CN219" s="1125">
        <f t="shared" si="290"/>
        <v>0.85</v>
      </c>
      <c r="CO219" s="1125">
        <f t="shared" si="291"/>
        <v>0.7</v>
      </c>
      <c r="CP219" s="1125">
        <f t="shared" si="292"/>
        <v>0.7</v>
      </c>
      <c r="CQ219" s="1125">
        <f t="shared" si="293"/>
        <v>0.85</v>
      </c>
      <c r="CR219" s="1125">
        <f t="shared" si="294"/>
        <v>0.85</v>
      </c>
      <c r="CS219" s="1125">
        <f t="shared" si="295"/>
        <v>0.85</v>
      </c>
      <c r="CT219" s="1125">
        <f t="shared" si="296"/>
        <v>0.85</v>
      </c>
      <c r="CU219" s="1125">
        <v>1</v>
      </c>
      <c r="CV219" s="1125"/>
      <c r="CW219" s="1125">
        <f t="shared" si="297"/>
        <v>153</v>
      </c>
      <c r="CX219" s="1125">
        <f t="shared" si="298"/>
        <v>212</v>
      </c>
      <c r="CY219" s="1136" t="s">
        <v>4889</v>
      </c>
      <c r="CZ219" s="1129" t="s">
        <v>4897</v>
      </c>
      <c r="DA219" s="1129"/>
      <c r="DB219" s="1129"/>
      <c r="DC219" s="1125" t="s">
        <v>5084</v>
      </c>
      <c r="DD219" s="1125" t="s">
        <v>620</v>
      </c>
      <c r="DE219" s="1120" t="str">
        <f t="shared" si="299"/>
        <v/>
      </c>
      <c r="DF219" s="1133">
        <v>1</v>
      </c>
      <c r="DG219" s="1125">
        <v>0</v>
      </c>
    </row>
    <row r="220" spans="1:111">
      <c r="A220" s="1120" t="s">
        <v>3238</v>
      </c>
      <c r="B220" s="1125" t="s">
        <v>4492</v>
      </c>
      <c r="C220" s="1125" t="s">
        <v>4493</v>
      </c>
      <c r="D220" s="1125" t="s">
        <v>501</v>
      </c>
      <c r="E220" s="1125">
        <v>577</v>
      </c>
      <c r="F220" s="1125">
        <v>-79.33</v>
      </c>
      <c r="G220" s="1125">
        <v>36.57</v>
      </c>
      <c r="H220" s="1125">
        <v>-5</v>
      </c>
      <c r="I220" s="1126">
        <v>22.1</v>
      </c>
      <c r="J220" s="1126">
        <v>91.039998626708993</v>
      </c>
      <c r="K220" s="1127">
        <v>74.3</v>
      </c>
      <c r="L220" s="1125">
        <v>3553.2000000000003</v>
      </c>
      <c r="M220" s="1125">
        <v>1681.2</v>
      </c>
      <c r="N220" s="1128">
        <v>36.320000171661377</v>
      </c>
      <c r="O220" s="1128">
        <v>44.779999828338624</v>
      </c>
      <c r="P220" s="1128">
        <v>49.280000686645508</v>
      </c>
      <c r="Q220" s="1128">
        <v>61.519999313354496</v>
      </c>
      <c r="R220" s="1128">
        <v>66.560001373291016</v>
      </c>
      <c r="S220" s="1128">
        <v>72.139998626708987</v>
      </c>
      <c r="T220" s="1128">
        <v>78.260001373291018</v>
      </c>
      <c r="U220" s="1128">
        <v>78.619999313354498</v>
      </c>
      <c r="V220" s="1128">
        <v>75.019999313354489</v>
      </c>
      <c r="W220" s="1128">
        <v>59</v>
      </c>
      <c r="X220" s="1128">
        <v>45.140000343322754</v>
      </c>
      <c r="Y220" s="1128">
        <v>43.7</v>
      </c>
      <c r="Z220" s="1128">
        <v>59.266794557702049</v>
      </c>
      <c r="AA220" s="1128">
        <f t="shared" si="225"/>
        <v>54.245397921978949</v>
      </c>
      <c r="AB220" s="1128">
        <f t="shared" si="226"/>
        <v>53.759834861395319</v>
      </c>
      <c r="AC220" s="1128">
        <f t="shared" si="227"/>
        <v>56.273738173270623</v>
      </c>
      <c r="AD220" s="1128">
        <f t="shared" si="228"/>
        <v>61.131820218941854</v>
      </c>
      <c r="AE220" s="1128">
        <f t="shared" si="229"/>
        <v>67.067747047894329</v>
      </c>
      <c r="AF220" s="1128">
        <f t="shared" si="230"/>
        <v>72.534227856760225</v>
      </c>
      <c r="AG220" s="1128">
        <f t="shared" si="231"/>
        <v>76.106340181689419</v>
      </c>
      <c r="AH220" s="1128">
        <f t="shared" si="232"/>
        <v>76.852957897271907</v>
      </c>
      <c r="AI220" s="1128">
        <f t="shared" si="233"/>
        <v>74.579463590213834</v>
      </c>
      <c r="AJ220" s="1128">
        <f t="shared" si="234"/>
        <v>69.878478587257689</v>
      </c>
      <c r="AK220" s="1128">
        <f t="shared" si="235"/>
        <v>63.975387073795744</v>
      </c>
      <c r="AL220" s="1128">
        <f t="shared" si="236"/>
        <v>58.408920822205715</v>
      </c>
      <c r="AM220" s="1125">
        <f t="shared" si="237"/>
        <v>1</v>
      </c>
      <c r="AN220" s="1125">
        <f t="shared" si="238"/>
        <v>1</v>
      </c>
      <c r="AO220" s="1125">
        <f t="shared" si="239"/>
        <v>1</v>
      </c>
      <c r="AP220" s="1125">
        <f t="shared" si="240"/>
        <v>1</v>
      </c>
      <c r="AQ220" s="1125">
        <f t="shared" si="241"/>
        <v>0</v>
      </c>
      <c r="AR220" s="1125">
        <f t="shared" si="242"/>
        <v>0</v>
      </c>
      <c r="AS220" s="1125">
        <f t="shared" si="243"/>
        <v>0</v>
      </c>
      <c r="AT220" s="1125">
        <f t="shared" si="244"/>
        <v>0</v>
      </c>
      <c r="AU220" s="1125">
        <f t="shared" si="245"/>
        <v>0</v>
      </c>
      <c r="AV220" s="1125">
        <f t="shared" si="246"/>
        <v>1</v>
      </c>
      <c r="AW220" s="1125">
        <f t="shared" si="247"/>
        <v>1</v>
      </c>
      <c r="AX220" s="1125">
        <f t="shared" si="248"/>
        <v>1</v>
      </c>
      <c r="AY220" s="1125">
        <f t="shared" si="249"/>
        <v>0</v>
      </c>
      <c r="AZ220" s="1125">
        <f t="shared" si="250"/>
        <v>0</v>
      </c>
      <c r="BA220" s="1125">
        <f t="shared" si="251"/>
        <v>0</v>
      </c>
      <c r="BB220" s="1125">
        <f t="shared" si="252"/>
        <v>0</v>
      </c>
      <c r="BC220" s="1125">
        <f t="shared" si="253"/>
        <v>1</v>
      </c>
      <c r="BD220" s="1125">
        <f t="shared" si="254"/>
        <v>1</v>
      </c>
      <c r="BE220" s="1125">
        <f t="shared" si="255"/>
        <v>1</v>
      </c>
      <c r="BF220" s="1125">
        <f t="shared" si="256"/>
        <v>1</v>
      </c>
      <c r="BG220" s="1125">
        <f t="shared" si="257"/>
        <v>1</v>
      </c>
      <c r="BH220" s="1125">
        <f t="shared" si="258"/>
        <v>0</v>
      </c>
      <c r="BI220" s="1125">
        <f t="shared" si="259"/>
        <v>0</v>
      </c>
      <c r="BJ220" s="1125">
        <f t="shared" si="260"/>
        <v>0</v>
      </c>
      <c r="BK220" s="1125">
        <f t="shared" si="261"/>
        <v>1</v>
      </c>
      <c r="BL220" s="1125">
        <f t="shared" si="262"/>
        <v>1</v>
      </c>
      <c r="BM220" s="1125">
        <f t="shared" si="263"/>
        <v>1</v>
      </c>
      <c r="BN220" s="1125">
        <f t="shared" si="264"/>
        <v>1</v>
      </c>
      <c r="BO220" s="1125">
        <f t="shared" si="265"/>
        <v>1</v>
      </c>
      <c r="BP220" s="1125">
        <f t="shared" si="266"/>
        <v>0</v>
      </c>
      <c r="BQ220" s="1125">
        <f t="shared" si="267"/>
        <v>0</v>
      </c>
      <c r="BR220" s="1125">
        <f t="shared" si="268"/>
        <v>0</v>
      </c>
      <c r="BS220" s="1125">
        <f t="shared" si="269"/>
        <v>0</v>
      </c>
      <c r="BT220" s="1125">
        <f t="shared" si="270"/>
        <v>1</v>
      </c>
      <c r="BU220" s="1125">
        <f t="shared" si="271"/>
        <v>1</v>
      </c>
      <c r="BV220" s="1125">
        <f t="shared" si="272"/>
        <v>1</v>
      </c>
      <c r="BW220" s="1125">
        <f t="shared" si="273"/>
        <v>0</v>
      </c>
      <c r="BX220" s="1125">
        <f t="shared" si="274"/>
        <v>0</v>
      </c>
      <c r="BY220" s="1125">
        <f t="shared" si="275"/>
        <v>0</v>
      </c>
      <c r="BZ220" s="1125">
        <f t="shared" si="276"/>
        <v>1</v>
      </c>
      <c r="CA220" s="1125">
        <f t="shared" si="277"/>
        <v>1</v>
      </c>
      <c r="CB220" s="1125">
        <f t="shared" si="278"/>
        <v>1</v>
      </c>
      <c r="CC220" s="1125">
        <f t="shared" si="279"/>
        <v>1</v>
      </c>
      <c r="CD220" s="1125">
        <f t="shared" si="280"/>
        <v>1</v>
      </c>
      <c r="CE220" s="1125">
        <f t="shared" si="281"/>
        <v>1</v>
      </c>
      <c r="CF220" s="1125">
        <f t="shared" si="282"/>
        <v>1</v>
      </c>
      <c r="CG220" s="1125">
        <f t="shared" si="283"/>
        <v>0</v>
      </c>
      <c r="CH220" s="1125">
        <f t="shared" si="284"/>
        <v>0</v>
      </c>
      <c r="CI220" s="1125">
        <f t="shared" si="285"/>
        <v>0.85</v>
      </c>
      <c r="CJ220" s="1125">
        <f t="shared" si="286"/>
        <v>0.85</v>
      </c>
      <c r="CK220" s="1125">
        <f t="shared" si="287"/>
        <v>0.85</v>
      </c>
      <c r="CL220" s="1125">
        <f t="shared" si="288"/>
        <v>0.85</v>
      </c>
      <c r="CM220" s="1125">
        <f t="shared" si="289"/>
        <v>0.85</v>
      </c>
      <c r="CN220" s="1125">
        <f t="shared" si="290"/>
        <v>0.7</v>
      </c>
      <c r="CO220" s="1125">
        <f t="shared" si="291"/>
        <v>0.7</v>
      </c>
      <c r="CP220" s="1125">
        <f t="shared" si="292"/>
        <v>0.7</v>
      </c>
      <c r="CQ220" s="1125">
        <f t="shared" si="293"/>
        <v>0.7</v>
      </c>
      <c r="CR220" s="1125">
        <f t="shared" si="294"/>
        <v>0.85</v>
      </c>
      <c r="CS220" s="1125">
        <f t="shared" si="295"/>
        <v>0.85</v>
      </c>
      <c r="CT220" s="1125">
        <f t="shared" si="296"/>
        <v>0.85</v>
      </c>
      <c r="CU220" s="1125">
        <v>1</v>
      </c>
      <c r="CV220" s="1125"/>
      <c r="CW220" s="1125">
        <f t="shared" si="297"/>
        <v>214</v>
      </c>
      <c r="CX220" s="1125">
        <f t="shared" si="298"/>
        <v>151</v>
      </c>
      <c r="CY220" s="1136" t="s">
        <v>4881</v>
      </c>
      <c r="CZ220" s="1129" t="s">
        <v>4885</v>
      </c>
      <c r="DA220" s="1129"/>
      <c r="DB220" s="1129"/>
      <c r="DC220" s="1125" t="s">
        <v>5628</v>
      </c>
      <c r="DD220" s="1125" t="s">
        <v>501</v>
      </c>
      <c r="DE220" s="1120" t="str">
        <f t="shared" si="299"/>
        <v/>
      </c>
      <c r="DF220" s="1133">
        <v>0</v>
      </c>
      <c r="DG220" s="1120">
        <v>0</v>
      </c>
    </row>
    <row r="221" spans="1:111">
      <c r="A221" s="1125" t="s">
        <v>1838</v>
      </c>
      <c r="B221" s="1125" t="s">
        <v>3952</v>
      </c>
      <c r="C221" s="1125" t="s">
        <v>3953</v>
      </c>
      <c r="D221" s="1125" t="s">
        <v>426</v>
      </c>
      <c r="E221" s="1125">
        <v>13</v>
      </c>
      <c r="F221" s="1125">
        <v>-75.7</v>
      </c>
      <c r="G221" s="1125">
        <v>35.92</v>
      </c>
      <c r="H221" s="1125">
        <v>-5</v>
      </c>
      <c r="I221" s="1126">
        <v>22.1</v>
      </c>
      <c r="J221" s="1126">
        <v>90.679997253417966</v>
      </c>
      <c r="K221" s="1127">
        <v>79.519999313354489</v>
      </c>
      <c r="L221" s="1125">
        <v>2941.2000000000003</v>
      </c>
      <c r="M221" s="1125">
        <v>1681.2</v>
      </c>
      <c r="N221" s="1128">
        <v>40.820000171661377</v>
      </c>
      <c r="O221" s="1128">
        <v>40.820000171661377</v>
      </c>
      <c r="P221" s="1128">
        <v>45.679999828338623</v>
      </c>
      <c r="Q221" s="1128">
        <v>56.119999313354491</v>
      </c>
      <c r="R221" s="1128">
        <v>64.400000000000006</v>
      </c>
      <c r="S221" s="1128">
        <v>75.560001373291016</v>
      </c>
      <c r="T221" s="1128">
        <v>81.319999313354487</v>
      </c>
      <c r="U221" s="1128">
        <v>76.280000686645508</v>
      </c>
      <c r="V221" s="1128">
        <v>71.780000686645508</v>
      </c>
      <c r="W221" s="1128">
        <v>66.919999313354495</v>
      </c>
      <c r="X221" s="1128">
        <v>58.640000343322754</v>
      </c>
      <c r="Y221" s="1128">
        <v>51.8</v>
      </c>
      <c r="Z221" s="1128">
        <v>60.958301465805263</v>
      </c>
      <c r="AA221" s="1128">
        <f t="shared" si="225"/>
        <v>55.975718253378773</v>
      </c>
      <c r="AB221" s="1128">
        <f t="shared" si="226"/>
        <v>55.66761530066136</v>
      </c>
      <c r="AC221" s="1128">
        <f t="shared" si="227"/>
        <v>58.302603691629287</v>
      </c>
      <c r="AD221" s="1128">
        <f t="shared" si="228"/>
        <v>63.193833095776519</v>
      </c>
      <c r="AE221" s="1128">
        <f t="shared" si="229"/>
        <v>69.066329192785332</v>
      </c>
      <c r="AF221" s="1128">
        <f t="shared" si="230"/>
        <v>74.389335377066189</v>
      </c>
      <c r="AG221" s="1128">
        <f t="shared" si="231"/>
        <v>77.775328056677949</v>
      </c>
      <c r="AH221" s="1128">
        <f t="shared" si="232"/>
        <v>78.341696059953151</v>
      </c>
      <c r="AI221" s="1128">
        <f t="shared" si="233"/>
        <v>75.940806838842988</v>
      </c>
      <c r="AJ221" s="1128">
        <f t="shared" si="234"/>
        <v>71.198489167652667</v>
      </c>
      <c r="AK221" s="1128">
        <f t="shared" si="235"/>
        <v>65.350901228705411</v>
      </c>
      <c r="AL221" s="1128">
        <f t="shared" si="236"/>
        <v>59.922306932345684</v>
      </c>
      <c r="AM221" s="1125">
        <f t="shared" si="237"/>
        <v>1</v>
      </c>
      <c r="AN221" s="1125">
        <f t="shared" si="238"/>
        <v>1</v>
      </c>
      <c r="AO221" s="1125">
        <f t="shared" si="239"/>
        <v>1</v>
      </c>
      <c r="AP221" s="1125">
        <f t="shared" si="240"/>
        <v>1</v>
      </c>
      <c r="AQ221" s="1125">
        <f t="shared" si="241"/>
        <v>1</v>
      </c>
      <c r="AR221" s="1125">
        <f t="shared" si="242"/>
        <v>0</v>
      </c>
      <c r="AS221" s="1125">
        <f t="shared" si="243"/>
        <v>0</v>
      </c>
      <c r="AT221" s="1125">
        <f t="shared" si="244"/>
        <v>0</v>
      </c>
      <c r="AU221" s="1125">
        <f t="shared" si="245"/>
        <v>0</v>
      </c>
      <c r="AV221" s="1125">
        <f t="shared" si="246"/>
        <v>0</v>
      </c>
      <c r="AW221" s="1125">
        <f t="shared" si="247"/>
        <v>1</v>
      </c>
      <c r="AX221" s="1125">
        <f t="shared" si="248"/>
        <v>1</v>
      </c>
      <c r="AY221" s="1125">
        <f t="shared" si="249"/>
        <v>0</v>
      </c>
      <c r="AZ221" s="1125">
        <f t="shared" si="250"/>
        <v>0</v>
      </c>
      <c r="BA221" s="1125">
        <f t="shared" si="251"/>
        <v>0</v>
      </c>
      <c r="BB221" s="1125">
        <f t="shared" si="252"/>
        <v>0</v>
      </c>
      <c r="BC221" s="1125">
        <f t="shared" si="253"/>
        <v>0</v>
      </c>
      <c r="BD221" s="1125">
        <f t="shared" si="254"/>
        <v>1</v>
      </c>
      <c r="BE221" s="1125">
        <f t="shared" si="255"/>
        <v>1</v>
      </c>
      <c r="BF221" s="1125">
        <f t="shared" si="256"/>
        <v>1</v>
      </c>
      <c r="BG221" s="1125">
        <f t="shared" si="257"/>
        <v>1</v>
      </c>
      <c r="BH221" s="1125">
        <f t="shared" si="258"/>
        <v>1</v>
      </c>
      <c r="BI221" s="1125">
        <f t="shared" si="259"/>
        <v>0</v>
      </c>
      <c r="BJ221" s="1125">
        <f t="shared" si="260"/>
        <v>0</v>
      </c>
      <c r="BK221" s="1125">
        <f t="shared" si="261"/>
        <v>1</v>
      </c>
      <c r="BL221" s="1125">
        <f t="shared" si="262"/>
        <v>1</v>
      </c>
      <c r="BM221" s="1125">
        <f t="shared" si="263"/>
        <v>1</v>
      </c>
      <c r="BN221" s="1125">
        <f t="shared" si="264"/>
        <v>1</v>
      </c>
      <c r="BO221" s="1125">
        <f t="shared" si="265"/>
        <v>1</v>
      </c>
      <c r="BP221" s="1125">
        <f t="shared" si="266"/>
        <v>1</v>
      </c>
      <c r="BQ221" s="1125">
        <f t="shared" si="267"/>
        <v>0</v>
      </c>
      <c r="BR221" s="1125">
        <f t="shared" si="268"/>
        <v>0</v>
      </c>
      <c r="BS221" s="1125">
        <f t="shared" si="269"/>
        <v>0</v>
      </c>
      <c r="BT221" s="1125">
        <f t="shared" si="270"/>
        <v>0</v>
      </c>
      <c r="BU221" s="1125">
        <f t="shared" si="271"/>
        <v>1</v>
      </c>
      <c r="BV221" s="1125">
        <f t="shared" si="272"/>
        <v>1</v>
      </c>
      <c r="BW221" s="1125">
        <f t="shared" si="273"/>
        <v>0</v>
      </c>
      <c r="BX221" s="1125">
        <f t="shared" si="274"/>
        <v>0</v>
      </c>
      <c r="BY221" s="1125">
        <f t="shared" si="275"/>
        <v>0</v>
      </c>
      <c r="BZ221" s="1125">
        <f t="shared" si="276"/>
        <v>0</v>
      </c>
      <c r="CA221" s="1125">
        <f t="shared" si="277"/>
        <v>1</v>
      </c>
      <c r="CB221" s="1125">
        <f t="shared" si="278"/>
        <v>1</v>
      </c>
      <c r="CC221" s="1125">
        <f t="shared" si="279"/>
        <v>1</v>
      </c>
      <c r="CD221" s="1125">
        <f t="shared" si="280"/>
        <v>1</v>
      </c>
      <c r="CE221" s="1125">
        <f t="shared" si="281"/>
        <v>1</v>
      </c>
      <c r="CF221" s="1125">
        <f t="shared" si="282"/>
        <v>1</v>
      </c>
      <c r="CG221" s="1125">
        <f t="shared" si="283"/>
        <v>1</v>
      </c>
      <c r="CH221" s="1125">
        <f t="shared" si="284"/>
        <v>0</v>
      </c>
      <c r="CI221" s="1125">
        <f t="shared" si="285"/>
        <v>0.85</v>
      </c>
      <c r="CJ221" s="1125">
        <f t="shared" si="286"/>
        <v>0.85</v>
      </c>
      <c r="CK221" s="1125">
        <f t="shared" si="287"/>
        <v>0.85</v>
      </c>
      <c r="CL221" s="1125">
        <f t="shared" si="288"/>
        <v>0.85</v>
      </c>
      <c r="CM221" s="1125">
        <f t="shared" si="289"/>
        <v>0.85</v>
      </c>
      <c r="CN221" s="1125">
        <f t="shared" si="290"/>
        <v>0.85</v>
      </c>
      <c r="CO221" s="1125">
        <f t="shared" si="291"/>
        <v>0.7</v>
      </c>
      <c r="CP221" s="1125">
        <f t="shared" si="292"/>
        <v>0.7</v>
      </c>
      <c r="CQ221" s="1125">
        <f t="shared" si="293"/>
        <v>0.7</v>
      </c>
      <c r="CR221" s="1125">
        <f t="shared" si="294"/>
        <v>0.7</v>
      </c>
      <c r="CS221" s="1125">
        <f t="shared" si="295"/>
        <v>0.85</v>
      </c>
      <c r="CT221" s="1125">
        <f t="shared" si="296"/>
        <v>0.85</v>
      </c>
      <c r="CU221" s="1125">
        <v>1</v>
      </c>
      <c r="CV221" s="1125"/>
      <c r="CW221" s="1125">
        <f t="shared" si="297"/>
        <v>214</v>
      </c>
      <c r="CX221" s="1125">
        <f t="shared" si="298"/>
        <v>151</v>
      </c>
      <c r="CY221" s="1136" t="s">
        <v>4881</v>
      </c>
      <c r="CZ221" s="1129" t="s">
        <v>4882</v>
      </c>
      <c r="DA221" s="1129"/>
      <c r="DB221" s="1129"/>
      <c r="DC221" s="1125" t="s">
        <v>5388</v>
      </c>
      <c r="DD221" s="1125" t="s">
        <v>426</v>
      </c>
      <c r="DE221" s="1120" t="str">
        <f t="shared" si="299"/>
        <v/>
      </c>
      <c r="DF221" s="1133">
        <v>0</v>
      </c>
      <c r="DG221" s="1125">
        <v>0</v>
      </c>
    </row>
    <row r="222" spans="1:111">
      <c r="A222" s="1120" t="s">
        <v>3240</v>
      </c>
      <c r="B222" s="1125" t="s">
        <v>3048</v>
      </c>
      <c r="C222" s="1125" t="s">
        <v>3049</v>
      </c>
      <c r="D222" s="1125" t="s">
        <v>1250</v>
      </c>
      <c r="E222" s="1125">
        <v>2654</v>
      </c>
      <c r="F222" s="1125">
        <v>-110.88</v>
      </c>
      <c r="G222" s="1125">
        <v>32.17</v>
      </c>
      <c r="H222" s="1125">
        <v>-7</v>
      </c>
      <c r="I222" s="1126">
        <v>35.779999828338624</v>
      </c>
      <c r="J222" s="1126">
        <v>102.37999725341797</v>
      </c>
      <c r="K222" s="1127">
        <v>65.119999313354498</v>
      </c>
      <c r="L222" s="1125">
        <v>1155.6000000000001</v>
      </c>
      <c r="M222" s="1125">
        <v>3591</v>
      </c>
      <c r="N222" s="1128">
        <v>58.640000343322754</v>
      </c>
      <c r="O222" s="1128">
        <v>54.859999656677246</v>
      </c>
      <c r="P222" s="1128">
        <v>59.719999313354492</v>
      </c>
      <c r="Q222" s="1128">
        <v>73.939998626708984</v>
      </c>
      <c r="R222" s="1128">
        <v>79.33999862670899</v>
      </c>
      <c r="S222" s="1128">
        <v>88.16000137329101</v>
      </c>
      <c r="T222" s="1128">
        <v>86.719999313354492</v>
      </c>
      <c r="U222" s="1128">
        <v>85.639998626708987</v>
      </c>
      <c r="V222" s="1128">
        <v>82.039998626708979</v>
      </c>
      <c r="W222" s="1128">
        <v>69.619999313354498</v>
      </c>
      <c r="X222" s="1128">
        <v>59.719999313354492</v>
      </c>
      <c r="Y222" s="1128">
        <v>53.419999313354495</v>
      </c>
      <c r="Z222" s="1128">
        <v>71.06295827107887</v>
      </c>
      <c r="AA222" s="1128">
        <f t="shared" si="225"/>
        <v>65.522615085897343</v>
      </c>
      <c r="AB222" s="1128">
        <f t="shared" si="226"/>
        <v>66.243714781120644</v>
      </c>
      <c r="AC222" s="1128">
        <f t="shared" si="227"/>
        <v>69.785017021590619</v>
      </c>
      <c r="AD222" s="1128">
        <f t="shared" si="228"/>
        <v>75.223426805209286</v>
      </c>
      <c r="AE222" s="1128">
        <f t="shared" si="229"/>
        <v>81.141338813444847</v>
      </c>
      <c r="AF222" s="1128">
        <f t="shared" si="230"/>
        <v>85.996158083566115</v>
      </c>
      <c r="AG222" s="1128">
        <f t="shared" si="231"/>
        <v>88.522401157786391</v>
      </c>
      <c r="AH222" s="1128">
        <f t="shared" si="232"/>
        <v>88.061563848225973</v>
      </c>
      <c r="AI222" s="1128">
        <f t="shared" si="233"/>
        <v>84.733770501339691</v>
      </c>
      <c r="AJ222" s="1128">
        <f t="shared" si="234"/>
        <v>79.406461735841248</v>
      </c>
      <c r="AK222" s="1128">
        <f t="shared" si="235"/>
        <v>73.468282677770915</v>
      </c>
      <c r="AL222" s="1128">
        <f t="shared" si="236"/>
        <v>68.46711120872402</v>
      </c>
      <c r="AM222" s="1125">
        <f t="shared" si="237"/>
        <v>1</v>
      </c>
      <c r="AN222" s="1125">
        <f t="shared" si="238"/>
        <v>1</v>
      </c>
      <c r="AO222" s="1125">
        <f t="shared" si="239"/>
        <v>1</v>
      </c>
      <c r="AP222" s="1125">
        <f t="shared" si="240"/>
        <v>0</v>
      </c>
      <c r="AQ222" s="1125">
        <f t="shared" si="241"/>
        <v>0</v>
      </c>
      <c r="AR222" s="1125">
        <f t="shared" si="242"/>
        <v>0</v>
      </c>
      <c r="AS222" s="1125">
        <f t="shared" si="243"/>
        <v>0</v>
      </c>
      <c r="AT222" s="1125">
        <f t="shared" si="244"/>
        <v>0</v>
      </c>
      <c r="AU222" s="1125">
        <f t="shared" si="245"/>
        <v>0</v>
      </c>
      <c r="AV222" s="1125">
        <f t="shared" si="246"/>
        <v>0</v>
      </c>
      <c r="AW222" s="1125">
        <f t="shared" si="247"/>
        <v>1</v>
      </c>
      <c r="AX222" s="1125">
        <f t="shared" si="248"/>
        <v>1</v>
      </c>
      <c r="AY222" s="1125">
        <f t="shared" si="249"/>
        <v>0</v>
      </c>
      <c r="AZ222" s="1125">
        <f t="shared" si="250"/>
        <v>0</v>
      </c>
      <c r="BA222" s="1125">
        <f t="shared" si="251"/>
        <v>0</v>
      </c>
      <c r="BB222" s="1125">
        <f t="shared" si="252"/>
        <v>1</v>
      </c>
      <c r="BC222" s="1125">
        <f t="shared" si="253"/>
        <v>1</v>
      </c>
      <c r="BD222" s="1125">
        <f t="shared" si="254"/>
        <v>1</v>
      </c>
      <c r="BE222" s="1125">
        <f t="shared" si="255"/>
        <v>1</v>
      </c>
      <c r="BF222" s="1125">
        <f t="shared" si="256"/>
        <v>1</v>
      </c>
      <c r="BG222" s="1125">
        <f t="shared" si="257"/>
        <v>1</v>
      </c>
      <c r="BH222" s="1125">
        <f t="shared" si="258"/>
        <v>1</v>
      </c>
      <c r="BI222" s="1125">
        <f t="shared" si="259"/>
        <v>0</v>
      </c>
      <c r="BJ222" s="1125">
        <f t="shared" si="260"/>
        <v>0</v>
      </c>
      <c r="BK222" s="1125">
        <f t="shared" si="261"/>
        <v>1</v>
      </c>
      <c r="BL222" s="1125">
        <f t="shared" si="262"/>
        <v>1</v>
      </c>
      <c r="BM222" s="1125">
        <f t="shared" si="263"/>
        <v>1</v>
      </c>
      <c r="BN222" s="1125">
        <f t="shared" si="264"/>
        <v>1</v>
      </c>
      <c r="BO222" s="1125">
        <f t="shared" si="265"/>
        <v>0</v>
      </c>
      <c r="BP222" s="1125">
        <f t="shared" si="266"/>
        <v>0</v>
      </c>
      <c r="BQ222" s="1125">
        <f t="shared" si="267"/>
        <v>0</v>
      </c>
      <c r="BR222" s="1125">
        <f t="shared" si="268"/>
        <v>0</v>
      </c>
      <c r="BS222" s="1125">
        <f t="shared" si="269"/>
        <v>0</v>
      </c>
      <c r="BT222" s="1125">
        <f t="shared" si="270"/>
        <v>0</v>
      </c>
      <c r="BU222" s="1125">
        <f t="shared" si="271"/>
        <v>1</v>
      </c>
      <c r="BV222" s="1125">
        <f t="shared" si="272"/>
        <v>1</v>
      </c>
      <c r="BW222" s="1125">
        <f t="shared" si="273"/>
        <v>0</v>
      </c>
      <c r="BX222" s="1125">
        <f t="shared" si="274"/>
        <v>0</v>
      </c>
      <c r="BY222" s="1125">
        <f t="shared" si="275"/>
        <v>1</v>
      </c>
      <c r="BZ222" s="1125">
        <f t="shared" si="276"/>
        <v>1</v>
      </c>
      <c r="CA222" s="1125">
        <f t="shared" si="277"/>
        <v>1</v>
      </c>
      <c r="CB222" s="1125">
        <f t="shared" si="278"/>
        <v>1</v>
      </c>
      <c r="CC222" s="1125">
        <f t="shared" si="279"/>
        <v>1</v>
      </c>
      <c r="CD222" s="1125">
        <f t="shared" si="280"/>
        <v>1</v>
      </c>
      <c r="CE222" s="1125">
        <f t="shared" si="281"/>
        <v>1</v>
      </c>
      <c r="CF222" s="1125">
        <f t="shared" si="282"/>
        <v>1</v>
      </c>
      <c r="CG222" s="1125">
        <f t="shared" si="283"/>
        <v>1</v>
      </c>
      <c r="CH222" s="1125">
        <f t="shared" si="284"/>
        <v>0</v>
      </c>
      <c r="CI222" s="1125">
        <f t="shared" si="285"/>
        <v>0.85</v>
      </c>
      <c r="CJ222" s="1125">
        <f t="shared" si="286"/>
        <v>0.85</v>
      </c>
      <c r="CK222" s="1125">
        <f t="shared" si="287"/>
        <v>0.85</v>
      </c>
      <c r="CL222" s="1125">
        <f t="shared" si="288"/>
        <v>0.85</v>
      </c>
      <c r="CM222" s="1125">
        <f t="shared" si="289"/>
        <v>0.7</v>
      </c>
      <c r="CN222" s="1125">
        <f t="shared" si="290"/>
        <v>0.7</v>
      </c>
      <c r="CO222" s="1125">
        <f t="shared" si="291"/>
        <v>0.7</v>
      </c>
      <c r="CP222" s="1125">
        <f t="shared" si="292"/>
        <v>0.7</v>
      </c>
      <c r="CQ222" s="1125">
        <f t="shared" si="293"/>
        <v>0.7</v>
      </c>
      <c r="CR222" s="1125">
        <f t="shared" si="294"/>
        <v>0.7</v>
      </c>
      <c r="CS222" s="1125">
        <f t="shared" si="295"/>
        <v>0.85</v>
      </c>
      <c r="CT222" s="1125">
        <f t="shared" si="296"/>
        <v>0.85</v>
      </c>
      <c r="CU222" s="1125">
        <v>1</v>
      </c>
      <c r="CV222" s="1125"/>
      <c r="CW222" s="1125">
        <f t="shared" si="297"/>
        <v>275</v>
      </c>
      <c r="CX222" s="1125">
        <f t="shared" si="298"/>
        <v>90</v>
      </c>
      <c r="CY222" s="1136" t="s">
        <v>4886</v>
      </c>
      <c r="CZ222" s="1129" t="s">
        <v>4887</v>
      </c>
      <c r="DA222" s="1129"/>
      <c r="DB222" s="1129"/>
      <c r="DC222" s="1125" t="s">
        <v>4995</v>
      </c>
      <c r="DD222" s="1125" t="s">
        <v>1250</v>
      </c>
      <c r="DE222" s="1125" t="b">
        <f t="shared" si="299"/>
        <v>0</v>
      </c>
      <c r="DF222" s="1125">
        <v>0</v>
      </c>
      <c r="DG222" s="1120">
        <v>0</v>
      </c>
    </row>
    <row r="223" spans="1:111">
      <c r="A223" s="1125" t="s">
        <v>3242</v>
      </c>
      <c r="B223" s="1120" t="s">
        <v>4494</v>
      </c>
      <c r="C223" s="1120" t="s">
        <v>4495</v>
      </c>
      <c r="D223" s="1120" t="s">
        <v>501</v>
      </c>
      <c r="E223" s="1120">
        <v>89</v>
      </c>
      <c r="F223" s="1120">
        <v>-77.180000000000007</v>
      </c>
      <c r="G223" s="1120">
        <v>38.72</v>
      </c>
      <c r="H223" s="1120">
        <v>-5</v>
      </c>
      <c r="I223" s="1121">
        <v>17.959999656677248</v>
      </c>
      <c r="J223" s="1121">
        <v>93.2</v>
      </c>
      <c r="K223" s="1122">
        <v>75.2</v>
      </c>
      <c r="L223" s="1120">
        <v>4401</v>
      </c>
      <c r="M223" s="1120">
        <v>1344.6000000000001</v>
      </c>
      <c r="N223" s="1123">
        <v>34.880000042915341</v>
      </c>
      <c r="O223" s="1123">
        <v>36.679999828338623</v>
      </c>
      <c r="P223" s="1123">
        <v>41.179999828338623</v>
      </c>
      <c r="Q223" s="1123">
        <v>53.6</v>
      </c>
      <c r="R223" s="1123">
        <v>64.939998626708984</v>
      </c>
      <c r="S223" s="1123">
        <v>75.019999313354489</v>
      </c>
      <c r="T223" s="1123">
        <v>79.16000137329101</v>
      </c>
      <c r="U223" s="1123">
        <v>72.860001373291013</v>
      </c>
      <c r="V223" s="1123">
        <v>69.080000686645505</v>
      </c>
      <c r="W223" s="1123">
        <v>57.380000686645509</v>
      </c>
      <c r="X223" s="1123">
        <v>44.6</v>
      </c>
      <c r="Y223" s="1123">
        <v>41.540000343322752</v>
      </c>
      <c r="Z223" s="1123">
        <v>56.016931686858612</v>
      </c>
      <c r="AA223" s="1123">
        <f t="shared" si="225"/>
        <v>51.389477521375333</v>
      </c>
      <c r="AB223" s="1123">
        <f t="shared" si="226"/>
        <v>50.584245133474198</v>
      </c>
      <c r="AC223" s="1123">
        <f t="shared" si="227"/>
        <v>52.759118678745509</v>
      </c>
      <c r="AD223" s="1123">
        <f t="shared" si="228"/>
        <v>57.347183851798462</v>
      </c>
      <c r="AE223" s="1123">
        <f t="shared" si="229"/>
        <v>63.152490761052285</v>
      </c>
      <c r="AF223" s="1123">
        <f t="shared" si="230"/>
        <v>68.661796698122487</v>
      </c>
      <c r="AG223" s="1123">
        <f t="shared" si="231"/>
        <v>72.439016169537297</v>
      </c>
      <c r="AH223" s="1123">
        <f t="shared" si="232"/>
        <v>73.499558711358432</v>
      </c>
      <c r="AI223" s="1123">
        <f t="shared" si="233"/>
        <v>71.566977566604933</v>
      </c>
      <c r="AJ223" s="1123">
        <f t="shared" si="234"/>
        <v>67.145029792633736</v>
      </c>
      <c r="AK223" s="1123">
        <f t="shared" si="235"/>
        <v>61.386364221008336</v>
      </c>
      <c r="AL223" s="1123">
        <f t="shared" si="236"/>
        <v>55.792065776695594</v>
      </c>
      <c r="AM223" s="1120">
        <f t="shared" si="237"/>
        <v>1</v>
      </c>
      <c r="AN223" s="1120">
        <f t="shared" si="238"/>
        <v>1</v>
      </c>
      <c r="AO223" s="1120">
        <f t="shared" si="239"/>
        <v>1</v>
      </c>
      <c r="AP223" s="1120">
        <f t="shared" si="240"/>
        <v>1</v>
      </c>
      <c r="AQ223" s="1120">
        <f t="shared" si="241"/>
        <v>1</v>
      </c>
      <c r="AR223" s="1120">
        <f t="shared" si="242"/>
        <v>0</v>
      </c>
      <c r="AS223" s="1120">
        <f t="shared" si="243"/>
        <v>0</v>
      </c>
      <c r="AT223" s="1120">
        <f t="shared" si="244"/>
        <v>0</v>
      </c>
      <c r="AU223" s="1120">
        <f t="shared" si="245"/>
        <v>0</v>
      </c>
      <c r="AV223" s="1120">
        <f t="shared" si="246"/>
        <v>1</v>
      </c>
      <c r="AW223" s="1120">
        <f t="shared" si="247"/>
        <v>1</v>
      </c>
      <c r="AX223" s="1120">
        <f t="shared" si="248"/>
        <v>1</v>
      </c>
      <c r="AY223" s="1120">
        <f t="shared" si="249"/>
        <v>0</v>
      </c>
      <c r="AZ223" s="1120">
        <f t="shared" si="250"/>
        <v>0</v>
      </c>
      <c r="BA223" s="1120">
        <f t="shared" si="251"/>
        <v>0</v>
      </c>
      <c r="BB223" s="1120">
        <f t="shared" si="252"/>
        <v>0</v>
      </c>
      <c r="BC223" s="1120">
        <f t="shared" si="253"/>
        <v>0</v>
      </c>
      <c r="BD223" s="1120">
        <f t="shared" si="254"/>
        <v>1</v>
      </c>
      <c r="BE223" s="1120">
        <f t="shared" si="255"/>
        <v>1</v>
      </c>
      <c r="BF223" s="1120">
        <f t="shared" si="256"/>
        <v>1</v>
      </c>
      <c r="BG223" s="1120">
        <f t="shared" si="257"/>
        <v>1</v>
      </c>
      <c r="BH223" s="1120">
        <f t="shared" si="258"/>
        <v>0</v>
      </c>
      <c r="BI223" s="1120">
        <f t="shared" si="259"/>
        <v>0</v>
      </c>
      <c r="BJ223" s="1120">
        <f t="shared" si="260"/>
        <v>0</v>
      </c>
      <c r="BK223" s="1120">
        <f t="shared" si="261"/>
        <v>1</v>
      </c>
      <c r="BL223" s="1120">
        <f t="shared" si="262"/>
        <v>1</v>
      </c>
      <c r="BM223" s="1120">
        <f t="shared" si="263"/>
        <v>1</v>
      </c>
      <c r="BN223" s="1120">
        <f t="shared" si="264"/>
        <v>1</v>
      </c>
      <c r="BO223" s="1120">
        <f t="shared" si="265"/>
        <v>1</v>
      </c>
      <c r="BP223" s="1120">
        <f t="shared" si="266"/>
        <v>1</v>
      </c>
      <c r="BQ223" s="1120">
        <f t="shared" si="267"/>
        <v>0</v>
      </c>
      <c r="BR223" s="1120">
        <f t="shared" si="268"/>
        <v>0</v>
      </c>
      <c r="BS223" s="1120">
        <f t="shared" si="269"/>
        <v>0</v>
      </c>
      <c r="BT223" s="1120">
        <f t="shared" si="270"/>
        <v>1</v>
      </c>
      <c r="BU223" s="1120">
        <f t="shared" si="271"/>
        <v>1</v>
      </c>
      <c r="BV223" s="1120">
        <f t="shared" si="272"/>
        <v>1</v>
      </c>
      <c r="BW223" s="1120">
        <f t="shared" si="273"/>
        <v>0</v>
      </c>
      <c r="BX223" s="1120">
        <f t="shared" si="274"/>
        <v>0</v>
      </c>
      <c r="BY223" s="1120">
        <f t="shared" si="275"/>
        <v>0</v>
      </c>
      <c r="BZ223" s="1120">
        <f t="shared" si="276"/>
        <v>0</v>
      </c>
      <c r="CA223" s="1120">
        <f t="shared" si="277"/>
        <v>1</v>
      </c>
      <c r="CB223" s="1120">
        <f t="shared" si="278"/>
        <v>1</v>
      </c>
      <c r="CC223" s="1120">
        <f t="shared" si="279"/>
        <v>1</v>
      </c>
      <c r="CD223" s="1120">
        <f t="shared" si="280"/>
        <v>1</v>
      </c>
      <c r="CE223" s="1120">
        <f t="shared" si="281"/>
        <v>1</v>
      </c>
      <c r="CF223" s="1120">
        <f t="shared" si="282"/>
        <v>1</v>
      </c>
      <c r="CG223" s="1120">
        <f t="shared" si="283"/>
        <v>0</v>
      </c>
      <c r="CH223" s="1120">
        <f t="shared" si="284"/>
        <v>0</v>
      </c>
      <c r="CI223" s="1120">
        <f t="shared" si="285"/>
        <v>0.85</v>
      </c>
      <c r="CJ223" s="1120">
        <f t="shared" si="286"/>
        <v>0.85</v>
      </c>
      <c r="CK223" s="1120">
        <f t="shared" si="287"/>
        <v>0.85</v>
      </c>
      <c r="CL223" s="1120">
        <f t="shared" si="288"/>
        <v>0.85</v>
      </c>
      <c r="CM223" s="1120">
        <f t="shared" si="289"/>
        <v>0.85</v>
      </c>
      <c r="CN223" s="1120">
        <f t="shared" si="290"/>
        <v>0.85</v>
      </c>
      <c r="CO223" s="1120">
        <f t="shared" si="291"/>
        <v>0.7</v>
      </c>
      <c r="CP223" s="1120">
        <f t="shared" si="292"/>
        <v>0.7</v>
      </c>
      <c r="CQ223" s="1120">
        <f t="shared" si="293"/>
        <v>0.7</v>
      </c>
      <c r="CR223" s="1120">
        <f t="shared" si="294"/>
        <v>0.85</v>
      </c>
      <c r="CS223" s="1120">
        <f t="shared" si="295"/>
        <v>0.85</v>
      </c>
      <c r="CT223" s="1120">
        <f t="shared" si="296"/>
        <v>0.85</v>
      </c>
      <c r="CU223" s="1120">
        <v>1</v>
      </c>
      <c r="CV223" s="1120"/>
      <c r="CW223" s="1120">
        <f t="shared" si="297"/>
        <v>184</v>
      </c>
      <c r="CX223" s="1120">
        <f t="shared" si="298"/>
        <v>181</v>
      </c>
      <c r="CY223" s="1135" t="s">
        <v>4881</v>
      </c>
      <c r="CZ223" s="1124" t="s">
        <v>4885</v>
      </c>
      <c r="DA223" s="1124"/>
      <c r="DB223" s="1124"/>
      <c r="DC223" s="1120" t="s">
        <v>6007</v>
      </c>
      <c r="DD223" s="1120" t="s">
        <v>501</v>
      </c>
      <c r="DE223" s="1120" t="b">
        <f t="shared" si="299"/>
        <v>0</v>
      </c>
      <c r="DF223" s="1133">
        <v>0</v>
      </c>
      <c r="DG223" s="1125">
        <v>0</v>
      </c>
    </row>
    <row r="224" spans="1:111">
      <c r="A224" s="1120" t="s">
        <v>3244</v>
      </c>
      <c r="B224" s="1120" t="s">
        <v>4176</v>
      </c>
      <c r="C224" s="1120" t="s">
        <v>4177</v>
      </c>
      <c r="D224" s="1120" t="s">
        <v>229</v>
      </c>
      <c r="E224" s="1120">
        <v>1000</v>
      </c>
      <c r="F224" s="1120">
        <v>-84.22</v>
      </c>
      <c r="G224" s="1120">
        <v>39.9</v>
      </c>
      <c r="H224" s="1120">
        <v>-5</v>
      </c>
      <c r="I224" s="1121">
        <v>6.7999999999999989</v>
      </c>
      <c r="J224" s="1121">
        <v>87.8</v>
      </c>
      <c r="K224" s="1122">
        <v>72.860001373291013</v>
      </c>
      <c r="L224" s="1120">
        <v>5754.6</v>
      </c>
      <c r="M224" s="1120">
        <v>968.4</v>
      </c>
      <c r="N224" s="1123">
        <v>24.620000171661378</v>
      </c>
      <c r="O224" s="1123">
        <v>26.960000085830689</v>
      </c>
      <c r="P224" s="1123">
        <v>42.440000343322751</v>
      </c>
      <c r="Q224" s="1123">
        <v>51.8</v>
      </c>
      <c r="R224" s="1123">
        <v>63.319999313354494</v>
      </c>
      <c r="S224" s="1123">
        <v>70.33999862670899</v>
      </c>
      <c r="T224" s="1123">
        <v>75.019999313354489</v>
      </c>
      <c r="U224" s="1123">
        <v>72.680000686645513</v>
      </c>
      <c r="V224" s="1123">
        <v>63.680000686645506</v>
      </c>
      <c r="W224" s="1123">
        <v>51.259999656677245</v>
      </c>
      <c r="X224" s="1123">
        <v>41</v>
      </c>
      <c r="Y224" s="1123">
        <v>30.919999957084656</v>
      </c>
      <c r="Z224" s="1123">
        <v>51.3083286698877</v>
      </c>
      <c r="AA224" s="1123">
        <f t="shared" si="225"/>
        <v>46.714882436141131</v>
      </c>
      <c r="AB224" s="1123">
        <f t="shared" si="226"/>
        <v>45.396034963415687</v>
      </c>
      <c r="AC224" s="1123">
        <f t="shared" si="227"/>
        <v>47.182310419284931</v>
      </c>
      <c r="AD224" s="1123">
        <f t="shared" si="228"/>
        <v>51.608088578838519</v>
      </c>
      <c r="AE224" s="1123">
        <f t="shared" si="229"/>
        <v>57.519722161482875</v>
      </c>
      <c r="AF224" s="1123">
        <f t="shared" si="230"/>
        <v>63.376252772870636</v>
      </c>
      <c r="AG224" s="1123">
        <f t="shared" si="231"/>
        <v>67.651085457274959</v>
      </c>
      <c r="AH224" s="1123">
        <f t="shared" si="232"/>
        <v>69.229919198340099</v>
      </c>
      <c r="AI224" s="1123">
        <f t="shared" si="233"/>
        <v>67.701206650892999</v>
      </c>
      <c r="AJ224" s="1123">
        <f t="shared" si="234"/>
        <v>63.463430298599221</v>
      </c>
      <c r="AK224" s="1123">
        <f t="shared" si="235"/>
        <v>57.621231853794498</v>
      </c>
      <c r="AL224" s="1123">
        <f t="shared" si="236"/>
        <v>51.697470372120449</v>
      </c>
      <c r="AM224" s="1120">
        <f t="shared" si="237"/>
        <v>1</v>
      </c>
      <c r="AN224" s="1120">
        <f t="shared" si="238"/>
        <v>1</v>
      </c>
      <c r="AO224" s="1120">
        <f t="shared" si="239"/>
        <v>1</v>
      </c>
      <c r="AP224" s="1120">
        <f t="shared" si="240"/>
        <v>1</v>
      </c>
      <c r="AQ224" s="1120">
        <f t="shared" si="241"/>
        <v>1</v>
      </c>
      <c r="AR224" s="1120">
        <f t="shared" si="242"/>
        <v>0</v>
      </c>
      <c r="AS224" s="1120">
        <f t="shared" si="243"/>
        <v>0</v>
      </c>
      <c r="AT224" s="1120">
        <f t="shared" si="244"/>
        <v>0</v>
      </c>
      <c r="AU224" s="1120">
        <f t="shared" si="245"/>
        <v>1</v>
      </c>
      <c r="AV224" s="1120">
        <f t="shared" si="246"/>
        <v>1</v>
      </c>
      <c r="AW224" s="1120">
        <f t="shared" si="247"/>
        <v>1</v>
      </c>
      <c r="AX224" s="1120">
        <f t="shared" si="248"/>
        <v>1</v>
      </c>
      <c r="AY224" s="1120">
        <f t="shared" si="249"/>
        <v>0</v>
      </c>
      <c r="AZ224" s="1120">
        <f t="shared" si="250"/>
        <v>0</v>
      </c>
      <c r="BA224" s="1120">
        <f t="shared" si="251"/>
        <v>0</v>
      </c>
      <c r="BB224" s="1120">
        <f t="shared" si="252"/>
        <v>0</v>
      </c>
      <c r="BC224" s="1120">
        <f t="shared" si="253"/>
        <v>0</v>
      </c>
      <c r="BD224" s="1120">
        <f t="shared" si="254"/>
        <v>1</v>
      </c>
      <c r="BE224" s="1120">
        <f t="shared" si="255"/>
        <v>1</v>
      </c>
      <c r="BF224" s="1120">
        <f t="shared" si="256"/>
        <v>1</v>
      </c>
      <c r="BG224" s="1120">
        <f t="shared" si="257"/>
        <v>0</v>
      </c>
      <c r="BH224" s="1120">
        <f t="shared" si="258"/>
        <v>0</v>
      </c>
      <c r="BI224" s="1120">
        <f t="shared" si="259"/>
        <v>0</v>
      </c>
      <c r="BJ224" s="1120">
        <f t="shared" si="260"/>
        <v>0</v>
      </c>
      <c r="BK224" s="1120">
        <f t="shared" si="261"/>
        <v>1</v>
      </c>
      <c r="BL224" s="1120">
        <f t="shared" si="262"/>
        <v>1</v>
      </c>
      <c r="BM224" s="1120">
        <f t="shared" si="263"/>
        <v>1</v>
      </c>
      <c r="BN224" s="1120">
        <f t="shared" si="264"/>
        <v>1</v>
      </c>
      <c r="BO224" s="1120">
        <f t="shared" si="265"/>
        <v>1</v>
      </c>
      <c r="BP224" s="1120">
        <f t="shared" si="266"/>
        <v>1</v>
      </c>
      <c r="BQ224" s="1120">
        <f t="shared" si="267"/>
        <v>0</v>
      </c>
      <c r="BR224" s="1120">
        <f t="shared" si="268"/>
        <v>0</v>
      </c>
      <c r="BS224" s="1120">
        <f t="shared" si="269"/>
        <v>1</v>
      </c>
      <c r="BT224" s="1120">
        <f t="shared" si="270"/>
        <v>1</v>
      </c>
      <c r="BU224" s="1120">
        <f t="shared" si="271"/>
        <v>1</v>
      </c>
      <c r="BV224" s="1120">
        <f t="shared" si="272"/>
        <v>1</v>
      </c>
      <c r="BW224" s="1120">
        <f t="shared" si="273"/>
        <v>0</v>
      </c>
      <c r="BX224" s="1120">
        <f t="shared" si="274"/>
        <v>0</v>
      </c>
      <c r="BY224" s="1120">
        <f t="shared" si="275"/>
        <v>0</v>
      </c>
      <c r="BZ224" s="1120">
        <f t="shared" si="276"/>
        <v>0</v>
      </c>
      <c r="CA224" s="1120">
        <f t="shared" si="277"/>
        <v>1</v>
      </c>
      <c r="CB224" s="1120">
        <f t="shared" si="278"/>
        <v>1</v>
      </c>
      <c r="CC224" s="1120">
        <f t="shared" si="279"/>
        <v>1</v>
      </c>
      <c r="CD224" s="1120">
        <f t="shared" si="280"/>
        <v>1</v>
      </c>
      <c r="CE224" s="1120">
        <f t="shared" si="281"/>
        <v>1</v>
      </c>
      <c r="CF224" s="1120">
        <f t="shared" si="282"/>
        <v>0</v>
      </c>
      <c r="CG224" s="1120">
        <f t="shared" si="283"/>
        <v>0</v>
      </c>
      <c r="CH224" s="1120">
        <f t="shared" si="284"/>
        <v>0</v>
      </c>
      <c r="CI224" s="1120">
        <f t="shared" si="285"/>
        <v>0.85</v>
      </c>
      <c r="CJ224" s="1120">
        <f t="shared" si="286"/>
        <v>0.85</v>
      </c>
      <c r="CK224" s="1120">
        <f t="shared" si="287"/>
        <v>0.85</v>
      </c>
      <c r="CL224" s="1120">
        <f t="shared" si="288"/>
        <v>0.85</v>
      </c>
      <c r="CM224" s="1120">
        <f t="shared" si="289"/>
        <v>0.85</v>
      </c>
      <c r="CN224" s="1120">
        <f t="shared" si="290"/>
        <v>0.85</v>
      </c>
      <c r="CO224" s="1120">
        <f t="shared" si="291"/>
        <v>0.7</v>
      </c>
      <c r="CP224" s="1120">
        <f t="shared" si="292"/>
        <v>0.7</v>
      </c>
      <c r="CQ224" s="1120">
        <f t="shared" si="293"/>
        <v>0.85</v>
      </c>
      <c r="CR224" s="1120">
        <f t="shared" si="294"/>
        <v>0.85</v>
      </c>
      <c r="CS224" s="1120">
        <f t="shared" si="295"/>
        <v>0.85</v>
      </c>
      <c r="CT224" s="1120">
        <f t="shared" si="296"/>
        <v>0.85</v>
      </c>
      <c r="CU224" s="1120">
        <v>1</v>
      </c>
      <c r="CV224" s="1120"/>
      <c r="CW224" s="1120">
        <f t="shared" si="297"/>
        <v>153</v>
      </c>
      <c r="CX224" s="1120">
        <f t="shared" si="298"/>
        <v>212</v>
      </c>
      <c r="CY224" s="1135" t="s">
        <v>4889</v>
      </c>
      <c r="CZ224" s="1124" t="s">
        <v>4897</v>
      </c>
      <c r="DA224" s="1124"/>
      <c r="DB224" s="1124"/>
      <c r="DC224" s="1120" t="s">
        <v>5494</v>
      </c>
      <c r="DD224" s="1120" t="s">
        <v>229</v>
      </c>
      <c r="DE224" s="1120" t="str">
        <f t="shared" si="299"/>
        <v/>
      </c>
      <c r="DF224" s="1133">
        <v>0</v>
      </c>
      <c r="DG224" s="1120">
        <v>0</v>
      </c>
    </row>
    <row r="225" spans="1:111">
      <c r="A225" s="1125" t="s">
        <v>3246</v>
      </c>
      <c r="B225" s="1125" t="s">
        <v>4174</v>
      </c>
      <c r="C225" s="1125" t="s">
        <v>4175</v>
      </c>
      <c r="D225" s="1125" t="s">
        <v>229</v>
      </c>
      <c r="E225" s="1125">
        <v>820</v>
      </c>
      <c r="F225" s="1125">
        <v>-84.05</v>
      </c>
      <c r="G225" s="1125">
        <v>39.83</v>
      </c>
      <c r="H225" s="1125">
        <v>-5</v>
      </c>
      <c r="I225" s="1126">
        <v>8.6</v>
      </c>
      <c r="J225" s="1126">
        <v>89.239998626708982</v>
      </c>
      <c r="K225" s="1127">
        <v>73.580000686645505</v>
      </c>
      <c r="L225" s="1125">
        <v>5589</v>
      </c>
      <c r="M225" s="1125">
        <v>909</v>
      </c>
      <c r="N225" s="1128">
        <v>31.279999989271165</v>
      </c>
      <c r="O225" s="1128">
        <v>31.639999994635581</v>
      </c>
      <c r="P225" s="1128">
        <v>38.299999999999997</v>
      </c>
      <c r="Q225" s="1128">
        <v>48.2</v>
      </c>
      <c r="R225" s="1128">
        <v>56.840000343322757</v>
      </c>
      <c r="S225" s="1128">
        <v>72.860001373291013</v>
      </c>
      <c r="T225" s="1128">
        <v>76.280000686645508</v>
      </c>
      <c r="U225" s="1128">
        <v>70.33999862670899</v>
      </c>
      <c r="V225" s="1128">
        <v>63.5</v>
      </c>
      <c r="W225" s="1128">
        <v>53.959999656677248</v>
      </c>
      <c r="X225" s="1128">
        <v>38.120000171661374</v>
      </c>
      <c r="Y225" s="1128">
        <v>36.679999828338623</v>
      </c>
      <c r="Z225" s="1128">
        <v>51.617534299337699</v>
      </c>
      <c r="AA225" s="1128">
        <f t="shared" si="225"/>
        <v>48.071263609274865</v>
      </c>
      <c r="AB225" s="1128">
        <f t="shared" si="226"/>
        <v>46.914456658080397</v>
      </c>
      <c r="AC225" s="1128">
        <f t="shared" si="227"/>
        <v>48.547571833498765</v>
      </c>
      <c r="AD225" s="1128">
        <f t="shared" si="228"/>
        <v>52.544912497990531</v>
      </c>
      <c r="AE225" s="1128">
        <f t="shared" si="229"/>
        <v>57.864510206471621</v>
      </c>
      <c r="AF225" s="1128">
        <f t="shared" si="230"/>
        <v>63.11972983874432</v>
      </c>
      <c r="AG225" s="1128">
        <f t="shared" si="231"/>
        <v>66.9407174122708</v>
      </c>
      <c r="AH225" s="1128">
        <f t="shared" si="232"/>
        <v>68.331473632810514</v>
      </c>
      <c r="AI225" s="1128">
        <f t="shared" si="233"/>
        <v>66.929476459277666</v>
      </c>
      <c r="AJ225" s="1128">
        <f t="shared" si="234"/>
        <v>63.100178060384025</v>
      </c>
      <c r="AK225" s="1128">
        <f t="shared" si="235"/>
        <v>57.841744075075809</v>
      </c>
      <c r="AL225" s="1128">
        <f t="shared" si="236"/>
        <v>52.52486635654423</v>
      </c>
      <c r="AM225" s="1125">
        <f t="shared" si="237"/>
        <v>1</v>
      </c>
      <c r="AN225" s="1125">
        <f t="shared" si="238"/>
        <v>1</v>
      </c>
      <c r="AO225" s="1125">
        <f t="shared" si="239"/>
        <v>1</v>
      </c>
      <c r="AP225" s="1125">
        <f t="shared" si="240"/>
        <v>1</v>
      </c>
      <c r="AQ225" s="1125">
        <f t="shared" si="241"/>
        <v>1</v>
      </c>
      <c r="AR225" s="1125">
        <f t="shared" si="242"/>
        <v>0</v>
      </c>
      <c r="AS225" s="1125">
        <f t="shared" si="243"/>
        <v>0</v>
      </c>
      <c r="AT225" s="1125">
        <f t="shared" si="244"/>
        <v>0</v>
      </c>
      <c r="AU225" s="1125">
        <f t="shared" si="245"/>
        <v>1</v>
      </c>
      <c r="AV225" s="1125">
        <f t="shared" si="246"/>
        <v>1</v>
      </c>
      <c r="AW225" s="1125">
        <f t="shared" si="247"/>
        <v>1</v>
      </c>
      <c r="AX225" s="1125">
        <f t="shared" si="248"/>
        <v>1</v>
      </c>
      <c r="AY225" s="1125">
        <f t="shared" si="249"/>
        <v>0</v>
      </c>
      <c r="AZ225" s="1125">
        <f t="shared" si="250"/>
        <v>0</v>
      </c>
      <c r="BA225" s="1125">
        <f t="shared" si="251"/>
        <v>0</v>
      </c>
      <c r="BB225" s="1125">
        <f t="shared" si="252"/>
        <v>0</v>
      </c>
      <c r="BC225" s="1125">
        <f t="shared" si="253"/>
        <v>0</v>
      </c>
      <c r="BD225" s="1125">
        <f t="shared" si="254"/>
        <v>1</v>
      </c>
      <c r="BE225" s="1125">
        <f t="shared" si="255"/>
        <v>1</v>
      </c>
      <c r="BF225" s="1125">
        <f t="shared" si="256"/>
        <v>1</v>
      </c>
      <c r="BG225" s="1125">
        <f t="shared" si="257"/>
        <v>0</v>
      </c>
      <c r="BH225" s="1125">
        <f t="shared" si="258"/>
        <v>0</v>
      </c>
      <c r="BI225" s="1125">
        <f t="shared" si="259"/>
        <v>0</v>
      </c>
      <c r="BJ225" s="1125">
        <f t="shared" si="260"/>
        <v>0</v>
      </c>
      <c r="BK225" s="1125">
        <f t="shared" si="261"/>
        <v>1</v>
      </c>
      <c r="BL225" s="1125">
        <f t="shared" si="262"/>
        <v>1</v>
      </c>
      <c r="BM225" s="1125">
        <f t="shared" si="263"/>
        <v>1</v>
      </c>
      <c r="BN225" s="1125">
        <f t="shared" si="264"/>
        <v>1</v>
      </c>
      <c r="BO225" s="1125">
        <f t="shared" si="265"/>
        <v>1</v>
      </c>
      <c r="BP225" s="1125">
        <f t="shared" si="266"/>
        <v>1</v>
      </c>
      <c r="BQ225" s="1125">
        <f t="shared" si="267"/>
        <v>0</v>
      </c>
      <c r="BR225" s="1125">
        <f t="shared" si="268"/>
        <v>0</v>
      </c>
      <c r="BS225" s="1125">
        <f t="shared" si="269"/>
        <v>1</v>
      </c>
      <c r="BT225" s="1125">
        <f t="shared" si="270"/>
        <v>1</v>
      </c>
      <c r="BU225" s="1125">
        <f t="shared" si="271"/>
        <v>1</v>
      </c>
      <c r="BV225" s="1125">
        <f t="shared" si="272"/>
        <v>1</v>
      </c>
      <c r="BW225" s="1125">
        <f t="shared" si="273"/>
        <v>0</v>
      </c>
      <c r="BX225" s="1125">
        <f t="shared" si="274"/>
        <v>0</v>
      </c>
      <c r="BY225" s="1125">
        <f t="shared" si="275"/>
        <v>0</v>
      </c>
      <c r="BZ225" s="1125">
        <f t="shared" si="276"/>
        <v>0</v>
      </c>
      <c r="CA225" s="1125">
        <f t="shared" si="277"/>
        <v>1</v>
      </c>
      <c r="CB225" s="1125">
        <f t="shared" si="278"/>
        <v>1</v>
      </c>
      <c r="CC225" s="1125">
        <f t="shared" si="279"/>
        <v>1</v>
      </c>
      <c r="CD225" s="1125">
        <f t="shared" si="280"/>
        <v>1</v>
      </c>
      <c r="CE225" s="1125">
        <f t="shared" si="281"/>
        <v>1</v>
      </c>
      <c r="CF225" s="1125">
        <f t="shared" si="282"/>
        <v>0</v>
      </c>
      <c r="CG225" s="1125">
        <f t="shared" si="283"/>
        <v>0</v>
      </c>
      <c r="CH225" s="1125">
        <f t="shared" si="284"/>
        <v>0</v>
      </c>
      <c r="CI225" s="1125">
        <f t="shared" si="285"/>
        <v>0.85</v>
      </c>
      <c r="CJ225" s="1125">
        <f t="shared" si="286"/>
        <v>0.85</v>
      </c>
      <c r="CK225" s="1125">
        <f t="shared" si="287"/>
        <v>0.85</v>
      </c>
      <c r="CL225" s="1125">
        <f t="shared" si="288"/>
        <v>0.85</v>
      </c>
      <c r="CM225" s="1125">
        <f t="shared" si="289"/>
        <v>0.85</v>
      </c>
      <c r="CN225" s="1125">
        <f t="shared" si="290"/>
        <v>0.85</v>
      </c>
      <c r="CO225" s="1125">
        <f t="shared" si="291"/>
        <v>0.7</v>
      </c>
      <c r="CP225" s="1125">
        <f t="shared" si="292"/>
        <v>0.7</v>
      </c>
      <c r="CQ225" s="1125">
        <f t="shared" si="293"/>
        <v>0.85</v>
      </c>
      <c r="CR225" s="1125">
        <f t="shared" si="294"/>
        <v>0.85</v>
      </c>
      <c r="CS225" s="1125">
        <f t="shared" si="295"/>
        <v>0.85</v>
      </c>
      <c r="CT225" s="1125">
        <f t="shared" si="296"/>
        <v>0.85</v>
      </c>
      <c r="CU225" s="1125">
        <v>1</v>
      </c>
      <c r="CV225" s="1125"/>
      <c r="CW225" s="1125">
        <f t="shared" si="297"/>
        <v>153</v>
      </c>
      <c r="CX225" s="1125">
        <f t="shared" si="298"/>
        <v>212</v>
      </c>
      <c r="CY225" s="1136" t="s">
        <v>4889</v>
      </c>
      <c r="CZ225" s="1129" t="s">
        <v>4897</v>
      </c>
      <c r="DA225" s="1129"/>
      <c r="DB225" s="1129"/>
      <c r="DC225" s="1125" t="s">
        <v>6046</v>
      </c>
      <c r="DD225" s="1125" t="s">
        <v>229</v>
      </c>
      <c r="DE225" s="1120" t="b">
        <f t="shared" si="299"/>
        <v>0</v>
      </c>
      <c r="DF225" s="1133">
        <v>0</v>
      </c>
      <c r="DG225" s="1125">
        <v>0</v>
      </c>
    </row>
    <row r="226" spans="1:111">
      <c r="A226" s="1120" t="s">
        <v>3248</v>
      </c>
      <c r="B226" s="1120" t="s">
        <v>3266</v>
      </c>
      <c r="C226" s="1120" t="s">
        <v>3267</v>
      </c>
      <c r="D226" s="1120" t="s">
        <v>594</v>
      </c>
      <c r="E226" s="1120">
        <v>30</v>
      </c>
      <c r="F226" s="1120">
        <v>-81.069999999999993</v>
      </c>
      <c r="G226" s="1120">
        <v>29.18</v>
      </c>
      <c r="H226" s="1120">
        <v>-5</v>
      </c>
      <c r="I226" s="1121">
        <v>38.839999914169312</v>
      </c>
      <c r="J226" s="1121">
        <v>90.860001373291013</v>
      </c>
      <c r="K226" s="1122">
        <v>76.819999313354487</v>
      </c>
      <c r="L226" s="1120">
        <v>720</v>
      </c>
      <c r="M226" s="1120">
        <v>2872.8</v>
      </c>
      <c r="N226" s="1123">
        <v>56.3</v>
      </c>
      <c r="O226" s="1123">
        <v>60.440000343322751</v>
      </c>
      <c r="P226" s="1123">
        <v>65.66000137329101</v>
      </c>
      <c r="Q226" s="1123">
        <v>69.439998626708984</v>
      </c>
      <c r="R226" s="1123">
        <v>74.83999862670899</v>
      </c>
      <c r="S226" s="1123">
        <v>79.33999862670899</v>
      </c>
      <c r="T226" s="1123">
        <v>79.880000686645502</v>
      </c>
      <c r="U226" s="1123">
        <v>80.419999313354495</v>
      </c>
      <c r="V226" s="1123">
        <v>78.439998626708984</v>
      </c>
      <c r="W226" s="1123">
        <v>72.139998626708987</v>
      </c>
      <c r="X226" s="1123">
        <v>66.560001373291016</v>
      </c>
      <c r="Y226" s="1123">
        <v>59.540000343322752</v>
      </c>
      <c r="Z226" s="1123">
        <v>70.295616151470028</v>
      </c>
      <c r="AA226" s="1123">
        <f t="shared" si="225"/>
        <v>68.389896297687272</v>
      </c>
      <c r="AB226" s="1123">
        <f t="shared" si="226"/>
        <v>68.831280101577548</v>
      </c>
      <c r="AC226" s="1123">
        <f t="shared" si="227"/>
        <v>71.218358125772724</v>
      </c>
      <c r="AD226" s="1123">
        <f t="shared" si="228"/>
        <v>74.928901697280466</v>
      </c>
      <c r="AE226" s="1123">
        <f t="shared" si="229"/>
        <v>78.995700452979989</v>
      </c>
      <c r="AF226" s="1123">
        <f t="shared" si="230"/>
        <v>82.358680625932351</v>
      </c>
      <c r="AG226" s="1123">
        <f t="shared" si="231"/>
        <v>84.141229608964309</v>
      </c>
      <c r="AH226" s="1123">
        <f t="shared" si="232"/>
        <v>83.878698539737258</v>
      </c>
      <c r="AI226" s="1123">
        <f t="shared" si="233"/>
        <v>81.639520187171456</v>
      </c>
      <c r="AJ226" s="1123">
        <f t="shared" si="234"/>
        <v>78.007370895646119</v>
      </c>
      <c r="AK226" s="1123">
        <f t="shared" si="235"/>
        <v>73.929026351112185</v>
      </c>
      <c r="AL226" s="1123">
        <f t="shared" si="236"/>
        <v>70.467569908294294</v>
      </c>
      <c r="AM226" s="1120">
        <f t="shared" si="237"/>
        <v>1</v>
      </c>
      <c r="AN226" s="1120">
        <f t="shared" si="238"/>
        <v>1</v>
      </c>
      <c r="AO226" s="1120">
        <f t="shared" si="239"/>
        <v>1</v>
      </c>
      <c r="AP226" s="1120">
        <f t="shared" si="240"/>
        <v>0</v>
      </c>
      <c r="AQ226" s="1120">
        <f t="shared" si="241"/>
        <v>0</v>
      </c>
      <c r="AR226" s="1120">
        <f t="shared" si="242"/>
        <v>0</v>
      </c>
      <c r="AS226" s="1120">
        <f t="shared" si="243"/>
        <v>0</v>
      </c>
      <c r="AT226" s="1120">
        <f t="shared" si="244"/>
        <v>0</v>
      </c>
      <c r="AU226" s="1120">
        <f t="shared" si="245"/>
        <v>0</v>
      </c>
      <c r="AV226" s="1120">
        <f t="shared" si="246"/>
        <v>0</v>
      </c>
      <c r="AW226" s="1120">
        <f t="shared" si="247"/>
        <v>0</v>
      </c>
      <c r="AX226" s="1120">
        <f t="shared" si="248"/>
        <v>1</v>
      </c>
      <c r="AY226" s="1120">
        <f t="shared" si="249"/>
        <v>0</v>
      </c>
      <c r="AZ226" s="1120">
        <f t="shared" si="250"/>
        <v>0</v>
      </c>
      <c r="BA226" s="1120">
        <f t="shared" si="251"/>
        <v>0</v>
      </c>
      <c r="BB226" s="1120">
        <f t="shared" si="252"/>
        <v>1</v>
      </c>
      <c r="BC226" s="1120">
        <f t="shared" si="253"/>
        <v>1</v>
      </c>
      <c r="BD226" s="1120">
        <f t="shared" si="254"/>
        <v>1</v>
      </c>
      <c r="BE226" s="1120">
        <f t="shared" si="255"/>
        <v>1</v>
      </c>
      <c r="BF226" s="1120">
        <f t="shared" si="256"/>
        <v>1</v>
      </c>
      <c r="BG226" s="1120">
        <f t="shared" si="257"/>
        <v>1</v>
      </c>
      <c r="BH226" s="1120">
        <f t="shared" si="258"/>
        <v>1</v>
      </c>
      <c r="BI226" s="1120">
        <f t="shared" si="259"/>
        <v>1</v>
      </c>
      <c r="BJ226" s="1120">
        <f t="shared" si="260"/>
        <v>0</v>
      </c>
      <c r="BK226" s="1120">
        <f t="shared" si="261"/>
        <v>1</v>
      </c>
      <c r="BL226" s="1120">
        <f t="shared" si="262"/>
        <v>1</v>
      </c>
      <c r="BM226" s="1120">
        <f t="shared" si="263"/>
        <v>1</v>
      </c>
      <c r="BN226" s="1120">
        <f t="shared" si="264"/>
        <v>1</v>
      </c>
      <c r="BO226" s="1120">
        <f t="shared" si="265"/>
        <v>0</v>
      </c>
      <c r="BP226" s="1120">
        <f t="shared" si="266"/>
        <v>0</v>
      </c>
      <c r="BQ226" s="1120">
        <f t="shared" si="267"/>
        <v>0</v>
      </c>
      <c r="BR226" s="1120">
        <f t="shared" si="268"/>
        <v>0</v>
      </c>
      <c r="BS226" s="1120">
        <f t="shared" si="269"/>
        <v>0</v>
      </c>
      <c r="BT226" s="1120">
        <f t="shared" si="270"/>
        <v>0</v>
      </c>
      <c r="BU226" s="1120">
        <f t="shared" si="271"/>
        <v>0</v>
      </c>
      <c r="BV226" s="1120">
        <f t="shared" si="272"/>
        <v>1</v>
      </c>
      <c r="BW226" s="1120">
        <f t="shared" si="273"/>
        <v>0</v>
      </c>
      <c r="BX226" s="1120">
        <f t="shared" si="274"/>
        <v>0</v>
      </c>
      <c r="BY226" s="1120">
        <f t="shared" si="275"/>
        <v>1</v>
      </c>
      <c r="BZ226" s="1120">
        <f t="shared" si="276"/>
        <v>1</v>
      </c>
      <c r="CA226" s="1120">
        <f t="shared" si="277"/>
        <v>1</v>
      </c>
      <c r="CB226" s="1120">
        <f t="shared" si="278"/>
        <v>1</v>
      </c>
      <c r="CC226" s="1120">
        <f t="shared" si="279"/>
        <v>1</v>
      </c>
      <c r="CD226" s="1120">
        <f t="shared" si="280"/>
        <v>1</v>
      </c>
      <c r="CE226" s="1120">
        <f t="shared" si="281"/>
        <v>1</v>
      </c>
      <c r="CF226" s="1120">
        <f t="shared" si="282"/>
        <v>1</v>
      </c>
      <c r="CG226" s="1120">
        <f t="shared" si="283"/>
        <v>1</v>
      </c>
      <c r="CH226" s="1120">
        <f t="shared" si="284"/>
        <v>1</v>
      </c>
      <c r="CI226" s="1120">
        <f t="shared" si="285"/>
        <v>0.85</v>
      </c>
      <c r="CJ226" s="1120">
        <f t="shared" si="286"/>
        <v>0.85</v>
      </c>
      <c r="CK226" s="1120">
        <f t="shared" si="287"/>
        <v>0.85</v>
      </c>
      <c r="CL226" s="1120">
        <f t="shared" si="288"/>
        <v>0.85</v>
      </c>
      <c r="CM226" s="1120">
        <f t="shared" si="289"/>
        <v>0.7</v>
      </c>
      <c r="CN226" s="1120">
        <f t="shared" si="290"/>
        <v>0.7</v>
      </c>
      <c r="CO226" s="1120">
        <f t="shared" si="291"/>
        <v>0.7</v>
      </c>
      <c r="CP226" s="1120">
        <f t="shared" si="292"/>
        <v>0.7</v>
      </c>
      <c r="CQ226" s="1120">
        <f t="shared" si="293"/>
        <v>0.7</v>
      </c>
      <c r="CR226" s="1120">
        <f t="shared" si="294"/>
        <v>0.7</v>
      </c>
      <c r="CS226" s="1120">
        <f t="shared" si="295"/>
        <v>0.7</v>
      </c>
      <c r="CT226" s="1120">
        <f t="shared" si="296"/>
        <v>0.85</v>
      </c>
      <c r="CU226" s="1120">
        <v>1</v>
      </c>
      <c r="CV226" s="1120"/>
      <c r="CW226" s="1120">
        <f t="shared" si="297"/>
        <v>306</v>
      </c>
      <c r="CX226" s="1120">
        <f t="shared" si="298"/>
        <v>59</v>
      </c>
      <c r="CY226" s="1136" t="s">
        <v>4883</v>
      </c>
      <c r="CZ226" s="1129" t="s">
        <v>4884</v>
      </c>
      <c r="DA226" s="1129"/>
      <c r="DB226" s="1129"/>
      <c r="DC226" s="1125" t="s">
        <v>5093</v>
      </c>
      <c r="DD226" s="1125" t="s">
        <v>594</v>
      </c>
      <c r="DE226" s="1120" t="str">
        <f t="shared" si="299"/>
        <v/>
      </c>
      <c r="DF226" s="1133">
        <v>1</v>
      </c>
      <c r="DG226" s="1120">
        <v>0</v>
      </c>
    </row>
    <row r="227" spans="1:111">
      <c r="A227" s="1125" t="s">
        <v>3250</v>
      </c>
      <c r="B227" s="1120" t="s">
        <v>611</v>
      </c>
      <c r="C227" s="1120" t="s">
        <v>612</v>
      </c>
      <c r="D227" s="1120" t="s">
        <v>953</v>
      </c>
      <c r="E227" s="1120">
        <v>75</v>
      </c>
      <c r="F227" s="1120">
        <v>-148.47999999999999</v>
      </c>
      <c r="G227" s="1120">
        <v>70.2</v>
      </c>
      <c r="H227" s="1120">
        <v>-9</v>
      </c>
      <c r="I227" s="1121">
        <v>-42.160001373291017</v>
      </c>
      <c r="J227" s="1121">
        <v>62.6</v>
      </c>
      <c r="K227" s="1122">
        <v>55.040000343322752</v>
      </c>
      <c r="L227" s="1120">
        <v>18070.2</v>
      </c>
      <c r="M227" s="1120">
        <v>0</v>
      </c>
      <c r="N227" s="1123">
        <v>-11.739998626708985</v>
      </c>
      <c r="O227" s="1123">
        <v>-23.619999313354494</v>
      </c>
      <c r="P227" s="1123">
        <v>-17.860001373291016</v>
      </c>
      <c r="Q227" s="1123">
        <v>9.6800006866455064</v>
      </c>
      <c r="R227" s="1123">
        <v>29.119999957084655</v>
      </c>
      <c r="S227" s="1123">
        <v>41.9</v>
      </c>
      <c r="T227" s="1123">
        <v>42.8</v>
      </c>
      <c r="U227" s="1123">
        <v>40.1</v>
      </c>
      <c r="V227" s="1123">
        <v>34.880000042915341</v>
      </c>
      <c r="W227" s="1123">
        <v>23.720000171661376</v>
      </c>
      <c r="X227" s="1123">
        <v>10.399999999999999</v>
      </c>
      <c r="Y227" s="1123">
        <v>-3.100000000000001</v>
      </c>
      <c r="Z227" s="1123">
        <v>14.900493274257608</v>
      </c>
      <c r="AA227" s="1123">
        <f t="shared" si="225"/>
        <v>32</v>
      </c>
      <c r="AB227" s="1123">
        <f t="shared" si="226"/>
        <v>32</v>
      </c>
      <c r="AC227" s="1123">
        <f t="shared" si="227"/>
        <v>32</v>
      </c>
      <c r="AD227" s="1123">
        <f t="shared" si="228"/>
        <v>32</v>
      </c>
      <c r="AE227" s="1123">
        <f t="shared" si="229"/>
        <v>32</v>
      </c>
      <c r="AF227" s="1123">
        <f t="shared" si="230"/>
        <v>32</v>
      </c>
      <c r="AG227" s="1123">
        <f t="shared" si="231"/>
        <v>32</v>
      </c>
      <c r="AH227" s="1123">
        <f t="shared" si="232"/>
        <v>32</v>
      </c>
      <c r="AI227" s="1123">
        <f t="shared" si="233"/>
        <v>32</v>
      </c>
      <c r="AJ227" s="1123">
        <f t="shared" si="234"/>
        <v>32</v>
      </c>
      <c r="AK227" s="1123">
        <f t="shared" si="235"/>
        <v>32</v>
      </c>
      <c r="AL227" s="1123">
        <f t="shared" si="236"/>
        <v>32</v>
      </c>
      <c r="AM227" s="1120">
        <f t="shared" si="237"/>
        <v>1</v>
      </c>
      <c r="AN227" s="1120">
        <f t="shared" si="238"/>
        <v>1</v>
      </c>
      <c r="AO227" s="1120">
        <f t="shared" si="239"/>
        <v>1</v>
      </c>
      <c r="AP227" s="1120">
        <f t="shared" si="240"/>
        <v>1</v>
      </c>
      <c r="AQ227" s="1120">
        <f t="shared" si="241"/>
        <v>1</v>
      </c>
      <c r="AR227" s="1120">
        <f t="shared" si="242"/>
        <v>1</v>
      </c>
      <c r="AS227" s="1120">
        <f t="shared" si="243"/>
        <v>1</v>
      </c>
      <c r="AT227" s="1120">
        <f t="shared" si="244"/>
        <v>1</v>
      </c>
      <c r="AU227" s="1120">
        <f t="shared" si="245"/>
        <v>1</v>
      </c>
      <c r="AV227" s="1120">
        <f t="shared" si="246"/>
        <v>1</v>
      </c>
      <c r="AW227" s="1120">
        <f t="shared" si="247"/>
        <v>1</v>
      </c>
      <c r="AX227" s="1120">
        <f t="shared" si="248"/>
        <v>1</v>
      </c>
      <c r="AY227" s="1120">
        <f t="shared" si="249"/>
        <v>0</v>
      </c>
      <c r="AZ227" s="1120">
        <f t="shared" si="250"/>
        <v>0</v>
      </c>
      <c r="BA227" s="1120">
        <f t="shared" si="251"/>
        <v>0</v>
      </c>
      <c r="BB227" s="1120">
        <f t="shared" si="252"/>
        <v>0</v>
      </c>
      <c r="BC227" s="1120">
        <f t="shared" si="253"/>
        <v>0</v>
      </c>
      <c r="BD227" s="1120">
        <f t="shared" si="254"/>
        <v>0</v>
      </c>
      <c r="BE227" s="1120">
        <f t="shared" si="255"/>
        <v>1</v>
      </c>
      <c r="BF227" s="1120">
        <f t="shared" si="256"/>
        <v>1</v>
      </c>
      <c r="BG227" s="1120">
        <f t="shared" si="257"/>
        <v>0</v>
      </c>
      <c r="BH227" s="1120">
        <f t="shared" si="258"/>
        <v>0</v>
      </c>
      <c r="BI227" s="1120">
        <f t="shared" si="259"/>
        <v>0</v>
      </c>
      <c r="BJ227" s="1120">
        <f t="shared" si="260"/>
        <v>0</v>
      </c>
      <c r="BK227" s="1120">
        <f t="shared" si="261"/>
        <v>1</v>
      </c>
      <c r="BL227" s="1120">
        <f t="shared" si="262"/>
        <v>1</v>
      </c>
      <c r="BM227" s="1120">
        <f t="shared" si="263"/>
        <v>1</v>
      </c>
      <c r="BN227" s="1120">
        <f t="shared" si="264"/>
        <v>1</v>
      </c>
      <c r="BO227" s="1120">
        <f t="shared" si="265"/>
        <v>1</v>
      </c>
      <c r="BP227" s="1120">
        <f t="shared" si="266"/>
        <v>1</v>
      </c>
      <c r="BQ227" s="1120">
        <f t="shared" si="267"/>
        <v>1</v>
      </c>
      <c r="BR227" s="1120">
        <f t="shared" si="268"/>
        <v>1</v>
      </c>
      <c r="BS227" s="1120">
        <f t="shared" si="269"/>
        <v>1</v>
      </c>
      <c r="BT227" s="1120">
        <f t="shared" si="270"/>
        <v>1</v>
      </c>
      <c r="BU227" s="1120">
        <f t="shared" si="271"/>
        <v>1</v>
      </c>
      <c r="BV227" s="1120">
        <f t="shared" si="272"/>
        <v>1</v>
      </c>
      <c r="BW227" s="1120">
        <f t="shared" si="273"/>
        <v>0</v>
      </c>
      <c r="BX227" s="1120">
        <f t="shared" si="274"/>
        <v>0</v>
      </c>
      <c r="BY227" s="1120">
        <f t="shared" si="275"/>
        <v>0</v>
      </c>
      <c r="BZ227" s="1120">
        <f t="shared" si="276"/>
        <v>0</v>
      </c>
      <c r="CA227" s="1120">
        <f t="shared" si="277"/>
        <v>0</v>
      </c>
      <c r="CB227" s="1120">
        <f t="shared" si="278"/>
        <v>0</v>
      </c>
      <c r="CC227" s="1120">
        <f t="shared" si="279"/>
        <v>1</v>
      </c>
      <c r="CD227" s="1120">
        <f t="shared" si="280"/>
        <v>1</v>
      </c>
      <c r="CE227" s="1120">
        <f t="shared" si="281"/>
        <v>0</v>
      </c>
      <c r="CF227" s="1120">
        <f t="shared" si="282"/>
        <v>0</v>
      </c>
      <c r="CG227" s="1120">
        <f t="shared" si="283"/>
        <v>0</v>
      </c>
      <c r="CH227" s="1120">
        <f t="shared" si="284"/>
        <v>0</v>
      </c>
      <c r="CI227" s="1120">
        <f t="shared" si="285"/>
        <v>0.85</v>
      </c>
      <c r="CJ227" s="1120">
        <f t="shared" si="286"/>
        <v>0.85</v>
      </c>
      <c r="CK227" s="1120">
        <f t="shared" si="287"/>
        <v>0.85</v>
      </c>
      <c r="CL227" s="1120">
        <f t="shared" si="288"/>
        <v>0.85</v>
      </c>
      <c r="CM227" s="1120">
        <f t="shared" si="289"/>
        <v>0.85</v>
      </c>
      <c r="CN227" s="1120">
        <f t="shared" si="290"/>
        <v>0.85</v>
      </c>
      <c r="CO227" s="1120">
        <f t="shared" si="291"/>
        <v>0.85</v>
      </c>
      <c r="CP227" s="1120">
        <f t="shared" si="292"/>
        <v>0.85</v>
      </c>
      <c r="CQ227" s="1120">
        <f t="shared" si="293"/>
        <v>0.85</v>
      </c>
      <c r="CR227" s="1120">
        <f t="shared" si="294"/>
        <v>0.85</v>
      </c>
      <c r="CS227" s="1120">
        <f t="shared" si="295"/>
        <v>0.85</v>
      </c>
      <c r="CT227" s="1120">
        <f t="shared" si="296"/>
        <v>0.85</v>
      </c>
      <c r="CU227" s="1120">
        <v>1</v>
      </c>
      <c r="CV227" s="1120"/>
      <c r="CW227" s="1120">
        <f t="shared" si="297"/>
        <v>62</v>
      </c>
      <c r="CX227" s="1120">
        <f t="shared" si="298"/>
        <v>303</v>
      </c>
      <c r="CY227" s="1135" t="s">
        <v>4880</v>
      </c>
      <c r="CZ227" s="1124">
        <v>8</v>
      </c>
      <c r="DA227" s="1124"/>
      <c r="DB227" s="1124"/>
      <c r="DC227" s="1120" t="s">
        <v>4919</v>
      </c>
      <c r="DD227" s="1120" t="s">
        <v>953</v>
      </c>
      <c r="DE227" s="1120" t="str">
        <f t="shared" si="299"/>
        <v/>
      </c>
      <c r="DF227" s="1120">
        <v>1</v>
      </c>
      <c r="DG227" s="1125">
        <v>0</v>
      </c>
    </row>
    <row r="228" spans="1:111">
      <c r="A228" s="1120" t="s">
        <v>3252</v>
      </c>
      <c r="B228" s="1125" t="s">
        <v>1985</v>
      </c>
      <c r="C228" s="1125" t="s">
        <v>1868</v>
      </c>
      <c r="D228" s="1125" t="s">
        <v>932</v>
      </c>
      <c r="E228" s="1125">
        <v>699</v>
      </c>
      <c r="F228" s="1125">
        <v>-88.87</v>
      </c>
      <c r="G228" s="1125">
        <v>39.83</v>
      </c>
      <c r="H228" s="1125">
        <v>-6</v>
      </c>
      <c r="I228" s="1126">
        <v>4.640000343322753</v>
      </c>
      <c r="J228" s="1126">
        <v>90.5</v>
      </c>
      <c r="K228" s="1127">
        <v>75.739998626708982</v>
      </c>
      <c r="L228" s="1125">
        <v>5349.6</v>
      </c>
      <c r="M228" s="1125">
        <v>1220.4000000000001</v>
      </c>
      <c r="N228" s="1128">
        <v>28.580000042915344</v>
      </c>
      <c r="O228" s="1128">
        <v>35.419999957084656</v>
      </c>
      <c r="P228" s="1128">
        <v>43.879999828338626</v>
      </c>
      <c r="Q228" s="1128">
        <v>54.140000343322754</v>
      </c>
      <c r="R228" s="1128">
        <v>62.960001373291014</v>
      </c>
      <c r="S228" s="1128">
        <v>71.599999999999994</v>
      </c>
      <c r="T228" s="1128">
        <v>73.760001373291018</v>
      </c>
      <c r="U228" s="1128">
        <v>78.980000686645511</v>
      </c>
      <c r="V228" s="1128">
        <v>65.3</v>
      </c>
      <c r="W228" s="1128">
        <v>53.959999656677248</v>
      </c>
      <c r="X228" s="1128">
        <v>40.1</v>
      </c>
      <c r="Y228" s="1128">
        <v>27.5</v>
      </c>
      <c r="Z228" s="1128">
        <v>53.10734274217527</v>
      </c>
      <c r="AA228" s="1128">
        <f t="shared" si="225"/>
        <v>47.701323062138755</v>
      </c>
      <c r="AB228" s="1128">
        <f t="shared" si="226"/>
        <v>46.498675286042506</v>
      </c>
      <c r="AC228" s="1128">
        <f t="shared" si="227"/>
        <v>48.582670987834334</v>
      </c>
      <c r="AD228" s="1128">
        <f t="shared" si="228"/>
        <v>53.410084572496316</v>
      </c>
      <c r="AE228" s="1128">
        <f t="shared" si="229"/>
        <v>59.722576296491113</v>
      </c>
      <c r="AF228" s="1128">
        <f t="shared" si="230"/>
        <v>65.874697913517423</v>
      </c>
      <c r="AG228" s="1128">
        <f t="shared" si="231"/>
        <v>70.26280411703344</v>
      </c>
      <c r="AH228" s="1128">
        <f t="shared" si="232"/>
        <v>71.743067402329189</v>
      </c>
      <c r="AI228" s="1128">
        <f t="shared" si="233"/>
        <v>69.929634332544609</v>
      </c>
      <c r="AJ228" s="1128">
        <f t="shared" si="234"/>
        <v>65.295204183168565</v>
      </c>
      <c r="AK228" s="1128">
        <f t="shared" si="235"/>
        <v>59.047812591366359</v>
      </c>
      <c r="AL228" s="1128">
        <f t="shared" si="236"/>
        <v>52.815938450759887</v>
      </c>
      <c r="AM228" s="1125">
        <f t="shared" si="237"/>
        <v>1</v>
      </c>
      <c r="AN228" s="1125">
        <f t="shared" si="238"/>
        <v>1</v>
      </c>
      <c r="AO228" s="1125">
        <f t="shared" si="239"/>
        <v>1</v>
      </c>
      <c r="AP228" s="1125">
        <f t="shared" si="240"/>
        <v>1</v>
      </c>
      <c r="AQ228" s="1125">
        <f t="shared" si="241"/>
        <v>1</v>
      </c>
      <c r="AR228" s="1125">
        <f t="shared" si="242"/>
        <v>0</v>
      </c>
      <c r="AS228" s="1125">
        <f t="shared" si="243"/>
        <v>0</v>
      </c>
      <c r="AT228" s="1125">
        <f t="shared" si="244"/>
        <v>0</v>
      </c>
      <c r="AU228" s="1125">
        <f t="shared" si="245"/>
        <v>1</v>
      </c>
      <c r="AV228" s="1125">
        <f t="shared" si="246"/>
        <v>1</v>
      </c>
      <c r="AW228" s="1125">
        <f t="shared" si="247"/>
        <v>1</v>
      </c>
      <c r="AX228" s="1125">
        <f t="shared" si="248"/>
        <v>1</v>
      </c>
      <c r="AY228" s="1125">
        <f t="shared" si="249"/>
        <v>0</v>
      </c>
      <c r="AZ228" s="1125">
        <f t="shared" si="250"/>
        <v>0</v>
      </c>
      <c r="BA228" s="1125">
        <f t="shared" si="251"/>
        <v>0</v>
      </c>
      <c r="BB228" s="1125">
        <f t="shared" si="252"/>
        <v>0</v>
      </c>
      <c r="BC228" s="1125">
        <f t="shared" si="253"/>
        <v>0</v>
      </c>
      <c r="BD228" s="1125">
        <f t="shared" si="254"/>
        <v>1</v>
      </c>
      <c r="BE228" s="1125">
        <f t="shared" si="255"/>
        <v>1</v>
      </c>
      <c r="BF228" s="1125">
        <f t="shared" si="256"/>
        <v>1</v>
      </c>
      <c r="BG228" s="1125">
        <f t="shared" si="257"/>
        <v>0</v>
      </c>
      <c r="BH228" s="1125">
        <f t="shared" si="258"/>
        <v>0</v>
      </c>
      <c r="BI228" s="1125">
        <f t="shared" si="259"/>
        <v>0</v>
      </c>
      <c r="BJ228" s="1125">
        <f t="shared" si="260"/>
        <v>0</v>
      </c>
      <c r="BK228" s="1125">
        <f t="shared" si="261"/>
        <v>1</v>
      </c>
      <c r="BL228" s="1125">
        <f t="shared" si="262"/>
        <v>1</v>
      </c>
      <c r="BM228" s="1125">
        <f t="shared" si="263"/>
        <v>1</v>
      </c>
      <c r="BN228" s="1125">
        <f t="shared" si="264"/>
        <v>1</v>
      </c>
      <c r="BO228" s="1125">
        <f t="shared" si="265"/>
        <v>1</v>
      </c>
      <c r="BP228" s="1125">
        <f t="shared" si="266"/>
        <v>1</v>
      </c>
      <c r="BQ228" s="1125">
        <f t="shared" si="267"/>
        <v>0</v>
      </c>
      <c r="BR228" s="1125">
        <f t="shared" si="268"/>
        <v>0</v>
      </c>
      <c r="BS228" s="1125">
        <f t="shared" si="269"/>
        <v>1</v>
      </c>
      <c r="BT228" s="1125">
        <f t="shared" si="270"/>
        <v>1</v>
      </c>
      <c r="BU228" s="1125">
        <f t="shared" si="271"/>
        <v>1</v>
      </c>
      <c r="BV228" s="1125">
        <f t="shared" si="272"/>
        <v>1</v>
      </c>
      <c r="BW228" s="1125">
        <f t="shared" si="273"/>
        <v>0</v>
      </c>
      <c r="BX228" s="1125">
        <f t="shared" si="274"/>
        <v>0</v>
      </c>
      <c r="BY228" s="1125">
        <f t="shared" si="275"/>
        <v>0</v>
      </c>
      <c r="BZ228" s="1125">
        <f t="shared" si="276"/>
        <v>0</v>
      </c>
      <c r="CA228" s="1125">
        <f t="shared" si="277"/>
        <v>1</v>
      </c>
      <c r="CB228" s="1125">
        <f t="shared" si="278"/>
        <v>1</v>
      </c>
      <c r="CC228" s="1125">
        <f t="shared" si="279"/>
        <v>1</v>
      </c>
      <c r="CD228" s="1125">
        <f t="shared" si="280"/>
        <v>1</v>
      </c>
      <c r="CE228" s="1125">
        <f t="shared" si="281"/>
        <v>1</v>
      </c>
      <c r="CF228" s="1125">
        <f t="shared" si="282"/>
        <v>0</v>
      </c>
      <c r="CG228" s="1125">
        <f t="shared" si="283"/>
        <v>0</v>
      </c>
      <c r="CH228" s="1125">
        <f t="shared" si="284"/>
        <v>0</v>
      </c>
      <c r="CI228" s="1125">
        <f t="shared" si="285"/>
        <v>0.85</v>
      </c>
      <c r="CJ228" s="1125">
        <f t="shared" si="286"/>
        <v>0.85</v>
      </c>
      <c r="CK228" s="1125">
        <f t="shared" si="287"/>
        <v>0.85</v>
      </c>
      <c r="CL228" s="1125">
        <f t="shared" si="288"/>
        <v>0.85</v>
      </c>
      <c r="CM228" s="1125">
        <f t="shared" si="289"/>
        <v>0.85</v>
      </c>
      <c r="CN228" s="1125">
        <f t="shared" si="290"/>
        <v>0.85</v>
      </c>
      <c r="CO228" s="1125">
        <f t="shared" si="291"/>
        <v>0.7</v>
      </c>
      <c r="CP228" s="1125">
        <f t="shared" si="292"/>
        <v>0.7</v>
      </c>
      <c r="CQ228" s="1125">
        <f t="shared" si="293"/>
        <v>0.85</v>
      </c>
      <c r="CR228" s="1125">
        <f t="shared" si="294"/>
        <v>0.85</v>
      </c>
      <c r="CS228" s="1125">
        <f t="shared" si="295"/>
        <v>0.85</v>
      </c>
      <c r="CT228" s="1125">
        <f t="shared" si="296"/>
        <v>0.85</v>
      </c>
      <c r="CU228" s="1125">
        <v>1</v>
      </c>
      <c r="CV228" s="1125"/>
      <c r="CW228" s="1125">
        <f t="shared" si="297"/>
        <v>153</v>
      </c>
      <c r="CX228" s="1125">
        <f t="shared" si="298"/>
        <v>212</v>
      </c>
      <c r="CY228" s="1135" t="s">
        <v>4889</v>
      </c>
      <c r="CZ228" s="1124" t="s">
        <v>4897</v>
      </c>
      <c r="DA228" s="1124"/>
      <c r="DB228" s="1124"/>
      <c r="DC228" s="1120" t="s">
        <v>5206</v>
      </c>
      <c r="DD228" s="1120" t="s">
        <v>932</v>
      </c>
      <c r="DE228" s="1120" t="str">
        <f t="shared" si="299"/>
        <v/>
      </c>
      <c r="DF228" s="1133">
        <v>1</v>
      </c>
      <c r="DG228" s="1120">
        <v>0</v>
      </c>
    </row>
    <row r="229" spans="1:111">
      <c r="A229" s="1125" t="s">
        <v>3254</v>
      </c>
      <c r="B229" s="1120" t="s">
        <v>3426</v>
      </c>
      <c r="C229" s="1120" t="s">
        <v>3427</v>
      </c>
      <c r="D229" s="1120" t="s">
        <v>566</v>
      </c>
      <c r="E229" s="1120">
        <v>1158</v>
      </c>
      <c r="F229" s="1120">
        <v>-91.73</v>
      </c>
      <c r="G229" s="1120">
        <v>43.28</v>
      </c>
      <c r="H229" s="1120">
        <v>-6</v>
      </c>
      <c r="I229" s="1121">
        <v>-0.58000068664550863</v>
      </c>
      <c r="J229" s="1121">
        <v>90.139998626708987</v>
      </c>
      <c r="K229" s="1122">
        <v>77.180000686645513</v>
      </c>
      <c r="L229" s="1120">
        <v>5936.4000000000005</v>
      </c>
      <c r="M229" s="1120">
        <v>1038.6000000000001</v>
      </c>
      <c r="N229" s="1123">
        <v>21.020000171661376</v>
      </c>
      <c r="O229" s="1123">
        <v>28.76000008583069</v>
      </c>
      <c r="P229" s="1123">
        <v>44.779999828338624</v>
      </c>
      <c r="Q229" s="1123">
        <v>51.619999313354491</v>
      </c>
      <c r="R229" s="1123">
        <v>60.259999656677245</v>
      </c>
      <c r="S229" s="1123">
        <v>69.980000686645511</v>
      </c>
      <c r="T229" s="1123">
        <v>75.019999313354489</v>
      </c>
      <c r="U229" s="1123">
        <v>74.83999862670899</v>
      </c>
      <c r="V229" s="1123">
        <v>67.280000686645508</v>
      </c>
      <c r="W229" s="1123">
        <v>54.140000343322754</v>
      </c>
      <c r="X229" s="1123">
        <v>35.23999991416931</v>
      </c>
      <c r="Y229" s="1123">
        <v>27.320000171661377</v>
      </c>
      <c r="Z229" s="1123">
        <v>50.979890306551162</v>
      </c>
      <c r="AA229" s="1123">
        <f t="shared" si="225"/>
        <v>45.74163441406516</v>
      </c>
      <c r="AB229" s="1123">
        <f t="shared" si="226"/>
        <v>44.302682104315217</v>
      </c>
      <c r="AC229" s="1123">
        <f t="shared" si="227"/>
        <v>46.168239474170022</v>
      </c>
      <c r="AD229" s="1123">
        <f t="shared" si="228"/>
        <v>50.852020246067617</v>
      </c>
      <c r="AE229" s="1123">
        <f t="shared" si="229"/>
        <v>57.133124782566355</v>
      </c>
      <c r="AF229" s="1123">
        <f t="shared" si="230"/>
        <v>63.374286391476979</v>
      </c>
      <c r="AG229" s="1123">
        <f t="shared" si="231"/>
        <v>67.94865012022521</v>
      </c>
      <c r="AH229" s="1123">
        <f t="shared" si="232"/>
        <v>69.663837569833973</v>
      </c>
      <c r="AI229" s="1123">
        <f t="shared" si="233"/>
        <v>68.072758699724062</v>
      </c>
      <c r="AJ229" s="1123">
        <f t="shared" si="234"/>
        <v>63.590152736657174</v>
      </c>
      <c r="AK229" s="1123">
        <f t="shared" si="235"/>
        <v>57.384480003955623</v>
      </c>
      <c r="AL229" s="1123">
        <f t="shared" si="236"/>
        <v>51.073344731709639</v>
      </c>
      <c r="AM229" s="1120">
        <f t="shared" si="237"/>
        <v>1</v>
      </c>
      <c r="AN229" s="1120">
        <f t="shared" si="238"/>
        <v>1</v>
      </c>
      <c r="AO229" s="1120">
        <f t="shared" si="239"/>
        <v>1</v>
      </c>
      <c r="AP229" s="1120">
        <f t="shared" si="240"/>
        <v>1</v>
      </c>
      <c r="AQ229" s="1120">
        <f t="shared" si="241"/>
        <v>1</v>
      </c>
      <c r="AR229" s="1120">
        <f t="shared" si="242"/>
        <v>0</v>
      </c>
      <c r="AS229" s="1120">
        <f t="shared" si="243"/>
        <v>0</v>
      </c>
      <c r="AT229" s="1120">
        <f t="shared" si="244"/>
        <v>0</v>
      </c>
      <c r="AU229" s="1120">
        <f t="shared" si="245"/>
        <v>0</v>
      </c>
      <c r="AV229" s="1120">
        <f t="shared" si="246"/>
        <v>1</v>
      </c>
      <c r="AW229" s="1120">
        <f t="shared" si="247"/>
        <v>1</v>
      </c>
      <c r="AX229" s="1120">
        <f t="shared" si="248"/>
        <v>1</v>
      </c>
      <c r="AY229" s="1120">
        <f t="shared" si="249"/>
        <v>0</v>
      </c>
      <c r="AZ229" s="1120">
        <f t="shared" si="250"/>
        <v>0</v>
      </c>
      <c r="BA229" s="1120">
        <f t="shared" si="251"/>
        <v>0</v>
      </c>
      <c r="BB229" s="1120">
        <f t="shared" si="252"/>
        <v>0</v>
      </c>
      <c r="BC229" s="1120">
        <f t="shared" si="253"/>
        <v>0</v>
      </c>
      <c r="BD229" s="1120">
        <f t="shared" si="254"/>
        <v>1</v>
      </c>
      <c r="BE229" s="1120">
        <f t="shared" si="255"/>
        <v>1</v>
      </c>
      <c r="BF229" s="1120">
        <f t="shared" si="256"/>
        <v>1</v>
      </c>
      <c r="BG229" s="1120">
        <f t="shared" si="257"/>
        <v>1</v>
      </c>
      <c r="BH229" s="1120">
        <f t="shared" si="258"/>
        <v>0</v>
      </c>
      <c r="BI229" s="1120">
        <f t="shared" si="259"/>
        <v>0</v>
      </c>
      <c r="BJ229" s="1120">
        <f t="shared" si="260"/>
        <v>0</v>
      </c>
      <c r="BK229" s="1120">
        <f t="shared" si="261"/>
        <v>1</v>
      </c>
      <c r="BL229" s="1120">
        <f t="shared" si="262"/>
        <v>1</v>
      </c>
      <c r="BM229" s="1120">
        <f t="shared" si="263"/>
        <v>1</v>
      </c>
      <c r="BN229" s="1120">
        <f t="shared" si="264"/>
        <v>1</v>
      </c>
      <c r="BO229" s="1120">
        <f t="shared" si="265"/>
        <v>1</v>
      </c>
      <c r="BP229" s="1120">
        <f t="shared" si="266"/>
        <v>1</v>
      </c>
      <c r="BQ229" s="1120">
        <f t="shared" si="267"/>
        <v>0</v>
      </c>
      <c r="BR229" s="1120">
        <f t="shared" si="268"/>
        <v>0</v>
      </c>
      <c r="BS229" s="1120">
        <f t="shared" si="269"/>
        <v>0</v>
      </c>
      <c r="BT229" s="1120">
        <f t="shared" si="270"/>
        <v>1</v>
      </c>
      <c r="BU229" s="1120">
        <f t="shared" si="271"/>
        <v>1</v>
      </c>
      <c r="BV229" s="1120">
        <f t="shared" si="272"/>
        <v>1</v>
      </c>
      <c r="BW229" s="1120">
        <f t="shared" si="273"/>
        <v>0</v>
      </c>
      <c r="BX229" s="1120">
        <f t="shared" si="274"/>
        <v>0</v>
      </c>
      <c r="BY229" s="1120">
        <f t="shared" si="275"/>
        <v>0</v>
      </c>
      <c r="BZ229" s="1120">
        <f t="shared" si="276"/>
        <v>0</v>
      </c>
      <c r="CA229" s="1120">
        <f t="shared" si="277"/>
        <v>1</v>
      </c>
      <c r="CB229" s="1120">
        <f t="shared" si="278"/>
        <v>1</v>
      </c>
      <c r="CC229" s="1120">
        <f t="shared" si="279"/>
        <v>1</v>
      </c>
      <c r="CD229" s="1120">
        <f t="shared" si="280"/>
        <v>1</v>
      </c>
      <c r="CE229" s="1120">
        <f t="shared" si="281"/>
        <v>1</v>
      </c>
      <c r="CF229" s="1120">
        <f t="shared" si="282"/>
        <v>1</v>
      </c>
      <c r="CG229" s="1120">
        <f t="shared" si="283"/>
        <v>0</v>
      </c>
      <c r="CH229" s="1120">
        <f t="shared" si="284"/>
        <v>0</v>
      </c>
      <c r="CI229" s="1120">
        <f t="shared" si="285"/>
        <v>0.85</v>
      </c>
      <c r="CJ229" s="1120">
        <f t="shared" si="286"/>
        <v>0.85</v>
      </c>
      <c r="CK229" s="1120">
        <f t="shared" si="287"/>
        <v>0.85</v>
      </c>
      <c r="CL229" s="1120">
        <f t="shared" si="288"/>
        <v>0.85</v>
      </c>
      <c r="CM229" s="1120">
        <f t="shared" si="289"/>
        <v>0.85</v>
      </c>
      <c r="CN229" s="1120">
        <f t="shared" si="290"/>
        <v>0.85</v>
      </c>
      <c r="CO229" s="1120">
        <f t="shared" si="291"/>
        <v>0.7</v>
      </c>
      <c r="CP229" s="1120">
        <f t="shared" si="292"/>
        <v>0.7</v>
      </c>
      <c r="CQ229" s="1120">
        <f t="shared" si="293"/>
        <v>0.7</v>
      </c>
      <c r="CR229" s="1120">
        <f t="shared" si="294"/>
        <v>0.85</v>
      </c>
      <c r="CS229" s="1120">
        <f t="shared" si="295"/>
        <v>0.85</v>
      </c>
      <c r="CT229" s="1120">
        <f t="shared" si="296"/>
        <v>0.85</v>
      </c>
      <c r="CU229" s="1120">
        <v>1</v>
      </c>
      <c r="CV229" s="1120"/>
      <c r="CW229" s="1120">
        <f t="shared" si="297"/>
        <v>184</v>
      </c>
      <c r="CX229" s="1120">
        <f t="shared" si="298"/>
        <v>181</v>
      </c>
      <c r="CY229" s="1135" t="s">
        <v>4889</v>
      </c>
      <c r="CZ229" s="1124" t="s">
        <v>4899</v>
      </c>
      <c r="DA229" s="1124"/>
      <c r="DB229" s="1124"/>
      <c r="DC229" s="1120" t="s">
        <v>5168</v>
      </c>
      <c r="DD229" s="1120" t="s">
        <v>566</v>
      </c>
      <c r="DE229" s="1120" t="str">
        <f t="shared" si="299"/>
        <v/>
      </c>
      <c r="DF229" s="1133">
        <v>1</v>
      </c>
      <c r="DG229" s="1125">
        <v>0</v>
      </c>
    </row>
    <row r="230" spans="1:111">
      <c r="A230" s="1120" t="s">
        <v>3256</v>
      </c>
      <c r="B230" s="1120" t="s">
        <v>3062</v>
      </c>
      <c r="C230" s="1120" t="s">
        <v>3063</v>
      </c>
      <c r="D230" s="1120" t="s">
        <v>1250</v>
      </c>
      <c r="E230" s="1120">
        <v>1476</v>
      </c>
      <c r="F230" s="1120">
        <v>-112.08</v>
      </c>
      <c r="G230" s="1120">
        <v>33.68</v>
      </c>
      <c r="H230" s="1120">
        <v>-7</v>
      </c>
      <c r="I230" s="1121">
        <v>39.02000017166138</v>
      </c>
      <c r="J230" s="1121">
        <v>107.77999725341797</v>
      </c>
      <c r="K230" s="1122">
        <v>69.980000686645511</v>
      </c>
      <c r="L230" s="1120">
        <v>1240.2</v>
      </c>
      <c r="M230" s="1120">
        <v>4377.6000000000004</v>
      </c>
      <c r="N230" s="1123">
        <v>55.219999313354492</v>
      </c>
      <c r="O230" s="1123">
        <v>54.319999313354494</v>
      </c>
      <c r="P230" s="1123">
        <v>56.3</v>
      </c>
      <c r="Q230" s="1123">
        <v>73.939998626708984</v>
      </c>
      <c r="R230" s="1123">
        <v>81.860001373291013</v>
      </c>
      <c r="S230" s="1123">
        <v>90.139998626708987</v>
      </c>
      <c r="T230" s="1123">
        <v>92.120002746582031</v>
      </c>
      <c r="U230" s="1123">
        <v>91.939998626708984</v>
      </c>
      <c r="V230" s="1123">
        <v>88.7</v>
      </c>
      <c r="W230" s="1123">
        <v>74.66000137329101</v>
      </c>
      <c r="X230" s="1123">
        <v>60.980000686645511</v>
      </c>
      <c r="Y230" s="1123">
        <v>54.5</v>
      </c>
      <c r="Z230" s="1123">
        <v>72.981808288783242</v>
      </c>
      <c r="AA230" s="1123">
        <f t="shared" si="225"/>
        <v>66.014103764678111</v>
      </c>
      <c r="AB230" s="1123">
        <f t="shared" si="226"/>
        <v>67.038871657595834</v>
      </c>
      <c r="AC230" s="1123">
        <f t="shared" si="227"/>
        <v>71.176750029657057</v>
      </c>
      <c r="AD230" s="1123">
        <f t="shared" si="228"/>
        <v>77.349137116548135</v>
      </c>
      <c r="AE230" s="1123">
        <f t="shared" si="229"/>
        <v>83.947105104706651</v>
      </c>
      <c r="AF230" s="1123">
        <f t="shared" si="230"/>
        <v>89.250791960254617</v>
      </c>
      <c r="AG230" s="1123">
        <f t="shared" si="231"/>
        <v>91.877709972005022</v>
      </c>
      <c r="AH230" s="1123">
        <f t="shared" si="232"/>
        <v>91.143112478163175</v>
      </c>
      <c r="AI230" s="1123">
        <f t="shared" si="233"/>
        <v>87.238483635988985</v>
      </c>
      <c r="AJ230" s="1123">
        <f t="shared" si="234"/>
        <v>81.181625125347026</v>
      </c>
      <c r="AK230" s="1123">
        <f t="shared" si="235"/>
        <v>74.551350456051111</v>
      </c>
      <c r="AL230" s="1123">
        <f t="shared" si="236"/>
        <v>69.075942896278704</v>
      </c>
      <c r="AM230" s="1120">
        <f t="shared" si="237"/>
        <v>1</v>
      </c>
      <c r="AN230" s="1120">
        <f t="shared" si="238"/>
        <v>1</v>
      </c>
      <c r="AO230" s="1120">
        <f t="shared" si="239"/>
        <v>1</v>
      </c>
      <c r="AP230" s="1120">
        <f t="shared" si="240"/>
        <v>0</v>
      </c>
      <c r="AQ230" s="1120">
        <f t="shared" si="241"/>
        <v>0</v>
      </c>
      <c r="AR230" s="1120">
        <f t="shared" si="242"/>
        <v>0</v>
      </c>
      <c r="AS230" s="1120">
        <f t="shared" si="243"/>
        <v>0</v>
      </c>
      <c r="AT230" s="1120">
        <f t="shared" si="244"/>
        <v>0</v>
      </c>
      <c r="AU230" s="1120">
        <f t="shared" si="245"/>
        <v>0</v>
      </c>
      <c r="AV230" s="1120">
        <f t="shared" si="246"/>
        <v>0</v>
      </c>
      <c r="AW230" s="1120">
        <f t="shared" si="247"/>
        <v>1</v>
      </c>
      <c r="AX230" s="1120">
        <f t="shared" si="248"/>
        <v>1</v>
      </c>
      <c r="AY230" s="1120">
        <f t="shared" si="249"/>
        <v>0</v>
      </c>
      <c r="AZ230" s="1120">
        <f t="shared" si="250"/>
        <v>0</v>
      </c>
      <c r="BA230" s="1120">
        <f t="shared" si="251"/>
        <v>0</v>
      </c>
      <c r="BB230" s="1120">
        <f t="shared" si="252"/>
        <v>1</v>
      </c>
      <c r="BC230" s="1120">
        <f t="shared" si="253"/>
        <v>1</v>
      </c>
      <c r="BD230" s="1120">
        <f t="shared" si="254"/>
        <v>1</v>
      </c>
      <c r="BE230" s="1120">
        <f t="shared" si="255"/>
        <v>1</v>
      </c>
      <c r="BF230" s="1120">
        <f t="shared" si="256"/>
        <v>1</v>
      </c>
      <c r="BG230" s="1120">
        <f t="shared" si="257"/>
        <v>1</v>
      </c>
      <c r="BH230" s="1120">
        <f t="shared" si="258"/>
        <v>1</v>
      </c>
      <c r="BI230" s="1120">
        <f t="shared" si="259"/>
        <v>0</v>
      </c>
      <c r="BJ230" s="1120">
        <f t="shared" si="260"/>
        <v>0</v>
      </c>
      <c r="BK230" s="1120">
        <f t="shared" si="261"/>
        <v>1</v>
      </c>
      <c r="BL230" s="1120">
        <f t="shared" si="262"/>
        <v>1</v>
      </c>
      <c r="BM230" s="1120">
        <f t="shared" si="263"/>
        <v>1</v>
      </c>
      <c r="BN230" s="1120">
        <f t="shared" si="264"/>
        <v>1</v>
      </c>
      <c r="BO230" s="1120">
        <f t="shared" si="265"/>
        <v>0</v>
      </c>
      <c r="BP230" s="1120">
        <f t="shared" si="266"/>
        <v>0</v>
      </c>
      <c r="BQ230" s="1120">
        <f t="shared" si="267"/>
        <v>0</v>
      </c>
      <c r="BR230" s="1120">
        <f t="shared" si="268"/>
        <v>0</v>
      </c>
      <c r="BS230" s="1120">
        <f t="shared" si="269"/>
        <v>0</v>
      </c>
      <c r="BT230" s="1120">
        <f t="shared" si="270"/>
        <v>0</v>
      </c>
      <c r="BU230" s="1120">
        <f t="shared" si="271"/>
        <v>1</v>
      </c>
      <c r="BV230" s="1120">
        <f t="shared" si="272"/>
        <v>1</v>
      </c>
      <c r="BW230" s="1120">
        <f t="shared" si="273"/>
        <v>0</v>
      </c>
      <c r="BX230" s="1120">
        <f t="shared" si="274"/>
        <v>0</v>
      </c>
      <c r="BY230" s="1120">
        <f t="shared" si="275"/>
        <v>1</v>
      </c>
      <c r="BZ230" s="1120">
        <f t="shared" si="276"/>
        <v>1</v>
      </c>
      <c r="CA230" s="1120">
        <f t="shared" si="277"/>
        <v>1</v>
      </c>
      <c r="CB230" s="1120">
        <f t="shared" si="278"/>
        <v>1</v>
      </c>
      <c r="CC230" s="1120">
        <f t="shared" si="279"/>
        <v>1</v>
      </c>
      <c r="CD230" s="1120">
        <f t="shared" si="280"/>
        <v>1</v>
      </c>
      <c r="CE230" s="1120">
        <f t="shared" si="281"/>
        <v>1</v>
      </c>
      <c r="CF230" s="1120">
        <f t="shared" si="282"/>
        <v>1</v>
      </c>
      <c r="CG230" s="1120">
        <f t="shared" si="283"/>
        <v>1</v>
      </c>
      <c r="CH230" s="1120">
        <f t="shared" si="284"/>
        <v>0</v>
      </c>
      <c r="CI230" s="1120">
        <f t="shared" si="285"/>
        <v>0.85</v>
      </c>
      <c r="CJ230" s="1120">
        <f t="shared" si="286"/>
        <v>0.85</v>
      </c>
      <c r="CK230" s="1120">
        <f t="shared" si="287"/>
        <v>0.85</v>
      </c>
      <c r="CL230" s="1120">
        <f t="shared" si="288"/>
        <v>0.85</v>
      </c>
      <c r="CM230" s="1120">
        <f t="shared" si="289"/>
        <v>0.7</v>
      </c>
      <c r="CN230" s="1120">
        <f t="shared" si="290"/>
        <v>0.7</v>
      </c>
      <c r="CO230" s="1120">
        <f t="shared" si="291"/>
        <v>0.7</v>
      </c>
      <c r="CP230" s="1120">
        <f t="shared" si="292"/>
        <v>0.7</v>
      </c>
      <c r="CQ230" s="1120">
        <f t="shared" si="293"/>
        <v>0.7</v>
      </c>
      <c r="CR230" s="1120">
        <f t="shared" si="294"/>
        <v>0.7</v>
      </c>
      <c r="CS230" s="1120">
        <f t="shared" si="295"/>
        <v>0.85</v>
      </c>
      <c r="CT230" s="1120">
        <f t="shared" si="296"/>
        <v>0.85</v>
      </c>
      <c r="CU230" s="1120">
        <v>1</v>
      </c>
      <c r="CV230" s="1120"/>
      <c r="CW230" s="1120">
        <f t="shared" si="297"/>
        <v>275</v>
      </c>
      <c r="CX230" s="1120">
        <f t="shared" si="298"/>
        <v>90</v>
      </c>
      <c r="CY230" s="1135" t="s">
        <v>4886</v>
      </c>
      <c r="CZ230" s="1124" t="s">
        <v>4887</v>
      </c>
      <c r="DA230" s="1124"/>
      <c r="DB230" s="1124"/>
      <c r="DC230" s="1120" t="s">
        <v>5940</v>
      </c>
      <c r="DD230" s="1120" t="s">
        <v>1250</v>
      </c>
      <c r="DE230" s="1120" t="str">
        <f t="shared" si="299"/>
        <v/>
      </c>
      <c r="DF230" s="1120">
        <v>1</v>
      </c>
      <c r="DG230" s="1120">
        <v>0</v>
      </c>
    </row>
    <row r="231" spans="1:111">
      <c r="A231" s="1125" t="s">
        <v>3258</v>
      </c>
      <c r="B231" s="1125" t="s">
        <v>3362</v>
      </c>
      <c r="C231" s="1125" t="s">
        <v>3363</v>
      </c>
      <c r="D231" s="1125" t="s">
        <v>428</v>
      </c>
      <c r="E231" s="1125">
        <v>1027</v>
      </c>
      <c r="F231" s="1125">
        <v>-84.3</v>
      </c>
      <c r="G231" s="1125">
        <v>33.869999999999997</v>
      </c>
      <c r="H231" s="1125">
        <v>-5</v>
      </c>
      <c r="I231" s="1126">
        <v>26.779999828338624</v>
      </c>
      <c r="J231" s="1126">
        <v>91.22000274658204</v>
      </c>
      <c r="K231" s="1127">
        <v>73.580000686645505</v>
      </c>
      <c r="L231" s="1125">
        <v>3249</v>
      </c>
      <c r="M231" s="1125">
        <v>1731.6000000000001</v>
      </c>
      <c r="N231" s="1128">
        <v>38.299999999999997</v>
      </c>
      <c r="O231" s="1128">
        <v>47.659999656677243</v>
      </c>
      <c r="P231" s="1128">
        <v>49.459999656677248</v>
      </c>
      <c r="Q231" s="1128">
        <v>61.160001373291017</v>
      </c>
      <c r="R231" s="1128">
        <v>70.519999313354489</v>
      </c>
      <c r="S231" s="1128">
        <v>73.580000686645505</v>
      </c>
      <c r="T231" s="1128">
        <v>76.099999999999994</v>
      </c>
      <c r="U231" s="1128">
        <v>80.960001373291021</v>
      </c>
      <c r="V231" s="1128">
        <v>74.119999313354498</v>
      </c>
      <c r="W231" s="1128">
        <v>58.640000343322754</v>
      </c>
      <c r="X231" s="1128">
        <v>49.459999656677248</v>
      </c>
      <c r="Y231" s="1128">
        <v>42.259999656677245</v>
      </c>
      <c r="Z231" s="1128">
        <v>60.239780909394568</v>
      </c>
      <c r="AA231" s="1128">
        <f t="shared" si="225"/>
        <v>54.863580855497432</v>
      </c>
      <c r="AB231" s="1128">
        <f t="shared" si="226"/>
        <v>54.467539539394423</v>
      </c>
      <c r="AC231" s="1128">
        <f t="shared" si="227"/>
        <v>57.140114352112874</v>
      </c>
      <c r="AD231" s="1128">
        <f t="shared" si="228"/>
        <v>62.184657483093183</v>
      </c>
      <c r="AE231" s="1128">
        <f t="shared" si="229"/>
        <v>68.28623102648254</v>
      </c>
      <c r="AF231" s="1128">
        <f t="shared" si="230"/>
        <v>73.854365810101996</v>
      </c>
      <c r="AG231" s="1128">
        <f t="shared" si="231"/>
        <v>77.437641695046764</v>
      </c>
      <c r="AH231" s="1128">
        <f t="shared" si="232"/>
        <v>78.102022601953109</v>
      </c>
      <c r="AI231" s="1128">
        <f t="shared" si="233"/>
        <v>75.674327409016186</v>
      </c>
      <c r="AJ231" s="1128">
        <f t="shared" si="234"/>
        <v>70.787372280190397</v>
      </c>
      <c r="AK231" s="1128">
        <f t="shared" si="235"/>
        <v>64.715017380062335</v>
      </c>
      <c r="AL231" s="1128">
        <f t="shared" si="236"/>
        <v>59.040115591171954</v>
      </c>
      <c r="AM231" s="1125">
        <f t="shared" si="237"/>
        <v>1</v>
      </c>
      <c r="AN231" s="1125">
        <f t="shared" si="238"/>
        <v>1</v>
      </c>
      <c r="AO231" s="1125">
        <f t="shared" si="239"/>
        <v>1</v>
      </c>
      <c r="AP231" s="1125">
        <f t="shared" si="240"/>
        <v>1</v>
      </c>
      <c r="AQ231" s="1125">
        <f t="shared" si="241"/>
        <v>0</v>
      </c>
      <c r="AR231" s="1125">
        <f t="shared" si="242"/>
        <v>0</v>
      </c>
      <c r="AS231" s="1125">
        <f t="shared" si="243"/>
        <v>0</v>
      </c>
      <c r="AT231" s="1125">
        <f t="shared" si="244"/>
        <v>0</v>
      </c>
      <c r="AU231" s="1125">
        <f t="shared" si="245"/>
        <v>0</v>
      </c>
      <c r="AV231" s="1125">
        <f t="shared" si="246"/>
        <v>1</v>
      </c>
      <c r="AW231" s="1125">
        <f t="shared" si="247"/>
        <v>1</v>
      </c>
      <c r="AX231" s="1125">
        <f t="shared" si="248"/>
        <v>1</v>
      </c>
      <c r="AY231" s="1125">
        <f t="shared" si="249"/>
        <v>0</v>
      </c>
      <c r="AZ231" s="1125">
        <f t="shared" si="250"/>
        <v>0</v>
      </c>
      <c r="BA231" s="1125">
        <f t="shared" si="251"/>
        <v>0</v>
      </c>
      <c r="BB231" s="1125">
        <f t="shared" si="252"/>
        <v>0</v>
      </c>
      <c r="BC231" s="1125">
        <f t="shared" si="253"/>
        <v>1</v>
      </c>
      <c r="BD231" s="1125">
        <f t="shared" si="254"/>
        <v>1</v>
      </c>
      <c r="BE231" s="1125">
        <f t="shared" si="255"/>
        <v>1</v>
      </c>
      <c r="BF231" s="1125">
        <f t="shared" si="256"/>
        <v>1</v>
      </c>
      <c r="BG231" s="1125">
        <f t="shared" si="257"/>
        <v>1</v>
      </c>
      <c r="BH231" s="1125">
        <f t="shared" si="258"/>
        <v>0</v>
      </c>
      <c r="BI231" s="1125">
        <f t="shared" si="259"/>
        <v>0</v>
      </c>
      <c r="BJ231" s="1125">
        <f t="shared" si="260"/>
        <v>0</v>
      </c>
      <c r="BK231" s="1125">
        <f t="shared" si="261"/>
        <v>1</v>
      </c>
      <c r="BL231" s="1125">
        <f t="shared" si="262"/>
        <v>1</v>
      </c>
      <c r="BM231" s="1125">
        <f t="shared" si="263"/>
        <v>1</v>
      </c>
      <c r="BN231" s="1125">
        <f t="shared" si="264"/>
        <v>1</v>
      </c>
      <c r="BO231" s="1125">
        <f t="shared" si="265"/>
        <v>1</v>
      </c>
      <c r="BP231" s="1125">
        <f t="shared" si="266"/>
        <v>0</v>
      </c>
      <c r="BQ231" s="1125">
        <f t="shared" si="267"/>
        <v>0</v>
      </c>
      <c r="BR231" s="1125">
        <f t="shared" si="268"/>
        <v>0</v>
      </c>
      <c r="BS231" s="1125">
        <f t="shared" si="269"/>
        <v>0</v>
      </c>
      <c r="BT231" s="1125">
        <f t="shared" si="270"/>
        <v>1</v>
      </c>
      <c r="BU231" s="1125">
        <f t="shared" si="271"/>
        <v>1</v>
      </c>
      <c r="BV231" s="1125">
        <f t="shared" si="272"/>
        <v>1</v>
      </c>
      <c r="BW231" s="1125">
        <f t="shared" si="273"/>
        <v>0</v>
      </c>
      <c r="BX231" s="1125">
        <f t="shared" si="274"/>
        <v>0</v>
      </c>
      <c r="BY231" s="1125">
        <f t="shared" si="275"/>
        <v>0</v>
      </c>
      <c r="BZ231" s="1125">
        <f t="shared" si="276"/>
        <v>1</v>
      </c>
      <c r="CA231" s="1125">
        <f t="shared" si="277"/>
        <v>1</v>
      </c>
      <c r="CB231" s="1125">
        <f t="shared" si="278"/>
        <v>1</v>
      </c>
      <c r="CC231" s="1125">
        <f t="shared" si="279"/>
        <v>1</v>
      </c>
      <c r="CD231" s="1125">
        <f t="shared" si="280"/>
        <v>1</v>
      </c>
      <c r="CE231" s="1125">
        <f t="shared" si="281"/>
        <v>1</v>
      </c>
      <c r="CF231" s="1125">
        <f t="shared" si="282"/>
        <v>1</v>
      </c>
      <c r="CG231" s="1125">
        <f t="shared" si="283"/>
        <v>0</v>
      </c>
      <c r="CH231" s="1125">
        <f t="shared" si="284"/>
        <v>0</v>
      </c>
      <c r="CI231" s="1125">
        <f t="shared" si="285"/>
        <v>0.85</v>
      </c>
      <c r="CJ231" s="1125">
        <f t="shared" si="286"/>
        <v>0.85</v>
      </c>
      <c r="CK231" s="1125">
        <f t="shared" si="287"/>
        <v>0.85</v>
      </c>
      <c r="CL231" s="1125">
        <f t="shared" si="288"/>
        <v>0.85</v>
      </c>
      <c r="CM231" s="1125">
        <f t="shared" si="289"/>
        <v>0.85</v>
      </c>
      <c r="CN231" s="1125">
        <f t="shared" si="290"/>
        <v>0.7</v>
      </c>
      <c r="CO231" s="1125">
        <f t="shared" si="291"/>
        <v>0.7</v>
      </c>
      <c r="CP231" s="1125">
        <f t="shared" si="292"/>
        <v>0.7</v>
      </c>
      <c r="CQ231" s="1125">
        <f t="shared" si="293"/>
        <v>0.7</v>
      </c>
      <c r="CR231" s="1125">
        <f t="shared" si="294"/>
        <v>0.85</v>
      </c>
      <c r="CS231" s="1125">
        <f t="shared" si="295"/>
        <v>0.85</v>
      </c>
      <c r="CT231" s="1125">
        <f t="shared" si="296"/>
        <v>0.85</v>
      </c>
      <c r="CU231" s="1125">
        <v>1</v>
      </c>
      <c r="CV231" s="1125"/>
      <c r="CW231" s="1125">
        <f t="shared" si="297"/>
        <v>214</v>
      </c>
      <c r="CX231" s="1125">
        <f t="shared" si="298"/>
        <v>151</v>
      </c>
      <c r="CY231" s="1136" t="s">
        <v>4881</v>
      </c>
      <c r="CZ231" s="1129" t="s">
        <v>4882</v>
      </c>
      <c r="DA231" s="1129"/>
      <c r="DB231" s="1129"/>
      <c r="DC231" s="1125" t="s">
        <v>5138</v>
      </c>
      <c r="DD231" s="1125" t="s">
        <v>428</v>
      </c>
      <c r="DE231" s="1120" t="str">
        <f t="shared" si="299"/>
        <v/>
      </c>
      <c r="DF231" s="1133">
        <v>1</v>
      </c>
      <c r="DG231" s="1125">
        <v>0</v>
      </c>
    </row>
    <row r="232" spans="1:111">
      <c r="A232" s="1120" t="s">
        <v>5832</v>
      </c>
      <c r="B232" s="1125" t="s">
        <v>4390</v>
      </c>
      <c r="C232" s="1125" t="s">
        <v>4391</v>
      </c>
      <c r="D232" s="1125" t="s">
        <v>228</v>
      </c>
      <c r="E232" s="1125">
        <v>1010</v>
      </c>
      <c r="F232" s="1125">
        <v>-100.91</v>
      </c>
      <c r="G232" s="1125">
        <v>29.38</v>
      </c>
      <c r="H232" s="1125">
        <v>-6</v>
      </c>
      <c r="I232" s="1126">
        <v>34.160000085830688</v>
      </c>
      <c r="J232" s="1126">
        <v>99.320002746582034</v>
      </c>
      <c r="K232" s="1127">
        <v>72.319999313354487</v>
      </c>
      <c r="L232" s="1125">
        <v>1290.6000000000001</v>
      </c>
      <c r="M232" s="1125">
        <v>3207.6</v>
      </c>
      <c r="N232" s="1128">
        <v>53.959999656677248</v>
      </c>
      <c r="O232" s="1128">
        <v>57.380000686645509</v>
      </c>
      <c r="P232" s="1128">
        <v>61.160001373291017</v>
      </c>
      <c r="Q232" s="1128">
        <v>65.119999313354498</v>
      </c>
      <c r="R232" s="1128">
        <v>76.460001373291021</v>
      </c>
      <c r="S232" s="1128">
        <v>84.380000686645502</v>
      </c>
      <c r="T232" s="1128">
        <v>86.180000686645513</v>
      </c>
      <c r="U232" s="1128">
        <v>82.939998626708984</v>
      </c>
      <c r="V232" s="1128">
        <v>80.419999313354495</v>
      </c>
      <c r="W232" s="1128">
        <v>71.419999313354495</v>
      </c>
      <c r="X232" s="1128">
        <v>61.7</v>
      </c>
      <c r="Y232" s="1128">
        <v>53.780000686645508</v>
      </c>
      <c r="Z232" s="1128">
        <v>69.638739868059545</v>
      </c>
      <c r="AA232" s="1128">
        <f t="shared" si="225"/>
        <v>65.142947857355168</v>
      </c>
      <c r="AB232" s="1128">
        <f t="shared" si="226"/>
        <v>65.668930627194612</v>
      </c>
      <c r="AC232" s="1128">
        <f t="shared" si="227"/>
        <v>68.793697815076527</v>
      </c>
      <c r="AD232" s="1128">
        <f t="shared" si="228"/>
        <v>73.70273069935952</v>
      </c>
      <c r="AE232" s="1128">
        <f t="shared" si="229"/>
        <v>79.116414208268552</v>
      </c>
      <c r="AF232" s="1128">
        <f t="shared" si="230"/>
        <v>83.623588307818281</v>
      </c>
      <c r="AG232" s="1128">
        <f t="shared" si="231"/>
        <v>86.049388611305758</v>
      </c>
      <c r="AH232" s="1128">
        <f t="shared" si="232"/>
        <v>85.761492886912691</v>
      </c>
      <c r="AI232" s="1128">
        <f t="shared" si="233"/>
        <v>82.834945591809586</v>
      </c>
      <c r="AJ232" s="1128">
        <f t="shared" si="234"/>
        <v>78.032596377923994</v>
      </c>
      <c r="AK232" s="1128">
        <f t="shared" si="235"/>
        <v>72.606251574296749</v>
      </c>
      <c r="AL232" s="1128">
        <f t="shared" si="236"/>
        <v>67.970371576497953</v>
      </c>
      <c r="AM232" s="1125">
        <f t="shared" si="237"/>
        <v>1</v>
      </c>
      <c r="AN232" s="1125">
        <f t="shared" si="238"/>
        <v>1</v>
      </c>
      <c r="AO232" s="1125">
        <f t="shared" si="239"/>
        <v>1</v>
      </c>
      <c r="AP232" s="1125">
        <f t="shared" si="240"/>
        <v>1</v>
      </c>
      <c r="AQ232" s="1125">
        <f t="shared" si="241"/>
        <v>0</v>
      </c>
      <c r="AR232" s="1125">
        <f t="shared" si="242"/>
        <v>0</v>
      </c>
      <c r="AS232" s="1125">
        <f t="shared" si="243"/>
        <v>0</v>
      </c>
      <c r="AT232" s="1125">
        <f t="shared" si="244"/>
        <v>0</v>
      </c>
      <c r="AU232" s="1125">
        <f t="shared" si="245"/>
        <v>0</v>
      </c>
      <c r="AV232" s="1125">
        <f t="shared" si="246"/>
        <v>0</v>
      </c>
      <c r="AW232" s="1125">
        <f t="shared" si="247"/>
        <v>1</v>
      </c>
      <c r="AX232" s="1125">
        <f t="shared" si="248"/>
        <v>1</v>
      </c>
      <c r="AY232" s="1125">
        <f t="shared" si="249"/>
        <v>0</v>
      </c>
      <c r="AZ232" s="1125">
        <f t="shared" si="250"/>
        <v>0</v>
      </c>
      <c r="BA232" s="1125">
        <f t="shared" si="251"/>
        <v>0</v>
      </c>
      <c r="BB232" s="1125">
        <f t="shared" si="252"/>
        <v>0</v>
      </c>
      <c r="BC232" s="1125">
        <f t="shared" si="253"/>
        <v>1</v>
      </c>
      <c r="BD232" s="1125">
        <f t="shared" si="254"/>
        <v>1</v>
      </c>
      <c r="BE232" s="1125">
        <f t="shared" si="255"/>
        <v>1</v>
      </c>
      <c r="BF232" s="1125">
        <f t="shared" si="256"/>
        <v>1</v>
      </c>
      <c r="BG232" s="1125">
        <f t="shared" si="257"/>
        <v>1</v>
      </c>
      <c r="BH232" s="1125">
        <f t="shared" si="258"/>
        <v>1</v>
      </c>
      <c r="BI232" s="1125">
        <f t="shared" si="259"/>
        <v>0</v>
      </c>
      <c r="BJ232" s="1125">
        <f t="shared" si="260"/>
        <v>0</v>
      </c>
      <c r="BK232" s="1125">
        <f t="shared" si="261"/>
        <v>1</v>
      </c>
      <c r="BL232" s="1125">
        <f t="shared" si="262"/>
        <v>1</v>
      </c>
      <c r="BM232" s="1125">
        <f t="shared" si="263"/>
        <v>1</v>
      </c>
      <c r="BN232" s="1125">
        <f t="shared" si="264"/>
        <v>1</v>
      </c>
      <c r="BO232" s="1125">
        <f t="shared" si="265"/>
        <v>1</v>
      </c>
      <c r="BP232" s="1125">
        <f t="shared" si="266"/>
        <v>0</v>
      </c>
      <c r="BQ232" s="1125">
        <f t="shared" si="267"/>
        <v>0</v>
      </c>
      <c r="BR232" s="1125">
        <f t="shared" si="268"/>
        <v>0</v>
      </c>
      <c r="BS232" s="1125">
        <f t="shared" si="269"/>
        <v>0</v>
      </c>
      <c r="BT232" s="1125">
        <f t="shared" si="270"/>
        <v>0</v>
      </c>
      <c r="BU232" s="1125">
        <f t="shared" si="271"/>
        <v>1</v>
      </c>
      <c r="BV232" s="1125">
        <f t="shared" si="272"/>
        <v>1</v>
      </c>
      <c r="BW232" s="1125">
        <f t="shared" si="273"/>
        <v>0</v>
      </c>
      <c r="BX232" s="1125">
        <f t="shared" si="274"/>
        <v>0</v>
      </c>
      <c r="BY232" s="1125">
        <f t="shared" si="275"/>
        <v>0</v>
      </c>
      <c r="BZ232" s="1125">
        <f t="shared" si="276"/>
        <v>1</v>
      </c>
      <c r="CA232" s="1125">
        <f t="shared" si="277"/>
        <v>1</v>
      </c>
      <c r="CB232" s="1125">
        <f t="shared" si="278"/>
        <v>1</v>
      </c>
      <c r="CC232" s="1125">
        <f t="shared" si="279"/>
        <v>1</v>
      </c>
      <c r="CD232" s="1125">
        <f t="shared" si="280"/>
        <v>1</v>
      </c>
      <c r="CE232" s="1125">
        <f t="shared" si="281"/>
        <v>1</v>
      </c>
      <c r="CF232" s="1125">
        <f t="shared" si="282"/>
        <v>1</v>
      </c>
      <c r="CG232" s="1125">
        <f t="shared" si="283"/>
        <v>1</v>
      </c>
      <c r="CH232" s="1125">
        <f t="shared" si="284"/>
        <v>0</v>
      </c>
      <c r="CI232" s="1125">
        <f t="shared" si="285"/>
        <v>0.85</v>
      </c>
      <c r="CJ232" s="1125">
        <f t="shared" si="286"/>
        <v>0.85</v>
      </c>
      <c r="CK232" s="1125">
        <f t="shared" si="287"/>
        <v>0.85</v>
      </c>
      <c r="CL232" s="1125">
        <f t="shared" si="288"/>
        <v>0.85</v>
      </c>
      <c r="CM232" s="1125">
        <f t="shared" si="289"/>
        <v>0.85</v>
      </c>
      <c r="CN232" s="1125">
        <f t="shared" si="290"/>
        <v>0.7</v>
      </c>
      <c r="CO232" s="1125">
        <f t="shared" si="291"/>
        <v>0.7</v>
      </c>
      <c r="CP232" s="1125">
        <f t="shared" si="292"/>
        <v>0.7</v>
      </c>
      <c r="CQ232" s="1125">
        <f t="shared" si="293"/>
        <v>0.7</v>
      </c>
      <c r="CR232" s="1125">
        <f t="shared" si="294"/>
        <v>0.7</v>
      </c>
      <c r="CS232" s="1125">
        <f t="shared" si="295"/>
        <v>0.85</v>
      </c>
      <c r="CT232" s="1125">
        <f t="shared" si="296"/>
        <v>0.85</v>
      </c>
      <c r="CU232" s="1125">
        <v>1</v>
      </c>
      <c r="CV232" s="1125"/>
      <c r="CW232" s="1125">
        <f t="shared" si="297"/>
        <v>244</v>
      </c>
      <c r="CX232" s="1125">
        <f t="shared" si="298"/>
        <v>121</v>
      </c>
      <c r="CY232" s="1136" t="s">
        <v>4883</v>
      </c>
      <c r="CZ232" s="1129" t="s">
        <v>4887</v>
      </c>
      <c r="DA232" s="1129"/>
      <c r="DB232" s="1129"/>
      <c r="DC232" s="1125" t="s">
        <v>5586</v>
      </c>
      <c r="DD232" s="1125" t="s">
        <v>228</v>
      </c>
      <c r="DE232" s="1120" t="b">
        <f t="shared" si="299"/>
        <v>0</v>
      </c>
      <c r="DF232" s="1133">
        <v>1</v>
      </c>
      <c r="DG232" s="1120">
        <v>0</v>
      </c>
    </row>
    <row r="233" spans="1:111">
      <c r="A233" s="1125" t="s">
        <v>3260</v>
      </c>
      <c r="B233" s="1120" t="s">
        <v>4388</v>
      </c>
      <c r="C233" s="1120" t="s">
        <v>4389</v>
      </c>
      <c r="D233" s="1120" t="s">
        <v>228</v>
      </c>
      <c r="E233" s="1120">
        <v>1073</v>
      </c>
      <c r="F233" s="1120">
        <v>-100.78</v>
      </c>
      <c r="G233" s="1120">
        <v>29.37</v>
      </c>
      <c r="H233" s="1120">
        <v>-6</v>
      </c>
      <c r="I233" s="1121">
        <v>33.619999957084659</v>
      </c>
      <c r="J233" s="1121">
        <v>101.66000137329102</v>
      </c>
      <c r="K233" s="1122">
        <v>72.860001373291013</v>
      </c>
      <c r="L233" s="1120">
        <v>950.4</v>
      </c>
      <c r="M233" s="1120">
        <v>4077</v>
      </c>
      <c r="N233" s="1123">
        <v>54.859999656677246</v>
      </c>
      <c r="O233" s="1123">
        <v>57.740000343322755</v>
      </c>
      <c r="P233" s="1123">
        <v>68.719999313354492</v>
      </c>
      <c r="Q233" s="1123">
        <v>75.380000686645502</v>
      </c>
      <c r="R233" s="1123">
        <v>81.319999313354487</v>
      </c>
      <c r="S233" s="1123">
        <v>86.180000686645513</v>
      </c>
      <c r="T233" s="1123">
        <v>88.33999862670899</v>
      </c>
      <c r="U233" s="1123">
        <v>89.960001373291021</v>
      </c>
      <c r="V233" s="1123">
        <v>80.060001373291016</v>
      </c>
      <c r="W233" s="1123">
        <v>73.400000000000006</v>
      </c>
      <c r="X233" s="1123">
        <v>62.960001373291014</v>
      </c>
      <c r="Y233" s="1123">
        <v>55.4</v>
      </c>
      <c r="Z233" s="1123">
        <v>72.948274191764938</v>
      </c>
      <c r="AA233" s="1123">
        <f t="shared" si="225"/>
        <v>66.913412398527711</v>
      </c>
      <c r="AB233" s="1123">
        <f t="shared" si="226"/>
        <v>67.860997110019085</v>
      </c>
      <c r="AC233" s="1123">
        <f t="shared" si="227"/>
        <v>71.698651452979249</v>
      </c>
      <c r="AD233" s="1123">
        <f t="shared" si="228"/>
        <v>77.426031682872022</v>
      </c>
      <c r="AE233" s="1123">
        <f t="shared" si="229"/>
        <v>83.550207881174899</v>
      </c>
      <c r="AF233" s="1123">
        <f t="shared" si="230"/>
        <v>88.474819145388238</v>
      </c>
      <c r="AG233" s="1123">
        <f t="shared" si="231"/>
        <v>90.916189658938066</v>
      </c>
      <c r="AH233" s="1123">
        <f t="shared" si="232"/>
        <v>90.237938574809192</v>
      </c>
      <c r="AI233" s="1123">
        <f t="shared" si="233"/>
        <v>86.616862490245396</v>
      </c>
      <c r="AJ233" s="1123">
        <f t="shared" si="234"/>
        <v>80.9968506891598</v>
      </c>
      <c r="AK233" s="1123">
        <f t="shared" si="235"/>
        <v>74.842845854508838</v>
      </c>
      <c r="AL233" s="1123">
        <f t="shared" si="236"/>
        <v>69.758984182529375</v>
      </c>
      <c r="AM233" s="1120">
        <f t="shared" si="237"/>
        <v>1</v>
      </c>
      <c r="AN233" s="1120">
        <f t="shared" si="238"/>
        <v>1</v>
      </c>
      <c r="AO233" s="1120">
        <f t="shared" si="239"/>
        <v>0</v>
      </c>
      <c r="AP233" s="1120">
        <f t="shared" si="240"/>
        <v>0</v>
      </c>
      <c r="AQ233" s="1120">
        <f t="shared" si="241"/>
        <v>0</v>
      </c>
      <c r="AR233" s="1120">
        <f t="shared" si="242"/>
        <v>0</v>
      </c>
      <c r="AS233" s="1120">
        <f t="shared" si="243"/>
        <v>0</v>
      </c>
      <c r="AT233" s="1120">
        <f t="shared" si="244"/>
        <v>0</v>
      </c>
      <c r="AU233" s="1120">
        <f t="shared" si="245"/>
        <v>0</v>
      </c>
      <c r="AV233" s="1120">
        <f t="shared" si="246"/>
        <v>0</v>
      </c>
      <c r="AW233" s="1120">
        <f t="shared" si="247"/>
        <v>1</v>
      </c>
      <c r="AX233" s="1120">
        <f t="shared" si="248"/>
        <v>1</v>
      </c>
      <c r="AY233" s="1120">
        <f t="shared" si="249"/>
        <v>0</v>
      </c>
      <c r="AZ233" s="1120">
        <f t="shared" si="250"/>
        <v>0</v>
      </c>
      <c r="BA233" s="1120">
        <f t="shared" si="251"/>
        <v>1</v>
      </c>
      <c r="BB233" s="1120">
        <f t="shared" si="252"/>
        <v>1</v>
      </c>
      <c r="BC233" s="1120">
        <f t="shared" si="253"/>
        <v>1</v>
      </c>
      <c r="BD233" s="1120">
        <f t="shared" si="254"/>
        <v>1</v>
      </c>
      <c r="BE233" s="1120">
        <f t="shared" si="255"/>
        <v>1</v>
      </c>
      <c r="BF233" s="1120">
        <f t="shared" si="256"/>
        <v>1</v>
      </c>
      <c r="BG233" s="1120">
        <f t="shared" si="257"/>
        <v>1</v>
      </c>
      <c r="BH233" s="1120">
        <f t="shared" si="258"/>
        <v>1</v>
      </c>
      <c r="BI233" s="1120">
        <f t="shared" si="259"/>
        <v>0</v>
      </c>
      <c r="BJ233" s="1120">
        <f t="shared" si="260"/>
        <v>0</v>
      </c>
      <c r="BK233" s="1120">
        <f t="shared" si="261"/>
        <v>1</v>
      </c>
      <c r="BL233" s="1120">
        <f t="shared" si="262"/>
        <v>1</v>
      </c>
      <c r="BM233" s="1120">
        <f t="shared" si="263"/>
        <v>1</v>
      </c>
      <c r="BN233" s="1120">
        <f t="shared" si="264"/>
        <v>0</v>
      </c>
      <c r="BO233" s="1120">
        <f t="shared" si="265"/>
        <v>0</v>
      </c>
      <c r="BP233" s="1120">
        <f t="shared" si="266"/>
        <v>0</v>
      </c>
      <c r="BQ233" s="1120">
        <f t="shared" si="267"/>
        <v>0</v>
      </c>
      <c r="BR233" s="1120">
        <f t="shared" si="268"/>
        <v>0</v>
      </c>
      <c r="BS233" s="1120">
        <f t="shared" si="269"/>
        <v>0</v>
      </c>
      <c r="BT233" s="1120">
        <f t="shared" si="270"/>
        <v>0</v>
      </c>
      <c r="BU233" s="1120">
        <f t="shared" si="271"/>
        <v>1</v>
      </c>
      <c r="BV233" s="1120">
        <f t="shared" si="272"/>
        <v>1</v>
      </c>
      <c r="BW233" s="1120">
        <f t="shared" si="273"/>
        <v>0</v>
      </c>
      <c r="BX233" s="1120">
        <f t="shared" si="274"/>
        <v>1</v>
      </c>
      <c r="BY233" s="1120">
        <f t="shared" si="275"/>
        <v>1</v>
      </c>
      <c r="BZ233" s="1120">
        <f t="shared" si="276"/>
        <v>1</v>
      </c>
      <c r="CA233" s="1120">
        <f t="shared" si="277"/>
        <v>1</v>
      </c>
      <c r="CB233" s="1120">
        <f t="shared" si="278"/>
        <v>1</v>
      </c>
      <c r="CC233" s="1120">
        <f t="shared" si="279"/>
        <v>1</v>
      </c>
      <c r="CD233" s="1120">
        <f t="shared" si="280"/>
        <v>1</v>
      </c>
      <c r="CE233" s="1120">
        <f t="shared" si="281"/>
        <v>1</v>
      </c>
      <c r="CF233" s="1120">
        <f t="shared" si="282"/>
        <v>1</v>
      </c>
      <c r="CG233" s="1120">
        <f t="shared" si="283"/>
        <v>1</v>
      </c>
      <c r="CH233" s="1120">
        <f t="shared" si="284"/>
        <v>0</v>
      </c>
      <c r="CI233" s="1120">
        <f t="shared" si="285"/>
        <v>0.85</v>
      </c>
      <c r="CJ233" s="1120">
        <f t="shared" si="286"/>
        <v>0.85</v>
      </c>
      <c r="CK233" s="1120">
        <f t="shared" si="287"/>
        <v>0.85</v>
      </c>
      <c r="CL233" s="1120">
        <f t="shared" si="288"/>
        <v>0.7</v>
      </c>
      <c r="CM233" s="1120">
        <f t="shared" si="289"/>
        <v>0.7</v>
      </c>
      <c r="CN233" s="1120">
        <f t="shared" si="290"/>
        <v>0.7</v>
      </c>
      <c r="CO233" s="1120">
        <f t="shared" si="291"/>
        <v>0.7</v>
      </c>
      <c r="CP233" s="1120">
        <f t="shared" si="292"/>
        <v>0.7</v>
      </c>
      <c r="CQ233" s="1120">
        <f t="shared" si="293"/>
        <v>0.7</v>
      </c>
      <c r="CR233" s="1120">
        <f t="shared" si="294"/>
        <v>0.7</v>
      </c>
      <c r="CS233" s="1120">
        <f t="shared" si="295"/>
        <v>0.85</v>
      </c>
      <c r="CT233" s="1120">
        <f t="shared" si="296"/>
        <v>0.85</v>
      </c>
      <c r="CU233" s="1120">
        <v>1</v>
      </c>
      <c r="CV233" s="1120"/>
      <c r="CW233" s="1120">
        <f t="shared" si="297"/>
        <v>303</v>
      </c>
      <c r="CX233" s="1120">
        <f t="shared" si="298"/>
        <v>62</v>
      </c>
      <c r="CY233" s="1135" t="s">
        <v>4883</v>
      </c>
      <c r="CZ233" s="1124" t="s">
        <v>4887</v>
      </c>
      <c r="DA233" s="1124"/>
      <c r="DB233" s="1124"/>
      <c r="DC233" s="1120" t="s">
        <v>5600</v>
      </c>
      <c r="DD233" s="1120" t="s">
        <v>228</v>
      </c>
      <c r="DE233" s="1120" t="b">
        <f t="shared" si="299"/>
        <v>0</v>
      </c>
      <c r="DF233" s="1133">
        <v>0</v>
      </c>
      <c r="DG233" s="1125">
        <v>0</v>
      </c>
    </row>
    <row r="234" spans="1:111">
      <c r="A234" s="1120" t="s">
        <v>3262</v>
      </c>
      <c r="B234" s="1125" t="s">
        <v>3531</v>
      </c>
      <c r="C234" s="1125" t="s">
        <v>3532</v>
      </c>
      <c r="D234" s="1125" t="s">
        <v>283</v>
      </c>
      <c r="E234" s="1125">
        <v>961</v>
      </c>
      <c r="F234" s="1125">
        <v>-85.4</v>
      </c>
      <c r="G234" s="1125">
        <v>40.229999999999997</v>
      </c>
      <c r="H234" s="1125">
        <v>-5</v>
      </c>
      <c r="I234" s="1126">
        <v>1.2199993133544915</v>
      </c>
      <c r="J234" s="1126">
        <v>91.579997253417972</v>
      </c>
      <c r="K234" s="1127">
        <v>75.380000686645502</v>
      </c>
      <c r="L234" s="1125">
        <v>5445</v>
      </c>
      <c r="M234" s="1125">
        <v>1083.6000000000001</v>
      </c>
      <c r="N234" s="1128">
        <v>26.23999991416931</v>
      </c>
      <c r="O234" s="1128">
        <v>33.259999978542325</v>
      </c>
      <c r="P234" s="1128">
        <v>33.440000021457671</v>
      </c>
      <c r="Q234" s="1128">
        <v>53.059999656677249</v>
      </c>
      <c r="R234" s="1128">
        <v>65.480000686645511</v>
      </c>
      <c r="S234" s="1128">
        <v>69.260001373291018</v>
      </c>
      <c r="T234" s="1128">
        <v>73.219999313354492</v>
      </c>
      <c r="U234" s="1128">
        <v>73.219999313354492</v>
      </c>
      <c r="V234" s="1128">
        <v>68.539998626708979</v>
      </c>
      <c r="W234" s="1128">
        <v>54.859999656677246</v>
      </c>
      <c r="X234" s="1128">
        <v>44.959999656677248</v>
      </c>
      <c r="Y234" s="1128">
        <v>32.9</v>
      </c>
      <c r="Z234" s="1128">
        <v>52.454903958562305</v>
      </c>
      <c r="AA234" s="1128">
        <f t="shared" si="225"/>
        <v>48.239931997519065</v>
      </c>
      <c r="AB234" s="1128">
        <f t="shared" si="226"/>
        <v>47.092958612187367</v>
      </c>
      <c r="AC234" s="1128">
        <f t="shared" si="227"/>
        <v>48.907651374266095</v>
      </c>
      <c r="AD234" s="1128">
        <f t="shared" si="228"/>
        <v>53.210982650057474</v>
      </c>
      <c r="AE234" s="1128">
        <f t="shared" si="229"/>
        <v>58.881222826184135</v>
      </c>
      <c r="AF234" s="1128">
        <f t="shared" si="230"/>
        <v>64.440336419692557</v>
      </c>
      <c r="AG234" s="1128">
        <f t="shared" si="231"/>
        <v>68.439254803901122</v>
      </c>
      <c r="AH234" s="1128">
        <f t="shared" si="232"/>
        <v>69.835598276768181</v>
      </c>
      <c r="AI234" s="1128">
        <f t="shared" si="233"/>
        <v>68.265388393786679</v>
      </c>
      <c r="AJ234" s="1128">
        <f t="shared" si="234"/>
        <v>64.137924558622487</v>
      </c>
      <c r="AK234" s="1128">
        <f t="shared" si="235"/>
        <v>58.529093826054208</v>
      </c>
      <c r="AL234" s="1128">
        <f t="shared" si="236"/>
        <v>52.900924361223694</v>
      </c>
      <c r="AM234" s="1125">
        <f t="shared" si="237"/>
        <v>1</v>
      </c>
      <c r="AN234" s="1125">
        <f t="shared" si="238"/>
        <v>1</v>
      </c>
      <c r="AO234" s="1125">
        <f t="shared" si="239"/>
        <v>1</v>
      </c>
      <c r="AP234" s="1125">
        <f t="shared" si="240"/>
        <v>1</v>
      </c>
      <c r="AQ234" s="1125">
        <f t="shared" si="241"/>
        <v>1</v>
      </c>
      <c r="AR234" s="1125">
        <f t="shared" si="242"/>
        <v>0</v>
      </c>
      <c r="AS234" s="1125">
        <f t="shared" si="243"/>
        <v>0</v>
      </c>
      <c r="AT234" s="1125">
        <f t="shared" si="244"/>
        <v>0</v>
      </c>
      <c r="AU234" s="1125">
        <f t="shared" si="245"/>
        <v>0</v>
      </c>
      <c r="AV234" s="1125">
        <f t="shared" si="246"/>
        <v>1</v>
      </c>
      <c r="AW234" s="1125">
        <f t="shared" si="247"/>
        <v>1</v>
      </c>
      <c r="AX234" s="1125">
        <f t="shared" si="248"/>
        <v>1</v>
      </c>
      <c r="AY234" s="1125">
        <f t="shared" si="249"/>
        <v>0</v>
      </c>
      <c r="AZ234" s="1125">
        <f t="shared" si="250"/>
        <v>0</v>
      </c>
      <c r="BA234" s="1125">
        <f t="shared" si="251"/>
        <v>0</v>
      </c>
      <c r="BB234" s="1125">
        <f t="shared" si="252"/>
        <v>0</v>
      </c>
      <c r="BC234" s="1125">
        <f t="shared" si="253"/>
        <v>0</v>
      </c>
      <c r="BD234" s="1125">
        <f t="shared" si="254"/>
        <v>1</v>
      </c>
      <c r="BE234" s="1125">
        <f t="shared" si="255"/>
        <v>1</v>
      </c>
      <c r="BF234" s="1125">
        <f t="shared" si="256"/>
        <v>1</v>
      </c>
      <c r="BG234" s="1125">
        <f t="shared" si="257"/>
        <v>1</v>
      </c>
      <c r="BH234" s="1125">
        <f t="shared" si="258"/>
        <v>0</v>
      </c>
      <c r="BI234" s="1125">
        <f t="shared" si="259"/>
        <v>0</v>
      </c>
      <c r="BJ234" s="1125">
        <f t="shared" si="260"/>
        <v>0</v>
      </c>
      <c r="BK234" s="1125">
        <f t="shared" si="261"/>
        <v>1</v>
      </c>
      <c r="BL234" s="1125">
        <f t="shared" si="262"/>
        <v>1</v>
      </c>
      <c r="BM234" s="1125">
        <f t="shared" si="263"/>
        <v>1</v>
      </c>
      <c r="BN234" s="1125">
        <f t="shared" si="264"/>
        <v>1</v>
      </c>
      <c r="BO234" s="1125">
        <f t="shared" si="265"/>
        <v>1</v>
      </c>
      <c r="BP234" s="1125">
        <f t="shared" si="266"/>
        <v>1</v>
      </c>
      <c r="BQ234" s="1125">
        <f t="shared" si="267"/>
        <v>0</v>
      </c>
      <c r="BR234" s="1125">
        <f t="shared" si="268"/>
        <v>0</v>
      </c>
      <c r="BS234" s="1125">
        <f t="shared" si="269"/>
        <v>0</v>
      </c>
      <c r="BT234" s="1125">
        <f t="shared" si="270"/>
        <v>1</v>
      </c>
      <c r="BU234" s="1125">
        <f t="shared" si="271"/>
        <v>1</v>
      </c>
      <c r="BV234" s="1125">
        <f t="shared" si="272"/>
        <v>1</v>
      </c>
      <c r="BW234" s="1125">
        <f t="shared" si="273"/>
        <v>0</v>
      </c>
      <c r="BX234" s="1125">
        <f t="shared" si="274"/>
        <v>0</v>
      </c>
      <c r="BY234" s="1125">
        <f t="shared" si="275"/>
        <v>0</v>
      </c>
      <c r="BZ234" s="1125">
        <f t="shared" si="276"/>
        <v>0</v>
      </c>
      <c r="CA234" s="1125">
        <f t="shared" si="277"/>
        <v>1</v>
      </c>
      <c r="CB234" s="1125">
        <f t="shared" si="278"/>
        <v>1</v>
      </c>
      <c r="CC234" s="1125">
        <f t="shared" si="279"/>
        <v>1</v>
      </c>
      <c r="CD234" s="1125">
        <f t="shared" si="280"/>
        <v>1</v>
      </c>
      <c r="CE234" s="1125">
        <f t="shared" si="281"/>
        <v>1</v>
      </c>
      <c r="CF234" s="1125">
        <f t="shared" si="282"/>
        <v>1</v>
      </c>
      <c r="CG234" s="1125">
        <f t="shared" si="283"/>
        <v>0</v>
      </c>
      <c r="CH234" s="1125">
        <f t="shared" si="284"/>
        <v>0</v>
      </c>
      <c r="CI234" s="1125">
        <f t="shared" si="285"/>
        <v>0.85</v>
      </c>
      <c r="CJ234" s="1125">
        <f t="shared" si="286"/>
        <v>0.85</v>
      </c>
      <c r="CK234" s="1125">
        <f t="shared" si="287"/>
        <v>0.85</v>
      </c>
      <c r="CL234" s="1125">
        <f t="shared" si="288"/>
        <v>0.85</v>
      </c>
      <c r="CM234" s="1125">
        <f t="shared" si="289"/>
        <v>0.85</v>
      </c>
      <c r="CN234" s="1125">
        <f t="shared" si="290"/>
        <v>0.85</v>
      </c>
      <c r="CO234" s="1125">
        <f t="shared" si="291"/>
        <v>0.7</v>
      </c>
      <c r="CP234" s="1125">
        <f t="shared" si="292"/>
        <v>0.7</v>
      </c>
      <c r="CQ234" s="1125">
        <f t="shared" si="293"/>
        <v>0.7</v>
      </c>
      <c r="CR234" s="1125">
        <f t="shared" si="294"/>
        <v>0.85</v>
      </c>
      <c r="CS234" s="1125">
        <f t="shared" si="295"/>
        <v>0.85</v>
      </c>
      <c r="CT234" s="1125">
        <f t="shared" si="296"/>
        <v>0.85</v>
      </c>
      <c r="CU234" s="1125">
        <v>1</v>
      </c>
      <c r="CV234" s="1125"/>
      <c r="CW234" s="1125">
        <f t="shared" si="297"/>
        <v>184</v>
      </c>
      <c r="CX234" s="1125">
        <f t="shared" si="298"/>
        <v>181</v>
      </c>
      <c r="CY234" s="1136" t="s">
        <v>4889</v>
      </c>
      <c r="CZ234" s="1129" t="s">
        <v>4897</v>
      </c>
      <c r="DA234" s="1129"/>
      <c r="DB234" s="1129"/>
      <c r="DC234" s="1125" t="s">
        <v>5216</v>
      </c>
      <c r="DD234" s="1125" t="s">
        <v>283</v>
      </c>
      <c r="DE234" s="1120" t="str">
        <f t="shared" si="299"/>
        <v/>
      </c>
      <c r="DF234" s="1133">
        <v>0</v>
      </c>
      <c r="DG234" s="1120">
        <v>0</v>
      </c>
    </row>
    <row r="235" spans="1:111">
      <c r="A235" s="1125" t="s">
        <v>3264</v>
      </c>
      <c r="B235" s="1125" t="s">
        <v>4468</v>
      </c>
      <c r="C235" s="1125" t="s">
        <v>4469</v>
      </c>
      <c r="D235" s="1125" t="s">
        <v>905</v>
      </c>
      <c r="E235" s="1125">
        <v>4638</v>
      </c>
      <c r="F235" s="1125">
        <v>-112.58</v>
      </c>
      <c r="G235" s="1125">
        <v>39.33</v>
      </c>
      <c r="H235" s="1125">
        <v>-7</v>
      </c>
      <c r="I235" s="1126">
        <v>8.7800006866455078</v>
      </c>
      <c r="J235" s="1126">
        <v>96.439998626708984</v>
      </c>
      <c r="K235" s="1127">
        <v>57.380000686645509</v>
      </c>
      <c r="L235" s="1125">
        <v>5934.6</v>
      </c>
      <c r="M235" s="1125">
        <v>918</v>
      </c>
      <c r="N235" s="1128">
        <v>35.23999991416931</v>
      </c>
      <c r="O235" s="1128">
        <v>34.519999957084657</v>
      </c>
      <c r="P235" s="1128">
        <v>44.420000171661378</v>
      </c>
      <c r="Q235" s="1128">
        <v>43.7</v>
      </c>
      <c r="R235" s="1128">
        <v>52.7</v>
      </c>
      <c r="S235" s="1128">
        <v>70.7</v>
      </c>
      <c r="T235" s="1128">
        <v>76.460001373291021</v>
      </c>
      <c r="U235" s="1128">
        <v>71.780000686645508</v>
      </c>
      <c r="V235" s="1128">
        <v>63.680000686645506</v>
      </c>
      <c r="W235" s="1128">
        <v>49.1</v>
      </c>
      <c r="X235" s="1128">
        <v>33.440000021457671</v>
      </c>
      <c r="Y235" s="1128">
        <v>30.740000021457671</v>
      </c>
      <c r="Z235" s="1128">
        <v>50.646027636234074</v>
      </c>
      <c r="AA235" s="1128">
        <f t="shared" si="225"/>
        <v>47.227155328286045</v>
      </c>
      <c r="AB235" s="1128">
        <f t="shared" si="226"/>
        <v>45.987023146203796</v>
      </c>
      <c r="AC235" s="1128">
        <f t="shared" si="227"/>
        <v>47.525324744679246</v>
      </c>
      <c r="AD235" s="1128">
        <f t="shared" si="228"/>
        <v>51.441078106124564</v>
      </c>
      <c r="AE235" s="1128">
        <f t="shared" si="229"/>
        <v>56.713581773293143</v>
      </c>
      <c r="AF235" s="1128">
        <f t="shared" si="230"/>
        <v>61.968476413596512</v>
      </c>
      <c r="AG235" s="1128">
        <f t="shared" si="231"/>
        <v>65.835992758661931</v>
      </c>
      <c r="AH235" s="1128">
        <f t="shared" si="232"/>
        <v>67.308003072917145</v>
      </c>
      <c r="AI235" s="1128">
        <f t="shared" si="233"/>
        <v>66.000805183585939</v>
      </c>
      <c r="AJ235" s="1128">
        <f t="shared" si="234"/>
        <v>62.255140365051723</v>
      </c>
      <c r="AK235" s="1128">
        <f t="shared" si="235"/>
        <v>57.04737387470756</v>
      </c>
      <c r="AL235" s="1128">
        <f t="shared" si="236"/>
        <v>51.73499030237253</v>
      </c>
      <c r="AM235" s="1125">
        <f t="shared" si="237"/>
        <v>1</v>
      </c>
      <c r="AN235" s="1125">
        <f t="shared" si="238"/>
        <v>1</v>
      </c>
      <c r="AO235" s="1125">
        <f t="shared" si="239"/>
        <v>1</v>
      </c>
      <c r="AP235" s="1125">
        <f t="shared" si="240"/>
        <v>1</v>
      </c>
      <c r="AQ235" s="1125">
        <f t="shared" si="241"/>
        <v>1</v>
      </c>
      <c r="AR235" s="1125">
        <f t="shared" si="242"/>
        <v>0</v>
      </c>
      <c r="AS235" s="1125">
        <f t="shared" si="243"/>
        <v>0</v>
      </c>
      <c r="AT235" s="1125">
        <f t="shared" si="244"/>
        <v>0</v>
      </c>
      <c r="AU235" s="1125">
        <f t="shared" si="245"/>
        <v>1</v>
      </c>
      <c r="AV235" s="1125">
        <f t="shared" si="246"/>
        <v>1</v>
      </c>
      <c r="AW235" s="1125">
        <f t="shared" si="247"/>
        <v>1</v>
      </c>
      <c r="AX235" s="1125">
        <f t="shared" si="248"/>
        <v>1</v>
      </c>
      <c r="AY235" s="1125">
        <f t="shared" si="249"/>
        <v>0</v>
      </c>
      <c r="AZ235" s="1125">
        <f t="shared" si="250"/>
        <v>0</v>
      </c>
      <c r="BA235" s="1125">
        <f t="shared" si="251"/>
        <v>0</v>
      </c>
      <c r="BB235" s="1125">
        <f t="shared" si="252"/>
        <v>0</v>
      </c>
      <c r="BC235" s="1125">
        <f t="shared" si="253"/>
        <v>0</v>
      </c>
      <c r="BD235" s="1125">
        <f t="shared" si="254"/>
        <v>1</v>
      </c>
      <c r="BE235" s="1125">
        <f t="shared" si="255"/>
        <v>1</v>
      </c>
      <c r="BF235" s="1125">
        <f t="shared" si="256"/>
        <v>1</v>
      </c>
      <c r="BG235" s="1125">
        <f t="shared" si="257"/>
        <v>0</v>
      </c>
      <c r="BH235" s="1125">
        <f t="shared" si="258"/>
        <v>0</v>
      </c>
      <c r="BI235" s="1125">
        <f t="shared" si="259"/>
        <v>0</v>
      </c>
      <c r="BJ235" s="1125">
        <f t="shared" si="260"/>
        <v>0</v>
      </c>
      <c r="BK235" s="1125">
        <f t="shared" si="261"/>
        <v>1</v>
      </c>
      <c r="BL235" s="1125">
        <f t="shared" si="262"/>
        <v>1</v>
      </c>
      <c r="BM235" s="1125">
        <f t="shared" si="263"/>
        <v>1</v>
      </c>
      <c r="BN235" s="1125">
        <f t="shared" si="264"/>
        <v>1</v>
      </c>
      <c r="BO235" s="1125">
        <f t="shared" si="265"/>
        <v>1</v>
      </c>
      <c r="BP235" s="1125">
        <f t="shared" si="266"/>
        <v>1</v>
      </c>
      <c r="BQ235" s="1125">
        <f t="shared" si="267"/>
        <v>0</v>
      </c>
      <c r="BR235" s="1125">
        <f t="shared" si="268"/>
        <v>0</v>
      </c>
      <c r="BS235" s="1125">
        <f t="shared" si="269"/>
        <v>1</v>
      </c>
      <c r="BT235" s="1125">
        <f t="shared" si="270"/>
        <v>1</v>
      </c>
      <c r="BU235" s="1125">
        <f t="shared" si="271"/>
        <v>1</v>
      </c>
      <c r="BV235" s="1125">
        <f t="shared" si="272"/>
        <v>1</v>
      </c>
      <c r="BW235" s="1125">
        <f t="shared" si="273"/>
        <v>0</v>
      </c>
      <c r="BX235" s="1125">
        <f t="shared" si="274"/>
        <v>0</v>
      </c>
      <c r="BY235" s="1125">
        <f t="shared" si="275"/>
        <v>0</v>
      </c>
      <c r="BZ235" s="1125">
        <f t="shared" si="276"/>
        <v>0</v>
      </c>
      <c r="CA235" s="1125">
        <f t="shared" si="277"/>
        <v>1</v>
      </c>
      <c r="CB235" s="1125">
        <f t="shared" si="278"/>
        <v>1</v>
      </c>
      <c r="CC235" s="1125">
        <f t="shared" si="279"/>
        <v>1</v>
      </c>
      <c r="CD235" s="1125">
        <f t="shared" si="280"/>
        <v>1</v>
      </c>
      <c r="CE235" s="1125">
        <f t="shared" si="281"/>
        <v>1</v>
      </c>
      <c r="CF235" s="1125">
        <f t="shared" si="282"/>
        <v>0</v>
      </c>
      <c r="CG235" s="1125">
        <f t="shared" si="283"/>
        <v>0</v>
      </c>
      <c r="CH235" s="1125">
        <f t="shared" si="284"/>
        <v>0</v>
      </c>
      <c r="CI235" s="1125">
        <f t="shared" si="285"/>
        <v>0.85</v>
      </c>
      <c r="CJ235" s="1125">
        <f t="shared" si="286"/>
        <v>0.85</v>
      </c>
      <c r="CK235" s="1125">
        <f t="shared" si="287"/>
        <v>0.85</v>
      </c>
      <c r="CL235" s="1125">
        <f t="shared" si="288"/>
        <v>0.85</v>
      </c>
      <c r="CM235" s="1125">
        <f t="shared" si="289"/>
        <v>0.85</v>
      </c>
      <c r="CN235" s="1125">
        <f t="shared" si="290"/>
        <v>0.85</v>
      </c>
      <c r="CO235" s="1125">
        <f t="shared" si="291"/>
        <v>0.7</v>
      </c>
      <c r="CP235" s="1125">
        <f t="shared" si="292"/>
        <v>0.7</v>
      </c>
      <c r="CQ235" s="1125">
        <f t="shared" si="293"/>
        <v>0.85</v>
      </c>
      <c r="CR235" s="1125">
        <f t="shared" si="294"/>
        <v>0.85</v>
      </c>
      <c r="CS235" s="1125">
        <f t="shared" si="295"/>
        <v>0.85</v>
      </c>
      <c r="CT235" s="1125">
        <f t="shared" si="296"/>
        <v>0.85</v>
      </c>
      <c r="CU235" s="1125">
        <v>1</v>
      </c>
      <c r="CV235" s="1125"/>
      <c r="CW235" s="1125">
        <f t="shared" si="297"/>
        <v>153</v>
      </c>
      <c r="CX235" s="1125">
        <f t="shared" si="298"/>
        <v>212</v>
      </c>
      <c r="CY235" s="1136" t="s">
        <v>4889</v>
      </c>
      <c r="CZ235" s="1129" t="s">
        <v>4890</v>
      </c>
      <c r="DA235" s="1129"/>
      <c r="DB235" s="1129"/>
      <c r="DC235" s="1125" t="s">
        <v>5620</v>
      </c>
      <c r="DD235" s="1125" t="s">
        <v>905</v>
      </c>
      <c r="DE235" s="1120" t="str">
        <f t="shared" si="299"/>
        <v/>
      </c>
      <c r="DF235" s="1133">
        <v>1</v>
      </c>
      <c r="DG235" s="1125">
        <v>0</v>
      </c>
    </row>
    <row r="236" spans="1:111">
      <c r="A236" s="1120" t="s">
        <v>3266</v>
      </c>
      <c r="B236" s="1125" t="s">
        <v>4076</v>
      </c>
      <c r="C236" s="1125" t="s">
        <v>4077</v>
      </c>
      <c r="D236" s="1125" t="s">
        <v>538</v>
      </c>
      <c r="E236" s="1125">
        <v>4421</v>
      </c>
      <c r="F236" s="1125">
        <v>-107.72</v>
      </c>
      <c r="G236" s="1125">
        <v>32.25</v>
      </c>
      <c r="H236" s="1125">
        <v>-7</v>
      </c>
      <c r="I236" s="1126">
        <v>19.220000171661376</v>
      </c>
      <c r="J236" s="1126">
        <v>98.779997253417974</v>
      </c>
      <c r="K236" s="1127">
        <v>64.580000686645505</v>
      </c>
      <c r="L236" s="1125">
        <v>2795.4</v>
      </c>
      <c r="M236" s="1125">
        <v>2145.6</v>
      </c>
      <c r="N236" s="1128">
        <v>43.7</v>
      </c>
      <c r="O236" s="1128">
        <v>45.679999828338623</v>
      </c>
      <c r="P236" s="1128">
        <v>55.940000343322751</v>
      </c>
      <c r="Q236" s="1128">
        <v>65.3</v>
      </c>
      <c r="R236" s="1128">
        <v>71.960001373291021</v>
      </c>
      <c r="S236" s="1128">
        <v>80.599999999999994</v>
      </c>
      <c r="T236" s="1128">
        <v>80.599999999999994</v>
      </c>
      <c r="U236" s="1128">
        <v>77.719999313354492</v>
      </c>
      <c r="V236" s="1128">
        <v>76.099999999999994</v>
      </c>
      <c r="W236" s="1128">
        <v>62.239998626708989</v>
      </c>
      <c r="X236" s="1128">
        <v>49.280000686645508</v>
      </c>
      <c r="Y236" s="1128">
        <v>41.540000343322752</v>
      </c>
      <c r="Z236" s="1128">
        <v>62.636000043268076</v>
      </c>
      <c r="AA236" s="1128">
        <f t="shared" si="225"/>
        <v>57.635467836243684</v>
      </c>
      <c r="AB236" s="1128">
        <f t="shared" si="226"/>
        <v>57.498241636760071</v>
      </c>
      <c r="AC236" s="1128">
        <f t="shared" si="227"/>
        <v>60.264243803985252</v>
      </c>
      <c r="AD236" s="1128">
        <f t="shared" si="228"/>
        <v>65.212473247648333</v>
      </c>
      <c r="AE236" s="1128">
        <f t="shared" si="229"/>
        <v>71.053097708734583</v>
      </c>
      <c r="AF236" s="1128">
        <f t="shared" si="230"/>
        <v>76.263668414714473</v>
      </c>
      <c r="AG236" s="1128">
        <f t="shared" si="231"/>
        <v>79.485969813749151</v>
      </c>
      <c r="AH236" s="1128">
        <f t="shared" si="232"/>
        <v>79.880059389012587</v>
      </c>
      <c r="AI236" s="1128">
        <f t="shared" si="233"/>
        <v>77.343211619608169</v>
      </c>
      <c r="AJ236" s="1128">
        <f t="shared" si="234"/>
        <v>72.536694970638649</v>
      </c>
      <c r="AK236" s="1128">
        <f t="shared" si="235"/>
        <v>66.713402077321589</v>
      </c>
      <c r="AL236" s="1128">
        <f t="shared" si="236"/>
        <v>61.39126397195998</v>
      </c>
      <c r="AM236" s="1125">
        <f t="shared" si="237"/>
        <v>1</v>
      </c>
      <c r="AN236" s="1125">
        <f t="shared" si="238"/>
        <v>1</v>
      </c>
      <c r="AO236" s="1125">
        <f t="shared" si="239"/>
        <v>1</v>
      </c>
      <c r="AP236" s="1125">
        <f t="shared" si="240"/>
        <v>1</v>
      </c>
      <c r="AQ236" s="1125">
        <f t="shared" si="241"/>
        <v>0</v>
      </c>
      <c r="AR236" s="1125">
        <f t="shared" si="242"/>
        <v>0</v>
      </c>
      <c r="AS236" s="1125">
        <f t="shared" si="243"/>
        <v>0</v>
      </c>
      <c r="AT236" s="1125">
        <f t="shared" si="244"/>
        <v>0</v>
      </c>
      <c r="AU236" s="1125">
        <f t="shared" si="245"/>
        <v>0</v>
      </c>
      <c r="AV236" s="1125">
        <f t="shared" si="246"/>
        <v>1</v>
      </c>
      <c r="AW236" s="1125">
        <f t="shared" si="247"/>
        <v>1</v>
      </c>
      <c r="AX236" s="1125">
        <f t="shared" si="248"/>
        <v>1</v>
      </c>
      <c r="AY236" s="1125">
        <f t="shared" si="249"/>
        <v>0</v>
      </c>
      <c r="AZ236" s="1125">
        <f t="shared" si="250"/>
        <v>0</v>
      </c>
      <c r="BA236" s="1125">
        <f t="shared" si="251"/>
        <v>0</v>
      </c>
      <c r="BB236" s="1125">
        <f t="shared" si="252"/>
        <v>0</v>
      </c>
      <c r="BC236" s="1125">
        <f t="shared" si="253"/>
        <v>1</v>
      </c>
      <c r="BD236" s="1125">
        <f t="shared" si="254"/>
        <v>1</v>
      </c>
      <c r="BE236" s="1125">
        <f t="shared" si="255"/>
        <v>1</v>
      </c>
      <c r="BF236" s="1125">
        <f t="shared" si="256"/>
        <v>1</v>
      </c>
      <c r="BG236" s="1125">
        <f t="shared" si="257"/>
        <v>1</v>
      </c>
      <c r="BH236" s="1125">
        <f t="shared" si="258"/>
        <v>0</v>
      </c>
      <c r="BI236" s="1125">
        <f t="shared" si="259"/>
        <v>0</v>
      </c>
      <c r="BJ236" s="1125">
        <f t="shared" si="260"/>
        <v>0</v>
      </c>
      <c r="BK236" s="1125">
        <f t="shared" si="261"/>
        <v>1</v>
      </c>
      <c r="BL236" s="1125">
        <f t="shared" si="262"/>
        <v>1</v>
      </c>
      <c r="BM236" s="1125">
        <f t="shared" si="263"/>
        <v>1</v>
      </c>
      <c r="BN236" s="1125">
        <f t="shared" si="264"/>
        <v>1</v>
      </c>
      <c r="BO236" s="1125">
        <f t="shared" si="265"/>
        <v>1</v>
      </c>
      <c r="BP236" s="1125">
        <f t="shared" si="266"/>
        <v>0</v>
      </c>
      <c r="BQ236" s="1125">
        <f t="shared" si="267"/>
        <v>0</v>
      </c>
      <c r="BR236" s="1125">
        <f t="shared" si="268"/>
        <v>0</v>
      </c>
      <c r="BS236" s="1125">
        <f t="shared" si="269"/>
        <v>0</v>
      </c>
      <c r="BT236" s="1125">
        <f t="shared" si="270"/>
        <v>1</v>
      </c>
      <c r="BU236" s="1125">
        <f t="shared" si="271"/>
        <v>1</v>
      </c>
      <c r="BV236" s="1125">
        <f t="shared" si="272"/>
        <v>1</v>
      </c>
      <c r="BW236" s="1125">
        <f t="shared" si="273"/>
        <v>0</v>
      </c>
      <c r="BX236" s="1125">
        <f t="shared" si="274"/>
        <v>0</v>
      </c>
      <c r="BY236" s="1125">
        <f t="shared" si="275"/>
        <v>0</v>
      </c>
      <c r="BZ236" s="1125">
        <f t="shared" si="276"/>
        <v>1</v>
      </c>
      <c r="CA236" s="1125">
        <f t="shared" si="277"/>
        <v>1</v>
      </c>
      <c r="CB236" s="1125">
        <f t="shared" si="278"/>
        <v>1</v>
      </c>
      <c r="CC236" s="1125">
        <f t="shared" si="279"/>
        <v>1</v>
      </c>
      <c r="CD236" s="1125">
        <f t="shared" si="280"/>
        <v>1</v>
      </c>
      <c r="CE236" s="1125">
        <f t="shared" si="281"/>
        <v>1</v>
      </c>
      <c r="CF236" s="1125">
        <f t="shared" si="282"/>
        <v>1</v>
      </c>
      <c r="CG236" s="1125">
        <f t="shared" si="283"/>
        <v>0</v>
      </c>
      <c r="CH236" s="1125">
        <f t="shared" si="284"/>
        <v>0</v>
      </c>
      <c r="CI236" s="1125">
        <f t="shared" si="285"/>
        <v>0.85</v>
      </c>
      <c r="CJ236" s="1125">
        <f t="shared" si="286"/>
        <v>0.85</v>
      </c>
      <c r="CK236" s="1125">
        <f t="shared" si="287"/>
        <v>0.85</v>
      </c>
      <c r="CL236" s="1125">
        <f t="shared" si="288"/>
        <v>0.85</v>
      </c>
      <c r="CM236" s="1125">
        <f t="shared" si="289"/>
        <v>0.85</v>
      </c>
      <c r="CN236" s="1125">
        <f t="shared" si="290"/>
        <v>0.7</v>
      </c>
      <c r="CO236" s="1125">
        <f t="shared" si="291"/>
        <v>0.7</v>
      </c>
      <c r="CP236" s="1125">
        <f t="shared" si="292"/>
        <v>0.7</v>
      </c>
      <c r="CQ236" s="1125">
        <f t="shared" si="293"/>
        <v>0.7</v>
      </c>
      <c r="CR236" s="1125">
        <f t="shared" si="294"/>
        <v>0.85</v>
      </c>
      <c r="CS236" s="1125">
        <f t="shared" si="295"/>
        <v>0.85</v>
      </c>
      <c r="CT236" s="1125">
        <f t="shared" si="296"/>
        <v>0.85</v>
      </c>
      <c r="CU236" s="1125">
        <v>1</v>
      </c>
      <c r="CV236" s="1125"/>
      <c r="CW236" s="1125">
        <f t="shared" si="297"/>
        <v>214</v>
      </c>
      <c r="CX236" s="1125">
        <f t="shared" si="298"/>
        <v>151</v>
      </c>
      <c r="CY236" s="1136" t="s">
        <v>4886</v>
      </c>
      <c r="CZ236" s="1129" t="s">
        <v>4888</v>
      </c>
      <c r="DA236" s="1129"/>
      <c r="DB236" s="1129"/>
      <c r="DC236" s="1125" t="s">
        <v>5449</v>
      </c>
      <c r="DD236" s="1125" t="s">
        <v>538</v>
      </c>
      <c r="DE236" s="1120" t="str">
        <f t="shared" si="299"/>
        <v/>
      </c>
      <c r="DF236" s="1133">
        <v>0</v>
      </c>
      <c r="DG236" s="1120">
        <v>0</v>
      </c>
    </row>
    <row r="237" spans="1:111">
      <c r="A237" s="1125" t="s">
        <v>3270</v>
      </c>
      <c r="B237" s="1125" t="s">
        <v>3428</v>
      </c>
      <c r="C237" s="1125" t="s">
        <v>3429</v>
      </c>
      <c r="D237" s="1125" t="s">
        <v>566</v>
      </c>
      <c r="E237" s="1125">
        <v>1273</v>
      </c>
      <c r="F237" s="1125">
        <v>-95.38</v>
      </c>
      <c r="G237" s="1125">
        <v>41.98</v>
      </c>
      <c r="H237" s="1125">
        <v>-6</v>
      </c>
      <c r="I237" s="1126">
        <v>-5.9800006866455089</v>
      </c>
      <c r="J237" s="1126">
        <v>91.579997253417972</v>
      </c>
      <c r="K237" s="1127">
        <v>78.980000686645511</v>
      </c>
      <c r="L237" s="1125">
        <v>6384.6</v>
      </c>
      <c r="M237" s="1125">
        <v>1137.6000000000001</v>
      </c>
      <c r="N237" s="1128">
        <v>25.879999828338622</v>
      </c>
      <c r="O237" s="1128">
        <v>22.1</v>
      </c>
      <c r="P237" s="1128">
        <v>38.660000085830688</v>
      </c>
      <c r="Q237" s="1128">
        <v>51.980000686645511</v>
      </c>
      <c r="R237" s="1128">
        <v>57.740000343322755</v>
      </c>
      <c r="S237" s="1128">
        <v>69.8</v>
      </c>
      <c r="T237" s="1128">
        <v>76.639998626708987</v>
      </c>
      <c r="U237" s="1128">
        <v>72.319999313354487</v>
      </c>
      <c r="V237" s="1128">
        <v>70.7</v>
      </c>
      <c r="W237" s="1128">
        <v>55.580000686645505</v>
      </c>
      <c r="X237" s="1128">
        <v>34.160000085830688</v>
      </c>
      <c r="Y237" s="1128">
        <v>22.459999656677248</v>
      </c>
      <c r="Z237" s="1128">
        <v>49.988164323127435</v>
      </c>
      <c r="AA237" s="1128">
        <f t="shared" si="225"/>
        <v>44.977998463564838</v>
      </c>
      <c r="AB237" s="1128">
        <f t="shared" si="226"/>
        <v>43.449005477814957</v>
      </c>
      <c r="AC237" s="1128">
        <f t="shared" si="227"/>
        <v>45.188537479382731</v>
      </c>
      <c r="AD237" s="1128">
        <f t="shared" si="228"/>
        <v>49.743158645059935</v>
      </c>
      <c r="AE237" s="1128">
        <f t="shared" si="229"/>
        <v>55.925636779176045</v>
      </c>
      <c r="AF237" s="1128">
        <f t="shared" si="230"/>
        <v>62.124413681201709</v>
      </c>
      <c r="AG237" s="1128">
        <f t="shared" si="231"/>
        <v>66.723682625580324</v>
      </c>
      <c r="AH237" s="1128">
        <f t="shared" si="232"/>
        <v>68.52457328507974</v>
      </c>
      <c r="AI237" s="1128">
        <f t="shared" si="233"/>
        <v>67.057655756736324</v>
      </c>
      <c r="AJ237" s="1128">
        <f t="shared" si="234"/>
        <v>62.705304700196152</v>
      </c>
      <c r="AK237" s="1128">
        <f t="shared" si="235"/>
        <v>56.602027490106472</v>
      </c>
      <c r="AL237" s="1128">
        <f t="shared" si="236"/>
        <v>50.338737385625947</v>
      </c>
      <c r="AM237" s="1125">
        <f t="shared" si="237"/>
        <v>1</v>
      </c>
      <c r="AN237" s="1125">
        <f t="shared" si="238"/>
        <v>1</v>
      </c>
      <c r="AO237" s="1125">
        <f t="shared" si="239"/>
        <v>1</v>
      </c>
      <c r="AP237" s="1125">
        <f t="shared" si="240"/>
        <v>1</v>
      </c>
      <c r="AQ237" s="1125">
        <f t="shared" si="241"/>
        <v>1</v>
      </c>
      <c r="AR237" s="1125">
        <f t="shared" si="242"/>
        <v>0</v>
      </c>
      <c r="AS237" s="1125">
        <f t="shared" si="243"/>
        <v>0</v>
      </c>
      <c r="AT237" s="1125">
        <f t="shared" si="244"/>
        <v>0</v>
      </c>
      <c r="AU237" s="1125">
        <f t="shared" si="245"/>
        <v>0</v>
      </c>
      <c r="AV237" s="1125">
        <f t="shared" si="246"/>
        <v>1</v>
      </c>
      <c r="AW237" s="1125">
        <f t="shared" si="247"/>
        <v>1</v>
      </c>
      <c r="AX237" s="1125">
        <f t="shared" si="248"/>
        <v>1</v>
      </c>
      <c r="AY237" s="1125">
        <f t="shared" si="249"/>
        <v>0</v>
      </c>
      <c r="AZ237" s="1125">
        <f t="shared" si="250"/>
        <v>0</v>
      </c>
      <c r="BA237" s="1125">
        <f t="shared" si="251"/>
        <v>0</v>
      </c>
      <c r="BB237" s="1125">
        <f t="shared" si="252"/>
        <v>0</v>
      </c>
      <c r="BC237" s="1125">
        <f t="shared" si="253"/>
        <v>0</v>
      </c>
      <c r="BD237" s="1125">
        <f t="shared" si="254"/>
        <v>1</v>
      </c>
      <c r="BE237" s="1125">
        <f t="shared" si="255"/>
        <v>1</v>
      </c>
      <c r="BF237" s="1125">
        <f t="shared" si="256"/>
        <v>1</v>
      </c>
      <c r="BG237" s="1125">
        <f t="shared" si="257"/>
        <v>1</v>
      </c>
      <c r="BH237" s="1125">
        <f t="shared" si="258"/>
        <v>0</v>
      </c>
      <c r="BI237" s="1125">
        <f t="shared" si="259"/>
        <v>0</v>
      </c>
      <c r="BJ237" s="1125">
        <f t="shared" si="260"/>
        <v>0</v>
      </c>
      <c r="BK237" s="1125">
        <f t="shared" si="261"/>
        <v>1</v>
      </c>
      <c r="BL237" s="1125">
        <f t="shared" si="262"/>
        <v>1</v>
      </c>
      <c r="BM237" s="1125">
        <f t="shared" si="263"/>
        <v>1</v>
      </c>
      <c r="BN237" s="1125">
        <f t="shared" si="264"/>
        <v>1</v>
      </c>
      <c r="BO237" s="1125">
        <f t="shared" si="265"/>
        <v>1</v>
      </c>
      <c r="BP237" s="1125">
        <f t="shared" si="266"/>
        <v>1</v>
      </c>
      <c r="BQ237" s="1125">
        <f t="shared" si="267"/>
        <v>0</v>
      </c>
      <c r="BR237" s="1125">
        <f t="shared" si="268"/>
        <v>0</v>
      </c>
      <c r="BS237" s="1125">
        <f t="shared" si="269"/>
        <v>0</v>
      </c>
      <c r="BT237" s="1125">
        <f t="shared" si="270"/>
        <v>1</v>
      </c>
      <c r="BU237" s="1125">
        <f t="shared" si="271"/>
        <v>1</v>
      </c>
      <c r="BV237" s="1125">
        <f t="shared" si="272"/>
        <v>1</v>
      </c>
      <c r="BW237" s="1125">
        <f t="shared" si="273"/>
        <v>0</v>
      </c>
      <c r="BX237" s="1125">
        <f t="shared" si="274"/>
        <v>0</v>
      </c>
      <c r="BY237" s="1125">
        <f t="shared" si="275"/>
        <v>0</v>
      </c>
      <c r="BZ237" s="1125">
        <f t="shared" si="276"/>
        <v>0</v>
      </c>
      <c r="CA237" s="1125">
        <f t="shared" si="277"/>
        <v>1</v>
      </c>
      <c r="CB237" s="1125">
        <f t="shared" si="278"/>
        <v>1</v>
      </c>
      <c r="CC237" s="1125">
        <f t="shared" si="279"/>
        <v>1</v>
      </c>
      <c r="CD237" s="1125">
        <f t="shared" si="280"/>
        <v>1</v>
      </c>
      <c r="CE237" s="1125">
        <f t="shared" si="281"/>
        <v>1</v>
      </c>
      <c r="CF237" s="1125">
        <f t="shared" si="282"/>
        <v>1</v>
      </c>
      <c r="CG237" s="1125">
        <f t="shared" si="283"/>
        <v>0</v>
      </c>
      <c r="CH237" s="1125">
        <f t="shared" si="284"/>
        <v>0</v>
      </c>
      <c r="CI237" s="1125">
        <f t="shared" si="285"/>
        <v>0.85</v>
      </c>
      <c r="CJ237" s="1125">
        <f t="shared" si="286"/>
        <v>0.85</v>
      </c>
      <c r="CK237" s="1125">
        <f t="shared" si="287"/>
        <v>0.85</v>
      </c>
      <c r="CL237" s="1125">
        <f t="shared" si="288"/>
        <v>0.85</v>
      </c>
      <c r="CM237" s="1125">
        <f t="shared" si="289"/>
        <v>0.85</v>
      </c>
      <c r="CN237" s="1125">
        <f t="shared" si="290"/>
        <v>0.85</v>
      </c>
      <c r="CO237" s="1125">
        <f t="shared" si="291"/>
        <v>0.7</v>
      </c>
      <c r="CP237" s="1125">
        <f t="shared" si="292"/>
        <v>0.7</v>
      </c>
      <c r="CQ237" s="1125">
        <f t="shared" si="293"/>
        <v>0.7</v>
      </c>
      <c r="CR237" s="1125">
        <f t="shared" si="294"/>
        <v>0.85</v>
      </c>
      <c r="CS237" s="1125">
        <f t="shared" si="295"/>
        <v>0.85</v>
      </c>
      <c r="CT237" s="1125">
        <f t="shared" si="296"/>
        <v>0.85</v>
      </c>
      <c r="CU237" s="1125">
        <v>1</v>
      </c>
      <c r="CV237" s="1125"/>
      <c r="CW237" s="1125">
        <f t="shared" si="297"/>
        <v>184</v>
      </c>
      <c r="CX237" s="1125">
        <f t="shared" si="298"/>
        <v>181</v>
      </c>
      <c r="CY237" s="1136" t="s">
        <v>4889</v>
      </c>
      <c r="CZ237" s="1129" t="s">
        <v>4897</v>
      </c>
      <c r="DA237" s="1129"/>
      <c r="DB237" s="1129"/>
      <c r="DC237" s="1125" t="s">
        <v>5169</v>
      </c>
      <c r="DD237" s="1125" t="s">
        <v>566</v>
      </c>
      <c r="DE237" s="1120" t="str">
        <f t="shared" si="299"/>
        <v/>
      </c>
      <c r="DF237" s="1133">
        <v>0</v>
      </c>
      <c r="DG237" s="1125">
        <v>0</v>
      </c>
    </row>
    <row r="238" spans="1:111">
      <c r="A238" s="1120" t="s">
        <v>3268</v>
      </c>
      <c r="B238" s="1125" t="s">
        <v>3230</v>
      </c>
      <c r="C238" s="1125" t="s">
        <v>3231</v>
      </c>
      <c r="D238" s="1125" t="s">
        <v>536</v>
      </c>
      <c r="E238" s="1125">
        <v>5999</v>
      </c>
      <c r="F238" s="1125">
        <v>-105.18</v>
      </c>
      <c r="G238" s="1125">
        <v>39.74</v>
      </c>
      <c r="H238" s="1125">
        <v>-7</v>
      </c>
      <c r="I238" s="1126">
        <v>4.0999999999999996</v>
      </c>
      <c r="J238" s="1126">
        <v>89.6</v>
      </c>
      <c r="K238" s="1127">
        <v>59.9</v>
      </c>
      <c r="L238" s="1125">
        <v>6008.4000000000005</v>
      </c>
      <c r="M238" s="1125">
        <v>595.80000000000007</v>
      </c>
      <c r="N238" s="1128">
        <v>33.980000042915343</v>
      </c>
      <c r="O238" s="1128">
        <v>29.660000085830688</v>
      </c>
      <c r="P238" s="1128">
        <v>37.76000008583069</v>
      </c>
      <c r="Q238" s="1128">
        <v>47.119999313354491</v>
      </c>
      <c r="R238" s="1128">
        <v>55.580000686645505</v>
      </c>
      <c r="S238" s="1128">
        <v>65.83999862670899</v>
      </c>
      <c r="T238" s="1128">
        <v>69.439998626708984</v>
      </c>
      <c r="U238" s="1128">
        <v>70.7</v>
      </c>
      <c r="V238" s="1128">
        <v>62.6</v>
      </c>
      <c r="W238" s="1128">
        <v>48.919999313354495</v>
      </c>
      <c r="X238" s="1128">
        <v>36.679999828338623</v>
      </c>
      <c r="Y238" s="1128">
        <v>35.23999991416931</v>
      </c>
      <c r="Z238" s="1128">
        <v>49.583287381407331</v>
      </c>
      <c r="AA238" s="1128">
        <f t="shared" si="225"/>
        <v>47.402751447913175</v>
      </c>
      <c r="AB238" s="1128">
        <f t="shared" si="226"/>
        <v>46.230068049619405</v>
      </c>
      <c r="AC238" s="1128">
        <f t="shared" si="227"/>
        <v>47.495445407629063</v>
      </c>
      <c r="AD238" s="1128">
        <f t="shared" si="228"/>
        <v>50.869043413521581</v>
      </c>
      <c r="AE238" s="1128">
        <f t="shared" si="229"/>
        <v>55.471481758342129</v>
      </c>
      <c r="AF238" s="1128">
        <f t="shared" si="230"/>
        <v>60.10306396179142</v>
      </c>
      <c r="AG238" s="1128">
        <f t="shared" si="231"/>
        <v>63.556496747698155</v>
      </c>
      <c r="AH238" s="1128">
        <f t="shared" si="232"/>
        <v>64.93158964140558</v>
      </c>
      <c r="AI238" s="1128">
        <f t="shared" si="233"/>
        <v>63.86990348934593</v>
      </c>
      <c r="AJ238" s="1128">
        <f t="shared" si="234"/>
        <v>60.648183148132389</v>
      </c>
      <c r="AK238" s="1128">
        <f t="shared" si="235"/>
        <v>56.106219672915572</v>
      </c>
      <c r="AL238" s="1128">
        <f t="shared" si="236"/>
        <v>51.427945837286586</v>
      </c>
      <c r="AM238" s="1125">
        <f t="shared" si="237"/>
        <v>1</v>
      </c>
      <c r="AN238" s="1125">
        <f t="shared" si="238"/>
        <v>1</v>
      </c>
      <c r="AO238" s="1125">
        <f t="shared" si="239"/>
        <v>1</v>
      </c>
      <c r="AP238" s="1125">
        <f t="shared" si="240"/>
        <v>1</v>
      </c>
      <c r="AQ238" s="1125">
        <f t="shared" si="241"/>
        <v>1</v>
      </c>
      <c r="AR238" s="1125">
        <f t="shared" si="242"/>
        <v>1</v>
      </c>
      <c r="AS238" s="1125">
        <f t="shared" si="243"/>
        <v>0</v>
      </c>
      <c r="AT238" s="1125">
        <f t="shared" si="244"/>
        <v>0</v>
      </c>
      <c r="AU238" s="1125">
        <f t="shared" si="245"/>
        <v>1</v>
      </c>
      <c r="AV238" s="1125">
        <f t="shared" si="246"/>
        <v>1</v>
      </c>
      <c r="AW238" s="1125">
        <f t="shared" si="247"/>
        <v>1</v>
      </c>
      <c r="AX238" s="1125">
        <f t="shared" si="248"/>
        <v>1</v>
      </c>
      <c r="AY238" s="1125">
        <f t="shared" si="249"/>
        <v>0</v>
      </c>
      <c r="AZ238" s="1125">
        <f t="shared" si="250"/>
        <v>0</v>
      </c>
      <c r="BA238" s="1125">
        <f t="shared" si="251"/>
        <v>0</v>
      </c>
      <c r="BB238" s="1125">
        <f t="shared" si="252"/>
        <v>0</v>
      </c>
      <c r="BC238" s="1125">
        <f t="shared" si="253"/>
        <v>0</v>
      </c>
      <c r="BD238" s="1125">
        <f t="shared" si="254"/>
        <v>0</v>
      </c>
      <c r="BE238" s="1125">
        <f t="shared" si="255"/>
        <v>1</v>
      </c>
      <c r="BF238" s="1125">
        <f t="shared" si="256"/>
        <v>1</v>
      </c>
      <c r="BG238" s="1125">
        <f t="shared" si="257"/>
        <v>0</v>
      </c>
      <c r="BH238" s="1125">
        <f t="shared" si="258"/>
        <v>0</v>
      </c>
      <c r="BI238" s="1125">
        <f t="shared" si="259"/>
        <v>0</v>
      </c>
      <c r="BJ238" s="1125">
        <f t="shared" si="260"/>
        <v>0</v>
      </c>
      <c r="BK238" s="1125">
        <f t="shared" si="261"/>
        <v>1</v>
      </c>
      <c r="BL238" s="1125">
        <f t="shared" si="262"/>
        <v>1</v>
      </c>
      <c r="BM238" s="1125">
        <f t="shared" si="263"/>
        <v>1</v>
      </c>
      <c r="BN238" s="1125">
        <f t="shared" si="264"/>
        <v>1</v>
      </c>
      <c r="BO238" s="1125">
        <f t="shared" si="265"/>
        <v>1</v>
      </c>
      <c r="BP238" s="1125">
        <f t="shared" si="266"/>
        <v>1</v>
      </c>
      <c r="BQ238" s="1125">
        <f t="shared" si="267"/>
        <v>1</v>
      </c>
      <c r="BR238" s="1125">
        <f t="shared" si="268"/>
        <v>0</v>
      </c>
      <c r="BS238" s="1125">
        <f t="shared" si="269"/>
        <v>1</v>
      </c>
      <c r="BT238" s="1125">
        <f t="shared" si="270"/>
        <v>1</v>
      </c>
      <c r="BU238" s="1125">
        <f t="shared" si="271"/>
        <v>1</v>
      </c>
      <c r="BV238" s="1125">
        <f t="shared" si="272"/>
        <v>1</v>
      </c>
      <c r="BW238" s="1125">
        <f t="shared" si="273"/>
        <v>0</v>
      </c>
      <c r="BX238" s="1125">
        <f t="shared" si="274"/>
        <v>0</v>
      </c>
      <c r="BY238" s="1125">
        <f t="shared" si="275"/>
        <v>0</v>
      </c>
      <c r="BZ238" s="1125">
        <f t="shared" si="276"/>
        <v>0</v>
      </c>
      <c r="CA238" s="1125">
        <f t="shared" si="277"/>
        <v>0</v>
      </c>
      <c r="CB238" s="1125">
        <f t="shared" si="278"/>
        <v>1</v>
      </c>
      <c r="CC238" s="1125">
        <f t="shared" si="279"/>
        <v>1</v>
      </c>
      <c r="CD238" s="1125">
        <f t="shared" si="280"/>
        <v>1</v>
      </c>
      <c r="CE238" s="1125">
        <f t="shared" si="281"/>
        <v>1</v>
      </c>
      <c r="CF238" s="1125">
        <f t="shared" si="282"/>
        <v>0</v>
      </c>
      <c r="CG238" s="1125">
        <f t="shared" si="283"/>
        <v>0</v>
      </c>
      <c r="CH238" s="1125">
        <f t="shared" si="284"/>
        <v>0</v>
      </c>
      <c r="CI238" s="1125">
        <f t="shared" si="285"/>
        <v>0.85</v>
      </c>
      <c r="CJ238" s="1125">
        <f t="shared" si="286"/>
        <v>0.85</v>
      </c>
      <c r="CK238" s="1125">
        <f t="shared" si="287"/>
        <v>0.85</v>
      </c>
      <c r="CL238" s="1125">
        <f t="shared" si="288"/>
        <v>0.85</v>
      </c>
      <c r="CM238" s="1125">
        <f t="shared" si="289"/>
        <v>0.85</v>
      </c>
      <c r="CN238" s="1125">
        <f t="shared" si="290"/>
        <v>0.85</v>
      </c>
      <c r="CO238" s="1125">
        <f t="shared" si="291"/>
        <v>0.85</v>
      </c>
      <c r="CP238" s="1125">
        <f t="shared" si="292"/>
        <v>0.7</v>
      </c>
      <c r="CQ238" s="1125">
        <f t="shared" si="293"/>
        <v>0.85</v>
      </c>
      <c r="CR238" s="1125">
        <f t="shared" si="294"/>
        <v>0.85</v>
      </c>
      <c r="CS238" s="1125">
        <f t="shared" si="295"/>
        <v>0.85</v>
      </c>
      <c r="CT238" s="1125">
        <f t="shared" si="296"/>
        <v>0.85</v>
      </c>
      <c r="CU238" s="1125">
        <v>1</v>
      </c>
      <c r="CV238" s="1125"/>
      <c r="CW238" s="1125">
        <f t="shared" si="297"/>
        <v>122</v>
      </c>
      <c r="CX238" s="1125">
        <f t="shared" si="298"/>
        <v>243</v>
      </c>
      <c r="CY238" s="1135" t="s">
        <v>4889</v>
      </c>
      <c r="CZ238" s="1124" t="s">
        <v>4890</v>
      </c>
      <c r="DA238" s="1124"/>
      <c r="DB238" s="1124"/>
      <c r="DC238" s="1120" t="s">
        <v>5949</v>
      </c>
      <c r="DD238" s="1120" t="s">
        <v>536</v>
      </c>
      <c r="DE238" s="1120" t="b">
        <f t="shared" si="299"/>
        <v>0</v>
      </c>
      <c r="DF238" s="1133">
        <v>0</v>
      </c>
      <c r="DG238" s="1120">
        <v>0</v>
      </c>
    </row>
    <row r="239" spans="1:111">
      <c r="A239" s="1125" t="s">
        <v>3272</v>
      </c>
      <c r="B239" s="1120" t="s">
        <v>3224</v>
      </c>
      <c r="C239" s="1120" t="s">
        <v>3225</v>
      </c>
      <c r="D239" s="1120" t="s">
        <v>536</v>
      </c>
      <c r="E239" s="1120">
        <v>5412</v>
      </c>
      <c r="F239" s="1120">
        <v>-104.65</v>
      </c>
      <c r="G239" s="1120">
        <v>39.83</v>
      </c>
      <c r="H239" s="1120">
        <v>-7</v>
      </c>
      <c r="I239" s="1121">
        <v>6.7999999999999989</v>
      </c>
      <c r="J239" s="1121">
        <v>91.760001373291018</v>
      </c>
      <c r="K239" s="1122">
        <v>60.080000686645505</v>
      </c>
      <c r="L239" s="1120">
        <v>5632.2</v>
      </c>
      <c r="M239" s="1120">
        <v>952.2</v>
      </c>
      <c r="N239" s="1123">
        <v>33.440000021457671</v>
      </c>
      <c r="O239" s="1123">
        <v>31.81999999731779</v>
      </c>
      <c r="P239" s="1123">
        <v>42.97999982833862</v>
      </c>
      <c r="Q239" s="1123">
        <v>42.440000343322751</v>
      </c>
      <c r="R239" s="1123">
        <v>59.9</v>
      </c>
      <c r="S239" s="1123">
        <v>73.580000686645505</v>
      </c>
      <c r="T239" s="1123">
        <v>72.139998626708987</v>
      </c>
      <c r="U239" s="1123">
        <v>72.680000686645513</v>
      </c>
      <c r="V239" s="1123">
        <v>66.560001373291016</v>
      </c>
      <c r="W239" s="1123">
        <v>50</v>
      </c>
      <c r="X239" s="1123">
        <v>37.220000171661376</v>
      </c>
      <c r="Y239" s="1123">
        <v>34.519999957084657</v>
      </c>
      <c r="Z239" s="1123">
        <v>51.562794657259772</v>
      </c>
      <c r="AA239" s="1123">
        <f t="shared" si="225"/>
        <v>48.718290388117268</v>
      </c>
      <c r="AB239" s="1123">
        <f t="shared" si="226"/>
        <v>47.641339778292384</v>
      </c>
      <c r="AC239" s="1123">
        <f t="shared" si="227"/>
        <v>49.150569276918105</v>
      </c>
      <c r="AD239" s="1123">
        <f t="shared" si="228"/>
        <v>52.85257495724705</v>
      </c>
      <c r="AE239" s="1123">
        <f t="shared" si="229"/>
        <v>57.782371989067066</v>
      </c>
      <c r="AF239" s="1123">
        <f t="shared" si="230"/>
        <v>62.654932805562403</v>
      </c>
      <c r="AG239" s="1123">
        <f t="shared" si="231"/>
        <v>66.200149341478465</v>
      </c>
      <c r="AH239" s="1123">
        <f t="shared" si="232"/>
        <v>67.493906273288161</v>
      </c>
      <c r="AI239" s="1123">
        <f t="shared" si="233"/>
        <v>66.198965919317473</v>
      </c>
      <c r="AJ239" s="1123">
        <f t="shared" si="234"/>
        <v>62.65287443846379</v>
      </c>
      <c r="AK239" s="1123">
        <f t="shared" si="235"/>
        <v>57.779975222135477</v>
      </c>
      <c r="AL239" s="1123">
        <f t="shared" si="236"/>
        <v>52.850464544718484</v>
      </c>
      <c r="AM239" s="1120">
        <f t="shared" si="237"/>
        <v>1</v>
      </c>
      <c r="AN239" s="1120">
        <f t="shared" si="238"/>
        <v>1</v>
      </c>
      <c r="AO239" s="1120">
        <f t="shared" si="239"/>
        <v>1</v>
      </c>
      <c r="AP239" s="1120">
        <f t="shared" si="240"/>
        <v>1</v>
      </c>
      <c r="AQ239" s="1120">
        <f t="shared" si="241"/>
        <v>1</v>
      </c>
      <c r="AR239" s="1120">
        <f t="shared" si="242"/>
        <v>0</v>
      </c>
      <c r="AS239" s="1120">
        <f t="shared" si="243"/>
        <v>0</v>
      </c>
      <c r="AT239" s="1120">
        <f t="shared" si="244"/>
        <v>0</v>
      </c>
      <c r="AU239" s="1120">
        <f t="shared" si="245"/>
        <v>0</v>
      </c>
      <c r="AV239" s="1120">
        <f t="shared" si="246"/>
        <v>1</v>
      </c>
      <c r="AW239" s="1120">
        <f t="shared" si="247"/>
        <v>1</v>
      </c>
      <c r="AX239" s="1120">
        <f t="shared" si="248"/>
        <v>1</v>
      </c>
      <c r="AY239" s="1120">
        <f t="shared" si="249"/>
        <v>0</v>
      </c>
      <c r="AZ239" s="1120">
        <f t="shared" si="250"/>
        <v>0</v>
      </c>
      <c r="BA239" s="1120">
        <f t="shared" si="251"/>
        <v>0</v>
      </c>
      <c r="BB239" s="1120">
        <f t="shared" si="252"/>
        <v>0</v>
      </c>
      <c r="BC239" s="1120">
        <f t="shared" si="253"/>
        <v>0</v>
      </c>
      <c r="BD239" s="1120">
        <f t="shared" si="254"/>
        <v>1</v>
      </c>
      <c r="BE239" s="1120">
        <f t="shared" si="255"/>
        <v>1</v>
      </c>
      <c r="BF239" s="1120">
        <f t="shared" si="256"/>
        <v>1</v>
      </c>
      <c r="BG239" s="1120">
        <f t="shared" si="257"/>
        <v>1</v>
      </c>
      <c r="BH239" s="1120">
        <f t="shared" si="258"/>
        <v>0</v>
      </c>
      <c r="BI239" s="1120">
        <f t="shared" si="259"/>
        <v>0</v>
      </c>
      <c r="BJ239" s="1120">
        <f t="shared" si="260"/>
        <v>0</v>
      </c>
      <c r="BK239" s="1120">
        <f t="shared" si="261"/>
        <v>1</v>
      </c>
      <c r="BL239" s="1120">
        <f t="shared" si="262"/>
        <v>1</v>
      </c>
      <c r="BM239" s="1120">
        <f t="shared" si="263"/>
        <v>1</v>
      </c>
      <c r="BN239" s="1120">
        <f t="shared" si="264"/>
        <v>1</v>
      </c>
      <c r="BO239" s="1120">
        <f t="shared" si="265"/>
        <v>1</v>
      </c>
      <c r="BP239" s="1120">
        <f t="shared" si="266"/>
        <v>1</v>
      </c>
      <c r="BQ239" s="1120">
        <f t="shared" si="267"/>
        <v>0</v>
      </c>
      <c r="BR239" s="1120">
        <f t="shared" si="268"/>
        <v>0</v>
      </c>
      <c r="BS239" s="1120">
        <f t="shared" si="269"/>
        <v>0</v>
      </c>
      <c r="BT239" s="1120">
        <f t="shared" si="270"/>
        <v>1</v>
      </c>
      <c r="BU239" s="1120">
        <f t="shared" si="271"/>
        <v>1</v>
      </c>
      <c r="BV239" s="1120">
        <f t="shared" si="272"/>
        <v>1</v>
      </c>
      <c r="BW239" s="1120">
        <f t="shared" si="273"/>
        <v>0</v>
      </c>
      <c r="BX239" s="1120">
        <f t="shared" si="274"/>
        <v>0</v>
      </c>
      <c r="BY239" s="1120">
        <f t="shared" si="275"/>
        <v>0</v>
      </c>
      <c r="BZ239" s="1120">
        <f t="shared" si="276"/>
        <v>0</v>
      </c>
      <c r="CA239" s="1120">
        <f t="shared" si="277"/>
        <v>1</v>
      </c>
      <c r="CB239" s="1120">
        <f t="shared" si="278"/>
        <v>1</v>
      </c>
      <c r="CC239" s="1120">
        <f t="shared" si="279"/>
        <v>1</v>
      </c>
      <c r="CD239" s="1120">
        <f t="shared" si="280"/>
        <v>1</v>
      </c>
      <c r="CE239" s="1120">
        <f t="shared" si="281"/>
        <v>1</v>
      </c>
      <c r="CF239" s="1120">
        <f t="shared" si="282"/>
        <v>1</v>
      </c>
      <c r="CG239" s="1120">
        <f t="shared" si="283"/>
        <v>0</v>
      </c>
      <c r="CH239" s="1120">
        <f t="shared" si="284"/>
        <v>0</v>
      </c>
      <c r="CI239" s="1120">
        <f t="shared" si="285"/>
        <v>0.85</v>
      </c>
      <c r="CJ239" s="1120">
        <f t="shared" si="286"/>
        <v>0.85</v>
      </c>
      <c r="CK239" s="1120">
        <f t="shared" si="287"/>
        <v>0.85</v>
      </c>
      <c r="CL239" s="1120">
        <f t="shared" si="288"/>
        <v>0.85</v>
      </c>
      <c r="CM239" s="1120">
        <f t="shared" si="289"/>
        <v>0.85</v>
      </c>
      <c r="CN239" s="1120">
        <f t="shared" si="290"/>
        <v>0.85</v>
      </c>
      <c r="CO239" s="1120">
        <f t="shared" si="291"/>
        <v>0.7</v>
      </c>
      <c r="CP239" s="1120">
        <f t="shared" si="292"/>
        <v>0.7</v>
      </c>
      <c r="CQ239" s="1120">
        <f t="shared" si="293"/>
        <v>0.7</v>
      </c>
      <c r="CR239" s="1120">
        <f t="shared" si="294"/>
        <v>0.85</v>
      </c>
      <c r="CS239" s="1120">
        <f t="shared" si="295"/>
        <v>0.85</v>
      </c>
      <c r="CT239" s="1120">
        <f t="shared" si="296"/>
        <v>0.85</v>
      </c>
      <c r="CU239" s="1120">
        <v>1</v>
      </c>
      <c r="CV239" s="1120"/>
      <c r="CW239" s="1120">
        <f t="shared" si="297"/>
        <v>184</v>
      </c>
      <c r="CX239" s="1120">
        <f t="shared" si="298"/>
        <v>181</v>
      </c>
      <c r="CY239" s="1136" t="s">
        <v>4889</v>
      </c>
      <c r="CZ239" s="1129" t="s">
        <v>4890</v>
      </c>
      <c r="DA239" s="1129"/>
      <c r="DB239" s="1129"/>
      <c r="DC239" s="1125" t="s">
        <v>5074</v>
      </c>
      <c r="DD239" s="1125" t="s">
        <v>536</v>
      </c>
      <c r="DE239" s="1120" t="str">
        <f t="shared" si="299"/>
        <v/>
      </c>
      <c r="DF239" s="1133">
        <v>0</v>
      </c>
      <c r="DG239" s="1125">
        <v>0</v>
      </c>
    </row>
    <row r="240" spans="1:111">
      <c r="A240" s="1120" t="s">
        <v>3278</v>
      </c>
      <c r="B240" s="1120" t="s">
        <v>3430</v>
      </c>
      <c r="C240" s="1120" t="s">
        <v>3431</v>
      </c>
      <c r="D240" s="1120" t="s">
        <v>566</v>
      </c>
      <c r="E240" s="1120">
        <v>958</v>
      </c>
      <c r="F240" s="1120">
        <v>-93.67</v>
      </c>
      <c r="G240" s="1120">
        <v>41.53</v>
      </c>
      <c r="H240" s="1120">
        <v>-6</v>
      </c>
      <c r="I240" s="1121">
        <v>-1.6600013732910164</v>
      </c>
      <c r="J240" s="1121">
        <v>90.139998626708987</v>
      </c>
      <c r="K240" s="1122">
        <v>75.019999313354489</v>
      </c>
      <c r="L240" s="1120">
        <v>6300</v>
      </c>
      <c r="M240" s="1120">
        <v>1213.2</v>
      </c>
      <c r="N240" s="1123">
        <v>21.2</v>
      </c>
      <c r="O240" s="1123">
        <v>22.640000343322754</v>
      </c>
      <c r="P240" s="1123">
        <v>39.559999656677249</v>
      </c>
      <c r="Q240" s="1123">
        <v>51.440000343322751</v>
      </c>
      <c r="R240" s="1123">
        <v>64.039998626708979</v>
      </c>
      <c r="S240" s="1123">
        <v>73.219999313354492</v>
      </c>
      <c r="T240" s="1123">
        <v>77</v>
      </c>
      <c r="U240" s="1123">
        <v>73.760001373291018</v>
      </c>
      <c r="V240" s="1123">
        <v>66.739998626708982</v>
      </c>
      <c r="W240" s="1123">
        <v>49.640000343322754</v>
      </c>
      <c r="X240" s="1123">
        <v>39.559999656677249</v>
      </c>
      <c r="Y240" s="1123">
        <v>25.339999914169312</v>
      </c>
      <c r="Z240" s="1123">
        <v>50.491671082614218</v>
      </c>
      <c r="AA240" s="1123">
        <f t="shared" si="225"/>
        <v>45.050430522022552</v>
      </c>
      <c r="AB240" s="1123">
        <f t="shared" si="226"/>
        <v>43.524768316260278</v>
      </c>
      <c r="AC240" s="1123">
        <f t="shared" si="227"/>
        <v>45.379129142568473</v>
      </c>
      <c r="AD240" s="1123">
        <f t="shared" si="228"/>
        <v>50.130145275004566</v>
      </c>
      <c r="AE240" s="1123">
        <f t="shared" si="229"/>
        <v>56.539391143274273</v>
      </c>
      <c r="AF240" s="1123">
        <f t="shared" si="230"/>
        <v>62.936198042344543</v>
      </c>
      <c r="AG240" s="1123">
        <f t="shared" si="231"/>
        <v>67.653139676194471</v>
      </c>
      <c r="AH240" s="1123">
        <f t="shared" si="232"/>
        <v>69.46067251769017</v>
      </c>
      <c r="AI240" s="1123">
        <f t="shared" si="233"/>
        <v>67.887635276771562</v>
      </c>
      <c r="AJ240" s="1123">
        <f t="shared" si="234"/>
        <v>63.344064351521709</v>
      </c>
      <c r="AK240" s="1123">
        <f t="shared" si="235"/>
        <v>57.014311522154401</v>
      </c>
      <c r="AL240" s="1123">
        <f t="shared" si="236"/>
        <v>50.548324408087979</v>
      </c>
      <c r="AM240" s="1120">
        <f t="shared" si="237"/>
        <v>1</v>
      </c>
      <c r="AN240" s="1120">
        <f t="shared" si="238"/>
        <v>1</v>
      </c>
      <c r="AO240" s="1120">
        <f t="shared" si="239"/>
        <v>1</v>
      </c>
      <c r="AP240" s="1120">
        <f t="shared" si="240"/>
        <v>1</v>
      </c>
      <c r="AQ240" s="1120">
        <f t="shared" si="241"/>
        <v>1</v>
      </c>
      <c r="AR240" s="1120">
        <f t="shared" si="242"/>
        <v>0</v>
      </c>
      <c r="AS240" s="1120">
        <f t="shared" si="243"/>
        <v>0</v>
      </c>
      <c r="AT240" s="1120">
        <f t="shared" si="244"/>
        <v>0</v>
      </c>
      <c r="AU240" s="1120">
        <f t="shared" si="245"/>
        <v>0</v>
      </c>
      <c r="AV240" s="1120">
        <f t="shared" si="246"/>
        <v>1</v>
      </c>
      <c r="AW240" s="1120">
        <f t="shared" si="247"/>
        <v>1</v>
      </c>
      <c r="AX240" s="1120">
        <f t="shared" si="248"/>
        <v>1</v>
      </c>
      <c r="AY240" s="1120">
        <f t="shared" si="249"/>
        <v>0</v>
      </c>
      <c r="AZ240" s="1120">
        <f t="shared" si="250"/>
        <v>0</v>
      </c>
      <c r="BA240" s="1120">
        <f t="shared" si="251"/>
        <v>0</v>
      </c>
      <c r="BB240" s="1120">
        <f t="shared" si="252"/>
        <v>0</v>
      </c>
      <c r="BC240" s="1120">
        <f t="shared" si="253"/>
        <v>0</v>
      </c>
      <c r="BD240" s="1120">
        <f t="shared" si="254"/>
        <v>1</v>
      </c>
      <c r="BE240" s="1120">
        <f t="shared" si="255"/>
        <v>1</v>
      </c>
      <c r="BF240" s="1120">
        <f t="shared" si="256"/>
        <v>1</v>
      </c>
      <c r="BG240" s="1120">
        <f t="shared" si="257"/>
        <v>1</v>
      </c>
      <c r="BH240" s="1120">
        <f t="shared" si="258"/>
        <v>0</v>
      </c>
      <c r="BI240" s="1120">
        <f t="shared" si="259"/>
        <v>0</v>
      </c>
      <c r="BJ240" s="1120">
        <f t="shared" si="260"/>
        <v>0</v>
      </c>
      <c r="BK240" s="1120">
        <f t="shared" si="261"/>
        <v>1</v>
      </c>
      <c r="BL240" s="1120">
        <f t="shared" si="262"/>
        <v>1</v>
      </c>
      <c r="BM240" s="1120">
        <f t="shared" si="263"/>
        <v>1</v>
      </c>
      <c r="BN240" s="1120">
        <f t="shared" si="264"/>
        <v>1</v>
      </c>
      <c r="BO240" s="1120">
        <f t="shared" si="265"/>
        <v>1</v>
      </c>
      <c r="BP240" s="1120">
        <f t="shared" si="266"/>
        <v>1</v>
      </c>
      <c r="BQ240" s="1120">
        <f t="shared" si="267"/>
        <v>0</v>
      </c>
      <c r="BR240" s="1120">
        <f t="shared" si="268"/>
        <v>0</v>
      </c>
      <c r="BS240" s="1120">
        <f t="shared" si="269"/>
        <v>0</v>
      </c>
      <c r="BT240" s="1120">
        <f t="shared" si="270"/>
        <v>1</v>
      </c>
      <c r="BU240" s="1120">
        <f t="shared" si="271"/>
        <v>1</v>
      </c>
      <c r="BV240" s="1120">
        <f t="shared" si="272"/>
        <v>1</v>
      </c>
      <c r="BW240" s="1120">
        <f t="shared" si="273"/>
        <v>0</v>
      </c>
      <c r="BX240" s="1120">
        <f t="shared" si="274"/>
        <v>0</v>
      </c>
      <c r="BY240" s="1120">
        <f t="shared" si="275"/>
        <v>0</v>
      </c>
      <c r="BZ240" s="1120">
        <f t="shared" si="276"/>
        <v>0</v>
      </c>
      <c r="CA240" s="1120">
        <f t="shared" si="277"/>
        <v>1</v>
      </c>
      <c r="CB240" s="1120">
        <f t="shared" si="278"/>
        <v>1</v>
      </c>
      <c r="CC240" s="1120">
        <f t="shared" si="279"/>
        <v>1</v>
      </c>
      <c r="CD240" s="1120">
        <f t="shared" si="280"/>
        <v>1</v>
      </c>
      <c r="CE240" s="1120">
        <f t="shared" si="281"/>
        <v>1</v>
      </c>
      <c r="CF240" s="1120">
        <f t="shared" si="282"/>
        <v>1</v>
      </c>
      <c r="CG240" s="1120">
        <f t="shared" si="283"/>
        <v>0</v>
      </c>
      <c r="CH240" s="1120">
        <f t="shared" si="284"/>
        <v>0</v>
      </c>
      <c r="CI240" s="1120">
        <f t="shared" si="285"/>
        <v>0.85</v>
      </c>
      <c r="CJ240" s="1120">
        <f t="shared" si="286"/>
        <v>0.85</v>
      </c>
      <c r="CK240" s="1120">
        <f t="shared" si="287"/>
        <v>0.85</v>
      </c>
      <c r="CL240" s="1120">
        <f t="shared" si="288"/>
        <v>0.85</v>
      </c>
      <c r="CM240" s="1120">
        <f t="shared" si="289"/>
        <v>0.85</v>
      </c>
      <c r="CN240" s="1120">
        <f t="shared" si="290"/>
        <v>0.85</v>
      </c>
      <c r="CO240" s="1120">
        <f t="shared" si="291"/>
        <v>0.7</v>
      </c>
      <c r="CP240" s="1120">
        <f t="shared" si="292"/>
        <v>0.7</v>
      </c>
      <c r="CQ240" s="1120">
        <f t="shared" si="293"/>
        <v>0.7</v>
      </c>
      <c r="CR240" s="1120">
        <f t="shared" si="294"/>
        <v>0.85</v>
      </c>
      <c r="CS240" s="1120">
        <f t="shared" si="295"/>
        <v>0.85</v>
      </c>
      <c r="CT240" s="1120">
        <f t="shared" si="296"/>
        <v>0.85</v>
      </c>
      <c r="CU240" s="1120">
        <v>1</v>
      </c>
      <c r="CV240" s="1120"/>
      <c r="CW240" s="1120">
        <f t="shared" si="297"/>
        <v>184</v>
      </c>
      <c r="CX240" s="1120">
        <f t="shared" si="298"/>
        <v>181</v>
      </c>
      <c r="CY240" s="1135" t="s">
        <v>4889</v>
      </c>
      <c r="CZ240" s="1124" t="s">
        <v>4897</v>
      </c>
      <c r="DA240" s="1124"/>
      <c r="DB240" s="1124"/>
      <c r="DC240" s="1120" t="s">
        <v>5170</v>
      </c>
      <c r="DD240" s="1120" t="s">
        <v>566</v>
      </c>
      <c r="DE240" s="1120" t="str">
        <f t="shared" si="299"/>
        <v/>
      </c>
      <c r="DF240" s="1133">
        <v>0</v>
      </c>
      <c r="DG240" s="1120">
        <v>0</v>
      </c>
    </row>
    <row r="241" spans="1:111">
      <c r="A241" s="1125" t="s">
        <v>3280</v>
      </c>
      <c r="B241" s="1120" t="s">
        <v>3719</v>
      </c>
      <c r="C241" s="1120" t="s">
        <v>3720</v>
      </c>
      <c r="D241" s="1120" t="s">
        <v>540</v>
      </c>
      <c r="E241" s="1120">
        <v>623</v>
      </c>
      <c r="F241" s="1120">
        <v>-83</v>
      </c>
      <c r="G241" s="1120">
        <v>42.4</v>
      </c>
      <c r="H241" s="1120">
        <v>-5</v>
      </c>
      <c r="I241" s="1121">
        <v>8.7800006866455078</v>
      </c>
      <c r="J241" s="1121">
        <v>88.33999862670899</v>
      </c>
      <c r="K241" s="1122">
        <v>72.319999313354487</v>
      </c>
      <c r="L241" s="1120">
        <v>6073.2</v>
      </c>
      <c r="M241" s="1120">
        <v>966.6</v>
      </c>
      <c r="N241" s="1123">
        <v>24.259999656677245</v>
      </c>
      <c r="O241" s="1123">
        <v>25.339999914169312</v>
      </c>
      <c r="P241" s="1123">
        <v>36.5</v>
      </c>
      <c r="Q241" s="1123">
        <v>46.940000343322751</v>
      </c>
      <c r="R241" s="1123">
        <v>59.540000343322752</v>
      </c>
      <c r="S241" s="1123">
        <v>71.239998626708982</v>
      </c>
      <c r="T241" s="1123">
        <v>75.739998626708982</v>
      </c>
      <c r="U241" s="1123">
        <v>74.119999313354498</v>
      </c>
      <c r="V241" s="1123">
        <v>62.6</v>
      </c>
      <c r="W241" s="1123">
        <v>52.880000686645509</v>
      </c>
      <c r="X241" s="1123">
        <v>44.240000343322755</v>
      </c>
      <c r="Y241" s="1123">
        <v>30.019999957084657</v>
      </c>
      <c r="Z241" s="1123">
        <v>50.424602556424595</v>
      </c>
      <c r="AA241" s="1123">
        <f t="shared" si="225"/>
        <v>45.890868113666322</v>
      </c>
      <c r="AB241" s="1123">
        <f t="shared" si="226"/>
        <v>44.478500978242188</v>
      </c>
      <c r="AC241" s="1123">
        <f t="shared" si="227"/>
        <v>46.180069314169131</v>
      </c>
      <c r="AD241" s="1123">
        <f t="shared" si="228"/>
        <v>50.552033112725994</v>
      </c>
      <c r="AE241" s="1123">
        <f t="shared" si="229"/>
        <v>56.454772635817413</v>
      </c>
      <c r="AF241" s="1123">
        <f t="shared" si="230"/>
        <v>62.349647862780095</v>
      </c>
      <c r="AG241" s="1123">
        <f t="shared" si="231"/>
        <v>66.700068722929188</v>
      </c>
      <c r="AH241" s="1123">
        <f t="shared" si="232"/>
        <v>68.37203097705202</v>
      </c>
      <c r="AI241" s="1123">
        <f t="shared" si="233"/>
        <v>66.929711897893228</v>
      </c>
      <c r="AJ241" s="1123">
        <f t="shared" si="234"/>
        <v>62.749074180245366</v>
      </c>
      <c r="AK241" s="1123">
        <f t="shared" si="235"/>
        <v>56.919865470790697</v>
      </c>
      <c r="AL241" s="1123">
        <f t="shared" si="236"/>
        <v>50.961558850473985</v>
      </c>
      <c r="AM241" s="1120">
        <f t="shared" si="237"/>
        <v>1</v>
      </c>
      <c r="AN241" s="1120">
        <f t="shared" si="238"/>
        <v>1</v>
      </c>
      <c r="AO241" s="1120">
        <f t="shared" si="239"/>
        <v>1</v>
      </c>
      <c r="AP241" s="1120">
        <f t="shared" si="240"/>
        <v>1</v>
      </c>
      <c r="AQ241" s="1120">
        <f t="shared" si="241"/>
        <v>1</v>
      </c>
      <c r="AR241" s="1120">
        <f t="shared" si="242"/>
        <v>0</v>
      </c>
      <c r="AS241" s="1120">
        <f t="shared" si="243"/>
        <v>0</v>
      </c>
      <c r="AT241" s="1120">
        <f t="shared" si="244"/>
        <v>0</v>
      </c>
      <c r="AU241" s="1120">
        <f t="shared" si="245"/>
        <v>1</v>
      </c>
      <c r="AV241" s="1120">
        <f t="shared" si="246"/>
        <v>1</v>
      </c>
      <c r="AW241" s="1120">
        <f t="shared" si="247"/>
        <v>1</v>
      </c>
      <c r="AX241" s="1120">
        <f t="shared" si="248"/>
        <v>1</v>
      </c>
      <c r="AY241" s="1120">
        <f t="shared" si="249"/>
        <v>0</v>
      </c>
      <c r="AZ241" s="1120">
        <f t="shared" si="250"/>
        <v>0</v>
      </c>
      <c r="BA241" s="1120">
        <f t="shared" si="251"/>
        <v>0</v>
      </c>
      <c r="BB241" s="1120">
        <f t="shared" si="252"/>
        <v>0</v>
      </c>
      <c r="BC241" s="1120">
        <f t="shared" si="253"/>
        <v>0</v>
      </c>
      <c r="BD241" s="1120">
        <f t="shared" si="254"/>
        <v>1</v>
      </c>
      <c r="BE241" s="1120">
        <f t="shared" si="255"/>
        <v>1</v>
      </c>
      <c r="BF241" s="1120">
        <f t="shared" si="256"/>
        <v>1</v>
      </c>
      <c r="BG241" s="1120">
        <f t="shared" si="257"/>
        <v>0</v>
      </c>
      <c r="BH241" s="1120">
        <f t="shared" si="258"/>
        <v>0</v>
      </c>
      <c r="BI241" s="1120">
        <f t="shared" si="259"/>
        <v>0</v>
      </c>
      <c r="BJ241" s="1120">
        <f t="shared" si="260"/>
        <v>0</v>
      </c>
      <c r="BK241" s="1120">
        <f t="shared" si="261"/>
        <v>1</v>
      </c>
      <c r="BL241" s="1120">
        <f t="shared" si="262"/>
        <v>1</v>
      </c>
      <c r="BM241" s="1120">
        <f t="shared" si="263"/>
        <v>1</v>
      </c>
      <c r="BN241" s="1120">
        <f t="shared" si="264"/>
        <v>1</v>
      </c>
      <c r="BO241" s="1120">
        <f t="shared" si="265"/>
        <v>1</v>
      </c>
      <c r="BP241" s="1120">
        <f t="shared" si="266"/>
        <v>1</v>
      </c>
      <c r="BQ241" s="1120">
        <f t="shared" si="267"/>
        <v>0</v>
      </c>
      <c r="BR241" s="1120">
        <f t="shared" si="268"/>
        <v>0</v>
      </c>
      <c r="BS241" s="1120">
        <f t="shared" si="269"/>
        <v>1</v>
      </c>
      <c r="BT241" s="1120">
        <f t="shared" si="270"/>
        <v>1</v>
      </c>
      <c r="BU241" s="1120">
        <f t="shared" si="271"/>
        <v>1</v>
      </c>
      <c r="BV241" s="1120">
        <f t="shared" si="272"/>
        <v>1</v>
      </c>
      <c r="BW241" s="1120">
        <f t="shared" si="273"/>
        <v>0</v>
      </c>
      <c r="BX241" s="1120">
        <f t="shared" si="274"/>
        <v>0</v>
      </c>
      <c r="BY241" s="1120">
        <f t="shared" si="275"/>
        <v>0</v>
      </c>
      <c r="BZ241" s="1120">
        <f t="shared" si="276"/>
        <v>0</v>
      </c>
      <c r="CA241" s="1120">
        <f t="shared" si="277"/>
        <v>1</v>
      </c>
      <c r="CB241" s="1120">
        <f t="shared" si="278"/>
        <v>1</v>
      </c>
      <c r="CC241" s="1120">
        <f t="shared" si="279"/>
        <v>1</v>
      </c>
      <c r="CD241" s="1120">
        <f t="shared" si="280"/>
        <v>1</v>
      </c>
      <c r="CE241" s="1120">
        <f t="shared" si="281"/>
        <v>1</v>
      </c>
      <c r="CF241" s="1120">
        <f t="shared" si="282"/>
        <v>0</v>
      </c>
      <c r="CG241" s="1120">
        <f t="shared" si="283"/>
        <v>0</v>
      </c>
      <c r="CH241" s="1120">
        <f t="shared" si="284"/>
        <v>0</v>
      </c>
      <c r="CI241" s="1120">
        <f t="shared" si="285"/>
        <v>0.85</v>
      </c>
      <c r="CJ241" s="1120">
        <f t="shared" si="286"/>
        <v>0.85</v>
      </c>
      <c r="CK241" s="1120">
        <f t="shared" si="287"/>
        <v>0.85</v>
      </c>
      <c r="CL241" s="1120">
        <f t="shared" si="288"/>
        <v>0.85</v>
      </c>
      <c r="CM241" s="1120">
        <f t="shared" si="289"/>
        <v>0.85</v>
      </c>
      <c r="CN241" s="1120">
        <f t="shared" si="290"/>
        <v>0.85</v>
      </c>
      <c r="CO241" s="1120">
        <f t="shared" si="291"/>
        <v>0.7</v>
      </c>
      <c r="CP241" s="1120">
        <f t="shared" si="292"/>
        <v>0.7</v>
      </c>
      <c r="CQ241" s="1120">
        <f t="shared" si="293"/>
        <v>0.85</v>
      </c>
      <c r="CR241" s="1120">
        <f t="shared" si="294"/>
        <v>0.85</v>
      </c>
      <c r="CS241" s="1120">
        <f t="shared" si="295"/>
        <v>0.85</v>
      </c>
      <c r="CT241" s="1120">
        <f t="shared" si="296"/>
        <v>0.85</v>
      </c>
      <c r="CU241" s="1120">
        <v>1</v>
      </c>
      <c r="CV241" s="1120"/>
      <c r="CW241" s="1120">
        <f t="shared" si="297"/>
        <v>153</v>
      </c>
      <c r="CX241" s="1120">
        <f t="shared" si="298"/>
        <v>212</v>
      </c>
      <c r="CY241" s="1135" t="s">
        <v>4889</v>
      </c>
      <c r="CZ241" s="1124" t="s">
        <v>4897</v>
      </c>
      <c r="DA241" s="1124"/>
      <c r="DB241" s="1124"/>
      <c r="DC241" s="1120" t="s">
        <v>5300</v>
      </c>
      <c r="DD241" s="1120" t="s">
        <v>540</v>
      </c>
      <c r="DE241" s="1120" t="str">
        <f t="shared" si="299"/>
        <v/>
      </c>
      <c r="DF241" s="1133">
        <v>0</v>
      </c>
      <c r="DG241" s="1125">
        <v>0</v>
      </c>
    </row>
    <row r="242" spans="1:111">
      <c r="A242" s="1120" t="s">
        <v>3282</v>
      </c>
      <c r="B242" s="1125" t="s">
        <v>3781</v>
      </c>
      <c r="C242" s="1125" t="s">
        <v>3782</v>
      </c>
      <c r="D242" s="1125" t="s">
        <v>934</v>
      </c>
      <c r="E242" s="1125">
        <v>1397</v>
      </c>
      <c r="F242" s="1125">
        <v>-95.88</v>
      </c>
      <c r="G242" s="1125">
        <v>46.83</v>
      </c>
      <c r="H242" s="1125">
        <v>-6</v>
      </c>
      <c r="I242" s="1126">
        <v>-15.880000686645509</v>
      </c>
      <c r="J242" s="1126">
        <v>83.66000137329101</v>
      </c>
      <c r="K242" s="1127">
        <v>69.439998626708984</v>
      </c>
      <c r="L242" s="1125">
        <v>8436.6</v>
      </c>
      <c r="M242" s="1125">
        <v>525.6</v>
      </c>
      <c r="N242" s="1128">
        <v>11.299999999999999</v>
      </c>
      <c r="O242" s="1128">
        <v>17.240000343322752</v>
      </c>
      <c r="P242" s="1128">
        <v>25.160000085830688</v>
      </c>
      <c r="Q242" s="1128">
        <v>43.879999828338626</v>
      </c>
      <c r="R242" s="1128">
        <v>56.659999656677243</v>
      </c>
      <c r="S242" s="1128">
        <v>62.060001373291016</v>
      </c>
      <c r="T242" s="1128">
        <v>71.239998626708982</v>
      </c>
      <c r="U242" s="1128">
        <v>68.719999313354492</v>
      </c>
      <c r="V242" s="1128">
        <v>62.960001373291014</v>
      </c>
      <c r="W242" s="1128">
        <v>37.939999914169313</v>
      </c>
      <c r="X242" s="1128">
        <v>33.259999978542325</v>
      </c>
      <c r="Y242" s="1128">
        <v>21.020000171661376</v>
      </c>
      <c r="Z242" s="1128">
        <v>42.741808265855866</v>
      </c>
      <c r="AA242" s="1128">
        <f t="shared" si="225"/>
        <v>39.318756275705184</v>
      </c>
      <c r="AB242" s="1128">
        <f t="shared" si="226"/>
        <v>37.198158855258207</v>
      </c>
      <c r="AC242" s="1128">
        <f t="shared" si="227"/>
        <v>38.086591546705705</v>
      </c>
      <c r="AD242" s="1128">
        <f t="shared" si="228"/>
        <v>41.752470677859684</v>
      </c>
      <c r="AE242" s="1128">
        <f t="shared" si="229"/>
        <v>47.24022836027742</v>
      </c>
      <c r="AF242" s="1128">
        <f t="shared" si="230"/>
        <v>53.119395985130964</v>
      </c>
      <c r="AG242" s="1128">
        <f t="shared" si="231"/>
        <v>57.85747791028669</v>
      </c>
      <c r="AH242" s="1128">
        <f t="shared" si="232"/>
        <v>60.219420065900096</v>
      </c>
      <c r="AI242" s="1128">
        <f t="shared" si="233"/>
        <v>59.589545830480169</v>
      </c>
      <c r="AJ242" s="1128">
        <f t="shared" si="234"/>
        <v>56.13204163014489</v>
      </c>
      <c r="AK242" s="1128">
        <f t="shared" si="235"/>
        <v>50.748159216464202</v>
      </c>
      <c r="AL242" s="1128">
        <f t="shared" si="236"/>
        <v>44.841290508703409</v>
      </c>
      <c r="AM242" s="1125">
        <f t="shared" si="237"/>
        <v>1</v>
      </c>
      <c r="AN242" s="1125">
        <f t="shared" si="238"/>
        <v>1</v>
      </c>
      <c r="AO242" s="1125">
        <f t="shared" si="239"/>
        <v>1</v>
      </c>
      <c r="AP242" s="1125">
        <f t="shared" si="240"/>
        <v>1</v>
      </c>
      <c r="AQ242" s="1125">
        <f t="shared" si="241"/>
        <v>1</v>
      </c>
      <c r="AR242" s="1125">
        <f t="shared" si="242"/>
        <v>1</v>
      </c>
      <c r="AS242" s="1125">
        <f t="shared" si="243"/>
        <v>0</v>
      </c>
      <c r="AT242" s="1125">
        <f t="shared" si="244"/>
        <v>0</v>
      </c>
      <c r="AU242" s="1125">
        <f t="shared" si="245"/>
        <v>1</v>
      </c>
      <c r="AV242" s="1125">
        <f t="shared" si="246"/>
        <v>1</v>
      </c>
      <c r="AW242" s="1125">
        <f t="shared" si="247"/>
        <v>1</v>
      </c>
      <c r="AX242" s="1125">
        <f t="shared" si="248"/>
        <v>1</v>
      </c>
      <c r="AY242" s="1125">
        <f t="shared" si="249"/>
        <v>0</v>
      </c>
      <c r="AZ242" s="1125">
        <f t="shared" si="250"/>
        <v>0</v>
      </c>
      <c r="BA242" s="1125">
        <f t="shared" si="251"/>
        <v>0</v>
      </c>
      <c r="BB242" s="1125">
        <f t="shared" si="252"/>
        <v>0</v>
      </c>
      <c r="BC242" s="1125">
        <f t="shared" si="253"/>
        <v>0</v>
      </c>
      <c r="BD242" s="1125">
        <f t="shared" si="254"/>
        <v>0</v>
      </c>
      <c r="BE242" s="1125">
        <f t="shared" si="255"/>
        <v>1</v>
      </c>
      <c r="BF242" s="1125">
        <f t="shared" si="256"/>
        <v>1</v>
      </c>
      <c r="BG242" s="1125">
        <f t="shared" si="257"/>
        <v>0</v>
      </c>
      <c r="BH242" s="1125">
        <f t="shared" si="258"/>
        <v>0</v>
      </c>
      <c r="BI242" s="1125">
        <f t="shared" si="259"/>
        <v>0</v>
      </c>
      <c r="BJ242" s="1125">
        <f t="shared" si="260"/>
        <v>0</v>
      </c>
      <c r="BK242" s="1125">
        <f t="shared" si="261"/>
        <v>1</v>
      </c>
      <c r="BL242" s="1125">
        <f t="shared" si="262"/>
        <v>1</v>
      </c>
      <c r="BM242" s="1125">
        <f t="shared" si="263"/>
        <v>1</v>
      </c>
      <c r="BN242" s="1125">
        <f t="shared" si="264"/>
        <v>1</v>
      </c>
      <c r="BO242" s="1125">
        <f t="shared" si="265"/>
        <v>1</v>
      </c>
      <c r="BP242" s="1125">
        <f t="shared" si="266"/>
        <v>1</v>
      </c>
      <c r="BQ242" s="1125">
        <f t="shared" si="267"/>
        <v>1</v>
      </c>
      <c r="BR242" s="1125">
        <f t="shared" si="268"/>
        <v>0</v>
      </c>
      <c r="BS242" s="1125">
        <f t="shared" si="269"/>
        <v>1</v>
      </c>
      <c r="BT242" s="1125">
        <f t="shared" si="270"/>
        <v>1</v>
      </c>
      <c r="BU242" s="1125">
        <f t="shared" si="271"/>
        <v>1</v>
      </c>
      <c r="BV242" s="1125">
        <f t="shared" si="272"/>
        <v>1</v>
      </c>
      <c r="BW242" s="1125">
        <f t="shared" si="273"/>
        <v>0</v>
      </c>
      <c r="BX242" s="1125">
        <f t="shared" si="274"/>
        <v>0</v>
      </c>
      <c r="BY242" s="1125">
        <f t="shared" si="275"/>
        <v>0</v>
      </c>
      <c r="BZ242" s="1125">
        <f t="shared" si="276"/>
        <v>0</v>
      </c>
      <c r="CA242" s="1125">
        <f t="shared" si="277"/>
        <v>0</v>
      </c>
      <c r="CB242" s="1125">
        <f t="shared" si="278"/>
        <v>1</v>
      </c>
      <c r="CC242" s="1125">
        <f t="shared" si="279"/>
        <v>1</v>
      </c>
      <c r="CD242" s="1125">
        <f t="shared" si="280"/>
        <v>1</v>
      </c>
      <c r="CE242" s="1125">
        <f t="shared" si="281"/>
        <v>1</v>
      </c>
      <c r="CF242" s="1125">
        <f t="shared" si="282"/>
        <v>0</v>
      </c>
      <c r="CG242" s="1125">
        <f t="shared" si="283"/>
        <v>0</v>
      </c>
      <c r="CH242" s="1125">
        <f t="shared" si="284"/>
        <v>0</v>
      </c>
      <c r="CI242" s="1125">
        <f t="shared" si="285"/>
        <v>0.85</v>
      </c>
      <c r="CJ242" s="1125">
        <f t="shared" si="286"/>
        <v>0.85</v>
      </c>
      <c r="CK242" s="1125">
        <f t="shared" si="287"/>
        <v>0.85</v>
      </c>
      <c r="CL242" s="1125">
        <f t="shared" si="288"/>
        <v>0.85</v>
      </c>
      <c r="CM242" s="1125">
        <f t="shared" si="289"/>
        <v>0.85</v>
      </c>
      <c r="CN242" s="1125">
        <f t="shared" si="290"/>
        <v>0.85</v>
      </c>
      <c r="CO242" s="1125">
        <f t="shared" si="291"/>
        <v>0.85</v>
      </c>
      <c r="CP242" s="1125">
        <f t="shared" si="292"/>
        <v>0.7</v>
      </c>
      <c r="CQ242" s="1125">
        <f t="shared" si="293"/>
        <v>0.85</v>
      </c>
      <c r="CR242" s="1125">
        <f t="shared" si="294"/>
        <v>0.85</v>
      </c>
      <c r="CS242" s="1125">
        <f t="shared" si="295"/>
        <v>0.85</v>
      </c>
      <c r="CT242" s="1125">
        <f t="shared" si="296"/>
        <v>0.85</v>
      </c>
      <c r="CU242" s="1125">
        <v>1</v>
      </c>
      <c r="CV242" s="1125"/>
      <c r="CW242" s="1125">
        <f t="shared" si="297"/>
        <v>122</v>
      </c>
      <c r="CX242" s="1125">
        <f t="shared" si="298"/>
        <v>243</v>
      </c>
      <c r="CY242" s="1136" t="s">
        <v>4879</v>
      </c>
      <c r="CZ242" s="1129">
        <v>7</v>
      </c>
      <c r="DA242" s="1129"/>
      <c r="DB242" s="1129"/>
      <c r="DC242" s="1125" t="s">
        <v>5748</v>
      </c>
      <c r="DD242" s="1125" t="s">
        <v>934</v>
      </c>
      <c r="DE242" s="1120" t="b">
        <f t="shared" si="299"/>
        <v>0</v>
      </c>
      <c r="DF242" s="1133">
        <v>0</v>
      </c>
      <c r="DG242" s="1120">
        <v>0</v>
      </c>
    </row>
    <row r="243" spans="1:111">
      <c r="A243" s="1125" t="s">
        <v>3284</v>
      </c>
      <c r="B243" s="1125" t="s">
        <v>3723</v>
      </c>
      <c r="C243" s="1125" t="s">
        <v>3724</v>
      </c>
      <c r="D243" s="1125" t="s">
        <v>540</v>
      </c>
      <c r="E243" s="1125">
        <v>636</v>
      </c>
      <c r="F243" s="1125">
        <v>-83.35</v>
      </c>
      <c r="G243" s="1125">
        <v>42.22</v>
      </c>
      <c r="H243" s="1125">
        <v>-5</v>
      </c>
      <c r="I243" s="1126">
        <v>6.6199993133544917</v>
      </c>
      <c r="J243" s="1126">
        <v>87.439998626708984</v>
      </c>
      <c r="K243" s="1127">
        <v>72.5</v>
      </c>
      <c r="L243" s="1125">
        <v>6420.6</v>
      </c>
      <c r="M243" s="1125">
        <v>743.4</v>
      </c>
      <c r="N243" s="1128">
        <v>24.079999828338622</v>
      </c>
      <c r="O243" s="1128">
        <v>24.259999656677245</v>
      </c>
      <c r="P243" s="1128">
        <v>36.5</v>
      </c>
      <c r="Q243" s="1128">
        <v>44.959999656677248</v>
      </c>
      <c r="R243" s="1128">
        <v>60.440000343322751</v>
      </c>
      <c r="S243" s="1128">
        <v>68.539998626708979</v>
      </c>
      <c r="T243" s="1128">
        <v>73.039998626708979</v>
      </c>
      <c r="U243" s="1128">
        <v>71.239998626708982</v>
      </c>
      <c r="V243" s="1128">
        <v>63.139998626708987</v>
      </c>
      <c r="W243" s="1128">
        <v>50.9</v>
      </c>
      <c r="X243" s="1128">
        <v>38.47999982833862</v>
      </c>
      <c r="Y243" s="1128">
        <v>28.939999914169313</v>
      </c>
      <c r="Z243" s="1128">
        <v>48.855396739881336</v>
      </c>
      <c r="AA243" s="1128">
        <f t="shared" si="225"/>
        <v>45.319445469647739</v>
      </c>
      <c r="AB243" s="1128">
        <f t="shared" si="226"/>
        <v>43.874829886023782</v>
      </c>
      <c r="AC243" s="1128">
        <f t="shared" si="227"/>
        <v>45.29246826851513</v>
      </c>
      <c r="AD243" s="1128">
        <f t="shared" si="228"/>
        <v>49.20283132625665</v>
      </c>
      <c r="AE243" s="1128">
        <f t="shared" si="229"/>
        <v>54.586622667729223</v>
      </c>
      <c r="AF243" s="1128">
        <f t="shared" si="230"/>
        <v>60.040474113042073</v>
      </c>
      <c r="AG243" s="1128">
        <f t="shared" si="231"/>
        <v>64.142755236579575</v>
      </c>
      <c r="AH243" s="1128">
        <f t="shared" si="232"/>
        <v>65.824143245425958</v>
      </c>
      <c r="AI243" s="1128">
        <f t="shared" si="233"/>
        <v>64.646358444101878</v>
      </c>
      <c r="AJ243" s="1128">
        <f t="shared" si="234"/>
        <v>60.916408591285666</v>
      </c>
      <c r="AK243" s="1128">
        <f t="shared" si="235"/>
        <v>55.606562596381004</v>
      </c>
      <c r="AL243" s="1128">
        <f t="shared" si="236"/>
        <v>50.100913645163445</v>
      </c>
      <c r="AM243" s="1125">
        <f t="shared" si="237"/>
        <v>1</v>
      </c>
      <c r="AN243" s="1125">
        <f t="shared" si="238"/>
        <v>1</v>
      </c>
      <c r="AO243" s="1125">
        <f t="shared" si="239"/>
        <v>1</v>
      </c>
      <c r="AP243" s="1125">
        <f t="shared" si="240"/>
        <v>1</v>
      </c>
      <c r="AQ243" s="1125">
        <f t="shared" si="241"/>
        <v>1</v>
      </c>
      <c r="AR243" s="1125">
        <f t="shared" si="242"/>
        <v>0</v>
      </c>
      <c r="AS243" s="1125">
        <f t="shared" si="243"/>
        <v>0</v>
      </c>
      <c r="AT243" s="1125">
        <f t="shared" si="244"/>
        <v>0</v>
      </c>
      <c r="AU243" s="1125">
        <f t="shared" si="245"/>
        <v>1</v>
      </c>
      <c r="AV243" s="1125">
        <f t="shared" si="246"/>
        <v>1</v>
      </c>
      <c r="AW243" s="1125">
        <f t="shared" si="247"/>
        <v>1</v>
      </c>
      <c r="AX243" s="1125">
        <f t="shared" si="248"/>
        <v>1</v>
      </c>
      <c r="AY243" s="1125">
        <f t="shared" si="249"/>
        <v>0</v>
      </c>
      <c r="AZ243" s="1125">
        <f t="shared" si="250"/>
        <v>0</v>
      </c>
      <c r="BA243" s="1125">
        <f t="shared" si="251"/>
        <v>0</v>
      </c>
      <c r="BB243" s="1125">
        <f t="shared" si="252"/>
        <v>0</v>
      </c>
      <c r="BC243" s="1125">
        <f t="shared" si="253"/>
        <v>0</v>
      </c>
      <c r="BD243" s="1125">
        <f t="shared" si="254"/>
        <v>1</v>
      </c>
      <c r="BE243" s="1125">
        <f t="shared" si="255"/>
        <v>1</v>
      </c>
      <c r="BF243" s="1125">
        <f t="shared" si="256"/>
        <v>1</v>
      </c>
      <c r="BG243" s="1125">
        <f t="shared" si="257"/>
        <v>0</v>
      </c>
      <c r="BH243" s="1125">
        <f t="shared" si="258"/>
        <v>0</v>
      </c>
      <c r="BI243" s="1125">
        <f t="shared" si="259"/>
        <v>0</v>
      </c>
      <c r="BJ243" s="1125">
        <f t="shared" si="260"/>
        <v>0</v>
      </c>
      <c r="BK243" s="1125">
        <f t="shared" si="261"/>
        <v>1</v>
      </c>
      <c r="BL243" s="1125">
        <f t="shared" si="262"/>
        <v>1</v>
      </c>
      <c r="BM243" s="1125">
        <f t="shared" si="263"/>
        <v>1</v>
      </c>
      <c r="BN243" s="1125">
        <f t="shared" si="264"/>
        <v>1</v>
      </c>
      <c r="BO243" s="1125">
        <f t="shared" si="265"/>
        <v>1</v>
      </c>
      <c r="BP243" s="1125">
        <f t="shared" si="266"/>
        <v>1</v>
      </c>
      <c r="BQ243" s="1125">
        <f t="shared" si="267"/>
        <v>0</v>
      </c>
      <c r="BR243" s="1125">
        <f t="shared" si="268"/>
        <v>0</v>
      </c>
      <c r="BS243" s="1125">
        <f t="shared" si="269"/>
        <v>1</v>
      </c>
      <c r="BT243" s="1125">
        <f t="shared" si="270"/>
        <v>1</v>
      </c>
      <c r="BU243" s="1125">
        <f t="shared" si="271"/>
        <v>1</v>
      </c>
      <c r="BV243" s="1125">
        <f t="shared" si="272"/>
        <v>1</v>
      </c>
      <c r="BW243" s="1125">
        <f t="shared" si="273"/>
        <v>0</v>
      </c>
      <c r="BX243" s="1125">
        <f t="shared" si="274"/>
        <v>0</v>
      </c>
      <c r="BY243" s="1125">
        <f t="shared" si="275"/>
        <v>0</v>
      </c>
      <c r="BZ243" s="1125">
        <f t="shared" si="276"/>
        <v>0</v>
      </c>
      <c r="CA243" s="1125">
        <f t="shared" si="277"/>
        <v>1</v>
      </c>
      <c r="CB243" s="1125">
        <f t="shared" si="278"/>
        <v>1</v>
      </c>
      <c r="CC243" s="1125">
        <f t="shared" si="279"/>
        <v>1</v>
      </c>
      <c r="CD243" s="1125">
        <f t="shared" si="280"/>
        <v>1</v>
      </c>
      <c r="CE243" s="1125">
        <f t="shared" si="281"/>
        <v>1</v>
      </c>
      <c r="CF243" s="1125">
        <f t="shared" si="282"/>
        <v>0</v>
      </c>
      <c r="CG243" s="1125">
        <f t="shared" si="283"/>
        <v>0</v>
      </c>
      <c r="CH243" s="1125">
        <f t="shared" si="284"/>
        <v>0</v>
      </c>
      <c r="CI243" s="1125">
        <f t="shared" si="285"/>
        <v>0.85</v>
      </c>
      <c r="CJ243" s="1125">
        <f t="shared" si="286"/>
        <v>0.85</v>
      </c>
      <c r="CK243" s="1125">
        <f t="shared" si="287"/>
        <v>0.85</v>
      </c>
      <c r="CL243" s="1125">
        <f t="shared" si="288"/>
        <v>0.85</v>
      </c>
      <c r="CM243" s="1125">
        <f t="shared" si="289"/>
        <v>0.85</v>
      </c>
      <c r="CN243" s="1125">
        <f t="shared" si="290"/>
        <v>0.85</v>
      </c>
      <c r="CO243" s="1125">
        <f t="shared" si="291"/>
        <v>0.7</v>
      </c>
      <c r="CP243" s="1125">
        <f t="shared" si="292"/>
        <v>0.7</v>
      </c>
      <c r="CQ243" s="1125">
        <f t="shared" si="293"/>
        <v>0.85</v>
      </c>
      <c r="CR243" s="1125">
        <f t="shared" si="294"/>
        <v>0.85</v>
      </c>
      <c r="CS243" s="1125">
        <f t="shared" si="295"/>
        <v>0.85</v>
      </c>
      <c r="CT243" s="1125">
        <f t="shared" si="296"/>
        <v>0.85</v>
      </c>
      <c r="CU243" s="1125">
        <v>1</v>
      </c>
      <c r="CV243" s="1125"/>
      <c r="CW243" s="1125">
        <f t="shared" si="297"/>
        <v>153</v>
      </c>
      <c r="CX243" s="1125">
        <f t="shared" si="298"/>
        <v>212</v>
      </c>
      <c r="CY243" s="1136" t="s">
        <v>4889</v>
      </c>
      <c r="CZ243" s="1129" t="s">
        <v>4897</v>
      </c>
      <c r="DA243" s="1129"/>
      <c r="DB243" s="1129"/>
      <c r="DC243" s="1125" t="s">
        <v>5301</v>
      </c>
      <c r="DD243" s="1125" t="s">
        <v>540</v>
      </c>
      <c r="DE243" s="1120" t="str">
        <f t="shared" si="299"/>
        <v/>
      </c>
      <c r="DF243" s="1133">
        <v>0</v>
      </c>
      <c r="DG243" s="1125">
        <v>0</v>
      </c>
    </row>
    <row r="244" spans="1:111">
      <c r="A244" s="1120" t="s">
        <v>3286</v>
      </c>
      <c r="B244" s="1120" t="s">
        <v>3721</v>
      </c>
      <c r="C244" s="1120" t="s">
        <v>3722</v>
      </c>
      <c r="D244" s="1120" t="s">
        <v>540</v>
      </c>
      <c r="E244" s="1120">
        <v>715</v>
      </c>
      <c r="F244" s="1120">
        <v>-83.53</v>
      </c>
      <c r="G244" s="1120">
        <v>42.23</v>
      </c>
      <c r="H244" s="1120">
        <v>-5</v>
      </c>
      <c r="I244" s="1121">
        <v>6.0800006866455067</v>
      </c>
      <c r="J244" s="1121">
        <v>87.8</v>
      </c>
      <c r="K244" s="1122">
        <v>72.680000686645513</v>
      </c>
      <c r="L244" s="1120">
        <v>6309</v>
      </c>
      <c r="M244" s="1120">
        <v>885.6</v>
      </c>
      <c r="N244" s="1123">
        <v>23.179999828338623</v>
      </c>
      <c r="O244" s="1123">
        <v>30.380000042915345</v>
      </c>
      <c r="P244" s="1123">
        <v>30.2</v>
      </c>
      <c r="Q244" s="1123">
        <v>49.640000343322754</v>
      </c>
      <c r="R244" s="1123">
        <v>60.8</v>
      </c>
      <c r="S244" s="1123">
        <v>72.319999313354487</v>
      </c>
      <c r="T244" s="1123">
        <v>75.560001373291016</v>
      </c>
      <c r="U244" s="1123">
        <v>68</v>
      </c>
      <c r="V244" s="1123">
        <v>66.560001373291016</v>
      </c>
      <c r="W244" s="1123">
        <v>53.240000343322755</v>
      </c>
      <c r="X244" s="1123">
        <v>38.660000085830688</v>
      </c>
      <c r="Y244" s="1123">
        <v>25.160000085830688</v>
      </c>
      <c r="Z244" s="1123">
        <v>49.551726260903763</v>
      </c>
      <c r="AA244" s="1123">
        <f t="shared" si="225"/>
        <v>45.121151279060015</v>
      </c>
      <c r="AB244" s="1123">
        <f t="shared" si="226"/>
        <v>43.622266529691281</v>
      </c>
      <c r="AC244" s="1123">
        <f t="shared" si="227"/>
        <v>45.232979297802281</v>
      </c>
      <c r="AD244" s="1123">
        <f t="shared" si="228"/>
        <v>49.533432478549777</v>
      </c>
      <c r="AE244" s="1123">
        <f t="shared" si="229"/>
        <v>55.402646678382382</v>
      </c>
      <c r="AF244" s="1123">
        <f t="shared" si="230"/>
        <v>61.310720768785096</v>
      </c>
      <c r="AG244" s="1123">
        <f t="shared" si="231"/>
        <v>65.717624191916769</v>
      </c>
      <c r="AH244" s="1123">
        <f t="shared" si="232"/>
        <v>67.474629658100696</v>
      </c>
      <c r="AI244" s="1123">
        <f t="shared" si="233"/>
        <v>66.123746616302199</v>
      </c>
      <c r="AJ244" s="1123">
        <f t="shared" si="234"/>
        <v>62.017103549103886</v>
      </c>
      <c r="AK244" s="1123">
        <f t="shared" si="235"/>
        <v>56.225160257256285</v>
      </c>
      <c r="AL244" s="1123">
        <f t="shared" si="236"/>
        <v>50.25767601632738</v>
      </c>
      <c r="AM244" s="1120">
        <f t="shared" si="237"/>
        <v>1</v>
      </c>
      <c r="AN244" s="1120">
        <f t="shared" si="238"/>
        <v>1</v>
      </c>
      <c r="AO244" s="1120">
        <f t="shared" si="239"/>
        <v>1</v>
      </c>
      <c r="AP244" s="1120">
        <f t="shared" si="240"/>
        <v>1</v>
      </c>
      <c r="AQ244" s="1120">
        <f t="shared" si="241"/>
        <v>1</v>
      </c>
      <c r="AR244" s="1120">
        <f t="shared" si="242"/>
        <v>0</v>
      </c>
      <c r="AS244" s="1120">
        <f t="shared" si="243"/>
        <v>0</v>
      </c>
      <c r="AT244" s="1120">
        <f t="shared" si="244"/>
        <v>0</v>
      </c>
      <c r="AU244" s="1120">
        <f t="shared" si="245"/>
        <v>0</v>
      </c>
      <c r="AV244" s="1120">
        <f t="shared" si="246"/>
        <v>1</v>
      </c>
      <c r="AW244" s="1120">
        <f t="shared" si="247"/>
        <v>1</v>
      </c>
      <c r="AX244" s="1120">
        <f t="shared" si="248"/>
        <v>1</v>
      </c>
      <c r="AY244" s="1120">
        <f t="shared" si="249"/>
        <v>0</v>
      </c>
      <c r="AZ244" s="1120">
        <f t="shared" si="250"/>
        <v>0</v>
      </c>
      <c r="BA244" s="1120">
        <f t="shared" si="251"/>
        <v>0</v>
      </c>
      <c r="BB244" s="1120">
        <f t="shared" si="252"/>
        <v>0</v>
      </c>
      <c r="BC244" s="1120">
        <f t="shared" si="253"/>
        <v>0</v>
      </c>
      <c r="BD244" s="1120">
        <f t="shared" si="254"/>
        <v>1</v>
      </c>
      <c r="BE244" s="1120">
        <f t="shared" si="255"/>
        <v>1</v>
      </c>
      <c r="BF244" s="1120">
        <f t="shared" si="256"/>
        <v>1</v>
      </c>
      <c r="BG244" s="1120">
        <f t="shared" si="257"/>
        <v>1</v>
      </c>
      <c r="BH244" s="1120">
        <f t="shared" si="258"/>
        <v>0</v>
      </c>
      <c r="BI244" s="1120">
        <f t="shared" si="259"/>
        <v>0</v>
      </c>
      <c r="BJ244" s="1120">
        <f t="shared" si="260"/>
        <v>0</v>
      </c>
      <c r="BK244" s="1120">
        <f t="shared" si="261"/>
        <v>1</v>
      </c>
      <c r="BL244" s="1120">
        <f t="shared" si="262"/>
        <v>1</v>
      </c>
      <c r="BM244" s="1120">
        <f t="shared" si="263"/>
        <v>1</v>
      </c>
      <c r="BN244" s="1120">
        <f t="shared" si="264"/>
        <v>1</v>
      </c>
      <c r="BO244" s="1120">
        <f t="shared" si="265"/>
        <v>1</v>
      </c>
      <c r="BP244" s="1120">
        <f t="shared" si="266"/>
        <v>1</v>
      </c>
      <c r="BQ244" s="1120">
        <f t="shared" si="267"/>
        <v>0</v>
      </c>
      <c r="BR244" s="1120">
        <f t="shared" si="268"/>
        <v>0</v>
      </c>
      <c r="BS244" s="1120">
        <f t="shared" si="269"/>
        <v>0</v>
      </c>
      <c r="BT244" s="1120">
        <f t="shared" si="270"/>
        <v>1</v>
      </c>
      <c r="BU244" s="1120">
        <f t="shared" si="271"/>
        <v>1</v>
      </c>
      <c r="BV244" s="1120">
        <f t="shared" si="272"/>
        <v>1</v>
      </c>
      <c r="BW244" s="1120">
        <f t="shared" si="273"/>
        <v>0</v>
      </c>
      <c r="BX244" s="1120">
        <f t="shared" si="274"/>
        <v>0</v>
      </c>
      <c r="BY244" s="1120">
        <f t="shared" si="275"/>
        <v>0</v>
      </c>
      <c r="BZ244" s="1120">
        <f t="shared" si="276"/>
        <v>0</v>
      </c>
      <c r="CA244" s="1120">
        <f t="shared" si="277"/>
        <v>1</v>
      </c>
      <c r="CB244" s="1120">
        <f t="shared" si="278"/>
        <v>1</v>
      </c>
      <c r="CC244" s="1120">
        <f t="shared" si="279"/>
        <v>1</v>
      </c>
      <c r="CD244" s="1120">
        <f t="shared" si="280"/>
        <v>1</v>
      </c>
      <c r="CE244" s="1120">
        <f t="shared" si="281"/>
        <v>1</v>
      </c>
      <c r="CF244" s="1120">
        <f t="shared" si="282"/>
        <v>1</v>
      </c>
      <c r="CG244" s="1120">
        <f t="shared" si="283"/>
        <v>0</v>
      </c>
      <c r="CH244" s="1120">
        <f t="shared" si="284"/>
        <v>0</v>
      </c>
      <c r="CI244" s="1120">
        <f t="shared" si="285"/>
        <v>0.85</v>
      </c>
      <c r="CJ244" s="1120">
        <f t="shared" si="286"/>
        <v>0.85</v>
      </c>
      <c r="CK244" s="1120">
        <f t="shared" si="287"/>
        <v>0.85</v>
      </c>
      <c r="CL244" s="1120">
        <f t="shared" si="288"/>
        <v>0.85</v>
      </c>
      <c r="CM244" s="1120">
        <f t="shared" si="289"/>
        <v>0.85</v>
      </c>
      <c r="CN244" s="1120">
        <f t="shared" si="290"/>
        <v>0.85</v>
      </c>
      <c r="CO244" s="1120">
        <f t="shared" si="291"/>
        <v>0.7</v>
      </c>
      <c r="CP244" s="1120">
        <f t="shared" si="292"/>
        <v>0.7</v>
      </c>
      <c r="CQ244" s="1120">
        <f t="shared" si="293"/>
        <v>0.7</v>
      </c>
      <c r="CR244" s="1120">
        <f t="shared" si="294"/>
        <v>0.85</v>
      </c>
      <c r="CS244" s="1120">
        <f t="shared" si="295"/>
        <v>0.85</v>
      </c>
      <c r="CT244" s="1120">
        <f t="shared" si="296"/>
        <v>0.85</v>
      </c>
      <c r="CU244" s="1120">
        <v>1</v>
      </c>
      <c r="CV244" s="1120"/>
      <c r="CW244" s="1120">
        <f t="shared" si="297"/>
        <v>184</v>
      </c>
      <c r="CX244" s="1120">
        <f t="shared" si="298"/>
        <v>181</v>
      </c>
      <c r="CY244" s="1135" t="s">
        <v>4889</v>
      </c>
      <c r="CZ244" s="1124" t="s">
        <v>4897</v>
      </c>
      <c r="DA244" s="1124"/>
      <c r="DB244" s="1124"/>
      <c r="DC244" s="1120" t="s">
        <v>5302</v>
      </c>
      <c r="DD244" s="1120" t="s">
        <v>540</v>
      </c>
      <c r="DE244" s="1120" t="str">
        <f t="shared" si="299"/>
        <v/>
      </c>
      <c r="DF244" s="1133">
        <v>0</v>
      </c>
      <c r="DG244" s="1120">
        <v>0</v>
      </c>
    </row>
    <row r="245" spans="1:111">
      <c r="A245" s="1125" t="s">
        <v>3288</v>
      </c>
      <c r="B245" s="1120" t="s">
        <v>3970</v>
      </c>
      <c r="C245" s="1120" t="s">
        <v>3971</v>
      </c>
      <c r="D245" s="1120" t="s">
        <v>248</v>
      </c>
      <c r="E245" s="1120">
        <v>1453</v>
      </c>
      <c r="F245" s="1120">
        <v>-98.92</v>
      </c>
      <c r="G245" s="1120">
        <v>48.12</v>
      </c>
      <c r="H245" s="1120">
        <v>-6</v>
      </c>
      <c r="I245" s="1121">
        <v>-17.5</v>
      </c>
      <c r="J245" s="1121">
        <v>82.4</v>
      </c>
      <c r="K245" s="1122">
        <v>66.919999313354495</v>
      </c>
      <c r="L245" s="1120">
        <v>8983.8000000000011</v>
      </c>
      <c r="M245" s="1120">
        <v>1.8</v>
      </c>
      <c r="N245" s="1123">
        <v>5.3599996566772452</v>
      </c>
      <c r="O245" s="1123">
        <v>14.540000343322754</v>
      </c>
      <c r="P245" s="1123">
        <v>15.980000686645507</v>
      </c>
      <c r="Q245" s="1123">
        <v>46.220000171661376</v>
      </c>
      <c r="R245" s="1123">
        <v>48.559999656677249</v>
      </c>
      <c r="S245" s="1123">
        <v>67.639998626708987</v>
      </c>
      <c r="T245" s="1123">
        <v>64.400000000000006</v>
      </c>
      <c r="U245" s="1123">
        <v>66.019999313354489</v>
      </c>
      <c r="V245" s="1123">
        <v>61.7</v>
      </c>
      <c r="W245" s="1123">
        <v>46.759999656677245</v>
      </c>
      <c r="X245" s="1123">
        <v>34.339999914169312</v>
      </c>
      <c r="Y245" s="1123">
        <v>15.440000343322753</v>
      </c>
      <c r="Z245" s="1123">
        <v>40.663671095077305</v>
      </c>
      <c r="AA245" s="1123">
        <f t="shared" si="225"/>
        <v>37.642372013167538</v>
      </c>
      <c r="AB245" s="1123">
        <f t="shared" si="226"/>
        <v>35.363887852860493</v>
      </c>
      <c r="AC245" s="1123">
        <f t="shared" si="227"/>
        <v>36.030866329568042</v>
      </c>
      <c r="AD245" s="1123">
        <f t="shared" si="228"/>
        <v>39.469449224886915</v>
      </c>
      <c r="AE245" s="1123">
        <f t="shared" si="229"/>
        <v>44.783316916985825</v>
      </c>
      <c r="AF245" s="1123">
        <f t="shared" si="230"/>
        <v>50.587327902739297</v>
      </c>
      <c r="AG245" s="1123">
        <f t="shared" si="231"/>
        <v>55.368577276193989</v>
      </c>
      <c r="AH245" s="1123">
        <f t="shared" si="232"/>
        <v>57.880758706875781</v>
      </c>
      <c r="AI245" s="1123">
        <f t="shared" si="233"/>
        <v>57.469033390989765</v>
      </c>
      <c r="AJ245" s="1123">
        <f t="shared" si="234"/>
        <v>54.240723877000796</v>
      </c>
      <c r="AK245" s="1123">
        <f t="shared" si="235"/>
        <v>49.037338789485624</v>
      </c>
      <c r="AL245" s="1123">
        <f t="shared" si="236"/>
        <v>43.215220638096504</v>
      </c>
      <c r="AM245" s="1120">
        <f t="shared" si="237"/>
        <v>1</v>
      </c>
      <c r="AN245" s="1120">
        <f t="shared" si="238"/>
        <v>1</v>
      </c>
      <c r="AO245" s="1120">
        <f t="shared" si="239"/>
        <v>1</v>
      </c>
      <c r="AP245" s="1120">
        <f t="shared" si="240"/>
        <v>1</v>
      </c>
      <c r="AQ245" s="1120">
        <f t="shared" si="241"/>
        <v>1</v>
      </c>
      <c r="AR245" s="1120">
        <f t="shared" si="242"/>
        <v>0</v>
      </c>
      <c r="AS245" s="1120">
        <f t="shared" si="243"/>
        <v>1</v>
      </c>
      <c r="AT245" s="1120">
        <f t="shared" si="244"/>
        <v>0</v>
      </c>
      <c r="AU245" s="1120">
        <f t="shared" si="245"/>
        <v>1</v>
      </c>
      <c r="AV245" s="1120">
        <f t="shared" si="246"/>
        <v>1</v>
      </c>
      <c r="AW245" s="1120">
        <f t="shared" si="247"/>
        <v>1</v>
      </c>
      <c r="AX245" s="1120">
        <f t="shared" si="248"/>
        <v>1</v>
      </c>
      <c r="AY245" s="1120">
        <f t="shared" si="249"/>
        <v>0</v>
      </c>
      <c r="AZ245" s="1120">
        <f t="shared" si="250"/>
        <v>0</v>
      </c>
      <c r="BA245" s="1120">
        <f t="shared" si="251"/>
        <v>0</v>
      </c>
      <c r="BB245" s="1120">
        <f t="shared" si="252"/>
        <v>0</v>
      </c>
      <c r="BC245" s="1120">
        <f t="shared" si="253"/>
        <v>0</v>
      </c>
      <c r="BD245" s="1120">
        <f t="shared" si="254"/>
        <v>1</v>
      </c>
      <c r="BE245" s="1120">
        <f t="shared" si="255"/>
        <v>1</v>
      </c>
      <c r="BF245" s="1120">
        <f t="shared" si="256"/>
        <v>1</v>
      </c>
      <c r="BG245" s="1120">
        <f t="shared" si="257"/>
        <v>0</v>
      </c>
      <c r="BH245" s="1120">
        <f t="shared" si="258"/>
        <v>0</v>
      </c>
      <c r="BI245" s="1120">
        <f t="shared" si="259"/>
        <v>0</v>
      </c>
      <c r="BJ245" s="1120">
        <f t="shared" si="260"/>
        <v>0</v>
      </c>
      <c r="BK245" s="1120">
        <f t="shared" si="261"/>
        <v>1</v>
      </c>
      <c r="BL245" s="1120">
        <f t="shared" si="262"/>
        <v>1</v>
      </c>
      <c r="BM245" s="1120">
        <f t="shared" si="263"/>
        <v>1</v>
      </c>
      <c r="BN245" s="1120">
        <f t="shared" si="264"/>
        <v>1</v>
      </c>
      <c r="BO245" s="1120">
        <f t="shared" si="265"/>
        <v>1</v>
      </c>
      <c r="BP245" s="1120">
        <f t="shared" si="266"/>
        <v>1</v>
      </c>
      <c r="BQ245" s="1120">
        <f t="shared" si="267"/>
        <v>1</v>
      </c>
      <c r="BR245" s="1120">
        <f t="shared" si="268"/>
        <v>0</v>
      </c>
      <c r="BS245" s="1120">
        <f t="shared" si="269"/>
        <v>1</v>
      </c>
      <c r="BT245" s="1120">
        <f t="shared" si="270"/>
        <v>1</v>
      </c>
      <c r="BU245" s="1120">
        <f t="shared" si="271"/>
        <v>1</v>
      </c>
      <c r="BV245" s="1120">
        <f t="shared" si="272"/>
        <v>1</v>
      </c>
      <c r="BW245" s="1120">
        <f t="shared" si="273"/>
        <v>0</v>
      </c>
      <c r="BX245" s="1120">
        <f t="shared" si="274"/>
        <v>0</v>
      </c>
      <c r="BY245" s="1120">
        <f t="shared" si="275"/>
        <v>0</v>
      </c>
      <c r="BZ245" s="1120">
        <f t="shared" si="276"/>
        <v>0</v>
      </c>
      <c r="CA245" s="1120">
        <f t="shared" si="277"/>
        <v>1</v>
      </c>
      <c r="CB245" s="1120">
        <f t="shared" si="278"/>
        <v>1</v>
      </c>
      <c r="CC245" s="1120">
        <f t="shared" si="279"/>
        <v>1</v>
      </c>
      <c r="CD245" s="1120">
        <f t="shared" si="280"/>
        <v>1</v>
      </c>
      <c r="CE245" s="1120">
        <f t="shared" si="281"/>
        <v>1</v>
      </c>
      <c r="CF245" s="1120">
        <f t="shared" si="282"/>
        <v>0</v>
      </c>
      <c r="CG245" s="1120">
        <f t="shared" si="283"/>
        <v>0</v>
      </c>
      <c r="CH245" s="1120">
        <f t="shared" si="284"/>
        <v>0</v>
      </c>
      <c r="CI245" s="1120">
        <f t="shared" si="285"/>
        <v>0.85</v>
      </c>
      <c r="CJ245" s="1120">
        <f t="shared" si="286"/>
        <v>0.85</v>
      </c>
      <c r="CK245" s="1120">
        <f t="shared" si="287"/>
        <v>0.85</v>
      </c>
      <c r="CL245" s="1120">
        <f t="shared" si="288"/>
        <v>0.85</v>
      </c>
      <c r="CM245" s="1120">
        <f t="shared" si="289"/>
        <v>0.85</v>
      </c>
      <c r="CN245" s="1120">
        <f t="shared" si="290"/>
        <v>0.85</v>
      </c>
      <c r="CO245" s="1120">
        <f t="shared" si="291"/>
        <v>0.85</v>
      </c>
      <c r="CP245" s="1120">
        <f t="shared" si="292"/>
        <v>0.7</v>
      </c>
      <c r="CQ245" s="1120">
        <f t="shared" si="293"/>
        <v>0.85</v>
      </c>
      <c r="CR245" s="1120">
        <f t="shared" si="294"/>
        <v>0.85</v>
      </c>
      <c r="CS245" s="1120">
        <f t="shared" si="295"/>
        <v>0.85</v>
      </c>
      <c r="CT245" s="1120">
        <f t="shared" si="296"/>
        <v>0.85</v>
      </c>
      <c r="CU245" s="1120">
        <v>1</v>
      </c>
      <c r="CV245" s="1120"/>
      <c r="CW245" s="1120">
        <f t="shared" si="297"/>
        <v>153</v>
      </c>
      <c r="CX245" s="1120">
        <f t="shared" si="298"/>
        <v>212</v>
      </c>
      <c r="CY245" s="1135" t="s">
        <v>4879</v>
      </c>
      <c r="CZ245" s="1124">
        <v>7</v>
      </c>
      <c r="DA245" s="1124"/>
      <c r="DB245" s="1124"/>
      <c r="DC245" s="1120" t="s">
        <v>5771</v>
      </c>
      <c r="DD245" s="1120" t="s">
        <v>248</v>
      </c>
      <c r="DE245" s="1120" t="b">
        <f t="shared" si="299"/>
        <v>0</v>
      </c>
      <c r="DF245" s="1133">
        <v>0</v>
      </c>
      <c r="DG245" s="1125">
        <v>0</v>
      </c>
    </row>
    <row r="246" spans="1:111">
      <c r="A246" s="1120" t="s">
        <v>3290</v>
      </c>
      <c r="B246" s="1125" t="s">
        <v>3972</v>
      </c>
      <c r="C246" s="1125" t="s">
        <v>3973</v>
      </c>
      <c r="D246" s="1125" t="s">
        <v>248</v>
      </c>
      <c r="E246" s="1125">
        <v>2585</v>
      </c>
      <c r="F246" s="1125">
        <v>-102.8</v>
      </c>
      <c r="G246" s="1125">
        <v>46.8</v>
      </c>
      <c r="H246" s="1125">
        <v>-7</v>
      </c>
      <c r="I246" s="1126">
        <v>-12.639998626708985</v>
      </c>
      <c r="J246" s="1126">
        <v>89.779997253417974</v>
      </c>
      <c r="K246" s="1127">
        <v>65.66000137329101</v>
      </c>
      <c r="L246" s="1125">
        <v>8809.2000000000007</v>
      </c>
      <c r="M246" s="1125">
        <v>478.8</v>
      </c>
      <c r="N246" s="1128">
        <v>10.219999313354492</v>
      </c>
      <c r="O246" s="1128">
        <v>22.1</v>
      </c>
      <c r="P246" s="1128">
        <v>27.139999914169312</v>
      </c>
      <c r="Q246" s="1128">
        <v>47.659999656677243</v>
      </c>
      <c r="R246" s="1128">
        <v>55.580000686645505</v>
      </c>
      <c r="S246" s="1128">
        <v>59.540000343322752</v>
      </c>
      <c r="T246" s="1128">
        <v>68.719999313354492</v>
      </c>
      <c r="U246" s="1128">
        <v>72.139998626708987</v>
      </c>
      <c r="V246" s="1128">
        <v>59</v>
      </c>
      <c r="W246" s="1128">
        <v>44.6</v>
      </c>
      <c r="X246" s="1128">
        <v>21.379999828338622</v>
      </c>
      <c r="Y246" s="1128">
        <v>9.8599996566772461</v>
      </c>
      <c r="Z246" s="1128">
        <v>41.595232651201016</v>
      </c>
      <c r="AA246" s="1128">
        <f t="shared" si="225"/>
        <v>38.23088207682423</v>
      </c>
      <c r="AB246" s="1128">
        <f t="shared" si="226"/>
        <v>35.982998993318503</v>
      </c>
      <c r="AC246" s="1128">
        <f t="shared" si="227"/>
        <v>36.7620235626773</v>
      </c>
      <c r="AD246" s="1128">
        <f t="shared" si="228"/>
        <v>40.364891025765232</v>
      </c>
      <c r="AE246" s="1128">
        <f t="shared" si="229"/>
        <v>45.852458456460191</v>
      </c>
      <c r="AF246" s="1128">
        <f t="shared" si="230"/>
        <v>51.794306837977643</v>
      </c>
      <c r="AG246" s="1128">
        <f t="shared" si="231"/>
        <v>56.641601823019798</v>
      </c>
      <c r="AH246" s="1128">
        <f t="shared" si="232"/>
        <v>59.130821274658587</v>
      </c>
      <c r="AI246" s="1128">
        <f t="shared" si="233"/>
        <v>58.613111782791457</v>
      </c>
      <c r="AJ246" s="1128">
        <f t="shared" si="234"/>
        <v>55.223422304618339</v>
      </c>
      <c r="AK246" s="1128">
        <f t="shared" si="235"/>
        <v>49.845327639321113</v>
      </c>
      <c r="AL246" s="1128">
        <f t="shared" si="236"/>
        <v>43.880711040357006</v>
      </c>
      <c r="AM246" s="1125">
        <f t="shared" si="237"/>
        <v>1</v>
      </c>
      <c r="AN246" s="1125">
        <f t="shared" si="238"/>
        <v>1</v>
      </c>
      <c r="AO246" s="1125">
        <f t="shared" si="239"/>
        <v>1</v>
      </c>
      <c r="AP246" s="1125">
        <f t="shared" si="240"/>
        <v>1</v>
      </c>
      <c r="AQ246" s="1125">
        <f t="shared" si="241"/>
        <v>1</v>
      </c>
      <c r="AR246" s="1125">
        <f t="shared" si="242"/>
        <v>1</v>
      </c>
      <c r="AS246" s="1125">
        <f t="shared" si="243"/>
        <v>0</v>
      </c>
      <c r="AT246" s="1125">
        <f t="shared" si="244"/>
        <v>0</v>
      </c>
      <c r="AU246" s="1125">
        <f t="shared" si="245"/>
        <v>1</v>
      </c>
      <c r="AV246" s="1125">
        <f t="shared" si="246"/>
        <v>1</v>
      </c>
      <c r="AW246" s="1125">
        <f t="shared" si="247"/>
        <v>1</v>
      </c>
      <c r="AX246" s="1125">
        <f t="shared" si="248"/>
        <v>1</v>
      </c>
      <c r="AY246" s="1125">
        <f t="shared" si="249"/>
        <v>0</v>
      </c>
      <c r="AZ246" s="1125">
        <f t="shared" si="250"/>
        <v>0</v>
      </c>
      <c r="BA246" s="1125">
        <f t="shared" si="251"/>
        <v>0</v>
      </c>
      <c r="BB246" s="1125">
        <f t="shared" si="252"/>
        <v>0</v>
      </c>
      <c r="BC246" s="1125">
        <f t="shared" si="253"/>
        <v>0</v>
      </c>
      <c r="BD246" s="1125">
        <f t="shared" si="254"/>
        <v>0</v>
      </c>
      <c r="BE246" s="1125">
        <f t="shared" si="255"/>
        <v>1</v>
      </c>
      <c r="BF246" s="1125">
        <f t="shared" si="256"/>
        <v>1</v>
      </c>
      <c r="BG246" s="1125">
        <f t="shared" si="257"/>
        <v>0</v>
      </c>
      <c r="BH246" s="1125">
        <f t="shared" si="258"/>
        <v>0</v>
      </c>
      <c r="BI246" s="1125">
        <f t="shared" si="259"/>
        <v>0</v>
      </c>
      <c r="BJ246" s="1125">
        <f t="shared" si="260"/>
        <v>0</v>
      </c>
      <c r="BK246" s="1125">
        <f t="shared" si="261"/>
        <v>1</v>
      </c>
      <c r="BL246" s="1125">
        <f t="shared" si="262"/>
        <v>1</v>
      </c>
      <c r="BM246" s="1125">
        <f t="shared" si="263"/>
        <v>1</v>
      </c>
      <c r="BN246" s="1125">
        <f t="shared" si="264"/>
        <v>1</v>
      </c>
      <c r="BO246" s="1125">
        <f t="shared" si="265"/>
        <v>1</v>
      </c>
      <c r="BP246" s="1125">
        <f t="shared" si="266"/>
        <v>1</v>
      </c>
      <c r="BQ246" s="1125">
        <f t="shared" si="267"/>
        <v>1</v>
      </c>
      <c r="BR246" s="1125">
        <f t="shared" si="268"/>
        <v>0</v>
      </c>
      <c r="BS246" s="1125">
        <f t="shared" si="269"/>
        <v>1</v>
      </c>
      <c r="BT246" s="1125">
        <f t="shared" si="270"/>
        <v>1</v>
      </c>
      <c r="BU246" s="1125">
        <f t="shared" si="271"/>
        <v>1</v>
      </c>
      <c r="BV246" s="1125">
        <f t="shared" si="272"/>
        <v>1</v>
      </c>
      <c r="BW246" s="1125">
        <f t="shared" si="273"/>
        <v>0</v>
      </c>
      <c r="BX246" s="1125">
        <f t="shared" si="274"/>
        <v>0</v>
      </c>
      <c r="BY246" s="1125">
        <f t="shared" si="275"/>
        <v>0</v>
      </c>
      <c r="BZ246" s="1125">
        <f t="shared" si="276"/>
        <v>0</v>
      </c>
      <c r="CA246" s="1125">
        <f t="shared" si="277"/>
        <v>0</v>
      </c>
      <c r="CB246" s="1125">
        <f t="shared" si="278"/>
        <v>1</v>
      </c>
      <c r="CC246" s="1125">
        <f t="shared" si="279"/>
        <v>1</v>
      </c>
      <c r="CD246" s="1125">
        <f t="shared" si="280"/>
        <v>1</v>
      </c>
      <c r="CE246" s="1125">
        <f t="shared" si="281"/>
        <v>1</v>
      </c>
      <c r="CF246" s="1125">
        <f t="shared" si="282"/>
        <v>0</v>
      </c>
      <c r="CG246" s="1125">
        <f t="shared" si="283"/>
        <v>0</v>
      </c>
      <c r="CH246" s="1125">
        <f t="shared" si="284"/>
        <v>0</v>
      </c>
      <c r="CI246" s="1125">
        <f t="shared" si="285"/>
        <v>0.85</v>
      </c>
      <c r="CJ246" s="1125">
        <f t="shared" si="286"/>
        <v>0.85</v>
      </c>
      <c r="CK246" s="1125">
        <f t="shared" si="287"/>
        <v>0.85</v>
      </c>
      <c r="CL246" s="1125">
        <f t="shared" si="288"/>
        <v>0.85</v>
      </c>
      <c r="CM246" s="1125">
        <f t="shared" si="289"/>
        <v>0.85</v>
      </c>
      <c r="CN246" s="1125">
        <f t="shared" si="290"/>
        <v>0.85</v>
      </c>
      <c r="CO246" s="1125">
        <f t="shared" si="291"/>
        <v>0.85</v>
      </c>
      <c r="CP246" s="1125">
        <f t="shared" si="292"/>
        <v>0.7</v>
      </c>
      <c r="CQ246" s="1125">
        <f t="shared" si="293"/>
        <v>0.85</v>
      </c>
      <c r="CR246" s="1125">
        <f t="shared" si="294"/>
        <v>0.85</v>
      </c>
      <c r="CS246" s="1125">
        <f t="shared" si="295"/>
        <v>0.85</v>
      </c>
      <c r="CT246" s="1125">
        <f t="shared" si="296"/>
        <v>0.85</v>
      </c>
      <c r="CU246" s="1125">
        <v>1</v>
      </c>
      <c r="CV246" s="1125"/>
      <c r="CW246" s="1125">
        <f t="shared" si="297"/>
        <v>122</v>
      </c>
      <c r="CX246" s="1125">
        <f t="shared" si="298"/>
        <v>243</v>
      </c>
      <c r="CY246" s="1136" t="s">
        <v>4889</v>
      </c>
      <c r="CZ246" s="1129" t="s">
        <v>4899</v>
      </c>
      <c r="DA246" s="1129"/>
      <c r="DB246" s="1129"/>
      <c r="DC246" s="1125" t="s">
        <v>5403</v>
      </c>
      <c r="DD246" s="1125" t="s">
        <v>248</v>
      </c>
      <c r="DE246" s="1120" t="str">
        <f t="shared" si="299"/>
        <v/>
      </c>
      <c r="DF246" s="1133">
        <v>0</v>
      </c>
      <c r="DG246" s="1120">
        <v>0</v>
      </c>
    </row>
    <row r="247" spans="1:111">
      <c r="A247" s="1125" t="s">
        <v>3292</v>
      </c>
      <c r="B247" s="1125" t="s">
        <v>4042</v>
      </c>
      <c r="C247" s="1125" t="s">
        <v>4043</v>
      </c>
      <c r="D247" s="1125" t="s">
        <v>1249</v>
      </c>
      <c r="E247" s="1125">
        <v>502</v>
      </c>
      <c r="F247" s="1125">
        <v>-72.27</v>
      </c>
      <c r="G247" s="1125">
        <v>42.9</v>
      </c>
      <c r="H247" s="1125">
        <v>-5</v>
      </c>
      <c r="I247" s="1126">
        <v>-0.21999931335449299</v>
      </c>
      <c r="J247" s="1126">
        <v>84.560001373291016</v>
      </c>
      <c r="K247" s="1127">
        <v>69.080000686645505</v>
      </c>
      <c r="L247" s="1125">
        <v>6949.8</v>
      </c>
      <c r="M247" s="1125">
        <v>513</v>
      </c>
      <c r="N247" s="1128">
        <v>20.479999828338624</v>
      </c>
      <c r="O247" s="1128">
        <v>27.5</v>
      </c>
      <c r="P247" s="1128">
        <v>33.440000021457671</v>
      </c>
      <c r="Q247" s="1128">
        <v>44.420000171661378</v>
      </c>
      <c r="R247" s="1128">
        <v>52.880000686645509</v>
      </c>
      <c r="S247" s="1128">
        <v>68.180000686645513</v>
      </c>
      <c r="T247" s="1128">
        <v>68.539998626708979</v>
      </c>
      <c r="U247" s="1128">
        <v>68.900000000000006</v>
      </c>
      <c r="V247" s="1128">
        <v>62.239998626708989</v>
      </c>
      <c r="W247" s="1128">
        <v>45.859999656677246</v>
      </c>
      <c r="X247" s="1128">
        <v>43.340000343322757</v>
      </c>
      <c r="Y247" s="1128">
        <v>24.979999828338624</v>
      </c>
      <c r="Z247" s="1128">
        <v>46.80241082998171</v>
      </c>
      <c r="AA247" s="1128">
        <f t="shared" si="225"/>
        <v>43.990364416527086</v>
      </c>
      <c r="AB247" s="1128">
        <f t="shared" si="226"/>
        <v>42.447356527910806</v>
      </c>
      <c r="AC247" s="1128">
        <f t="shared" si="227"/>
        <v>43.603553119346437</v>
      </c>
      <c r="AD247" s="1128">
        <f t="shared" si="228"/>
        <v>47.157573731747469</v>
      </c>
      <c r="AE247" s="1128">
        <f t="shared" si="229"/>
        <v>52.183008123376091</v>
      </c>
      <c r="AF247" s="1128">
        <f t="shared" si="230"/>
        <v>57.369899375766117</v>
      </c>
      <c r="AG247" s="1128">
        <f t="shared" si="231"/>
        <v>61.366204351568342</v>
      </c>
      <c r="AH247" s="1128">
        <f t="shared" si="232"/>
        <v>63.130224573916081</v>
      </c>
      <c r="AI247" s="1128">
        <f t="shared" si="233"/>
        <v>62.202140987479908</v>
      </c>
      <c r="AJ247" s="1128">
        <f t="shared" si="234"/>
        <v>58.823872881265409</v>
      </c>
      <c r="AK247" s="1128">
        <f t="shared" si="235"/>
        <v>53.876017897844761</v>
      </c>
      <c r="AL247" s="1128">
        <f t="shared" si="236"/>
        <v>48.648310687399892</v>
      </c>
      <c r="AM247" s="1125">
        <f t="shared" si="237"/>
        <v>1</v>
      </c>
      <c r="AN247" s="1125">
        <f t="shared" si="238"/>
        <v>1</v>
      </c>
      <c r="AO247" s="1125">
        <f t="shared" si="239"/>
        <v>1</v>
      </c>
      <c r="AP247" s="1125">
        <f t="shared" si="240"/>
        <v>1</v>
      </c>
      <c r="AQ247" s="1125">
        <f t="shared" si="241"/>
        <v>1</v>
      </c>
      <c r="AR247" s="1125">
        <f t="shared" si="242"/>
        <v>0</v>
      </c>
      <c r="AS247" s="1125">
        <f t="shared" si="243"/>
        <v>0</v>
      </c>
      <c r="AT247" s="1125">
        <f t="shared" si="244"/>
        <v>0</v>
      </c>
      <c r="AU247" s="1125">
        <f t="shared" si="245"/>
        <v>1</v>
      </c>
      <c r="AV247" s="1125">
        <f t="shared" si="246"/>
        <v>1</v>
      </c>
      <c r="AW247" s="1125">
        <f t="shared" si="247"/>
        <v>1</v>
      </c>
      <c r="AX247" s="1125">
        <f t="shared" si="248"/>
        <v>1</v>
      </c>
      <c r="AY247" s="1125">
        <f t="shared" si="249"/>
        <v>0</v>
      </c>
      <c r="AZ247" s="1125">
        <f t="shared" si="250"/>
        <v>0</v>
      </c>
      <c r="BA247" s="1125">
        <f t="shared" si="251"/>
        <v>0</v>
      </c>
      <c r="BB247" s="1125">
        <f t="shared" si="252"/>
        <v>0</v>
      </c>
      <c r="BC247" s="1125">
        <f t="shared" si="253"/>
        <v>0</v>
      </c>
      <c r="BD247" s="1125">
        <f t="shared" si="254"/>
        <v>1</v>
      </c>
      <c r="BE247" s="1125">
        <f t="shared" si="255"/>
        <v>1</v>
      </c>
      <c r="BF247" s="1125">
        <f t="shared" si="256"/>
        <v>1</v>
      </c>
      <c r="BG247" s="1125">
        <f t="shared" si="257"/>
        <v>0</v>
      </c>
      <c r="BH247" s="1125">
        <f t="shared" si="258"/>
        <v>0</v>
      </c>
      <c r="BI247" s="1125">
        <f t="shared" si="259"/>
        <v>0</v>
      </c>
      <c r="BJ247" s="1125">
        <f t="shared" si="260"/>
        <v>0</v>
      </c>
      <c r="BK247" s="1125">
        <f t="shared" si="261"/>
        <v>1</v>
      </c>
      <c r="BL247" s="1125">
        <f t="shared" si="262"/>
        <v>1</v>
      </c>
      <c r="BM247" s="1125">
        <f t="shared" si="263"/>
        <v>1</v>
      </c>
      <c r="BN247" s="1125">
        <f t="shared" si="264"/>
        <v>1</v>
      </c>
      <c r="BO247" s="1125">
        <f t="shared" si="265"/>
        <v>1</v>
      </c>
      <c r="BP247" s="1125">
        <f t="shared" si="266"/>
        <v>1</v>
      </c>
      <c r="BQ247" s="1125">
        <f t="shared" si="267"/>
        <v>0</v>
      </c>
      <c r="BR247" s="1125">
        <f t="shared" si="268"/>
        <v>0</v>
      </c>
      <c r="BS247" s="1125">
        <f t="shared" si="269"/>
        <v>1</v>
      </c>
      <c r="BT247" s="1125">
        <f t="shared" si="270"/>
        <v>1</v>
      </c>
      <c r="BU247" s="1125">
        <f t="shared" si="271"/>
        <v>1</v>
      </c>
      <c r="BV247" s="1125">
        <f t="shared" si="272"/>
        <v>1</v>
      </c>
      <c r="BW247" s="1125">
        <f t="shared" si="273"/>
        <v>0</v>
      </c>
      <c r="BX247" s="1125">
        <f t="shared" si="274"/>
        <v>0</v>
      </c>
      <c r="BY247" s="1125">
        <f t="shared" si="275"/>
        <v>0</v>
      </c>
      <c r="BZ247" s="1125">
        <f t="shared" si="276"/>
        <v>0</v>
      </c>
      <c r="CA247" s="1125">
        <f t="shared" si="277"/>
        <v>1</v>
      </c>
      <c r="CB247" s="1125">
        <f t="shared" si="278"/>
        <v>1</v>
      </c>
      <c r="CC247" s="1125">
        <f t="shared" si="279"/>
        <v>1</v>
      </c>
      <c r="CD247" s="1125">
        <f t="shared" si="280"/>
        <v>1</v>
      </c>
      <c r="CE247" s="1125">
        <f t="shared" si="281"/>
        <v>1</v>
      </c>
      <c r="CF247" s="1125">
        <f t="shared" si="282"/>
        <v>0</v>
      </c>
      <c r="CG247" s="1125">
        <f t="shared" si="283"/>
        <v>0</v>
      </c>
      <c r="CH247" s="1125">
        <f t="shared" si="284"/>
        <v>0</v>
      </c>
      <c r="CI247" s="1125">
        <f t="shared" si="285"/>
        <v>0.85</v>
      </c>
      <c r="CJ247" s="1125">
        <f t="shared" si="286"/>
        <v>0.85</v>
      </c>
      <c r="CK247" s="1125">
        <f t="shared" si="287"/>
        <v>0.85</v>
      </c>
      <c r="CL247" s="1125">
        <f t="shared" si="288"/>
        <v>0.85</v>
      </c>
      <c r="CM247" s="1125">
        <f t="shared" si="289"/>
        <v>0.85</v>
      </c>
      <c r="CN247" s="1125">
        <f t="shared" si="290"/>
        <v>0.85</v>
      </c>
      <c r="CO247" s="1125">
        <f t="shared" si="291"/>
        <v>0.7</v>
      </c>
      <c r="CP247" s="1125">
        <f t="shared" si="292"/>
        <v>0.7</v>
      </c>
      <c r="CQ247" s="1125">
        <f t="shared" si="293"/>
        <v>0.85</v>
      </c>
      <c r="CR247" s="1125">
        <f t="shared" si="294"/>
        <v>0.85</v>
      </c>
      <c r="CS247" s="1125">
        <f t="shared" si="295"/>
        <v>0.85</v>
      </c>
      <c r="CT247" s="1125">
        <f t="shared" si="296"/>
        <v>0.85</v>
      </c>
      <c r="CU247" s="1125">
        <v>1</v>
      </c>
      <c r="CV247" s="1125"/>
      <c r="CW247" s="1125">
        <f t="shared" si="297"/>
        <v>153</v>
      </c>
      <c r="CX247" s="1125">
        <f t="shared" si="298"/>
        <v>212</v>
      </c>
      <c r="CY247" s="1136" t="s">
        <v>4889</v>
      </c>
      <c r="CZ247" s="1129" t="s">
        <v>4897</v>
      </c>
      <c r="DA247" s="1129"/>
      <c r="DB247" s="1129"/>
      <c r="DC247" s="1125" t="s">
        <v>5434</v>
      </c>
      <c r="DD247" s="1125" t="s">
        <v>1249</v>
      </c>
      <c r="DE247" s="1120" t="str">
        <f t="shared" si="299"/>
        <v/>
      </c>
      <c r="DF247" s="1133">
        <v>0</v>
      </c>
      <c r="DG247" s="1125">
        <v>0</v>
      </c>
    </row>
    <row r="248" spans="1:111">
      <c r="A248" s="1120" t="s">
        <v>3294</v>
      </c>
      <c r="B248" s="1125" t="s">
        <v>2936</v>
      </c>
      <c r="C248" s="1125" t="s">
        <v>2937</v>
      </c>
      <c r="D248" s="1125" t="s">
        <v>953</v>
      </c>
      <c r="E248" s="1125">
        <v>95</v>
      </c>
      <c r="F248" s="1125">
        <v>-158.52000000000001</v>
      </c>
      <c r="G248" s="1125">
        <v>59.05</v>
      </c>
      <c r="H248" s="1125">
        <v>-9</v>
      </c>
      <c r="I248" s="1126">
        <v>-13.539998626708986</v>
      </c>
      <c r="J248" s="1126">
        <v>66.2</v>
      </c>
      <c r="K248" s="1127">
        <v>56.3</v>
      </c>
      <c r="L248" s="1125">
        <v>10252.800000000001</v>
      </c>
      <c r="M248" s="1125">
        <v>1.8</v>
      </c>
      <c r="N248" s="1128">
        <v>25.520000171661376</v>
      </c>
      <c r="O248" s="1128">
        <v>31.459999978542328</v>
      </c>
      <c r="P248" s="1128">
        <v>29.3</v>
      </c>
      <c r="Q248" s="1128">
        <v>32.360000005364419</v>
      </c>
      <c r="R248" s="1128">
        <v>38.839999914169312</v>
      </c>
      <c r="S248" s="1128">
        <v>51.980000686645511</v>
      </c>
      <c r="T248" s="1128">
        <v>53.240000343322755</v>
      </c>
      <c r="U248" s="1128">
        <v>52.7</v>
      </c>
      <c r="V248" s="1128">
        <v>42.259999656677245</v>
      </c>
      <c r="W248" s="1128">
        <v>28.220000171661376</v>
      </c>
      <c r="X248" s="1128">
        <v>28.580000042915344</v>
      </c>
      <c r="Y248" s="1128">
        <v>21.379999828338622</v>
      </c>
      <c r="Z248" s="1128">
        <v>36.332821984797306</v>
      </c>
      <c r="AA248" s="1128">
        <f t="shared" si="225"/>
        <v>38.509370090963607</v>
      </c>
      <c r="AB248" s="1128">
        <f t="shared" si="226"/>
        <v>37.304095935451102</v>
      </c>
      <c r="AC248" s="1128">
        <f t="shared" si="227"/>
        <v>37.409636719714861</v>
      </c>
      <c r="AD248" s="1128">
        <f t="shared" si="228"/>
        <v>38.798481611903817</v>
      </c>
      <c r="AE248" s="1128">
        <f t="shared" si="229"/>
        <v>41.108606788121271</v>
      </c>
      <c r="AF248" s="1128">
        <f t="shared" si="230"/>
        <v>43.737842521079578</v>
      </c>
      <c r="AG248" s="1128">
        <f t="shared" si="231"/>
        <v>46.000837999234044</v>
      </c>
      <c r="AH248" s="1128">
        <f t="shared" si="232"/>
        <v>47.307708577387771</v>
      </c>
      <c r="AI248" s="1128">
        <f t="shared" si="233"/>
        <v>47.31779829985976</v>
      </c>
      <c r="AJ248" s="1128">
        <f t="shared" si="234"/>
        <v>46.028477125000357</v>
      </c>
      <c r="AK248" s="1128">
        <f t="shared" si="235"/>
        <v>43.775826486077406</v>
      </c>
      <c r="AL248" s="1128">
        <f t="shared" si="236"/>
        <v>41.14703448652331</v>
      </c>
      <c r="AM248" s="1125">
        <f t="shared" si="237"/>
        <v>1</v>
      </c>
      <c r="AN248" s="1125">
        <f t="shared" si="238"/>
        <v>1</v>
      </c>
      <c r="AO248" s="1125">
        <f t="shared" si="239"/>
        <v>1</v>
      </c>
      <c r="AP248" s="1125">
        <f t="shared" si="240"/>
        <v>1</v>
      </c>
      <c r="AQ248" s="1125">
        <f t="shared" si="241"/>
        <v>1</v>
      </c>
      <c r="AR248" s="1125">
        <f t="shared" si="242"/>
        <v>1</v>
      </c>
      <c r="AS248" s="1125">
        <f t="shared" si="243"/>
        <v>1</v>
      </c>
      <c r="AT248" s="1125">
        <f t="shared" si="244"/>
        <v>1</v>
      </c>
      <c r="AU248" s="1125">
        <f t="shared" si="245"/>
        <v>1</v>
      </c>
      <c r="AV248" s="1125">
        <f t="shared" si="246"/>
        <v>1</v>
      </c>
      <c r="AW248" s="1125">
        <f t="shared" si="247"/>
        <v>1</v>
      </c>
      <c r="AX248" s="1125">
        <f t="shared" si="248"/>
        <v>1</v>
      </c>
      <c r="AY248" s="1125">
        <f t="shared" si="249"/>
        <v>0</v>
      </c>
      <c r="AZ248" s="1125">
        <f t="shared" si="250"/>
        <v>0</v>
      </c>
      <c r="BA248" s="1125">
        <f t="shared" si="251"/>
        <v>0</v>
      </c>
      <c r="BB248" s="1125">
        <f t="shared" si="252"/>
        <v>0</v>
      </c>
      <c r="BC248" s="1125">
        <f t="shared" si="253"/>
        <v>0</v>
      </c>
      <c r="BD248" s="1125">
        <f t="shared" si="254"/>
        <v>0</v>
      </c>
      <c r="BE248" s="1125">
        <f t="shared" si="255"/>
        <v>1</v>
      </c>
      <c r="BF248" s="1125">
        <f t="shared" si="256"/>
        <v>1</v>
      </c>
      <c r="BG248" s="1125">
        <f t="shared" si="257"/>
        <v>0</v>
      </c>
      <c r="BH248" s="1125">
        <f t="shared" si="258"/>
        <v>0</v>
      </c>
      <c r="BI248" s="1125">
        <f t="shared" si="259"/>
        <v>0</v>
      </c>
      <c r="BJ248" s="1125">
        <f t="shared" si="260"/>
        <v>0</v>
      </c>
      <c r="BK248" s="1125">
        <f t="shared" si="261"/>
        <v>1</v>
      </c>
      <c r="BL248" s="1125">
        <f t="shared" si="262"/>
        <v>1</v>
      </c>
      <c r="BM248" s="1125">
        <f t="shared" si="263"/>
        <v>1</v>
      </c>
      <c r="BN248" s="1125">
        <f t="shared" si="264"/>
        <v>1</v>
      </c>
      <c r="BO248" s="1125">
        <f t="shared" si="265"/>
        <v>1</v>
      </c>
      <c r="BP248" s="1125">
        <f t="shared" si="266"/>
        <v>1</v>
      </c>
      <c r="BQ248" s="1125">
        <f t="shared" si="267"/>
        <v>1</v>
      </c>
      <c r="BR248" s="1125">
        <f t="shared" si="268"/>
        <v>1</v>
      </c>
      <c r="BS248" s="1125">
        <f t="shared" si="269"/>
        <v>1</v>
      </c>
      <c r="BT248" s="1125">
        <f t="shared" si="270"/>
        <v>1</v>
      </c>
      <c r="BU248" s="1125">
        <f t="shared" si="271"/>
        <v>1</v>
      </c>
      <c r="BV248" s="1125">
        <f t="shared" si="272"/>
        <v>1</v>
      </c>
      <c r="BW248" s="1125">
        <f t="shared" si="273"/>
        <v>0</v>
      </c>
      <c r="BX248" s="1125">
        <f t="shared" si="274"/>
        <v>0</v>
      </c>
      <c r="BY248" s="1125">
        <f t="shared" si="275"/>
        <v>0</v>
      </c>
      <c r="BZ248" s="1125">
        <f t="shared" si="276"/>
        <v>0</v>
      </c>
      <c r="CA248" s="1125">
        <f t="shared" si="277"/>
        <v>0</v>
      </c>
      <c r="CB248" s="1125">
        <f t="shared" si="278"/>
        <v>0</v>
      </c>
      <c r="CC248" s="1125">
        <f t="shared" si="279"/>
        <v>1</v>
      </c>
      <c r="CD248" s="1125">
        <f t="shared" si="280"/>
        <v>1</v>
      </c>
      <c r="CE248" s="1125">
        <f t="shared" si="281"/>
        <v>0</v>
      </c>
      <c r="CF248" s="1125">
        <f t="shared" si="282"/>
        <v>0</v>
      </c>
      <c r="CG248" s="1125">
        <f t="shared" si="283"/>
        <v>0</v>
      </c>
      <c r="CH248" s="1125">
        <f t="shared" si="284"/>
        <v>0</v>
      </c>
      <c r="CI248" s="1125">
        <f t="shared" si="285"/>
        <v>0.85</v>
      </c>
      <c r="CJ248" s="1125">
        <f t="shared" si="286"/>
        <v>0.85</v>
      </c>
      <c r="CK248" s="1125">
        <f t="shared" si="287"/>
        <v>0.85</v>
      </c>
      <c r="CL248" s="1125">
        <f t="shared" si="288"/>
        <v>0.85</v>
      </c>
      <c r="CM248" s="1125">
        <f t="shared" si="289"/>
        <v>0.85</v>
      </c>
      <c r="CN248" s="1125">
        <f t="shared" si="290"/>
        <v>0.85</v>
      </c>
      <c r="CO248" s="1125">
        <f t="shared" si="291"/>
        <v>0.85</v>
      </c>
      <c r="CP248" s="1125">
        <f t="shared" si="292"/>
        <v>0.85</v>
      </c>
      <c r="CQ248" s="1125">
        <f t="shared" si="293"/>
        <v>0.85</v>
      </c>
      <c r="CR248" s="1125">
        <f t="shared" si="294"/>
        <v>0.85</v>
      </c>
      <c r="CS248" s="1125">
        <f t="shared" si="295"/>
        <v>0.85</v>
      </c>
      <c r="CT248" s="1125">
        <f t="shared" si="296"/>
        <v>0.85</v>
      </c>
      <c r="CU248" s="1125">
        <v>1</v>
      </c>
      <c r="CV248" s="1125"/>
      <c r="CW248" s="1125">
        <f t="shared" si="297"/>
        <v>62</v>
      </c>
      <c r="CX248" s="1125">
        <f t="shared" si="298"/>
        <v>303</v>
      </c>
      <c r="CY248" s="1136" t="s">
        <v>4880</v>
      </c>
      <c r="CZ248" s="1129">
        <v>8</v>
      </c>
      <c r="DA248" s="1129"/>
      <c r="DB248" s="1129"/>
      <c r="DC248" s="1125" t="s">
        <v>4920</v>
      </c>
      <c r="DD248" s="1125" t="s">
        <v>953</v>
      </c>
      <c r="DE248" s="1125" t="b">
        <f t="shared" si="299"/>
        <v>0</v>
      </c>
      <c r="DF248" s="1125">
        <v>0</v>
      </c>
      <c r="DG248" s="1120">
        <v>0</v>
      </c>
    </row>
    <row r="249" spans="1:111">
      <c r="A249" s="1125" t="s">
        <v>3296</v>
      </c>
      <c r="B249" s="1125" t="s">
        <v>4526</v>
      </c>
      <c r="C249" s="1125" t="s">
        <v>4527</v>
      </c>
      <c r="D249" s="1125" t="s">
        <v>501</v>
      </c>
      <c r="E249" s="1125">
        <v>197</v>
      </c>
      <c r="F249" s="1125">
        <v>-77.52</v>
      </c>
      <c r="G249" s="1125">
        <v>37.18</v>
      </c>
      <c r="H249" s="1125">
        <v>-5</v>
      </c>
      <c r="I249" s="1126">
        <v>19.220000171661376</v>
      </c>
      <c r="J249" s="1126">
        <v>94.639998626708987</v>
      </c>
      <c r="K249" s="1127">
        <v>76.819999313354487</v>
      </c>
      <c r="L249" s="1125">
        <v>3447</v>
      </c>
      <c r="M249" s="1125">
        <v>1470.6000000000001</v>
      </c>
      <c r="N249" s="1128">
        <v>38.120000171661374</v>
      </c>
      <c r="O249" s="1128">
        <v>42.97999982833862</v>
      </c>
      <c r="P249" s="1128">
        <v>46.580000686645505</v>
      </c>
      <c r="Q249" s="1128">
        <v>58.1</v>
      </c>
      <c r="R249" s="1128">
        <v>72.139998626708987</v>
      </c>
      <c r="S249" s="1128">
        <v>75.560001373291016</v>
      </c>
      <c r="T249" s="1128">
        <v>77.180000686645513</v>
      </c>
      <c r="U249" s="1128">
        <v>73.760001373291018</v>
      </c>
      <c r="V249" s="1128">
        <v>67.819999313354487</v>
      </c>
      <c r="W249" s="1128">
        <v>56.3</v>
      </c>
      <c r="X249" s="1128">
        <v>54.5</v>
      </c>
      <c r="Y249" s="1128">
        <v>43.879999828338626</v>
      </c>
      <c r="Z249" s="1128">
        <v>58.985205639355804</v>
      </c>
      <c r="AA249" s="1128">
        <f t="shared" si="225"/>
        <v>54.877306932350798</v>
      </c>
      <c r="AB249" s="1128">
        <f t="shared" si="226"/>
        <v>54.404745788151565</v>
      </c>
      <c r="AC249" s="1128">
        <f t="shared" si="227"/>
        <v>56.690144553990493</v>
      </c>
      <c r="AD249" s="1128">
        <f t="shared" si="228"/>
        <v>61.137778822490617</v>
      </c>
      <c r="AE249" s="1128">
        <f t="shared" si="229"/>
        <v>66.588304181448621</v>
      </c>
      <c r="AF249" s="1128">
        <f t="shared" si="230"/>
        <v>71.620957200913793</v>
      </c>
      <c r="AG249" s="1128">
        <f t="shared" si="231"/>
        <v>74.923899315831918</v>
      </c>
      <c r="AH249" s="1128">
        <f t="shared" si="232"/>
        <v>75.636167764070876</v>
      </c>
      <c r="AI249" s="1128">
        <f t="shared" si="233"/>
        <v>73.57209879820816</v>
      </c>
      <c r="AJ249" s="1128">
        <f t="shared" si="234"/>
        <v>69.269723802461442</v>
      </c>
      <c r="AK249" s="1128">
        <f t="shared" si="235"/>
        <v>63.850523121077757</v>
      </c>
      <c r="AL249" s="1128">
        <f t="shared" si="236"/>
        <v>58.727094924070137</v>
      </c>
      <c r="AM249" s="1125">
        <f t="shared" si="237"/>
        <v>1</v>
      </c>
      <c r="AN249" s="1125">
        <f t="shared" si="238"/>
        <v>1</v>
      </c>
      <c r="AO249" s="1125">
        <f t="shared" si="239"/>
        <v>1</v>
      </c>
      <c r="AP249" s="1125">
        <f t="shared" si="240"/>
        <v>1</v>
      </c>
      <c r="AQ249" s="1125">
        <f t="shared" si="241"/>
        <v>0</v>
      </c>
      <c r="AR249" s="1125">
        <f t="shared" si="242"/>
        <v>0</v>
      </c>
      <c r="AS249" s="1125">
        <f t="shared" si="243"/>
        <v>0</v>
      </c>
      <c r="AT249" s="1125">
        <f t="shared" si="244"/>
        <v>0</v>
      </c>
      <c r="AU249" s="1125">
        <f t="shared" si="245"/>
        <v>0</v>
      </c>
      <c r="AV249" s="1125">
        <f t="shared" si="246"/>
        <v>1</v>
      </c>
      <c r="AW249" s="1125">
        <f t="shared" si="247"/>
        <v>1</v>
      </c>
      <c r="AX249" s="1125">
        <f t="shared" si="248"/>
        <v>1</v>
      </c>
      <c r="AY249" s="1125">
        <f t="shared" si="249"/>
        <v>0</v>
      </c>
      <c r="AZ249" s="1125">
        <f t="shared" si="250"/>
        <v>0</v>
      </c>
      <c r="BA249" s="1125">
        <f t="shared" si="251"/>
        <v>0</v>
      </c>
      <c r="BB249" s="1125">
        <f t="shared" si="252"/>
        <v>0</v>
      </c>
      <c r="BC249" s="1125">
        <f t="shared" si="253"/>
        <v>1</v>
      </c>
      <c r="BD249" s="1125">
        <f t="shared" si="254"/>
        <v>1</v>
      </c>
      <c r="BE249" s="1125">
        <f t="shared" si="255"/>
        <v>1</v>
      </c>
      <c r="BF249" s="1125">
        <f t="shared" si="256"/>
        <v>1</v>
      </c>
      <c r="BG249" s="1125">
        <f t="shared" si="257"/>
        <v>1</v>
      </c>
      <c r="BH249" s="1125">
        <f t="shared" si="258"/>
        <v>0</v>
      </c>
      <c r="BI249" s="1125">
        <f t="shared" si="259"/>
        <v>0</v>
      </c>
      <c r="BJ249" s="1125">
        <f t="shared" si="260"/>
        <v>0</v>
      </c>
      <c r="BK249" s="1125">
        <f t="shared" si="261"/>
        <v>1</v>
      </c>
      <c r="BL249" s="1125">
        <f t="shared" si="262"/>
        <v>1</v>
      </c>
      <c r="BM249" s="1125">
        <f t="shared" si="263"/>
        <v>1</v>
      </c>
      <c r="BN249" s="1125">
        <f t="shared" si="264"/>
        <v>1</v>
      </c>
      <c r="BO249" s="1125">
        <f t="shared" si="265"/>
        <v>1</v>
      </c>
      <c r="BP249" s="1125">
        <f t="shared" si="266"/>
        <v>0</v>
      </c>
      <c r="BQ249" s="1125">
        <f t="shared" si="267"/>
        <v>0</v>
      </c>
      <c r="BR249" s="1125">
        <f t="shared" si="268"/>
        <v>0</v>
      </c>
      <c r="BS249" s="1125">
        <f t="shared" si="269"/>
        <v>0</v>
      </c>
      <c r="BT249" s="1125">
        <f t="shared" si="270"/>
        <v>1</v>
      </c>
      <c r="BU249" s="1125">
        <f t="shared" si="271"/>
        <v>1</v>
      </c>
      <c r="BV249" s="1125">
        <f t="shared" si="272"/>
        <v>1</v>
      </c>
      <c r="BW249" s="1125">
        <f t="shared" si="273"/>
        <v>0</v>
      </c>
      <c r="BX249" s="1125">
        <f t="shared" si="274"/>
        <v>0</v>
      </c>
      <c r="BY249" s="1125">
        <f t="shared" si="275"/>
        <v>0</v>
      </c>
      <c r="BZ249" s="1125">
        <f t="shared" si="276"/>
        <v>1</v>
      </c>
      <c r="CA249" s="1125">
        <f t="shared" si="277"/>
        <v>1</v>
      </c>
      <c r="CB249" s="1125">
        <f t="shared" si="278"/>
        <v>1</v>
      </c>
      <c r="CC249" s="1125">
        <f t="shared" si="279"/>
        <v>1</v>
      </c>
      <c r="CD249" s="1125">
        <f t="shared" si="280"/>
        <v>1</v>
      </c>
      <c r="CE249" s="1125">
        <f t="shared" si="281"/>
        <v>1</v>
      </c>
      <c r="CF249" s="1125">
        <f t="shared" si="282"/>
        <v>1</v>
      </c>
      <c r="CG249" s="1125">
        <f t="shared" si="283"/>
        <v>0</v>
      </c>
      <c r="CH249" s="1125">
        <f t="shared" si="284"/>
        <v>0</v>
      </c>
      <c r="CI249" s="1125">
        <f t="shared" si="285"/>
        <v>0.85</v>
      </c>
      <c r="CJ249" s="1125">
        <f t="shared" si="286"/>
        <v>0.85</v>
      </c>
      <c r="CK249" s="1125">
        <f t="shared" si="287"/>
        <v>0.85</v>
      </c>
      <c r="CL249" s="1125">
        <f t="shared" si="288"/>
        <v>0.85</v>
      </c>
      <c r="CM249" s="1125">
        <f t="shared" si="289"/>
        <v>0.85</v>
      </c>
      <c r="CN249" s="1125">
        <f t="shared" si="290"/>
        <v>0.7</v>
      </c>
      <c r="CO249" s="1125">
        <f t="shared" si="291"/>
        <v>0.7</v>
      </c>
      <c r="CP249" s="1125">
        <f t="shared" si="292"/>
        <v>0.7</v>
      </c>
      <c r="CQ249" s="1125">
        <f t="shared" si="293"/>
        <v>0.7</v>
      </c>
      <c r="CR249" s="1125">
        <f t="shared" si="294"/>
        <v>0.85</v>
      </c>
      <c r="CS249" s="1125">
        <f t="shared" si="295"/>
        <v>0.85</v>
      </c>
      <c r="CT249" s="1125">
        <f t="shared" si="296"/>
        <v>0.85</v>
      </c>
      <c r="CU249" s="1125">
        <v>1</v>
      </c>
      <c r="CV249" s="1125"/>
      <c r="CW249" s="1125">
        <f t="shared" si="297"/>
        <v>214</v>
      </c>
      <c r="CX249" s="1125">
        <f t="shared" si="298"/>
        <v>151</v>
      </c>
      <c r="CY249" s="1135" t="s">
        <v>4881</v>
      </c>
      <c r="CZ249" s="1124" t="s">
        <v>4885</v>
      </c>
      <c r="DA249" s="1124"/>
      <c r="DB249" s="1124"/>
      <c r="DC249" s="1120" t="s">
        <v>5629</v>
      </c>
      <c r="DD249" s="1120" t="s">
        <v>501</v>
      </c>
      <c r="DE249" s="1120" t="str">
        <f t="shared" si="299"/>
        <v/>
      </c>
      <c r="DF249" s="1133">
        <v>0</v>
      </c>
      <c r="DG249" s="1125">
        <v>0</v>
      </c>
    </row>
    <row r="250" spans="1:111">
      <c r="A250" s="1120" t="s">
        <v>3298</v>
      </c>
      <c r="B250" s="1125" t="s">
        <v>3555</v>
      </c>
      <c r="C250" s="1125" t="s">
        <v>3556</v>
      </c>
      <c r="D250" s="1125" t="s">
        <v>256</v>
      </c>
      <c r="E250" s="1125">
        <v>2575</v>
      </c>
      <c r="F250" s="1125">
        <v>-99.97</v>
      </c>
      <c r="G250" s="1125">
        <v>37.770000000000003</v>
      </c>
      <c r="H250" s="1125">
        <v>-6</v>
      </c>
      <c r="I250" s="1126">
        <v>8.0599996566772454</v>
      </c>
      <c r="J250" s="1126">
        <v>97.160001373291024</v>
      </c>
      <c r="K250" s="1127">
        <v>69.980000686645511</v>
      </c>
      <c r="L250" s="1125">
        <v>4995</v>
      </c>
      <c r="M250" s="1125">
        <v>1468.8</v>
      </c>
      <c r="N250" s="1128">
        <v>24.979999828338624</v>
      </c>
      <c r="O250" s="1128">
        <v>34.880000042915341</v>
      </c>
      <c r="P250" s="1128">
        <v>42.97999982833862</v>
      </c>
      <c r="Q250" s="1128">
        <v>56.480000686645511</v>
      </c>
      <c r="R250" s="1128">
        <v>64.039998626708979</v>
      </c>
      <c r="S250" s="1128">
        <v>74.3</v>
      </c>
      <c r="T250" s="1128">
        <v>80.780000686645508</v>
      </c>
      <c r="U250" s="1128">
        <v>75.919999313354495</v>
      </c>
      <c r="V250" s="1128">
        <v>69.260001373291018</v>
      </c>
      <c r="W250" s="1128">
        <v>56.480000686645511</v>
      </c>
      <c r="X250" s="1128">
        <v>41.540000343322752</v>
      </c>
      <c r="Y250" s="1128">
        <v>34.160000085830688</v>
      </c>
      <c r="Z250" s="1128">
        <v>54.749534367208611</v>
      </c>
      <c r="AA250" s="1128">
        <f t="shared" si="225"/>
        <v>47.805600086913444</v>
      </c>
      <c r="AB250" s="1128">
        <f t="shared" si="226"/>
        <v>46.659665030194077</v>
      </c>
      <c r="AC250" s="1128">
        <f t="shared" si="227"/>
        <v>49.186471547626553</v>
      </c>
      <c r="AD250" s="1128">
        <f t="shared" si="228"/>
        <v>54.727368581174971</v>
      </c>
      <c r="AE250" s="1128">
        <f t="shared" si="229"/>
        <v>61.838035931236981</v>
      </c>
      <c r="AF250" s="1128">
        <f t="shared" si="230"/>
        <v>68.664968574318138</v>
      </c>
      <c r="AG250" s="1128">
        <f t="shared" si="231"/>
        <v>73.428621310782759</v>
      </c>
      <c r="AH250" s="1128">
        <f t="shared" si="232"/>
        <v>74.887274644760538</v>
      </c>
      <c r="AI250" s="1128">
        <f t="shared" si="233"/>
        <v>72.66070810622189</v>
      </c>
      <c r="AJ250" s="1128">
        <f t="shared" si="234"/>
        <v>67.329310575865904</v>
      </c>
      <c r="AK250" s="1128">
        <f t="shared" si="235"/>
        <v>60.28279297930272</v>
      </c>
      <c r="AL250" s="1128">
        <f t="shared" si="236"/>
        <v>53.35793871819974</v>
      </c>
      <c r="AM250" s="1125">
        <f t="shared" si="237"/>
        <v>1</v>
      </c>
      <c r="AN250" s="1125">
        <f t="shared" si="238"/>
        <v>1</v>
      </c>
      <c r="AO250" s="1125">
        <f t="shared" si="239"/>
        <v>1</v>
      </c>
      <c r="AP250" s="1125">
        <f t="shared" si="240"/>
        <v>1</v>
      </c>
      <c r="AQ250" s="1125">
        <f t="shared" si="241"/>
        <v>1</v>
      </c>
      <c r="AR250" s="1125">
        <f t="shared" si="242"/>
        <v>0</v>
      </c>
      <c r="AS250" s="1125">
        <f t="shared" si="243"/>
        <v>0</v>
      </c>
      <c r="AT250" s="1125">
        <f t="shared" si="244"/>
        <v>0</v>
      </c>
      <c r="AU250" s="1125">
        <f t="shared" si="245"/>
        <v>0</v>
      </c>
      <c r="AV250" s="1125">
        <f t="shared" si="246"/>
        <v>1</v>
      </c>
      <c r="AW250" s="1125">
        <f t="shared" si="247"/>
        <v>1</v>
      </c>
      <c r="AX250" s="1125">
        <f t="shared" si="248"/>
        <v>1</v>
      </c>
      <c r="AY250" s="1125">
        <f t="shared" si="249"/>
        <v>0</v>
      </c>
      <c r="AZ250" s="1125">
        <f t="shared" si="250"/>
        <v>0</v>
      </c>
      <c r="BA250" s="1125">
        <f t="shared" si="251"/>
        <v>0</v>
      </c>
      <c r="BB250" s="1125">
        <f t="shared" si="252"/>
        <v>0</v>
      </c>
      <c r="BC250" s="1125">
        <f t="shared" si="253"/>
        <v>0</v>
      </c>
      <c r="BD250" s="1125">
        <f t="shared" si="254"/>
        <v>1</v>
      </c>
      <c r="BE250" s="1125">
        <f t="shared" si="255"/>
        <v>1</v>
      </c>
      <c r="BF250" s="1125">
        <f t="shared" si="256"/>
        <v>1</v>
      </c>
      <c r="BG250" s="1125">
        <f t="shared" si="257"/>
        <v>1</v>
      </c>
      <c r="BH250" s="1125">
        <f t="shared" si="258"/>
        <v>0</v>
      </c>
      <c r="BI250" s="1125">
        <f t="shared" si="259"/>
        <v>0</v>
      </c>
      <c r="BJ250" s="1125">
        <f t="shared" si="260"/>
        <v>0</v>
      </c>
      <c r="BK250" s="1125">
        <f t="shared" si="261"/>
        <v>1</v>
      </c>
      <c r="BL250" s="1125">
        <f t="shared" si="262"/>
        <v>1</v>
      </c>
      <c r="BM250" s="1125">
        <f t="shared" si="263"/>
        <v>1</v>
      </c>
      <c r="BN250" s="1125">
        <f t="shared" si="264"/>
        <v>1</v>
      </c>
      <c r="BO250" s="1125">
        <f t="shared" si="265"/>
        <v>1</v>
      </c>
      <c r="BP250" s="1125">
        <f t="shared" si="266"/>
        <v>1</v>
      </c>
      <c r="BQ250" s="1125">
        <f t="shared" si="267"/>
        <v>0</v>
      </c>
      <c r="BR250" s="1125">
        <f t="shared" si="268"/>
        <v>0</v>
      </c>
      <c r="BS250" s="1125">
        <f t="shared" si="269"/>
        <v>0</v>
      </c>
      <c r="BT250" s="1125">
        <f t="shared" si="270"/>
        <v>1</v>
      </c>
      <c r="BU250" s="1125">
        <f t="shared" si="271"/>
        <v>1</v>
      </c>
      <c r="BV250" s="1125">
        <f t="shared" si="272"/>
        <v>1</v>
      </c>
      <c r="BW250" s="1125">
        <f t="shared" si="273"/>
        <v>0</v>
      </c>
      <c r="BX250" s="1125">
        <f t="shared" si="274"/>
        <v>0</v>
      </c>
      <c r="BY250" s="1125">
        <f t="shared" si="275"/>
        <v>0</v>
      </c>
      <c r="BZ250" s="1125">
        <f t="shared" si="276"/>
        <v>0</v>
      </c>
      <c r="CA250" s="1125">
        <f t="shared" si="277"/>
        <v>1</v>
      </c>
      <c r="CB250" s="1125">
        <f t="shared" si="278"/>
        <v>1</v>
      </c>
      <c r="CC250" s="1125">
        <f t="shared" si="279"/>
        <v>1</v>
      </c>
      <c r="CD250" s="1125">
        <f t="shared" si="280"/>
        <v>1</v>
      </c>
      <c r="CE250" s="1125">
        <f t="shared" si="281"/>
        <v>1</v>
      </c>
      <c r="CF250" s="1125">
        <f t="shared" si="282"/>
        <v>1</v>
      </c>
      <c r="CG250" s="1125">
        <f t="shared" si="283"/>
        <v>0</v>
      </c>
      <c r="CH250" s="1125">
        <f t="shared" si="284"/>
        <v>0</v>
      </c>
      <c r="CI250" s="1125">
        <f t="shared" si="285"/>
        <v>0.85</v>
      </c>
      <c r="CJ250" s="1125">
        <f t="shared" si="286"/>
        <v>0.85</v>
      </c>
      <c r="CK250" s="1125">
        <f t="shared" si="287"/>
        <v>0.85</v>
      </c>
      <c r="CL250" s="1125">
        <f t="shared" si="288"/>
        <v>0.85</v>
      </c>
      <c r="CM250" s="1125">
        <f t="shared" si="289"/>
        <v>0.85</v>
      </c>
      <c r="CN250" s="1125">
        <f t="shared" si="290"/>
        <v>0.85</v>
      </c>
      <c r="CO250" s="1125">
        <f t="shared" si="291"/>
        <v>0.7</v>
      </c>
      <c r="CP250" s="1125">
        <f t="shared" si="292"/>
        <v>0.7</v>
      </c>
      <c r="CQ250" s="1125">
        <f t="shared" si="293"/>
        <v>0.7</v>
      </c>
      <c r="CR250" s="1125">
        <f t="shared" si="294"/>
        <v>0.85</v>
      </c>
      <c r="CS250" s="1125">
        <f t="shared" si="295"/>
        <v>0.85</v>
      </c>
      <c r="CT250" s="1125">
        <f t="shared" si="296"/>
        <v>0.85</v>
      </c>
      <c r="CU250" s="1125">
        <v>1</v>
      </c>
      <c r="CV250" s="1125"/>
      <c r="CW250" s="1125">
        <f t="shared" si="297"/>
        <v>184</v>
      </c>
      <c r="CX250" s="1125">
        <f t="shared" si="298"/>
        <v>181</v>
      </c>
      <c r="CY250" s="1136" t="s">
        <v>4881</v>
      </c>
      <c r="CZ250" s="1129" t="s">
        <v>4885</v>
      </c>
      <c r="DA250" s="1129"/>
      <c r="DB250" s="1129"/>
      <c r="DC250" s="1125" t="s">
        <v>5227</v>
      </c>
      <c r="DD250" s="1125" t="s">
        <v>256</v>
      </c>
      <c r="DE250" s="1120" t="str">
        <f t="shared" si="299"/>
        <v/>
      </c>
      <c r="DF250" s="1133">
        <v>0</v>
      </c>
      <c r="DG250" s="1120">
        <v>0</v>
      </c>
    </row>
    <row r="251" spans="1:111">
      <c r="A251" s="1125" t="s">
        <v>3300</v>
      </c>
      <c r="B251" s="1120" t="s">
        <v>3004</v>
      </c>
      <c r="C251" s="1120" t="s">
        <v>3005</v>
      </c>
      <c r="D251" s="1120" t="s">
        <v>247</v>
      </c>
      <c r="E251" s="1120">
        <v>321</v>
      </c>
      <c r="F251" s="1120">
        <v>-85.43</v>
      </c>
      <c r="G251" s="1120">
        <v>31.23</v>
      </c>
      <c r="H251" s="1120">
        <v>-6</v>
      </c>
      <c r="I251" s="1121">
        <v>31.1</v>
      </c>
      <c r="J251" s="1121">
        <v>93.2</v>
      </c>
      <c r="K251" s="1122">
        <v>75.739998626708982</v>
      </c>
      <c r="L251" s="1120">
        <v>1996.2</v>
      </c>
      <c r="M251" s="1120">
        <v>2433.6</v>
      </c>
      <c r="N251" s="1123">
        <v>44.6</v>
      </c>
      <c r="O251" s="1123">
        <v>49.819999313354494</v>
      </c>
      <c r="P251" s="1123">
        <v>61.160001373291017</v>
      </c>
      <c r="Q251" s="1123">
        <v>64.400000000000006</v>
      </c>
      <c r="R251" s="1123">
        <v>77.360001373291013</v>
      </c>
      <c r="S251" s="1123">
        <v>78.260001373291018</v>
      </c>
      <c r="T251" s="1123">
        <v>79.880000686645502</v>
      </c>
      <c r="U251" s="1123">
        <v>78.980000686645511</v>
      </c>
      <c r="V251" s="1123">
        <v>78.439998626708984</v>
      </c>
      <c r="W251" s="1123">
        <v>66.919999313354495</v>
      </c>
      <c r="X251" s="1123">
        <v>59</v>
      </c>
      <c r="Y251" s="1123">
        <v>47.119999313354491</v>
      </c>
      <c r="Z251" s="1123">
        <v>65.574191961419089</v>
      </c>
      <c r="AA251" s="1123">
        <f t="shared" si="225"/>
        <v>61.001122646051229</v>
      </c>
      <c r="AB251" s="1123">
        <f t="shared" si="226"/>
        <v>61.151332306695011</v>
      </c>
      <c r="AC251" s="1123">
        <f t="shared" si="227"/>
        <v>64.018420957471861</v>
      </c>
      <c r="AD251" s="1123">
        <f t="shared" si="228"/>
        <v>68.855037758383276</v>
      </c>
      <c r="AE251" s="1123">
        <f t="shared" si="229"/>
        <v>74.400444005750657</v>
      </c>
      <c r="AF251" s="1123">
        <f t="shared" si="230"/>
        <v>79.209144103900641</v>
      </c>
      <c r="AG251" s="1123">
        <f t="shared" si="231"/>
        <v>82.027676267938801</v>
      </c>
      <c r="AH251" s="1123">
        <f t="shared" si="232"/>
        <v>82.121346654413202</v>
      </c>
      <c r="AI251" s="1123">
        <f t="shared" si="233"/>
        <v>79.46573863358492</v>
      </c>
      <c r="AJ251" s="1123">
        <f t="shared" si="234"/>
        <v>74.753077360241221</v>
      </c>
      <c r="AK251" s="1123">
        <f t="shared" si="235"/>
        <v>69.211790619587688</v>
      </c>
      <c r="AL251" s="1123">
        <f t="shared" si="236"/>
        <v>64.286300194389156</v>
      </c>
      <c r="AM251" s="1120">
        <f t="shared" si="237"/>
        <v>1</v>
      </c>
      <c r="AN251" s="1120">
        <f t="shared" si="238"/>
        <v>1</v>
      </c>
      <c r="AO251" s="1120">
        <f t="shared" si="239"/>
        <v>1</v>
      </c>
      <c r="AP251" s="1120">
        <f t="shared" si="240"/>
        <v>1</v>
      </c>
      <c r="AQ251" s="1120">
        <f t="shared" si="241"/>
        <v>0</v>
      </c>
      <c r="AR251" s="1120">
        <f t="shared" si="242"/>
        <v>0</v>
      </c>
      <c r="AS251" s="1120">
        <f t="shared" si="243"/>
        <v>0</v>
      </c>
      <c r="AT251" s="1120">
        <f t="shared" si="244"/>
        <v>0</v>
      </c>
      <c r="AU251" s="1120">
        <f t="shared" si="245"/>
        <v>0</v>
      </c>
      <c r="AV251" s="1120">
        <f t="shared" si="246"/>
        <v>0</v>
      </c>
      <c r="AW251" s="1120">
        <f t="shared" si="247"/>
        <v>1</v>
      </c>
      <c r="AX251" s="1120">
        <f t="shared" si="248"/>
        <v>1</v>
      </c>
      <c r="AY251" s="1120">
        <f t="shared" si="249"/>
        <v>0</v>
      </c>
      <c r="AZ251" s="1120">
        <f t="shared" si="250"/>
        <v>0</v>
      </c>
      <c r="BA251" s="1120">
        <f t="shared" si="251"/>
        <v>0</v>
      </c>
      <c r="BB251" s="1120">
        <f t="shared" si="252"/>
        <v>0</v>
      </c>
      <c r="BC251" s="1120">
        <f t="shared" si="253"/>
        <v>1</v>
      </c>
      <c r="BD251" s="1120">
        <f t="shared" si="254"/>
        <v>1</v>
      </c>
      <c r="BE251" s="1120">
        <f t="shared" si="255"/>
        <v>1</v>
      </c>
      <c r="BF251" s="1120">
        <f t="shared" si="256"/>
        <v>1</v>
      </c>
      <c r="BG251" s="1120">
        <f t="shared" si="257"/>
        <v>1</v>
      </c>
      <c r="BH251" s="1120">
        <f t="shared" si="258"/>
        <v>1</v>
      </c>
      <c r="BI251" s="1120">
        <f t="shared" si="259"/>
        <v>0</v>
      </c>
      <c r="BJ251" s="1120">
        <f t="shared" si="260"/>
        <v>0</v>
      </c>
      <c r="BK251" s="1120">
        <f t="shared" si="261"/>
        <v>1</v>
      </c>
      <c r="BL251" s="1120">
        <f t="shared" si="262"/>
        <v>1</v>
      </c>
      <c r="BM251" s="1120">
        <f t="shared" si="263"/>
        <v>1</v>
      </c>
      <c r="BN251" s="1120">
        <f t="shared" si="264"/>
        <v>1</v>
      </c>
      <c r="BO251" s="1120">
        <f t="shared" si="265"/>
        <v>1</v>
      </c>
      <c r="BP251" s="1120">
        <f t="shared" si="266"/>
        <v>0</v>
      </c>
      <c r="BQ251" s="1120">
        <f t="shared" si="267"/>
        <v>0</v>
      </c>
      <c r="BR251" s="1120">
        <f t="shared" si="268"/>
        <v>0</v>
      </c>
      <c r="BS251" s="1120">
        <f t="shared" si="269"/>
        <v>0</v>
      </c>
      <c r="BT251" s="1120">
        <f t="shared" si="270"/>
        <v>0</v>
      </c>
      <c r="BU251" s="1120">
        <f t="shared" si="271"/>
        <v>1</v>
      </c>
      <c r="BV251" s="1120">
        <f t="shared" si="272"/>
        <v>1</v>
      </c>
      <c r="BW251" s="1120">
        <f t="shared" si="273"/>
        <v>0</v>
      </c>
      <c r="BX251" s="1120">
        <f t="shared" si="274"/>
        <v>0</v>
      </c>
      <c r="BY251" s="1120">
        <f t="shared" si="275"/>
        <v>0</v>
      </c>
      <c r="BZ251" s="1120">
        <f t="shared" si="276"/>
        <v>1</v>
      </c>
      <c r="CA251" s="1120">
        <f t="shared" si="277"/>
        <v>1</v>
      </c>
      <c r="CB251" s="1120">
        <f t="shared" si="278"/>
        <v>1</v>
      </c>
      <c r="CC251" s="1120">
        <f t="shared" si="279"/>
        <v>1</v>
      </c>
      <c r="CD251" s="1120">
        <f t="shared" si="280"/>
        <v>1</v>
      </c>
      <c r="CE251" s="1120">
        <f t="shared" si="281"/>
        <v>1</v>
      </c>
      <c r="CF251" s="1120">
        <f t="shared" si="282"/>
        <v>1</v>
      </c>
      <c r="CG251" s="1120">
        <f t="shared" si="283"/>
        <v>1</v>
      </c>
      <c r="CH251" s="1120">
        <f t="shared" si="284"/>
        <v>0</v>
      </c>
      <c r="CI251" s="1120">
        <f t="shared" si="285"/>
        <v>0.85</v>
      </c>
      <c r="CJ251" s="1120">
        <f t="shared" si="286"/>
        <v>0.85</v>
      </c>
      <c r="CK251" s="1120">
        <f t="shared" si="287"/>
        <v>0.85</v>
      </c>
      <c r="CL251" s="1120">
        <f t="shared" si="288"/>
        <v>0.85</v>
      </c>
      <c r="CM251" s="1120">
        <f t="shared" si="289"/>
        <v>0.85</v>
      </c>
      <c r="CN251" s="1120">
        <f t="shared" si="290"/>
        <v>0.7</v>
      </c>
      <c r="CO251" s="1120">
        <f t="shared" si="291"/>
        <v>0.7</v>
      </c>
      <c r="CP251" s="1120">
        <f t="shared" si="292"/>
        <v>0.7</v>
      </c>
      <c r="CQ251" s="1120">
        <f t="shared" si="293"/>
        <v>0.7</v>
      </c>
      <c r="CR251" s="1120">
        <f t="shared" si="294"/>
        <v>0.7</v>
      </c>
      <c r="CS251" s="1120">
        <f t="shared" si="295"/>
        <v>0.85</v>
      </c>
      <c r="CT251" s="1120">
        <f t="shared" si="296"/>
        <v>0.85</v>
      </c>
      <c r="CU251" s="1120">
        <v>1</v>
      </c>
      <c r="CV251" s="1120"/>
      <c r="CW251" s="1120">
        <f t="shared" si="297"/>
        <v>244</v>
      </c>
      <c r="CX251" s="1120">
        <f t="shared" si="298"/>
        <v>121</v>
      </c>
      <c r="CY251" s="1135" t="s">
        <v>4883</v>
      </c>
      <c r="CZ251" s="1124" t="s">
        <v>4882</v>
      </c>
      <c r="DA251" s="1124"/>
      <c r="DB251" s="1124"/>
      <c r="DC251" s="1120" t="s">
        <v>4977</v>
      </c>
      <c r="DD251" s="1120" t="s">
        <v>247</v>
      </c>
      <c r="DE251" s="1120" t="b">
        <f t="shared" si="299"/>
        <v>0</v>
      </c>
      <c r="DF251" s="1120">
        <v>0</v>
      </c>
      <c r="DG251" s="1125">
        <v>0</v>
      </c>
    </row>
    <row r="252" spans="1:111">
      <c r="A252" s="1120" t="s">
        <v>3306</v>
      </c>
      <c r="B252" s="1125" t="s">
        <v>3050</v>
      </c>
      <c r="C252" s="1125" t="s">
        <v>3051</v>
      </c>
      <c r="D252" s="1125" t="s">
        <v>1250</v>
      </c>
      <c r="E252" s="1125">
        <v>4097</v>
      </c>
      <c r="F252" s="1125">
        <v>-109.6</v>
      </c>
      <c r="G252" s="1125">
        <v>31.47</v>
      </c>
      <c r="H252" s="1125">
        <v>-7</v>
      </c>
      <c r="I252" s="1126">
        <v>25.520000171661376</v>
      </c>
      <c r="J252" s="1126">
        <v>97.160001373291024</v>
      </c>
      <c r="K252" s="1127">
        <v>62.419999313354495</v>
      </c>
      <c r="L252" s="1125">
        <v>2264.4</v>
      </c>
      <c r="M252" s="1125">
        <v>2017.8</v>
      </c>
      <c r="N252" s="1128">
        <v>46.220000171661376</v>
      </c>
      <c r="O252" s="1128">
        <v>47.3</v>
      </c>
      <c r="P252" s="1128">
        <v>59.9</v>
      </c>
      <c r="Q252" s="1128">
        <v>66.560001373291016</v>
      </c>
      <c r="R252" s="1128">
        <v>73.219999313354492</v>
      </c>
      <c r="S252" s="1128">
        <v>79.33999862670899</v>
      </c>
      <c r="T252" s="1128">
        <v>79.33999862670899</v>
      </c>
      <c r="U252" s="1128">
        <v>76.819999313354487</v>
      </c>
      <c r="V252" s="1128">
        <v>73.400000000000006</v>
      </c>
      <c r="W252" s="1128">
        <v>62.419999313354495</v>
      </c>
      <c r="X252" s="1128">
        <v>53.780000686645508</v>
      </c>
      <c r="Y252" s="1128">
        <v>45.320000171661377</v>
      </c>
      <c r="Z252" s="1128">
        <v>63.718465547431009</v>
      </c>
      <c r="AA252" s="1128">
        <f t="shared" si="225"/>
        <v>59.909592685227295</v>
      </c>
      <c r="AB252" s="1128">
        <f t="shared" si="226"/>
        <v>59.884465793459427</v>
      </c>
      <c r="AC252" s="1128">
        <f t="shared" si="227"/>
        <v>62.422722484087728</v>
      </c>
      <c r="AD252" s="1128">
        <f t="shared" si="228"/>
        <v>66.86272703498031</v>
      </c>
      <c r="AE252" s="1128">
        <f t="shared" si="229"/>
        <v>72.047123837405778</v>
      </c>
      <c r="AF252" s="1128">
        <f t="shared" si="230"/>
        <v>76.624519970838804</v>
      </c>
      <c r="AG252" s="1128">
        <f t="shared" si="231"/>
        <v>79.401746593290454</v>
      </c>
      <c r="AH252" s="1128">
        <f t="shared" si="232"/>
        <v>79.65487678726096</v>
      </c>
      <c r="AI252" s="1128">
        <f t="shared" si="233"/>
        <v>77.317928266837541</v>
      </c>
      <c r="AJ252" s="1128">
        <f t="shared" si="234"/>
        <v>73.000062677335364</v>
      </c>
      <c r="AK252" s="1128">
        <f t="shared" si="235"/>
        <v>67.826798224981076</v>
      </c>
      <c r="AL252" s="1128">
        <f t="shared" si="236"/>
        <v>63.146626011699219</v>
      </c>
      <c r="AM252" s="1125">
        <f t="shared" si="237"/>
        <v>1</v>
      </c>
      <c r="AN252" s="1125">
        <f t="shared" si="238"/>
        <v>1</v>
      </c>
      <c r="AO252" s="1125">
        <f t="shared" si="239"/>
        <v>1</v>
      </c>
      <c r="AP252" s="1125">
        <f t="shared" si="240"/>
        <v>0</v>
      </c>
      <c r="AQ252" s="1125">
        <f t="shared" si="241"/>
        <v>0</v>
      </c>
      <c r="AR252" s="1125">
        <f t="shared" si="242"/>
        <v>0</v>
      </c>
      <c r="AS252" s="1125">
        <f t="shared" si="243"/>
        <v>0</v>
      </c>
      <c r="AT252" s="1125">
        <f t="shared" si="244"/>
        <v>0</v>
      </c>
      <c r="AU252" s="1125">
        <f t="shared" si="245"/>
        <v>0</v>
      </c>
      <c r="AV252" s="1125">
        <f t="shared" si="246"/>
        <v>1</v>
      </c>
      <c r="AW252" s="1125">
        <f t="shared" si="247"/>
        <v>1</v>
      </c>
      <c r="AX252" s="1125">
        <f t="shared" si="248"/>
        <v>1</v>
      </c>
      <c r="AY252" s="1125">
        <f t="shared" si="249"/>
        <v>0</v>
      </c>
      <c r="AZ252" s="1125">
        <f t="shared" si="250"/>
        <v>0</v>
      </c>
      <c r="BA252" s="1125">
        <f t="shared" si="251"/>
        <v>0</v>
      </c>
      <c r="BB252" s="1125">
        <f t="shared" si="252"/>
        <v>1</v>
      </c>
      <c r="BC252" s="1125">
        <f t="shared" si="253"/>
        <v>1</v>
      </c>
      <c r="BD252" s="1125">
        <f t="shared" si="254"/>
        <v>1</v>
      </c>
      <c r="BE252" s="1125">
        <f t="shared" si="255"/>
        <v>1</v>
      </c>
      <c r="BF252" s="1125">
        <f t="shared" si="256"/>
        <v>1</v>
      </c>
      <c r="BG252" s="1125">
        <f t="shared" si="257"/>
        <v>1</v>
      </c>
      <c r="BH252" s="1125">
        <f t="shared" si="258"/>
        <v>0</v>
      </c>
      <c r="BI252" s="1125">
        <f t="shared" si="259"/>
        <v>0</v>
      </c>
      <c r="BJ252" s="1125">
        <f t="shared" si="260"/>
        <v>0</v>
      </c>
      <c r="BK252" s="1125">
        <f t="shared" si="261"/>
        <v>1</v>
      </c>
      <c r="BL252" s="1125">
        <f t="shared" si="262"/>
        <v>1</v>
      </c>
      <c r="BM252" s="1125">
        <f t="shared" si="263"/>
        <v>1</v>
      </c>
      <c r="BN252" s="1125">
        <f t="shared" si="264"/>
        <v>1</v>
      </c>
      <c r="BO252" s="1125">
        <f t="shared" si="265"/>
        <v>0</v>
      </c>
      <c r="BP252" s="1125">
        <f t="shared" si="266"/>
        <v>0</v>
      </c>
      <c r="BQ252" s="1125">
        <f t="shared" si="267"/>
        <v>0</v>
      </c>
      <c r="BR252" s="1125">
        <f t="shared" si="268"/>
        <v>0</v>
      </c>
      <c r="BS252" s="1125">
        <f t="shared" si="269"/>
        <v>0</v>
      </c>
      <c r="BT252" s="1125">
        <f t="shared" si="270"/>
        <v>1</v>
      </c>
      <c r="BU252" s="1125">
        <f t="shared" si="271"/>
        <v>1</v>
      </c>
      <c r="BV252" s="1125">
        <f t="shared" si="272"/>
        <v>1</v>
      </c>
      <c r="BW252" s="1125">
        <f t="shared" si="273"/>
        <v>0</v>
      </c>
      <c r="BX252" s="1125">
        <f t="shared" si="274"/>
        <v>0</v>
      </c>
      <c r="BY252" s="1125">
        <f t="shared" si="275"/>
        <v>1</v>
      </c>
      <c r="BZ252" s="1125">
        <f t="shared" si="276"/>
        <v>1</v>
      </c>
      <c r="CA252" s="1125">
        <f t="shared" si="277"/>
        <v>1</v>
      </c>
      <c r="CB252" s="1125">
        <f t="shared" si="278"/>
        <v>1</v>
      </c>
      <c r="CC252" s="1125">
        <f t="shared" si="279"/>
        <v>1</v>
      </c>
      <c r="CD252" s="1125">
        <f t="shared" si="280"/>
        <v>1</v>
      </c>
      <c r="CE252" s="1125">
        <f t="shared" si="281"/>
        <v>1</v>
      </c>
      <c r="CF252" s="1125">
        <f t="shared" si="282"/>
        <v>1</v>
      </c>
      <c r="CG252" s="1125">
        <f t="shared" si="283"/>
        <v>0</v>
      </c>
      <c r="CH252" s="1125">
        <f t="shared" si="284"/>
        <v>0</v>
      </c>
      <c r="CI252" s="1125">
        <f t="shared" si="285"/>
        <v>0.85</v>
      </c>
      <c r="CJ252" s="1125">
        <f t="shared" si="286"/>
        <v>0.85</v>
      </c>
      <c r="CK252" s="1125">
        <f t="shared" si="287"/>
        <v>0.85</v>
      </c>
      <c r="CL252" s="1125">
        <f t="shared" si="288"/>
        <v>0.85</v>
      </c>
      <c r="CM252" s="1125">
        <f t="shared" si="289"/>
        <v>0.7</v>
      </c>
      <c r="CN252" s="1125">
        <f t="shared" si="290"/>
        <v>0.7</v>
      </c>
      <c r="CO252" s="1125">
        <f t="shared" si="291"/>
        <v>0.7</v>
      </c>
      <c r="CP252" s="1125">
        <f t="shared" si="292"/>
        <v>0.7</v>
      </c>
      <c r="CQ252" s="1125">
        <f t="shared" si="293"/>
        <v>0.7</v>
      </c>
      <c r="CR252" s="1125">
        <f t="shared" si="294"/>
        <v>0.85</v>
      </c>
      <c r="CS252" s="1125">
        <f t="shared" si="295"/>
        <v>0.85</v>
      </c>
      <c r="CT252" s="1125">
        <f t="shared" si="296"/>
        <v>0.85</v>
      </c>
      <c r="CU252" s="1125">
        <v>1</v>
      </c>
      <c r="CV252" s="1125"/>
      <c r="CW252" s="1125">
        <f t="shared" si="297"/>
        <v>245</v>
      </c>
      <c r="CX252" s="1125">
        <f t="shared" si="298"/>
        <v>120</v>
      </c>
      <c r="CY252" s="1136" t="s">
        <v>4886</v>
      </c>
      <c r="CZ252" s="1129" t="s">
        <v>4888</v>
      </c>
      <c r="DA252" s="1129"/>
      <c r="DB252" s="1129"/>
      <c r="DC252" s="1125" t="s">
        <v>4996</v>
      </c>
      <c r="DD252" s="1125" t="s">
        <v>1250</v>
      </c>
      <c r="DE252" s="1125" t="b">
        <f t="shared" si="299"/>
        <v>0</v>
      </c>
      <c r="DF252" s="1125">
        <v>0</v>
      </c>
      <c r="DG252" s="1120">
        <v>0</v>
      </c>
    </row>
    <row r="253" spans="1:111">
      <c r="A253" s="1125" t="s">
        <v>3302</v>
      </c>
      <c r="B253" s="1125" t="s">
        <v>3260</v>
      </c>
      <c r="C253" s="1125" t="s">
        <v>3261</v>
      </c>
      <c r="D253" s="1125" t="s">
        <v>1329</v>
      </c>
      <c r="E253" s="1125">
        <v>23</v>
      </c>
      <c r="F253" s="1125">
        <v>-75.47</v>
      </c>
      <c r="G253" s="1125">
        <v>39.130000000000003</v>
      </c>
      <c r="H253" s="1125">
        <v>-5</v>
      </c>
      <c r="I253" s="1126">
        <v>18.140000343322754</v>
      </c>
      <c r="J253" s="1126">
        <v>89.779997253417974</v>
      </c>
      <c r="K253" s="1127">
        <v>74.83999862670899</v>
      </c>
      <c r="L253" s="1125">
        <v>4795.2</v>
      </c>
      <c r="M253" s="1125">
        <v>1042.2</v>
      </c>
      <c r="N253" s="1128">
        <v>33.440000021457671</v>
      </c>
      <c r="O253" s="1128">
        <v>35.23999991416931</v>
      </c>
      <c r="P253" s="1128">
        <v>39.379999828338626</v>
      </c>
      <c r="Q253" s="1128">
        <v>52.519999313354489</v>
      </c>
      <c r="R253" s="1128">
        <v>60.440000343322751</v>
      </c>
      <c r="S253" s="1128">
        <v>73.039998626708979</v>
      </c>
      <c r="T253" s="1128">
        <v>76.819999313354487</v>
      </c>
      <c r="U253" s="1128">
        <v>71.960001373291021</v>
      </c>
      <c r="V253" s="1128">
        <v>66.739998626708982</v>
      </c>
      <c r="W253" s="1128">
        <v>57.740000343322755</v>
      </c>
      <c r="X253" s="1128">
        <v>41.720000171661376</v>
      </c>
      <c r="Y253" s="1128">
        <v>39.02000017166138</v>
      </c>
      <c r="Z253" s="1128">
        <v>54.109917652019085</v>
      </c>
      <c r="AA253" s="1128">
        <f t="shared" si="225"/>
        <v>50.222970103787446</v>
      </c>
      <c r="AB253" s="1128">
        <f t="shared" si="226"/>
        <v>49.283072864961376</v>
      </c>
      <c r="AC253" s="1128">
        <f t="shared" si="227"/>
        <v>51.165359566610462</v>
      </c>
      <c r="AD253" s="1128">
        <f t="shared" si="228"/>
        <v>55.379183173033788</v>
      </c>
      <c r="AE253" s="1128">
        <f t="shared" si="229"/>
        <v>60.826145624229696</v>
      </c>
      <c r="AF253" s="1128">
        <f t="shared" si="230"/>
        <v>66.086412217061763</v>
      </c>
      <c r="AG253" s="1128">
        <f t="shared" si="231"/>
        <v>69.788813400946339</v>
      </c>
      <c r="AH253" s="1128">
        <f t="shared" si="232"/>
        <v>70.968261251574617</v>
      </c>
      <c r="AI253" s="1128">
        <f t="shared" si="233"/>
        <v>69.31731451083877</v>
      </c>
      <c r="AJ253" s="1128">
        <f t="shared" si="234"/>
        <v>65.26631788857101</v>
      </c>
      <c r="AK253" s="1128">
        <f t="shared" si="235"/>
        <v>59.871226082113019</v>
      </c>
      <c r="AL253" s="1128">
        <f t="shared" si="236"/>
        <v>54.538352911699484</v>
      </c>
      <c r="AM253" s="1125">
        <f t="shared" si="237"/>
        <v>1</v>
      </c>
      <c r="AN253" s="1125">
        <f t="shared" si="238"/>
        <v>1</v>
      </c>
      <c r="AO253" s="1125">
        <f t="shared" si="239"/>
        <v>1</v>
      </c>
      <c r="AP253" s="1125">
        <f t="shared" si="240"/>
        <v>1</v>
      </c>
      <c r="AQ253" s="1125">
        <f t="shared" si="241"/>
        <v>1</v>
      </c>
      <c r="AR253" s="1125">
        <f t="shared" si="242"/>
        <v>0</v>
      </c>
      <c r="AS253" s="1125">
        <f t="shared" si="243"/>
        <v>0</v>
      </c>
      <c r="AT253" s="1125">
        <f t="shared" si="244"/>
        <v>0</v>
      </c>
      <c r="AU253" s="1125">
        <f t="shared" si="245"/>
        <v>0</v>
      </c>
      <c r="AV253" s="1125">
        <f t="shared" si="246"/>
        <v>1</v>
      </c>
      <c r="AW253" s="1125">
        <f t="shared" si="247"/>
        <v>1</v>
      </c>
      <c r="AX253" s="1125">
        <f t="shared" si="248"/>
        <v>1</v>
      </c>
      <c r="AY253" s="1125">
        <f t="shared" si="249"/>
        <v>0</v>
      </c>
      <c r="AZ253" s="1125">
        <f t="shared" si="250"/>
        <v>0</v>
      </c>
      <c r="BA253" s="1125">
        <f t="shared" si="251"/>
        <v>0</v>
      </c>
      <c r="BB253" s="1125">
        <f t="shared" si="252"/>
        <v>0</v>
      </c>
      <c r="BC253" s="1125">
        <f t="shared" si="253"/>
        <v>0</v>
      </c>
      <c r="BD253" s="1125">
        <f t="shared" si="254"/>
        <v>1</v>
      </c>
      <c r="BE253" s="1125">
        <f t="shared" si="255"/>
        <v>1</v>
      </c>
      <c r="BF253" s="1125">
        <f t="shared" si="256"/>
        <v>1</v>
      </c>
      <c r="BG253" s="1125">
        <f t="shared" si="257"/>
        <v>1</v>
      </c>
      <c r="BH253" s="1125">
        <f t="shared" si="258"/>
        <v>0</v>
      </c>
      <c r="BI253" s="1125">
        <f t="shared" si="259"/>
        <v>0</v>
      </c>
      <c r="BJ253" s="1125">
        <f t="shared" si="260"/>
        <v>0</v>
      </c>
      <c r="BK253" s="1125">
        <f t="shared" si="261"/>
        <v>1</v>
      </c>
      <c r="BL253" s="1125">
        <f t="shared" si="262"/>
        <v>1</v>
      </c>
      <c r="BM253" s="1125">
        <f t="shared" si="263"/>
        <v>1</v>
      </c>
      <c r="BN253" s="1125">
        <f t="shared" si="264"/>
        <v>1</v>
      </c>
      <c r="BO253" s="1125">
        <f t="shared" si="265"/>
        <v>1</v>
      </c>
      <c r="BP253" s="1125">
        <f t="shared" si="266"/>
        <v>1</v>
      </c>
      <c r="BQ253" s="1125">
        <f t="shared" si="267"/>
        <v>0</v>
      </c>
      <c r="BR253" s="1125">
        <f t="shared" si="268"/>
        <v>0</v>
      </c>
      <c r="BS253" s="1125">
        <f t="shared" si="269"/>
        <v>0</v>
      </c>
      <c r="BT253" s="1125">
        <f t="shared" si="270"/>
        <v>1</v>
      </c>
      <c r="BU253" s="1125">
        <f t="shared" si="271"/>
        <v>1</v>
      </c>
      <c r="BV253" s="1125">
        <f t="shared" si="272"/>
        <v>1</v>
      </c>
      <c r="BW253" s="1125">
        <f t="shared" si="273"/>
        <v>0</v>
      </c>
      <c r="BX253" s="1125">
        <f t="shared" si="274"/>
        <v>0</v>
      </c>
      <c r="BY253" s="1125">
        <f t="shared" si="275"/>
        <v>0</v>
      </c>
      <c r="BZ253" s="1125">
        <f t="shared" si="276"/>
        <v>0</v>
      </c>
      <c r="CA253" s="1125">
        <f t="shared" si="277"/>
        <v>1</v>
      </c>
      <c r="CB253" s="1125">
        <f t="shared" si="278"/>
        <v>1</v>
      </c>
      <c r="CC253" s="1125">
        <f t="shared" si="279"/>
        <v>1</v>
      </c>
      <c r="CD253" s="1125">
        <f t="shared" si="280"/>
        <v>1</v>
      </c>
      <c r="CE253" s="1125">
        <f t="shared" si="281"/>
        <v>1</v>
      </c>
      <c r="CF253" s="1125">
        <f t="shared" si="282"/>
        <v>1</v>
      </c>
      <c r="CG253" s="1125">
        <f t="shared" si="283"/>
        <v>0</v>
      </c>
      <c r="CH253" s="1125">
        <f t="shared" si="284"/>
        <v>0</v>
      </c>
      <c r="CI253" s="1125">
        <f t="shared" si="285"/>
        <v>0.85</v>
      </c>
      <c r="CJ253" s="1125">
        <f t="shared" si="286"/>
        <v>0.85</v>
      </c>
      <c r="CK253" s="1125">
        <f t="shared" si="287"/>
        <v>0.85</v>
      </c>
      <c r="CL253" s="1125">
        <f t="shared" si="288"/>
        <v>0.85</v>
      </c>
      <c r="CM253" s="1125">
        <f t="shared" si="289"/>
        <v>0.85</v>
      </c>
      <c r="CN253" s="1125">
        <f t="shared" si="290"/>
        <v>0.85</v>
      </c>
      <c r="CO253" s="1125">
        <f t="shared" si="291"/>
        <v>0.7</v>
      </c>
      <c r="CP253" s="1125">
        <f t="shared" si="292"/>
        <v>0.7</v>
      </c>
      <c r="CQ253" s="1125">
        <f t="shared" si="293"/>
        <v>0.7</v>
      </c>
      <c r="CR253" s="1125">
        <f t="shared" si="294"/>
        <v>0.85</v>
      </c>
      <c r="CS253" s="1125">
        <f t="shared" si="295"/>
        <v>0.85</v>
      </c>
      <c r="CT253" s="1125">
        <f t="shared" si="296"/>
        <v>0.85</v>
      </c>
      <c r="CU253" s="1125">
        <v>1</v>
      </c>
      <c r="CV253" s="1125"/>
      <c r="CW253" s="1125">
        <f t="shared" si="297"/>
        <v>184</v>
      </c>
      <c r="CX253" s="1125">
        <f t="shared" si="298"/>
        <v>181</v>
      </c>
      <c r="CY253" s="1135" t="s">
        <v>4881</v>
      </c>
      <c r="CZ253" s="1124" t="s">
        <v>4885</v>
      </c>
      <c r="DA253" s="1124"/>
      <c r="DB253" s="1124"/>
      <c r="DC253" s="1120" t="s">
        <v>5090</v>
      </c>
      <c r="DD253" s="1120" t="s">
        <v>1329</v>
      </c>
      <c r="DE253" s="1120" t="str">
        <f t="shared" si="299"/>
        <v/>
      </c>
      <c r="DF253" s="1133">
        <v>0</v>
      </c>
      <c r="DG253" s="1125">
        <v>0</v>
      </c>
    </row>
    <row r="254" spans="1:111">
      <c r="A254" s="1120" t="s">
        <v>3304</v>
      </c>
      <c r="B254" s="1125" t="s">
        <v>4392</v>
      </c>
      <c r="C254" s="1125" t="s">
        <v>4393</v>
      </c>
      <c r="D254" s="1125" t="s">
        <v>228</v>
      </c>
      <c r="E254" s="1125">
        <v>699</v>
      </c>
      <c r="F254" s="1125">
        <v>-97.4</v>
      </c>
      <c r="G254" s="1125">
        <v>31.15</v>
      </c>
      <c r="H254" s="1125">
        <v>-6</v>
      </c>
      <c r="I254" s="1126">
        <v>28.220000171661376</v>
      </c>
      <c r="J254" s="1126">
        <v>97.520002746582037</v>
      </c>
      <c r="K254" s="1127">
        <v>74.119999313354498</v>
      </c>
      <c r="L254" s="1125">
        <v>2165.4</v>
      </c>
      <c r="M254" s="1125">
        <v>2721.6</v>
      </c>
      <c r="N254" s="1128">
        <v>46.220000171661376</v>
      </c>
      <c r="O254" s="1128">
        <v>55.040000343322752</v>
      </c>
      <c r="P254" s="1128">
        <v>53.959999656677248</v>
      </c>
      <c r="Q254" s="1128">
        <v>66.019999313354489</v>
      </c>
      <c r="R254" s="1128">
        <v>74.480000686645511</v>
      </c>
      <c r="S254" s="1128">
        <v>79.880000686645502</v>
      </c>
      <c r="T254" s="1128">
        <v>82.939998626708984</v>
      </c>
      <c r="U254" s="1128">
        <v>82.039998626708979</v>
      </c>
      <c r="V254" s="1128">
        <v>77.900000000000006</v>
      </c>
      <c r="W254" s="1128">
        <v>66.739998626708982</v>
      </c>
      <c r="X254" s="1128">
        <v>54.680000686645506</v>
      </c>
      <c r="Y254" s="1128">
        <v>50.540000343322752</v>
      </c>
      <c r="Z254" s="1128">
        <v>65.91791761398315</v>
      </c>
      <c r="AA254" s="1128">
        <f t="shared" si="225"/>
        <v>60.836659172628693</v>
      </c>
      <c r="AB254" s="1128">
        <f t="shared" si="226"/>
        <v>61.028188851574122</v>
      </c>
      <c r="AC254" s="1128">
        <f t="shared" si="227"/>
        <v>64.05829414824143</v>
      </c>
      <c r="AD254" s="1128">
        <f t="shared" si="228"/>
        <v>69.137131421718209</v>
      </c>
      <c r="AE254" s="1128">
        <f t="shared" si="229"/>
        <v>74.940823469421233</v>
      </c>
      <c r="AF254" s="1128">
        <f t="shared" si="230"/>
        <v>79.956548521514975</v>
      </c>
      <c r="AG254" s="1128">
        <f t="shared" si="231"/>
        <v>82.876880548508495</v>
      </c>
      <c r="AH254" s="1128">
        <f t="shared" si="232"/>
        <v>82.94059000388711</v>
      </c>
      <c r="AI254" s="1128">
        <f t="shared" si="233"/>
        <v>80.131070036313972</v>
      </c>
      <c r="AJ254" s="1128">
        <f t="shared" si="234"/>
        <v>75.18066532135029</v>
      </c>
      <c r="AK254" s="1128">
        <f t="shared" si="235"/>
        <v>69.379775135997221</v>
      </c>
      <c r="AL254" s="1128">
        <f t="shared" si="236"/>
        <v>64.240490901490716</v>
      </c>
      <c r="AM254" s="1125">
        <f t="shared" si="237"/>
        <v>1</v>
      </c>
      <c r="AN254" s="1125">
        <f t="shared" si="238"/>
        <v>1</v>
      </c>
      <c r="AO254" s="1125">
        <f t="shared" si="239"/>
        <v>1</v>
      </c>
      <c r="AP254" s="1125">
        <f t="shared" si="240"/>
        <v>0</v>
      </c>
      <c r="AQ254" s="1125">
        <f t="shared" si="241"/>
        <v>0</v>
      </c>
      <c r="AR254" s="1125">
        <f t="shared" si="242"/>
        <v>0</v>
      </c>
      <c r="AS254" s="1125">
        <f t="shared" si="243"/>
        <v>0</v>
      </c>
      <c r="AT254" s="1125">
        <f t="shared" si="244"/>
        <v>0</v>
      </c>
      <c r="AU254" s="1125">
        <f t="shared" si="245"/>
        <v>0</v>
      </c>
      <c r="AV254" s="1125">
        <f t="shared" si="246"/>
        <v>0</v>
      </c>
      <c r="AW254" s="1125">
        <f t="shared" si="247"/>
        <v>1</v>
      </c>
      <c r="AX254" s="1125">
        <f t="shared" si="248"/>
        <v>1</v>
      </c>
      <c r="AY254" s="1125">
        <f t="shared" si="249"/>
        <v>0</v>
      </c>
      <c r="AZ254" s="1125">
        <f t="shared" si="250"/>
        <v>0</v>
      </c>
      <c r="BA254" s="1125">
        <f t="shared" si="251"/>
        <v>0</v>
      </c>
      <c r="BB254" s="1125">
        <f t="shared" si="252"/>
        <v>1</v>
      </c>
      <c r="BC254" s="1125">
        <f t="shared" si="253"/>
        <v>1</v>
      </c>
      <c r="BD254" s="1125">
        <f t="shared" si="254"/>
        <v>1</v>
      </c>
      <c r="BE254" s="1125">
        <f t="shared" si="255"/>
        <v>1</v>
      </c>
      <c r="BF254" s="1125">
        <f t="shared" si="256"/>
        <v>1</v>
      </c>
      <c r="BG254" s="1125">
        <f t="shared" si="257"/>
        <v>1</v>
      </c>
      <c r="BH254" s="1125">
        <f t="shared" si="258"/>
        <v>1</v>
      </c>
      <c r="BI254" s="1125">
        <f t="shared" si="259"/>
        <v>0</v>
      </c>
      <c r="BJ254" s="1125">
        <f t="shared" si="260"/>
        <v>0</v>
      </c>
      <c r="BK254" s="1125">
        <f t="shared" si="261"/>
        <v>1</v>
      </c>
      <c r="BL254" s="1125">
        <f t="shared" si="262"/>
        <v>1</v>
      </c>
      <c r="BM254" s="1125">
        <f t="shared" si="263"/>
        <v>1</v>
      </c>
      <c r="BN254" s="1125">
        <f t="shared" si="264"/>
        <v>1</v>
      </c>
      <c r="BO254" s="1125">
        <f t="shared" si="265"/>
        <v>0</v>
      </c>
      <c r="BP254" s="1125">
        <f t="shared" si="266"/>
        <v>0</v>
      </c>
      <c r="BQ254" s="1125">
        <f t="shared" si="267"/>
        <v>0</v>
      </c>
      <c r="BR254" s="1125">
        <f t="shared" si="268"/>
        <v>0</v>
      </c>
      <c r="BS254" s="1125">
        <f t="shared" si="269"/>
        <v>0</v>
      </c>
      <c r="BT254" s="1125">
        <f t="shared" si="270"/>
        <v>0</v>
      </c>
      <c r="BU254" s="1125">
        <f t="shared" si="271"/>
        <v>1</v>
      </c>
      <c r="BV254" s="1125">
        <f t="shared" si="272"/>
        <v>1</v>
      </c>
      <c r="BW254" s="1125">
        <f t="shared" si="273"/>
        <v>0</v>
      </c>
      <c r="BX254" s="1125">
        <f t="shared" si="274"/>
        <v>0</v>
      </c>
      <c r="BY254" s="1125">
        <f t="shared" si="275"/>
        <v>1</v>
      </c>
      <c r="BZ254" s="1125">
        <f t="shared" si="276"/>
        <v>1</v>
      </c>
      <c r="CA254" s="1125">
        <f t="shared" si="277"/>
        <v>1</v>
      </c>
      <c r="CB254" s="1125">
        <f t="shared" si="278"/>
        <v>1</v>
      </c>
      <c r="CC254" s="1125">
        <f t="shared" si="279"/>
        <v>1</v>
      </c>
      <c r="CD254" s="1125">
        <f t="shared" si="280"/>
        <v>1</v>
      </c>
      <c r="CE254" s="1125">
        <f t="shared" si="281"/>
        <v>1</v>
      </c>
      <c r="CF254" s="1125">
        <f t="shared" si="282"/>
        <v>1</v>
      </c>
      <c r="CG254" s="1125">
        <f t="shared" si="283"/>
        <v>1</v>
      </c>
      <c r="CH254" s="1125">
        <f t="shared" si="284"/>
        <v>0</v>
      </c>
      <c r="CI254" s="1125">
        <f t="shared" si="285"/>
        <v>0.85</v>
      </c>
      <c r="CJ254" s="1125">
        <f t="shared" si="286"/>
        <v>0.85</v>
      </c>
      <c r="CK254" s="1125">
        <f t="shared" si="287"/>
        <v>0.85</v>
      </c>
      <c r="CL254" s="1125">
        <f t="shared" si="288"/>
        <v>0.85</v>
      </c>
      <c r="CM254" s="1125">
        <f t="shared" si="289"/>
        <v>0.7</v>
      </c>
      <c r="CN254" s="1125">
        <f t="shared" si="290"/>
        <v>0.7</v>
      </c>
      <c r="CO254" s="1125">
        <f t="shared" si="291"/>
        <v>0.7</v>
      </c>
      <c r="CP254" s="1125">
        <f t="shared" si="292"/>
        <v>0.7</v>
      </c>
      <c r="CQ254" s="1125">
        <f t="shared" si="293"/>
        <v>0.7</v>
      </c>
      <c r="CR254" s="1125">
        <f t="shared" si="294"/>
        <v>0.7</v>
      </c>
      <c r="CS254" s="1125">
        <f t="shared" si="295"/>
        <v>0.85</v>
      </c>
      <c r="CT254" s="1125">
        <f t="shared" si="296"/>
        <v>0.85</v>
      </c>
      <c r="CU254" s="1125">
        <v>1</v>
      </c>
      <c r="CV254" s="1125"/>
      <c r="CW254" s="1125">
        <f t="shared" si="297"/>
        <v>275</v>
      </c>
      <c r="CX254" s="1125">
        <f t="shared" si="298"/>
        <v>90</v>
      </c>
      <c r="CY254" s="1135" t="s">
        <v>4883</v>
      </c>
      <c r="CZ254" s="1124" t="s">
        <v>4884</v>
      </c>
      <c r="DA254" s="1124"/>
      <c r="DB254" s="1124"/>
      <c r="DC254" s="1120" t="s">
        <v>5587</v>
      </c>
      <c r="DD254" s="1120" t="s">
        <v>228</v>
      </c>
      <c r="DE254" s="1120" t="str">
        <f t="shared" si="299"/>
        <v/>
      </c>
      <c r="DF254" s="1133">
        <v>0</v>
      </c>
      <c r="DG254" s="1120">
        <v>0</v>
      </c>
    </row>
    <row r="255" spans="1:111">
      <c r="A255" s="1125" t="s">
        <v>3308</v>
      </c>
      <c r="B255" s="1120" t="s">
        <v>4260</v>
      </c>
      <c r="C255" s="1120" t="s">
        <v>4261</v>
      </c>
      <c r="D255" s="1120" t="s">
        <v>539</v>
      </c>
      <c r="E255" s="1120">
        <v>1814</v>
      </c>
      <c r="F255" s="1120">
        <v>-78.900000000000006</v>
      </c>
      <c r="G255" s="1120">
        <v>41.18</v>
      </c>
      <c r="H255" s="1120">
        <v>-5</v>
      </c>
      <c r="I255" s="1121">
        <v>4.9999999999999991</v>
      </c>
      <c r="J255" s="1121">
        <v>82.760001373291018</v>
      </c>
      <c r="K255" s="1122">
        <v>68.539998626708979</v>
      </c>
      <c r="L255" s="1120">
        <v>6746.4000000000005</v>
      </c>
      <c r="M255" s="1120">
        <v>394.2</v>
      </c>
      <c r="N255" s="1123">
        <v>27.5</v>
      </c>
      <c r="O255" s="1123">
        <v>25.339999914169312</v>
      </c>
      <c r="P255" s="1123">
        <v>37.579999828338622</v>
      </c>
      <c r="Q255" s="1123">
        <v>44.779999828338624</v>
      </c>
      <c r="R255" s="1123">
        <v>53.6</v>
      </c>
      <c r="S255" s="1123">
        <v>66.019999313354489</v>
      </c>
      <c r="T255" s="1123">
        <v>64.400000000000006</v>
      </c>
      <c r="U255" s="1123">
        <v>69.980000686645511</v>
      </c>
      <c r="V255" s="1123">
        <v>58.1</v>
      </c>
      <c r="W255" s="1123">
        <v>50.180000686645506</v>
      </c>
      <c r="X255" s="1123">
        <v>35.779999828338624</v>
      </c>
      <c r="Y255" s="1123">
        <v>29.119999957084655</v>
      </c>
      <c r="Z255" s="1123">
        <v>46.994739733199552</v>
      </c>
      <c r="AA255" s="1123">
        <f t="shared" si="225"/>
        <v>44.817450068814779</v>
      </c>
      <c r="AB255" s="1123">
        <f t="shared" si="226"/>
        <v>43.404026951603974</v>
      </c>
      <c r="AC255" s="1123">
        <f t="shared" si="227"/>
        <v>44.490570918273811</v>
      </c>
      <c r="AD255" s="1123">
        <f t="shared" si="228"/>
        <v>47.793857539762428</v>
      </c>
      <c r="AE255" s="1123">
        <f t="shared" si="229"/>
        <v>52.452834252991096</v>
      </c>
      <c r="AF255" s="1123">
        <f t="shared" si="230"/>
        <v>57.253066980652321</v>
      </c>
      <c r="AG255" s="1123">
        <f t="shared" si="231"/>
        <v>60.943301088455726</v>
      </c>
      <c r="AH255" s="1123">
        <f t="shared" si="232"/>
        <v>62.561620187973347</v>
      </c>
      <c r="AI255" s="1123">
        <f t="shared" si="233"/>
        <v>61.6861844668637</v>
      </c>
      <c r="AJ255" s="1123">
        <f t="shared" si="234"/>
        <v>58.545189736706838</v>
      </c>
      <c r="AK255" s="1123">
        <f t="shared" si="235"/>
        <v>53.957384678112128</v>
      </c>
      <c r="AL255" s="1123">
        <f t="shared" si="236"/>
        <v>49.11865137981831</v>
      </c>
      <c r="AM255" s="1120">
        <f t="shared" si="237"/>
        <v>1</v>
      </c>
      <c r="AN255" s="1120">
        <f t="shared" si="238"/>
        <v>1</v>
      </c>
      <c r="AO255" s="1120">
        <f t="shared" si="239"/>
        <v>1</v>
      </c>
      <c r="AP255" s="1120">
        <f t="shared" si="240"/>
        <v>1</v>
      </c>
      <c r="AQ255" s="1120">
        <f t="shared" si="241"/>
        <v>1</v>
      </c>
      <c r="AR255" s="1120">
        <f t="shared" si="242"/>
        <v>0</v>
      </c>
      <c r="AS255" s="1120">
        <f t="shared" si="243"/>
        <v>1</v>
      </c>
      <c r="AT255" s="1120">
        <f t="shared" si="244"/>
        <v>0</v>
      </c>
      <c r="AU255" s="1120">
        <f t="shared" si="245"/>
        <v>1</v>
      </c>
      <c r="AV255" s="1120">
        <f t="shared" si="246"/>
        <v>1</v>
      </c>
      <c r="AW255" s="1120">
        <f t="shared" si="247"/>
        <v>1</v>
      </c>
      <c r="AX255" s="1120">
        <f t="shared" si="248"/>
        <v>1</v>
      </c>
      <c r="AY255" s="1120">
        <f t="shared" si="249"/>
        <v>0</v>
      </c>
      <c r="AZ255" s="1120">
        <f t="shared" si="250"/>
        <v>0</v>
      </c>
      <c r="BA255" s="1120">
        <f t="shared" si="251"/>
        <v>0</v>
      </c>
      <c r="BB255" s="1120">
        <f t="shared" si="252"/>
        <v>0</v>
      </c>
      <c r="BC255" s="1120">
        <f t="shared" si="253"/>
        <v>0</v>
      </c>
      <c r="BD255" s="1120">
        <f t="shared" si="254"/>
        <v>1</v>
      </c>
      <c r="BE255" s="1120">
        <f t="shared" si="255"/>
        <v>1</v>
      </c>
      <c r="BF255" s="1120">
        <f t="shared" si="256"/>
        <v>1</v>
      </c>
      <c r="BG255" s="1120">
        <f t="shared" si="257"/>
        <v>0</v>
      </c>
      <c r="BH255" s="1120">
        <f t="shared" si="258"/>
        <v>0</v>
      </c>
      <c r="BI255" s="1120">
        <f t="shared" si="259"/>
        <v>0</v>
      </c>
      <c r="BJ255" s="1120">
        <f t="shared" si="260"/>
        <v>0</v>
      </c>
      <c r="BK255" s="1120">
        <f t="shared" si="261"/>
        <v>1</v>
      </c>
      <c r="BL255" s="1120">
        <f t="shared" si="262"/>
        <v>1</v>
      </c>
      <c r="BM255" s="1120">
        <f t="shared" si="263"/>
        <v>1</v>
      </c>
      <c r="BN255" s="1120">
        <f t="shared" si="264"/>
        <v>1</v>
      </c>
      <c r="BO255" s="1120">
        <f t="shared" si="265"/>
        <v>1</v>
      </c>
      <c r="BP255" s="1120">
        <f t="shared" si="266"/>
        <v>1</v>
      </c>
      <c r="BQ255" s="1120">
        <f t="shared" si="267"/>
        <v>1</v>
      </c>
      <c r="BR255" s="1120">
        <f t="shared" si="268"/>
        <v>0</v>
      </c>
      <c r="BS255" s="1120">
        <f t="shared" si="269"/>
        <v>1</v>
      </c>
      <c r="BT255" s="1120">
        <f t="shared" si="270"/>
        <v>1</v>
      </c>
      <c r="BU255" s="1120">
        <f t="shared" si="271"/>
        <v>1</v>
      </c>
      <c r="BV255" s="1120">
        <f t="shared" si="272"/>
        <v>1</v>
      </c>
      <c r="BW255" s="1120">
        <f t="shared" si="273"/>
        <v>0</v>
      </c>
      <c r="BX255" s="1120">
        <f t="shared" si="274"/>
        <v>0</v>
      </c>
      <c r="BY255" s="1120">
        <f t="shared" si="275"/>
        <v>0</v>
      </c>
      <c r="BZ255" s="1120">
        <f t="shared" si="276"/>
        <v>0</v>
      </c>
      <c r="CA255" s="1120">
        <f t="shared" si="277"/>
        <v>1</v>
      </c>
      <c r="CB255" s="1120">
        <f t="shared" si="278"/>
        <v>1</v>
      </c>
      <c r="CC255" s="1120">
        <f t="shared" si="279"/>
        <v>1</v>
      </c>
      <c r="CD255" s="1120">
        <f t="shared" si="280"/>
        <v>1</v>
      </c>
      <c r="CE255" s="1120">
        <f t="shared" si="281"/>
        <v>1</v>
      </c>
      <c r="CF255" s="1120">
        <f t="shared" si="282"/>
        <v>0</v>
      </c>
      <c r="CG255" s="1120">
        <f t="shared" si="283"/>
        <v>0</v>
      </c>
      <c r="CH255" s="1120">
        <f t="shared" si="284"/>
        <v>0</v>
      </c>
      <c r="CI255" s="1120">
        <f t="shared" si="285"/>
        <v>0.85</v>
      </c>
      <c r="CJ255" s="1120">
        <f t="shared" si="286"/>
        <v>0.85</v>
      </c>
      <c r="CK255" s="1120">
        <f t="shared" si="287"/>
        <v>0.85</v>
      </c>
      <c r="CL255" s="1120">
        <f t="shared" si="288"/>
        <v>0.85</v>
      </c>
      <c r="CM255" s="1120">
        <f t="shared" si="289"/>
        <v>0.85</v>
      </c>
      <c r="CN255" s="1120">
        <f t="shared" si="290"/>
        <v>0.85</v>
      </c>
      <c r="CO255" s="1120">
        <f t="shared" si="291"/>
        <v>0.85</v>
      </c>
      <c r="CP255" s="1120">
        <f t="shared" si="292"/>
        <v>0.7</v>
      </c>
      <c r="CQ255" s="1120">
        <f t="shared" si="293"/>
        <v>0.85</v>
      </c>
      <c r="CR255" s="1120">
        <f t="shared" si="294"/>
        <v>0.85</v>
      </c>
      <c r="CS255" s="1120">
        <f t="shared" si="295"/>
        <v>0.85</v>
      </c>
      <c r="CT255" s="1120">
        <f t="shared" si="296"/>
        <v>0.85</v>
      </c>
      <c r="CU255" s="1120">
        <v>1</v>
      </c>
      <c r="CV255" s="1120"/>
      <c r="CW255" s="1120">
        <f t="shared" si="297"/>
        <v>153</v>
      </c>
      <c r="CX255" s="1120">
        <f t="shared" si="298"/>
        <v>212</v>
      </c>
      <c r="CY255" s="1135" t="s">
        <v>4889</v>
      </c>
      <c r="CZ255" s="1124" t="s">
        <v>4897</v>
      </c>
      <c r="DA255" s="1124"/>
      <c r="DB255" s="1124"/>
      <c r="DC255" s="1120" t="s">
        <v>5532</v>
      </c>
      <c r="DD255" s="1120" t="s">
        <v>539</v>
      </c>
      <c r="DE255" s="1120" t="str">
        <f t="shared" si="299"/>
        <v/>
      </c>
      <c r="DF255" s="1133">
        <v>0</v>
      </c>
      <c r="DG255" s="1125">
        <v>0</v>
      </c>
    </row>
    <row r="256" spans="1:111">
      <c r="A256" s="1120" t="s">
        <v>3310</v>
      </c>
      <c r="B256" s="1125" t="s">
        <v>3432</v>
      </c>
      <c r="C256" s="1125" t="s">
        <v>3433</v>
      </c>
      <c r="D256" s="1125" t="s">
        <v>566</v>
      </c>
      <c r="E256" s="1125">
        <v>1056</v>
      </c>
      <c r="F256" s="1125">
        <v>-90.7</v>
      </c>
      <c r="G256" s="1125">
        <v>42.4</v>
      </c>
      <c r="H256" s="1125">
        <v>-6</v>
      </c>
      <c r="I256" s="1126">
        <v>-2.5600013732910165</v>
      </c>
      <c r="J256" s="1126">
        <v>86.360001373291013</v>
      </c>
      <c r="K256" s="1127">
        <v>73.400000000000006</v>
      </c>
      <c r="L256" s="1125">
        <v>7327.8</v>
      </c>
      <c r="M256" s="1125">
        <v>585</v>
      </c>
      <c r="N256" s="1128">
        <v>16.340000343322753</v>
      </c>
      <c r="O256" s="1128">
        <v>23</v>
      </c>
      <c r="P256" s="1128">
        <v>35.060000085830687</v>
      </c>
      <c r="Q256" s="1128">
        <v>43.7</v>
      </c>
      <c r="R256" s="1128">
        <v>57.380000686645509</v>
      </c>
      <c r="S256" s="1128">
        <v>68.900000000000006</v>
      </c>
      <c r="T256" s="1128">
        <v>69.439998626708984</v>
      </c>
      <c r="U256" s="1128">
        <v>70.16000137329101</v>
      </c>
      <c r="V256" s="1128">
        <v>63.86000137329102</v>
      </c>
      <c r="W256" s="1128">
        <v>50</v>
      </c>
      <c r="X256" s="1128">
        <v>29.119999957084655</v>
      </c>
      <c r="Y256" s="1128">
        <v>22.459999656677248</v>
      </c>
      <c r="Z256" s="1128">
        <v>45.910794695501458</v>
      </c>
      <c r="AA256" s="1128">
        <f t="shared" si="225"/>
        <v>42.412205946044708</v>
      </c>
      <c r="AB256" s="1128">
        <f t="shared" si="226"/>
        <v>40.64853306270517</v>
      </c>
      <c r="AC256" s="1128">
        <f t="shared" si="227"/>
        <v>41.820542230659264</v>
      </c>
      <c r="AD256" s="1128">
        <f t="shared" si="228"/>
        <v>45.622731199071765</v>
      </c>
      <c r="AE256" s="1128">
        <f t="shared" si="229"/>
        <v>51.06400081982035</v>
      </c>
      <c r="AF256" s="1128">
        <f t="shared" si="230"/>
        <v>56.726000313753843</v>
      </c>
      <c r="AG256" s="1128">
        <f t="shared" si="231"/>
        <v>61.13284225872512</v>
      </c>
      <c r="AH256" s="1128">
        <f t="shared" si="232"/>
        <v>63.135815390287377</v>
      </c>
      <c r="AI256" s="1128">
        <f t="shared" si="233"/>
        <v>62.212813894948638</v>
      </c>
      <c r="AJ256" s="1128">
        <f t="shared" si="234"/>
        <v>58.604432336352538</v>
      </c>
      <c r="AK256" s="1128">
        <f t="shared" si="235"/>
        <v>53.251250974590178</v>
      </c>
      <c r="AL256" s="1128">
        <f t="shared" si="236"/>
        <v>47.54865902662678</v>
      </c>
      <c r="AM256" s="1125">
        <f t="shared" si="237"/>
        <v>1</v>
      </c>
      <c r="AN256" s="1125">
        <f t="shared" si="238"/>
        <v>1</v>
      </c>
      <c r="AO256" s="1125">
        <f t="shared" si="239"/>
        <v>1</v>
      </c>
      <c r="AP256" s="1125">
        <f t="shared" si="240"/>
        <v>1</v>
      </c>
      <c r="AQ256" s="1125">
        <f t="shared" si="241"/>
        <v>1</v>
      </c>
      <c r="AR256" s="1125">
        <f t="shared" si="242"/>
        <v>0</v>
      </c>
      <c r="AS256" s="1125">
        <f t="shared" si="243"/>
        <v>0</v>
      </c>
      <c r="AT256" s="1125">
        <f t="shared" si="244"/>
        <v>0</v>
      </c>
      <c r="AU256" s="1125">
        <f t="shared" si="245"/>
        <v>1</v>
      </c>
      <c r="AV256" s="1125">
        <f t="shared" si="246"/>
        <v>1</v>
      </c>
      <c r="AW256" s="1125">
        <f t="shared" si="247"/>
        <v>1</v>
      </c>
      <c r="AX256" s="1125">
        <f t="shared" si="248"/>
        <v>1</v>
      </c>
      <c r="AY256" s="1125">
        <f t="shared" si="249"/>
        <v>0</v>
      </c>
      <c r="AZ256" s="1125">
        <f t="shared" si="250"/>
        <v>0</v>
      </c>
      <c r="BA256" s="1125">
        <f t="shared" si="251"/>
        <v>0</v>
      </c>
      <c r="BB256" s="1125">
        <f t="shared" si="252"/>
        <v>0</v>
      </c>
      <c r="BC256" s="1125">
        <f t="shared" si="253"/>
        <v>0</v>
      </c>
      <c r="BD256" s="1125">
        <f t="shared" si="254"/>
        <v>1</v>
      </c>
      <c r="BE256" s="1125">
        <f t="shared" si="255"/>
        <v>1</v>
      </c>
      <c r="BF256" s="1125">
        <f t="shared" si="256"/>
        <v>1</v>
      </c>
      <c r="BG256" s="1125">
        <f t="shared" si="257"/>
        <v>0</v>
      </c>
      <c r="BH256" s="1125">
        <f t="shared" si="258"/>
        <v>0</v>
      </c>
      <c r="BI256" s="1125">
        <f t="shared" si="259"/>
        <v>0</v>
      </c>
      <c r="BJ256" s="1125">
        <f t="shared" si="260"/>
        <v>0</v>
      </c>
      <c r="BK256" s="1125">
        <f t="shared" si="261"/>
        <v>1</v>
      </c>
      <c r="BL256" s="1125">
        <f t="shared" si="262"/>
        <v>1</v>
      </c>
      <c r="BM256" s="1125">
        <f t="shared" si="263"/>
        <v>1</v>
      </c>
      <c r="BN256" s="1125">
        <f t="shared" si="264"/>
        <v>1</v>
      </c>
      <c r="BO256" s="1125">
        <f t="shared" si="265"/>
        <v>1</v>
      </c>
      <c r="BP256" s="1125">
        <f t="shared" si="266"/>
        <v>1</v>
      </c>
      <c r="BQ256" s="1125">
        <f t="shared" si="267"/>
        <v>0</v>
      </c>
      <c r="BR256" s="1125">
        <f t="shared" si="268"/>
        <v>0</v>
      </c>
      <c r="BS256" s="1125">
        <f t="shared" si="269"/>
        <v>1</v>
      </c>
      <c r="BT256" s="1125">
        <f t="shared" si="270"/>
        <v>1</v>
      </c>
      <c r="BU256" s="1125">
        <f t="shared" si="271"/>
        <v>1</v>
      </c>
      <c r="BV256" s="1125">
        <f t="shared" si="272"/>
        <v>1</v>
      </c>
      <c r="BW256" s="1125">
        <f t="shared" si="273"/>
        <v>0</v>
      </c>
      <c r="BX256" s="1125">
        <f t="shared" si="274"/>
        <v>0</v>
      </c>
      <c r="BY256" s="1125">
        <f t="shared" si="275"/>
        <v>0</v>
      </c>
      <c r="BZ256" s="1125">
        <f t="shared" si="276"/>
        <v>0</v>
      </c>
      <c r="CA256" s="1125">
        <f t="shared" si="277"/>
        <v>1</v>
      </c>
      <c r="CB256" s="1125">
        <f t="shared" si="278"/>
        <v>1</v>
      </c>
      <c r="CC256" s="1125">
        <f t="shared" si="279"/>
        <v>1</v>
      </c>
      <c r="CD256" s="1125">
        <f t="shared" si="280"/>
        <v>1</v>
      </c>
      <c r="CE256" s="1125">
        <f t="shared" si="281"/>
        <v>1</v>
      </c>
      <c r="CF256" s="1125">
        <f t="shared" si="282"/>
        <v>0</v>
      </c>
      <c r="CG256" s="1125">
        <f t="shared" si="283"/>
        <v>0</v>
      </c>
      <c r="CH256" s="1125">
        <f t="shared" si="284"/>
        <v>0</v>
      </c>
      <c r="CI256" s="1125">
        <f t="shared" si="285"/>
        <v>0.85</v>
      </c>
      <c r="CJ256" s="1125">
        <f t="shared" si="286"/>
        <v>0.85</v>
      </c>
      <c r="CK256" s="1125">
        <f t="shared" si="287"/>
        <v>0.85</v>
      </c>
      <c r="CL256" s="1125">
        <f t="shared" si="288"/>
        <v>0.85</v>
      </c>
      <c r="CM256" s="1125">
        <f t="shared" si="289"/>
        <v>0.85</v>
      </c>
      <c r="CN256" s="1125">
        <f t="shared" si="290"/>
        <v>0.85</v>
      </c>
      <c r="CO256" s="1125">
        <f t="shared" si="291"/>
        <v>0.7</v>
      </c>
      <c r="CP256" s="1125">
        <f t="shared" si="292"/>
        <v>0.7</v>
      </c>
      <c r="CQ256" s="1125">
        <f t="shared" si="293"/>
        <v>0.85</v>
      </c>
      <c r="CR256" s="1125">
        <f t="shared" si="294"/>
        <v>0.85</v>
      </c>
      <c r="CS256" s="1125">
        <f t="shared" si="295"/>
        <v>0.85</v>
      </c>
      <c r="CT256" s="1125">
        <f t="shared" si="296"/>
        <v>0.85</v>
      </c>
      <c r="CU256" s="1125">
        <v>1</v>
      </c>
      <c r="CV256" s="1125"/>
      <c r="CW256" s="1125">
        <f t="shared" si="297"/>
        <v>153</v>
      </c>
      <c r="CX256" s="1125">
        <f t="shared" si="298"/>
        <v>212</v>
      </c>
      <c r="CY256" s="1136" t="s">
        <v>4889</v>
      </c>
      <c r="CZ256" s="1129" t="s">
        <v>4897</v>
      </c>
      <c r="DA256" s="1129"/>
      <c r="DB256" s="1129"/>
      <c r="DC256" s="1125" t="s">
        <v>5171</v>
      </c>
      <c r="DD256" s="1125" t="s">
        <v>566</v>
      </c>
      <c r="DE256" s="1120" t="str">
        <f t="shared" si="299"/>
        <v/>
      </c>
      <c r="DF256" s="1133">
        <v>0</v>
      </c>
      <c r="DG256" s="1120">
        <v>0</v>
      </c>
    </row>
    <row r="257" spans="1:111">
      <c r="A257" s="1125" t="s">
        <v>5834</v>
      </c>
      <c r="B257" s="1120" t="s">
        <v>3783</v>
      </c>
      <c r="C257" s="1120" t="s">
        <v>3784</v>
      </c>
      <c r="D257" s="1120" t="s">
        <v>934</v>
      </c>
      <c r="E257" s="1120">
        <v>1420</v>
      </c>
      <c r="F257" s="1120">
        <v>-92.22</v>
      </c>
      <c r="G257" s="1120">
        <v>46.83</v>
      </c>
      <c r="H257" s="1120">
        <v>-6</v>
      </c>
      <c r="I257" s="1121">
        <v>-13.719999313354494</v>
      </c>
      <c r="J257" s="1121">
        <v>81.139998626708987</v>
      </c>
      <c r="K257" s="1122">
        <v>67.460001373291021</v>
      </c>
      <c r="L257" s="1120">
        <v>9370.8000000000011</v>
      </c>
      <c r="M257" s="1120">
        <v>185.4</v>
      </c>
      <c r="N257" s="1123">
        <v>8.6</v>
      </c>
      <c r="O257" s="1123">
        <v>17.240000343322752</v>
      </c>
      <c r="P257" s="1123">
        <v>27.320000171661377</v>
      </c>
      <c r="Q257" s="1123">
        <v>39.200000000000003</v>
      </c>
      <c r="R257" s="1123">
        <v>54.319999313354494</v>
      </c>
      <c r="S257" s="1123">
        <v>61.160001373291017</v>
      </c>
      <c r="T257" s="1123">
        <v>64.039998626708979</v>
      </c>
      <c r="U257" s="1123">
        <v>63.5</v>
      </c>
      <c r="V257" s="1123">
        <v>55.219999313354492</v>
      </c>
      <c r="W257" s="1123">
        <v>42.8</v>
      </c>
      <c r="X257" s="1123">
        <v>23.9</v>
      </c>
      <c r="Y257" s="1123">
        <v>12.019999313354491</v>
      </c>
      <c r="Z257" s="1123">
        <v>39.226630001068116</v>
      </c>
      <c r="AA257" s="1123">
        <f t="shared" si="225"/>
        <v>37.661217559541733</v>
      </c>
      <c r="AB257" s="1123">
        <f t="shared" si="226"/>
        <v>35.59959518854658</v>
      </c>
      <c r="AC257" s="1123">
        <f t="shared" si="227"/>
        <v>36.047407798532355</v>
      </c>
      <c r="AD257" s="1123">
        <f t="shared" si="228"/>
        <v>38.887926131705058</v>
      </c>
      <c r="AE257" s="1123">
        <f t="shared" si="229"/>
        <v>43.380725310810689</v>
      </c>
      <c r="AF257" s="1123">
        <f t="shared" si="230"/>
        <v>48.354687993684259</v>
      </c>
      <c r="AG257" s="1123">
        <f t="shared" si="231"/>
        <v>52.513274155949617</v>
      </c>
      <c r="AH257" s="1123">
        <f t="shared" si="232"/>
        <v>54.772484228659678</v>
      </c>
      <c r="AI257" s="1123">
        <f t="shared" si="233"/>
        <v>54.543420290881485</v>
      </c>
      <c r="AJ257" s="1123">
        <f t="shared" si="234"/>
        <v>51.885791387979062</v>
      </c>
      <c r="AK257" s="1123">
        <f t="shared" si="235"/>
        <v>47.492349448795025</v>
      </c>
      <c r="AL257" s="1123">
        <f t="shared" si="236"/>
        <v>42.508312819767397</v>
      </c>
      <c r="AM257" s="1120">
        <f t="shared" si="237"/>
        <v>1</v>
      </c>
      <c r="AN257" s="1120">
        <f t="shared" si="238"/>
        <v>1</v>
      </c>
      <c r="AO257" s="1120">
        <f t="shared" si="239"/>
        <v>1</v>
      </c>
      <c r="AP257" s="1120">
        <f t="shared" si="240"/>
        <v>1</v>
      </c>
      <c r="AQ257" s="1120">
        <f t="shared" si="241"/>
        <v>1</v>
      </c>
      <c r="AR257" s="1120">
        <f t="shared" si="242"/>
        <v>1</v>
      </c>
      <c r="AS257" s="1120">
        <f t="shared" si="243"/>
        <v>1</v>
      </c>
      <c r="AT257" s="1120">
        <f t="shared" si="244"/>
        <v>1</v>
      </c>
      <c r="AU257" s="1120">
        <f t="shared" si="245"/>
        <v>1</v>
      </c>
      <c r="AV257" s="1120">
        <f t="shared" si="246"/>
        <v>1</v>
      </c>
      <c r="AW257" s="1120">
        <f t="shared" si="247"/>
        <v>1</v>
      </c>
      <c r="AX257" s="1120">
        <f t="shared" si="248"/>
        <v>1</v>
      </c>
      <c r="AY257" s="1120">
        <f t="shared" si="249"/>
        <v>0</v>
      </c>
      <c r="AZ257" s="1120">
        <f t="shared" si="250"/>
        <v>0</v>
      </c>
      <c r="BA257" s="1120">
        <f t="shared" si="251"/>
        <v>0</v>
      </c>
      <c r="BB257" s="1120">
        <f t="shared" si="252"/>
        <v>0</v>
      </c>
      <c r="BC257" s="1120">
        <f t="shared" si="253"/>
        <v>0</v>
      </c>
      <c r="BD257" s="1120">
        <f t="shared" si="254"/>
        <v>0</v>
      </c>
      <c r="BE257" s="1120">
        <f t="shared" si="255"/>
        <v>1</v>
      </c>
      <c r="BF257" s="1120">
        <f t="shared" si="256"/>
        <v>1</v>
      </c>
      <c r="BG257" s="1120">
        <f t="shared" si="257"/>
        <v>0</v>
      </c>
      <c r="BH257" s="1120">
        <f t="shared" si="258"/>
        <v>0</v>
      </c>
      <c r="BI257" s="1120">
        <f t="shared" si="259"/>
        <v>0</v>
      </c>
      <c r="BJ257" s="1120">
        <f t="shared" si="260"/>
        <v>0</v>
      </c>
      <c r="BK257" s="1120">
        <f t="shared" si="261"/>
        <v>1</v>
      </c>
      <c r="BL257" s="1120">
        <f t="shared" si="262"/>
        <v>1</v>
      </c>
      <c r="BM257" s="1120">
        <f t="shared" si="263"/>
        <v>1</v>
      </c>
      <c r="BN257" s="1120">
        <f t="shared" si="264"/>
        <v>1</v>
      </c>
      <c r="BO257" s="1120">
        <f t="shared" si="265"/>
        <v>1</v>
      </c>
      <c r="BP257" s="1120">
        <f t="shared" si="266"/>
        <v>1</v>
      </c>
      <c r="BQ257" s="1120">
        <f t="shared" si="267"/>
        <v>1</v>
      </c>
      <c r="BR257" s="1120">
        <f t="shared" si="268"/>
        <v>1</v>
      </c>
      <c r="BS257" s="1120">
        <f t="shared" si="269"/>
        <v>1</v>
      </c>
      <c r="BT257" s="1120">
        <f t="shared" si="270"/>
        <v>1</v>
      </c>
      <c r="BU257" s="1120">
        <f t="shared" si="271"/>
        <v>1</v>
      </c>
      <c r="BV257" s="1120">
        <f t="shared" si="272"/>
        <v>1</v>
      </c>
      <c r="BW257" s="1120">
        <f t="shared" si="273"/>
        <v>0</v>
      </c>
      <c r="BX257" s="1120">
        <f t="shared" si="274"/>
        <v>0</v>
      </c>
      <c r="BY257" s="1120">
        <f t="shared" si="275"/>
        <v>0</v>
      </c>
      <c r="BZ257" s="1120">
        <f t="shared" si="276"/>
        <v>0</v>
      </c>
      <c r="CA257" s="1120">
        <f t="shared" si="277"/>
        <v>0</v>
      </c>
      <c r="CB257" s="1120">
        <f t="shared" si="278"/>
        <v>0</v>
      </c>
      <c r="CC257" s="1120">
        <f t="shared" si="279"/>
        <v>1</v>
      </c>
      <c r="CD257" s="1120">
        <f t="shared" si="280"/>
        <v>1</v>
      </c>
      <c r="CE257" s="1120">
        <f t="shared" si="281"/>
        <v>0</v>
      </c>
      <c r="CF257" s="1120">
        <f t="shared" si="282"/>
        <v>0</v>
      </c>
      <c r="CG257" s="1120">
        <f t="shared" si="283"/>
        <v>0</v>
      </c>
      <c r="CH257" s="1120">
        <f t="shared" si="284"/>
        <v>0</v>
      </c>
      <c r="CI257" s="1120">
        <f t="shared" si="285"/>
        <v>0.85</v>
      </c>
      <c r="CJ257" s="1120">
        <f t="shared" si="286"/>
        <v>0.85</v>
      </c>
      <c r="CK257" s="1120">
        <f t="shared" si="287"/>
        <v>0.85</v>
      </c>
      <c r="CL257" s="1120">
        <f t="shared" si="288"/>
        <v>0.85</v>
      </c>
      <c r="CM257" s="1120">
        <f t="shared" si="289"/>
        <v>0.85</v>
      </c>
      <c r="CN257" s="1120">
        <f t="shared" si="290"/>
        <v>0.85</v>
      </c>
      <c r="CO257" s="1120">
        <f t="shared" si="291"/>
        <v>0.85</v>
      </c>
      <c r="CP257" s="1120">
        <f t="shared" si="292"/>
        <v>0.85</v>
      </c>
      <c r="CQ257" s="1120">
        <f t="shared" si="293"/>
        <v>0.85</v>
      </c>
      <c r="CR257" s="1120">
        <f t="shared" si="294"/>
        <v>0.85</v>
      </c>
      <c r="CS257" s="1120">
        <f t="shared" si="295"/>
        <v>0.85</v>
      </c>
      <c r="CT257" s="1120">
        <f t="shared" si="296"/>
        <v>0.85</v>
      </c>
      <c r="CU257" s="1120">
        <v>1</v>
      </c>
      <c r="CV257" s="1120"/>
      <c r="CW257" s="1120">
        <f t="shared" si="297"/>
        <v>62</v>
      </c>
      <c r="CX257" s="1120">
        <f t="shared" si="298"/>
        <v>303</v>
      </c>
      <c r="CY257" s="1135" t="s">
        <v>4879</v>
      </c>
      <c r="CZ257" s="1124">
        <v>7</v>
      </c>
      <c r="DA257" s="1124"/>
      <c r="DB257" s="1124"/>
      <c r="DC257" s="1120" t="s">
        <v>5327</v>
      </c>
      <c r="DD257" s="1120" t="s">
        <v>934</v>
      </c>
      <c r="DE257" s="1120" t="str">
        <f t="shared" si="299"/>
        <v/>
      </c>
      <c r="DF257" s="1133">
        <v>0</v>
      </c>
      <c r="DG257" s="1125">
        <v>0</v>
      </c>
    </row>
    <row r="258" spans="1:111">
      <c r="A258" s="1120" t="s">
        <v>3314</v>
      </c>
      <c r="B258" s="1125" t="s">
        <v>3226</v>
      </c>
      <c r="C258" s="1125" t="s">
        <v>3227</v>
      </c>
      <c r="D258" s="1125" t="s">
        <v>536</v>
      </c>
      <c r="E258" s="1125">
        <v>6685</v>
      </c>
      <c r="F258" s="1125">
        <v>-107.75</v>
      </c>
      <c r="G258" s="1125">
        <v>37.15</v>
      </c>
      <c r="H258" s="1125">
        <v>-7</v>
      </c>
      <c r="I258" s="1126">
        <v>7.3400003433227532</v>
      </c>
      <c r="J258" s="1126">
        <v>88.16000137329101</v>
      </c>
      <c r="K258" s="1127">
        <v>57.019999313354489</v>
      </c>
      <c r="L258" s="1125">
        <v>6883.2</v>
      </c>
      <c r="M258" s="1125">
        <v>370.8</v>
      </c>
      <c r="N258" s="1128">
        <v>23.720000171661376</v>
      </c>
      <c r="O258" s="1128">
        <v>26.779999828338624</v>
      </c>
      <c r="P258" s="1128">
        <v>37.220000171661376</v>
      </c>
      <c r="Q258" s="1128">
        <v>45.859999656677246</v>
      </c>
      <c r="R258" s="1128">
        <v>51.619999313354491</v>
      </c>
      <c r="S258" s="1128">
        <v>64.939998626708984</v>
      </c>
      <c r="T258" s="1128">
        <v>69.980000686645511</v>
      </c>
      <c r="U258" s="1128">
        <v>68.539998626708979</v>
      </c>
      <c r="V258" s="1128">
        <v>60.8</v>
      </c>
      <c r="W258" s="1128">
        <v>49.280000686645508</v>
      </c>
      <c r="X258" s="1128">
        <v>34.339999914169312</v>
      </c>
      <c r="Y258" s="1128">
        <v>24.620000171661378</v>
      </c>
      <c r="Z258" s="1128">
        <v>46.581972426845603</v>
      </c>
      <c r="AA258" s="1128">
        <f t="shared" si="225"/>
        <v>44.226106573267977</v>
      </c>
      <c r="AB258" s="1128">
        <f t="shared" si="226"/>
        <v>42.741287986575344</v>
      </c>
      <c r="AC258" s="1128">
        <f t="shared" si="227"/>
        <v>43.821595448776776</v>
      </c>
      <c r="AD258" s="1128">
        <f t="shared" si="228"/>
        <v>47.185430171807539</v>
      </c>
      <c r="AE258" s="1128">
        <f t="shared" si="229"/>
        <v>51.955956796847452</v>
      </c>
      <c r="AF258" s="1128">
        <f t="shared" si="230"/>
        <v>56.889664043039261</v>
      </c>
      <c r="AG258" s="1128">
        <f t="shared" si="231"/>
        <v>60.700505085932974</v>
      </c>
      <c r="AH258" s="1128">
        <f t="shared" si="232"/>
        <v>62.39512548086023</v>
      </c>
      <c r="AI258" s="1128">
        <f t="shared" si="233"/>
        <v>61.531796306992455</v>
      </c>
      <c r="AJ258" s="1128">
        <f t="shared" si="234"/>
        <v>58.335557617803588</v>
      </c>
      <c r="AK258" s="1128">
        <f t="shared" si="235"/>
        <v>53.639558283159843</v>
      </c>
      <c r="AL258" s="1128">
        <f t="shared" si="236"/>
        <v>48.667882897176412</v>
      </c>
      <c r="AM258" s="1125">
        <f t="shared" si="237"/>
        <v>1</v>
      </c>
      <c r="AN258" s="1125">
        <f t="shared" si="238"/>
        <v>1</v>
      </c>
      <c r="AO258" s="1125">
        <f t="shared" si="239"/>
        <v>1</v>
      </c>
      <c r="AP258" s="1125">
        <f t="shared" si="240"/>
        <v>1</v>
      </c>
      <c r="AQ258" s="1125">
        <f t="shared" si="241"/>
        <v>1</v>
      </c>
      <c r="AR258" s="1125">
        <f t="shared" si="242"/>
        <v>1</v>
      </c>
      <c r="AS258" s="1125">
        <f t="shared" si="243"/>
        <v>0</v>
      </c>
      <c r="AT258" s="1125">
        <f t="shared" si="244"/>
        <v>0</v>
      </c>
      <c r="AU258" s="1125">
        <f t="shared" si="245"/>
        <v>1</v>
      </c>
      <c r="AV258" s="1125">
        <f t="shared" si="246"/>
        <v>1</v>
      </c>
      <c r="AW258" s="1125">
        <f t="shared" si="247"/>
        <v>1</v>
      </c>
      <c r="AX258" s="1125">
        <f t="shared" si="248"/>
        <v>1</v>
      </c>
      <c r="AY258" s="1125">
        <f t="shared" si="249"/>
        <v>0</v>
      </c>
      <c r="AZ258" s="1125">
        <f t="shared" si="250"/>
        <v>0</v>
      </c>
      <c r="BA258" s="1125">
        <f t="shared" si="251"/>
        <v>0</v>
      </c>
      <c r="BB258" s="1125">
        <f t="shared" si="252"/>
        <v>0</v>
      </c>
      <c r="BC258" s="1125">
        <f t="shared" si="253"/>
        <v>0</v>
      </c>
      <c r="BD258" s="1125">
        <f t="shared" si="254"/>
        <v>0</v>
      </c>
      <c r="BE258" s="1125">
        <f t="shared" si="255"/>
        <v>1</v>
      </c>
      <c r="BF258" s="1125">
        <f t="shared" si="256"/>
        <v>1</v>
      </c>
      <c r="BG258" s="1125">
        <f t="shared" si="257"/>
        <v>0</v>
      </c>
      <c r="BH258" s="1125">
        <f t="shared" si="258"/>
        <v>0</v>
      </c>
      <c r="BI258" s="1125">
        <f t="shared" si="259"/>
        <v>0</v>
      </c>
      <c r="BJ258" s="1125">
        <f t="shared" si="260"/>
        <v>0</v>
      </c>
      <c r="BK258" s="1125">
        <f t="shared" si="261"/>
        <v>1</v>
      </c>
      <c r="BL258" s="1125">
        <f t="shared" si="262"/>
        <v>1</v>
      </c>
      <c r="BM258" s="1125">
        <f t="shared" si="263"/>
        <v>1</v>
      </c>
      <c r="BN258" s="1125">
        <f t="shared" si="264"/>
        <v>1</v>
      </c>
      <c r="BO258" s="1125">
        <f t="shared" si="265"/>
        <v>1</v>
      </c>
      <c r="BP258" s="1125">
        <f t="shared" si="266"/>
        <v>1</v>
      </c>
      <c r="BQ258" s="1125">
        <f t="shared" si="267"/>
        <v>1</v>
      </c>
      <c r="BR258" s="1125">
        <f t="shared" si="268"/>
        <v>0</v>
      </c>
      <c r="BS258" s="1125">
        <f t="shared" si="269"/>
        <v>1</v>
      </c>
      <c r="BT258" s="1125">
        <f t="shared" si="270"/>
        <v>1</v>
      </c>
      <c r="BU258" s="1125">
        <f t="shared" si="271"/>
        <v>1</v>
      </c>
      <c r="BV258" s="1125">
        <f t="shared" si="272"/>
        <v>1</v>
      </c>
      <c r="BW258" s="1125">
        <f t="shared" si="273"/>
        <v>0</v>
      </c>
      <c r="BX258" s="1125">
        <f t="shared" si="274"/>
        <v>0</v>
      </c>
      <c r="BY258" s="1125">
        <f t="shared" si="275"/>
        <v>0</v>
      </c>
      <c r="BZ258" s="1125">
        <f t="shared" si="276"/>
        <v>0</v>
      </c>
      <c r="CA258" s="1125">
        <f t="shared" si="277"/>
        <v>0</v>
      </c>
      <c r="CB258" s="1125">
        <f t="shared" si="278"/>
        <v>1</v>
      </c>
      <c r="CC258" s="1125">
        <f t="shared" si="279"/>
        <v>1</v>
      </c>
      <c r="CD258" s="1125">
        <f t="shared" si="280"/>
        <v>1</v>
      </c>
      <c r="CE258" s="1125">
        <f t="shared" si="281"/>
        <v>1</v>
      </c>
      <c r="CF258" s="1125">
        <f t="shared" si="282"/>
        <v>0</v>
      </c>
      <c r="CG258" s="1125">
        <f t="shared" si="283"/>
        <v>0</v>
      </c>
      <c r="CH258" s="1125">
        <f t="shared" si="284"/>
        <v>0</v>
      </c>
      <c r="CI258" s="1125">
        <f t="shared" si="285"/>
        <v>0.85</v>
      </c>
      <c r="CJ258" s="1125">
        <f t="shared" si="286"/>
        <v>0.85</v>
      </c>
      <c r="CK258" s="1125">
        <f t="shared" si="287"/>
        <v>0.85</v>
      </c>
      <c r="CL258" s="1125">
        <f t="shared" si="288"/>
        <v>0.85</v>
      </c>
      <c r="CM258" s="1125">
        <f t="shared" si="289"/>
        <v>0.85</v>
      </c>
      <c r="CN258" s="1125">
        <f t="shared" si="290"/>
        <v>0.85</v>
      </c>
      <c r="CO258" s="1125">
        <f t="shared" si="291"/>
        <v>0.85</v>
      </c>
      <c r="CP258" s="1125">
        <f t="shared" si="292"/>
        <v>0.7</v>
      </c>
      <c r="CQ258" s="1125">
        <f t="shared" si="293"/>
        <v>0.85</v>
      </c>
      <c r="CR258" s="1125">
        <f t="shared" si="294"/>
        <v>0.85</v>
      </c>
      <c r="CS258" s="1125">
        <f t="shared" si="295"/>
        <v>0.85</v>
      </c>
      <c r="CT258" s="1125">
        <f t="shared" si="296"/>
        <v>0.85</v>
      </c>
      <c r="CU258" s="1125">
        <v>1</v>
      </c>
      <c r="CV258" s="1125"/>
      <c r="CW258" s="1125">
        <f t="shared" si="297"/>
        <v>122</v>
      </c>
      <c r="CX258" s="1125">
        <f t="shared" si="298"/>
        <v>243</v>
      </c>
      <c r="CY258" s="1136" t="s">
        <v>4889</v>
      </c>
      <c r="CZ258" s="1129" t="s">
        <v>4890</v>
      </c>
      <c r="DA258" s="1129"/>
      <c r="DB258" s="1129"/>
      <c r="DC258" s="1125" t="s">
        <v>5950</v>
      </c>
      <c r="DD258" s="1125" t="s">
        <v>536</v>
      </c>
      <c r="DE258" s="1120" t="str">
        <f t="shared" si="299"/>
        <v/>
      </c>
      <c r="DF258" s="1133">
        <v>0</v>
      </c>
      <c r="DG258" s="1120">
        <v>0</v>
      </c>
    </row>
    <row r="259" spans="1:111">
      <c r="A259" s="1125" t="s">
        <v>3316</v>
      </c>
      <c r="B259" s="1120" t="s">
        <v>2990</v>
      </c>
      <c r="C259" s="1120" t="s">
        <v>2991</v>
      </c>
      <c r="D259" s="1120" t="s">
        <v>953</v>
      </c>
      <c r="E259" s="1120">
        <v>13</v>
      </c>
      <c r="F259" s="1120">
        <v>-166.55</v>
      </c>
      <c r="G259" s="1120">
        <v>53.9</v>
      </c>
      <c r="H259" s="1120">
        <v>-9</v>
      </c>
      <c r="I259" s="1121">
        <v>21.020000171661376</v>
      </c>
      <c r="J259" s="1121">
        <v>60.619999313354491</v>
      </c>
      <c r="K259" s="1122">
        <v>55.219999313354492</v>
      </c>
      <c r="L259" s="1120">
        <v>8742.6</v>
      </c>
      <c r="M259" s="1120">
        <v>0</v>
      </c>
      <c r="N259" s="1123">
        <v>33.619999957084659</v>
      </c>
      <c r="O259" s="1123">
        <v>33.799999999999997</v>
      </c>
      <c r="P259" s="1123">
        <v>31.459999978542328</v>
      </c>
      <c r="Q259" s="1123">
        <v>36.679999828338623</v>
      </c>
      <c r="R259" s="1123">
        <v>40.459999656677248</v>
      </c>
      <c r="S259" s="1123">
        <v>45.140000343322754</v>
      </c>
      <c r="T259" s="1123">
        <v>49.640000343322754</v>
      </c>
      <c r="U259" s="1123">
        <v>51.980000686645511</v>
      </c>
      <c r="V259" s="1123">
        <v>47.480000686645511</v>
      </c>
      <c r="W259" s="1123">
        <v>40.640000343322754</v>
      </c>
      <c r="X259" s="1123">
        <v>39.200000000000003</v>
      </c>
      <c r="Y259" s="1123">
        <v>34.700000000000003</v>
      </c>
      <c r="Z259" s="1123">
        <v>40.435342618308653</v>
      </c>
      <c r="AA259" s="1123">
        <f t="shared" ref="AA259:AA322" si="300">MAX($Z259+6+(0.4+0.01*($Z259-44))*(MAX($N259:$Y259)-MIN($N259:$Y259))/2*SIN((0.986*((1*30-15)-15-(35-1*($Z259-44)))-90)*PI()/180),32)</f>
        <v>43.490543130342594</v>
      </c>
      <c r="AB259" s="1123">
        <f t="shared" ref="AB259:AB322" si="301">MAX($Z259+6+(0.4+0.01*($Z259-44))*(MAX($N259:$Y259)-MIN($N259:$Y259))/2*SIN((0.986*((2*30-15)-15-(35-1*($Z259-44)))-90)*PI()/180),32)</f>
        <v>42.737606882418611</v>
      </c>
      <c r="AC259" s="1123">
        <f t="shared" ref="AC259:AC322" si="302">MAX($Z259+6+(0.4+0.01*($Z259-44))*(MAX($N259:$Y259)-MIN($N259:$Y259))/2*SIN((0.986*((3*30-15)-15-(35-1*($Z259-44)))-90)*PI()/180),32)</f>
        <v>42.948542437886942</v>
      </c>
      <c r="AD259" s="1123">
        <f t="shared" ref="AD259:AD322" si="303">MAX($Z259+6+(0.4+0.01*($Z259-44))*(MAX($N259:$Y259)-MIN($N259:$Y259))/2*SIN((0.986*((4*30-15)-15-(35-1*($Z259-44)))-90)*PI()/180),32)</f>
        <v>44.068366193599466</v>
      </c>
      <c r="AE259" s="1123">
        <f t="shared" ref="AE259:AE322" si="304">MAX($Z259+6+(0.4+0.01*($Z259-44))*(MAX($N259:$Y259)-MIN($N259:$Y259))/2*SIN((0.986*((5*30-15)-15-(35-1*($Z259-44)))-90)*PI()/180),32)</f>
        <v>45.805178830623269</v>
      </c>
      <c r="AF259" s="1123">
        <f t="shared" ref="AF259:AF322" si="305">MAX($Z259+6+(0.4+0.01*($Z259-44))*(MAX($N259:$Y259)-MIN($N259:$Y259))/2*SIN((0.986*((6*30-15)-15-(35-1*($Z259-44)))-90)*PI()/180),32)</f>
        <v>47.706253370025188</v>
      </c>
      <c r="AG259" s="1123">
        <f t="shared" ref="AG259:AG322" si="306">MAX($Z259+6+(0.4+0.01*($Z259-44))*(MAX($N259:$Y259)-MIN($N259:$Y259))/2*SIN((0.986*((7*30-15)-15-(35-1*($Z259-44)))-90)*PI()/180),32)</f>
        <v>49.276045436664667</v>
      </c>
      <c r="AH259" s="1123">
        <f t="shared" ref="AH259:AH322" si="307">MAX($Z259+6+(0.4+0.01*($Z259-44))*(MAX($N259:$Y259)-MIN($N259:$Y259))/2*SIN((0.986*((8*30-15)-15-(35-1*($Z259-44)))-90)*PI()/180),32)</f>
        <v>50.105364537144112</v>
      </c>
      <c r="AI259" s="1123">
        <f t="shared" ref="AI259:AI322" si="308">MAX($Z259+6+(0.4+0.01*($Z259-44))*(MAX($N259:$Y259)-MIN($N259:$Y259))/2*SIN((0.986*((9*30-15)-15-(35-1*($Z259-44)))-90)*PI()/180),32)</f>
        <v>49.978035867729368</v>
      </c>
      <c r="AJ259" s="1123">
        <f t="shared" ref="AJ259:AJ322" si="309">MAX($Z259+6+(0.4+0.01*($Z259-44))*(MAX($N259:$Y259)-MIN($N259:$Y259))/2*SIN((0.986*((10*30-15)-15-(35-1*($Z259-44)))-90)*PI()/180),32)</f>
        <v>48.927249608297579</v>
      </c>
      <c r="AK259" s="1123">
        <f t="shared" ref="AK259:AK322" si="310">MAX($Z259+6+(0.4+0.01*($Z259-44))*(MAX($N259:$Y259)-MIN($N259:$Y259))/2*SIN((0.986*((11*30-15)-15-(35-1*($Z259-44)))-90)*PI()/180),32)</f>
        <v>47.226909390476052</v>
      </c>
      <c r="AL259" s="1123">
        <f t="shared" ref="AL259:AL322" si="311">MAX($Z259+6+(0.4+0.01*($Z259-44))*(MAX($N259:$Y259)-MIN($N259:$Y259))/2*SIN((0.986*((12*30-15)-15-(35-1*($Z259-44)))-90)*PI()/180),32)</f>
        <v>45.320235095075894</v>
      </c>
      <c r="AM259" s="1120">
        <f t="shared" ref="AM259:AM322" si="312">IF(AND(OR(LEFT(AM$1,3)="Jan",LEFT(AM$1,3)="Dec"),I259&lt;59),1,IF(N259&lt;66,1,0))</f>
        <v>1</v>
      </c>
      <c r="AN259" s="1120">
        <f t="shared" ref="AN259:AN322" si="313">IF(AND(OR(LEFT(AN$1,3)="Jan",LEFT(AN$1,3)="Dec"),J259&lt;59),1,IF(O259&lt;66,1,0))</f>
        <v>1</v>
      </c>
      <c r="AO259" s="1120">
        <f t="shared" ref="AO259:AO322" si="314">IF(AND(OR(LEFT(AO$1,3)="Jan",LEFT(AO$1,3)="Dec"),K259&lt;59),1,IF(P259&lt;66,1,0))</f>
        <v>1</v>
      </c>
      <c r="AP259" s="1120">
        <f t="shared" ref="AP259:AP322" si="315">IF(AND(OR(LEFT(AP$1,3)="Jan",LEFT(AP$1,3)="Dec"),L259&lt;59),1,IF(Q259&lt;66,1,0))</f>
        <v>1</v>
      </c>
      <c r="AQ259" s="1120">
        <f t="shared" ref="AQ259:AQ322" si="316">IF(AND(OR(LEFT(AQ$1,3)="Jan",LEFT(AQ$1,3)="Dec"),M259&lt;59),1,IF(R259&lt;66,1,0))</f>
        <v>1</v>
      </c>
      <c r="AR259" s="1120">
        <f t="shared" ref="AR259:AR322" si="317">IF(AND(OR(LEFT(AR$1,3)="Jan",LEFT(AR$1,3)="Dec"),N259&lt;59),1,IF(S259&lt;66,1,0))</f>
        <v>1</v>
      </c>
      <c r="AS259" s="1120">
        <f t="shared" ref="AS259:AS322" si="318">IF(AND(OR(LEFT(AS$1,3)="Jan",LEFT(AS$1,3)="Dec"),O259&lt;59),1,IF(T259&lt;66,1,0))</f>
        <v>1</v>
      </c>
      <c r="AT259" s="1120">
        <f t="shared" ref="AT259:AT322" si="319">IF(AND(OR(LEFT(AT$1,3)="Jan",LEFT(AT$1,3)="Dec"),P259&lt;59),1,IF(U259&lt;66,1,0))</f>
        <v>1</v>
      </c>
      <c r="AU259" s="1120">
        <f t="shared" ref="AU259:AU322" si="320">IF(AND(OR(LEFT(AU$1,3)="Jan",LEFT(AU$1,3)="Dec"),Q259&lt;59),1,IF(V259&lt;66,1,0))</f>
        <v>1</v>
      </c>
      <c r="AV259" s="1120">
        <f t="shared" ref="AV259:AV322" si="321">IF(AND(OR(LEFT(AV$1,3)="Jan",LEFT(AV$1,3)="Dec"),R259&lt;59),1,IF(W259&lt;66,1,0))</f>
        <v>1</v>
      </c>
      <c r="AW259" s="1120">
        <f t="shared" ref="AW259:AW322" si="322">IF(AND(OR(LEFT(AW$1,3)="Jan",LEFT(AW$1,3)="Dec"),S259&lt;59),1,IF(X259&lt;66,1,0))</f>
        <v>1</v>
      </c>
      <c r="AX259" s="1120">
        <f t="shared" ref="AX259:AX322" si="323">IF(AND(OR(LEFT(AX$1,3)="Jan",LEFT(AX$1,3)="Dec"),T259&lt;59),1,IF(Y259&lt;66,1,0))</f>
        <v>1</v>
      </c>
      <c r="AY259" s="1120">
        <f t="shared" ref="AY259:AY322" si="324">IF(OR(LEFT(AY$1,3)="Jul", LEFT(AY$1,3)="Aug"),1,IF(N259&gt;66,1,0))</f>
        <v>0</v>
      </c>
      <c r="AZ259" s="1120">
        <f t="shared" ref="AZ259:AZ322" si="325">IF(OR(LEFT(AZ$1,3)="Jul", LEFT(AZ$1,3)="Aug"),1,IF(O259&gt;66,1,0))</f>
        <v>0</v>
      </c>
      <c r="BA259" s="1120">
        <f t="shared" ref="BA259:BA322" si="326">IF(OR(LEFT(BA$1,3)="Jul", LEFT(BA$1,3)="Aug"),1,IF(P259&gt;66,1,0))</f>
        <v>0</v>
      </c>
      <c r="BB259" s="1120">
        <f t="shared" ref="BB259:BB322" si="327">IF(OR(LEFT(BB$1,3)="Jul", LEFT(BB$1,3)="Aug"),1,IF(Q259&gt;66,1,0))</f>
        <v>0</v>
      </c>
      <c r="BC259" s="1120">
        <f t="shared" ref="BC259:BC322" si="328">IF(OR(LEFT(BC$1,3)="Jul", LEFT(BC$1,3)="Aug"),1,IF(R259&gt;66,1,0))</f>
        <v>0</v>
      </c>
      <c r="BD259" s="1120">
        <f t="shared" ref="BD259:BD322" si="329">IF(OR(LEFT(BD$1,3)="Jul", LEFT(BD$1,3)="Aug"),1,IF(S259&gt;66,1,0))</f>
        <v>0</v>
      </c>
      <c r="BE259" s="1120">
        <f t="shared" ref="BE259:BE322" si="330">IF(OR(LEFT(BE$1,3)="Jul", LEFT(BE$1,3)="Aug"),1,IF(T259&gt;66,1,0))</f>
        <v>1</v>
      </c>
      <c r="BF259" s="1120">
        <f t="shared" ref="BF259:BF322" si="331">IF(OR(LEFT(BF$1,3)="Jul", LEFT(BF$1,3)="Aug"),1,IF(U259&gt;66,1,0))</f>
        <v>1</v>
      </c>
      <c r="BG259" s="1120">
        <f t="shared" ref="BG259:BG322" si="332">IF(OR(LEFT(BG$1,3)="Jul", LEFT(BG$1,3)="Aug"),1,IF(V259&gt;66,1,0))</f>
        <v>0</v>
      </c>
      <c r="BH259" s="1120">
        <f t="shared" ref="BH259:BH322" si="333">IF(OR(LEFT(BH$1,3)="Jul", LEFT(BH$1,3)="Aug"),1,IF(W259&gt;66,1,0))</f>
        <v>0</v>
      </c>
      <c r="BI259" s="1120">
        <f t="shared" ref="BI259:BI322" si="334">IF(OR(LEFT(BI$1,3)="Jul", LEFT(BI$1,3)="Aug"),1,IF(X259&gt;66,1,0))</f>
        <v>0</v>
      </c>
      <c r="BJ259" s="1120">
        <f t="shared" ref="BJ259:BJ322" si="335">IF(OR(LEFT(BJ$1,3)="Jul", LEFT(BJ$1,3)="Aug"),1,IF(Y259&gt;66,1,0))</f>
        <v>0</v>
      </c>
      <c r="BK259" s="1120">
        <f t="shared" ref="BK259:BK322" si="336">IF(AND(AY259=1,BJ259=0),1,AM259)</f>
        <v>1</v>
      </c>
      <c r="BL259" s="1120">
        <f t="shared" ref="BL259:BL322" si="337">IF(AND(AY259=0,AZ259=1),1,AN259)</f>
        <v>1</v>
      </c>
      <c r="BM259" s="1120">
        <f t="shared" ref="BM259:BM322" si="338">IF(AND(AZ259=0,BA259=1),1,AO259)</f>
        <v>1</v>
      </c>
      <c r="BN259" s="1120">
        <f t="shared" ref="BN259:BN322" si="339">IF(AND(BA259=0,BB259=1),1,AP259)</f>
        <v>1</v>
      </c>
      <c r="BO259" s="1120">
        <f t="shared" ref="BO259:BO322" si="340">IF(AND(BB259=0,BC259=1),1,AQ259)</f>
        <v>1</v>
      </c>
      <c r="BP259" s="1120">
        <f t="shared" ref="BP259:BP322" si="341">IF(AND(BC259=0,BD259=1),1,AR259)</f>
        <v>1</v>
      </c>
      <c r="BQ259" s="1120">
        <f t="shared" ref="BQ259:BQ322" si="342">IF(AND(BD259=0,BE259=1),1,AS259)</f>
        <v>1</v>
      </c>
      <c r="BR259" s="1120">
        <f t="shared" ref="BR259:BR322" si="343">IF(AND(BE259=0,BF259=1),1,AT259)</f>
        <v>1</v>
      </c>
      <c r="BS259" s="1120">
        <f t="shared" ref="BS259:BS322" si="344">IF(AND(BF259=0,BG259=1),1,AU259)</f>
        <v>1</v>
      </c>
      <c r="BT259" s="1120">
        <f t="shared" ref="BT259:BT322" si="345">IF(AND(BG259=0,BH259=1),1,AV259)</f>
        <v>1</v>
      </c>
      <c r="BU259" s="1120">
        <f t="shared" ref="BU259:BU322" si="346">IF(AND(BH259=0,BI259=1),1,AW259)</f>
        <v>1</v>
      </c>
      <c r="BV259" s="1120">
        <f t="shared" ref="BV259:BV322" si="347">IF(AND(BI259=0,BJ259=1),1,AX259)</f>
        <v>1</v>
      </c>
      <c r="BW259" s="1120">
        <f t="shared" ref="BW259:BW322" si="348">IF(OR(AND(AX259=0,AM259=1),AND(AM259=1,AN259=0)),1,AY259)</f>
        <v>0</v>
      </c>
      <c r="BX259" s="1120">
        <f t="shared" ref="BX259:BX322" si="349">IF(OR(AND(AM259=0,AN259=1),AND(AN259=1,AO259=0)),1,AZ259)</f>
        <v>0</v>
      </c>
      <c r="BY259" s="1120">
        <f t="shared" ref="BY259:BY322" si="350">IF(OR(AND(AN259=0,AO259=1),AND(AO259=1,AP259=0)),1,BA259)</f>
        <v>0</v>
      </c>
      <c r="BZ259" s="1120">
        <f t="shared" ref="BZ259:BZ322" si="351">IF(OR(AND(AO259=0,AP259=1),AND(AP259=1,AQ259=0)),1,BB259)</f>
        <v>0</v>
      </c>
      <c r="CA259" s="1120">
        <f t="shared" ref="CA259:CA322" si="352">IF(OR(AND(AP259=0,AQ259=1),AND(AQ259=1,AR259=0)),1,BC259)</f>
        <v>0</v>
      </c>
      <c r="CB259" s="1120">
        <f t="shared" ref="CB259:CB322" si="353">IF(OR(AND(AQ259=0,AR259=1),AND(AR259=1,AS259=0)),1,BD259)</f>
        <v>0</v>
      </c>
      <c r="CC259" s="1120">
        <f t="shared" ref="CC259:CC322" si="354">IF(OR(AND(AR259=0,AS259=1),AND(AS259=1,AT259=0)),1,BE259)</f>
        <v>1</v>
      </c>
      <c r="CD259" s="1120">
        <f t="shared" ref="CD259:CD322" si="355">IF(OR(AND(AS259=0,AT259=1),AND(AT259=1,AU259=0)),1,BF259)</f>
        <v>1</v>
      </c>
      <c r="CE259" s="1120">
        <f t="shared" ref="CE259:CE322" si="356">IF(OR(AND(AT259=0,AU259=1),AND(AU259=1,AV259=0)),1,BG259)</f>
        <v>0</v>
      </c>
      <c r="CF259" s="1120">
        <f t="shared" ref="CF259:CF322" si="357">IF(OR(AND(AU259=0,AV259=1),AND(AV259=1,AW259=0)),1,BH259)</f>
        <v>0</v>
      </c>
      <c r="CG259" s="1120">
        <f t="shared" ref="CG259:CG322" si="358">IF(OR(AND(AV259=0,AW259=1),AND(AW259=1,AX259=0)),1,BI259)</f>
        <v>0</v>
      </c>
      <c r="CH259" s="1120">
        <f t="shared" ref="CH259:CH322" si="359">IF(OR(AND(AW259=0,AX259=1),AND(AX259=1,AM259=0)),1,BJ259)</f>
        <v>0</v>
      </c>
      <c r="CI259" s="1120">
        <f t="shared" ref="CI259:CI322" si="360">IF(BK259=1,0.85,0.7)</f>
        <v>0.85</v>
      </c>
      <c r="CJ259" s="1120">
        <f t="shared" ref="CJ259:CJ322" si="361">IF(BL259=1,0.85,0.7)</f>
        <v>0.85</v>
      </c>
      <c r="CK259" s="1120">
        <f t="shared" ref="CK259:CK322" si="362">IF(BM259=1,0.85,0.7)</f>
        <v>0.85</v>
      </c>
      <c r="CL259" s="1120">
        <f t="shared" ref="CL259:CL322" si="363">IF(BN259=1,0.85,0.7)</f>
        <v>0.85</v>
      </c>
      <c r="CM259" s="1120">
        <f t="shared" ref="CM259:CM322" si="364">IF(BO259=1,0.85,0.7)</f>
        <v>0.85</v>
      </c>
      <c r="CN259" s="1120">
        <f t="shared" ref="CN259:CN322" si="365">IF(BP259=1,0.85,0.7)</f>
        <v>0.85</v>
      </c>
      <c r="CO259" s="1120">
        <f t="shared" ref="CO259:CO322" si="366">IF(BQ259=1,0.85,0.7)</f>
        <v>0.85</v>
      </c>
      <c r="CP259" s="1120">
        <f t="shared" ref="CP259:CP322" si="367">IF(BR259=1,0.85,0.7)</f>
        <v>0.85</v>
      </c>
      <c r="CQ259" s="1120">
        <f t="shared" ref="CQ259:CQ322" si="368">IF(BS259=1,0.85,0.7)</f>
        <v>0.85</v>
      </c>
      <c r="CR259" s="1120">
        <f t="shared" ref="CR259:CR322" si="369">IF(BT259=1,0.85,0.7)</f>
        <v>0.85</v>
      </c>
      <c r="CS259" s="1120">
        <f t="shared" ref="CS259:CS322" si="370">IF(BU259=1,0.85,0.7)</f>
        <v>0.85</v>
      </c>
      <c r="CT259" s="1120">
        <f t="shared" ref="CT259:CT322" si="371">IF(BV259=1,0.85,0.7)</f>
        <v>0.85</v>
      </c>
      <c r="CU259" s="1120">
        <v>1</v>
      </c>
      <c r="CV259" s="1120"/>
      <c r="CW259" s="1120">
        <f t="shared" ref="CW259:CW322" si="372">BW259*31+BX259*28+BY259*31+BZ259*30+CA259*31+CB259*30+CC259*31+CD259*31+CE259*30+CF259*31+CG259*30+CH259*31</f>
        <v>62</v>
      </c>
      <c r="CX259" s="1120">
        <f t="shared" ref="CX259:CX322" si="373">365-CW259</f>
        <v>303</v>
      </c>
      <c r="CY259" s="1135" t="s">
        <v>4879</v>
      </c>
      <c r="CZ259" s="1124">
        <v>7</v>
      </c>
      <c r="DA259" s="1124"/>
      <c r="DB259" s="1124"/>
      <c r="DC259" s="1120" t="s">
        <v>4921</v>
      </c>
      <c r="DD259" s="1120" t="s">
        <v>953</v>
      </c>
      <c r="DE259" s="1120" t="str">
        <f t="shared" ref="DE259:DE274" si="374">IF(AND(C259=DC259,D259=DD259),"",FALSE)</f>
        <v/>
      </c>
      <c r="DF259" s="1120">
        <v>0</v>
      </c>
      <c r="DG259" s="1125">
        <v>0</v>
      </c>
    </row>
    <row r="260" spans="1:111">
      <c r="A260" s="1120" t="s">
        <v>3312</v>
      </c>
      <c r="B260" s="1120" t="s">
        <v>4342</v>
      </c>
      <c r="C260" s="1120" t="s">
        <v>4343</v>
      </c>
      <c r="D260" s="1120" t="s">
        <v>560</v>
      </c>
      <c r="E260" s="1120">
        <v>338</v>
      </c>
      <c r="F260" s="1120">
        <v>-89.4</v>
      </c>
      <c r="G260" s="1120">
        <v>36.020000000000003</v>
      </c>
      <c r="H260" s="1120">
        <v>-6</v>
      </c>
      <c r="I260" s="1121">
        <v>19.220000171661376</v>
      </c>
      <c r="J260" s="1121">
        <v>91.579997253417972</v>
      </c>
      <c r="K260" s="1122">
        <v>76.280000686645508</v>
      </c>
      <c r="L260" s="1120">
        <v>3544.2000000000003</v>
      </c>
      <c r="M260" s="1120">
        <v>1940.4</v>
      </c>
      <c r="N260" s="1123">
        <v>38.299999999999997</v>
      </c>
      <c r="O260" s="1123">
        <v>42.079999828338622</v>
      </c>
      <c r="P260" s="1123">
        <v>44.779999828338624</v>
      </c>
      <c r="Q260" s="1123">
        <v>56.840000343322757</v>
      </c>
      <c r="R260" s="1123">
        <v>68.539998626708979</v>
      </c>
      <c r="S260" s="1123">
        <v>78.439998626708984</v>
      </c>
      <c r="T260" s="1123">
        <v>81.860001373291013</v>
      </c>
      <c r="U260" s="1123">
        <v>74.83999862670899</v>
      </c>
      <c r="V260" s="1123">
        <v>76.460001373291021</v>
      </c>
      <c r="W260" s="1123">
        <v>59.719999313354492</v>
      </c>
      <c r="X260" s="1123">
        <v>54.140000343322754</v>
      </c>
      <c r="Y260" s="1123">
        <v>43.340000343322757</v>
      </c>
      <c r="Z260" s="1123">
        <v>60.020328650017305</v>
      </c>
      <c r="AA260" s="1123">
        <f t="shared" si="300"/>
        <v>54.464153306877158</v>
      </c>
      <c r="AB260" s="1123">
        <f t="shared" si="301"/>
        <v>54.037861304407272</v>
      </c>
      <c r="AC260" s="1123">
        <f t="shared" si="302"/>
        <v>56.734984070981916</v>
      </c>
      <c r="AD260" s="1123">
        <f t="shared" si="303"/>
        <v>61.852474993573431</v>
      </c>
      <c r="AE260" s="1123">
        <f t="shared" si="304"/>
        <v>68.056381200286069</v>
      </c>
      <c r="AF260" s="1123">
        <f t="shared" si="305"/>
        <v>73.729558933251596</v>
      </c>
      <c r="AG260" s="1123">
        <f t="shared" si="306"/>
        <v>77.393206990057308</v>
      </c>
      <c r="AH260" s="1123">
        <f t="shared" si="307"/>
        <v>78.092339046171261</v>
      </c>
      <c r="AI260" s="1123">
        <f t="shared" si="308"/>
        <v>75.64471555721623</v>
      </c>
      <c r="AJ260" s="1123">
        <f t="shared" si="309"/>
        <v>70.688347304608072</v>
      </c>
      <c r="AK260" s="1123">
        <f t="shared" si="310"/>
        <v>64.515188053335862</v>
      </c>
      <c r="AL260" s="1123">
        <f t="shared" si="311"/>
        <v>58.734366893507364</v>
      </c>
      <c r="AM260" s="1120">
        <f t="shared" si="312"/>
        <v>1</v>
      </c>
      <c r="AN260" s="1120">
        <f t="shared" si="313"/>
        <v>1</v>
      </c>
      <c r="AO260" s="1120">
        <f t="shared" si="314"/>
        <v>1</v>
      </c>
      <c r="AP260" s="1120">
        <f t="shared" si="315"/>
        <v>1</v>
      </c>
      <c r="AQ260" s="1120">
        <f t="shared" si="316"/>
        <v>0</v>
      </c>
      <c r="AR260" s="1120">
        <f t="shared" si="317"/>
        <v>0</v>
      </c>
      <c r="AS260" s="1120">
        <f t="shared" si="318"/>
        <v>0</v>
      </c>
      <c r="AT260" s="1120">
        <f t="shared" si="319"/>
        <v>0</v>
      </c>
      <c r="AU260" s="1120">
        <f t="shared" si="320"/>
        <v>0</v>
      </c>
      <c r="AV260" s="1120">
        <f t="shared" si="321"/>
        <v>1</v>
      </c>
      <c r="AW260" s="1120">
        <f t="shared" si="322"/>
        <v>1</v>
      </c>
      <c r="AX260" s="1120">
        <f t="shared" si="323"/>
        <v>1</v>
      </c>
      <c r="AY260" s="1120">
        <f t="shared" si="324"/>
        <v>0</v>
      </c>
      <c r="AZ260" s="1120">
        <f t="shared" si="325"/>
        <v>0</v>
      </c>
      <c r="BA260" s="1120">
        <f t="shared" si="326"/>
        <v>0</v>
      </c>
      <c r="BB260" s="1120">
        <f t="shared" si="327"/>
        <v>0</v>
      </c>
      <c r="BC260" s="1120">
        <f t="shared" si="328"/>
        <v>1</v>
      </c>
      <c r="BD260" s="1120">
        <f t="shared" si="329"/>
        <v>1</v>
      </c>
      <c r="BE260" s="1120">
        <f t="shared" si="330"/>
        <v>1</v>
      </c>
      <c r="BF260" s="1120">
        <f t="shared" si="331"/>
        <v>1</v>
      </c>
      <c r="BG260" s="1120">
        <f t="shared" si="332"/>
        <v>1</v>
      </c>
      <c r="BH260" s="1120">
        <f t="shared" si="333"/>
        <v>0</v>
      </c>
      <c r="BI260" s="1120">
        <f t="shared" si="334"/>
        <v>0</v>
      </c>
      <c r="BJ260" s="1120">
        <f t="shared" si="335"/>
        <v>0</v>
      </c>
      <c r="BK260" s="1120">
        <f t="shared" si="336"/>
        <v>1</v>
      </c>
      <c r="BL260" s="1120">
        <f t="shared" si="337"/>
        <v>1</v>
      </c>
      <c r="BM260" s="1120">
        <f t="shared" si="338"/>
        <v>1</v>
      </c>
      <c r="BN260" s="1120">
        <f t="shared" si="339"/>
        <v>1</v>
      </c>
      <c r="BO260" s="1120">
        <f t="shared" si="340"/>
        <v>1</v>
      </c>
      <c r="BP260" s="1120">
        <f t="shared" si="341"/>
        <v>0</v>
      </c>
      <c r="BQ260" s="1120">
        <f t="shared" si="342"/>
        <v>0</v>
      </c>
      <c r="BR260" s="1120">
        <f t="shared" si="343"/>
        <v>0</v>
      </c>
      <c r="BS260" s="1120">
        <f t="shared" si="344"/>
        <v>0</v>
      </c>
      <c r="BT260" s="1120">
        <f t="shared" si="345"/>
        <v>1</v>
      </c>
      <c r="BU260" s="1120">
        <f t="shared" si="346"/>
        <v>1</v>
      </c>
      <c r="BV260" s="1120">
        <f t="shared" si="347"/>
        <v>1</v>
      </c>
      <c r="BW260" s="1120">
        <f t="shared" si="348"/>
        <v>0</v>
      </c>
      <c r="BX260" s="1120">
        <f t="shared" si="349"/>
        <v>0</v>
      </c>
      <c r="BY260" s="1120">
        <f t="shared" si="350"/>
        <v>0</v>
      </c>
      <c r="BZ260" s="1120">
        <f t="shared" si="351"/>
        <v>1</v>
      </c>
      <c r="CA260" s="1120">
        <f t="shared" si="352"/>
        <v>1</v>
      </c>
      <c r="CB260" s="1120">
        <f t="shared" si="353"/>
        <v>1</v>
      </c>
      <c r="CC260" s="1120">
        <f t="shared" si="354"/>
        <v>1</v>
      </c>
      <c r="CD260" s="1120">
        <f t="shared" si="355"/>
        <v>1</v>
      </c>
      <c r="CE260" s="1120">
        <f t="shared" si="356"/>
        <v>1</v>
      </c>
      <c r="CF260" s="1120">
        <f t="shared" si="357"/>
        <v>1</v>
      </c>
      <c r="CG260" s="1120">
        <f t="shared" si="358"/>
        <v>0</v>
      </c>
      <c r="CH260" s="1120">
        <f t="shared" si="359"/>
        <v>0</v>
      </c>
      <c r="CI260" s="1120">
        <f t="shared" si="360"/>
        <v>0.85</v>
      </c>
      <c r="CJ260" s="1120">
        <f t="shared" si="361"/>
        <v>0.85</v>
      </c>
      <c r="CK260" s="1120">
        <f t="shared" si="362"/>
        <v>0.85</v>
      </c>
      <c r="CL260" s="1120">
        <f t="shared" si="363"/>
        <v>0.85</v>
      </c>
      <c r="CM260" s="1120">
        <f t="shared" si="364"/>
        <v>0.85</v>
      </c>
      <c r="CN260" s="1120">
        <f t="shared" si="365"/>
        <v>0.7</v>
      </c>
      <c r="CO260" s="1120">
        <f t="shared" si="366"/>
        <v>0.7</v>
      </c>
      <c r="CP260" s="1120">
        <f t="shared" si="367"/>
        <v>0.7</v>
      </c>
      <c r="CQ260" s="1120">
        <f t="shared" si="368"/>
        <v>0.7</v>
      </c>
      <c r="CR260" s="1120">
        <f t="shared" si="369"/>
        <v>0.85</v>
      </c>
      <c r="CS260" s="1120">
        <f t="shared" si="370"/>
        <v>0.85</v>
      </c>
      <c r="CT260" s="1120">
        <f t="shared" si="371"/>
        <v>0.85</v>
      </c>
      <c r="CU260" s="1120">
        <v>1</v>
      </c>
      <c r="CV260" s="1120"/>
      <c r="CW260" s="1120">
        <f t="shared" si="372"/>
        <v>214</v>
      </c>
      <c r="CX260" s="1120">
        <f t="shared" si="373"/>
        <v>151</v>
      </c>
      <c r="CY260" s="1135" t="s">
        <v>4881</v>
      </c>
      <c r="CZ260" s="1124" t="s">
        <v>4882</v>
      </c>
      <c r="DA260" s="1124"/>
      <c r="DB260" s="1124"/>
      <c r="DC260" s="1120" t="s">
        <v>5568</v>
      </c>
      <c r="DD260" s="1120" t="s">
        <v>560</v>
      </c>
      <c r="DE260" s="1120" t="str">
        <f t="shared" si="374"/>
        <v/>
      </c>
      <c r="DF260" s="1133">
        <v>0</v>
      </c>
      <c r="DG260" s="1120">
        <v>0</v>
      </c>
    </row>
    <row r="261" spans="1:111">
      <c r="A261" s="1125" t="s">
        <v>3318</v>
      </c>
      <c r="B261" s="1120" t="s">
        <v>3228</v>
      </c>
      <c r="C261" s="1120" t="s">
        <v>3229</v>
      </c>
      <c r="D261" s="1120" t="s">
        <v>536</v>
      </c>
      <c r="E261" s="1120">
        <v>6494</v>
      </c>
      <c r="F261" s="1120">
        <v>-106.92</v>
      </c>
      <c r="G261" s="1120">
        <v>39.65</v>
      </c>
      <c r="H261" s="1120">
        <v>-7</v>
      </c>
      <c r="I261" s="1121">
        <v>-2.2000000000000011</v>
      </c>
      <c r="J261" s="1121">
        <v>85.280000686645508</v>
      </c>
      <c r="K261" s="1122">
        <v>56.840000343322757</v>
      </c>
      <c r="L261" s="1120">
        <v>7873.2</v>
      </c>
      <c r="M261" s="1120">
        <v>135</v>
      </c>
      <c r="N261" s="1123">
        <v>16.880000686645506</v>
      </c>
      <c r="O261" s="1123">
        <v>25.339999914169312</v>
      </c>
      <c r="P261" s="1123">
        <v>34.339999914169312</v>
      </c>
      <c r="Q261" s="1123">
        <v>44.240000343322755</v>
      </c>
      <c r="R261" s="1123">
        <v>52.159999656677243</v>
      </c>
      <c r="S261" s="1123">
        <v>62.419999313354495</v>
      </c>
      <c r="T261" s="1123">
        <v>66.919999313354495</v>
      </c>
      <c r="U261" s="1123">
        <v>63.680000686645506</v>
      </c>
      <c r="V261" s="1123">
        <v>54.859999656677246</v>
      </c>
      <c r="W261" s="1123">
        <v>44.420000171661378</v>
      </c>
      <c r="X261" s="1123">
        <v>32.720000010728839</v>
      </c>
      <c r="Y261" s="1123">
        <v>19.759999656677245</v>
      </c>
      <c r="Z261" s="1123">
        <v>43.231999945150662</v>
      </c>
      <c r="AA261" s="1123">
        <f t="shared" si="300"/>
        <v>41.217677886063001</v>
      </c>
      <c r="AB261" s="1123">
        <f t="shared" si="301"/>
        <v>39.464470855823862</v>
      </c>
      <c r="AC261" s="1123">
        <f t="shared" si="302"/>
        <v>40.25732080489729</v>
      </c>
      <c r="AD261" s="1123">
        <f t="shared" si="303"/>
        <v>43.389559175869735</v>
      </c>
      <c r="AE261" s="1123">
        <f t="shared" si="304"/>
        <v>48.04471976809284</v>
      </c>
      <c r="AF261" s="1123">
        <f t="shared" si="305"/>
        <v>53.009363235007427</v>
      </c>
      <c r="AG261" s="1123">
        <f t="shared" si="306"/>
        <v>56.98937874949052</v>
      </c>
      <c r="AH261" s="1123">
        <f t="shared" si="307"/>
        <v>58.947313933796465</v>
      </c>
      <c r="AI261" s="1123">
        <f t="shared" si="308"/>
        <v>58.372802809441403</v>
      </c>
      <c r="AJ261" s="1123">
        <f t="shared" si="309"/>
        <v>55.415600554472903</v>
      </c>
      <c r="AK261" s="1123">
        <f t="shared" si="310"/>
        <v>50.846547508514703</v>
      </c>
      <c r="AL261" s="1123">
        <f t="shared" si="311"/>
        <v>45.856637759234573</v>
      </c>
      <c r="AM261" s="1120">
        <f t="shared" si="312"/>
        <v>1</v>
      </c>
      <c r="AN261" s="1120">
        <f t="shared" si="313"/>
        <v>1</v>
      </c>
      <c r="AO261" s="1120">
        <f t="shared" si="314"/>
        <v>1</v>
      </c>
      <c r="AP261" s="1120">
        <f t="shared" si="315"/>
        <v>1</v>
      </c>
      <c r="AQ261" s="1120">
        <f t="shared" si="316"/>
        <v>1</v>
      </c>
      <c r="AR261" s="1120">
        <f t="shared" si="317"/>
        <v>1</v>
      </c>
      <c r="AS261" s="1120">
        <f t="shared" si="318"/>
        <v>0</v>
      </c>
      <c r="AT261" s="1120">
        <f t="shared" si="319"/>
        <v>1</v>
      </c>
      <c r="AU261" s="1120">
        <f t="shared" si="320"/>
        <v>1</v>
      </c>
      <c r="AV261" s="1120">
        <f t="shared" si="321"/>
        <v>1</v>
      </c>
      <c r="AW261" s="1120">
        <f t="shared" si="322"/>
        <v>1</v>
      </c>
      <c r="AX261" s="1120">
        <f t="shared" si="323"/>
        <v>1</v>
      </c>
      <c r="AY261" s="1120">
        <f t="shared" si="324"/>
        <v>0</v>
      </c>
      <c r="AZ261" s="1120">
        <f t="shared" si="325"/>
        <v>0</v>
      </c>
      <c r="BA261" s="1120">
        <f t="shared" si="326"/>
        <v>0</v>
      </c>
      <c r="BB261" s="1120">
        <f t="shared" si="327"/>
        <v>0</v>
      </c>
      <c r="BC261" s="1120">
        <f t="shared" si="328"/>
        <v>0</v>
      </c>
      <c r="BD261" s="1120">
        <f t="shared" si="329"/>
        <v>0</v>
      </c>
      <c r="BE261" s="1120">
        <f t="shared" si="330"/>
        <v>1</v>
      </c>
      <c r="BF261" s="1120">
        <f t="shared" si="331"/>
        <v>1</v>
      </c>
      <c r="BG261" s="1120">
        <f t="shared" si="332"/>
        <v>0</v>
      </c>
      <c r="BH261" s="1120">
        <f t="shared" si="333"/>
        <v>0</v>
      </c>
      <c r="BI261" s="1120">
        <f t="shared" si="334"/>
        <v>0</v>
      </c>
      <c r="BJ261" s="1120">
        <f t="shared" si="335"/>
        <v>0</v>
      </c>
      <c r="BK261" s="1120">
        <f t="shared" si="336"/>
        <v>1</v>
      </c>
      <c r="BL261" s="1120">
        <f t="shared" si="337"/>
        <v>1</v>
      </c>
      <c r="BM261" s="1120">
        <f t="shared" si="338"/>
        <v>1</v>
      </c>
      <c r="BN261" s="1120">
        <f t="shared" si="339"/>
        <v>1</v>
      </c>
      <c r="BO261" s="1120">
        <f t="shared" si="340"/>
        <v>1</v>
      </c>
      <c r="BP261" s="1120">
        <f t="shared" si="341"/>
        <v>1</v>
      </c>
      <c r="BQ261" s="1120">
        <f t="shared" si="342"/>
        <v>1</v>
      </c>
      <c r="BR261" s="1120">
        <f t="shared" si="343"/>
        <v>1</v>
      </c>
      <c r="BS261" s="1120">
        <f t="shared" si="344"/>
        <v>1</v>
      </c>
      <c r="BT261" s="1120">
        <f t="shared" si="345"/>
        <v>1</v>
      </c>
      <c r="BU261" s="1120">
        <f t="shared" si="346"/>
        <v>1</v>
      </c>
      <c r="BV261" s="1120">
        <f t="shared" si="347"/>
        <v>1</v>
      </c>
      <c r="BW261" s="1120">
        <f t="shared" si="348"/>
        <v>0</v>
      </c>
      <c r="BX261" s="1120">
        <f t="shared" si="349"/>
        <v>0</v>
      </c>
      <c r="BY261" s="1120">
        <f t="shared" si="350"/>
        <v>0</v>
      </c>
      <c r="BZ261" s="1120">
        <f t="shared" si="351"/>
        <v>0</v>
      </c>
      <c r="CA261" s="1120">
        <f t="shared" si="352"/>
        <v>0</v>
      </c>
      <c r="CB261" s="1120">
        <f t="shared" si="353"/>
        <v>1</v>
      </c>
      <c r="CC261" s="1120">
        <f t="shared" si="354"/>
        <v>1</v>
      </c>
      <c r="CD261" s="1120">
        <f t="shared" si="355"/>
        <v>1</v>
      </c>
      <c r="CE261" s="1120">
        <f t="shared" si="356"/>
        <v>0</v>
      </c>
      <c r="CF261" s="1120">
        <f t="shared" si="357"/>
        <v>0</v>
      </c>
      <c r="CG261" s="1120">
        <f t="shared" si="358"/>
        <v>0</v>
      </c>
      <c r="CH261" s="1120">
        <f t="shared" si="359"/>
        <v>0</v>
      </c>
      <c r="CI261" s="1120">
        <f t="shared" si="360"/>
        <v>0.85</v>
      </c>
      <c r="CJ261" s="1120">
        <f t="shared" si="361"/>
        <v>0.85</v>
      </c>
      <c r="CK261" s="1120">
        <f t="shared" si="362"/>
        <v>0.85</v>
      </c>
      <c r="CL261" s="1120">
        <f t="shared" si="363"/>
        <v>0.85</v>
      </c>
      <c r="CM261" s="1120">
        <f t="shared" si="364"/>
        <v>0.85</v>
      </c>
      <c r="CN261" s="1120">
        <f t="shared" si="365"/>
        <v>0.85</v>
      </c>
      <c r="CO261" s="1120">
        <f t="shared" si="366"/>
        <v>0.85</v>
      </c>
      <c r="CP261" s="1120">
        <f t="shared" si="367"/>
        <v>0.85</v>
      </c>
      <c r="CQ261" s="1120">
        <f t="shared" si="368"/>
        <v>0.85</v>
      </c>
      <c r="CR261" s="1120">
        <f t="shared" si="369"/>
        <v>0.85</v>
      </c>
      <c r="CS261" s="1120">
        <f t="shared" si="370"/>
        <v>0.85</v>
      </c>
      <c r="CT261" s="1120">
        <f t="shared" si="371"/>
        <v>0.85</v>
      </c>
      <c r="CU261" s="1120">
        <v>1</v>
      </c>
      <c r="CV261" s="1120"/>
      <c r="CW261" s="1120">
        <f t="shared" si="372"/>
        <v>92</v>
      </c>
      <c r="CX261" s="1120">
        <f t="shared" si="373"/>
        <v>273</v>
      </c>
      <c r="CY261" s="1135" t="s">
        <v>4889</v>
      </c>
      <c r="CZ261" s="1124" t="s">
        <v>4896</v>
      </c>
      <c r="DA261" s="1124"/>
      <c r="DB261" s="1124"/>
      <c r="DC261" s="1120" t="s">
        <v>5075</v>
      </c>
      <c r="DD261" s="1120" t="s">
        <v>536</v>
      </c>
      <c r="DE261" s="1120" t="str">
        <f t="shared" si="374"/>
        <v/>
      </c>
      <c r="DF261" s="1133">
        <v>1</v>
      </c>
      <c r="DG261" s="1125">
        <v>0</v>
      </c>
    </row>
    <row r="262" spans="1:111">
      <c r="A262" s="1120" t="s">
        <v>3320</v>
      </c>
      <c r="B262" s="1125" t="s">
        <v>4608</v>
      </c>
      <c r="C262" s="1125" t="s">
        <v>4609</v>
      </c>
      <c r="D262" s="1125" t="s">
        <v>1278</v>
      </c>
      <c r="E262" s="1125">
        <v>889</v>
      </c>
      <c r="F262" s="1125">
        <v>-91.48</v>
      </c>
      <c r="G262" s="1125">
        <v>44.87</v>
      </c>
      <c r="H262" s="1125">
        <v>-6</v>
      </c>
      <c r="I262" s="1126">
        <v>-9.5800006866455085</v>
      </c>
      <c r="J262" s="1126">
        <v>87.260001373291018</v>
      </c>
      <c r="K262" s="1127">
        <v>71.419999313354495</v>
      </c>
      <c r="L262" s="1125">
        <v>8168.4000000000005</v>
      </c>
      <c r="M262" s="1125">
        <v>646.20000000000005</v>
      </c>
      <c r="N262" s="1128">
        <v>10.399999999999999</v>
      </c>
      <c r="O262" s="1128">
        <v>14.719999313354492</v>
      </c>
      <c r="P262" s="1128">
        <v>32.180000002682206</v>
      </c>
      <c r="Q262" s="1128">
        <v>47.3</v>
      </c>
      <c r="R262" s="1128">
        <v>57.919999313354495</v>
      </c>
      <c r="S262" s="1128">
        <v>67.280000686645508</v>
      </c>
      <c r="T262" s="1128">
        <v>71.960001373291021</v>
      </c>
      <c r="U262" s="1128">
        <v>69.260001373291018</v>
      </c>
      <c r="V262" s="1128">
        <v>60.080000686645505</v>
      </c>
      <c r="W262" s="1128">
        <v>45.5</v>
      </c>
      <c r="X262" s="1128">
        <v>32.9</v>
      </c>
      <c r="Y262" s="1128">
        <v>14.180000686645508</v>
      </c>
      <c r="Z262" s="1128">
        <v>43.787287964931089</v>
      </c>
      <c r="AA262" s="1128">
        <f t="shared" si="300"/>
        <v>39.72128017033026</v>
      </c>
      <c r="AB262" s="1128">
        <f t="shared" si="301"/>
        <v>37.590001556355276</v>
      </c>
      <c r="AC262" s="1128">
        <f t="shared" si="302"/>
        <v>38.638133610648808</v>
      </c>
      <c r="AD262" s="1128">
        <f t="shared" si="303"/>
        <v>42.592464561055372</v>
      </c>
      <c r="AE262" s="1128">
        <f t="shared" si="304"/>
        <v>48.42223710726698</v>
      </c>
      <c r="AF262" s="1128">
        <f t="shared" si="305"/>
        <v>54.607831195599204</v>
      </c>
      <c r="AG262" s="1128">
        <f t="shared" si="306"/>
        <v>59.536876404037955</v>
      </c>
      <c r="AH262" s="1128">
        <f t="shared" si="307"/>
        <v>61.924541140117753</v>
      </c>
      <c r="AI262" s="1128">
        <f t="shared" si="308"/>
        <v>61.148443795352051</v>
      </c>
      <c r="AJ262" s="1128">
        <f t="shared" si="309"/>
        <v>57.410886102676123</v>
      </c>
      <c r="AK262" s="1128">
        <f t="shared" si="310"/>
        <v>51.686120072193475</v>
      </c>
      <c r="AL262" s="1128">
        <f t="shared" si="311"/>
        <v>45.466394191064353</v>
      </c>
      <c r="AM262" s="1125">
        <f t="shared" si="312"/>
        <v>1</v>
      </c>
      <c r="AN262" s="1125">
        <f t="shared" si="313"/>
        <v>1</v>
      </c>
      <c r="AO262" s="1125">
        <f t="shared" si="314"/>
        <v>1</v>
      </c>
      <c r="AP262" s="1125">
        <f t="shared" si="315"/>
        <v>1</v>
      </c>
      <c r="AQ262" s="1125">
        <f t="shared" si="316"/>
        <v>1</v>
      </c>
      <c r="AR262" s="1125">
        <f t="shared" si="317"/>
        <v>0</v>
      </c>
      <c r="AS262" s="1125">
        <f t="shared" si="318"/>
        <v>0</v>
      </c>
      <c r="AT262" s="1125">
        <f t="shared" si="319"/>
        <v>0</v>
      </c>
      <c r="AU262" s="1125">
        <f t="shared" si="320"/>
        <v>1</v>
      </c>
      <c r="AV262" s="1125">
        <f t="shared" si="321"/>
        <v>1</v>
      </c>
      <c r="AW262" s="1125">
        <f t="shared" si="322"/>
        <v>1</v>
      </c>
      <c r="AX262" s="1125">
        <f t="shared" si="323"/>
        <v>1</v>
      </c>
      <c r="AY262" s="1125">
        <f t="shared" si="324"/>
        <v>0</v>
      </c>
      <c r="AZ262" s="1125">
        <f t="shared" si="325"/>
        <v>0</v>
      </c>
      <c r="BA262" s="1125">
        <f t="shared" si="326"/>
        <v>0</v>
      </c>
      <c r="BB262" s="1125">
        <f t="shared" si="327"/>
        <v>0</v>
      </c>
      <c r="BC262" s="1125">
        <f t="shared" si="328"/>
        <v>0</v>
      </c>
      <c r="BD262" s="1125">
        <f t="shared" si="329"/>
        <v>1</v>
      </c>
      <c r="BE262" s="1125">
        <f t="shared" si="330"/>
        <v>1</v>
      </c>
      <c r="BF262" s="1125">
        <f t="shared" si="331"/>
        <v>1</v>
      </c>
      <c r="BG262" s="1125">
        <f t="shared" si="332"/>
        <v>0</v>
      </c>
      <c r="BH262" s="1125">
        <f t="shared" si="333"/>
        <v>0</v>
      </c>
      <c r="BI262" s="1125">
        <f t="shared" si="334"/>
        <v>0</v>
      </c>
      <c r="BJ262" s="1125">
        <f t="shared" si="335"/>
        <v>0</v>
      </c>
      <c r="BK262" s="1125">
        <f t="shared" si="336"/>
        <v>1</v>
      </c>
      <c r="BL262" s="1125">
        <f t="shared" si="337"/>
        <v>1</v>
      </c>
      <c r="BM262" s="1125">
        <f t="shared" si="338"/>
        <v>1</v>
      </c>
      <c r="BN262" s="1125">
        <f t="shared" si="339"/>
        <v>1</v>
      </c>
      <c r="BO262" s="1125">
        <f t="shared" si="340"/>
        <v>1</v>
      </c>
      <c r="BP262" s="1125">
        <f t="shared" si="341"/>
        <v>1</v>
      </c>
      <c r="BQ262" s="1125">
        <f t="shared" si="342"/>
        <v>0</v>
      </c>
      <c r="BR262" s="1125">
        <f t="shared" si="343"/>
        <v>0</v>
      </c>
      <c r="BS262" s="1125">
        <f t="shared" si="344"/>
        <v>1</v>
      </c>
      <c r="BT262" s="1125">
        <f t="shared" si="345"/>
        <v>1</v>
      </c>
      <c r="BU262" s="1125">
        <f t="shared" si="346"/>
        <v>1</v>
      </c>
      <c r="BV262" s="1125">
        <f t="shared" si="347"/>
        <v>1</v>
      </c>
      <c r="BW262" s="1125">
        <f t="shared" si="348"/>
        <v>0</v>
      </c>
      <c r="BX262" s="1125">
        <f t="shared" si="349"/>
        <v>0</v>
      </c>
      <c r="BY262" s="1125">
        <f t="shared" si="350"/>
        <v>0</v>
      </c>
      <c r="BZ262" s="1125">
        <f t="shared" si="351"/>
        <v>0</v>
      </c>
      <c r="CA262" s="1125">
        <f t="shared" si="352"/>
        <v>1</v>
      </c>
      <c r="CB262" s="1125">
        <f t="shared" si="353"/>
        <v>1</v>
      </c>
      <c r="CC262" s="1125">
        <f t="shared" si="354"/>
        <v>1</v>
      </c>
      <c r="CD262" s="1125">
        <f t="shared" si="355"/>
        <v>1</v>
      </c>
      <c r="CE262" s="1125">
        <f t="shared" si="356"/>
        <v>1</v>
      </c>
      <c r="CF262" s="1125">
        <f t="shared" si="357"/>
        <v>0</v>
      </c>
      <c r="CG262" s="1125">
        <f t="shared" si="358"/>
        <v>0</v>
      </c>
      <c r="CH262" s="1125">
        <f t="shared" si="359"/>
        <v>0</v>
      </c>
      <c r="CI262" s="1125">
        <f t="shared" si="360"/>
        <v>0.85</v>
      </c>
      <c r="CJ262" s="1125">
        <f t="shared" si="361"/>
        <v>0.85</v>
      </c>
      <c r="CK262" s="1125">
        <f t="shared" si="362"/>
        <v>0.85</v>
      </c>
      <c r="CL262" s="1125">
        <f t="shared" si="363"/>
        <v>0.85</v>
      </c>
      <c r="CM262" s="1125">
        <f t="shared" si="364"/>
        <v>0.85</v>
      </c>
      <c r="CN262" s="1125">
        <f t="shared" si="365"/>
        <v>0.85</v>
      </c>
      <c r="CO262" s="1125">
        <f t="shared" si="366"/>
        <v>0.7</v>
      </c>
      <c r="CP262" s="1125">
        <f t="shared" si="367"/>
        <v>0.7</v>
      </c>
      <c r="CQ262" s="1125">
        <f t="shared" si="368"/>
        <v>0.85</v>
      </c>
      <c r="CR262" s="1125">
        <f t="shared" si="369"/>
        <v>0.85</v>
      </c>
      <c r="CS262" s="1125">
        <f t="shared" si="370"/>
        <v>0.85</v>
      </c>
      <c r="CT262" s="1125">
        <f t="shared" si="371"/>
        <v>0.85</v>
      </c>
      <c r="CU262" s="1125">
        <v>1</v>
      </c>
      <c r="CV262" s="1125"/>
      <c r="CW262" s="1125">
        <f t="shared" si="372"/>
        <v>153</v>
      </c>
      <c r="CX262" s="1125">
        <f t="shared" si="373"/>
        <v>212</v>
      </c>
      <c r="CY262" s="1135" t="s">
        <v>4889</v>
      </c>
      <c r="CZ262" s="1124" t="s">
        <v>4899</v>
      </c>
      <c r="DA262" s="1124"/>
      <c r="DB262" s="1124"/>
      <c r="DC262" s="1120" t="s">
        <v>5674</v>
      </c>
      <c r="DD262" s="1120" t="s">
        <v>1278</v>
      </c>
      <c r="DE262" s="1120" t="str">
        <f t="shared" si="374"/>
        <v/>
      </c>
      <c r="DF262" s="1133">
        <v>1</v>
      </c>
      <c r="DG262" s="1120">
        <v>0</v>
      </c>
    </row>
    <row r="263" spans="1:111">
      <c r="A263" s="1125" t="s">
        <v>3322</v>
      </c>
      <c r="B263" s="1125" t="s">
        <v>3110</v>
      </c>
      <c r="C263" s="1125" t="s">
        <v>3111</v>
      </c>
      <c r="D263" s="1125" t="s">
        <v>954</v>
      </c>
      <c r="E263" s="1125">
        <v>2316</v>
      </c>
      <c r="F263" s="1125">
        <v>-117.87</v>
      </c>
      <c r="G263" s="1125">
        <v>34.9</v>
      </c>
      <c r="H263" s="1125">
        <v>-8</v>
      </c>
      <c r="I263" s="1126">
        <v>25.520000171661376</v>
      </c>
      <c r="J263" s="1126">
        <v>102.37999725341797</v>
      </c>
      <c r="K263" s="1127">
        <v>63.86000137329102</v>
      </c>
      <c r="L263" s="1125">
        <v>3204</v>
      </c>
      <c r="M263" s="1125">
        <v>1897.2</v>
      </c>
      <c r="N263" s="1128">
        <v>47.659999656677243</v>
      </c>
      <c r="O263" s="1128">
        <v>45.320000171661377</v>
      </c>
      <c r="P263" s="1128">
        <v>47.659999656677243</v>
      </c>
      <c r="Q263" s="1128">
        <v>55.4</v>
      </c>
      <c r="R263" s="1128">
        <v>70.16000137329101</v>
      </c>
      <c r="S263" s="1128">
        <v>73.039998626708979</v>
      </c>
      <c r="T263" s="1128">
        <v>81.139998626708987</v>
      </c>
      <c r="U263" s="1128">
        <v>82.760001373291018</v>
      </c>
      <c r="V263" s="1128">
        <v>73.760001373291018</v>
      </c>
      <c r="W263" s="1128">
        <v>60.8</v>
      </c>
      <c r="X263" s="1128">
        <v>47.840000343322757</v>
      </c>
      <c r="Y263" s="1128">
        <v>42.97999982833862</v>
      </c>
      <c r="Z263" s="1128">
        <v>60.816767208412905</v>
      </c>
      <c r="AA263" s="1128">
        <f t="shared" si="300"/>
        <v>56.064675648985229</v>
      </c>
      <c r="AB263" s="1128">
        <f t="shared" si="301"/>
        <v>55.748769213278187</v>
      </c>
      <c r="AC263" s="1128">
        <f t="shared" si="302"/>
        <v>58.317907018015021</v>
      </c>
      <c r="AD263" s="1128">
        <f t="shared" si="303"/>
        <v>63.102403702779057</v>
      </c>
      <c r="AE263" s="1128">
        <f t="shared" si="304"/>
        <v>68.855106475360827</v>
      </c>
      <c r="AF263" s="1128">
        <f t="shared" si="305"/>
        <v>74.07648470625368</v>
      </c>
      <c r="AG263" s="1128">
        <f t="shared" si="306"/>
        <v>77.405505695701251</v>
      </c>
      <c r="AH263" s="1128">
        <f t="shared" si="307"/>
        <v>77.974408821037684</v>
      </c>
      <c r="AI263" s="1128">
        <f t="shared" si="308"/>
        <v>75.634900715581509</v>
      </c>
      <c r="AJ263" s="1128">
        <f t="shared" si="309"/>
        <v>70.996810219931078</v>
      </c>
      <c r="AK263" s="1128">
        <f t="shared" si="310"/>
        <v>65.269127096915767</v>
      </c>
      <c r="AL263" s="1128">
        <f t="shared" si="311"/>
        <v>59.944860218818221</v>
      </c>
      <c r="AM263" s="1125">
        <f t="shared" si="312"/>
        <v>1</v>
      </c>
      <c r="AN263" s="1125">
        <f t="shared" si="313"/>
        <v>1</v>
      </c>
      <c r="AO263" s="1125">
        <f t="shared" si="314"/>
        <v>1</v>
      </c>
      <c r="AP263" s="1125">
        <f t="shared" si="315"/>
        <v>1</v>
      </c>
      <c r="AQ263" s="1125">
        <f t="shared" si="316"/>
        <v>0</v>
      </c>
      <c r="AR263" s="1125">
        <f t="shared" si="317"/>
        <v>0</v>
      </c>
      <c r="AS263" s="1125">
        <f t="shared" si="318"/>
        <v>0</v>
      </c>
      <c r="AT263" s="1125">
        <f t="shared" si="319"/>
        <v>0</v>
      </c>
      <c r="AU263" s="1125">
        <f t="shared" si="320"/>
        <v>0</v>
      </c>
      <c r="AV263" s="1125">
        <f t="shared" si="321"/>
        <v>1</v>
      </c>
      <c r="AW263" s="1125">
        <f t="shared" si="322"/>
        <v>1</v>
      </c>
      <c r="AX263" s="1125">
        <f t="shared" si="323"/>
        <v>1</v>
      </c>
      <c r="AY263" s="1125">
        <f t="shared" si="324"/>
        <v>0</v>
      </c>
      <c r="AZ263" s="1125">
        <f t="shared" si="325"/>
        <v>0</v>
      </c>
      <c r="BA263" s="1125">
        <f t="shared" si="326"/>
        <v>0</v>
      </c>
      <c r="BB263" s="1125">
        <f t="shared" si="327"/>
        <v>0</v>
      </c>
      <c r="BC263" s="1125">
        <f t="shared" si="328"/>
        <v>1</v>
      </c>
      <c r="BD263" s="1125">
        <f t="shared" si="329"/>
        <v>1</v>
      </c>
      <c r="BE263" s="1125">
        <f t="shared" si="330"/>
        <v>1</v>
      </c>
      <c r="BF263" s="1125">
        <f t="shared" si="331"/>
        <v>1</v>
      </c>
      <c r="BG263" s="1125">
        <f t="shared" si="332"/>
        <v>1</v>
      </c>
      <c r="BH263" s="1125">
        <f t="shared" si="333"/>
        <v>0</v>
      </c>
      <c r="BI263" s="1125">
        <f t="shared" si="334"/>
        <v>0</v>
      </c>
      <c r="BJ263" s="1125">
        <f t="shared" si="335"/>
        <v>0</v>
      </c>
      <c r="BK263" s="1125">
        <f t="shared" si="336"/>
        <v>1</v>
      </c>
      <c r="BL263" s="1125">
        <f t="shared" si="337"/>
        <v>1</v>
      </c>
      <c r="BM263" s="1125">
        <f t="shared" si="338"/>
        <v>1</v>
      </c>
      <c r="BN263" s="1125">
        <f t="shared" si="339"/>
        <v>1</v>
      </c>
      <c r="BO263" s="1125">
        <f t="shared" si="340"/>
        <v>1</v>
      </c>
      <c r="BP263" s="1125">
        <f t="shared" si="341"/>
        <v>0</v>
      </c>
      <c r="BQ263" s="1125">
        <f t="shared" si="342"/>
        <v>0</v>
      </c>
      <c r="BR263" s="1125">
        <f t="shared" si="343"/>
        <v>0</v>
      </c>
      <c r="BS263" s="1125">
        <f t="shared" si="344"/>
        <v>0</v>
      </c>
      <c r="BT263" s="1125">
        <f t="shared" si="345"/>
        <v>1</v>
      </c>
      <c r="BU263" s="1125">
        <f t="shared" si="346"/>
        <v>1</v>
      </c>
      <c r="BV263" s="1125">
        <f t="shared" si="347"/>
        <v>1</v>
      </c>
      <c r="BW263" s="1125">
        <f t="shared" si="348"/>
        <v>0</v>
      </c>
      <c r="BX263" s="1125">
        <f t="shared" si="349"/>
        <v>0</v>
      </c>
      <c r="BY263" s="1125">
        <f t="shared" si="350"/>
        <v>0</v>
      </c>
      <c r="BZ263" s="1125">
        <f t="shared" si="351"/>
        <v>1</v>
      </c>
      <c r="CA263" s="1125">
        <f t="shared" si="352"/>
        <v>1</v>
      </c>
      <c r="CB263" s="1125">
        <f t="shared" si="353"/>
        <v>1</v>
      </c>
      <c r="CC263" s="1125">
        <f t="shared" si="354"/>
        <v>1</v>
      </c>
      <c r="CD263" s="1125">
        <f t="shared" si="355"/>
        <v>1</v>
      </c>
      <c r="CE263" s="1125">
        <f t="shared" si="356"/>
        <v>1</v>
      </c>
      <c r="CF263" s="1125">
        <f t="shared" si="357"/>
        <v>1</v>
      </c>
      <c r="CG263" s="1125">
        <f t="shared" si="358"/>
        <v>0</v>
      </c>
      <c r="CH263" s="1125">
        <f t="shared" si="359"/>
        <v>0</v>
      </c>
      <c r="CI263" s="1125">
        <f t="shared" si="360"/>
        <v>0.85</v>
      </c>
      <c r="CJ263" s="1125">
        <f t="shared" si="361"/>
        <v>0.85</v>
      </c>
      <c r="CK263" s="1125">
        <f t="shared" si="362"/>
        <v>0.85</v>
      </c>
      <c r="CL263" s="1125">
        <f t="shared" si="363"/>
        <v>0.85</v>
      </c>
      <c r="CM263" s="1125">
        <f t="shared" si="364"/>
        <v>0.85</v>
      </c>
      <c r="CN263" s="1125">
        <f t="shared" si="365"/>
        <v>0.7</v>
      </c>
      <c r="CO263" s="1125">
        <f t="shared" si="366"/>
        <v>0.7</v>
      </c>
      <c r="CP263" s="1125">
        <f t="shared" si="367"/>
        <v>0.7</v>
      </c>
      <c r="CQ263" s="1125">
        <f t="shared" si="368"/>
        <v>0.7</v>
      </c>
      <c r="CR263" s="1125">
        <f t="shared" si="369"/>
        <v>0.85</v>
      </c>
      <c r="CS263" s="1125">
        <f t="shared" si="370"/>
        <v>0.85</v>
      </c>
      <c r="CT263" s="1125">
        <f t="shared" si="371"/>
        <v>0.85</v>
      </c>
      <c r="CU263" s="1125">
        <v>1</v>
      </c>
      <c r="CV263" s="1125"/>
      <c r="CW263" s="1125">
        <f t="shared" si="372"/>
        <v>214</v>
      </c>
      <c r="CX263" s="1125">
        <f t="shared" si="373"/>
        <v>151</v>
      </c>
      <c r="CY263" s="1135" t="s">
        <v>4886</v>
      </c>
      <c r="CZ263" s="1124" t="s">
        <v>4888</v>
      </c>
      <c r="DA263" s="1124"/>
      <c r="DB263" s="1124"/>
      <c r="DC263" s="1120" t="s">
        <v>5023</v>
      </c>
      <c r="DD263" s="1120" t="s">
        <v>954</v>
      </c>
      <c r="DE263" s="1120" t="str">
        <f t="shared" si="374"/>
        <v/>
      </c>
      <c r="DF263" s="1125">
        <v>1</v>
      </c>
      <c r="DG263" s="1125">
        <v>0</v>
      </c>
    </row>
    <row r="264" spans="1:111">
      <c r="A264" s="1120" t="s">
        <v>3324</v>
      </c>
      <c r="B264" s="1120" t="s">
        <v>3024</v>
      </c>
      <c r="C264" s="1120" t="s">
        <v>3025</v>
      </c>
      <c r="D264" s="1120" t="s">
        <v>1176</v>
      </c>
      <c r="E264" s="1120">
        <v>253</v>
      </c>
      <c r="F264" s="1120">
        <v>-92.82</v>
      </c>
      <c r="G264" s="1120">
        <v>33.22</v>
      </c>
      <c r="H264" s="1120">
        <v>-6</v>
      </c>
      <c r="I264" s="1121">
        <v>25.339999914169312</v>
      </c>
      <c r="J264" s="1121">
        <v>95.539998626708993</v>
      </c>
      <c r="K264" s="1122">
        <v>77.180000686645513</v>
      </c>
      <c r="L264" s="1120">
        <v>2631.6</v>
      </c>
      <c r="M264" s="1120">
        <v>2525.4</v>
      </c>
      <c r="N264" s="1123">
        <v>42.440000343322751</v>
      </c>
      <c r="O264" s="1123">
        <v>43.879999828338626</v>
      </c>
      <c r="P264" s="1123">
        <v>60.259999656677245</v>
      </c>
      <c r="Q264" s="1123">
        <v>64.219999313354492</v>
      </c>
      <c r="R264" s="1123">
        <v>74.83999862670899</v>
      </c>
      <c r="S264" s="1123">
        <v>78.8</v>
      </c>
      <c r="T264" s="1123">
        <v>79.880000686645502</v>
      </c>
      <c r="U264" s="1123">
        <v>86.719999313354492</v>
      </c>
      <c r="V264" s="1123">
        <v>78.619999313354498</v>
      </c>
      <c r="W264" s="1123">
        <v>59.9</v>
      </c>
      <c r="X264" s="1123">
        <v>55.580000686645505</v>
      </c>
      <c r="Y264" s="1123">
        <v>42.8</v>
      </c>
      <c r="Z264" s="1123">
        <v>64.102136800060535</v>
      </c>
      <c r="AA264" s="1123">
        <f t="shared" si="300"/>
        <v>57.230448588403917</v>
      </c>
      <c r="AB264" s="1123">
        <f t="shared" si="301"/>
        <v>57.242389721197803</v>
      </c>
      <c r="AC264" s="1123">
        <f t="shared" si="302"/>
        <v>60.60642210479844</v>
      </c>
      <c r="AD264" s="1123">
        <f t="shared" si="303"/>
        <v>66.445658857112079</v>
      </c>
      <c r="AE264" s="1123">
        <f t="shared" si="304"/>
        <v>73.238012933285972</v>
      </c>
      <c r="AF264" s="1123">
        <f t="shared" si="305"/>
        <v>79.212952570020633</v>
      </c>
      <c r="AG264" s="1123">
        <f t="shared" si="306"/>
        <v>82.81301767439426</v>
      </c>
      <c r="AH264" s="1123">
        <f t="shared" si="307"/>
        <v>83.09979579826927</v>
      </c>
      <c r="AI264" s="1123">
        <f t="shared" si="308"/>
        <v>79.998533804272981</v>
      </c>
      <c r="AJ264" s="1123">
        <f t="shared" si="309"/>
        <v>74.317623423034505</v>
      </c>
      <c r="AK264" s="1123">
        <f t="shared" si="310"/>
        <v>67.537881490902606</v>
      </c>
      <c r="AL264" s="1123">
        <f t="shared" si="311"/>
        <v>61.426552221473173</v>
      </c>
      <c r="AM264" s="1120">
        <f t="shared" si="312"/>
        <v>1</v>
      </c>
      <c r="AN264" s="1120">
        <f t="shared" si="313"/>
        <v>1</v>
      </c>
      <c r="AO264" s="1120">
        <f t="shared" si="314"/>
        <v>1</v>
      </c>
      <c r="AP264" s="1120">
        <f t="shared" si="315"/>
        <v>1</v>
      </c>
      <c r="AQ264" s="1120">
        <f t="shared" si="316"/>
        <v>0</v>
      </c>
      <c r="AR264" s="1120">
        <f t="shared" si="317"/>
        <v>0</v>
      </c>
      <c r="AS264" s="1120">
        <f t="shared" si="318"/>
        <v>0</v>
      </c>
      <c r="AT264" s="1120">
        <f t="shared" si="319"/>
        <v>0</v>
      </c>
      <c r="AU264" s="1120">
        <f t="shared" si="320"/>
        <v>0</v>
      </c>
      <c r="AV264" s="1120">
        <f t="shared" si="321"/>
        <v>1</v>
      </c>
      <c r="AW264" s="1120">
        <f t="shared" si="322"/>
        <v>1</v>
      </c>
      <c r="AX264" s="1120">
        <f t="shared" si="323"/>
        <v>1</v>
      </c>
      <c r="AY264" s="1120">
        <f t="shared" si="324"/>
        <v>0</v>
      </c>
      <c r="AZ264" s="1120">
        <f t="shared" si="325"/>
        <v>0</v>
      </c>
      <c r="BA264" s="1120">
        <f t="shared" si="326"/>
        <v>0</v>
      </c>
      <c r="BB264" s="1120">
        <f t="shared" si="327"/>
        <v>0</v>
      </c>
      <c r="BC264" s="1120">
        <f t="shared" si="328"/>
        <v>1</v>
      </c>
      <c r="BD264" s="1120">
        <f t="shared" si="329"/>
        <v>1</v>
      </c>
      <c r="BE264" s="1120">
        <f t="shared" si="330"/>
        <v>1</v>
      </c>
      <c r="BF264" s="1120">
        <f t="shared" si="331"/>
        <v>1</v>
      </c>
      <c r="BG264" s="1120">
        <f t="shared" si="332"/>
        <v>1</v>
      </c>
      <c r="BH264" s="1120">
        <f t="shared" si="333"/>
        <v>0</v>
      </c>
      <c r="BI264" s="1120">
        <f t="shared" si="334"/>
        <v>0</v>
      </c>
      <c r="BJ264" s="1120">
        <f t="shared" si="335"/>
        <v>0</v>
      </c>
      <c r="BK264" s="1120">
        <f t="shared" si="336"/>
        <v>1</v>
      </c>
      <c r="BL264" s="1120">
        <f t="shared" si="337"/>
        <v>1</v>
      </c>
      <c r="BM264" s="1120">
        <f t="shared" si="338"/>
        <v>1</v>
      </c>
      <c r="BN264" s="1120">
        <f t="shared" si="339"/>
        <v>1</v>
      </c>
      <c r="BO264" s="1120">
        <f t="shared" si="340"/>
        <v>1</v>
      </c>
      <c r="BP264" s="1120">
        <f t="shared" si="341"/>
        <v>0</v>
      </c>
      <c r="BQ264" s="1120">
        <f t="shared" si="342"/>
        <v>0</v>
      </c>
      <c r="BR264" s="1120">
        <f t="shared" si="343"/>
        <v>0</v>
      </c>
      <c r="BS264" s="1120">
        <f t="shared" si="344"/>
        <v>0</v>
      </c>
      <c r="BT264" s="1120">
        <f t="shared" si="345"/>
        <v>1</v>
      </c>
      <c r="BU264" s="1120">
        <f t="shared" si="346"/>
        <v>1</v>
      </c>
      <c r="BV264" s="1120">
        <f t="shared" si="347"/>
        <v>1</v>
      </c>
      <c r="BW264" s="1120">
        <f t="shared" si="348"/>
        <v>0</v>
      </c>
      <c r="BX264" s="1120">
        <f t="shared" si="349"/>
        <v>0</v>
      </c>
      <c r="BY264" s="1120">
        <f t="shared" si="350"/>
        <v>0</v>
      </c>
      <c r="BZ264" s="1120">
        <f t="shared" si="351"/>
        <v>1</v>
      </c>
      <c r="CA264" s="1120">
        <f t="shared" si="352"/>
        <v>1</v>
      </c>
      <c r="CB264" s="1120">
        <f t="shared" si="353"/>
        <v>1</v>
      </c>
      <c r="CC264" s="1120">
        <f t="shared" si="354"/>
        <v>1</v>
      </c>
      <c r="CD264" s="1120">
        <f t="shared" si="355"/>
        <v>1</v>
      </c>
      <c r="CE264" s="1120">
        <f t="shared" si="356"/>
        <v>1</v>
      </c>
      <c r="CF264" s="1120">
        <f t="shared" si="357"/>
        <v>1</v>
      </c>
      <c r="CG264" s="1120">
        <f t="shared" si="358"/>
        <v>0</v>
      </c>
      <c r="CH264" s="1120">
        <f t="shared" si="359"/>
        <v>0</v>
      </c>
      <c r="CI264" s="1120">
        <f t="shared" si="360"/>
        <v>0.85</v>
      </c>
      <c r="CJ264" s="1120">
        <f t="shared" si="361"/>
        <v>0.85</v>
      </c>
      <c r="CK264" s="1120">
        <f t="shared" si="362"/>
        <v>0.85</v>
      </c>
      <c r="CL264" s="1120">
        <f t="shared" si="363"/>
        <v>0.85</v>
      </c>
      <c r="CM264" s="1120">
        <f t="shared" si="364"/>
        <v>0.85</v>
      </c>
      <c r="CN264" s="1120">
        <f t="shared" si="365"/>
        <v>0.7</v>
      </c>
      <c r="CO264" s="1120">
        <f t="shared" si="366"/>
        <v>0.7</v>
      </c>
      <c r="CP264" s="1120">
        <f t="shared" si="367"/>
        <v>0.7</v>
      </c>
      <c r="CQ264" s="1120">
        <f t="shared" si="368"/>
        <v>0.7</v>
      </c>
      <c r="CR264" s="1120">
        <f t="shared" si="369"/>
        <v>0.85</v>
      </c>
      <c r="CS264" s="1120">
        <f t="shared" si="370"/>
        <v>0.85</v>
      </c>
      <c r="CT264" s="1120">
        <f t="shared" si="371"/>
        <v>0.85</v>
      </c>
      <c r="CU264" s="1120">
        <v>1</v>
      </c>
      <c r="CV264" s="1120"/>
      <c r="CW264" s="1120">
        <f t="shared" si="372"/>
        <v>214</v>
      </c>
      <c r="CX264" s="1120">
        <f t="shared" si="373"/>
        <v>151</v>
      </c>
      <c r="CY264" s="1135" t="s">
        <v>4883</v>
      </c>
      <c r="CZ264" s="1124" t="s">
        <v>4882</v>
      </c>
      <c r="DA264" s="1124"/>
      <c r="DB264" s="1124"/>
      <c r="DC264" s="1120" t="s">
        <v>4984</v>
      </c>
      <c r="DD264" s="1120" t="s">
        <v>1176</v>
      </c>
      <c r="DE264" s="1120" t="str">
        <f t="shared" si="374"/>
        <v/>
      </c>
      <c r="DF264" s="1120">
        <v>0</v>
      </c>
      <c r="DG264" s="1120">
        <v>0</v>
      </c>
    </row>
    <row r="265" spans="1:111">
      <c r="A265" s="1125" t="s">
        <v>3326</v>
      </c>
      <c r="B265" s="1120" t="s">
        <v>4394</v>
      </c>
      <c r="C265" s="1120" t="s">
        <v>4395</v>
      </c>
      <c r="D265" s="1120" t="s">
        <v>228</v>
      </c>
      <c r="E265" s="1120">
        <v>3890</v>
      </c>
      <c r="F265" s="1120">
        <v>-106.5</v>
      </c>
      <c r="G265" s="1120">
        <v>31.77</v>
      </c>
      <c r="H265" s="1120">
        <v>-7</v>
      </c>
      <c r="I265" s="1121">
        <v>26.420000171661378</v>
      </c>
      <c r="J265" s="1121">
        <v>98.239998626708982</v>
      </c>
      <c r="K265" s="1122">
        <v>64.400000000000006</v>
      </c>
      <c r="L265" s="1120">
        <v>2358</v>
      </c>
      <c r="M265" s="1120">
        <v>2347.2000000000003</v>
      </c>
      <c r="N265" s="1123">
        <v>46.580000686645505</v>
      </c>
      <c r="O265" s="1123">
        <v>50.540000343322752</v>
      </c>
      <c r="P265" s="1123">
        <v>54.5</v>
      </c>
      <c r="Q265" s="1123">
        <v>66.560001373291016</v>
      </c>
      <c r="R265" s="1123">
        <v>74.83999862670899</v>
      </c>
      <c r="S265" s="1123">
        <v>82.219999313354492</v>
      </c>
      <c r="T265" s="1123">
        <v>81.5</v>
      </c>
      <c r="U265" s="1123">
        <v>79.33999862670899</v>
      </c>
      <c r="V265" s="1123">
        <v>74.119999313354498</v>
      </c>
      <c r="W265" s="1123">
        <v>64.939998626708984</v>
      </c>
      <c r="X265" s="1123">
        <v>52.159999656677243</v>
      </c>
      <c r="Y265" s="1123">
        <v>44.240000343322755</v>
      </c>
      <c r="Z265" s="1123">
        <v>64.359068228839192</v>
      </c>
      <c r="AA265" s="1123">
        <f t="shared" si="300"/>
        <v>59.258778330818792</v>
      </c>
      <c r="AB265" s="1123">
        <f t="shared" si="301"/>
        <v>59.294939101746728</v>
      </c>
      <c r="AC265" s="1123">
        <f t="shared" si="302"/>
        <v>62.215135633042259</v>
      </c>
      <c r="AD265" s="1123">
        <f t="shared" si="303"/>
        <v>67.258173697232465</v>
      </c>
      <c r="AE265" s="1123">
        <f t="shared" si="304"/>
        <v>73.109507707317178</v>
      </c>
      <c r="AF265" s="1123">
        <f t="shared" si="305"/>
        <v>78.243897281781244</v>
      </c>
      <c r="AG265" s="1123">
        <f t="shared" si="306"/>
        <v>81.322984654702211</v>
      </c>
      <c r="AH265" s="1123">
        <f t="shared" si="307"/>
        <v>81.544158252155512</v>
      </c>
      <c r="AI265" s="1123">
        <f t="shared" si="308"/>
        <v>78.849765767576628</v>
      </c>
      <c r="AJ265" s="1123">
        <f t="shared" si="309"/>
        <v>73.942142123916113</v>
      </c>
      <c r="AK265" s="1123">
        <f t="shared" si="310"/>
        <v>68.100535052663659</v>
      </c>
      <c r="AL265" s="1123">
        <f t="shared" si="311"/>
        <v>62.847649458831157</v>
      </c>
      <c r="AM265" s="1120">
        <f t="shared" si="312"/>
        <v>1</v>
      </c>
      <c r="AN265" s="1120">
        <f t="shared" si="313"/>
        <v>1</v>
      </c>
      <c r="AO265" s="1120">
        <f t="shared" si="314"/>
        <v>1</v>
      </c>
      <c r="AP265" s="1120">
        <f t="shared" si="315"/>
        <v>0</v>
      </c>
      <c r="AQ265" s="1120">
        <f t="shared" si="316"/>
        <v>0</v>
      </c>
      <c r="AR265" s="1120">
        <f t="shared" si="317"/>
        <v>0</v>
      </c>
      <c r="AS265" s="1120">
        <f t="shared" si="318"/>
        <v>0</v>
      </c>
      <c r="AT265" s="1120">
        <f t="shared" si="319"/>
        <v>0</v>
      </c>
      <c r="AU265" s="1120">
        <f t="shared" si="320"/>
        <v>0</v>
      </c>
      <c r="AV265" s="1120">
        <f t="shared" si="321"/>
        <v>1</v>
      </c>
      <c r="AW265" s="1120">
        <f t="shared" si="322"/>
        <v>1</v>
      </c>
      <c r="AX265" s="1120">
        <f t="shared" si="323"/>
        <v>1</v>
      </c>
      <c r="AY265" s="1120">
        <f t="shared" si="324"/>
        <v>0</v>
      </c>
      <c r="AZ265" s="1120">
        <f t="shared" si="325"/>
        <v>0</v>
      </c>
      <c r="BA265" s="1120">
        <f t="shared" si="326"/>
        <v>0</v>
      </c>
      <c r="BB265" s="1120">
        <f t="shared" si="327"/>
        <v>1</v>
      </c>
      <c r="BC265" s="1120">
        <f t="shared" si="328"/>
        <v>1</v>
      </c>
      <c r="BD265" s="1120">
        <f t="shared" si="329"/>
        <v>1</v>
      </c>
      <c r="BE265" s="1120">
        <f t="shared" si="330"/>
        <v>1</v>
      </c>
      <c r="BF265" s="1120">
        <f t="shared" si="331"/>
        <v>1</v>
      </c>
      <c r="BG265" s="1120">
        <f t="shared" si="332"/>
        <v>1</v>
      </c>
      <c r="BH265" s="1120">
        <f t="shared" si="333"/>
        <v>0</v>
      </c>
      <c r="BI265" s="1120">
        <f t="shared" si="334"/>
        <v>0</v>
      </c>
      <c r="BJ265" s="1120">
        <f t="shared" si="335"/>
        <v>0</v>
      </c>
      <c r="BK265" s="1120">
        <f t="shared" si="336"/>
        <v>1</v>
      </c>
      <c r="BL265" s="1120">
        <f t="shared" si="337"/>
        <v>1</v>
      </c>
      <c r="BM265" s="1120">
        <f t="shared" si="338"/>
        <v>1</v>
      </c>
      <c r="BN265" s="1120">
        <f t="shared" si="339"/>
        <v>1</v>
      </c>
      <c r="BO265" s="1120">
        <f t="shared" si="340"/>
        <v>0</v>
      </c>
      <c r="BP265" s="1120">
        <f t="shared" si="341"/>
        <v>0</v>
      </c>
      <c r="BQ265" s="1120">
        <f t="shared" si="342"/>
        <v>0</v>
      </c>
      <c r="BR265" s="1120">
        <f t="shared" si="343"/>
        <v>0</v>
      </c>
      <c r="BS265" s="1120">
        <f t="shared" si="344"/>
        <v>0</v>
      </c>
      <c r="BT265" s="1120">
        <f t="shared" si="345"/>
        <v>1</v>
      </c>
      <c r="BU265" s="1120">
        <f t="shared" si="346"/>
        <v>1</v>
      </c>
      <c r="BV265" s="1120">
        <f t="shared" si="347"/>
        <v>1</v>
      </c>
      <c r="BW265" s="1120">
        <f t="shared" si="348"/>
        <v>0</v>
      </c>
      <c r="BX265" s="1120">
        <f t="shared" si="349"/>
        <v>0</v>
      </c>
      <c r="BY265" s="1120">
        <f t="shared" si="350"/>
        <v>1</v>
      </c>
      <c r="BZ265" s="1120">
        <f t="shared" si="351"/>
        <v>1</v>
      </c>
      <c r="CA265" s="1120">
        <f t="shared" si="352"/>
        <v>1</v>
      </c>
      <c r="CB265" s="1120">
        <f t="shared" si="353"/>
        <v>1</v>
      </c>
      <c r="CC265" s="1120">
        <f t="shared" si="354"/>
        <v>1</v>
      </c>
      <c r="CD265" s="1120">
        <f t="shared" si="355"/>
        <v>1</v>
      </c>
      <c r="CE265" s="1120">
        <f t="shared" si="356"/>
        <v>1</v>
      </c>
      <c r="CF265" s="1120">
        <f t="shared" si="357"/>
        <v>1</v>
      </c>
      <c r="CG265" s="1120">
        <f t="shared" si="358"/>
        <v>0</v>
      </c>
      <c r="CH265" s="1120">
        <f t="shared" si="359"/>
        <v>0</v>
      </c>
      <c r="CI265" s="1120">
        <f t="shared" si="360"/>
        <v>0.85</v>
      </c>
      <c r="CJ265" s="1120">
        <f t="shared" si="361"/>
        <v>0.85</v>
      </c>
      <c r="CK265" s="1120">
        <f t="shared" si="362"/>
        <v>0.85</v>
      </c>
      <c r="CL265" s="1120">
        <f t="shared" si="363"/>
        <v>0.85</v>
      </c>
      <c r="CM265" s="1120">
        <f t="shared" si="364"/>
        <v>0.7</v>
      </c>
      <c r="CN265" s="1120">
        <f t="shared" si="365"/>
        <v>0.7</v>
      </c>
      <c r="CO265" s="1120">
        <f t="shared" si="366"/>
        <v>0.7</v>
      </c>
      <c r="CP265" s="1120">
        <f t="shared" si="367"/>
        <v>0.7</v>
      </c>
      <c r="CQ265" s="1120">
        <f t="shared" si="368"/>
        <v>0.7</v>
      </c>
      <c r="CR265" s="1120">
        <f t="shared" si="369"/>
        <v>0.85</v>
      </c>
      <c r="CS265" s="1120">
        <f t="shared" si="370"/>
        <v>0.85</v>
      </c>
      <c r="CT265" s="1120">
        <f t="shared" si="371"/>
        <v>0.85</v>
      </c>
      <c r="CU265" s="1120">
        <v>1</v>
      </c>
      <c r="CV265" s="1120"/>
      <c r="CW265" s="1120">
        <f t="shared" si="372"/>
        <v>245</v>
      </c>
      <c r="CX265" s="1120">
        <f t="shared" si="373"/>
        <v>120</v>
      </c>
      <c r="CY265" s="1136" t="s">
        <v>4886</v>
      </c>
      <c r="CZ265" s="1129" t="s">
        <v>4888</v>
      </c>
      <c r="DA265" s="1129"/>
      <c r="DB265" s="1129"/>
      <c r="DC265" s="1125" t="s">
        <v>5588</v>
      </c>
      <c r="DD265" s="1125" t="s">
        <v>228</v>
      </c>
      <c r="DE265" s="1120" t="b">
        <f t="shared" si="374"/>
        <v>0</v>
      </c>
      <c r="DF265" s="1133">
        <v>0</v>
      </c>
      <c r="DG265" s="1125">
        <v>0</v>
      </c>
    </row>
    <row r="266" spans="1:111">
      <c r="A266" s="1120" t="s">
        <v>3274</v>
      </c>
      <c r="B266" s="1120" t="s">
        <v>3936</v>
      </c>
      <c r="C266" s="1120" t="s">
        <v>3937</v>
      </c>
      <c r="D266" s="1120" t="s">
        <v>426</v>
      </c>
      <c r="E266" s="1120">
        <v>13</v>
      </c>
      <c r="F266" s="1120">
        <v>-76.25</v>
      </c>
      <c r="G266" s="1120">
        <v>36.299999999999997</v>
      </c>
      <c r="H266" s="1120">
        <v>-5</v>
      </c>
      <c r="I266" s="1121">
        <v>24.620000171661378</v>
      </c>
      <c r="J266" s="1121">
        <v>92.120002746582031</v>
      </c>
      <c r="K266" s="1122">
        <v>77.180000686645513</v>
      </c>
      <c r="L266" s="1120">
        <v>2597.4</v>
      </c>
      <c r="M266" s="1120">
        <v>1852.2</v>
      </c>
      <c r="N266" s="1123">
        <v>46.940000343322751</v>
      </c>
      <c r="O266" s="1123">
        <v>42.440000343322751</v>
      </c>
      <c r="P266" s="1123">
        <v>53.240000343322755</v>
      </c>
      <c r="Q266" s="1123">
        <v>61.160001373291017</v>
      </c>
      <c r="R266" s="1123">
        <v>67.460001373291021</v>
      </c>
      <c r="S266" s="1123">
        <v>76.819999313354487</v>
      </c>
      <c r="T266" s="1123">
        <v>78.8</v>
      </c>
      <c r="U266" s="1123">
        <v>78.260001373291018</v>
      </c>
      <c r="V266" s="1123">
        <v>75.2</v>
      </c>
      <c r="W266" s="1123">
        <v>61.880000686645509</v>
      </c>
      <c r="X266" s="1123">
        <v>55.219999313354492</v>
      </c>
      <c r="Y266" s="1123">
        <v>49.280000686645508</v>
      </c>
      <c r="Z266" s="1123">
        <v>62.334192215383872</v>
      </c>
      <c r="AA266" s="1123">
        <f t="shared" si="300"/>
        <v>58.162217196802601</v>
      </c>
      <c r="AB266" s="1123">
        <f t="shared" si="301"/>
        <v>58.007021937380969</v>
      </c>
      <c r="AC266" s="1123">
        <f t="shared" si="302"/>
        <v>60.543762757432098</v>
      </c>
      <c r="AD266" s="1123">
        <f t="shared" si="303"/>
        <v>65.111199069850315</v>
      </c>
      <c r="AE266" s="1123">
        <f t="shared" si="304"/>
        <v>70.518758213479657</v>
      </c>
      <c r="AF266" s="1123">
        <f t="shared" si="305"/>
        <v>75.356876564524256</v>
      </c>
      <c r="AG266" s="1123">
        <f t="shared" si="306"/>
        <v>78.364424017123724</v>
      </c>
      <c r="AH266" s="1123">
        <f t="shared" si="307"/>
        <v>78.757436980048823</v>
      </c>
      <c r="AI266" s="1123">
        <f t="shared" si="308"/>
        <v>76.433470568000033</v>
      </c>
      <c r="AJ266" s="1123">
        <f t="shared" si="309"/>
        <v>71.998302439684352</v>
      </c>
      <c r="AK266" s="1123">
        <f t="shared" si="310"/>
        <v>66.608027515756973</v>
      </c>
      <c r="AL266" s="1123">
        <f t="shared" si="311"/>
        <v>61.667704021790591</v>
      </c>
      <c r="AM266" s="1120">
        <f t="shared" si="312"/>
        <v>1</v>
      </c>
      <c r="AN266" s="1120">
        <f t="shared" si="313"/>
        <v>1</v>
      </c>
      <c r="AO266" s="1120">
        <f t="shared" si="314"/>
        <v>1</v>
      </c>
      <c r="AP266" s="1120">
        <f t="shared" si="315"/>
        <v>1</v>
      </c>
      <c r="AQ266" s="1120">
        <f t="shared" si="316"/>
        <v>0</v>
      </c>
      <c r="AR266" s="1120">
        <f t="shared" si="317"/>
        <v>0</v>
      </c>
      <c r="AS266" s="1120">
        <f t="shared" si="318"/>
        <v>0</v>
      </c>
      <c r="AT266" s="1120">
        <f t="shared" si="319"/>
        <v>0</v>
      </c>
      <c r="AU266" s="1120">
        <f t="shared" si="320"/>
        <v>0</v>
      </c>
      <c r="AV266" s="1120">
        <f t="shared" si="321"/>
        <v>1</v>
      </c>
      <c r="AW266" s="1120">
        <f t="shared" si="322"/>
        <v>1</v>
      </c>
      <c r="AX266" s="1120">
        <f t="shared" si="323"/>
        <v>1</v>
      </c>
      <c r="AY266" s="1120">
        <f t="shared" si="324"/>
        <v>0</v>
      </c>
      <c r="AZ266" s="1120">
        <f t="shared" si="325"/>
        <v>0</v>
      </c>
      <c r="BA266" s="1120">
        <f t="shared" si="326"/>
        <v>0</v>
      </c>
      <c r="BB266" s="1120">
        <f t="shared" si="327"/>
        <v>0</v>
      </c>
      <c r="BC266" s="1120">
        <f t="shared" si="328"/>
        <v>1</v>
      </c>
      <c r="BD266" s="1120">
        <f t="shared" si="329"/>
        <v>1</v>
      </c>
      <c r="BE266" s="1120">
        <f t="shared" si="330"/>
        <v>1</v>
      </c>
      <c r="BF266" s="1120">
        <f t="shared" si="331"/>
        <v>1</v>
      </c>
      <c r="BG266" s="1120">
        <f t="shared" si="332"/>
        <v>1</v>
      </c>
      <c r="BH266" s="1120">
        <f t="shared" si="333"/>
        <v>0</v>
      </c>
      <c r="BI266" s="1120">
        <f t="shared" si="334"/>
        <v>0</v>
      </c>
      <c r="BJ266" s="1120">
        <f t="shared" si="335"/>
        <v>0</v>
      </c>
      <c r="BK266" s="1120">
        <f t="shared" si="336"/>
        <v>1</v>
      </c>
      <c r="BL266" s="1120">
        <f t="shared" si="337"/>
        <v>1</v>
      </c>
      <c r="BM266" s="1120">
        <f t="shared" si="338"/>
        <v>1</v>
      </c>
      <c r="BN266" s="1120">
        <f t="shared" si="339"/>
        <v>1</v>
      </c>
      <c r="BO266" s="1120">
        <f t="shared" si="340"/>
        <v>1</v>
      </c>
      <c r="BP266" s="1120">
        <f t="shared" si="341"/>
        <v>0</v>
      </c>
      <c r="BQ266" s="1120">
        <f t="shared" si="342"/>
        <v>0</v>
      </c>
      <c r="BR266" s="1120">
        <f t="shared" si="343"/>
        <v>0</v>
      </c>
      <c r="BS266" s="1120">
        <f t="shared" si="344"/>
        <v>0</v>
      </c>
      <c r="BT266" s="1120">
        <f t="shared" si="345"/>
        <v>1</v>
      </c>
      <c r="BU266" s="1120">
        <f t="shared" si="346"/>
        <v>1</v>
      </c>
      <c r="BV266" s="1120">
        <f t="shared" si="347"/>
        <v>1</v>
      </c>
      <c r="BW266" s="1120">
        <f t="shared" si="348"/>
        <v>0</v>
      </c>
      <c r="BX266" s="1120">
        <f t="shared" si="349"/>
        <v>0</v>
      </c>
      <c r="BY266" s="1120">
        <f t="shared" si="350"/>
        <v>0</v>
      </c>
      <c r="BZ266" s="1120">
        <f t="shared" si="351"/>
        <v>1</v>
      </c>
      <c r="CA266" s="1120">
        <f t="shared" si="352"/>
        <v>1</v>
      </c>
      <c r="CB266" s="1120">
        <f t="shared" si="353"/>
        <v>1</v>
      </c>
      <c r="CC266" s="1120">
        <f t="shared" si="354"/>
        <v>1</v>
      </c>
      <c r="CD266" s="1120">
        <f t="shared" si="355"/>
        <v>1</v>
      </c>
      <c r="CE266" s="1120">
        <f t="shared" si="356"/>
        <v>1</v>
      </c>
      <c r="CF266" s="1120">
        <f t="shared" si="357"/>
        <v>1</v>
      </c>
      <c r="CG266" s="1120">
        <f t="shared" si="358"/>
        <v>0</v>
      </c>
      <c r="CH266" s="1120">
        <f t="shared" si="359"/>
        <v>0</v>
      </c>
      <c r="CI266" s="1120">
        <f t="shared" si="360"/>
        <v>0.85</v>
      </c>
      <c r="CJ266" s="1120">
        <f t="shared" si="361"/>
        <v>0.85</v>
      </c>
      <c r="CK266" s="1120">
        <f t="shared" si="362"/>
        <v>0.85</v>
      </c>
      <c r="CL266" s="1120">
        <f t="shared" si="363"/>
        <v>0.85</v>
      </c>
      <c r="CM266" s="1120">
        <f t="shared" si="364"/>
        <v>0.85</v>
      </c>
      <c r="CN266" s="1120">
        <f t="shared" si="365"/>
        <v>0.7</v>
      </c>
      <c r="CO266" s="1120">
        <f t="shared" si="366"/>
        <v>0.7</v>
      </c>
      <c r="CP266" s="1120">
        <f t="shared" si="367"/>
        <v>0.7</v>
      </c>
      <c r="CQ266" s="1120">
        <f t="shared" si="368"/>
        <v>0.7</v>
      </c>
      <c r="CR266" s="1120">
        <f t="shared" si="369"/>
        <v>0.85</v>
      </c>
      <c r="CS266" s="1120">
        <f t="shared" si="370"/>
        <v>0.85</v>
      </c>
      <c r="CT266" s="1120">
        <f t="shared" si="371"/>
        <v>0.85</v>
      </c>
      <c r="CU266" s="1120">
        <v>1</v>
      </c>
      <c r="CV266" s="1120"/>
      <c r="CW266" s="1120">
        <f t="shared" si="372"/>
        <v>214</v>
      </c>
      <c r="CX266" s="1120">
        <f t="shared" si="373"/>
        <v>151</v>
      </c>
      <c r="CY266" s="1135" t="s">
        <v>4881</v>
      </c>
      <c r="CZ266" s="1124" t="s">
        <v>4882</v>
      </c>
      <c r="DA266" s="1124"/>
      <c r="DB266" s="1124"/>
      <c r="DC266" s="1120" t="s">
        <v>5389</v>
      </c>
      <c r="DD266" s="1120" t="s">
        <v>426</v>
      </c>
      <c r="DE266" s="1120" t="b">
        <f t="shared" si="374"/>
        <v>0</v>
      </c>
      <c r="DF266" s="1133">
        <v>0</v>
      </c>
      <c r="DG266" s="1120">
        <v>0</v>
      </c>
    </row>
    <row r="267" spans="1:111">
      <c r="A267" s="1125" t="s">
        <v>3328</v>
      </c>
      <c r="B267" s="1120" t="s">
        <v>4651</v>
      </c>
      <c r="C267" s="1120" t="s">
        <v>4652</v>
      </c>
      <c r="D267" s="1120" t="s">
        <v>513</v>
      </c>
      <c r="E267" s="1120">
        <v>1948</v>
      </c>
      <c r="F267" s="1120">
        <v>-79.849999999999994</v>
      </c>
      <c r="G267" s="1120">
        <v>38.880000000000003</v>
      </c>
      <c r="H267" s="1120">
        <v>-5</v>
      </c>
      <c r="I267" s="1121">
        <v>6.7999999999999989</v>
      </c>
      <c r="J267" s="1121">
        <v>84.2</v>
      </c>
      <c r="K267" s="1122">
        <v>69.619999313354498</v>
      </c>
      <c r="L267" s="1120">
        <v>5875.2</v>
      </c>
      <c r="M267" s="1120">
        <v>403.2</v>
      </c>
      <c r="N267" s="1123">
        <v>25.339999914169312</v>
      </c>
      <c r="O267" s="1123">
        <v>32.720000010728839</v>
      </c>
      <c r="P267" s="1123">
        <v>42.259999656677245</v>
      </c>
      <c r="Q267" s="1123">
        <v>48.559999656677249</v>
      </c>
      <c r="R267" s="1123">
        <v>59</v>
      </c>
      <c r="S267" s="1123">
        <v>64.939998626708984</v>
      </c>
      <c r="T267" s="1123">
        <v>68.900000000000006</v>
      </c>
      <c r="U267" s="1123">
        <v>68</v>
      </c>
      <c r="V267" s="1123">
        <v>60.440000343322751</v>
      </c>
      <c r="W267" s="1123">
        <v>46.940000343322751</v>
      </c>
      <c r="X267" s="1123">
        <v>42.259999656677245</v>
      </c>
      <c r="Y267" s="1123">
        <v>32.540000021457672</v>
      </c>
      <c r="Z267" s="1123">
        <v>49.409698484401183</v>
      </c>
      <c r="AA267" s="1123">
        <f t="shared" si="300"/>
        <v>46.774279102789137</v>
      </c>
      <c r="AB267" s="1123">
        <f t="shared" si="301"/>
        <v>45.519711952047928</v>
      </c>
      <c r="AC267" s="1123">
        <f t="shared" si="302"/>
        <v>46.84312220027045</v>
      </c>
      <c r="AD267" s="1123">
        <f t="shared" si="303"/>
        <v>50.399542571888247</v>
      </c>
      <c r="AE267" s="1123">
        <f t="shared" si="304"/>
        <v>55.261937290942242</v>
      </c>
      <c r="AF267" s="1123">
        <f t="shared" si="305"/>
        <v>60.162848242140228</v>
      </c>
      <c r="AG267" s="1123">
        <f t="shared" si="306"/>
        <v>63.824777460728562</v>
      </c>
      <c r="AH267" s="1123">
        <f t="shared" si="307"/>
        <v>65.29318666384475</v>
      </c>
      <c r="AI267" s="1123">
        <f t="shared" si="308"/>
        <v>64.185312363825759</v>
      </c>
      <c r="AJ267" s="1123">
        <f t="shared" si="309"/>
        <v>60.789939069831306</v>
      </c>
      <c r="AK267" s="1123">
        <f t="shared" si="310"/>
        <v>55.992123155227347</v>
      </c>
      <c r="AL267" s="1123">
        <f t="shared" si="311"/>
        <v>51.042489274736688</v>
      </c>
      <c r="AM267" s="1120">
        <f t="shared" si="312"/>
        <v>1</v>
      </c>
      <c r="AN267" s="1120">
        <f t="shared" si="313"/>
        <v>1</v>
      </c>
      <c r="AO267" s="1120">
        <f t="shared" si="314"/>
        <v>1</v>
      </c>
      <c r="AP267" s="1120">
        <f t="shared" si="315"/>
        <v>1</v>
      </c>
      <c r="AQ267" s="1120">
        <f t="shared" si="316"/>
        <v>1</v>
      </c>
      <c r="AR267" s="1120">
        <f t="shared" si="317"/>
        <v>1</v>
      </c>
      <c r="AS267" s="1120">
        <f t="shared" si="318"/>
        <v>0</v>
      </c>
      <c r="AT267" s="1120">
        <f t="shared" si="319"/>
        <v>0</v>
      </c>
      <c r="AU267" s="1120">
        <f t="shared" si="320"/>
        <v>1</v>
      </c>
      <c r="AV267" s="1120">
        <f t="shared" si="321"/>
        <v>1</v>
      </c>
      <c r="AW267" s="1120">
        <f t="shared" si="322"/>
        <v>1</v>
      </c>
      <c r="AX267" s="1120">
        <f t="shared" si="323"/>
        <v>1</v>
      </c>
      <c r="AY267" s="1120">
        <f t="shared" si="324"/>
        <v>0</v>
      </c>
      <c r="AZ267" s="1120">
        <f t="shared" si="325"/>
        <v>0</v>
      </c>
      <c r="BA267" s="1120">
        <f t="shared" si="326"/>
        <v>0</v>
      </c>
      <c r="BB267" s="1120">
        <f t="shared" si="327"/>
        <v>0</v>
      </c>
      <c r="BC267" s="1120">
        <f t="shared" si="328"/>
        <v>0</v>
      </c>
      <c r="BD267" s="1120">
        <f t="shared" si="329"/>
        <v>0</v>
      </c>
      <c r="BE267" s="1120">
        <f t="shared" si="330"/>
        <v>1</v>
      </c>
      <c r="BF267" s="1120">
        <f t="shared" si="331"/>
        <v>1</v>
      </c>
      <c r="BG267" s="1120">
        <f t="shared" si="332"/>
        <v>0</v>
      </c>
      <c r="BH267" s="1120">
        <f t="shared" si="333"/>
        <v>0</v>
      </c>
      <c r="BI267" s="1120">
        <f t="shared" si="334"/>
        <v>0</v>
      </c>
      <c r="BJ267" s="1120">
        <f t="shared" si="335"/>
        <v>0</v>
      </c>
      <c r="BK267" s="1120">
        <f t="shared" si="336"/>
        <v>1</v>
      </c>
      <c r="BL267" s="1120">
        <f t="shared" si="337"/>
        <v>1</v>
      </c>
      <c r="BM267" s="1120">
        <f t="shared" si="338"/>
        <v>1</v>
      </c>
      <c r="BN267" s="1120">
        <f t="shared" si="339"/>
        <v>1</v>
      </c>
      <c r="BO267" s="1120">
        <f t="shared" si="340"/>
        <v>1</v>
      </c>
      <c r="BP267" s="1120">
        <f t="shared" si="341"/>
        <v>1</v>
      </c>
      <c r="BQ267" s="1120">
        <f t="shared" si="342"/>
        <v>1</v>
      </c>
      <c r="BR267" s="1120">
        <f t="shared" si="343"/>
        <v>0</v>
      </c>
      <c r="BS267" s="1120">
        <f t="shared" si="344"/>
        <v>1</v>
      </c>
      <c r="BT267" s="1120">
        <f t="shared" si="345"/>
        <v>1</v>
      </c>
      <c r="BU267" s="1120">
        <f t="shared" si="346"/>
        <v>1</v>
      </c>
      <c r="BV267" s="1120">
        <f t="shared" si="347"/>
        <v>1</v>
      </c>
      <c r="BW267" s="1120">
        <f t="shared" si="348"/>
        <v>0</v>
      </c>
      <c r="BX267" s="1120">
        <f t="shared" si="349"/>
        <v>0</v>
      </c>
      <c r="BY267" s="1120">
        <f t="shared" si="350"/>
        <v>0</v>
      </c>
      <c r="BZ267" s="1120">
        <f t="shared" si="351"/>
        <v>0</v>
      </c>
      <c r="CA267" s="1120">
        <f t="shared" si="352"/>
        <v>0</v>
      </c>
      <c r="CB267" s="1120">
        <f t="shared" si="353"/>
        <v>1</v>
      </c>
      <c r="CC267" s="1120">
        <f t="shared" si="354"/>
        <v>1</v>
      </c>
      <c r="CD267" s="1120">
        <f t="shared" si="355"/>
        <v>1</v>
      </c>
      <c r="CE267" s="1120">
        <f t="shared" si="356"/>
        <v>1</v>
      </c>
      <c r="CF267" s="1120">
        <f t="shared" si="357"/>
        <v>0</v>
      </c>
      <c r="CG267" s="1120">
        <f t="shared" si="358"/>
        <v>0</v>
      </c>
      <c r="CH267" s="1120">
        <f t="shared" si="359"/>
        <v>0</v>
      </c>
      <c r="CI267" s="1120">
        <f t="shared" si="360"/>
        <v>0.85</v>
      </c>
      <c r="CJ267" s="1120">
        <f t="shared" si="361"/>
        <v>0.85</v>
      </c>
      <c r="CK267" s="1120">
        <f t="shared" si="362"/>
        <v>0.85</v>
      </c>
      <c r="CL267" s="1120">
        <f t="shared" si="363"/>
        <v>0.85</v>
      </c>
      <c r="CM267" s="1120">
        <f t="shared" si="364"/>
        <v>0.85</v>
      </c>
      <c r="CN267" s="1120">
        <f t="shared" si="365"/>
        <v>0.85</v>
      </c>
      <c r="CO267" s="1120">
        <f t="shared" si="366"/>
        <v>0.85</v>
      </c>
      <c r="CP267" s="1120">
        <f t="shared" si="367"/>
        <v>0.7</v>
      </c>
      <c r="CQ267" s="1120">
        <f t="shared" si="368"/>
        <v>0.85</v>
      </c>
      <c r="CR267" s="1120">
        <f t="shared" si="369"/>
        <v>0.85</v>
      </c>
      <c r="CS267" s="1120">
        <f t="shared" si="370"/>
        <v>0.85</v>
      </c>
      <c r="CT267" s="1120">
        <f t="shared" si="371"/>
        <v>0.85</v>
      </c>
      <c r="CU267" s="1120">
        <v>1</v>
      </c>
      <c r="CV267" s="1120"/>
      <c r="CW267" s="1120">
        <f t="shared" si="372"/>
        <v>122</v>
      </c>
      <c r="CX267" s="1120">
        <f t="shared" si="373"/>
        <v>243</v>
      </c>
      <c r="CY267" s="1136" t="s">
        <v>4889</v>
      </c>
      <c r="CZ267" s="1129" t="s">
        <v>4897</v>
      </c>
      <c r="DA267" s="1129"/>
      <c r="DB267" s="1129"/>
      <c r="DC267" s="1125" t="s">
        <v>6055</v>
      </c>
      <c r="DD267" s="1125" t="s">
        <v>513</v>
      </c>
      <c r="DE267" s="1120" t="str">
        <f t="shared" si="374"/>
        <v/>
      </c>
      <c r="DF267" s="1133">
        <v>0</v>
      </c>
      <c r="DG267" s="1125">
        <v>0</v>
      </c>
    </row>
    <row r="268" spans="1:111">
      <c r="A268" s="1120" t="s">
        <v>3330</v>
      </c>
      <c r="B268" s="1125" t="s">
        <v>4096</v>
      </c>
      <c r="C268" s="1125" t="s">
        <v>4097</v>
      </c>
      <c r="D268" s="1125" t="s">
        <v>450</v>
      </c>
      <c r="E268" s="1125">
        <v>5077</v>
      </c>
      <c r="F268" s="1125">
        <v>-115.8</v>
      </c>
      <c r="G268" s="1125">
        <v>40.83</v>
      </c>
      <c r="H268" s="1125">
        <v>-8</v>
      </c>
      <c r="I268" s="1126">
        <v>1.9399986267089837</v>
      </c>
      <c r="J268" s="1126">
        <v>91.939998626708984</v>
      </c>
      <c r="K268" s="1127">
        <v>59.180000686645506</v>
      </c>
      <c r="L268" s="1125">
        <v>6894</v>
      </c>
      <c r="M268" s="1125">
        <v>541.80000000000007</v>
      </c>
      <c r="N268" s="1128">
        <v>23.179999828338623</v>
      </c>
      <c r="O268" s="1128">
        <v>32.540000021457672</v>
      </c>
      <c r="P268" s="1128">
        <v>36.679999828338623</v>
      </c>
      <c r="Q268" s="1128">
        <v>46.759999656677245</v>
      </c>
      <c r="R268" s="1128">
        <v>54.680000686645506</v>
      </c>
      <c r="S268" s="1128">
        <v>65.3</v>
      </c>
      <c r="T268" s="1128">
        <v>73.400000000000006</v>
      </c>
      <c r="U268" s="1128">
        <v>68.180000686645513</v>
      </c>
      <c r="V268" s="1128">
        <v>57.019999313354489</v>
      </c>
      <c r="W268" s="1128">
        <v>45.5</v>
      </c>
      <c r="X268" s="1128">
        <v>33.799999999999997</v>
      </c>
      <c r="Y268" s="1128">
        <v>25.7</v>
      </c>
      <c r="Z268" s="1128">
        <v>46.971068497618582</v>
      </c>
      <c r="AA268" s="1128">
        <f t="shared" si="300"/>
        <v>43.778983704255694</v>
      </c>
      <c r="AB268" s="1128">
        <f t="shared" si="301"/>
        <v>42.187609619507491</v>
      </c>
      <c r="AC268" s="1128">
        <f t="shared" si="302"/>
        <v>43.407110269470429</v>
      </c>
      <c r="AD268" s="1128">
        <f t="shared" si="303"/>
        <v>47.119604016657782</v>
      </c>
      <c r="AE268" s="1128">
        <f t="shared" si="304"/>
        <v>52.357372154604761</v>
      </c>
      <c r="AF268" s="1128">
        <f t="shared" si="305"/>
        <v>57.755109701705209</v>
      </c>
      <c r="AG268" s="1128">
        <f t="shared" si="306"/>
        <v>61.905813184653908</v>
      </c>
      <c r="AH268" s="1128">
        <f t="shared" si="307"/>
        <v>63.727537776343425</v>
      </c>
      <c r="AI268" s="1128">
        <f t="shared" si="308"/>
        <v>62.745422888324143</v>
      </c>
      <c r="AJ268" s="1128">
        <f t="shared" si="309"/>
        <v>59.215471901006843</v>
      </c>
      <c r="AK268" s="1128">
        <f t="shared" si="310"/>
        <v>54.057820937427124</v>
      </c>
      <c r="AL268" s="1128">
        <f t="shared" si="311"/>
        <v>48.616891203049249</v>
      </c>
      <c r="AM268" s="1125">
        <f t="shared" si="312"/>
        <v>1</v>
      </c>
      <c r="AN268" s="1125">
        <f t="shared" si="313"/>
        <v>1</v>
      </c>
      <c r="AO268" s="1125">
        <f t="shared" si="314"/>
        <v>1</v>
      </c>
      <c r="AP268" s="1125">
        <f t="shared" si="315"/>
        <v>1</v>
      </c>
      <c r="AQ268" s="1125">
        <f t="shared" si="316"/>
        <v>1</v>
      </c>
      <c r="AR268" s="1125">
        <f t="shared" si="317"/>
        <v>1</v>
      </c>
      <c r="AS268" s="1125">
        <f t="shared" si="318"/>
        <v>0</v>
      </c>
      <c r="AT268" s="1125">
        <f t="shared" si="319"/>
        <v>0</v>
      </c>
      <c r="AU268" s="1125">
        <f t="shared" si="320"/>
        <v>1</v>
      </c>
      <c r="AV268" s="1125">
        <f t="shared" si="321"/>
        <v>1</v>
      </c>
      <c r="AW268" s="1125">
        <f t="shared" si="322"/>
        <v>1</v>
      </c>
      <c r="AX268" s="1125">
        <f t="shared" si="323"/>
        <v>1</v>
      </c>
      <c r="AY268" s="1125">
        <f t="shared" si="324"/>
        <v>0</v>
      </c>
      <c r="AZ268" s="1125">
        <f t="shared" si="325"/>
        <v>0</v>
      </c>
      <c r="BA268" s="1125">
        <f t="shared" si="326"/>
        <v>0</v>
      </c>
      <c r="BB268" s="1125">
        <f t="shared" si="327"/>
        <v>0</v>
      </c>
      <c r="BC268" s="1125">
        <f t="shared" si="328"/>
        <v>0</v>
      </c>
      <c r="BD268" s="1125">
        <f t="shared" si="329"/>
        <v>0</v>
      </c>
      <c r="BE268" s="1125">
        <f t="shared" si="330"/>
        <v>1</v>
      </c>
      <c r="BF268" s="1125">
        <f t="shared" si="331"/>
        <v>1</v>
      </c>
      <c r="BG268" s="1125">
        <f t="shared" si="332"/>
        <v>0</v>
      </c>
      <c r="BH268" s="1125">
        <f t="shared" si="333"/>
        <v>0</v>
      </c>
      <c r="BI268" s="1125">
        <f t="shared" si="334"/>
        <v>0</v>
      </c>
      <c r="BJ268" s="1125">
        <f t="shared" si="335"/>
        <v>0</v>
      </c>
      <c r="BK268" s="1125">
        <f t="shared" si="336"/>
        <v>1</v>
      </c>
      <c r="BL268" s="1125">
        <f t="shared" si="337"/>
        <v>1</v>
      </c>
      <c r="BM268" s="1125">
        <f t="shared" si="338"/>
        <v>1</v>
      </c>
      <c r="BN268" s="1125">
        <f t="shared" si="339"/>
        <v>1</v>
      </c>
      <c r="BO268" s="1125">
        <f t="shared" si="340"/>
        <v>1</v>
      </c>
      <c r="BP268" s="1125">
        <f t="shared" si="341"/>
        <v>1</v>
      </c>
      <c r="BQ268" s="1125">
        <f t="shared" si="342"/>
        <v>1</v>
      </c>
      <c r="BR268" s="1125">
        <f t="shared" si="343"/>
        <v>0</v>
      </c>
      <c r="BS268" s="1125">
        <f t="shared" si="344"/>
        <v>1</v>
      </c>
      <c r="BT268" s="1125">
        <f t="shared" si="345"/>
        <v>1</v>
      </c>
      <c r="BU268" s="1125">
        <f t="shared" si="346"/>
        <v>1</v>
      </c>
      <c r="BV268" s="1125">
        <f t="shared" si="347"/>
        <v>1</v>
      </c>
      <c r="BW268" s="1125">
        <f t="shared" si="348"/>
        <v>0</v>
      </c>
      <c r="BX268" s="1125">
        <f t="shared" si="349"/>
        <v>0</v>
      </c>
      <c r="BY268" s="1125">
        <f t="shared" si="350"/>
        <v>0</v>
      </c>
      <c r="BZ268" s="1125">
        <f t="shared" si="351"/>
        <v>0</v>
      </c>
      <c r="CA268" s="1125">
        <f t="shared" si="352"/>
        <v>0</v>
      </c>
      <c r="CB268" s="1125">
        <f t="shared" si="353"/>
        <v>1</v>
      </c>
      <c r="CC268" s="1125">
        <f t="shared" si="354"/>
        <v>1</v>
      </c>
      <c r="CD268" s="1125">
        <f t="shared" si="355"/>
        <v>1</v>
      </c>
      <c r="CE268" s="1125">
        <f t="shared" si="356"/>
        <v>1</v>
      </c>
      <c r="CF268" s="1125">
        <f t="shared" si="357"/>
        <v>0</v>
      </c>
      <c r="CG268" s="1125">
        <f t="shared" si="358"/>
        <v>0</v>
      </c>
      <c r="CH268" s="1125">
        <f t="shared" si="359"/>
        <v>0</v>
      </c>
      <c r="CI268" s="1125">
        <f t="shared" si="360"/>
        <v>0.85</v>
      </c>
      <c r="CJ268" s="1125">
        <f t="shared" si="361"/>
        <v>0.85</v>
      </c>
      <c r="CK268" s="1125">
        <f t="shared" si="362"/>
        <v>0.85</v>
      </c>
      <c r="CL268" s="1125">
        <f t="shared" si="363"/>
        <v>0.85</v>
      </c>
      <c r="CM268" s="1125">
        <f t="shared" si="364"/>
        <v>0.85</v>
      </c>
      <c r="CN268" s="1125">
        <f t="shared" si="365"/>
        <v>0.85</v>
      </c>
      <c r="CO268" s="1125">
        <f t="shared" si="366"/>
        <v>0.85</v>
      </c>
      <c r="CP268" s="1125">
        <f t="shared" si="367"/>
        <v>0.7</v>
      </c>
      <c r="CQ268" s="1125">
        <f t="shared" si="368"/>
        <v>0.85</v>
      </c>
      <c r="CR268" s="1125">
        <f t="shared" si="369"/>
        <v>0.85</v>
      </c>
      <c r="CS268" s="1125">
        <f t="shared" si="370"/>
        <v>0.85</v>
      </c>
      <c r="CT268" s="1125">
        <f t="shared" si="371"/>
        <v>0.85</v>
      </c>
      <c r="CU268" s="1125">
        <v>1</v>
      </c>
      <c r="CV268" s="1125"/>
      <c r="CW268" s="1125">
        <f t="shared" si="372"/>
        <v>122</v>
      </c>
      <c r="CX268" s="1125">
        <f t="shared" si="373"/>
        <v>243</v>
      </c>
      <c r="CY268" s="1136" t="s">
        <v>4889</v>
      </c>
      <c r="CZ268" s="1129" t="s">
        <v>4890</v>
      </c>
      <c r="DA268" s="1129"/>
      <c r="DB268" s="1129"/>
      <c r="DC268" s="1125" t="s">
        <v>5460</v>
      </c>
      <c r="DD268" s="1125" t="s">
        <v>450</v>
      </c>
      <c r="DE268" s="1120" t="str">
        <f t="shared" si="374"/>
        <v/>
      </c>
      <c r="DF268" s="1133">
        <v>0</v>
      </c>
      <c r="DG268" s="1120">
        <v>0</v>
      </c>
    </row>
    <row r="269" spans="1:111">
      <c r="A269" s="1125" t="s">
        <v>3332</v>
      </c>
      <c r="B269" s="1125" t="s">
        <v>4320</v>
      </c>
      <c r="C269" s="1125" t="s">
        <v>4321</v>
      </c>
      <c r="D269" s="1125" t="s">
        <v>1147</v>
      </c>
      <c r="E269" s="1125">
        <v>3214</v>
      </c>
      <c r="F269" s="1125">
        <v>-103.1</v>
      </c>
      <c r="G269" s="1125">
        <v>44.15</v>
      </c>
      <c r="H269" s="1125">
        <v>-7</v>
      </c>
      <c r="I269" s="1126">
        <v>-3.6399986267089854</v>
      </c>
      <c r="J269" s="1126">
        <v>92.3</v>
      </c>
      <c r="K269" s="1127">
        <v>65.480000686645511</v>
      </c>
      <c r="L269" s="1125">
        <v>7626.6</v>
      </c>
      <c r="M269" s="1125">
        <v>842.4</v>
      </c>
      <c r="N269" s="1128">
        <v>19.759999656677245</v>
      </c>
      <c r="O269" s="1128">
        <v>30.019999957084657</v>
      </c>
      <c r="P269" s="1128">
        <v>29.3</v>
      </c>
      <c r="Q269" s="1128">
        <v>39.920000171661378</v>
      </c>
      <c r="R269" s="1128">
        <v>51.440000343322751</v>
      </c>
      <c r="S269" s="1128">
        <v>68.900000000000006</v>
      </c>
      <c r="T269" s="1128">
        <v>77.360001373291013</v>
      </c>
      <c r="U269" s="1128">
        <v>69.080000686645505</v>
      </c>
      <c r="V269" s="1128">
        <v>59.540000343322752</v>
      </c>
      <c r="W269" s="1128">
        <v>39.02000017166138</v>
      </c>
      <c r="X269" s="1128">
        <v>37.4</v>
      </c>
      <c r="Y269" s="1128">
        <v>27.320000171661377</v>
      </c>
      <c r="Z269" s="1128">
        <v>45.822027640408031</v>
      </c>
      <c r="AA269" s="1128">
        <f t="shared" si="300"/>
        <v>41.687776712864668</v>
      </c>
      <c r="AB269" s="1128">
        <f t="shared" si="301"/>
        <v>39.795291431113505</v>
      </c>
      <c r="AC269" s="1128">
        <f t="shared" si="302"/>
        <v>41.037760279930069</v>
      </c>
      <c r="AD269" s="1128">
        <f t="shared" si="303"/>
        <v>45.091314606845785</v>
      </c>
      <c r="AE269" s="1128">
        <f t="shared" si="304"/>
        <v>50.899333009387036</v>
      </c>
      <c r="AF269" s="1128">
        <f t="shared" si="305"/>
        <v>56.947865986658577</v>
      </c>
      <c r="AG269" s="1128">
        <f t="shared" si="306"/>
        <v>61.660270207419941</v>
      </c>
      <c r="AH269" s="1128">
        <f t="shared" si="307"/>
        <v>63.808184891182442</v>
      </c>
      <c r="AI269" s="1128">
        <f t="shared" si="308"/>
        <v>62.831722975256163</v>
      </c>
      <c r="AJ269" s="1128">
        <f t="shared" si="309"/>
        <v>58.985414305760912</v>
      </c>
      <c r="AK269" s="1128">
        <f t="shared" si="310"/>
        <v>53.271858510811406</v>
      </c>
      <c r="AL269" s="1128">
        <f t="shared" si="311"/>
        <v>47.180381956921238</v>
      </c>
      <c r="AM269" s="1125">
        <f t="shared" si="312"/>
        <v>1</v>
      </c>
      <c r="AN269" s="1125">
        <f t="shared" si="313"/>
        <v>1</v>
      </c>
      <c r="AO269" s="1125">
        <f t="shared" si="314"/>
        <v>1</v>
      </c>
      <c r="AP269" s="1125">
        <f t="shared" si="315"/>
        <v>1</v>
      </c>
      <c r="AQ269" s="1125">
        <f t="shared" si="316"/>
        <v>1</v>
      </c>
      <c r="AR269" s="1125">
        <f t="shared" si="317"/>
        <v>0</v>
      </c>
      <c r="AS269" s="1125">
        <f t="shared" si="318"/>
        <v>0</v>
      </c>
      <c r="AT269" s="1125">
        <f t="shared" si="319"/>
        <v>0</v>
      </c>
      <c r="AU269" s="1125">
        <f t="shared" si="320"/>
        <v>1</v>
      </c>
      <c r="AV269" s="1125">
        <f t="shared" si="321"/>
        <v>1</v>
      </c>
      <c r="AW269" s="1125">
        <f t="shared" si="322"/>
        <v>1</v>
      </c>
      <c r="AX269" s="1125">
        <f t="shared" si="323"/>
        <v>1</v>
      </c>
      <c r="AY269" s="1125">
        <f t="shared" si="324"/>
        <v>0</v>
      </c>
      <c r="AZ269" s="1125">
        <f t="shared" si="325"/>
        <v>0</v>
      </c>
      <c r="BA269" s="1125">
        <f t="shared" si="326"/>
        <v>0</v>
      </c>
      <c r="BB269" s="1125">
        <f t="shared" si="327"/>
        <v>0</v>
      </c>
      <c r="BC269" s="1125">
        <f t="shared" si="328"/>
        <v>0</v>
      </c>
      <c r="BD269" s="1125">
        <f t="shared" si="329"/>
        <v>1</v>
      </c>
      <c r="BE269" s="1125">
        <f t="shared" si="330"/>
        <v>1</v>
      </c>
      <c r="BF269" s="1125">
        <f t="shared" si="331"/>
        <v>1</v>
      </c>
      <c r="BG269" s="1125">
        <f t="shared" si="332"/>
        <v>0</v>
      </c>
      <c r="BH269" s="1125">
        <f t="shared" si="333"/>
        <v>0</v>
      </c>
      <c r="BI269" s="1125">
        <f t="shared" si="334"/>
        <v>0</v>
      </c>
      <c r="BJ269" s="1125">
        <f t="shared" si="335"/>
        <v>0</v>
      </c>
      <c r="BK269" s="1125">
        <f t="shared" si="336"/>
        <v>1</v>
      </c>
      <c r="BL269" s="1125">
        <f t="shared" si="337"/>
        <v>1</v>
      </c>
      <c r="BM269" s="1125">
        <f t="shared" si="338"/>
        <v>1</v>
      </c>
      <c r="BN269" s="1125">
        <f t="shared" si="339"/>
        <v>1</v>
      </c>
      <c r="BO269" s="1125">
        <f t="shared" si="340"/>
        <v>1</v>
      </c>
      <c r="BP269" s="1125">
        <f t="shared" si="341"/>
        <v>1</v>
      </c>
      <c r="BQ269" s="1125">
        <f t="shared" si="342"/>
        <v>0</v>
      </c>
      <c r="BR269" s="1125">
        <f t="shared" si="343"/>
        <v>0</v>
      </c>
      <c r="BS269" s="1125">
        <f t="shared" si="344"/>
        <v>1</v>
      </c>
      <c r="BT269" s="1125">
        <f t="shared" si="345"/>
        <v>1</v>
      </c>
      <c r="BU269" s="1125">
        <f t="shared" si="346"/>
        <v>1</v>
      </c>
      <c r="BV269" s="1125">
        <f t="shared" si="347"/>
        <v>1</v>
      </c>
      <c r="BW269" s="1125">
        <f t="shared" si="348"/>
        <v>0</v>
      </c>
      <c r="BX269" s="1125">
        <f t="shared" si="349"/>
        <v>0</v>
      </c>
      <c r="BY269" s="1125">
        <f t="shared" si="350"/>
        <v>0</v>
      </c>
      <c r="BZ269" s="1125">
        <f t="shared" si="351"/>
        <v>0</v>
      </c>
      <c r="CA269" s="1125">
        <f t="shared" si="352"/>
        <v>1</v>
      </c>
      <c r="CB269" s="1125">
        <f t="shared" si="353"/>
        <v>1</v>
      </c>
      <c r="CC269" s="1125">
        <f t="shared" si="354"/>
        <v>1</v>
      </c>
      <c r="CD269" s="1125">
        <f t="shared" si="355"/>
        <v>1</v>
      </c>
      <c r="CE269" s="1125">
        <f t="shared" si="356"/>
        <v>1</v>
      </c>
      <c r="CF269" s="1125">
        <f t="shared" si="357"/>
        <v>0</v>
      </c>
      <c r="CG269" s="1125">
        <f t="shared" si="358"/>
        <v>0</v>
      </c>
      <c r="CH269" s="1125">
        <f t="shared" si="359"/>
        <v>0</v>
      </c>
      <c r="CI269" s="1125">
        <f t="shared" si="360"/>
        <v>0.85</v>
      </c>
      <c r="CJ269" s="1125">
        <f t="shared" si="361"/>
        <v>0.85</v>
      </c>
      <c r="CK269" s="1125">
        <f t="shared" si="362"/>
        <v>0.85</v>
      </c>
      <c r="CL269" s="1125">
        <f t="shared" si="363"/>
        <v>0.85</v>
      </c>
      <c r="CM269" s="1125">
        <f t="shared" si="364"/>
        <v>0.85</v>
      </c>
      <c r="CN269" s="1125">
        <f t="shared" si="365"/>
        <v>0.85</v>
      </c>
      <c r="CO269" s="1125">
        <f t="shared" si="366"/>
        <v>0.7</v>
      </c>
      <c r="CP269" s="1125">
        <f t="shared" si="367"/>
        <v>0.7</v>
      </c>
      <c r="CQ269" s="1125">
        <f t="shared" si="368"/>
        <v>0.85</v>
      </c>
      <c r="CR269" s="1125">
        <f t="shared" si="369"/>
        <v>0.85</v>
      </c>
      <c r="CS269" s="1125">
        <f t="shared" si="370"/>
        <v>0.85</v>
      </c>
      <c r="CT269" s="1125">
        <f t="shared" si="371"/>
        <v>0.85</v>
      </c>
      <c r="CU269" s="1125">
        <v>1</v>
      </c>
      <c r="CV269" s="1125"/>
      <c r="CW269" s="1125">
        <f t="shared" si="372"/>
        <v>153</v>
      </c>
      <c r="CX269" s="1125">
        <f t="shared" si="373"/>
        <v>212</v>
      </c>
      <c r="CY269" s="1136" t="s">
        <v>4889</v>
      </c>
      <c r="CZ269" s="1129" t="s">
        <v>4899</v>
      </c>
      <c r="DA269" s="1129"/>
      <c r="DB269" s="1129"/>
      <c r="DC269" s="1125" t="s">
        <v>5558</v>
      </c>
      <c r="DD269" s="1125" t="s">
        <v>1147</v>
      </c>
      <c r="DE269" s="1120" t="str">
        <f t="shared" si="374"/>
        <v/>
      </c>
      <c r="DF269" s="1133">
        <v>0</v>
      </c>
      <c r="DG269" s="1125">
        <v>0</v>
      </c>
    </row>
    <row r="270" spans="1:111">
      <c r="A270" s="1120" t="s">
        <v>3334</v>
      </c>
      <c r="B270" s="1125" t="s">
        <v>4124</v>
      </c>
      <c r="C270" s="1125" t="s">
        <v>4125</v>
      </c>
      <c r="D270" s="1125" t="s">
        <v>537</v>
      </c>
      <c r="E270" s="1125">
        <v>954</v>
      </c>
      <c r="F270" s="1125">
        <v>-76.900000000000006</v>
      </c>
      <c r="G270" s="1125">
        <v>42.17</v>
      </c>
      <c r="H270" s="1125">
        <v>-5</v>
      </c>
      <c r="I270" s="1126">
        <v>3.380000686645507</v>
      </c>
      <c r="J270" s="1126">
        <v>86.539998626708979</v>
      </c>
      <c r="K270" s="1127">
        <v>70.33999862670899</v>
      </c>
      <c r="L270" s="1125">
        <v>6247.8</v>
      </c>
      <c r="M270" s="1125">
        <v>322.2</v>
      </c>
      <c r="N270" s="1128">
        <v>26.779999828338624</v>
      </c>
      <c r="O270" s="1128">
        <v>31.81999999731779</v>
      </c>
      <c r="P270" s="1128">
        <v>38.47999982833862</v>
      </c>
      <c r="Q270" s="1128">
        <v>49.280000686645508</v>
      </c>
      <c r="R270" s="1128">
        <v>51.980000686645511</v>
      </c>
      <c r="S270" s="1128">
        <v>64.939998626708984</v>
      </c>
      <c r="T270" s="1128">
        <v>67.460001373291021</v>
      </c>
      <c r="U270" s="1128">
        <v>66.560001373291016</v>
      </c>
      <c r="V270" s="1128">
        <v>60.440000343322751</v>
      </c>
      <c r="W270" s="1128">
        <v>48.740000343322755</v>
      </c>
      <c r="X270" s="1128">
        <v>40.820000171661377</v>
      </c>
      <c r="Y270" s="1128">
        <v>30.019999957084657</v>
      </c>
      <c r="Z270" s="1128">
        <v>48.180767396917084</v>
      </c>
      <c r="AA270" s="1128">
        <f t="shared" si="300"/>
        <v>46.428930777471692</v>
      </c>
      <c r="AB270" s="1128">
        <f t="shared" si="301"/>
        <v>45.195292005329435</v>
      </c>
      <c r="AC270" s="1128">
        <f t="shared" si="302"/>
        <v>46.303855864371755</v>
      </c>
      <c r="AD270" s="1128">
        <f t="shared" si="303"/>
        <v>49.465658101253076</v>
      </c>
      <c r="AE270" s="1128">
        <f t="shared" si="304"/>
        <v>53.856526238082928</v>
      </c>
      <c r="AF270" s="1128">
        <f t="shared" si="305"/>
        <v>58.331912829670408</v>
      </c>
      <c r="AG270" s="1128">
        <f t="shared" si="306"/>
        <v>61.725239393123232</v>
      </c>
      <c r="AH270" s="1128">
        <f t="shared" si="307"/>
        <v>63.151983066932182</v>
      </c>
      <c r="AI270" s="1128">
        <f t="shared" si="308"/>
        <v>62.240241125733412</v>
      </c>
      <c r="AJ270" s="1128">
        <f t="shared" si="309"/>
        <v>59.227673156868995</v>
      </c>
      <c r="AK270" s="1128">
        <f t="shared" si="310"/>
        <v>54.899551426501112</v>
      </c>
      <c r="AL270" s="1128">
        <f t="shared" si="311"/>
        <v>50.384067562024967</v>
      </c>
      <c r="AM270" s="1125">
        <f t="shared" si="312"/>
        <v>1</v>
      </c>
      <c r="AN270" s="1125">
        <f t="shared" si="313"/>
        <v>1</v>
      </c>
      <c r="AO270" s="1125">
        <f t="shared" si="314"/>
        <v>1</v>
      </c>
      <c r="AP270" s="1125">
        <f t="shared" si="315"/>
        <v>1</v>
      </c>
      <c r="AQ270" s="1125">
        <f t="shared" si="316"/>
        <v>1</v>
      </c>
      <c r="AR270" s="1125">
        <f t="shared" si="317"/>
        <v>1</v>
      </c>
      <c r="AS270" s="1125">
        <f t="shared" si="318"/>
        <v>0</v>
      </c>
      <c r="AT270" s="1125">
        <f t="shared" si="319"/>
        <v>0</v>
      </c>
      <c r="AU270" s="1125">
        <f t="shared" si="320"/>
        <v>1</v>
      </c>
      <c r="AV270" s="1125">
        <f t="shared" si="321"/>
        <v>1</v>
      </c>
      <c r="AW270" s="1125">
        <f t="shared" si="322"/>
        <v>1</v>
      </c>
      <c r="AX270" s="1125">
        <f t="shared" si="323"/>
        <v>1</v>
      </c>
      <c r="AY270" s="1125">
        <f t="shared" si="324"/>
        <v>0</v>
      </c>
      <c r="AZ270" s="1125">
        <f t="shared" si="325"/>
        <v>0</v>
      </c>
      <c r="BA270" s="1125">
        <f t="shared" si="326"/>
        <v>0</v>
      </c>
      <c r="BB270" s="1125">
        <f t="shared" si="327"/>
        <v>0</v>
      </c>
      <c r="BC270" s="1125">
        <f t="shared" si="328"/>
        <v>0</v>
      </c>
      <c r="BD270" s="1125">
        <f t="shared" si="329"/>
        <v>0</v>
      </c>
      <c r="BE270" s="1125">
        <f t="shared" si="330"/>
        <v>1</v>
      </c>
      <c r="BF270" s="1125">
        <f t="shared" si="331"/>
        <v>1</v>
      </c>
      <c r="BG270" s="1125">
        <f t="shared" si="332"/>
        <v>0</v>
      </c>
      <c r="BH270" s="1125">
        <f t="shared" si="333"/>
        <v>0</v>
      </c>
      <c r="BI270" s="1125">
        <f t="shared" si="334"/>
        <v>0</v>
      </c>
      <c r="BJ270" s="1125">
        <f t="shared" si="335"/>
        <v>0</v>
      </c>
      <c r="BK270" s="1125">
        <f t="shared" si="336"/>
        <v>1</v>
      </c>
      <c r="BL270" s="1125">
        <f t="shared" si="337"/>
        <v>1</v>
      </c>
      <c r="BM270" s="1125">
        <f t="shared" si="338"/>
        <v>1</v>
      </c>
      <c r="BN270" s="1125">
        <f t="shared" si="339"/>
        <v>1</v>
      </c>
      <c r="BO270" s="1125">
        <f t="shared" si="340"/>
        <v>1</v>
      </c>
      <c r="BP270" s="1125">
        <f t="shared" si="341"/>
        <v>1</v>
      </c>
      <c r="BQ270" s="1125">
        <f t="shared" si="342"/>
        <v>1</v>
      </c>
      <c r="BR270" s="1125">
        <f t="shared" si="343"/>
        <v>0</v>
      </c>
      <c r="BS270" s="1125">
        <f t="shared" si="344"/>
        <v>1</v>
      </c>
      <c r="BT270" s="1125">
        <f t="shared" si="345"/>
        <v>1</v>
      </c>
      <c r="BU270" s="1125">
        <f t="shared" si="346"/>
        <v>1</v>
      </c>
      <c r="BV270" s="1125">
        <f t="shared" si="347"/>
        <v>1</v>
      </c>
      <c r="BW270" s="1125">
        <f t="shared" si="348"/>
        <v>0</v>
      </c>
      <c r="BX270" s="1125">
        <f t="shared" si="349"/>
        <v>0</v>
      </c>
      <c r="BY270" s="1125">
        <f t="shared" si="350"/>
        <v>0</v>
      </c>
      <c r="BZ270" s="1125">
        <f t="shared" si="351"/>
        <v>0</v>
      </c>
      <c r="CA270" s="1125">
        <f t="shared" si="352"/>
        <v>0</v>
      </c>
      <c r="CB270" s="1125">
        <f t="shared" si="353"/>
        <v>1</v>
      </c>
      <c r="CC270" s="1125">
        <f t="shared" si="354"/>
        <v>1</v>
      </c>
      <c r="CD270" s="1125">
        <f t="shared" si="355"/>
        <v>1</v>
      </c>
      <c r="CE270" s="1125">
        <f t="shared" si="356"/>
        <v>1</v>
      </c>
      <c r="CF270" s="1125">
        <f t="shared" si="357"/>
        <v>0</v>
      </c>
      <c r="CG270" s="1125">
        <f t="shared" si="358"/>
        <v>0</v>
      </c>
      <c r="CH270" s="1125">
        <f t="shared" si="359"/>
        <v>0</v>
      </c>
      <c r="CI270" s="1125">
        <f t="shared" si="360"/>
        <v>0.85</v>
      </c>
      <c r="CJ270" s="1125">
        <f t="shared" si="361"/>
        <v>0.85</v>
      </c>
      <c r="CK270" s="1125">
        <f t="shared" si="362"/>
        <v>0.85</v>
      </c>
      <c r="CL270" s="1125">
        <f t="shared" si="363"/>
        <v>0.85</v>
      </c>
      <c r="CM270" s="1125">
        <f t="shared" si="364"/>
        <v>0.85</v>
      </c>
      <c r="CN270" s="1125">
        <f t="shared" si="365"/>
        <v>0.85</v>
      </c>
      <c r="CO270" s="1125">
        <f t="shared" si="366"/>
        <v>0.85</v>
      </c>
      <c r="CP270" s="1125">
        <f t="shared" si="367"/>
        <v>0.7</v>
      </c>
      <c r="CQ270" s="1125">
        <f t="shared" si="368"/>
        <v>0.85</v>
      </c>
      <c r="CR270" s="1125">
        <f t="shared" si="369"/>
        <v>0.85</v>
      </c>
      <c r="CS270" s="1125">
        <f t="shared" si="370"/>
        <v>0.85</v>
      </c>
      <c r="CT270" s="1125">
        <f t="shared" si="371"/>
        <v>0.85</v>
      </c>
      <c r="CU270" s="1125">
        <v>1</v>
      </c>
      <c r="CV270" s="1125"/>
      <c r="CW270" s="1125">
        <f t="shared" si="372"/>
        <v>122</v>
      </c>
      <c r="CX270" s="1125">
        <f t="shared" si="373"/>
        <v>243</v>
      </c>
      <c r="CY270" s="1136" t="s">
        <v>4889</v>
      </c>
      <c r="CZ270" s="1129" t="s">
        <v>4897</v>
      </c>
      <c r="DA270" s="1129"/>
      <c r="DB270" s="1129"/>
      <c r="DC270" s="1125" t="s">
        <v>5474</v>
      </c>
      <c r="DD270" s="1125" t="s">
        <v>537</v>
      </c>
      <c r="DE270" s="1120" t="str">
        <f t="shared" si="374"/>
        <v/>
      </c>
      <c r="DF270" s="1133">
        <v>0</v>
      </c>
      <c r="DG270" s="1120">
        <v>0</v>
      </c>
    </row>
    <row r="271" spans="1:111">
      <c r="A271" s="1125" t="s">
        <v>3336</v>
      </c>
      <c r="B271" s="1125" t="s">
        <v>3787</v>
      </c>
      <c r="C271" s="1125" t="s">
        <v>3788</v>
      </c>
      <c r="D271" s="1125" t="s">
        <v>934</v>
      </c>
      <c r="E271" s="1125">
        <v>1492</v>
      </c>
      <c r="F271" s="1125">
        <v>-91.83</v>
      </c>
      <c r="G271" s="1125">
        <v>47.82</v>
      </c>
      <c r="H271" s="1125">
        <v>-6</v>
      </c>
      <c r="I271" s="1126">
        <v>-19.660001373291017</v>
      </c>
      <c r="J271" s="1126">
        <v>81.860001373291013</v>
      </c>
      <c r="K271" s="1127">
        <v>68.539998626708979</v>
      </c>
      <c r="L271" s="1125">
        <v>9066.6</v>
      </c>
      <c r="M271" s="1125">
        <v>244.8</v>
      </c>
      <c r="N271" s="1128">
        <v>-3.8199993133544932</v>
      </c>
      <c r="O271" s="1128">
        <v>18.5</v>
      </c>
      <c r="P271" s="1128">
        <v>27.860000085830688</v>
      </c>
      <c r="Q271" s="1128">
        <v>44.959999656677248</v>
      </c>
      <c r="R271" s="1128">
        <v>57.559999656677249</v>
      </c>
      <c r="S271" s="1128">
        <v>60.080000686645505</v>
      </c>
      <c r="T271" s="1128">
        <v>64.400000000000006</v>
      </c>
      <c r="U271" s="1128">
        <v>63.86000137329102</v>
      </c>
      <c r="V271" s="1128">
        <v>59.9</v>
      </c>
      <c r="W271" s="1128">
        <v>41.359999656677246</v>
      </c>
      <c r="X271" s="1128">
        <v>26.960000085830689</v>
      </c>
      <c r="Y271" s="1128">
        <v>20.3</v>
      </c>
      <c r="Z271" s="1128">
        <v>40.252383720842126</v>
      </c>
      <c r="AA271" s="1128">
        <f t="shared" si="300"/>
        <v>36.535409939694162</v>
      </c>
      <c r="AB271" s="1128">
        <f t="shared" si="301"/>
        <v>34.026543674514777</v>
      </c>
      <c r="AC271" s="1128">
        <f t="shared" si="302"/>
        <v>34.704531023308718</v>
      </c>
      <c r="AD271" s="1128">
        <f t="shared" si="303"/>
        <v>38.392644135511553</v>
      </c>
      <c r="AE271" s="1128">
        <f t="shared" si="304"/>
        <v>44.12951949288415</v>
      </c>
      <c r="AF271" s="1128">
        <f t="shared" si="305"/>
        <v>50.419752125602002</v>
      </c>
      <c r="AG271" s="1128">
        <f t="shared" si="306"/>
        <v>55.623695962528117</v>
      </c>
      <c r="AH271" s="1128">
        <f t="shared" si="307"/>
        <v>58.384862847365689</v>
      </c>
      <c r="AI271" s="1128">
        <f t="shared" si="308"/>
        <v>57.98351208071211</v>
      </c>
      <c r="AJ271" s="1128">
        <f t="shared" si="309"/>
        <v>54.524261924898163</v>
      </c>
      <c r="AK271" s="1128">
        <f t="shared" si="310"/>
        <v>48.908819241695291</v>
      </c>
      <c r="AL271" s="1128">
        <f t="shared" si="311"/>
        <v>42.600935703071521</v>
      </c>
      <c r="AM271" s="1125">
        <f t="shared" si="312"/>
        <v>1</v>
      </c>
      <c r="AN271" s="1125">
        <f t="shared" si="313"/>
        <v>1</v>
      </c>
      <c r="AO271" s="1125">
        <f t="shared" si="314"/>
        <v>1</v>
      </c>
      <c r="AP271" s="1125">
        <f t="shared" si="315"/>
        <v>1</v>
      </c>
      <c r="AQ271" s="1125">
        <f t="shared" si="316"/>
        <v>1</v>
      </c>
      <c r="AR271" s="1125">
        <f t="shared" si="317"/>
        <v>1</v>
      </c>
      <c r="AS271" s="1125">
        <f t="shared" si="318"/>
        <v>1</v>
      </c>
      <c r="AT271" s="1125">
        <f t="shared" si="319"/>
        <v>1</v>
      </c>
      <c r="AU271" s="1125">
        <f t="shared" si="320"/>
        <v>1</v>
      </c>
      <c r="AV271" s="1125">
        <f t="shared" si="321"/>
        <v>1</v>
      </c>
      <c r="AW271" s="1125">
        <f t="shared" si="322"/>
        <v>1</v>
      </c>
      <c r="AX271" s="1125">
        <f t="shared" si="323"/>
        <v>1</v>
      </c>
      <c r="AY271" s="1125">
        <f t="shared" si="324"/>
        <v>0</v>
      </c>
      <c r="AZ271" s="1125">
        <f t="shared" si="325"/>
        <v>0</v>
      </c>
      <c r="BA271" s="1125">
        <f t="shared" si="326"/>
        <v>0</v>
      </c>
      <c r="BB271" s="1125">
        <f t="shared" si="327"/>
        <v>0</v>
      </c>
      <c r="BC271" s="1125">
        <f t="shared" si="328"/>
        <v>0</v>
      </c>
      <c r="BD271" s="1125">
        <f t="shared" si="329"/>
        <v>0</v>
      </c>
      <c r="BE271" s="1125">
        <f t="shared" si="330"/>
        <v>1</v>
      </c>
      <c r="BF271" s="1125">
        <f t="shared" si="331"/>
        <v>1</v>
      </c>
      <c r="BG271" s="1125">
        <f t="shared" si="332"/>
        <v>0</v>
      </c>
      <c r="BH271" s="1125">
        <f t="shared" si="333"/>
        <v>0</v>
      </c>
      <c r="BI271" s="1125">
        <f t="shared" si="334"/>
        <v>0</v>
      </c>
      <c r="BJ271" s="1125">
        <f t="shared" si="335"/>
        <v>0</v>
      </c>
      <c r="BK271" s="1125">
        <f t="shared" si="336"/>
        <v>1</v>
      </c>
      <c r="BL271" s="1125">
        <f t="shared" si="337"/>
        <v>1</v>
      </c>
      <c r="BM271" s="1125">
        <f t="shared" si="338"/>
        <v>1</v>
      </c>
      <c r="BN271" s="1125">
        <f t="shared" si="339"/>
        <v>1</v>
      </c>
      <c r="BO271" s="1125">
        <f t="shared" si="340"/>
        <v>1</v>
      </c>
      <c r="BP271" s="1125">
        <f t="shared" si="341"/>
        <v>1</v>
      </c>
      <c r="BQ271" s="1125">
        <f t="shared" si="342"/>
        <v>1</v>
      </c>
      <c r="BR271" s="1125">
        <f t="shared" si="343"/>
        <v>1</v>
      </c>
      <c r="BS271" s="1125">
        <f t="shared" si="344"/>
        <v>1</v>
      </c>
      <c r="BT271" s="1125">
        <f t="shared" si="345"/>
        <v>1</v>
      </c>
      <c r="BU271" s="1125">
        <f t="shared" si="346"/>
        <v>1</v>
      </c>
      <c r="BV271" s="1125">
        <f t="shared" si="347"/>
        <v>1</v>
      </c>
      <c r="BW271" s="1125">
        <f t="shared" si="348"/>
        <v>0</v>
      </c>
      <c r="BX271" s="1125">
        <f t="shared" si="349"/>
        <v>0</v>
      </c>
      <c r="BY271" s="1125">
        <f t="shared" si="350"/>
        <v>0</v>
      </c>
      <c r="BZ271" s="1125">
        <f t="shared" si="351"/>
        <v>0</v>
      </c>
      <c r="CA271" s="1125">
        <f t="shared" si="352"/>
        <v>0</v>
      </c>
      <c r="CB271" s="1125">
        <f t="shared" si="353"/>
        <v>0</v>
      </c>
      <c r="CC271" s="1125">
        <f t="shared" si="354"/>
        <v>1</v>
      </c>
      <c r="CD271" s="1125">
        <f t="shared" si="355"/>
        <v>1</v>
      </c>
      <c r="CE271" s="1125">
        <f t="shared" si="356"/>
        <v>0</v>
      </c>
      <c r="CF271" s="1125">
        <f t="shared" si="357"/>
        <v>0</v>
      </c>
      <c r="CG271" s="1125">
        <f t="shared" si="358"/>
        <v>0</v>
      </c>
      <c r="CH271" s="1125">
        <f t="shared" si="359"/>
        <v>0</v>
      </c>
      <c r="CI271" s="1125">
        <f t="shared" si="360"/>
        <v>0.85</v>
      </c>
      <c r="CJ271" s="1125">
        <f t="shared" si="361"/>
        <v>0.85</v>
      </c>
      <c r="CK271" s="1125">
        <f t="shared" si="362"/>
        <v>0.85</v>
      </c>
      <c r="CL271" s="1125">
        <f t="shared" si="363"/>
        <v>0.85</v>
      </c>
      <c r="CM271" s="1125">
        <f t="shared" si="364"/>
        <v>0.85</v>
      </c>
      <c r="CN271" s="1125">
        <f t="shared" si="365"/>
        <v>0.85</v>
      </c>
      <c r="CO271" s="1125">
        <f t="shared" si="366"/>
        <v>0.85</v>
      </c>
      <c r="CP271" s="1125">
        <f t="shared" si="367"/>
        <v>0.85</v>
      </c>
      <c r="CQ271" s="1125">
        <f t="shared" si="368"/>
        <v>0.85</v>
      </c>
      <c r="CR271" s="1125">
        <f t="shared" si="369"/>
        <v>0.85</v>
      </c>
      <c r="CS271" s="1125">
        <f t="shared" si="370"/>
        <v>0.85</v>
      </c>
      <c r="CT271" s="1125">
        <f t="shared" si="371"/>
        <v>0.85</v>
      </c>
      <c r="CU271" s="1125">
        <v>1</v>
      </c>
      <c r="CV271" s="1125"/>
      <c r="CW271" s="1125">
        <f t="shared" si="372"/>
        <v>62</v>
      </c>
      <c r="CX271" s="1125">
        <f t="shared" si="373"/>
        <v>303</v>
      </c>
      <c r="CY271" s="1136" t="s">
        <v>4879</v>
      </c>
      <c r="CZ271" s="1129">
        <v>7</v>
      </c>
      <c r="DA271" s="1129"/>
      <c r="DB271" s="1129"/>
      <c r="DC271" s="1125" t="s">
        <v>5328</v>
      </c>
      <c r="DD271" s="1125" t="s">
        <v>934</v>
      </c>
      <c r="DE271" s="1120" t="str">
        <f t="shared" si="374"/>
        <v/>
      </c>
      <c r="DF271" s="1133">
        <v>1</v>
      </c>
      <c r="DG271" s="1125">
        <v>0</v>
      </c>
    </row>
    <row r="272" spans="1:111">
      <c r="A272" s="1120" t="s">
        <v>3338</v>
      </c>
      <c r="B272" s="1120" t="s">
        <v>4098</v>
      </c>
      <c r="C272" s="1120" t="s">
        <v>4099</v>
      </c>
      <c r="D272" s="1120" t="s">
        <v>450</v>
      </c>
      <c r="E272" s="1120">
        <v>6262</v>
      </c>
      <c r="F272" s="1120">
        <v>-114.85</v>
      </c>
      <c r="G272" s="1120">
        <v>39.299999999999997</v>
      </c>
      <c r="H272" s="1120">
        <v>-8</v>
      </c>
      <c r="I272" s="1121">
        <v>0.86000137329101489</v>
      </c>
      <c r="J272" s="1121">
        <v>88.519999313354489</v>
      </c>
      <c r="K272" s="1122">
        <v>56.480000686645511</v>
      </c>
      <c r="L272" s="1120">
        <v>7174.8</v>
      </c>
      <c r="M272" s="1120">
        <v>277.2</v>
      </c>
      <c r="N272" s="1123">
        <v>26.6</v>
      </c>
      <c r="O272" s="1123">
        <v>30.019999957084657</v>
      </c>
      <c r="P272" s="1123">
        <v>34.700000000000003</v>
      </c>
      <c r="Q272" s="1123">
        <v>44.240000343322755</v>
      </c>
      <c r="R272" s="1123">
        <v>50.180000686645506</v>
      </c>
      <c r="S272" s="1123">
        <v>63.139998626708987</v>
      </c>
      <c r="T272" s="1123">
        <v>69.619999313354498</v>
      </c>
      <c r="U272" s="1123">
        <v>65.66000137329101</v>
      </c>
      <c r="V272" s="1123">
        <v>56.659999656677243</v>
      </c>
      <c r="W272" s="1123">
        <v>46.040000343322752</v>
      </c>
      <c r="X272" s="1123">
        <v>32.720000010728839</v>
      </c>
      <c r="Y272" s="1123">
        <v>25.520000171661376</v>
      </c>
      <c r="Z272" s="1123">
        <v>45.510356209474068</v>
      </c>
      <c r="AA272" s="1123">
        <f t="shared" si="300"/>
        <v>43.835785779793468</v>
      </c>
      <c r="AB272" s="1123">
        <f t="shared" si="301"/>
        <v>42.373822514565767</v>
      </c>
      <c r="AC272" s="1123">
        <f t="shared" si="302"/>
        <v>43.293437555162079</v>
      </c>
      <c r="AD272" s="1123">
        <f t="shared" si="303"/>
        <v>46.354919069554221</v>
      </c>
      <c r="AE272" s="1123">
        <f t="shared" si="304"/>
        <v>50.760244722157665</v>
      </c>
      <c r="AF272" s="1123">
        <f t="shared" si="305"/>
        <v>55.361098493498055</v>
      </c>
      <c r="AG272" s="1123">
        <f t="shared" si="306"/>
        <v>58.958196946772738</v>
      </c>
      <c r="AH272" s="1123">
        <f t="shared" si="307"/>
        <v>60.613900937170555</v>
      </c>
      <c r="AI272" s="1123">
        <f t="shared" si="308"/>
        <v>59.896625704423492</v>
      </c>
      <c r="AJ272" s="1123">
        <f t="shared" si="309"/>
        <v>56.993340091492996</v>
      </c>
      <c r="AK272" s="1123">
        <f t="shared" si="310"/>
        <v>52.660830234374991</v>
      </c>
      <c r="AL272" s="1123">
        <f t="shared" si="311"/>
        <v>48.028431593325173</v>
      </c>
      <c r="AM272" s="1120">
        <f t="shared" si="312"/>
        <v>1</v>
      </c>
      <c r="AN272" s="1120">
        <f t="shared" si="313"/>
        <v>1</v>
      </c>
      <c r="AO272" s="1120">
        <f t="shared" si="314"/>
        <v>1</v>
      </c>
      <c r="AP272" s="1120">
        <f t="shared" si="315"/>
        <v>1</v>
      </c>
      <c r="AQ272" s="1120">
        <f t="shared" si="316"/>
        <v>1</v>
      </c>
      <c r="AR272" s="1120">
        <f t="shared" si="317"/>
        <v>1</v>
      </c>
      <c r="AS272" s="1120">
        <f t="shared" si="318"/>
        <v>0</v>
      </c>
      <c r="AT272" s="1120">
        <f t="shared" si="319"/>
        <v>1</v>
      </c>
      <c r="AU272" s="1120">
        <f t="shared" si="320"/>
        <v>1</v>
      </c>
      <c r="AV272" s="1120">
        <f t="shared" si="321"/>
        <v>1</v>
      </c>
      <c r="AW272" s="1120">
        <f t="shared" si="322"/>
        <v>1</v>
      </c>
      <c r="AX272" s="1120">
        <f t="shared" si="323"/>
        <v>1</v>
      </c>
      <c r="AY272" s="1120">
        <f t="shared" si="324"/>
        <v>0</v>
      </c>
      <c r="AZ272" s="1120">
        <f t="shared" si="325"/>
        <v>0</v>
      </c>
      <c r="BA272" s="1120">
        <f t="shared" si="326"/>
        <v>0</v>
      </c>
      <c r="BB272" s="1120">
        <f t="shared" si="327"/>
        <v>0</v>
      </c>
      <c r="BC272" s="1120">
        <f t="shared" si="328"/>
        <v>0</v>
      </c>
      <c r="BD272" s="1120">
        <f t="shared" si="329"/>
        <v>0</v>
      </c>
      <c r="BE272" s="1120">
        <f t="shared" si="330"/>
        <v>1</v>
      </c>
      <c r="BF272" s="1120">
        <f t="shared" si="331"/>
        <v>1</v>
      </c>
      <c r="BG272" s="1120">
        <f t="shared" si="332"/>
        <v>0</v>
      </c>
      <c r="BH272" s="1120">
        <f t="shared" si="333"/>
        <v>0</v>
      </c>
      <c r="BI272" s="1120">
        <f t="shared" si="334"/>
        <v>0</v>
      </c>
      <c r="BJ272" s="1120">
        <f t="shared" si="335"/>
        <v>0</v>
      </c>
      <c r="BK272" s="1120">
        <f t="shared" si="336"/>
        <v>1</v>
      </c>
      <c r="BL272" s="1120">
        <f t="shared" si="337"/>
        <v>1</v>
      </c>
      <c r="BM272" s="1120">
        <f t="shared" si="338"/>
        <v>1</v>
      </c>
      <c r="BN272" s="1120">
        <f t="shared" si="339"/>
        <v>1</v>
      </c>
      <c r="BO272" s="1120">
        <f t="shared" si="340"/>
        <v>1</v>
      </c>
      <c r="BP272" s="1120">
        <f t="shared" si="341"/>
        <v>1</v>
      </c>
      <c r="BQ272" s="1120">
        <f t="shared" si="342"/>
        <v>1</v>
      </c>
      <c r="BR272" s="1120">
        <f t="shared" si="343"/>
        <v>1</v>
      </c>
      <c r="BS272" s="1120">
        <f t="shared" si="344"/>
        <v>1</v>
      </c>
      <c r="BT272" s="1120">
        <f t="shared" si="345"/>
        <v>1</v>
      </c>
      <c r="BU272" s="1120">
        <f t="shared" si="346"/>
        <v>1</v>
      </c>
      <c r="BV272" s="1120">
        <f t="shared" si="347"/>
        <v>1</v>
      </c>
      <c r="BW272" s="1120">
        <f t="shared" si="348"/>
        <v>0</v>
      </c>
      <c r="BX272" s="1120">
        <f t="shared" si="349"/>
        <v>0</v>
      </c>
      <c r="BY272" s="1120">
        <f t="shared" si="350"/>
        <v>0</v>
      </c>
      <c r="BZ272" s="1120">
        <f t="shared" si="351"/>
        <v>0</v>
      </c>
      <c r="CA272" s="1120">
        <f t="shared" si="352"/>
        <v>0</v>
      </c>
      <c r="CB272" s="1120">
        <f t="shared" si="353"/>
        <v>1</v>
      </c>
      <c r="CC272" s="1120">
        <f t="shared" si="354"/>
        <v>1</v>
      </c>
      <c r="CD272" s="1120">
        <f t="shared" si="355"/>
        <v>1</v>
      </c>
      <c r="CE272" s="1120">
        <f t="shared" si="356"/>
        <v>0</v>
      </c>
      <c r="CF272" s="1120">
        <f t="shared" si="357"/>
        <v>0</v>
      </c>
      <c r="CG272" s="1120">
        <f t="shared" si="358"/>
        <v>0</v>
      </c>
      <c r="CH272" s="1120">
        <f t="shared" si="359"/>
        <v>0</v>
      </c>
      <c r="CI272" s="1120">
        <f t="shared" si="360"/>
        <v>0.85</v>
      </c>
      <c r="CJ272" s="1120">
        <f t="shared" si="361"/>
        <v>0.85</v>
      </c>
      <c r="CK272" s="1120">
        <f t="shared" si="362"/>
        <v>0.85</v>
      </c>
      <c r="CL272" s="1120">
        <f t="shared" si="363"/>
        <v>0.85</v>
      </c>
      <c r="CM272" s="1120">
        <f t="shared" si="364"/>
        <v>0.85</v>
      </c>
      <c r="CN272" s="1120">
        <f t="shared" si="365"/>
        <v>0.85</v>
      </c>
      <c r="CO272" s="1120">
        <f t="shared" si="366"/>
        <v>0.85</v>
      </c>
      <c r="CP272" s="1120">
        <f t="shared" si="367"/>
        <v>0.85</v>
      </c>
      <c r="CQ272" s="1120">
        <f t="shared" si="368"/>
        <v>0.85</v>
      </c>
      <c r="CR272" s="1120">
        <f t="shared" si="369"/>
        <v>0.85</v>
      </c>
      <c r="CS272" s="1120">
        <f t="shared" si="370"/>
        <v>0.85</v>
      </c>
      <c r="CT272" s="1120">
        <f t="shared" si="371"/>
        <v>0.85</v>
      </c>
      <c r="CU272" s="1120">
        <v>1</v>
      </c>
      <c r="CV272" s="1120"/>
      <c r="CW272" s="1120">
        <f t="shared" si="372"/>
        <v>92</v>
      </c>
      <c r="CX272" s="1120">
        <f t="shared" si="373"/>
        <v>273</v>
      </c>
      <c r="CY272" s="1135" t="s">
        <v>4889</v>
      </c>
      <c r="CZ272" s="1124" t="s">
        <v>4890</v>
      </c>
      <c r="DA272" s="1124"/>
      <c r="DB272" s="1124"/>
      <c r="DC272" s="1120" t="s">
        <v>5461</v>
      </c>
      <c r="DD272" s="1120" t="s">
        <v>450</v>
      </c>
      <c r="DE272" s="1120" t="str">
        <f t="shared" si="374"/>
        <v/>
      </c>
      <c r="DF272" s="1133">
        <v>1</v>
      </c>
      <c r="DG272" s="1120">
        <v>0</v>
      </c>
    </row>
    <row r="273" spans="1:111">
      <c r="A273" s="1125" t="s">
        <v>3276</v>
      </c>
      <c r="B273" s="1125" t="s">
        <v>613</v>
      </c>
      <c r="C273" s="1125" t="s">
        <v>614</v>
      </c>
      <c r="D273" s="1125" t="s">
        <v>953</v>
      </c>
      <c r="E273" s="1125">
        <v>13</v>
      </c>
      <c r="F273" s="1125">
        <v>-164.5</v>
      </c>
      <c r="G273" s="1125">
        <v>62.78</v>
      </c>
      <c r="H273" s="1125">
        <v>-9</v>
      </c>
      <c r="I273" s="1126">
        <v>-31</v>
      </c>
      <c r="J273" s="1126">
        <v>69.980000686645511</v>
      </c>
      <c r="K273" s="1127">
        <v>57.380000686645509</v>
      </c>
      <c r="L273" s="1125">
        <v>11617.2</v>
      </c>
      <c r="M273" s="1125">
        <v>1.8</v>
      </c>
      <c r="N273" s="1128">
        <v>7.6999999999999993</v>
      </c>
      <c r="O273" s="1128">
        <v>13.459999656677246</v>
      </c>
      <c r="P273" s="1128">
        <v>24.079999828338622</v>
      </c>
      <c r="Q273" s="1128">
        <v>29.119999957084655</v>
      </c>
      <c r="R273" s="1128">
        <v>38.47999982833862</v>
      </c>
      <c r="S273" s="1128">
        <v>48.2</v>
      </c>
      <c r="T273" s="1128">
        <v>54.140000343322754</v>
      </c>
      <c r="U273" s="1128">
        <v>53.780000686645508</v>
      </c>
      <c r="V273" s="1128">
        <v>40.820000171661377</v>
      </c>
      <c r="W273" s="1128">
        <v>34.700000000000003</v>
      </c>
      <c r="X273" s="1128">
        <v>26.420000171661378</v>
      </c>
      <c r="Y273" s="1128">
        <v>18.679999828338623</v>
      </c>
      <c r="Z273" s="1128">
        <v>32.580931548941628</v>
      </c>
      <c r="AA273" s="1128">
        <f t="shared" si="300"/>
        <v>33.951643871879966</v>
      </c>
      <c r="AB273" s="1128">
        <f t="shared" si="301"/>
        <v>32.207601003341871</v>
      </c>
      <c r="AC273" s="1128">
        <f t="shared" si="302"/>
        <v>32.124864957511029</v>
      </c>
      <c r="AD273" s="1128">
        <f t="shared" si="303"/>
        <v>33.725002159734316</v>
      </c>
      <c r="AE273" s="1128">
        <f t="shared" si="304"/>
        <v>36.590912189391531</v>
      </c>
      <c r="AF273" s="1128">
        <f t="shared" si="305"/>
        <v>39.975551432242092</v>
      </c>
      <c r="AG273" s="1128">
        <f t="shared" si="306"/>
        <v>42.996661510767431</v>
      </c>
      <c r="AH273" s="1128">
        <f t="shared" si="307"/>
        <v>44.86674352628436</v>
      </c>
      <c r="AI273" s="1128">
        <f t="shared" si="308"/>
        <v>45.098331782612185</v>
      </c>
      <c r="AJ273" s="1128">
        <f t="shared" si="309"/>
        <v>43.631059231856</v>
      </c>
      <c r="AK273" s="1128">
        <f t="shared" si="310"/>
        <v>40.847393075724852</v>
      </c>
      <c r="AL273" s="1128">
        <f t="shared" si="311"/>
        <v>37.47293879540829</v>
      </c>
      <c r="AM273" s="1125">
        <f t="shared" si="312"/>
        <v>1</v>
      </c>
      <c r="AN273" s="1125">
        <f t="shared" si="313"/>
        <v>1</v>
      </c>
      <c r="AO273" s="1125">
        <f t="shared" si="314"/>
        <v>1</v>
      </c>
      <c r="AP273" s="1125">
        <f t="shared" si="315"/>
        <v>1</v>
      </c>
      <c r="AQ273" s="1125">
        <f t="shared" si="316"/>
        <v>1</v>
      </c>
      <c r="AR273" s="1125">
        <f t="shared" si="317"/>
        <v>1</v>
      </c>
      <c r="AS273" s="1125">
        <f t="shared" si="318"/>
        <v>1</v>
      </c>
      <c r="AT273" s="1125">
        <f t="shared" si="319"/>
        <v>1</v>
      </c>
      <c r="AU273" s="1125">
        <f t="shared" si="320"/>
        <v>1</v>
      </c>
      <c r="AV273" s="1125">
        <f t="shared" si="321"/>
        <v>1</v>
      </c>
      <c r="AW273" s="1125">
        <f t="shared" si="322"/>
        <v>1</v>
      </c>
      <c r="AX273" s="1125">
        <f t="shared" si="323"/>
        <v>1</v>
      </c>
      <c r="AY273" s="1125">
        <f t="shared" si="324"/>
        <v>0</v>
      </c>
      <c r="AZ273" s="1125">
        <f t="shared" si="325"/>
        <v>0</v>
      </c>
      <c r="BA273" s="1125">
        <f t="shared" si="326"/>
        <v>0</v>
      </c>
      <c r="BB273" s="1125">
        <f t="shared" si="327"/>
        <v>0</v>
      </c>
      <c r="BC273" s="1125">
        <f t="shared" si="328"/>
        <v>0</v>
      </c>
      <c r="BD273" s="1125">
        <f t="shared" si="329"/>
        <v>0</v>
      </c>
      <c r="BE273" s="1125">
        <f t="shared" si="330"/>
        <v>1</v>
      </c>
      <c r="BF273" s="1125">
        <f t="shared" si="331"/>
        <v>1</v>
      </c>
      <c r="BG273" s="1125">
        <f t="shared" si="332"/>
        <v>0</v>
      </c>
      <c r="BH273" s="1125">
        <f t="shared" si="333"/>
        <v>0</v>
      </c>
      <c r="BI273" s="1125">
        <f t="shared" si="334"/>
        <v>0</v>
      </c>
      <c r="BJ273" s="1125">
        <f t="shared" si="335"/>
        <v>0</v>
      </c>
      <c r="BK273" s="1125">
        <f t="shared" si="336"/>
        <v>1</v>
      </c>
      <c r="BL273" s="1125">
        <f t="shared" si="337"/>
        <v>1</v>
      </c>
      <c r="BM273" s="1125">
        <f t="shared" si="338"/>
        <v>1</v>
      </c>
      <c r="BN273" s="1125">
        <f t="shared" si="339"/>
        <v>1</v>
      </c>
      <c r="BO273" s="1125">
        <f t="shared" si="340"/>
        <v>1</v>
      </c>
      <c r="BP273" s="1125">
        <f t="shared" si="341"/>
        <v>1</v>
      </c>
      <c r="BQ273" s="1125">
        <f t="shared" si="342"/>
        <v>1</v>
      </c>
      <c r="BR273" s="1125">
        <f t="shared" si="343"/>
        <v>1</v>
      </c>
      <c r="BS273" s="1125">
        <f t="shared" si="344"/>
        <v>1</v>
      </c>
      <c r="BT273" s="1125">
        <f t="shared" si="345"/>
        <v>1</v>
      </c>
      <c r="BU273" s="1125">
        <f t="shared" si="346"/>
        <v>1</v>
      </c>
      <c r="BV273" s="1125">
        <f t="shared" si="347"/>
        <v>1</v>
      </c>
      <c r="BW273" s="1125">
        <f t="shared" si="348"/>
        <v>0</v>
      </c>
      <c r="BX273" s="1125">
        <f t="shared" si="349"/>
        <v>0</v>
      </c>
      <c r="BY273" s="1125">
        <f t="shared" si="350"/>
        <v>0</v>
      </c>
      <c r="BZ273" s="1125">
        <f t="shared" si="351"/>
        <v>0</v>
      </c>
      <c r="CA273" s="1125">
        <f t="shared" si="352"/>
        <v>0</v>
      </c>
      <c r="CB273" s="1125">
        <f t="shared" si="353"/>
        <v>0</v>
      </c>
      <c r="CC273" s="1125">
        <f t="shared" si="354"/>
        <v>1</v>
      </c>
      <c r="CD273" s="1125">
        <f t="shared" si="355"/>
        <v>1</v>
      </c>
      <c r="CE273" s="1125">
        <f t="shared" si="356"/>
        <v>0</v>
      </c>
      <c r="CF273" s="1125">
        <f t="shared" si="357"/>
        <v>0</v>
      </c>
      <c r="CG273" s="1125">
        <f t="shared" si="358"/>
        <v>0</v>
      </c>
      <c r="CH273" s="1125">
        <f t="shared" si="359"/>
        <v>0</v>
      </c>
      <c r="CI273" s="1125">
        <f t="shared" si="360"/>
        <v>0.85</v>
      </c>
      <c r="CJ273" s="1125">
        <f t="shared" si="361"/>
        <v>0.85</v>
      </c>
      <c r="CK273" s="1125">
        <f t="shared" si="362"/>
        <v>0.85</v>
      </c>
      <c r="CL273" s="1125">
        <f t="shared" si="363"/>
        <v>0.85</v>
      </c>
      <c r="CM273" s="1125">
        <f t="shared" si="364"/>
        <v>0.85</v>
      </c>
      <c r="CN273" s="1125">
        <f t="shared" si="365"/>
        <v>0.85</v>
      </c>
      <c r="CO273" s="1125">
        <f t="shared" si="366"/>
        <v>0.85</v>
      </c>
      <c r="CP273" s="1125">
        <f t="shared" si="367"/>
        <v>0.85</v>
      </c>
      <c r="CQ273" s="1125">
        <f t="shared" si="368"/>
        <v>0.85</v>
      </c>
      <c r="CR273" s="1125">
        <f t="shared" si="369"/>
        <v>0.85</v>
      </c>
      <c r="CS273" s="1125">
        <f t="shared" si="370"/>
        <v>0.85</v>
      </c>
      <c r="CT273" s="1125">
        <f t="shared" si="371"/>
        <v>0.85</v>
      </c>
      <c r="CU273" s="1125">
        <v>1</v>
      </c>
      <c r="CV273" s="1125"/>
      <c r="CW273" s="1125">
        <f t="shared" si="372"/>
        <v>62</v>
      </c>
      <c r="CX273" s="1125">
        <f t="shared" si="373"/>
        <v>303</v>
      </c>
      <c r="CY273" s="1136" t="s">
        <v>4880</v>
      </c>
      <c r="CZ273" s="1129">
        <v>8</v>
      </c>
      <c r="DA273" s="1129"/>
      <c r="DB273" s="1129"/>
      <c r="DC273" s="1125" t="s">
        <v>4922</v>
      </c>
      <c r="DD273" s="1125" t="s">
        <v>953</v>
      </c>
      <c r="DE273" s="1125" t="str">
        <f t="shared" si="374"/>
        <v/>
      </c>
      <c r="DF273" s="1125">
        <v>1</v>
      </c>
      <c r="DG273" s="1125">
        <v>0</v>
      </c>
    </row>
    <row r="274" spans="1:111">
      <c r="A274" s="1120" t="s">
        <v>3340</v>
      </c>
      <c r="B274" s="1120" t="s">
        <v>3557</v>
      </c>
      <c r="C274" s="1120" t="s">
        <v>3558</v>
      </c>
      <c r="D274" s="1120" t="s">
        <v>256</v>
      </c>
      <c r="E274" s="1120">
        <v>1207</v>
      </c>
      <c r="F274" s="1120">
        <v>-96.18</v>
      </c>
      <c r="G274" s="1120">
        <v>38.33</v>
      </c>
      <c r="H274" s="1120">
        <v>-6</v>
      </c>
      <c r="I274" s="1121">
        <v>-0.21999931335449299</v>
      </c>
      <c r="J274" s="1121">
        <v>96.979997253417977</v>
      </c>
      <c r="K274" s="1122">
        <v>75.2</v>
      </c>
      <c r="L274" s="1120">
        <v>5621.4000000000005</v>
      </c>
      <c r="M274" s="1120">
        <v>1521</v>
      </c>
      <c r="N274" s="1123">
        <v>26.960000085830689</v>
      </c>
      <c r="O274" s="1123">
        <v>31.279999989271165</v>
      </c>
      <c r="P274" s="1123">
        <v>39.02000017166138</v>
      </c>
      <c r="Q274" s="1123">
        <v>57.380000686645509</v>
      </c>
      <c r="R274" s="1123">
        <v>66.739998626708982</v>
      </c>
      <c r="S274" s="1123">
        <v>74.480000686645511</v>
      </c>
      <c r="T274" s="1123">
        <v>79.16000137329101</v>
      </c>
      <c r="U274" s="1123">
        <v>76.280000686645508</v>
      </c>
      <c r="V274" s="1123">
        <v>70.7</v>
      </c>
      <c r="W274" s="1123">
        <v>50.719999313354492</v>
      </c>
      <c r="X274" s="1123">
        <v>42.620000171661374</v>
      </c>
      <c r="Y274" s="1123">
        <v>21.2</v>
      </c>
      <c r="Z274" s="1123">
        <v>53.133479600083341</v>
      </c>
      <c r="AA274" s="1123">
        <f t="shared" si="300"/>
        <v>46.282143209525444</v>
      </c>
      <c r="AB274" s="1123">
        <f t="shared" si="301"/>
        <v>44.930605202017084</v>
      </c>
      <c r="AC274" s="1123">
        <f t="shared" si="302"/>
        <v>47.281265279284391</v>
      </c>
      <c r="AD274" s="1123">
        <f t="shared" si="303"/>
        <v>52.721387667419343</v>
      </c>
      <c r="AE274" s="1123">
        <f t="shared" si="304"/>
        <v>59.832920631130904</v>
      </c>
      <c r="AF274" s="1123">
        <f t="shared" si="305"/>
        <v>66.762133511387361</v>
      </c>
      <c r="AG274" s="1123">
        <f t="shared" si="306"/>
        <v>71.702820188547108</v>
      </c>
      <c r="AH274" s="1123">
        <f t="shared" si="307"/>
        <v>73.367114541922064</v>
      </c>
      <c r="AI274" s="1123">
        <f t="shared" si="308"/>
        <v>71.321192600752738</v>
      </c>
      <c r="AJ274" s="1123">
        <f t="shared" si="309"/>
        <v>66.09835544761637</v>
      </c>
      <c r="AK274" s="1123">
        <f t="shared" si="310"/>
        <v>59.060016072834813</v>
      </c>
      <c r="AL274" s="1123">
        <f t="shared" si="311"/>
        <v>52.040826098537806</v>
      </c>
      <c r="AM274" s="1120">
        <f t="shared" si="312"/>
        <v>1</v>
      </c>
      <c r="AN274" s="1120">
        <f t="shared" si="313"/>
        <v>1</v>
      </c>
      <c r="AO274" s="1120">
        <f t="shared" si="314"/>
        <v>1</v>
      </c>
      <c r="AP274" s="1120">
        <f t="shared" si="315"/>
        <v>1</v>
      </c>
      <c r="AQ274" s="1120">
        <f t="shared" si="316"/>
        <v>0</v>
      </c>
      <c r="AR274" s="1120">
        <f t="shared" si="317"/>
        <v>0</v>
      </c>
      <c r="AS274" s="1120">
        <f t="shared" si="318"/>
        <v>0</v>
      </c>
      <c r="AT274" s="1120">
        <f t="shared" si="319"/>
        <v>0</v>
      </c>
      <c r="AU274" s="1120">
        <f t="shared" si="320"/>
        <v>0</v>
      </c>
      <c r="AV274" s="1120">
        <f t="shared" si="321"/>
        <v>1</v>
      </c>
      <c r="AW274" s="1120">
        <f t="shared" si="322"/>
        <v>1</v>
      </c>
      <c r="AX274" s="1120">
        <f t="shared" si="323"/>
        <v>1</v>
      </c>
      <c r="AY274" s="1120">
        <f t="shared" si="324"/>
        <v>0</v>
      </c>
      <c r="AZ274" s="1120">
        <f t="shared" si="325"/>
        <v>0</v>
      </c>
      <c r="BA274" s="1120">
        <f t="shared" si="326"/>
        <v>0</v>
      </c>
      <c r="BB274" s="1120">
        <f t="shared" si="327"/>
        <v>0</v>
      </c>
      <c r="BC274" s="1120">
        <f t="shared" si="328"/>
        <v>1</v>
      </c>
      <c r="BD274" s="1120">
        <f t="shared" si="329"/>
        <v>1</v>
      </c>
      <c r="BE274" s="1120">
        <f t="shared" si="330"/>
        <v>1</v>
      </c>
      <c r="BF274" s="1120">
        <f t="shared" si="331"/>
        <v>1</v>
      </c>
      <c r="BG274" s="1120">
        <f t="shared" si="332"/>
        <v>1</v>
      </c>
      <c r="BH274" s="1120">
        <f t="shared" si="333"/>
        <v>0</v>
      </c>
      <c r="BI274" s="1120">
        <f t="shared" si="334"/>
        <v>0</v>
      </c>
      <c r="BJ274" s="1120">
        <f t="shared" si="335"/>
        <v>0</v>
      </c>
      <c r="BK274" s="1120">
        <f t="shared" si="336"/>
        <v>1</v>
      </c>
      <c r="BL274" s="1120">
        <f t="shared" si="337"/>
        <v>1</v>
      </c>
      <c r="BM274" s="1120">
        <f t="shared" si="338"/>
        <v>1</v>
      </c>
      <c r="BN274" s="1120">
        <f t="shared" si="339"/>
        <v>1</v>
      </c>
      <c r="BO274" s="1120">
        <f t="shared" si="340"/>
        <v>1</v>
      </c>
      <c r="BP274" s="1120">
        <f t="shared" si="341"/>
        <v>0</v>
      </c>
      <c r="BQ274" s="1120">
        <f t="shared" si="342"/>
        <v>0</v>
      </c>
      <c r="BR274" s="1120">
        <f t="shared" si="343"/>
        <v>0</v>
      </c>
      <c r="BS274" s="1120">
        <f t="shared" si="344"/>
        <v>0</v>
      </c>
      <c r="BT274" s="1120">
        <f t="shared" si="345"/>
        <v>1</v>
      </c>
      <c r="BU274" s="1120">
        <f t="shared" si="346"/>
        <v>1</v>
      </c>
      <c r="BV274" s="1120">
        <f t="shared" si="347"/>
        <v>1</v>
      </c>
      <c r="BW274" s="1120">
        <f t="shared" si="348"/>
        <v>0</v>
      </c>
      <c r="BX274" s="1120">
        <f t="shared" si="349"/>
        <v>0</v>
      </c>
      <c r="BY274" s="1120">
        <f t="shared" si="350"/>
        <v>0</v>
      </c>
      <c r="BZ274" s="1120">
        <f t="shared" si="351"/>
        <v>1</v>
      </c>
      <c r="CA274" s="1120">
        <f t="shared" si="352"/>
        <v>1</v>
      </c>
      <c r="CB274" s="1120">
        <f t="shared" si="353"/>
        <v>1</v>
      </c>
      <c r="CC274" s="1120">
        <f t="shared" si="354"/>
        <v>1</v>
      </c>
      <c r="CD274" s="1120">
        <f t="shared" si="355"/>
        <v>1</v>
      </c>
      <c r="CE274" s="1120">
        <f t="shared" si="356"/>
        <v>1</v>
      </c>
      <c r="CF274" s="1120">
        <f t="shared" si="357"/>
        <v>1</v>
      </c>
      <c r="CG274" s="1120">
        <f t="shared" si="358"/>
        <v>0</v>
      </c>
      <c r="CH274" s="1120">
        <f t="shared" si="359"/>
        <v>0</v>
      </c>
      <c r="CI274" s="1120">
        <f t="shared" si="360"/>
        <v>0.85</v>
      </c>
      <c r="CJ274" s="1120">
        <f t="shared" si="361"/>
        <v>0.85</v>
      </c>
      <c r="CK274" s="1120">
        <f t="shared" si="362"/>
        <v>0.85</v>
      </c>
      <c r="CL274" s="1120">
        <f t="shared" si="363"/>
        <v>0.85</v>
      </c>
      <c r="CM274" s="1120">
        <f t="shared" si="364"/>
        <v>0.85</v>
      </c>
      <c r="CN274" s="1120">
        <f t="shared" si="365"/>
        <v>0.7</v>
      </c>
      <c r="CO274" s="1120">
        <f t="shared" si="366"/>
        <v>0.7</v>
      </c>
      <c r="CP274" s="1120">
        <f t="shared" si="367"/>
        <v>0.7</v>
      </c>
      <c r="CQ274" s="1120">
        <f t="shared" si="368"/>
        <v>0.7</v>
      </c>
      <c r="CR274" s="1120">
        <f t="shared" si="369"/>
        <v>0.85</v>
      </c>
      <c r="CS274" s="1120">
        <f t="shared" si="370"/>
        <v>0.85</v>
      </c>
      <c r="CT274" s="1120">
        <f t="shared" si="371"/>
        <v>0.85</v>
      </c>
      <c r="CU274" s="1120">
        <v>1</v>
      </c>
      <c r="CV274" s="1120"/>
      <c r="CW274" s="1120">
        <f t="shared" si="372"/>
        <v>214</v>
      </c>
      <c r="CX274" s="1120">
        <f t="shared" si="373"/>
        <v>151</v>
      </c>
      <c r="CY274" s="1135" t="s">
        <v>4881</v>
      </c>
      <c r="CZ274" s="1124" t="s">
        <v>4885</v>
      </c>
      <c r="DA274" s="1124"/>
      <c r="DB274" s="1124"/>
      <c r="DC274" s="1120" t="s">
        <v>5228</v>
      </c>
      <c r="DD274" s="1120" t="s">
        <v>256</v>
      </c>
      <c r="DE274" s="1120" t="str">
        <f t="shared" si="374"/>
        <v/>
      </c>
      <c r="DF274" s="1133">
        <v>0</v>
      </c>
      <c r="DG274" s="1120">
        <v>0</v>
      </c>
    </row>
    <row r="275" spans="1:111">
      <c r="A275" s="1125" t="s">
        <v>3342</v>
      </c>
      <c r="B275" s="1125" t="s">
        <v>3615</v>
      </c>
      <c r="C275" s="1125" t="s">
        <v>3616</v>
      </c>
      <c r="D275" s="1125" t="s">
        <v>591</v>
      </c>
      <c r="E275" s="1125">
        <v>89</v>
      </c>
      <c r="F275" s="1125">
        <v>-92.55</v>
      </c>
      <c r="G275" s="1125">
        <v>31.32</v>
      </c>
      <c r="H275" s="1125">
        <v>-6</v>
      </c>
      <c r="I275" s="1126">
        <v>29.660000085830688</v>
      </c>
      <c r="J275" s="1126">
        <v>93.560001373291016</v>
      </c>
      <c r="K275" s="1127">
        <v>77.180000686645513</v>
      </c>
      <c r="L275" s="1125">
        <v>1677.6000000000001</v>
      </c>
      <c r="M275" s="1125">
        <v>2503.8000000000002</v>
      </c>
      <c r="N275" s="1128">
        <v>51.440000343322751</v>
      </c>
      <c r="O275" s="1128">
        <v>48.559999656677249</v>
      </c>
      <c r="P275" s="1128">
        <v>63.139998626708987</v>
      </c>
      <c r="Q275" s="1128">
        <v>67.099999999999994</v>
      </c>
      <c r="R275" s="1128">
        <v>73.760001373291018</v>
      </c>
      <c r="S275" s="1128">
        <v>78.8</v>
      </c>
      <c r="T275" s="1128">
        <v>82.039998626708979</v>
      </c>
      <c r="U275" s="1128">
        <v>78.619999313354498</v>
      </c>
      <c r="V275" s="1128">
        <v>76.280000686645508</v>
      </c>
      <c r="W275" s="1128">
        <v>68.180000686645513</v>
      </c>
      <c r="X275" s="1128">
        <v>60.8</v>
      </c>
      <c r="Y275" s="1128">
        <v>50.180000686645506</v>
      </c>
      <c r="Z275" s="1128">
        <v>66.677369863954311</v>
      </c>
      <c r="AA275" s="1128">
        <f t="shared" si="300"/>
        <v>62.420208579086854</v>
      </c>
      <c r="AB275" s="1128">
        <f t="shared" si="301"/>
        <v>62.666935699518795</v>
      </c>
      <c r="AC275" s="1128">
        <f t="shared" si="302"/>
        <v>65.523036750370906</v>
      </c>
      <c r="AD275" s="1128">
        <f t="shared" si="303"/>
        <v>70.244024978889101</v>
      </c>
      <c r="AE275" s="1128">
        <f t="shared" si="304"/>
        <v>75.599302050679313</v>
      </c>
      <c r="AF275" s="1128">
        <f t="shared" si="305"/>
        <v>80.192932469661642</v>
      </c>
      <c r="AG275" s="1128">
        <f t="shared" si="306"/>
        <v>82.827515677140823</v>
      </c>
      <c r="AH275" s="1128">
        <f t="shared" si="307"/>
        <v>82.816306959931211</v>
      </c>
      <c r="AI275" s="1128">
        <f t="shared" si="308"/>
        <v>80.162228042905042</v>
      </c>
      <c r="AJ275" s="1128">
        <f t="shared" si="309"/>
        <v>75.557105496379364</v>
      </c>
      <c r="AK275" s="1128">
        <f t="shared" si="310"/>
        <v>70.201335479192693</v>
      </c>
      <c r="AL275" s="1128">
        <f t="shared" si="311"/>
        <v>65.490981981239003</v>
      </c>
      <c r="AM275" s="1125">
        <f t="shared" si="312"/>
        <v>1</v>
      </c>
      <c r="AN275" s="1125">
        <f t="shared" si="313"/>
        <v>1</v>
      </c>
      <c r="AO275" s="1125">
        <f t="shared" si="314"/>
        <v>1</v>
      </c>
      <c r="AP275" s="1125">
        <f t="shared" si="315"/>
        <v>0</v>
      </c>
      <c r="AQ275" s="1125">
        <f t="shared" si="316"/>
        <v>0</v>
      </c>
      <c r="AR275" s="1125">
        <f t="shared" si="317"/>
        <v>0</v>
      </c>
      <c r="AS275" s="1125">
        <f t="shared" si="318"/>
        <v>0</v>
      </c>
      <c r="AT275" s="1125">
        <f t="shared" si="319"/>
        <v>0</v>
      </c>
      <c r="AU275" s="1125">
        <f t="shared" si="320"/>
        <v>0</v>
      </c>
      <c r="AV275" s="1125">
        <f t="shared" si="321"/>
        <v>0</v>
      </c>
      <c r="AW275" s="1125">
        <f t="shared" si="322"/>
        <v>1</v>
      </c>
      <c r="AX275" s="1125">
        <f t="shared" si="323"/>
        <v>1</v>
      </c>
      <c r="AY275" s="1125">
        <f t="shared" si="324"/>
        <v>0</v>
      </c>
      <c r="AZ275" s="1125">
        <f t="shared" si="325"/>
        <v>0</v>
      </c>
      <c r="BA275" s="1125">
        <f t="shared" si="326"/>
        <v>0</v>
      </c>
      <c r="BB275" s="1125">
        <f t="shared" si="327"/>
        <v>1</v>
      </c>
      <c r="BC275" s="1125">
        <f t="shared" si="328"/>
        <v>1</v>
      </c>
      <c r="BD275" s="1125">
        <f t="shared" si="329"/>
        <v>1</v>
      </c>
      <c r="BE275" s="1125">
        <f t="shared" si="330"/>
        <v>1</v>
      </c>
      <c r="BF275" s="1125">
        <f t="shared" si="331"/>
        <v>1</v>
      </c>
      <c r="BG275" s="1125">
        <f t="shared" si="332"/>
        <v>1</v>
      </c>
      <c r="BH275" s="1125">
        <f t="shared" si="333"/>
        <v>1</v>
      </c>
      <c r="BI275" s="1125">
        <f t="shared" si="334"/>
        <v>0</v>
      </c>
      <c r="BJ275" s="1125">
        <f t="shared" si="335"/>
        <v>0</v>
      </c>
      <c r="BK275" s="1125">
        <f t="shared" si="336"/>
        <v>1</v>
      </c>
      <c r="BL275" s="1125">
        <f t="shared" si="337"/>
        <v>1</v>
      </c>
      <c r="BM275" s="1125">
        <f t="shared" si="338"/>
        <v>1</v>
      </c>
      <c r="BN275" s="1125">
        <f t="shared" si="339"/>
        <v>1</v>
      </c>
      <c r="BO275" s="1125">
        <f t="shared" si="340"/>
        <v>0</v>
      </c>
      <c r="BP275" s="1125">
        <f t="shared" si="341"/>
        <v>0</v>
      </c>
      <c r="BQ275" s="1125">
        <f t="shared" si="342"/>
        <v>0</v>
      </c>
      <c r="BR275" s="1125">
        <f t="shared" si="343"/>
        <v>0</v>
      </c>
      <c r="BS275" s="1125">
        <f t="shared" si="344"/>
        <v>0</v>
      </c>
      <c r="BT275" s="1125">
        <f t="shared" si="345"/>
        <v>0</v>
      </c>
      <c r="BU275" s="1125">
        <f t="shared" si="346"/>
        <v>1</v>
      </c>
      <c r="BV275" s="1125">
        <f t="shared" si="347"/>
        <v>1</v>
      </c>
      <c r="BW275" s="1125">
        <f t="shared" si="348"/>
        <v>0</v>
      </c>
      <c r="BX275" s="1125">
        <f t="shared" si="349"/>
        <v>0</v>
      </c>
      <c r="BY275" s="1125">
        <f t="shared" si="350"/>
        <v>1</v>
      </c>
      <c r="BZ275" s="1125">
        <f t="shared" si="351"/>
        <v>1</v>
      </c>
      <c r="CA275" s="1125">
        <f t="shared" si="352"/>
        <v>1</v>
      </c>
      <c r="CB275" s="1125">
        <f t="shared" si="353"/>
        <v>1</v>
      </c>
      <c r="CC275" s="1125">
        <f t="shared" si="354"/>
        <v>1</v>
      </c>
      <c r="CD275" s="1125">
        <f t="shared" si="355"/>
        <v>1</v>
      </c>
      <c r="CE275" s="1125">
        <f t="shared" si="356"/>
        <v>1</v>
      </c>
      <c r="CF275" s="1125">
        <f t="shared" si="357"/>
        <v>1</v>
      </c>
      <c r="CG275" s="1125">
        <f t="shared" si="358"/>
        <v>1</v>
      </c>
      <c r="CH275" s="1125">
        <f t="shared" si="359"/>
        <v>0</v>
      </c>
      <c r="CI275" s="1125">
        <f t="shared" si="360"/>
        <v>0.85</v>
      </c>
      <c r="CJ275" s="1125">
        <f t="shared" si="361"/>
        <v>0.85</v>
      </c>
      <c r="CK275" s="1125">
        <f t="shared" si="362"/>
        <v>0.85</v>
      </c>
      <c r="CL275" s="1125">
        <f t="shared" si="363"/>
        <v>0.85</v>
      </c>
      <c r="CM275" s="1125">
        <f t="shared" si="364"/>
        <v>0.7</v>
      </c>
      <c r="CN275" s="1125">
        <f t="shared" si="365"/>
        <v>0.7</v>
      </c>
      <c r="CO275" s="1125">
        <f t="shared" si="366"/>
        <v>0.7</v>
      </c>
      <c r="CP275" s="1125">
        <f t="shared" si="367"/>
        <v>0.7</v>
      </c>
      <c r="CQ275" s="1125">
        <f t="shared" si="368"/>
        <v>0.7</v>
      </c>
      <c r="CR275" s="1125">
        <f t="shared" si="369"/>
        <v>0.7</v>
      </c>
      <c r="CS275" s="1125">
        <f t="shared" si="370"/>
        <v>0.85</v>
      </c>
      <c r="CT275" s="1125">
        <f t="shared" si="371"/>
        <v>0.85</v>
      </c>
      <c r="CU275" s="1125">
        <v>1</v>
      </c>
      <c r="CV275" s="1125"/>
      <c r="CW275" s="1125">
        <f t="shared" si="372"/>
        <v>275</v>
      </c>
      <c r="CX275" s="1125">
        <f t="shared" si="373"/>
        <v>90</v>
      </c>
      <c r="CY275" s="1136"/>
      <c r="CZ275" s="1129"/>
      <c r="DA275" s="1129"/>
      <c r="DB275" s="1129"/>
      <c r="DC275" s="1125"/>
      <c r="DD275" s="1125"/>
      <c r="DE275" s="1120"/>
      <c r="DF275" s="1133">
        <v>0</v>
      </c>
      <c r="DG275" s="1125">
        <v>0</v>
      </c>
    </row>
    <row r="276" spans="1:111">
      <c r="A276" s="1120" t="s">
        <v>3344</v>
      </c>
      <c r="B276" s="1120" t="s">
        <v>4556</v>
      </c>
      <c r="C276" s="1120" t="s">
        <v>4557</v>
      </c>
      <c r="D276" s="1120" t="s">
        <v>238</v>
      </c>
      <c r="E276" s="1120">
        <v>1260</v>
      </c>
      <c r="F276" s="1120">
        <v>-119.52</v>
      </c>
      <c r="G276" s="1120">
        <v>47.3</v>
      </c>
      <c r="H276" s="1120">
        <v>-8</v>
      </c>
      <c r="I276" s="1121">
        <v>5.8999999999999995</v>
      </c>
      <c r="J276" s="1121">
        <v>98.239998626708982</v>
      </c>
      <c r="K276" s="1122">
        <v>56.480000686645511</v>
      </c>
      <c r="L276" s="1120">
        <v>5353.2</v>
      </c>
      <c r="M276" s="1120">
        <v>1036.8</v>
      </c>
      <c r="N276" s="1123">
        <v>28.220000171661376</v>
      </c>
      <c r="O276" s="1123">
        <v>35.23999991416931</v>
      </c>
      <c r="P276" s="1123">
        <v>44.059999656677249</v>
      </c>
      <c r="Q276" s="1123">
        <v>52.159999656677243</v>
      </c>
      <c r="R276" s="1123">
        <v>59.540000343322752</v>
      </c>
      <c r="S276" s="1123">
        <v>69.619999313354498</v>
      </c>
      <c r="T276" s="1123">
        <v>78.439998626708984</v>
      </c>
      <c r="U276" s="1123">
        <v>73.400000000000006</v>
      </c>
      <c r="V276" s="1123">
        <v>67.280000686645508</v>
      </c>
      <c r="W276" s="1123">
        <v>50.540000343322752</v>
      </c>
      <c r="X276" s="1123">
        <v>38.120000171661374</v>
      </c>
      <c r="Y276" s="1123">
        <v>32.9</v>
      </c>
      <c r="Z276" s="1123">
        <v>52.55402730366955</v>
      </c>
      <c r="AA276" s="1123">
        <f t="shared" si="300"/>
        <v>47.603079519610731</v>
      </c>
      <c r="AB276" s="1123">
        <f t="shared" si="301"/>
        <v>46.384907318579906</v>
      </c>
      <c r="AC276" s="1123">
        <f t="shared" si="302"/>
        <v>48.338803773478205</v>
      </c>
      <c r="AD276" s="1123">
        <f t="shared" si="303"/>
        <v>52.955455662880581</v>
      </c>
      <c r="AE276" s="1123">
        <f t="shared" si="304"/>
        <v>59.031461527055157</v>
      </c>
      <c r="AF276" s="1123">
        <f t="shared" si="305"/>
        <v>64.983016803420185</v>
      </c>
      <c r="AG276" s="1123">
        <f t="shared" si="306"/>
        <v>69.258756892948085</v>
      </c>
      <c r="AH276" s="1123">
        <f t="shared" si="307"/>
        <v>70.744144250154108</v>
      </c>
      <c r="AI276" s="1123">
        <f t="shared" si="308"/>
        <v>69.05198976987046</v>
      </c>
      <c r="AJ276" s="1123">
        <f t="shared" si="309"/>
        <v>64.623379594272947</v>
      </c>
      <c r="AK276" s="1123">
        <f t="shared" si="310"/>
        <v>58.612699212579685</v>
      </c>
      <c r="AL276" s="1123">
        <f t="shared" si="311"/>
        <v>52.586725093667511</v>
      </c>
      <c r="AM276" s="1120">
        <f t="shared" si="312"/>
        <v>1</v>
      </c>
      <c r="AN276" s="1120">
        <f t="shared" si="313"/>
        <v>1</v>
      </c>
      <c r="AO276" s="1120">
        <f t="shared" si="314"/>
        <v>1</v>
      </c>
      <c r="AP276" s="1120">
        <f t="shared" si="315"/>
        <v>1</v>
      </c>
      <c r="AQ276" s="1120">
        <f t="shared" si="316"/>
        <v>1</v>
      </c>
      <c r="AR276" s="1120">
        <f t="shared" si="317"/>
        <v>0</v>
      </c>
      <c r="AS276" s="1120">
        <f t="shared" si="318"/>
        <v>0</v>
      </c>
      <c r="AT276" s="1120">
        <f t="shared" si="319"/>
        <v>0</v>
      </c>
      <c r="AU276" s="1120">
        <f t="shared" si="320"/>
        <v>0</v>
      </c>
      <c r="AV276" s="1120">
        <f t="shared" si="321"/>
        <v>1</v>
      </c>
      <c r="AW276" s="1120">
        <f t="shared" si="322"/>
        <v>1</v>
      </c>
      <c r="AX276" s="1120">
        <f t="shared" si="323"/>
        <v>1</v>
      </c>
      <c r="AY276" s="1120">
        <f t="shared" si="324"/>
        <v>0</v>
      </c>
      <c r="AZ276" s="1120">
        <f t="shared" si="325"/>
        <v>0</v>
      </c>
      <c r="BA276" s="1120">
        <f t="shared" si="326"/>
        <v>0</v>
      </c>
      <c r="BB276" s="1120">
        <f t="shared" si="327"/>
        <v>0</v>
      </c>
      <c r="BC276" s="1120">
        <f t="shared" si="328"/>
        <v>0</v>
      </c>
      <c r="BD276" s="1120">
        <f t="shared" si="329"/>
        <v>1</v>
      </c>
      <c r="BE276" s="1120">
        <f t="shared" si="330"/>
        <v>1</v>
      </c>
      <c r="BF276" s="1120">
        <f t="shared" si="331"/>
        <v>1</v>
      </c>
      <c r="BG276" s="1120">
        <f t="shared" si="332"/>
        <v>1</v>
      </c>
      <c r="BH276" s="1120">
        <f t="shared" si="333"/>
        <v>0</v>
      </c>
      <c r="BI276" s="1120">
        <f t="shared" si="334"/>
        <v>0</v>
      </c>
      <c r="BJ276" s="1120">
        <f t="shared" si="335"/>
        <v>0</v>
      </c>
      <c r="BK276" s="1120">
        <f t="shared" si="336"/>
        <v>1</v>
      </c>
      <c r="BL276" s="1120">
        <f t="shared" si="337"/>
        <v>1</v>
      </c>
      <c r="BM276" s="1120">
        <f t="shared" si="338"/>
        <v>1</v>
      </c>
      <c r="BN276" s="1120">
        <f t="shared" si="339"/>
        <v>1</v>
      </c>
      <c r="BO276" s="1120">
        <f t="shared" si="340"/>
        <v>1</v>
      </c>
      <c r="BP276" s="1120">
        <f t="shared" si="341"/>
        <v>1</v>
      </c>
      <c r="BQ276" s="1120">
        <f t="shared" si="342"/>
        <v>0</v>
      </c>
      <c r="BR276" s="1120">
        <f t="shared" si="343"/>
        <v>0</v>
      </c>
      <c r="BS276" s="1120">
        <f t="shared" si="344"/>
        <v>0</v>
      </c>
      <c r="BT276" s="1120">
        <f t="shared" si="345"/>
        <v>1</v>
      </c>
      <c r="BU276" s="1120">
        <f t="shared" si="346"/>
        <v>1</v>
      </c>
      <c r="BV276" s="1120">
        <f t="shared" si="347"/>
        <v>1</v>
      </c>
      <c r="BW276" s="1120">
        <f t="shared" si="348"/>
        <v>0</v>
      </c>
      <c r="BX276" s="1120">
        <f t="shared" si="349"/>
        <v>0</v>
      </c>
      <c r="BY276" s="1120">
        <f t="shared" si="350"/>
        <v>0</v>
      </c>
      <c r="BZ276" s="1120">
        <f t="shared" si="351"/>
        <v>0</v>
      </c>
      <c r="CA276" s="1120">
        <f t="shared" si="352"/>
        <v>1</v>
      </c>
      <c r="CB276" s="1120">
        <f t="shared" si="353"/>
        <v>1</v>
      </c>
      <c r="CC276" s="1120">
        <f t="shared" si="354"/>
        <v>1</v>
      </c>
      <c r="CD276" s="1120">
        <f t="shared" si="355"/>
        <v>1</v>
      </c>
      <c r="CE276" s="1120">
        <f t="shared" si="356"/>
        <v>1</v>
      </c>
      <c r="CF276" s="1120">
        <f t="shared" si="357"/>
        <v>1</v>
      </c>
      <c r="CG276" s="1120">
        <f t="shared" si="358"/>
        <v>0</v>
      </c>
      <c r="CH276" s="1120">
        <f t="shared" si="359"/>
        <v>0</v>
      </c>
      <c r="CI276" s="1120">
        <f t="shared" si="360"/>
        <v>0.85</v>
      </c>
      <c r="CJ276" s="1120">
        <f t="shared" si="361"/>
        <v>0.85</v>
      </c>
      <c r="CK276" s="1120">
        <f t="shared" si="362"/>
        <v>0.85</v>
      </c>
      <c r="CL276" s="1120">
        <f t="shared" si="363"/>
        <v>0.85</v>
      </c>
      <c r="CM276" s="1120">
        <f t="shared" si="364"/>
        <v>0.85</v>
      </c>
      <c r="CN276" s="1120">
        <f t="shared" si="365"/>
        <v>0.85</v>
      </c>
      <c r="CO276" s="1120">
        <f t="shared" si="366"/>
        <v>0.7</v>
      </c>
      <c r="CP276" s="1120">
        <f t="shared" si="367"/>
        <v>0.7</v>
      </c>
      <c r="CQ276" s="1120">
        <f t="shared" si="368"/>
        <v>0.7</v>
      </c>
      <c r="CR276" s="1120">
        <f t="shared" si="369"/>
        <v>0.85</v>
      </c>
      <c r="CS276" s="1120">
        <f t="shared" si="370"/>
        <v>0.85</v>
      </c>
      <c r="CT276" s="1120">
        <f t="shared" si="371"/>
        <v>0.85</v>
      </c>
      <c r="CU276" s="1120">
        <v>1</v>
      </c>
      <c r="CV276" s="1120"/>
      <c r="CW276" s="1120">
        <f t="shared" si="372"/>
        <v>184</v>
      </c>
      <c r="CX276" s="1120">
        <f t="shared" si="373"/>
        <v>181</v>
      </c>
      <c r="CY276" s="1136" t="s">
        <v>4889</v>
      </c>
      <c r="CZ276" s="1129" t="s">
        <v>4890</v>
      </c>
      <c r="DA276" s="1129"/>
      <c r="DB276" s="1129"/>
      <c r="DC276" s="1125" t="s">
        <v>5652</v>
      </c>
      <c r="DD276" s="1125" t="s">
        <v>238</v>
      </c>
      <c r="DE276" s="1120" t="str">
        <f t="shared" ref="DE276:DE339" si="375">IF(AND(C276=DC276,D276=DD276),"",FALSE)</f>
        <v/>
      </c>
      <c r="DF276" s="1133">
        <v>1</v>
      </c>
      <c r="DG276" s="1120">
        <v>0</v>
      </c>
    </row>
    <row r="277" spans="1:111">
      <c r="A277" s="1125" t="s">
        <v>3346</v>
      </c>
      <c r="B277" s="1125" t="s">
        <v>4262</v>
      </c>
      <c r="C277" s="1125" t="s">
        <v>4263</v>
      </c>
      <c r="D277" s="1125" t="s">
        <v>539</v>
      </c>
      <c r="E277" s="1125">
        <v>728</v>
      </c>
      <c r="F277" s="1125">
        <v>-80.180000000000007</v>
      </c>
      <c r="G277" s="1125">
        <v>42.08</v>
      </c>
      <c r="H277" s="1125">
        <v>-5</v>
      </c>
      <c r="I277" s="1126">
        <v>9.6800006866455064</v>
      </c>
      <c r="J277" s="1126">
        <v>84.019999313354489</v>
      </c>
      <c r="K277" s="1127">
        <v>71.599999999999994</v>
      </c>
      <c r="L277" s="1125">
        <v>6249.6</v>
      </c>
      <c r="M277" s="1125">
        <v>653.4</v>
      </c>
      <c r="N277" s="1128">
        <v>26.420000171661378</v>
      </c>
      <c r="O277" s="1128">
        <v>24.8</v>
      </c>
      <c r="P277" s="1128">
        <v>34.160000085830688</v>
      </c>
      <c r="Q277" s="1128">
        <v>47.659999656677243</v>
      </c>
      <c r="R277" s="1128">
        <v>59.9</v>
      </c>
      <c r="S277" s="1128">
        <v>64.039998626708979</v>
      </c>
      <c r="T277" s="1128">
        <v>72.139998626708987</v>
      </c>
      <c r="U277" s="1128">
        <v>69.980000686645511</v>
      </c>
      <c r="V277" s="1128">
        <v>62.960001373291014</v>
      </c>
      <c r="W277" s="1128">
        <v>48.919999313354495</v>
      </c>
      <c r="X277" s="1128">
        <v>44.779999828338624</v>
      </c>
      <c r="Y277" s="1128">
        <v>31.459999978542328</v>
      </c>
      <c r="Z277" s="1128">
        <v>49.068438217248001</v>
      </c>
      <c r="AA277" s="1128">
        <f t="shared" si="300"/>
        <v>45.784893695944653</v>
      </c>
      <c r="AB277" s="1128">
        <f t="shared" si="301"/>
        <v>44.400746599236413</v>
      </c>
      <c r="AC277" s="1128">
        <f t="shared" si="302"/>
        <v>45.7972977168669</v>
      </c>
      <c r="AD277" s="1128">
        <f t="shared" si="303"/>
        <v>49.610514478521551</v>
      </c>
      <c r="AE277" s="1128">
        <f t="shared" si="304"/>
        <v>54.846423171826025</v>
      </c>
      <c r="AF277" s="1128">
        <f t="shared" si="305"/>
        <v>60.140203508075153</v>
      </c>
      <c r="AG277" s="1128">
        <f t="shared" si="306"/>
        <v>64.111950063001217</v>
      </c>
      <c r="AH277" s="1128">
        <f t="shared" si="307"/>
        <v>65.726365890595631</v>
      </c>
      <c r="AI277" s="1128">
        <f t="shared" si="308"/>
        <v>64.562628626494927</v>
      </c>
      <c r="AJ277" s="1128">
        <f t="shared" si="309"/>
        <v>60.924084322321036</v>
      </c>
      <c r="AK277" s="1128">
        <f t="shared" si="310"/>
        <v>55.759175622621896</v>
      </c>
      <c r="AL277" s="1128">
        <f t="shared" si="311"/>
        <v>50.414215573626429</v>
      </c>
      <c r="AM277" s="1125">
        <f t="shared" si="312"/>
        <v>1</v>
      </c>
      <c r="AN277" s="1125">
        <f t="shared" si="313"/>
        <v>1</v>
      </c>
      <c r="AO277" s="1125">
        <f t="shared" si="314"/>
        <v>1</v>
      </c>
      <c r="AP277" s="1125">
        <f t="shared" si="315"/>
        <v>1</v>
      </c>
      <c r="AQ277" s="1125">
        <f t="shared" si="316"/>
        <v>1</v>
      </c>
      <c r="AR277" s="1125">
        <f t="shared" si="317"/>
        <v>1</v>
      </c>
      <c r="AS277" s="1125">
        <f t="shared" si="318"/>
        <v>0</v>
      </c>
      <c r="AT277" s="1125">
        <f t="shared" si="319"/>
        <v>0</v>
      </c>
      <c r="AU277" s="1125">
        <f t="shared" si="320"/>
        <v>1</v>
      </c>
      <c r="AV277" s="1125">
        <f t="shared" si="321"/>
        <v>1</v>
      </c>
      <c r="AW277" s="1125">
        <f t="shared" si="322"/>
        <v>1</v>
      </c>
      <c r="AX277" s="1125">
        <f t="shared" si="323"/>
        <v>1</v>
      </c>
      <c r="AY277" s="1125">
        <f t="shared" si="324"/>
        <v>0</v>
      </c>
      <c r="AZ277" s="1125">
        <f t="shared" si="325"/>
        <v>0</v>
      </c>
      <c r="BA277" s="1125">
        <f t="shared" si="326"/>
        <v>0</v>
      </c>
      <c r="BB277" s="1125">
        <f t="shared" si="327"/>
        <v>0</v>
      </c>
      <c r="BC277" s="1125">
        <f t="shared" si="328"/>
        <v>0</v>
      </c>
      <c r="BD277" s="1125">
        <f t="shared" si="329"/>
        <v>0</v>
      </c>
      <c r="BE277" s="1125">
        <f t="shared" si="330"/>
        <v>1</v>
      </c>
      <c r="BF277" s="1125">
        <f t="shared" si="331"/>
        <v>1</v>
      </c>
      <c r="BG277" s="1125">
        <f t="shared" si="332"/>
        <v>0</v>
      </c>
      <c r="BH277" s="1125">
        <f t="shared" si="333"/>
        <v>0</v>
      </c>
      <c r="BI277" s="1125">
        <f t="shared" si="334"/>
        <v>0</v>
      </c>
      <c r="BJ277" s="1125">
        <f t="shared" si="335"/>
        <v>0</v>
      </c>
      <c r="BK277" s="1125">
        <f t="shared" si="336"/>
        <v>1</v>
      </c>
      <c r="BL277" s="1125">
        <f t="shared" si="337"/>
        <v>1</v>
      </c>
      <c r="BM277" s="1125">
        <f t="shared" si="338"/>
        <v>1</v>
      </c>
      <c r="BN277" s="1125">
        <f t="shared" si="339"/>
        <v>1</v>
      </c>
      <c r="BO277" s="1125">
        <f t="shared" si="340"/>
        <v>1</v>
      </c>
      <c r="BP277" s="1125">
        <f t="shared" si="341"/>
        <v>1</v>
      </c>
      <c r="BQ277" s="1125">
        <f t="shared" si="342"/>
        <v>1</v>
      </c>
      <c r="BR277" s="1125">
        <f t="shared" si="343"/>
        <v>0</v>
      </c>
      <c r="BS277" s="1125">
        <f t="shared" si="344"/>
        <v>1</v>
      </c>
      <c r="BT277" s="1125">
        <f t="shared" si="345"/>
        <v>1</v>
      </c>
      <c r="BU277" s="1125">
        <f t="shared" si="346"/>
        <v>1</v>
      </c>
      <c r="BV277" s="1125">
        <f t="shared" si="347"/>
        <v>1</v>
      </c>
      <c r="BW277" s="1125">
        <f t="shared" si="348"/>
        <v>0</v>
      </c>
      <c r="BX277" s="1125">
        <f t="shared" si="349"/>
        <v>0</v>
      </c>
      <c r="BY277" s="1125">
        <f t="shared" si="350"/>
        <v>0</v>
      </c>
      <c r="BZ277" s="1125">
        <f t="shared" si="351"/>
        <v>0</v>
      </c>
      <c r="CA277" s="1125">
        <f t="shared" si="352"/>
        <v>0</v>
      </c>
      <c r="CB277" s="1125">
        <f t="shared" si="353"/>
        <v>1</v>
      </c>
      <c r="CC277" s="1125">
        <f t="shared" si="354"/>
        <v>1</v>
      </c>
      <c r="CD277" s="1125">
        <f t="shared" si="355"/>
        <v>1</v>
      </c>
      <c r="CE277" s="1125">
        <f t="shared" si="356"/>
        <v>1</v>
      </c>
      <c r="CF277" s="1125">
        <f t="shared" si="357"/>
        <v>0</v>
      </c>
      <c r="CG277" s="1125">
        <f t="shared" si="358"/>
        <v>0</v>
      </c>
      <c r="CH277" s="1125">
        <f t="shared" si="359"/>
        <v>0</v>
      </c>
      <c r="CI277" s="1125">
        <f t="shared" si="360"/>
        <v>0.85</v>
      </c>
      <c r="CJ277" s="1125">
        <f t="shared" si="361"/>
        <v>0.85</v>
      </c>
      <c r="CK277" s="1125">
        <f t="shared" si="362"/>
        <v>0.85</v>
      </c>
      <c r="CL277" s="1125">
        <f t="shared" si="363"/>
        <v>0.85</v>
      </c>
      <c r="CM277" s="1125">
        <f t="shared" si="364"/>
        <v>0.85</v>
      </c>
      <c r="CN277" s="1125">
        <f t="shared" si="365"/>
        <v>0.85</v>
      </c>
      <c r="CO277" s="1125">
        <f t="shared" si="366"/>
        <v>0.85</v>
      </c>
      <c r="CP277" s="1125">
        <f t="shared" si="367"/>
        <v>0.7</v>
      </c>
      <c r="CQ277" s="1125">
        <f t="shared" si="368"/>
        <v>0.85</v>
      </c>
      <c r="CR277" s="1125">
        <f t="shared" si="369"/>
        <v>0.85</v>
      </c>
      <c r="CS277" s="1125">
        <f t="shared" si="370"/>
        <v>0.85</v>
      </c>
      <c r="CT277" s="1125">
        <f t="shared" si="371"/>
        <v>0.85</v>
      </c>
      <c r="CU277" s="1125">
        <v>1</v>
      </c>
      <c r="CV277" s="1125"/>
      <c r="CW277" s="1125">
        <f t="shared" si="372"/>
        <v>122</v>
      </c>
      <c r="CX277" s="1125">
        <f t="shared" si="373"/>
        <v>243</v>
      </c>
      <c r="CY277" s="1136" t="s">
        <v>4889</v>
      </c>
      <c r="CZ277" s="1129" t="s">
        <v>4897</v>
      </c>
      <c r="DA277" s="1129"/>
      <c r="DB277" s="1129"/>
      <c r="DC277" s="1125" t="s">
        <v>5533</v>
      </c>
      <c r="DD277" s="1125" t="s">
        <v>539</v>
      </c>
      <c r="DE277" s="1120" t="str">
        <f t="shared" si="375"/>
        <v/>
      </c>
      <c r="DF277" s="1133">
        <v>0</v>
      </c>
      <c r="DG277" s="1125">
        <v>0</v>
      </c>
    </row>
    <row r="278" spans="1:111">
      <c r="A278" s="1120" t="s">
        <v>3348</v>
      </c>
      <c r="B278" s="1125" t="s">
        <v>5860</v>
      </c>
      <c r="C278" s="1125" t="s">
        <v>5861</v>
      </c>
      <c r="D278" s="1125" t="s">
        <v>540</v>
      </c>
      <c r="E278" s="1125">
        <v>613</v>
      </c>
      <c r="F278" s="1125">
        <v>-87.03</v>
      </c>
      <c r="G278" s="1125">
        <v>45.75</v>
      </c>
      <c r="H278" s="1125">
        <v>-5</v>
      </c>
      <c r="I278" s="1126">
        <v>-2.3800006866455088</v>
      </c>
      <c r="J278" s="1126">
        <v>79.33999862670899</v>
      </c>
      <c r="K278" s="1127">
        <v>67.819999313354487</v>
      </c>
      <c r="L278" s="1125">
        <v>8398.8000000000011</v>
      </c>
      <c r="M278" s="1125">
        <v>176.4</v>
      </c>
      <c r="N278" s="1128">
        <v>21.920000171661378</v>
      </c>
      <c r="O278" s="1128">
        <v>22.820000171661377</v>
      </c>
      <c r="P278" s="1128">
        <v>25.160000085830688</v>
      </c>
      <c r="Q278" s="1128">
        <v>38.660000085830688</v>
      </c>
      <c r="R278" s="1128">
        <v>48.019999313354489</v>
      </c>
      <c r="S278" s="1128">
        <v>61.339998626708983</v>
      </c>
      <c r="T278" s="1128">
        <v>66.019999313354489</v>
      </c>
      <c r="U278" s="1128">
        <v>61.160001373291017</v>
      </c>
      <c r="V278" s="1128">
        <v>54.5</v>
      </c>
      <c r="W278" s="1128">
        <v>42.259999656677245</v>
      </c>
      <c r="X278" s="1128">
        <v>34.339999914169312</v>
      </c>
      <c r="Y278" s="1128">
        <v>25.160000085830688</v>
      </c>
      <c r="Z278" s="1128">
        <v>41.876328667418598</v>
      </c>
      <c r="AA278" s="1128">
        <f t="shared" si="300"/>
        <v>41.171756058490068</v>
      </c>
      <c r="AB278" s="1128">
        <f t="shared" si="301"/>
        <v>39.587276890005604</v>
      </c>
      <c r="AC278" s="1128">
        <f t="shared" si="302"/>
        <v>40.163466805458327</v>
      </c>
      <c r="AD278" s="1128">
        <f t="shared" si="303"/>
        <v>42.750133024030113</v>
      </c>
      <c r="AE278" s="1128">
        <f t="shared" si="304"/>
        <v>46.673021134117192</v>
      </c>
      <c r="AF278" s="1128">
        <f t="shared" si="305"/>
        <v>50.909569896289682</v>
      </c>
      <c r="AG278" s="1128">
        <f t="shared" si="306"/>
        <v>54.355457588494659</v>
      </c>
      <c r="AH278" s="1128">
        <f t="shared" si="307"/>
        <v>56.112460481022168</v>
      </c>
      <c r="AI278" s="1128">
        <f t="shared" si="308"/>
        <v>55.722588693700743</v>
      </c>
      <c r="AJ278" s="1128">
        <f t="shared" si="309"/>
        <v>53.287468316001821</v>
      </c>
      <c r="AK278" s="1128">
        <f t="shared" si="310"/>
        <v>49.441851000713555</v>
      </c>
      <c r="AL278" s="1128">
        <f t="shared" si="311"/>
        <v>45.188156163822534</v>
      </c>
      <c r="AM278" s="1125">
        <f t="shared" si="312"/>
        <v>1</v>
      </c>
      <c r="AN278" s="1125">
        <f t="shared" si="313"/>
        <v>1</v>
      </c>
      <c r="AO278" s="1125">
        <f t="shared" si="314"/>
        <v>1</v>
      </c>
      <c r="AP278" s="1125">
        <f t="shared" si="315"/>
        <v>1</v>
      </c>
      <c r="AQ278" s="1125">
        <f t="shared" si="316"/>
        <v>1</v>
      </c>
      <c r="AR278" s="1125">
        <f t="shared" si="317"/>
        <v>1</v>
      </c>
      <c r="AS278" s="1125">
        <f t="shared" si="318"/>
        <v>0</v>
      </c>
      <c r="AT278" s="1125">
        <f t="shared" si="319"/>
        <v>1</v>
      </c>
      <c r="AU278" s="1125">
        <f t="shared" si="320"/>
        <v>1</v>
      </c>
      <c r="AV278" s="1125">
        <f t="shared" si="321"/>
        <v>1</v>
      </c>
      <c r="AW278" s="1125">
        <f t="shared" si="322"/>
        <v>1</v>
      </c>
      <c r="AX278" s="1125">
        <f t="shared" si="323"/>
        <v>1</v>
      </c>
      <c r="AY278" s="1125">
        <f t="shared" si="324"/>
        <v>0</v>
      </c>
      <c r="AZ278" s="1125">
        <f t="shared" si="325"/>
        <v>0</v>
      </c>
      <c r="BA278" s="1125">
        <f t="shared" si="326"/>
        <v>0</v>
      </c>
      <c r="BB278" s="1125">
        <f t="shared" si="327"/>
        <v>0</v>
      </c>
      <c r="BC278" s="1125">
        <f t="shared" si="328"/>
        <v>0</v>
      </c>
      <c r="BD278" s="1125">
        <f t="shared" si="329"/>
        <v>0</v>
      </c>
      <c r="BE278" s="1125">
        <f t="shared" si="330"/>
        <v>1</v>
      </c>
      <c r="BF278" s="1125">
        <f t="shared" si="331"/>
        <v>1</v>
      </c>
      <c r="BG278" s="1125">
        <f t="shared" si="332"/>
        <v>0</v>
      </c>
      <c r="BH278" s="1125">
        <f t="shared" si="333"/>
        <v>0</v>
      </c>
      <c r="BI278" s="1125">
        <f t="shared" si="334"/>
        <v>0</v>
      </c>
      <c r="BJ278" s="1125">
        <f t="shared" si="335"/>
        <v>0</v>
      </c>
      <c r="BK278" s="1125">
        <f t="shared" si="336"/>
        <v>1</v>
      </c>
      <c r="BL278" s="1125">
        <f t="shared" si="337"/>
        <v>1</v>
      </c>
      <c r="BM278" s="1125">
        <f t="shared" si="338"/>
        <v>1</v>
      </c>
      <c r="BN278" s="1125">
        <f t="shared" si="339"/>
        <v>1</v>
      </c>
      <c r="BO278" s="1125">
        <f t="shared" si="340"/>
        <v>1</v>
      </c>
      <c r="BP278" s="1125">
        <f t="shared" si="341"/>
        <v>1</v>
      </c>
      <c r="BQ278" s="1125">
        <f t="shared" si="342"/>
        <v>1</v>
      </c>
      <c r="BR278" s="1125">
        <f t="shared" si="343"/>
        <v>1</v>
      </c>
      <c r="BS278" s="1125">
        <f t="shared" si="344"/>
        <v>1</v>
      </c>
      <c r="BT278" s="1125">
        <f t="shared" si="345"/>
        <v>1</v>
      </c>
      <c r="BU278" s="1125">
        <f t="shared" si="346"/>
        <v>1</v>
      </c>
      <c r="BV278" s="1125">
        <f t="shared" si="347"/>
        <v>1</v>
      </c>
      <c r="BW278" s="1125">
        <f t="shared" si="348"/>
        <v>0</v>
      </c>
      <c r="BX278" s="1125">
        <f t="shared" si="349"/>
        <v>0</v>
      </c>
      <c r="BY278" s="1125">
        <f t="shared" si="350"/>
        <v>0</v>
      </c>
      <c r="BZ278" s="1125">
        <f t="shared" si="351"/>
        <v>0</v>
      </c>
      <c r="CA278" s="1125">
        <f t="shared" si="352"/>
        <v>0</v>
      </c>
      <c r="CB278" s="1125">
        <f t="shared" si="353"/>
        <v>1</v>
      </c>
      <c r="CC278" s="1125">
        <f t="shared" si="354"/>
        <v>1</v>
      </c>
      <c r="CD278" s="1125">
        <f t="shared" si="355"/>
        <v>1</v>
      </c>
      <c r="CE278" s="1125">
        <f t="shared" si="356"/>
        <v>0</v>
      </c>
      <c r="CF278" s="1125">
        <f t="shared" si="357"/>
        <v>0</v>
      </c>
      <c r="CG278" s="1125">
        <f t="shared" si="358"/>
        <v>0</v>
      </c>
      <c r="CH278" s="1125">
        <f t="shared" si="359"/>
        <v>0</v>
      </c>
      <c r="CI278" s="1125">
        <f t="shared" si="360"/>
        <v>0.85</v>
      </c>
      <c r="CJ278" s="1125">
        <f t="shared" si="361"/>
        <v>0.85</v>
      </c>
      <c r="CK278" s="1125">
        <f t="shared" si="362"/>
        <v>0.85</v>
      </c>
      <c r="CL278" s="1125">
        <f t="shared" si="363"/>
        <v>0.85</v>
      </c>
      <c r="CM278" s="1125">
        <f t="shared" si="364"/>
        <v>0.85</v>
      </c>
      <c r="CN278" s="1125">
        <f t="shared" si="365"/>
        <v>0.85</v>
      </c>
      <c r="CO278" s="1125">
        <f t="shared" si="366"/>
        <v>0.85</v>
      </c>
      <c r="CP278" s="1125">
        <f t="shared" si="367"/>
        <v>0.85</v>
      </c>
      <c r="CQ278" s="1125">
        <f t="shared" si="368"/>
        <v>0.85</v>
      </c>
      <c r="CR278" s="1125">
        <f t="shared" si="369"/>
        <v>0.85</v>
      </c>
      <c r="CS278" s="1125">
        <f t="shared" si="370"/>
        <v>0.85</v>
      </c>
      <c r="CT278" s="1125">
        <f t="shared" si="371"/>
        <v>0.85</v>
      </c>
      <c r="CU278" s="1125">
        <v>1</v>
      </c>
      <c r="CV278" s="1125"/>
      <c r="CW278" s="1125">
        <f t="shared" si="372"/>
        <v>92</v>
      </c>
      <c r="CX278" s="1125">
        <f t="shared" si="373"/>
        <v>273</v>
      </c>
      <c r="CY278" s="1136" t="s">
        <v>4889</v>
      </c>
      <c r="CZ278" s="1129" t="s">
        <v>4899</v>
      </c>
      <c r="DA278" s="1129"/>
      <c r="DB278" s="1129"/>
      <c r="DC278" s="1125" t="s">
        <v>5740</v>
      </c>
      <c r="DD278" s="1125" t="s">
        <v>540</v>
      </c>
      <c r="DE278" s="1120" t="str">
        <f t="shared" si="375"/>
        <v/>
      </c>
      <c r="DF278" s="1133">
        <v>0</v>
      </c>
      <c r="DG278" s="1120">
        <v>0</v>
      </c>
    </row>
    <row r="279" spans="1:111">
      <c r="A279" s="1125" t="s">
        <v>3350</v>
      </c>
      <c r="B279" s="1120" t="s">
        <v>3434</v>
      </c>
      <c r="C279" s="1120" t="s">
        <v>3435</v>
      </c>
      <c r="D279" s="1120" t="s">
        <v>566</v>
      </c>
      <c r="E279" s="1120">
        <v>1315</v>
      </c>
      <c r="F279" s="1120">
        <v>-94.75</v>
      </c>
      <c r="G279" s="1120">
        <v>43.4</v>
      </c>
      <c r="H279" s="1120">
        <v>-6</v>
      </c>
      <c r="I279" s="1121">
        <v>-5.9800006866455089</v>
      </c>
      <c r="J279" s="1121">
        <v>87.980000686645511</v>
      </c>
      <c r="K279" s="1122">
        <v>73.580000686645505</v>
      </c>
      <c r="L279" s="1120">
        <v>8240.4</v>
      </c>
      <c r="M279" s="1120">
        <v>622.80000000000007</v>
      </c>
      <c r="N279" s="1123">
        <v>16.7</v>
      </c>
      <c r="O279" s="1123">
        <v>16.7</v>
      </c>
      <c r="P279" s="1123">
        <v>26.23999991416931</v>
      </c>
      <c r="Q279" s="1123">
        <v>49.640000343322754</v>
      </c>
      <c r="R279" s="1123">
        <v>58.819999313354494</v>
      </c>
      <c r="S279" s="1123">
        <v>66.380000686645502</v>
      </c>
      <c r="T279" s="1123">
        <v>72.680000686645513</v>
      </c>
      <c r="U279" s="1123">
        <v>68</v>
      </c>
      <c r="V279" s="1123">
        <v>62.419999313354495</v>
      </c>
      <c r="W279" s="1123">
        <v>47.840000343322757</v>
      </c>
      <c r="X279" s="1123">
        <v>28.4</v>
      </c>
      <c r="Y279" s="1123">
        <v>7.1599996566772459</v>
      </c>
      <c r="Z279" s="1123">
        <v>43.543671253805293</v>
      </c>
      <c r="AA279" s="1123">
        <f t="shared" si="300"/>
        <v>38.926767872679179</v>
      </c>
      <c r="AB279" s="1123">
        <f t="shared" si="301"/>
        <v>36.646230868925798</v>
      </c>
      <c r="AC279" s="1123">
        <f t="shared" si="302"/>
        <v>37.727610457063868</v>
      </c>
      <c r="AD279" s="1123">
        <f t="shared" si="303"/>
        <v>41.889028382881321</v>
      </c>
      <c r="AE279" s="1123">
        <f t="shared" si="304"/>
        <v>48.045746934622414</v>
      </c>
      <c r="AF279" s="1123">
        <f t="shared" si="305"/>
        <v>54.592922543871019</v>
      </c>
      <c r="AG279" s="1123">
        <f t="shared" si="306"/>
        <v>59.823932993046284</v>
      </c>
      <c r="AH279" s="1123">
        <f t="shared" si="307"/>
        <v>62.375234796259548</v>
      </c>
      <c r="AI279" s="1123">
        <f t="shared" si="308"/>
        <v>61.581791821752361</v>
      </c>
      <c r="AJ279" s="1123">
        <f t="shared" si="309"/>
        <v>57.650427208156387</v>
      </c>
      <c r="AK279" s="1123">
        <f t="shared" si="310"/>
        <v>51.605911726167975</v>
      </c>
      <c r="AL279" s="1123">
        <f t="shared" si="311"/>
        <v>45.023841484970582</v>
      </c>
      <c r="AM279" s="1120">
        <f t="shared" si="312"/>
        <v>1</v>
      </c>
      <c r="AN279" s="1120">
        <f t="shared" si="313"/>
        <v>1</v>
      </c>
      <c r="AO279" s="1120">
        <f t="shared" si="314"/>
        <v>1</v>
      </c>
      <c r="AP279" s="1120">
        <f t="shared" si="315"/>
        <v>1</v>
      </c>
      <c r="AQ279" s="1120">
        <f t="shared" si="316"/>
        <v>1</v>
      </c>
      <c r="AR279" s="1120">
        <f t="shared" si="317"/>
        <v>0</v>
      </c>
      <c r="AS279" s="1120">
        <f t="shared" si="318"/>
        <v>0</v>
      </c>
      <c r="AT279" s="1120">
        <f t="shared" si="319"/>
        <v>0</v>
      </c>
      <c r="AU279" s="1120">
        <f t="shared" si="320"/>
        <v>1</v>
      </c>
      <c r="AV279" s="1120">
        <f t="shared" si="321"/>
        <v>1</v>
      </c>
      <c r="AW279" s="1120">
        <f t="shared" si="322"/>
        <v>1</v>
      </c>
      <c r="AX279" s="1120">
        <f t="shared" si="323"/>
        <v>1</v>
      </c>
      <c r="AY279" s="1120">
        <f t="shared" si="324"/>
        <v>0</v>
      </c>
      <c r="AZ279" s="1120">
        <f t="shared" si="325"/>
        <v>0</v>
      </c>
      <c r="BA279" s="1120">
        <f t="shared" si="326"/>
        <v>0</v>
      </c>
      <c r="BB279" s="1120">
        <f t="shared" si="327"/>
        <v>0</v>
      </c>
      <c r="BC279" s="1120">
        <f t="shared" si="328"/>
        <v>0</v>
      </c>
      <c r="BD279" s="1120">
        <f t="shared" si="329"/>
        <v>1</v>
      </c>
      <c r="BE279" s="1120">
        <f t="shared" si="330"/>
        <v>1</v>
      </c>
      <c r="BF279" s="1120">
        <f t="shared" si="331"/>
        <v>1</v>
      </c>
      <c r="BG279" s="1120">
        <f t="shared" si="332"/>
        <v>0</v>
      </c>
      <c r="BH279" s="1120">
        <f t="shared" si="333"/>
        <v>0</v>
      </c>
      <c r="BI279" s="1120">
        <f t="shared" si="334"/>
        <v>0</v>
      </c>
      <c r="BJ279" s="1120">
        <f t="shared" si="335"/>
        <v>0</v>
      </c>
      <c r="BK279" s="1120">
        <f t="shared" si="336"/>
        <v>1</v>
      </c>
      <c r="BL279" s="1120">
        <f t="shared" si="337"/>
        <v>1</v>
      </c>
      <c r="BM279" s="1120">
        <f t="shared" si="338"/>
        <v>1</v>
      </c>
      <c r="BN279" s="1120">
        <f t="shared" si="339"/>
        <v>1</v>
      </c>
      <c r="BO279" s="1120">
        <f t="shared" si="340"/>
        <v>1</v>
      </c>
      <c r="BP279" s="1120">
        <f t="shared" si="341"/>
        <v>1</v>
      </c>
      <c r="BQ279" s="1120">
        <f t="shared" si="342"/>
        <v>0</v>
      </c>
      <c r="BR279" s="1120">
        <f t="shared" si="343"/>
        <v>0</v>
      </c>
      <c r="BS279" s="1120">
        <f t="shared" si="344"/>
        <v>1</v>
      </c>
      <c r="BT279" s="1120">
        <f t="shared" si="345"/>
        <v>1</v>
      </c>
      <c r="BU279" s="1120">
        <f t="shared" si="346"/>
        <v>1</v>
      </c>
      <c r="BV279" s="1120">
        <f t="shared" si="347"/>
        <v>1</v>
      </c>
      <c r="BW279" s="1120">
        <f t="shared" si="348"/>
        <v>0</v>
      </c>
      <c r="BX279" s="1120">
        <f t="shared" si="349"/>
        <v>0</v>
      </c>
      <c r="BY279" s="1120">
        <f t="shared" si="350"/>
        <v>0</v>
      </c>
      <c r="BZ279" s="1120">
        <f t="shared" si="351"/>
        <v>0</v>
      </c>
      <c r="CA279" s="1120">
        <f t="shared" si="352"/>
        <v>1</v>
      </c>
      <c r="CB279" s="1120">
        <f t="shared" si="353"/>
        <v>1</v>
      </c>
      <c r="CC279" s="1120">
        <f t="shared" si="354"/>
        <v>1</v>
      </c>
      <c r="CD279" s="1120">
        <f t="shared" si="355"/>
        <v>1</v>
      </c>
      <c r="CE279" s="1120">
        <f t="shared" si="356"/>
        <v>1</v>
      </c>
      <c r="CF279" s="1120">
        <f t="shared" si="357"/>
        <v>0</v>
      </c>
      <c r="CG279" s="1120">
        <f t="shared" si="358"/>
        <v>0</v>
      </c>
      <c r="CH279" s="1120">
        <f t="shared" si="359"/>
        <v>0</v>
      </c>
      <c r="CI279" s="1120">
        <f t="shared" si="360"/>
        <v>0.85</v>
      </c>
      <c r="CJ279" s="1120">
        <f t="shared" si="361"/>
        <v>0.85</v>
      </c>
      <c r="CK279" s="1120">
        <f t="shared" si="362"/>
        <v>0.85</v>
      </c>
      <c r="CL279" s="1120">
        <f t="shared" si="363"/>
        <v>0.85</v>
      </c>
      <c r="CM279" s="1120">
        <f t="shared" si="364"/>
        <v>0.85</v>
      </c>
      <c r="CN279" s="1120">
        <f t="shared" si="365"/>
        <v>0.85</v>
      </c>
      <c r="CO279" s="1120">
        <f t="shared" si="366"/>
        <v>0.7</v>
      </c>
      <c r="CP279" s="1120">
        <f t="shared" si="367"/>
        <v>0.7</v>
      </c>
      <c r="CQ279" s="1120">
        <f t="shared" si="368"/>
        <v>0.85</v>
      </c>
      <c r="CR279" s="1120">
        <f t="shared" si="369"/>
        <v>0.85</v>
      </c>
      <c r="CS279" s="1120">
        <f t="shared" si="370"/>
        <v>0.85</v>
      </c>
      <c r="CT279" s="1120">
        <f t="shared" si="371"/>
        <v>0.85</v>
      </c>
      <c r="CU279" s="1120">
        <v>1</v>
      </c>
      <c r="CV279" s="1120"/>
      <c r="CW279" s="1120">
        <f t="shared" si="372"/>
        <v>153</v>
      </c>
      <c r="CX279" s="1120">
        <f t="shared" si="373"/>
        <v>212</v>
      </c>
      <c r="CY279" s="1135" t="s">
        <v>4889</v>
      </c>
      <c r="CZ279" s="1124" t="s">
        <v>4899</v>
      </c>
      <c r="DA279" s="1124"/>
      <c r="DB279" s="1124"/>
      <c r="DC279" s="1120" t="s">
        <v>5172</v>
      </c>
      <c r="DD279" s="1120" t="s">
        <v>566</v>
      </c>
      <c r="DE279" s="1120" t="str">
        <f t="shared" si="375"/>
        <v/>
      </c>
      <c r="DF279" s="1133">
        <v>0</v>
      </c>
      <c r="DG279" s="1125">
        <v>0</v>
      </c>
    </row>
    <row r="280" spans="1:111">
      <c r="A280" s="1120" t="s">
        <v>3352</v>
      </c>
      <c r="B280" s="1120" t="s">
        <v>4230</v>
      </c>
      <c r="C280" s="1120" t="s">
        <v>4231</v>
      </c>
      <c r="D280" s="1120" t="s">
        <v>427</v>
      </c>
      <c r="E280" s="1120">
        <v>358</v>
      </c>
      <c r="F280" s="1120">
        <v>-123.07</v>
      </c>
      <c r="G280" s="1120">
        <v>44.05</v>
      </c>
      <c r="H280" s="1120">
        <v>-8</v>
      </c>
      <c r="I280" s="1121">
        <v>26.23999991416931</v>
      </c>
      <c r="J280" s="1121">
        <v>87.619999313354498</v>
      </c>
      <c r="K280" s="1122">
        <v>65.480000686645511</v>
      </c>
      <c r="L280" s="1120">
        <v>4710.6000000000004</v>
      </c>
      <c r="M280" s="1120">
        <v>268.2</v>
      </c>
      <c r="N280" s="1123">
        <v>41.9</v>
      </c>
      <c r="O280" s="1123">
        <v>40.640000343322754</v>
      </c>
      <c r="P280" s="1123">
        <v>45.859999656677246</v>
      </c>
      <c r="Q280" s="1123">
        <v>49.819999313354494</v>
      </c>
      <c r="R280" s="1123">
        <v>56.119999313354491</v>
      </c>
      <c r="S280" s="1123">
        <v>60.440000343322751</v>
      </c>
      <c r="T280" s="1123">
        <v>66.380000686645502</v>
      </c>
      <c r="U280" s="1123">
        <v>67.460001373291021</v>
      </c>
      <c r="V280" s="1123">
        <v>61.519999313354496</v>
      </c>
      <c r="W280" s="1123">
        <v>52.880000686645509</v>
      </c>
      <c r="X280" s="1123">
        <v>42.97999982833862</v>
      </c>
      <c r="Y280" s="1123">
        <v>39.740000343322755</v>
      </c>
      <c r="Z280" s="1123">
        <v>52.222630239512824</v>
      </c>
      <c r="AA280" s="1123">
        <f t="shared" si="300"/>
        <v>52.236129221294135</v>
      </c>
      <c r="AB280" s="1123">
        <f t="shared" si="301"/>
        <v>51.549248925555119</v>
      </c>
      <c r="AC280" s="1123">
        <f t="shared" si="302"/>
        <v>52.601888309218168</v>
      </c>
      <c r="AD280" s="1123">
        <f t="shared" si="303"/>
        <v>55.119660695267577</v>
      </c>
      <c r="AE280" s="1123">
        <f t="shared" si="304"/>
        <v>58.446269911232633</v>
      </c>
      <c r="AF280" s="1123">
        <f t="shared" si="305"/>
        <v>61.714584000372255</v>
      </c>
      <c r="AG280" s="1123">
        <f t="shared" si="306"/>
        <v>64.072666529107522</v>
      </c>
      <c r="AH280" s="1123">
        <f t="shared" si="307"/>
        <v>64.905846947171824</v>
      </c>
      <c r="AI280" s="1123">
        <f t="shared" si="308"/>
        <v>63.996943938897829</v>
      </c>
      <c r="AJ280" s="1123">
        <f t="shared" si="309"/>
        <v>61.582877080011471</v>
      </c>
      <c r="AK280" s="1123">
        <f t="shared" si="310"/>
        <v>58.292910099177874</v>
      </c>
      <c r="AL280" s="1123">
        <f t="shared" si="311"/>
        <v>54.98462358987716</v>
      </c>
      <c r="AM280" s="1120">
        <f t="shared" si="312"/>
        <v>1</v>
      </c>
      <c r="AN280" s="1120">
        <f t="shared" si="313"/>
        <v>1</v>
      </c>
      <c r="AO280" s="1120">
        <f t="shared" si="314"/>
        <v>1</v>
      </c>
      <c r="AP280" s="1120">
        <f t="shared" si="315"/>
        <v>1</v>
      </c>
      <c r="AQ280" s="1120">
        <f t="shared" si="316"/>
        <v>1</v>
      </c>
      <c r="AR280" s="1120">
        <f t="shared" si="317"/>
        <v>1</v>
      </c>
      <c r="AS280" s="1120">
        <f t="shared" si="318"/>
        <v>0</v>
      </c>
      <c r="AT280" s="1120">
        <f t="shared" si="319"/>
        <v>0</v>
      </c>
      <c r="AU280" s="1120">
        <f t="shared" si="320"/>
        <v>1</v>
      </c>
      <c r="AV280" s="1120">
        <f t="shared" si="321"/>
        <v>1</v>
      </c>
      <c r="AW280" s="1120">
        <f t="shared" si="322"/>
        <v>1</v>
      </c>
      <c r="AX280" s="1120">
        <f t="shared" si="323"/>
        <v>1</v>
      </c>
      <c r="AY280" s="1120">
        <f t="shared" si="324"/>
        <v>0</v>
      </c>
      <c r="AZ280" s="1120">
        <f t="shared" si="325"/>
        <v>0</v>
      </c>
      <c r="BA280" s="1120">
        <f t="shared" si="326"/>
        <v>0</v>
      </c>
      <c r="BB280" s="1120">
        <f t="shared" si="327"/>
        <v>0</v>
      </c>
      <c r="BC280" s="1120">
        <f t="shared" si="328"/>
        <v>0</v>
      </c>
      <c r="BD280" s="1120">
        <f t="shared" si="329"/>
        <v>0</v>
      </c>
      <c r="BE280" s="1120">
        <f t="shared" si="330"/>
        <v>1</v>
      </c>
      <c r="BF280" s="1120">
        <f t="shared" si="331"/>
        <v>1</v>
      </c>
      <c r="BG280" s="1120">
        <f t="shared" si="332"/>
        <v>0</v>
      </c>
      <c r="BH280" s="1120">
        <f t="shared" si="333"/>
        <v>0</v>
      </c>
      <c r="BI280" s="1120">
        <f t="shared" si="334"/>
        <v>0</v>
      </c>
      <c r="BJ280" s="1120">
        <f t="shared" si="335"/>
        <v>0</v>
      </c>
      <c r="BK280" s="1120">
        <f t="shared" si="336"/>
        <v>1</v>
      </c>
      <c r="BL280" s="1120">
        <f t="shared" si="337"/>
        <v>1</v>
      </c>
      <c r="BM280" s="1120">
        <f t="shared" si="338"/>
        <v>1</v>
      </c>
      <c r="BN280" s="1120">
        <f t="shared" si="339"/>
        <v>1</v>
      </c>
      <c r="BO280" s="1120">
        <f t="shared" si="340"/>
        <v>1</v>
      </c>
      <c r="BP280" s="1120">
        <f t="shared" si="341"/>
        <v>1</v>
      </c>
      <c r="BQ280" s="1120">
        <f t="shared" si="342"/>
        <v>1</v>
      </c>
      <c r="BR280" s="1120">
        <f t="shared" si="343"/>
        <v>0</v>
      </c>
      <c r="BS280" s="1120">
        <f t="shared" si="344"/>
        <v>1</v>
      </c>
      <c r="BT280" s="1120">
        <f t="shared" si="345"/>
        <v>1</v>
      </c>
      <c r="BU280" s="1120">
        <f t="shared" si="346"/>
        <v>1</v>
      </c>
      <c r="BV280" s="1120">
        <f t="shared" si="347"/>
        <v>1</v>
      </c>
      <c r="BW280" s="1120">
        <f t="shared" si="348"/>
        <v>0</v>
      </c>
      <c r="BX280" s="1120">
        <f t="shared" si="349"/>
        <v>0</v>
      </c>
      <c r="BY280" s="1120">
        <f t="shared" si="350"/>
        <v>0</v>
      </c>
      <c r="BZ280" s="1120">
        <f t="shared" si="351"/>
        <v>0</v>
      </c>
      <c r="CA280" s="1120">
        <f t="shared" si="352"/>
        <v>0</v>
      </c>
      <c r="CB280" s="1120">
        <f t="shared" si="353"/>
        <v>1</v>
      </c>
      <c r="CC280" s="1120">
        <f t="shared" si="354"/>
        <v>1</v>
      </c>
      <c r="CD280" s="1120">
        <f t="shared" si="355"/>
        <v>1</v>
      </c>
      <c r="CE280" s="1120">
        <f t="shared" si="356"/>
        <v>1</v>
      </c>
      <c r="CF280" s="1120">
        <f t="shared" si="357"/>
        <v>0</v>
      </c>
      <c r="CG280" s="1120">
        <f t="shared" si="358"/>
        <v>0</v>
      </c>
      <c r="CH280" s="1120">
        <f t="shared" si="359"/>
        <v>0</v>
      </c>
      <c r="CI280" s="1120">
        <f t="shared" si="360"/>
        <v>0.85</v>
      </c>
      <c r="CJ280" s="1120">
        <f t="shared" si="361"/>
        <v>0.85</v>
      </c>
      <c r="CK280" s="1120">
        <f t="shared" si="362"/>
        <v>0.85</v>
      </c>
      <c r="CL280" s="1120">
        <f t="shared" si="363"/>
        <v>0.85</v>
      </c>
      <c r="CM280" s="1120">
        <f t="shared" si="364"/>
        <v>0.85</v>
      </c>
      <c r="CN280" s="1120">
        <f t="shared" si="365"/>
        <v>0.85</v>
      </c>
      <c r="CO280" s="1120">
        <f t="shared" si="366"/>
        <v>0.85</v>
      </c>
      <c r="CP280" s="1120">
        <f t="shared" si="367"/>
        <v>0.7</v>
      </c>
      <c r="CQ280" s="1120">
        <f t="shared" si="368"/>
        <v>0.85</v>
      </c>
      <c r="CR280" s="1120">
        <f t="shared" si="369"/>
        <v>0.85</v>
      </c>
      <c r="CS280" s="1120">
        <f t="shared" si="370"/>
        <v>0.85</v>
      </c>
      <c r="CT280" s="1120">
        <f t="shared" si="371"/>
        <v>0.85</v>
      </c>
      <c r="CU280" s="1120">
        <v>1</v>
      </c>
      <c r="CV280" s="1120"/>
      <c r="CW280" s="1120">
        <f t="shared" si="372"/>
        <v>122</v>
      </c>
      <c r="CX280" s="1120">
        <f t="shared" si="373"/>
        <v>243</v>
      </c>
      <c r="CY280" s="1135" t="s">
        <v>4893</v>
      </c>
      <c r="CZ280" s="1124" t="s">
        <v>4894</v>
      </c>
      <c r="DA280" s="1124"/>
      <c r="DB280" s="1124"/>
      <c r="DC280" s="1120" t="s">
        <v>5518</v>
      </c>
      <c r="DD280" s="1120" t="s">
        <v>427</v>
      </c>
      <c r="DE280" s="1120" t="b">
        <f t="shared" si="375"/>
        <v>0</v>
      </c>
      <c r="DF280" s="1133">
        <v>0</v>
      </c>
      <c r="DG280" s="1120">
        <v>0</v>
      </c>
    </row>
    <row r="281" spans="1:111">
      <c r="A281" s="1125" t="s">
        <v>3354</v>
      </c>
      <c r="B281" s="1125" t="s">
        <v>4669</v>
      </c>
      <c r="C281" s="1125" t="s">
        <v>4670</v>
      </c>
      <c r="D281" s="1125" t="s">
        <v>904</v>
      </c>
      <c r="E281" s="1125">
        <v>7160</v>
      </c>
      <c r="F281" s="1125">
        <v>-111.03</v>
      </c>
      <c r="G281" s="1125">
        <v>41.28</v>
      </c>
      <c r="H281" s="1125">
        <v>-7</v>
      </c>
      <c r="I281" s="1126">
        <v>-0.58000068664550863</v>
      </c>
      <c r="J281" s="1126">
        <v>86.180000686645513</v>
      </c>
      <c r="K281" s="1127">
        <v>54.5</v>
      </c>
      <c r="L281" s="1125">
        <v>8202.6</v>
      </c>
      <c r="M281" s="1125">
        <v>230.4</v>
      </c>
      <c r="N281" s="1128">
        <v>19.220000171661376</v>
      </c>
      <c r="O281" s="1128">
        <v>21.559999656677245</v>
      </c>
      <c r="P281" s="1128">
        <v>31.639999994635581</v>
      </c>
      <c r="Q281" s="1128">
        <v>40.279999828338624</v>
      </c>
      <c r="R281" s="1128">
        <v>51.619999313354491</v>
      </c>
      <c r="S281" s="1128">
        <v>59.9</v>
      </c>
      <c r="T281" s="1128">
        <v>67.280000686645508</v>
      </c>
      <c r="U281" s="1128">
        <v>65.3</v>
      </c>
      <c r="V281" s="1128">
        <v>57.019999313354489</v>
      </c>
      <c r="W281" s="1128">
        <v>42.259999656677245</v>
      </c>
      <c r="X281" s="1128">
        <v>30.019999957084657</v>
      </c>
      <c r="Y281" s="1128">
        <v>23</v>
      </c>
      <c r="Z281" s="1128">
        <v>42.548493035239716</v>
      </c>
      <c r="AA281" s="1128">
        <f t="shared" si="300"/>
        <v>41.048819292820447</v>
      </c>
      <c r="AB281" s="1128">
        <f t="shared" si="301"/>
        <v>39.342321710484491</v>
      </c>
      <c r="AC281" s="1128">
        <f t="shared" si="302"/>
        <v>40.035554555340511</v>
      </c>
      <c r="AD281" s="1128">
        <f t="shared" si="303"/>
        <v>42.947816003335262</v>
      </c>
      <c r="AE281" s="1128">
        <f t="shared" si="304"/>
        <v>47.319980228741535</v>
      </c>
      <c r="AF281" s="1128">
        <f t="shared" si="305"/>
        <v>52.012375249116964</v>
      </c>
      <c r="AG281" s="1128">
        <f t="shared" si="306"/>
        <v>55.801855990404576</v>
      </c>
      <c r="AH281" s="1128">
        <f t="shared" si="307"/>
        <v>57.700635899721846</v>
      </c>
      <c r="AI281" s="1128">
        <f t="shared" si="308"/>
        <v>57.213768732621098</v>
      </c>
      <c r="AJ281" s="1128">
        <f t="shared" si="309"/>
        <v>54.468163919057297</v>
      </c>
      <c r="AK281" s="1128">
        <f t="shared" si="310"/>
        <v>50.179505664736766</v>
      </c>
      <c r="AL281" s="1128">
        <f t="shared" si="311"/>
        <v>45.465698833872402</v>
      </c>
      <c r="AM281" s="1125">
        <f t="shared" si="312"/>
        <v>1</v>
      </c>
      <c r="AN281" s="1125">
        <f t="shared" si="313"/>
        <v>1</v>
      </c>
      <c r="AO281" s="1125">
        <f t="shared" si="314"/>
        <v>1</v>
      </c>
      <c r="AP281" s="1125">
        <f t="shared" si="315"/>
        <v>1</v>
      </c>
      <c r="AQ281" s="1125">
        <f t="shared" si="316"/>
        <v>1</v>
      </c>
      <c r="AR281" s="1125">
        <f t="shared" si="317"/>
        <v>1</v>
      </c>
      <c r="AS281" s="1125">
        <f t="shared" si="318"/>
        <v>0</v>
      </c>
      <c r="AT281" s="1125">
        <f t="shared" si="319"/>
        <v>1</v>
      </c>
      <c r="AU281" s="1125">
        <f t="shared" si="320"/>
        <v>1</v>
      </c>
      <c r="AV281" s="1125">
        <f t="shared" si="321"/>
        <v>1</v>
      </c>
      <c r="AW281" s="1125">
        <f t="shared" si="322"/>
        <v>1</v>
      </c>
      <c r="AX281" s="1125">
        <f t="shared" si="323"/>
        <v>1</v>
      </c>
      <c r="AY281" s="1125">
        <f t="shared" si="324"/>
        <v>0</v>
      </c>
      <c r="AZ281" s="1125">
        <f t="shared" si="325"/>
        <v>0</v>
      </c>
      <c r="BA281" s="1125">
        <f t="shared" si="326"/>
        <v>0</v>
      </c>
      <c r="BB281" s="1125">
        <f t="shared" si="327"/>
        <v>0</v>
      </c>
      <c r="BC281" s="1125">
        <f t="shared" si="328"/>
        <v>0</v>
      </c>
      <c r="BD281" s="1125">
        <f t="shared" si="329"/>
        <v>0</v>
      </c>
      <c r="BE281" s="1125">
        <f t="shared" si="330"/>
        <v>1</v>
      </c>
      <c r="BF281" s="1125">
        <f t="shared" si="331"/>
        <v>1</v>
      </c>
      <c r="BG281" s="1125">
        <f t="shared" si="332"/>
        <v>0</v>
      </c>
      <c r="BH281" s="1125">
        <f t="shared" si="333"/>
        <v>0</v>
      </c>
      <c r="BI281" s="1125">
        <f t="shared" si="334"/>
        <v>0</v>
      </c>
      <c r="BJ281" s="1125">
        <f t="shared" si="335"/>
        <v>0</v>
      </c>
      <c r="BK281" s="1125">
        <f t="shared" si="336"/>
        <v>1</v>
      </c>
      <c r="BL281" s="1125">
        <f t="shared" si="337"/>
        <v>1</v>
      </c>
      <c r="BM281" s="1125">
        <f t="shared" si="338"/>
        <v>1</v>
      </c>
      <c r="BN281" s="1125">
        <f t="shared" si="339"/>
        <v>1</v>
      </c>
      <c r="BO281" s="1125">
        <f t="shared" si="340"/>
        <v>1</v>
      </c>
      <c r="BP281" s="1125">
        <f t="shared" si="341"/>
        <v>1</v>
      </c>
      <c r="BQ281" s="1125">
        <f t="shared" si="342"/>
        <v>1</v>
      </c>
      <c r="BR281" s="1125">
        <f t="shared" si="343"/>
        <v>1</v>
      </c>
      <c r="BS281" s="1125">
        <f t="shared" si="344"/>
        <v>1</v>
      </c>
      <c r="BT281" s="1125">
        <f t="shared" si="345"/>
        <v>1</v>
      </c>
      <c r="BU281" s="1125">
        <f t="shared" si="346"/>
        <v>1</v>
      </c>
      <c r="BV281" s="1125">
        <f t="shared" si="347"/>
        <v>1</v>
      </c>
      <c r="BW281" s="1125">
        <f t="shared" si="348"/>
        <v>0</v>
      </c>
      <c r="BX281" s="1125">
        <f t="shared" si="349"/>
        <v>0</v>
      </c>
      <c r="BY281" s="1125">
        <f t="shared" si="350"/>
        <v>0</v>
      </c>
      <c r="BZ281" s="1125">
        <f t="shared" si="351"/>
        <v>0</v>
      </c>
      <c r="CA281" s="1125">
        <f t="shared" si="352"/>
        <v>0</v>
      </c>
      <c r="CB281" s="1125">
        <f t="shared" si="353"/>
        <v>1</v>
      </c>
      <c r="CC281" s="1125">
        <f t="shared" si="354"/>
        <v>1</v>
      </c>
      <c r="CD281" s="1125">
        <f t="shared" si="355"/>
        <v>1</v>
      </c>
      <c r="CE281" s="1125">
        <f t="shared" si="356"/>
        <v>0</v>
      </c>
      <c r="CF281" s="1125">
        <f t="shared" si="357"/>
        <v>0</v>
      </c>
      <c r="CG281" s="1125">
        <f t="shared" si="358"/>
        <v>0</v>
      </c>
      <c r="CH281" s="1125">
        <f t="shared" si="359"/>
        <v>0</v>
      </c>
      <c r="CI281" s="1125">
        <f t="shared" si="360"/>
        <v>0.85</v>
      </c>
      <c r="CJ281" s="1125">
        <f t="shared" si="361"/>
        <v>0.85</v>
      </c>
      <c r="CK281" s="1125">
        <f t="shared" si="362"/>
        <v>0.85</v>
      </c>
      <c r="CL281" s="1125">
        <f t="shared" si="363"/>
        <v>0.85</v>
      </c>
      <c r="CM281" s="1125">
        <f t="shared" si="364"/>
        <v>0.85</v>
      </c>
      <c r="CN281" s="1125">
        <f t="shared" si="365"/>
        <v>0.85</v>
      </c>
      <c r="CO281" s="1125">
        <f t="shared" si="366"/>
        <v>0.85</v>
      </c>
      <c r="CP281" s="1125">
        <f t="shared" si="367"/>
        <v>0.85</v>
      </c>
      <c r="CQ281" s="1125">
        <f t="shared" si="368"/>
        <v>0.85</v>
      </c>
      <c r="CR281" s="1125">
        <f t="shared" si="369"/>
        <v>0.85</v>
      </c>
      <c r="CS281" s="1125">
        <f t="shared" si="370"/>
        <v>0.85</v>
      </c>
      <c r="CT281" s="1125">
        <f t="shared" si="371"/>
        <v>0.85</v>
      </c>
      <c r="CU281" s="1125">
        <v>1</v>
      </c>
      <c r="CV281" s="1125"/>
      <c r="CW281" s="1125">
        <f t="shared" si="372"/>
        <v>92</v>
      </c>
      <c r="CX281" s="1125">
        <f t="shared" si="373"/>
        <v>273</v>
      </c>
      <c r="CY281" s="1135" t="s">
        <v>4889</v>
      </c>
      <c r="CZ281" s="1124" t="s">
        <v>4896</v>
      </c>
      <c r="DA281" s="1124"/>
      <c r="DB281" s="1124"/>
      <c r="DC281" s="1120" t="s">
        <v>6026</v>
      </c>
      <c r="DD281" s="1120" t="s">
        <v>904</v>
      </c>
      <c r="DE281" s="1120" t="str">
        <f t="shared" si="375"/>
        <v/>
      </c>
      <c r="DF281" s="1133">
        <v>0</v>
      </c>
      <c r="DG281" s="1125">
        <v>0</v>
      </c>
    </row>
    <row r="282" spans="1:111">
      <c r="A282" s="1120" t="s">
        <v>3356</v>
      </c>
      <c r="B282" s="1120" t="s">
        <v>3533</v>
      </c>
      <c r="C282" s="1120" t="s">
        <v>3534</v>
      </c>
      <c r="D282" s="1120" t="s">
        <v>283</v>
      </c>
      <c r="E282" s="1120">
        <v>380</v>
      </c>
      <c r="F282" s="1120">
        <v>-87.53</v>
      </c>
      <c r="G282" s="1120">
        <v>38.049999999999997</v>
      </c>
      <c r="H282" s="1120">
        <v>-6</v>
      </c>
      <c r="I282" s="1121">
        <v>12.019999313354491</v>
      </c>
      <c r="J282" s="1121">
        <v>91.579997253417972</v>
      </c>
      <c r="K282" s="1122">
        <v>75.739998626708982</v>
      </c>
      <c r="L282" s="1120">
        <v>4311</v>
      </c>
      <c r="M282" s="1120">
        <v>1452.6000000000001</v>
      </c>
      <c r="N282" s="1123">
        <v>33.259999978542325</v>
      </c>
      <c r="O282" s="1123">
        <v>35.960000085830686</v>
      </c>
      <c r="P282" s="1123">
        <v>46.580000686645505</v>
      </c>
      <c r="Q282" s="1123">
        <v>58.819999313354494</v>
      </c>
      <c r="R282" s="1123">
        <v>65.66000137329101</v>
      </c>
      <c r="S282" s="1123">
        <v>75.2</v>
      </c>
      <c r="T282" s="1123">
        <v>78.980000686645511</v>
      </c>
      <c r="U282" s="1123">
        <v>75.919999313354495</v>
      </c>
      <c r="V282" s="1123">
        <v>68</v>
      </c>
      <c r="W282" s="1123">
        <v>56.659999656677243</v>
      </c>
      <c r="X282" s="1123">
        <v>48.380000686645509</v>
      </c>
      <c r="Y282" s="1123">
        <v>34.339999914169312</v>
      </c>
      <c r="Z282" s="1123">
        <v>56.581589184362592</v>
      </c>
      <c r="AA282" s="1123">
        <f t="shared" si="300"/>
        <v>51.444934098460209</v>
      </c>
      <c r="AB282" s="1123">
        <f t="shared" si="301"/>
        <v>50.663600524409262</v>
      </c>
      <c r="AC282" s="1123">
        <f t="shared" si="302"/>
        <v>52.988874356339799</v>
      </c>
      <c r="AD282" s="1123">
        <f t="shared" si="303"/>
        <v>57.814637136404698</v>
      </c>
      <c r="AE282" s="1123">
        <f t="shared" si="304"/>
        <v>63.882979428724525</v>
      </c>
      <c r="AF282" s="1123">
        <f t="shared" si="305"/>
        <v>69.612094298820693</v>
      </c>
      <c r="AG282" s="1123">
        <f t="shared" si="306"/>
        <v>73.508599667470008</v>
      </c>
      <c r="AH282" s="1123">
        <f t="shared" si="307"/>
        <v>74.556811363368695</v>
      </c>
      <c r="AI282" s="1123">
        <f t="shared" si="308"/>
        <v>72.483496854549585</v>
      </c>
      <c r="AJ282" s="1123">
        <f t="shared" si="309"/>
        <v>67.829097518480069</v>
      </c>
      <c r="AK282" s="1123">
        <f t="shared" si="310"/>
        <v>61.806854268571605</v>
      </c>
      <c r="AL282" s="1123">
        <f t="shared" si="311"/>
        <v>55.986557613490504</v>
      </c>
      <c r="AM282" s="1120">
        <f t="shared" si="312"/>
        <v>1</v>
      </c>
      <c r="AN282" s="1120">
        <f t="shared" si="313"/>
        <v>1</v>
      </c>
      <c r="AO282" s="1120">
        <f t="shared" si="314"/>
        <v>1</v>
      </c>
      <c r="AP282" s="1120">
        <f t="shared" si="315"/>
        <v>1</v>
      </c>
      <c r="AQ282" s="1120">
        <f t="shared" si="316"/>
        <v>1</v>
      </c>
      <c r="AR282" s="1120">
        <f t="shared" si="317"/>
        <v>0</v>
      </c>
      <c r="AS282" s="1120">
        <f t="shared" si="318"/>
        <v>0</v>
      </c>
      <c r="AT282" s="1120">
        <f t="shared" si="319"/>
        <v>0</v>
      </c>
      <c r="AU282" s="1120">
        <f t="shared" si="320"/>
        <v>0</v>
      </c>
      <c r="AV282" s="1120">
        <f t="shared" si="321"/>
        <v>1</v>
      </c>
      <c r="AW282" s="1120">
        <f t="shared" si="322"/>
        <v>1</v>
      </c>
      <c r="AX282" s="1120">
        <f t="shared" si="323"/>
        <v>1</v>
      </c>
      <c r="AY282" s="1120">
        <f t="shared" si="324"/>
        <v>0</v>
      </c>
      <c r="AZ282" s="1120">
        <f t="shared" si="325"/>
        <v>0</v>
      </c>
      <c r="BA282" s="1120">
        <f t="shared" si="326"/>
        <v>0</v>
      </c>
      <c r="BB282" s="1120">
        <f t="shared" si="327"/>
        <v>0</v>
      </c>
      <c r="BC282" s="1120">
        <f t="shared" si="328"/>
        <v>0</v>
      </c>
      <c r="BD282" s="1120">
        <f t="shared" si="329"/>
        <v>1</v>
      </c>
      <c r="BE282" s="1120">
        <f t="shared" si="330"/>
        <v>1</v>
      </c>
      <c r="BF282" s="1120">
        <f t="shared" si="331"/>
        <v>1</v>
      </c>
      <c r="BG282" s="1120">
        <f t="shared" si="332"/>
        <v>1</v>
      </c>
      <c r="BH282" s="1120">
        <f t="shared" si="333"/>
        <v>0</v>
      </c>
      <c r="BI282" s="1120">
        <f t="shared" si="334"/>
        <v>0</v>
      </c>
      <c r="BJ282" s="1120">
        <f t="shared" si="335"/>
        <v>0</v>
      </c>
      <c r="BK282" s="1120">
        <f t="shared" si="336"/>
        <v>1</v>
      </c>
      <c r="BL282" s="1120">
        <f t="shared" si="337"/>
        <v>1</v>
      </c>
      <c r="BM282" s="1120">
        <f t="shared" si="338"/>
        <v>1</v>
      </c>
      <c r="BN282" s="1120">
        <f t="shared" si="339"/>
        <v>1</v>
      </c>
      <c r="BO282" s="1120">
        <f t="shared" si="340"/>
        <v>1</v>
      </c>
      <c r="BP282" s="1120">
        <f t="shared" si="341"/>
        <v>1</v>
      </c>
      <c r="BQ282" s="1120">
        <f t="shared" si="342"/>
        <v>0</v>
      </c>
      <c r="BR282" s="1120">
        <f t="shared" si="343"/>
        <v>0</v>
      </c>
      <c r="BS282" s="1120">
        <f t="shared" si="344"/>
        <v>0</v>
      </c>
      <c r="BT282" s="1120">
        <f t="shared" si="345"/>
        <v>1</v>
      </c>
      <c r="BU282" s="1120">
        <f t="shared" si="346"/>
        <v>1</v>
      </c>
      <c r="BV282" s="1120">
        <f t="shared" si="347"/>
        <v>1</v>
      </c>
      <c r="BW282" s="1120">
        <f t="shared" si="348"/>
        <v>0</v>
      </c>
      <c r="BX282" s="1120">
        <f t="shared" si="349"/>
        <v>0</v>
      </c>
      <c r="BY282" s="1120">
        <f t="shared" si="350"/>
        <v>0</v>
      </c>
      <c r="BZ282" s="1120">
        <f t="shared" si="351"/>
        <v>0</v>
      </c>
      <c r="CA282" s="1120">
        <f t="shared" si="352"/>
        <v>1</v>
      </c>
      <c r="CB282" s="1120">
        <f t="shared" si="353"/>
        <v>1</v>
      </c>
      <c r="CC282" s="1120">
        <f t="shared" si="354"/>
        <v>1</v>
      </c>
      <c r="CD282" s="1120">
        <f t="shared" si="355"/>
        <v>1</v>
      </c>
      <c r="CE282" s="1120">
        <f t="shared" si="356"/>
        <v>1</v>
      </c>
      <c r="CF282" s="1120">
        <f t="shared" si="357"/>
        <v>1</v>
      </c>
      <c r="CG282" s="1120">
        <f t="shared" si="358"/>
        <v>0</v>
      </c>
      <c r="CH282" s="1120">
        <f t="shared" si="359"/>
        <v>0</v>
      </c>
      <c r="CI282" s="1120">
        <f t="shared" si="360"/>
        <v>0.85</v>
      </c>
      <c r="CJ282" s="1120">
        <f t="shared" si="361"/>
        <v>0.85</v>
      </c>
      <c r="CK282" s="1120">
        <f t="shared" si="362"/>
        <v>0.85</v>
      </c>
      <c r="CL282" s="1120">
        <f t="shared" si="363"/>
        <v>0.85</v>
      </c>
      <c r="CM282" s="1120">
        <f t="shared" si="364"/>
        <v>0.85</v>
      </c>
      <c r="CN282" s="1120">
        <f t="shared" si="365"/>
        <v>0.85</v>
      </c>
      <c r="CO282" s="1120">
        <f t="shared" si="366"/>
        <v>0.7</v>
      </c>
      <c r="CP282" s="1120">
        <f t="shared" si="367"/>
        <v>0.7</v>
      </c>
      <c r="CQ282" s="1120">
        <f t="shared" si="368"/>
        <v>0.7</v>
      </c>
      <c r="CR282" s="1120">
        <f t="shared" si="369"/>
        <v>0.85</v>
      </c>
      <c r="CS282" s="1120">
        <f t="shared" si="370"/>
        <v>0.85</v>
      </c>
      <c r="CT282" s="1120">
        <f t="shared" si="371"/>
        <v>0.85</v>
      </c>
      <c r="CU282" s="1120">
        <v>1</v>
      </c>
      <c r="CV282" s="1120"/>
      <c r="CW282" s="1120">
        <f t="shared" si="372"/>
        <v>184</v>
      </c>
      <c r="CX282" s="1120">
        <f t="shared" si="373"/>
        <v>181</v>
      </c>
      <c r="CY282" s="1135" t="s">
        <v>4881</v>
      </c>
      <c r="CZ282" s="1124" t="s">
        <v>4885</v>
      </c>
      <c r="DA282" s="1124"/>
      <c r="DB282" s="1124"/>
      <c r="DC282" s="1120" t="s">
        <v>5217</v>
      </c>
      <c r="DD282" s="1120" t="s">
        <v>283</v>
      </c>
      <c r="DE282" s="1120" t="str">
        <f t="shared" si="375"/>
        <v/>
      </c>
      <c r="DF282" s="1133">
        <v>0</v>
      </c>
      <c r="DG282" s="1120">
        <v>0</v>
      </c>
    </row>
    <row r="283" spans="1:111">
      <c r="A283" s="1125" t="s">
        <v>3358</v>
      </c>
      <c r="B283" s="1120" t="s">
        <v>5874</v>
      </c>
      <c r="C283" s="1120" t="s">
        <v>5875</v>
      </c>
      <c r="D283" s="1120" t="s">
        <v>934</v>
      </c>
      <c r="E283" s="1120">
        <v>1381</v>
      </c>
      <c r="F283" s="1120">
        <v>-92.5</v>
      </c>
      <c r="G283" s="1120">
        <v>47.4</v>
      </c>
      <c r="H283" s="1120">
        <v>-6</v>
      </c>
      <c r="I283" s="1121">
        <v>-17.139998626708987</v>
      </c>
      <c r="J283" s="1121">
        <v>82.219999313354492</v>
      </c>
      <c r="K283" s="1122">
        <v>67.280000686645508</v>
      </c>
      <c r="L283" s="1120">
        <v>9588.6</v>
      </c>
      <c r="M283" s="1120">
        <v>311.40000000000003</v>
      </c>
      <c r="N283" s="1123">
        <v>7.6999999999999993</v>
      </c>
      <c r="O283" s="1123">
        <v>19.579999828338622</v>
      </c>
      <c r="P283" s="1123">
        <v>24.259999656677245</v>
      </c>
      <c r="Q283" s="1123">
        <v>45.140000343322754</v>
      </c>
      <c r="R283" s="1123">
        <v>48.380000686645509</v>
      </c>
      <c r="S283" s="1123">
        <v>62.419999313354495</v>
      </c>
      <c r="T283" s="1123">
        <v>65.83999862670899</v>
      </c>
      <c r="U283" s="1123">
        <v>67.099999999999994</v>
      </c>
      <c r="V283" s="1123">
        <v>53.780000686645508</v>
      </c>
      <c r="W283" s="1123">
        <v>41.720000171661376</v>
      </c>
      <c r="X283" s="1123">
        <v>26.960000085830689</v>
      </c>
      <c r="Y283" s="1123">
        <v>3.9199993133544915</v>
      </c>
      <c r="Z283" s="1123">
        <v>38.969205370341264</v>
      </c>
      <c r="AA283" s="1123">
        <f t="shared" si="300"/>
        <v>36.441611048365509</v>
      </c>
      <c r="AB283" s="1123">
        <f t="shared" si="301"/>
        <v>34.086607873954364</v>
      </c>
      <c r="AC283" s="1123">
        <f t="shared" si="302"/>
        <v>34.568321442880304</v>
      </c>
      <c r="AD283" s="1123">
        <f t="shared" si="303"/>
        <v>37.761185689971974</v>
      </c>
      <c r="AE283" s="1123">
        <f t="shared" si="304"/>
        <v>42.832931345697503</v>
      </c>
      <c r="AF283" s="1123">
        <f t="shared" si="305"/>
        <v>48.461529746925656</v>
      </c>
      <c r="AG283" s="1123">
        <f t="shared" si="306"/>
        <v>53.179799981049385</v>
      </c>
      <c r="AH283" s="1123">
        <f t="shared" si="307"/>
        <v>55.757852200799078</v>
      </c>
      <c r="AI283" s="1123">
        <f t="shared" si="308"/>
        <v>55.523677366109695</v>
      </c>
      <c r="AJ283" s="1123">
        <f t="shared" si="309"/>
        <v>52.538316756386465</v>
      </c>
      <c r="AK283" s="1123">
        <f t="shared" si="310"/>
        <v>47.579950620353323</v>
      </c>
      <c r="AL283" s="1123">
        <f t="shared" si="311"/>
        <v>41.941053502102392</v>
      </c>
      <c r="AM283" s="1120">
        <f t="shared" si="312"/>
        <v>1</v>
      </c>
      <c r="AN283" s="1120">
        <f t="shared" si="313"/>
        <v>1</v>
      </c>
      <c r="AO283" s="1120">
        <f t="shared" si="314"/>
        <v>1</v>
      </c>
      <c r="AP283" s="1120">
        <f t="shared" si="315"/>
        <v>1</v>
      </c>
      <c r="AQ283" s="1120">
        <f t="shared" si="316"/>
        <v>1</v>
      </c>
      <c r="AR283" s="1120">
        <f t="shared" si="317"/>
        <v>1</v>
      </c>
      <c r="AS283" s="1120">
        <f t="shared" si="318"/>
        <v>1</v>
      </c>
      <c r="AT283" s="1120">
        <f t="shared" si="319"/>
        <v>0</v>
      </c>
      <c r="AU283" s="1120">
        <f t="shared" si="320"/>
        <v>1</v>
      </c>
      <c r="AV283" s="1120">
        <f t="shared" si="321"/>
        <v>1</v>
      </c>
      <c r="AW283" s="1120">
        <f t="shared" si="322"/>
        <v>1</v>
      </c>
      <c r="AX283" s="1120">
        <f t="shared" si="323"/>
        <v>1</v>
      </c>
      <c r="AY283" s="1120">
        <f t="shared" si="324"/>
        <v>0</v>
      </c>
      <c r="AZ283" s="1120">
        <f t="shared" si="325"/>
        <v>0</v>
      </c>
      <c r="BA283" s="1120">
        <f t="shared" si="326"/>
        <v>0</v>
      </c>
      <c r="BB283" s="1120">
        <f t="shared" si="327"/>
        <v>0</v>
      </c>
      <c r="BC283" s="1120">
        <f t="shared" si="328"/>
        <v>0</v>
      </c>
      <c r="BD283" s="1120">
        <f t="shared" si="329"/>
        <v>0</v>
      </c>
      <c r="BE283" s="1120">
        <f t="shared" si="330"/>
        <v>1</v>
      </c>
      <c r="BF283" s="1120">
        <f t="shared" si="331"/>
        <v>1</v>
      </c>
      <c r="BG283" s="1120">
        <f t="shared" si="332"/>
        <v>0</v>
      </c>
      <c r="BH283" s="1120">
        <f t="shared" si="333"/>
        <v>0</v>
      </c>
      <c r="BI283" s="1120">
        <f t="shared" si="334"/>
        <v>0</v>
      </c>
      <c r="BJ283" s="1120">
        <f t="shared" si="335"/>
        <v>0</v>
      </c>
      <c r="BK283" s="1120">
        <f t="shared" si="336"/>
        <v>1</v>
      </c>
      <c r="BL283" s="1120">
        <f t="shared" si="337"/>
        <v>1</v>
      </c>
      <c r="BM283" s="1120">
        <f t="shared" si="338"/>
        <v>1</v>
      </c>
      <c r="BN283" s="1120">
        <f t="shared" si="339"/>
        <v>1</v>
      </c>
      <c r="BO283" s="1120">
        <f t="shared" si="340"/>
        <v>1</v>
      </c>
      <c r="BP283" s="1120">
        <f t="shared" si="341"/>
        <v>1</v>
      </c>
      <c r="BQ283" s="1120">
        <f t="shared" si="342"/>
        <v>1</v>
      </c>
      <c r="BR283" s="1120">
        <f t="shared" si="343"/>
        <v>0</v>
      </c>
      <c r="BS283" s="1120">
        <f t="shared" si="344"/>
        <v>1</v>
      </c>
      <c r="BT283" s="1120">
        <f t="shared" si="345"/>
        <v>1</v>
      </c>
      <c r="BU283" s="1120">
        <f t="shared" si="346"/>
        <v>1</v>
      </c>
      <c r="BV283" s="1120">
        <f t="shared" si="347"/>
        <v>1</v>
      </c>
      <c r="BW283" s="1120">
        <f t="shared" si="348"/>
        <v>0</v>
      </c>
      <c r="BX283" s="1120">
        <f t="shared" si="349"/>
        <v>0</v>
      </c>
      <c r="BY283" s="1120">
        <f t="shared" si="350"/>
        <v>0</v>
      </c>
      <c r="BZ283" s="1120">
        <f t="shared" si="351"/>
        <v>0</v>
      </c>
      <c r="CA283" s="1120">
        <f t="shared" si="352"/>
        <v>0</v>
      </c>
      <c r="CB283" s="1120">
        <f t="shared" si="353"/>
        <v>0</v>
      </c>
      <c r="CC283" s="1120">
        <f t="shared" si="354"/>
        <v>1</v>
      </c>
      <c r="CD283" s="1120">
        <f t="shared" si="355"/>
        <v>1</v>
      </c>
      <c r="CE283" s="1120">
        <f t="shared" si="356"/>
        <v>1</v>
      </c>
      <c r="CF283" s="1120">
        <f t="shared" si="357"/>
        <v>0</v>
      </c>
      <c r="CG283" s="1120">
        <f t="shared" si="358"/>
        <v>0</v>
      </c>
      <c r="CH283" s="1120">
        <f t="shared" si="359"/>
        <v>0</v>
      </c>
      <c r="CI283" s="1120">
        <f t="shared" si="360"/>
        <v>0.85</v>
      </c>
      <c r="CJ283" s="1120">
        <f t="shared" si="361"/>
        <v>0.85</v>
      </c>
      <c r="CK283" s="1120">
        <f t="shared" si="362"/>
        <v>0.85</v>
      </c>
      <c r="CL283" s="1120">
        <f t="shared" si="363"/>
        <v>0.85</v>
      </c>
      <c r="CM283" s="1120">
        <f t="shared" si="364"/>
        <v>0.85</v>
      </c>
      <c r="CN283" s="1120">
        <f t="shared" si="365"/>
        <v>0.85</v>
      </c>
      <c r="CO283" s="1120">
        <f t="shared" si="366"/>
        <v>0.85</v>
      </c>
      <c r="CP283" s="1120">
        <f t="shared" si="367"/>
        <v>0.7</v>
      </c>
      <c r="CQ283" s="1120">
        <f t="shared" si="368"/>
        <v>0.85</v>
      </c>
      <c r="CR283" s="1120">
        <f t="shared" si="369"/>
        <v>0.85</v>
      </c>
      <c r="CS283" s="1120">
        <f t="shared" si="370"/>
        <v>0.85</v>
      </c>
      <c r="CT283" s="1120">
        <f t="shared" si="371"/>
        <v>0.85</v>
      </c>
      <c r="CU283" s="1120">
        <v>1</v>
      </c>
      <c r="CV283" s="1120"/>
      <c r="CW283" s="1120">
        <f t="shared" si="372"/>
        <v>92</v>
      </c>
      <c r="CX283" s="1120">
        <f t="shared" si="373"/>
        <v>273</v>
      </c>
      <c r="CY283" s="1135" t="s">
        <v>4879</v>
      </c>
      <c r="CZ283" s="1124">
        <v>7</v>
      </c>
      <c r="DA283" s="1124"/>
      <c r="DB283" s="1124"/>
      <c r="DC283" s="1120" t="s">
        <v>5749</v>
      </c>
      <c r="DD283" s="1120" t="s">
        <v>934</v>
      </c>
      <c r="DE283" s="1120" t="str">
        <f t="shared" si="375"/>
        <v/>
      </c>
      <c r="DF283" s="1133">
        <v>0</v>
      </c>
      <c r="DG283" s="1125">
        <v>0</v>
      </c>
    </row>
    <row r="284" spans="1:111">
      <c r="A284" s="1120" t="s">
        <v>3360</v>
      </c>
      <c r="B284" s="1125" t="s">
        <v>3436</v>
      </c>
      <c r="C284" s="1125" t="s">
        <v>3437</v>
      </c>
      <c r="D284" s="1125" t="s">
        <v>566</v>
      </c>
      <c r="E284" s="1125">
        <v>800</v>
      </c>
      <c r="F284" s="1125">
        <v>-91.98</v>
      </c>
      <c r="G284" s="1125">
        <v>41.05</v>
      </c>
      <c r="H284" s="1125">
        <v>-6</v>
      </c>
      <c r="I284" s="1126">
        <v>2.6600013732910148</v>
      </c>
      <c r="J284" s="1126">
        <v>91.039998626708993</v>
      </c>
      <c r="K284" s="1127">
        <v>77.719999313354492</v>
      </c>
      <c r="L284" s="1125">
        <v>5932.8</v>
      </c>
      <c r="M284" s="1125">
        <v>1175.4000000000001</v>
      </c>
      <c r="N284" s="1128">
        <v>24.8</v>
      </c>
      <c r="O284" s="1128">
        <v>24.8</v>
      </c>
      <c r="P284" s="1128">
        <v>42.97999982833862</v>
      </c>
      <c r="Q284" s="1128">
        <v>57.019999313354489</v>
      </c>
      <c r="R284" s="1128">
        <v>58.819999313354494</v>
      </c>
      <c r="S284" s="1128">
        <v>72.5</v>
      </c>
      <c r="T284" s="1128">
        <v>76.819999313354487</v>
      </c>
      <c r="U284" s="1128">
        <v>74.119999313354498</v>
      </c>
      <c r="V284" s="1128">
        <v>66.2</v>
      </c>
      <c r="W284" s="1128">
        <v>52.519999313354489</v>
      </c>
      <c r="X284" s="1128">
        <v>37.939999914169313</v>
      </c>
      <c r="Y284" s="1128">
        <v>26.420000171661378</v>
      </c>
      <c r="Z284" s="1128">
        <v>51.383780525155267</v>
      </c>
      <c r="AA284" s="1128">
        <f t="shared" si="300"/>
        <v>46.425060705746688</v>
      </c>
      <c r="AB284" s="1128">
        <f t="shared" si="301"/>
        <v>45.069627976428372</v>
      </c>
      <c r="AC284" s="1128">
        <f t="shared" si="302"/>
        <v>46.924068875770701</v>
      </c>
      <c r="AD284" s="1128">
        <f t="shared" si="303"/>
        <v>51.504994805560777</v>
      </c>
      <c r="AE284" s="1128">
        <f t="shared" si="304"/>
        <v>57.618316827993382</v>
      </c>
      <c r="AF284" s="1128">
        <f t="shared" si="305"/>
        <v>63.670503348777402</v>
      </c>
      <c r="AG284" s="1128">
        <f t="shared" si="306"/>
        <v>68.08395868425302</v>
      </c>
      <c r="AH284" s="1128">
        <f t="shared" si="307"/>
        <v>69.708247687823061</v>
      </c>
      <c r="AI284" s="1128">
        <f t="shared" si="308"/>
        <v>68.11997439965576</v>
      </c>
      <c r="AJ284" s="1128">
        <f t="shared" si="309"/>
        <v>63.733146728344174</v>
      </c>
      <c r="AK284" s="1128">
        <f t="shared" si="310"/>
        <v>57.691258909476417</v>
      </c>
      <c r="AL284" s="1128">
        <f t="shared" si="311"/>
        <v>51.569222111350015</v>
      </c>
      <c r="AM284" s="1125">
        <f t="shared" si="312"/>
        <v>1</v>
      </c>
      <c r="AN284" s="1125">
        <f t="shared" si="313"/>
        <v>1</v>
      </c>
      <c r="AO284" s="1125">
        <f t="shared" si="314"/>
        <v>1</v>
      </c>
      <c r="AP284" s="1125">
        <f t="shared" si="315"/>
        <v>1</v>
      </c>
      <c r="AQ284" s="1125">
        <f t="shared" si="316"/>
        <v>1</v>
      </c>
      <c r="AR284" s="1125">
        <f t="shared" si="317"/>
        <v>0</v>
      </c>
      <c r="AS284" s="1125">
        <f t="shared" si="318"/>
        <v>0</v>
      </c>
      <c r="AT284" s="1125">
        <f t="shared" si="319"/>
        <v>0</v>
      </c>
      <c r="AU284" s="1125">
        <f t="shared" si="320"/>
        <v>0</v>
      </c>
      <c r="AV284" s="1125">
        <f t="shared" si="321"/>
        <v>1</v>
      </c>
      <c r="AW284" s="1125">
        <f t="shared" si="322"/>
        <v>1</v>
      </c>
      <c r="AX284" s="1125">
        <f t="shared" si="323"/>
        <v>1</v>
      </c>
      <c r="AY284" s="1125">
        <f t="shared" si="324"/>
        <v>0</v>
      </c>
      <c r="AZ284" s="1125">
        <f t="shared" si="325"/>
        <v>0</v>
      </c>
      <c r="BA284" s="1125">
        <f t="shared" si="326"/>
        <v>0</v>
      </c>
      <c r="BB284" s="1125">
        <f t="shared" si="327"/>
        <v>0</v>
      </c>
      <c r="BC284" s="1125">
        <f t="shared" si="328"/>
        <v>0</v>
      </c>
      <c r="BD284" s="1125">
        <f t="shared" si="329"/>
        <v>1</v>
      </c>
      <c r="BE284" s="1125">
        <f t="shared" si="330"/>
        <v>1</v>
      </c>
      <c r="BF284" s="1125">
        <f t="shared" si="331"/>
        <v>1</v>
      </c>
      <c r="BG284" s="1125">
        <f t="shared" si="332"/>
        <v>1</v>
      </c>
      <c r="BH284" s="1125">
        <f t="shared" si="333"/>
        <v>0</v>
      </c>
      <c r="BI284" s="1125">
        <f t="shared" si="334"/>
        <v>0</v>
      </c>
      <c r="BJ284" s="1125">
        <f t="shared" si="335"/>
        <v>0</v>
      </c>
      <c r="BK284" s="1125">
        <f t="shared" si="336"/>
        <v>1</v>
      </c>
      <c r="BL284" s="1125">
        <f t="shared" si="337"/>
        <v>1</v>
      </c>
      <c r="BM284" s="1125">
        <f t="shared" si="338"/>
        <v>1</v>
      </c>
      <c r="BN284" s="1125">
        <f t="shared" si="339"/>
        <v>1</v>
      </c>
      <c r="BO284" s="1125">
        <f t="shared" si="340"/>
        <v>1</v>
      </c>
      <c r="BP284" s="1125">
        <f t="shared" si="341"/>
        <v>1</v>
      </c>
      <c r="BQ284" s="1125">
        <f t="shared" si="342"/>
        <v>0</v>
      </c>
      <c r="BR284" s="1125">
        <f t="shared" si="343"/>
        <v>0</v>
      </c>
      <c r="BS284" s="1125">
        <f t="shared" si="344"/>
        <v>0</v>
      </c>
      <c r="BT284" s="1125">
        <f t="shared" si="345"/>
        <v>1</v>
      </c>
      <c r="BU284" s="1125">
        <f t="shared" si="346"/>
        <v>1</v>
      </c>
      <c r="BV284" s="1125">
        <f t="shared" si="347"/>
        <v>1</v>
      </c>
      <c r="BW284" s="1125">
        <f t="shared" si="348"/>
        <v>0</v>
      </c>
      <c r="BX284" s="1125">
        <f t="shared" si="349"/>
        <v>0</v>
      </c>
      <c r="BY284" s="1125">
        <f t="shared" si="350"/>
        <v>0</v>
      </c>
      <c r="BZ284" s="1125">
        <f t="shared" si="351"/>
        <v>0</v>
      </c>
      <c r="CA284" s="1125">
        <f t="shared" si="352"/>
        <v>1</v>
      </c>
      <c r="CB284" s="1125">
        <f t="shared" si="353"/>
        <v>1</v>
      </c>
      <c r="CC284" s="1125">
        <f t="shared" si="354"/>
        <v>1</v>
      </c>
      <c r="CD284" s="1125">
        <f t="shared" si="355"/>
        <v>1</v>
      </c>
      <c r="CE284" s="1125">
        <f t="shared" si="356"/>
        <v>1</v>
      </c>
      <c r="CF284" s="1125">
        <f t="shared" si="357"/>
        <v>1</v>
      </c>
      <c r="CG284" s="1125">
        <f t="shared" si="358"/>
        <v>0</v>
      </c>
      <c r="CH284" s="1125">
        <f t="shared" si="359"/>
        <v>0</v>
      </c>
      <c r="CI284" s="1125">
        <f t="shared" si="360"/>
        <v>0.85</v>
      </c>
      <c r="CJ284" s="1125">
        <f t="shared" si="361"/>
        <v>0.85</v>
      </c>
      <c r="CK284" s="1125">
        <f t="shared" si="362"/>
        <v>0.85</v>
      </c>
      <c r="CL284" s="1125">
        <f t="shared" si="363"/>
        <v>0.85</v>
      </c>
      <c r="CM284" s="1125">
        <f t="shared" si="364"/>
        <v>0.85</v>
      </c>
      <c r="CN284" s="1125">
        <f t="shared" si="365"/>
        <v>0.85</v>
      </c>
      <c r="CO284" s="1125">
        <f t="shared" si="366"/>
        <v>0.7</v>
      </c>
      <c r="CP284" s="1125">
        <f t="shared" si="367"/>
        <v>0.7</v>
      </c>
      <c r="CQ284" s="1125">
        <f t="shared" si="368"/>
        <v>0.7</v>
      </c>
      <c r="CR284" s="1125">
        <f t="shared" si="369"/>
        <v>0.85</v>
      </c>
      <c r="CS284" s="1125">
        <f t="shared" si="370"/>
        <v>0.85</v>
      </c>
      <c r="CT284" s="1125">
        <f t="shared" si="371"/>
        <v>0.85</v>
      </c>
      <c r="CU284" s="1125">
        <v>1</v>
      </c>
      <c r="CV284" s="1125"/>
      <c r="CW284" s="1125">
        <f t="shared" si="372"/>
        <v>184</v>
      </c>
      <c r="CX284" s="1125">
        <f t="shared" si="373"/>
        <v>181</v>
      </c>
      <c r="CY284" s="1136" t="s">
        <v>4889</v>
      </c>
      <c r="CZ284" s="1129" t="s">
        <v>4897</v>
      </c>
      <c r="DA284" s="1129"/>
      <c r="DB284" s="1129"/>
      <c r="DC284" s="1125" t="s">
        <v>5173</v>
      </c>
      <c r="DD284" s="1125" t="s">
        <v>566</v>
      </c>
      <c r="DE284" s="1120" t="str">
        <f t="shared" si="375"/>
        <v/>
      </c>
      <c r="DF284" s="1133">
        <v>1</v>
      </c>
      <c r="DG284" s="1120">
        <v>0</v>
      </c>
    </row>
    <row r="285" spans="1:111">
      <c r="A285" s="1125" t="s">
        <v>3362</v>
      </c>
      <c r="B285" s="1120" t="s">
        <v>2938</v>
      </c>
      <c r="C285" s="1120" t="s">
        <v>2939</v>
      </c>
      <c r="D285" s="1120" t="s">
        <v>953</v>
      </c>
      <c r="E285" s="1120">
        <v>548</v>
      </c>
      <c r="F285" s="1120">
        <v>-147.1</v>
      </c>
      <c r="G285" s="1120">
        <v>64.650000000000006</v>
      </c>
      <c r="H285" s="1120">
        <v>-9</v>
      </c>
      <c r="I285" s="1121">
        <v>-39.639998626708987</v>
      </c>
      <c r="J285" s="1121">
        <v>78.080000686645505</v>
      </c>
      <c r="K285" s="1122">
        <v>60.440000343322751</v>
      </c>
      <c r="L285" s="1120">
        <v>11907</v>
      </c>
      <c r="M285" s="1120">
        <v>23.400000000000002</v>
      </c>
      <c r="N285" s="1123">
        <v>8.4199993133544915</v>
      </c>
      <c r="O285" s="1123">
        <v>12.380000686645507</v>
      </c>
      <c r="P285" s="1123">
        <v>21.2</v>
      </c>
      <c r="Q285" s="1123">
        <v>26.060000085830687</v>
      </c>
      <c r="R285" s="1123">
        <v>44.779999828338624</v>
      </c>
      <c r="S285" s="1123">
        <v>60.619999313354491</v>
      </c>
      <c r="T285" s="1123">
        <v>62.419999313354495</v>
      </c>
      <c r="U285" s="1123">
        <v>52.340000343322757</v>
      </c>
      <c r="V285" s="1123">
        <v>40.459999656677248</v>
      </c>
      <c r="W285" s="1123">
        <v>30.559999978542329</v>
      </c>
      <c r="X285" s="1123">
        <v>20.479999828338624</v>
      </c>
      <c r="Y285" s="1123">
        <v>1.2199993133544915</v>
      </c>
      <c r="Z285" s="1123">
        <v>31.847616237124353</v>
      </c>
      <c r="AA285" s="1123">
        <f t="shared" si="300"/>
        <v>32</v>
      </c>
      <c r="AB285" s="1123">
        <f t="shared" si="301"/>
        <v>32</v>
      </c>
      <c r="AC285" s="1123">
        <f t="shared" si="302"/>
        <v>32</v>
      </c>
      <c r="AD285" s="1123">
        <f t="shared" si="303"/>
        <v>32</v>
      </c>
      <c r="AE285" s="1123">
        <f t="shared" si="304"/>
        <v>35.190015584973239</v>
      </c>
      <c r="AF285" s="1123">
        <f t="shared" si="305"/>
        <v>39.533057494123057</v>
      </c>
      <c r="AG285" s="1123">
        <f t="shared" si="306"/>
        <v>43.43676316620018</v>
      </c>
      <c r="AH285" s="1123">
        <f t="shared" si="307"/>
        <v>45.883571559852342</v>
      </c>
      <c r="AI285" s="1123">
        <f t="shared" si="308"/>
        <v>46.235684360815391</v>
      </c>
      <c r="AJ285" s="1123">
        <f t="shared" si="309"/>
        <v>44.401317941295794</v>
      </c>
      <c r="AK285" s="1123">
        <f t="shared" si="310"/>
        <v>40.858628176983544</v>
      </c>
      <c r="AL285" s="1123">
        <f t="shared" si="311"/>
        <v>36.531071749448451</v>
      </c>
      <c r="AM285" s="1120">
        <f t="shared" si="312"/>
        <v>1</v>
      </c>
      <c r="AN285" s="1120">
        <f t="shared" si="313"/>
        <v>1</v>
      </c>
      <c r="AO285" s="1120">
        <f t="shared" si="314"/>
        <v>1</v>
      </c>
      <c r="AP285" s="1120">
        <f t="shared" si="315"/>
        <v>1</v>
      </c>
      <c r="AQ285" s="1120">
        <f t="shared" si="316"/>
        <v>1</v>
      </c>
      <c r="AR285" s="1120">
        <f t="shared" si="317"/>
        <v>1</v>
      </c>
      <c r="AS285" s="1120">
        <f t="shared" si="318"/>
        <v>1</v>
      </c>
      <c r="AT285" s="1120">
        <f t="shared" si="319"/>
        <v>1</v>
      </c>
      <c r="AU285" s="1120">
        <f t="shared" si="320"/>
        <v>1</v>
      </c>
      <c r="AV285" s="1120">
        <f t="shared" si="321"/>
        <v>1</v>
      </c>
      <c r="AW285" s="1120">
        <f t="shared" si="322"/>
        <v>1</v>
      </c>
      <c r="AX285" s="1120">
        <f t="shared" si="323"/>
        <v>1</v>
      </c>
      <c r="AY285" s="1120">
        <f t="shared" si="324"/>
        <v>0</v>
      </c>
      <c r="AZ285" s="1120">
        <f t="shared" si="325"/>
        <v>0</v>
      </c>
      <c r="BA285" s="1120">
        <f t="shared" si="326"/>
        <v>0</v>
      </c>
      <c r="BB285" s="1120">
        <f t="shared" si="327"/>
        <v>0</v>
      </c>
      <c r="BC285" s="1120">
        <f t="shared" si="328"/>
        <v>0</v>
      </c>
      <c r="BD285" s="1120">
        <f t="shared" si="329"/>
        <v>0</v>
      </c>
      <c r="BE285" s="1120">
        <f t="shared" si="330"/>
        <v>1</v>
      </c>
      <c r="BF285" s="1120">
        <f t="shared" si="331"/>
        <v>1</v>
      </c>
      <c r="BG285" s="1120">
        <f t="shared" si="332"/>
        <v>0</v>
      </c>
      <c r="BH285" s="1120">
        <f t="shared" si="333"/>
        <v>0</v>
      </c>
      <c r="BI285" s="1120">
        <f t="shared" si="334"/>
        <v>0</v>
      </c>
      <c r="BJ285" s="1120">
        <f t="shared" si="335"/>
        <v>0</v>
      </c>
      <c r="BK285" s="1120">
        <f t="shared" si="336"/>
        <v>1</v>
      </c>
      <c r="BL285" s="1120">
        <f t="shared" si="337"/>
        <v>1</v>
      </c>
      <c r="BM285" s="1120">
        <f t="shared" si="338"/>
        <v>1</v>
      </c>
      <c r="BN285" s="1120">
        <f t="shared" si="339"/>
        <v>1</v>
      </c>
      <c r="BO285" s="1120">
        <f t="shared" si="340"/>
        <v>1</v>
      </c>
      <c r="BP285" s="1120">
        <f t="shared" si="341"/>
        <v>1</v>
      </c>
      <c r="BQ285" s="1120">
        <f t="shared" si="342"/>
        <v>1</v>
      </c>
      <c r="BR285" s="1120">
        <f t="shared" si="343"/>
        <v>1</v>
      </c>
      <c r="BS285" s="1120">
        <f t="shared" si="344"/>
        <v>1</v>
      </c>
      <c r="BT285" s="1120">
        <f t="shared" si="345"/>
        <v>1</v>
      </c>
      <c r="BU285" s="1120">
        <f t="shared" si="346"/>
        <v>1</v>
      </c>
      <c r="BV285" s="1120">
        <f t="shared" si="347"/>
        <v>1</v>
      </c>
      <c r="BW285" s="1120">
        <f t="shared" si="348"/>
        <v>0</v>
      </c>
      <c r="BX285" s="1120">
        <f t="shared" si="349"/>
        <v>0</v>
      </c>
      <c r="BY285" s="1120">
        <f t="shared" si="350"/>
        <v>0</v>
      </c>
      <c r="BZ285" s="1120">
        <f t="shared" si="351"/>
        <v>0</v>
      </c>
      <c r="CA285" s="1120">
        <f t="shared" si="352"/>
        <v>0</v>
      </c>
      <c r="CB285" s="1120">
        <f t="shared" si="353"/>
        <v>0</v>
      </c>
      <c r="CC285" s="1120">
        <f t="shared" si="354"/>
        <v>1</v>
      </c>
      <c r="CD285" s="1120">
        <f t="shared" si="355"/>
        <v>1</v>
      </c>
      <c r="CE285" s="1120">
        <f t="shared" si="356"/>
        <v>0</v>
      </c>
      <c r="CF285" s="1120">
        <f t="shared" si="357"/>
        <v>0</v>
      </c>
      <c r="CG285" s="1120">
        <f t="shared" si="358"/>
        <v>0</v>
      </c>
      <c r="CH285" s="1120">
        <f t="shared" si="359"/>
        <v>0</v>
      </c>
      <c r="CI285" s="1120">
        <f t="shared" si="360"/>
        <v>0.85</v>
      </c>
      <c r="CJ285" s="1120">
        <f t="shared" si="361"/>
        <v>0.85</v>
      </c>
      <c r="CK285" s="1120">
        <f t="shared" si="362"/>
        <v>0.85</v>
      </c>
      <c r="CL285" s="1120">
        <f t="shared" si="363"/>
        <v>0.85</v>
      </c>
      <c r="CM285" s="1120">
        <f t="shared" si="364"/>
        <v>0.85</v>
      </c>
      <c r="CN285" s="1120">
        <f t="shared" si="365"/>
        <v>0.85</v>
      </c>
      <c r="CO285" s="1120">
        <f t="shared" si="366"/>
        <v>0.85</v>
      </c>
      <c r="CP285" s="1120">
        <f t="shared" si="367"/>
        <v>0.85</v>
      </c>
      <c r="CQ285" s="1120">
        <f t="shared" si="368"/>
        <v>0.85</v>
      </c>
      <c r="CR285" s="1120">
        <f t="shared" si="369"/>
        <v>0.85</v>
      </c>
      <c r="CS285" s="1120">
        <f t="shared" si="370"/>
        <v>0.85</v>
      </c>
      <c r="CT285" s="1120">
        <f t="shared" si="371"/>
        <v>0.85</v>
      </c>
      <c r="CU285" s="1120">
        <v>1</v>
      </c>
      <c r="CV285" s="1120"/>
      <c r="CW285" s="1120">
        <f t="shared" si="372"/>
        <v>62</v>
      </c>
      <c r="CX285" s="1120">
        <f t="shared" si="373"/>
        <v>303</v>
      </c>
      <c r="CY285" s="1135" t="s">
        <v>4880</v>
      </c>
      <c r="CZ285" s="1124">
        <v>8</v>
      </c>
      <c r="DA285" s="1124"/>
      <c r="DB285" s="1124"/>
      <c r="DC285" s="1120" t="s">
        <v>4923</v>
      </c>
      <c r="DD285" s="1120" t="s">
        <v>953</v>
      </c>
      <c r="DE285" s="1120" t="b">
        <f t="shared" si="375"/>
        <v>0</v>
      </c>
      <c r="DF285" s="1120">
        <v>0</v>
      </c>
      <c r="DG285" s="1125">
        <v>0</v>
      </c>
    </row>
    <row r="286" spans="1:111">
      <c r="A286" s="1120" t="s">
        <v>3364</v>
      </c>
      <c r="B286" s="1125" t="s">
        <v>2940</v>
      </c>
      <c r="C286" s="1125" t="s">
        <v>2941</v>
      </c>
      <c r="D286" s="1125" t="s">
        <v>953</v>
      </c>
      <c r="E286" s="1125">
        <v>436</v>
      </c>
      <c r="F286" s="1125">
        <v>-147.85</v>
      </c>
      <c r="G286" s="1125">
        <v>64.819999999999993</v>
      </c>
      <c r="H286" s="1125">
        <v>-9</v>
      </c>
      <c r="I286" s="1126">
        <v>-38.02000274658203</v>
      </c>
      <c r="J286" s="1126">
        <v>78.080000686645505</v>
      </c>
      <c r="K286" s="1127">
        <v>59.9</v>
      </c>
      <c r="L286" s="1125">
        <v>12817.800000000001</v>
      </c>
      <c r="M286" s="1125">
        <v>48.6</v>
      </c>
      <c r="N286" s="1128">
        <v>0.31999931335449139</v>
      </c>
      <c r="O286" s="1128">
        <v>4.2800006866455069</v>
      </c>
      <c r="P286" s="1128">
        <v>13.459999656677246</v>
      </c>
      <c r="Q286" s="1128">
        <v>33.259999978542325</v>
      </c>
      <c r="R286" s="1128">
        <v>51.080000686645505</v>
      </c>
      <c r="S286" s="1128">
        <v>60.8</v>
      </c>
      <c r="T286" s="1128">
        <v>62.419999313354495</v>
      </c>
      <c r="U286" s="1128">
        <v>57.559999656677249</v>
      </c>
      <c r="V286" s="1128">
        <v>44.059999656677249</v>
      </c>
      <c r="W286" s="1128">
        <v>26.420000171661378</v>
      </c>
      <c r="X286" s="1128">
        <v>0.13999862670898358</v>
      </c>
      <c r="Y286" s="1128">
        <v>-2.7399986267089851</v>
      </c>
      <c r="Z286" s="1128">
        <v>29.402082116179269</v>
      </c>
      <c r="AA286" s="1128">
        <f t="shared" si="300"/>
        <v>32</v>
      </c>
      <c r="AB286" s="1128">
        <f t="shared" si="301"/>
        <v>32</v>
      </c>
      <c r="AC286" s="1128">
        <f t="shared" si="302"/>
        <v>32</v>
      </c>
      <c r="AD286" s="1128">
        <f t="shared" si="303"/>
        <v>32</v>
      </c>
      <c r="AE286" s="1128">
        <f t="shared" si="304"/>
        <v>32.492465992106148</v>
      </c>
      <c r="AF286" s="1128">
        <f t="shared" si="305"/>
        <v>36.696227410064708</v>
      </c>
      <c r="AG286" s="1128">
        <f t="shared" si="306"/>
        <v>40.562649913789372</v>
      </c>
      <c r="AH286" s="1128">
        <f t="shared" si="307"/>
        <v>43.083890894309945</v>
      </c>
      <c r="AI286" s="1128">
        <f t="shared" si="308"/>
        <v>43.602750036554148</v>
      </c>
      <c r="AJ286" s="1128">
        <f t="shared" si="309"/>
        <v>41.983978709234613</v>
      </c>
      <c r="AK286" s="1128">
        <f t="shared" si="310"/>
        <v>38.649534604838443</v>
      </c>
      <c r="AL286" s="1128">
        <f t="shared" si="311"/>
        <v>34.468591964515568</v>
      </c>
      <c r="AM286" s="1125">
        <f t="shared" si="312"/>
        <v>1</v>
      </c>
      <c r="AN286" s="1125">
        <f t="shared" si="313"/>
        <v>1</v>
      </c>
      <c r="AO286" s="1125">
        <f t="shared" si="314"/>
        <v>1</v>
      </c>
      <c r="AP286" s="1125">
        <f t="shared" si="315"/>
        <v>1</v>
      </c>
      <c r="AQ286" s="1125">
        <f t="shared" si="316"/>
        <v>1</v>
      </c>
      <c r="AR286" s="1125">
        <f t="shared" si="317"/>
        <v>1</v>
      </c>
      <c r="AS286" s="1125">
        <f t="shared" si="318"/>
        <v>1</v>
      </c>
      <c r="AT286" s="1125">
        <f t="shared" si="319"/>
        <v>1</v>
      </c>
      <c r="AU286" s="1125">
        <f t="shared" si="320"/>
        <v>1</v>
      </c>
      <c r="AV286" s="1125">
        <f t="shared" si="321"/>
        <v>1</v>
      </c>
      <c r="AW286" s="1125">
        <f t="shared" si="322"/>
        <v>1</v>
      </c>
      <c r="AX286" s="1125">
        <f t="shared" si="323"/>
        <v>1</v>
      </c>
      <c r="AY286" s="1125">
        <f t="shared" si="324"/>
        <v>0</v>
      </c>
      <c r="AZ286" s="1125">
        <f t="shared" si="325"/>
        <v>0</v>
      </c>
      <c r="BA286" s="1125">
        <f t="shared" si="326"/>
        <v>0</v>
      </c>
      <c r="BB286" s="1125">
        <f t="shared" si="327"/>
        <v>0</v>
      </c>
      <c r="BC286" s="1125">
        <f t="shared" si="328"/>
        <v>0</v>
      </c>
      <c r="BD286" s="1125">
        <f t="shared" si="329"/>
        <v>0</v>
      </c>
      <c r="BE286" s="1125">
        <f t="shared" si="330"/>
        <v>1</v>
      </c>
      <c r="BF286" s="1125">
        <f t="shared" si="331"/>
        <v>1</v>
      </c>
      <c r="BG286" s="1125">
        <f t="shared" si="332"/>
        <v>0</v>
      </c>
      <c r="BH286" s="1125">
        <f t="shared" si="333"/>
        <v>0</v>
      </c>
      <c r="BI286" s="1125">
        <f t="shared" si="334"/>
        <v>0</v>
      </c>
      <c r="BJ286" s="1125">
        <f t="shared" si="335"/>
        <v>0</v>
      </c>
      <c r="BK286" s="1125">
        <f t="shared" si="336"/>
        <v>1</v>
      </c>
      <c r="BL286" s="1125">
        <f t="shared" si="337"/>
        <v>1</v>
      </c>
      <c r="BM286" s="1125">
        <f t="shared" si="338"/>
        <v>1</v>
      </c>
      <c r="BN286" s="1125">
        <f t="shared" si="339"/>
        <v>1</v>
      </c>
      <c r="BO286" s="1125">
        <f t="shared" si="340"/>
        <v>1</v>
      </c>
      <c r="BP286" s="1125">
        <f t="shared" si="341"/>
        <v>1</v>
      </c>
      <c r="BQ286" s="1125">
        <f t="shared" si="342"/>
        <v>1</v>
      </c>
      <c r="BR286" s="1125">
        <f t="shared" si="343"/>
        <v>1</v>
      </c>
      <c r="BS286" s="1125">
        <f t="shared" si="344"/>
        <v>1</v>
      </c>
      <c r="BT286" s="1125">
        <f t="shared" si="345"/>
        <v>1</v>
      </c>
      <c r="BU286" s="1125">
        <f t="shared" si="346"/>
        <v>1</v>
      </c>
      <c r="BV286" s="1125">
        <f t="shared" si="347"/>
        <v>1</v>
      </c>
      <c r="BW286" s="1125">
        <f t="shared" si="348"/>
        <v>0</v>
      </c>
      <c r="BX286" s="1125">
        <f t="shared" si="349"/>
        <v>0</v>
      </c>
      <c r="BY286" s="1125">
        <f t="shared" si="350"/>
        <v>0</v>
      </c>
      <c r="BZ286" s="1125">
        <f t="shared" si="351"/>
        <v>0</v>
      </c>
      <c r="CA286" s="1125">
        <f t="shared" si="352"/>
        <v>0</v>
      </c>
      <c r="CB286" s="1125">
        <f t="shared" si="353"/>
        <v>0</v>
      </c>
      <c r="CC286" s="1125">
        <f t="shared" si="354"/>
        <v>1</v>
      </c>
      <c r="CD286" s="1125">
        <f t="shared" si="355"/>
        <v>1</v>
      </c>
      <c r="CE286" s="1125">
        <f t="shared" si="356"/>
        <v>0</v>
      </c>
      <c r="CF286" s="1125">
        <f t="shared" si="357"/>
        <v>0</v>
      </c>
      <c r="CG286" s="1125">
        <f t="shared" si="358"/>
        <v>0</v>
      </c>
      <c r="CH286" s="1125">
        <f t="shared" si="359"/>
        <v>0</v>
      </c>
      <c r="CI286" s="1125">
        <f t="shared" si="360"/>
        <v>0.85</v>
      </c>
      <c r="CJ286" s="1125">
        <f t="shared" si="361"/>
        <v>0.85</v>
      </c>
      <c r="CK286" s="1125">
        <f t="shared" si="362"/>
        <v>0.85</v>
      </c>
      <c r="CL286" s="1125">
        <f t="shared" si="363"/>
        <v>0.85</v>
      </c>
      <c r="CM286" s="1125">
        <f t="shared" si="364"/>
        <v>0.85</v>
      </c>
      <c r="CN286" s="1125">
        <f t="shared" si="365"/>
        <v>0.85</v>
      </c>
      <c r="CO286" s="1125">
        <f t="shared" si="366"/>
        <v>0.85</v>
      </c>
      <c r="CP286" s="1125">
        <f t="shared" si="367"/>
        <v>0.85</v>
      </c>
      <c r="CQ286" s="1125">
        <f t="shared" si="368"/>
        <v>0.85</v>
      </c>
      <c r="CR286" s="1125">
        <f t="shared" si="369"/>
        <v>0.85</v>
      </c>
      <c r="CS286" s="1125">
        <f t="shared" si="370"/>
        <v>0.85</v>
      </c>
      <c r="CT286" s="1125">
        <f t="shared" si="371"/>
        <v>0.85</v>
      </c>
      <c r="CU286" s="1125">
        <v>1</v>
      </c>
      <c r="CV286" s="1125"/>
      <c r="CW286" s="1125">
        <f t="shared" si="372"/>
        <v>62</v>
      </c>
      <c r="CX286" s="1125">
        <f t="shared" si="373"/>
        <v>303</v>
      </c>
      <c r="CY286" s="1136" t="s">
        <v>4880</v>
      </c>
      <c r="CZ286" s="1129">
        <v>8</v>
      </c>
      <c r="DA286" s="1129"/>
      <c r="DB286" s="1129"/>
      <c r="DC286" s="1125" t="s">
        <v>4924</v>
      </c>
      <c r="DD286" s="1125" t="s">
        <v>953</v>
      </c>
      <c r="DE286" s="1125" t="b">
        <f t="shared" si="375"/>
        <v>0</v>
      </c>
      <c r="DF286" s="1125">
        <v>1</v>
      </c>
      <c r="DG286" s="1120">
        <v>0</v>
      </c>
    </row>
    <row r="287" spans="1:111">
      <c r="A287" s="1125" t="s">
        <v>3366</v>
      </c>
      <c r="B287" s="1125" t="s">
        <v>4558</v>
      </c>
      <c r="C287" s="1125" t="s">
        <v>4559</v>
      </c>
      <c r="D287" s="1125" t="s">
        <v>238</v>
      </c>
      <c r="E287" s="1125">
        <v>2437</v>
      </c>
      <c r="F287" s="1125">
        <v>-117.65</v>
      </c>
      <c r="G287" s="1125">
        <v>47.63</v>
      </c>
      <c r="H287" s="1125">
        <v>-8</v>
      </c>
      <c r="I287" s="1126">
        <v>10.580000686645507</v>
      </c>
      <c r="J287" s="1126">
        <v>88.519999313354489</v>
      </c>
      <c r="K287" s="1127">
        <v>61.519999313354496</v>
      </c>
      <c r="L287" s="1125">
        <v>7178.4000000000005</v>
      </c>
      <c r="M287" s="1125">
        <v>477</v>
      </c>
      <c r="N287" s="1128">
        <v>28.76000008583069</v>
      </c>
      <c r="O287" s="1128">
        <v>35.960000085830686</v>
      </c>
      <c r="P287" s="1128">
        <v>34.160000085830688</v>
      </c>
      <c r="Q287" s="1128">
        <v>43.52000017166138</v>
      </c>
      <c r="R287" s="1128">
        <v>50.719999313354492</v>
      </c>
      <c r="S287" s="1128">
        <v>55.759999656677245</v>
      </c>
      <c r="T287" s="1128">
        <v>74.83999862670899</v>
      </c>
      <c r="U287" s="1128">
        <v>67.639998626708987</v>
      </c>
      <c r="V287" s="1128">
        <v>59.540000343322752</v>
      </c>
      <c r="W287" s="1128">
        <v>43.879999828338626</v>
      </c>
      <c r="X287" s="1128">
        <v>33.440000021457671</v>
      </c>
      <c r="Y287" s="1128">
        <v>23.720000171661376</v>
      </c>
      <c r="Z287" s="1128">
        <v>46.054794265995284</v>
      </c>
      <c r="AA287" s="1128">
        <f t="shared" si="300"/>
        <v>42.987391426447857</v>
      </c>
      <c r="AB287" s="1128">
        <f t="shared" si="301"/>
        <v>41.319392803655205</v>
      </c>
      <c r="AC287" s="1128">
        <f t="shared" si="302"/>
        <v>42.449742009565789</v>
      </c>
      <c r="AD287" s="1128">
        <f t="shared" si="303"/>
        <v>46.083796104450464</v>
      </c>
      <c r="AE287" s="1128">
        <f t="shared" si="304"/>
        <v>51.274282886008763</v>
      </c>
      <c r="AF287" s="1128">
        <f t="shared" si="305"/>
        <v>56.668221986805001</v>
      </c>
      <c r="AG287" s="1128">
        <f t="shared" si="306"/>
        <v>60.85960005709898</v>
      </c>
      <c r="AH287" s="1128">
        <f t="shared" si="307"/>
        <v>62.755869811777352</v>
      </c>
      <c r="AI287" s="1128">
        <f t="shared" si="308"/>
        <v>61.862739316881729</v>
      </c>
      <c r="AJ287" s="1128">
        <f t="shared" si="309"/>
        <v>58.413016799464195</v>
      </c>
      <c r="AK287" s="1128">
        <f t="shared" si="310"/>
        <v>53.305925595522829</v>
      </c>
      <c r="AL287" s="1128">
        <f t="shared" si="311"/>
        <v>47.872707730022704</v>
      </c>
      <c r="AM287" s="1125">
        <f t="shared" si="312"/>
        <v>1</v>
      </c>
      <c r="AN287" s="1125">
        <f t="shared" si="313"/>
        <v>1</v>
      </c>
      <c r="AO287" s="1125">
        <f t="shared" si="314"/>
        <v>1</v>
      </c>
      <c r="AP287" s="1125">
        <f t="shared" si="315"/>
        <v>1</v>
      </c>
      <c r="AQ287" s="1125">
        <f t="shared" si="316"/>
        <v>1</v>
      </c>
      <c r="AR287" s="1125">
        <f t="shared" si="317"/>
        <v>1</v>
      </c>
      <c r="AS287" s="1125">
        <f t="shared" si="318"/>
        <v>0</v>
      </c>
      <c r="AT287" s="1125">
        <f t="shared" si="319"/>
        <v>0</v>
      </c>
      <c r="AU287" s="1125">
        <f t="shared" si="320"/>
        <v>1</v>
      </c>
      <c r="AV287" s="1125">
        <f t="shared" si="321"/>
        <v>1</v>
      </c>
      <c r="AW287" s="1125">
        <f t="shared" si="322"/>
        <v>1</v>
      </c>
      <c r="AX287" s="1125">
        <f t="shared" si="323"/>
        <v>1</v>
      </c>
      <c r="AY287" s="1125">
        <f t="shared" si="324"/>
        <v>0</v>
      </c>
      <c r="AZ287" s="1125">
        <f t="shared" si="325"/>
        <v>0</v>
      </c>
      <c r="BA287" s="1125">
        <f t="shared" si="326"/>
        <v>0</v>
      </c>
      <c r="BB287" s="1125">
        <f t="shared" si="327"/>
        <v>0</v>
      </c>
      <c r="BC287" s="1125">
        <f t="shared" si="328"/>
        <v>0</v>
      </c>
      <c r="BD287" s="1125">
        <f t="shared" si="329"/>
        <v>0</v>
      </c>
      <c r="BE287" s="1125">
        <f t="shared" si="330"/>
        <v>1</v>
      </c>
      <c r="BF287" s="1125">
        <f t="shared" si="331"/>
        <v>1</v>
      </c>
      <c r="BG287" s="1125">
        <f t="shared" si="332"/>
        <v>0</v>
      </c>
      <c r="BH287" s="1125">
        <f t="shared" si="333"/>
        <v>0</v>
      </c>
      <c r="BI287" s="1125">
        <f t="shared" si="334"/>
        <v>0</v>
      </c>
      <c r="BJ287" s="1125">
        <f t="shared" si="335"/>
        <v>0</v>
      </c>
      <c r="BK287" s="1125">
        <f t="shared" si="336"/>
        <v>1</v>
      </c>
      <c r="BL287" s="1125">
        <f t="shared" si="337"/>
        <v>1</v>
      </c>
      <c r="BM287" s="1125">
        <f t="shared" si="338"/>
        <v>1</v>
      </c>
      <c r="BN287" s="1125">
        <f t="shared" si="339"/>
        <v>1</v>
      </c>
      <c r="BO287" s="1125">
        <f t="shared" si="340"/>
        <v>1</v>
      </c>
      <c r="BP287" s="1125">
        <f t="shared" si="341"/>
        <v>1</v>
      </c>
      <c r="BQ287" s="1125">
        <f t="shared" si="342"/>
        <v>1</v>
      </c>
      <c r="BR287" s="1125">
        <f t="shared" si="343"/>
        <v>0</v>
      </c>
      <c r="BS287" s="1125">
        <f t="shared" si="344"/>
        <v>1</v>
      </c>
      <c r="BT287" s="1125">
        <f t="shared" si="345"/>
        <v>1</v>
      </c>
      <c r="BU287" s="1125">
        <f t="shared" si="346"/>
        <v>1</v>
      </c>
      <c r="BV287" s="1125">
        <f t="shared" si="347"/>
        <v>1</v>
      </c>
      <c r="BW287" s="1125">
        <f t="shared" si="348"/>
        <v>0</v>
      </c>
      <c r="BX287" s="1125">
        <f t="shared" si="349"/>
        <v>0</v>
      </c>
      <c r="BY287" s="1125">
        <f t="shared" si="350"/>
        <v>0</v>
      </c>
      <c r="BZ287" s="1125">
        <f t="shared" si="351"/>
        <v>0</v>
      </c>
      <c r="CA287" s="1125">
        <f t="shared" si="352"/>
        <v>0</v>
      </c>
      <c r="CB287" s="1125">
        <f t="shared" si="353"/>
        <v>1</v>
      </c>
      <c r="CC287" s="1125">
        <f t="shared" si="354"/>
        <v>1</v>
      </c>
      <c r="CD287" s="1125">
        <f t="shared" si="355"/>
        <v>1</v>
      </c>
      <c r="CE287" s="1125">
        <f t="shared" si="356"/>
        <v>1</v>
      </c>
      <c r="CF287" s="1125">
        <f t="shared" si="357"/>
        <v>0</v>
      </c>
      <c r="CG287" s="1125">
        <f t="shared" si="358"/>
        <v>0</v>
      </c>
      <c r="CH287" s="1125">
        <f t="shared" si="359"/>
        <v>0</v>
      </c>
      <c r="CI287" s="1125">
        <f t="shared" si="360"/>
        <v>0.85</v>
      </c>
      <c r="CJ287" s="1125">
        <f t="shared" si="361"/>
        <v>0.85</v>
      </c>
      <c r="CK287" s="1125">
        <f t="shared" si="362"/>
        <v>0.85</v>
      </c>
      <c r="CL287" s="1125">
        <f t="shared" si="363"/>
        <v>0.85</v>
      </c>
      <c r="CM287" s="1125">
        <f t="shared" si="364"/>
        <v>0.85</v>
      </c>
      <c r="CN287" s="1125">
        <f t="shared" si="365"/>
        <v>0.85</v>
      </c>
      <c r="CO287" s="1125">
        <f t="shared" si="366"/>
        <v>0.85</v>
      </c>
      <c r="CP287" s="1125">
        <f t="shared" si="367"/>
        <v>0.7</v>
      </c>
      <c r="CQ287" s="1125">
        <f t="shared" si="368"/>
        <v>0.85</v>
      </c>
      <c r="CR287" s="1125">
        <f t="shared" si="369"/>
        <v>0.85</v>
      </c>
      <c r="CS287" s="1125">
        <f t="shared" si="370"/>
        <v>0.85</v>
      </c>
      <c r="CT287" s="1125">
        <f t="shared" si="371"/>
        <v>0.85</v>
      </c>
      <c r="CU287" s="1125">
        <v>1</v>
      </c>
      <c r="CV287" s="1125"/>
      <c r="CW287" s="1125">
        <f t="shared" si="372"/>
        <v>122</v>
      </c>
      <c r="CX287" s="1125">
        <f t="shared" si="373"/>
        <v>243</v>
      </c>
      <c r="CY287" s="1135" t="s">
        <v>4889</v>
      </c>
      <c r="CZ287" s="1124" t="s">
        <v>4890</v>
      </c>
      <c r="DA287" s="1124"/>
      <c r="DB287" s="1124"/>
      <c r="DC287" s="1120" t="s">
        <v>5653</v>
      </c>
      <c r="DD287" s="1120" t="s">
        <v>238</v>
      </c>
      <c r="DE287" s="1120" t="str">
        <f t="shared" si="375"/>
        <v/>
      </c>
      <c r="DF287" s="1133">
        <v>0</v>
      </c>
      <c r="DG287" s="1125">
        <v>0</v>
      </c>
    </row>
    <row r="288" spans="1:111">
      <c r="A288" s="1120" t="s">
        <v>3374</v>
      </c>
      <c r="B288" s="1125" t="s">
        <v>3789</v>
      </c>
      <c r="C288" s="1125" t="s">
        <v>3790</v>
      </c>
      <c r="D288" s="1125" t="s">
        <v>934</v>
      </c>
      <c r="E288" s="1125">
        <v>1161</v>
      </c>
      <c r="F288" s="1125">
        <v>-94.42</v>
      </c>
      <c r="G288" s="1125">
        <v>43.65</v>
      </c>
      <c r="H288" s="1125">
        <v>-6</v>
      </c>
      <c r="I288" s="1126">
        <v>-6.3399986267089856</v>
      </c>
      <c r="J288" s="1126">
        <v>86.360001373291013</v>
      </c>
      <c r="K288" s="1127">
        <v>71.960001373291021</v>
      </c>
      <c r="L288" s="1125">
        <v>7387.2</v>
      </c>
      <c r="M288" s="1125">
        <v>684</v>
      </c>
      <c r="N288" s="1128">
        <v>16.880000686645506</v>
      </c>
      <c r="O288" s="1128">
        <v>28.939999914169313</v>
      </c>
      <c r="P288" s="1128">
        <v>25.339999914169312</v>
      </c>
      <c r="Q288" s="1128">
        <v>46.759999656677245</v>
      </c>
      <c r="R288" s="1128">
        <v>55.940000343322751</v>
      </c>
      <c r="S288" s="1128">
        <v>66.560001373291016</v>
      </c>
      <c r="T288" s="1128">
        <v>75.2</v>
      </c>
      <c r="U288" s="1128">
        <v>68.180000686645513</v>
      </c>
      <c r="V288" s="1128">
        <v>62.419999313354495</v>
      </c>
      <c r="W288" s="1128">
        <v>46.940000343322751</v>
      </c>
      <c r="X288" s="1128">
        <v>32.360000005364419</v>
      </c>
      <c r="Y288" s="1128">
        <v>25.879999828338622</v>
      </c>
      <c r="Z288" s="1128">
        <v>46.0232330518716</v>
      </c>
      <c r="AA288" s="1128">
        <f t="shared" si="300"/>
        <v>41.690070342064587</v>
      </c>
      <c r="AB288" s="1128">
        <f t="shared" si="301"/>
        <v>39.785333410780765</v>
      </c>
      <c r="AC288" s="1128">
        <f t="shared" si="302"/>
        <v>41.070593612689365</v>
      </c>
      <c r="AD288" s="1128">
        <f t="shared" si="303"/>
        <v>45.210828069703652</v>
      </c>
      <c r="AE288" s="1128">
        <f t="shared" si="304"/>
        <v>51.126820867658587</v>
      </c>
      <c r="AF288" s="1128">
        <f t="shared" si="305"/>
        <v>57.276477315558544</v>
      </c>
      <c r="AG288" s="1128">
        <f t="shared" si="306"/>
        <v>62.056794691183917</v>
      </c>
      <c r="AH288" s="1128">
        <f t="shared" si="307"/>
        <v>64.221709603657303</v>
      </c>
      <c r="AI288" s="1128">
        <f t="shared" si="308"/>
        <v>63.206903618693858</v>
      </c>
      <c r="AJ288" s="1128">
        <f t="shared" si="309"/>
        <v>59.276901554907887</v>
      </c>
      <c r="AK288" s="1128">
        <f t="shared" si="310"/>
        <v>53.456119013390257</v>
      </c>
      <c r="AL288" s="1128">
        <f t="shared" si="311"/>
        <v>47.261832664561716</v>
      </c>
      <c r="AM288" s="1125">
        <f t="shared" si="312"/>
        <v>1</v>
      </c>
      <c r="AN288" s="1125">
        <f t="shared" si="313"/>
        <v>1</v>
      </c>
      <c r="AO288" s="1125">
        <f t="shared" si="314"/>
        <v>1</v>
      </c>
      <c r="AP288" s="1125">
        <f t="shared" si="315"/>
        <v>1</v>
      </c>
      <c r="AQ288" s="1125">
        <f t="shared" si="316"/>
        <v>1</v>
      </c>
      <c r="AR288" s="1125">
        <f t="shared" si="317"/>
        <v>0</v>
      </c>
      <c r="AS288" s="1125">
        <f t="shared" si="318"/>
        <v>0</v>
      </c>
      <c r="AT288" s="1125">
        <f t="shared" si="319"/>
        <v>0</v>
      </c>
      <c r="AU288" s="1125">
        <f t="shared" si="320"/>
        <v>1</v>
      </c>
      <c r="AV288" s="1125">
        <f t="shared" si="321"/>
        <v>1</v>
      </c>
      <c r="AW288" s="1125">
        <f t="shared" si="322"/>
        <v>1</v>
      </c>
      <c r="AX288" s="1125">
        <f t="shared" si="323"/>
        <v>1</v>
      </c>
      <c r="AY288" s="1125">
        <f t="shared" si="324"/>
        <v>0</v>
      </c>
      <c r="AZ288" s="1125">
        <f t="shared" si="325"/>
        <v>0</v>
      </c>
      <c r="BA288" s="1125">
        <f t="shared" si="326"/>
        <v>0</v>
      </c>
      <c r="BB288" s="1125">
        <f t="shared" si="327"/>
        <v>0</v>
      </c>
      <c r="BC288" s="1125">
        <f t="shared" si="328"/>
        <v>0</v>
      </c>
      <c r="BD288" s="1125">
        <f t="shared" si="329"/>
        <v>1</v>
      </c>
      <c r="BE288" s="1125">
        <f t="shared" si="330"/>
        <v>1</v>
      </c>
      <c r="BF288" s="1125">
        <f t="shared" si="331"/>
        <v>1</v>
      </c>
      <c r="BG288" s="1125">
        <f t="shared" si="332"/>
        <v>0</v>
      </c>
      <c r="BH288" s="1125">
        <f t="shared" si="333"/>
        <v>0</v>
      </c>
      <c r="BI288" s="1125">
        <f t="shared" si="334"/>
        <v>0</v>
      </c>
      <c r="BJ288" s="1125">
        <f t="shared" si="335"/>
        <v>0</v>
      </c>
      <c r="BK288" s="1125">
        <f t="shared" si="336"/>
        <v>1</v>
      </c>
      <c r="BL288" s="1125">
        <f t="shared" si="337"/>
        <v>1</v>
      </c>
      <c r="BM288" s="1125">
        <f t="shared" si="338"/>
        <v>1</v>
      </c>
      <c r="BN288" s="1125">
        <f t="shared" si="339"/>
        <v>1</v>
      </c>
      <c r="BO288" s="1125">
        <f t="shared" si="340"/>
        <v>1</v>
      </c>
      <c r="BP288" s="1125">
        <f t="shared" si="341"/>
        <v>1</v>
      </c>
      <c r="BQ288" s="1125">
        <f t="shared" si="342"/>
        <v>0</v>
      </c>
      <c r="BR288" s="1125">
        <f t="shared" si="343"/>
        <v>0</v>
      </c>
      <c r="BS288" s="1125">
        <f t="shared" si="344"/>
        <v>1</v>
      </c>
      <c r="BT288" s="1125">
        <f t="shared" si="345"/>
        <v>1</v>
      </c>
      <c r="BU288" s="1125">
        <f t="shared" si="346"/>
        <v>1</v>
      </c>
      <c r="BV288" s="1125">
        <f t="shared" si="347"/>
        <v>1</v>
      </c>
      <c r="BW288" s="1125">
        <f t="shared" si="348"/>
        <v>0</v>
      </c>
      <c r="BX288" s="1125">
        <f t="shared" si="349"/>
        <v>0</v>
      </c>
      <c r="BY288" s="1125">
        <f t="shared" si="350"/>
        <v>0</v>
      </c>
      <c r="BZ288" s="1125">
        <f t="shared" si="351"/>
        <v>0</v>
      </c>
      <c r="CA288" s="1125">
        <f t="shared" si="352"/>
        <v>1</v>
      </c>
      <c r="CB288" s="1125">
        <f t="shared" si="353"/>
        <v>1</v>
      </c>
      <c r="CC288" s="1125">
        <f t="shared" si="354"/>
        <v>1</v>
      </c>
      <c r="CD288" s="1125">
        <f t="shared" si="355"/>
        <v>1</v>
      </c>
      <c r="CE288" s="1125">
        <f t="shared" si="356"/>
        <v>1</v>
      </c>
      <c r="CF288" s="1125">
        <f t="shared" si="357"/>
        <v>0</v>
      </c>
      <c r="CG288" s="1125">
        <f t="shared" si="358"/>
        <v>0</v>
      </c>
      <c r="CH288" s="1125">
        <f t="shared" si="359"/>
        <v>0</v>
      </c>
      <c r="CI288" s="1125">
        <f t="shared" si="360"/>
        <v>0.85</v>
      </c>
      <c r="CJ288" s="1125">
        <f t="shared" si="361"/>
        <v>0.85</v>
      </c>
      <c r="CK288" s="1125">
        <f t="shared" si="362"/>
        <v>0.85</v>
      </c>
      <c r="CL288" s="1125">
        <f t="shared" si="363"/>
        <v>0.85</v>
      </c>
      <c r="CM288" s="1125">
        <f t="shared" si="364"/>
        <v>0.85</v>
      </c>
      <c r="CN288" s="1125">
        <f t="shared" si="365"/>
        <v>0.85</v>
      </c>
      <c r="CO288" s="1125">
        <f t="shared" si="366"/>
        <v>0.7</v>
      </c>
      <c r="CP288" s="1125">
        <f t="shared" si="367"/>
        <v>0.7</v>
      </c>
      <c r="CQ288" s="1125">
        <f t="shared" si="368"/>
        <v>0.85</v>
      </c>
      <c r="CR288" s="1125">
        <f t="shared" si="369"/>
        <v>0.85</v>
      </c>
      <c r="CS288" s="1125">
        <f t="shared" si="370"/>
        <v>0.85</v>
      </c>
      <c r="CT288" s="1125">
        <f t="shared" si="371"/>
        <v>0.85</v>
      </c>
      <c r="CU288" s="1125">
        <v>1</v>
      </c>
      <c r="CV288" s="1125"/>
      <c r="CW288" s="1125">
        <f t="shared" si="372"/>
        <v>153</v>
      </c>
      <c r="CX288" s="1125">
        <f t="shared" si="373"/>
        <v>212</v>
      </c>
      <c r="CY288" s="1136" t="s">
        <v>4889</v>
      </c>
      <c r="CZ288" s="1129" t="s">
        <v>4899</v>
      </c>
      <c r="DA288" s="1129"/>
      <c r="DB288" s="1129"/>
      <c r="DC288" s="1125" t="s">
        <v>5750</v>
      </c>
      <c r="DD288" s="1125" t="s">
        <v>934</v>
      </c>
      <c r="DE288" s="1120" t="b">
        <f t="shared" si="375"/>
        <v>0</v>
      </c>
      <c r="DF288" s="1133">
        <v>0</v>
      </c>
      <c r="DG288" s="1120">
        <v>0</v>
      </c>
    </row>
    <row r="289" spans="1:111">
      <c r="A289" s="1125" t="s">
        <v>3368</v>
      </c>
      <c r="B289" s="1125" t="s">
        <v>4100</v>
      </c>
      <c r="C289" s="1125" t="s">
        <v>4101</v>
      </c>
      <c r="D289" s="1125" t="s">
        <v>450</v>
      </c>
      <c r="E289" s="1125">
        <v>3933</v>
      </c>
      <c r="F289" s="1125">
        <v>-118.72</v>
      </c>
      <c r="G289" s="1125">
        <v>39.42</v>
      </c>
      <c r="H289" s="1125">
        <v>-8</v>
      </c>
      <c r="I289" s="1126">
        <v>15.080000686645507</v>
      </c>
      <c r="J289" s="1126">
        <v>96.8</v>
      </c>
      <c r="K289" s="1127">
        <v>62.239998626708989</v>
      </c>
      <c r="L289" s="1125">
        <v>5049</v>
      </c>
      <c r="M289" s="1125">
        <v>1233</v>
      </c>
      <c r="N289" s="1128">
        <v>31.1</v>
      </c>
      <c r="O289" s="1128">
        <v>36.139999914169309</v>
      </c>
      <c r="P289" s="1128">
        <v>47.659999656677243</v>
      </c>
      <c r="Q289" s="1128">
        <v>50</v>
      </c>
      <c r="R289" s="1128">
        <v>62.060001373291016</v>
      </c>
      <c r="S289" s="1128">
        <v>72.680000686645513</v>
      </c>
      <c r="T289" s="1128">
        <v>78.980000686645511</v>
      </c>
      <c r="U289" s="1128">
        <v>75.2</v>
      </c>
      <c r="V289" s="1128">
        <v>65.83999862670899</v>
      </c>
      <c r="W289" s="1128">
        <v>54.319999313354494</v>
      </c>
      <c r="X289" s="1128">
        <v>38.660000085830688</v>
      </c>
      <c r="Y289" s="1128">
        <v>33.440000021457671</v>
      </c>
      <c r="Z289" s="1128">
        <v>53.953095923743838</v>
      </c>
      <c r="AA289" s="1128">
        <f t="shared" si="300"/>
        <v>49.08812710589433</v>
      </c>
      <c r="AB289" s="1128">
        <f t="shared" si="301"/>
        <v>48.037741171839841</v>
      </c>
      <c r="AC289" s="1128">
        <f t="shared" si="302"/>
        <v>50.093276075044031</v>
      </c>
      <c r="AD289" s="1128">
        <f t="shared" si="303"/>
        <v>54.718924966235008</v>
      </c>
      <c r="AE289" s="1128">
        <f t="shared" si="304"/>
        <v>60.708941178516703</v>
      </c>
      <c r="AF289" s="1128">
        <f t="shared" si="305"/>
        <v>66.501934677213896</v>
      </c>
      <c r="AG289" s="1128">
        <f t="shared" si="306"/>
        <v>70.587872434159095</v>
      </c>
      <c r="AH289" s="1128">
        <f t="shared" si="307"/>
        <v>71.9016918067977</v>
      </c>
      <c r="AI289" s="1128">
        <f t="shared" si="308"/>
        <v>70.100925529082105</v>
      </c>
      <c r="AJ289" s="1128">
        <f t="shared" si="309"/>
        <v>65.654971081947195</v>
      </c>
      <c r="AK289" s="1128">
        <f t="shared" si="310"/>
        <v>59.722735006270625</v>
      </c>
      <c r="AL289" s="1128">
        <f t="shared" si="311"/>
        <v>53.850546053702658</v>
      </c>
      <c r="AM289" s="1125">
        <f t="shared" si="312"/>
        <v>1</v>
      </c>
      <c r="AN289" s="1125">
        <f t="shared" si="313"/>
        <v>1</v>
      </c>
      <c r="AO289" s="1125">
        <f t="shared" si="314"/>
        <v>1</v>
      </c>
      <c r="AP289" s="1125">
        <f t="shared" si="315"/>
        <v>1</v>
      </c>
      <c r="AQ289" s="1125">
        <f t="shared" si="316"/>
        <v>1</v>
      </c>
      <c r="AR289" s="1125">
        <f t="shared" si="317"/>
        <v>0</v>
      </c>
      <c r="AS289" s="1125">
        <f t="shared" si="318"/>
        <v>0</v>
      </c>
      <c r="AT289" s="1125">
        <f t="shared" si="319"/>
        <v>0</v>
      </c>
      <c r="AU289" s="1125">
        <f t="shared" si="320"/>
        <v>1</v>
      </c>
      <c r="AV289" s="1125">
        <f t="shared" si="321"/>
        <v>1</v>
      </c>
      <c r="AW289" s="1125">
        <f t="shared" si="322"/>
        <v>1</v>
      </c>
      <c r="AX289" s="1125">
        <f t="shared" si="323"/>
        <v>1</v>
      </c>
      <c r="AY289" s="1125">
        <f t="shared" si="324"/>
        <v>0</v>
      </c>
      <c r="AZ289" s="1125">
        <f t="shared" si="325"/>
        <v>0</v>
      </c>
      <c r="BA289" s="1125">
        <f t="shared" si="326"/>
        <v>0</v>
      </c>
      <c r="BB289" s="1125">
        <f t="shared" si="327"/>
        <v>0</v>
      </c>
      <c r="BC289" s="1125">
        <f t="shared" si="328"/>
        <v>0</v>
      </c>
      <c r="BD289" s="1125">
        <f t="shared" si="329"/>
        <v>1</v>
      </c>
      <c r="BE289" s="1125">
        <f t="shared" si="330"/>
        <v>1</v>
      </c>
      <c r="BF289" s="1125">
        <f t="shared" si="331"/>
        <v>1</v>
      </c>
      <c r="BG289" s="1125">
        <f t="shared" si="332"/>
        <v>0</v>
      </c>
      <c r="BH289" s="1125">
        <f t="shared" si="333"/>
        <v>0</v>
      </c>
      <c r="BI289" s="1125">
        <f t="shared" si="334"/>
        <v>0</v>
      </c>
      <c r="BJ289" s="1125">
        <f t="shared" si="335"/>
        <v>0</v>
      </c>
      <c r="BK289" s="1125">
        <f t="shared" si="336"/>
        <v>1</v>
      </c>
      <c r="BL289" s="1125">
        <f t="shared" si="337"/>
        <v>1</v>
      </c>
      <c r="BM289" s="1125">
        <f t="shared" si="338"/>
        <v>1</v>
      </c>
      <c r="BN289" s="1125">
        <f t="shared" si="339"/>
        <v>1</v>
      </c>
      <c r="BO289" s="1125">
        <f t="shared" si="340"/>
        <v>1</v>
      </c>
      <c r="BP289" s="1125">
        <f t="shared" si="341"/>
        <v>1</v>
      </c>
      <c r="BQ289" s="1125">
        <f t="shared" si="342"/>
        <v>0</v>
      </c>
      <c r="BR289" s="1125">
        <f t="shared" si="343"/>
        <v>0</v>
      </c>
      <c r="BS289" s="1125">
        <f t="shared" si="344"/>
        <v>1</v>
      </c>
      <c r="BT289" s="1125">
        <f t="shared" si="345"/>
        <v>1</v>
      </c>
      <c r="BU289" s="1125">
        <f t="shared" si="346"/>
        <v>1</v>
      </c>
      <c r="BV289" s="1125">
        <f t="shared" si="347"/>
        <v>1</v>
      </c>
      <c r="BW289" s="1125">
        <f t="shared" si="348"/>
        <v>0</v>
      </c>
      <c r="BX289" s="1125">
        <f t="shared" si="349"/>
        <v>0</v>
      </c>
      <c r="BY289" s="1125">
        <f t="shared" si="350"/>
        <v>0</v>
      </c>
      <c r="BZ289" s="1125">
        <f t="shared" si="351"/>
        <v>0</v>
      </c>
      <c r="CA289" s="1125">
        <f t="shared" si="352"/>
        <v>1</v>
      </c>
      <c r="CB289" s="1125">
        <f t="shared" si="353"/>
        <v>1</v>
      </c>
      <c r="CC289" s="1125">
        <f t="shared" si="354"/>
        <v>1</v>
      </c>
      <c r="CD289" s="1125">
        <f t="shared" si="355"/>
        <v>1</v>
      </c>
      <c r="CE289" s="1125">
        <f t="shared" si="356"/>
        <v>1</v>
      </c>
      <c r="CF289" s="1125">
        <f t="shared" si="357"/>
        <v>0</v>
      </c>
      <c r="CG289" s="1125">
        <f t="shared" si="358"/>
        <v>0</v>
      </c>
      <c r="CH289" s="1125">
        <f t="shared" si="359"/>
        <v>0</v>
      </c>
      <c r="CI289" s="1125">
        <f t="shared" si="360"/>
        <v>0.85</v>
      </c>
      <c r="CJ289" s="1125">
        <f t="shared" si="361"/>
        <v>0.85</v>
      </c>
      <c r="CK289" s="1125">
        <f t="shared" si="362"/>
        <v>0.85</v>
      </c>
      <c r="CL289" s="1125">
        <f t="shared" si="363"/>
        <v>0.85</v>
      </c>
      <c r="CM289" s="1125">
        <f t="shared" si="364"/>
        <v>0.85</v>
      </c>
      <c r="CN289" s="1125">
        <f t="shared" si="365"/>
        <v>0.85</v>
      </c>
      <c r="CO289" s="1125">
        <f t="shared" si="366"/>
        <v>0.7</v>
      </c>
      <c r="CP289" s="1125">
        <f t="shared" si="367"/>
        <v>0.7</v>
      </c>
      <c r="CQ289" s="1125">
        <f t="shared" si="368"/>
        <v>0.85</v>
      </c>
      <c r="CR289" s="1125">
        <f t="shared" si="369"/>
        <v>0.85</v>
      </c>
      <c r="CS289" s="1125">
        <f t="shared" si="370"/>
        <v>0.85</v>
      </c>
      <c r="CT289" s="1125">
        <f t="shared" si="371"/>
        <v>0.85</v>
      </c>
      <c r="CU289" s="1125">
        <v>1</v>
      </c>
      <c r="CV289" s="1125"/>
      <c r="CW289" s="1125">
        <f t="shared" si="372"/>
        <v>153</v>
      </c>
      <c r="CX289" s="1125">
        <f t="shared" si="373"/>
        <v>212</v>
      </c>
      <c r="CY289" s="1136" t="s">
        <v>4889</v>
      </c>
      <c r="CZ289" s="1129" t="s">
        <v>4890</v>
      </c>
      <c r="DA289" s="1129"/>
      <c r="DB289" s="1129"/>
      <c r="DC289" s="1125" t="s">
        <v>5462</v>
      </c>
      <c r="DD289" s="1125" t="s">
        <v>450</v>
      </c>
      <c r="DE289" s="1120" t="str">
        <f t="shared" si="375"/>
        <v/>
      </c>
      <c r="DF289" s="1133">
        <v>0</v>
      </c>
      <c r="DG289" s="1125">
        <v>0</v>
      </c>
    </row>
    <row r="290" spans="1:111">
      <c r="A290" s="1120" t="s">
        <v>3370</v>
      </c>
      <c r="B290" s="1125" t="s">
        <v>4002</v>
      </c>
      <c r="C290" s="1125" t="s">
        <v>4003</v>
      </c>
      <c r="D290" s="1125" t="s">
        <v>771</v>
      </c>
      <c r="E290" s="1125">
        <v>984</v>
      </c>
      <c r="F290" s="1125">
        <v>-95.6</v>
      </c>
      <c r="G290" s="1125">
        <v>40.08</v>
      </c>
      <c r="H290" s="1125">
        <v>-6</v>
      </c>
      <c r="I290" s="1126">
        <v>-6.8800006866455083</v>
      </c>
      <c r="J290" s="1126">
        <v>93.379997253417969</v>
      </c>
      <c r="K290" s="1127">
        <v>75.560001373291016</v>
      </c>
      <c r="L290" s="1125">
        <v>5652</v>
      </c>
      <c r="M290" s="1125">
        <v>1114.2</v>
      </c>
      <c r="N290" s="1128">
        <v>21.2</v>
      </c>
      <c r="O290" s="1128">
        <v>25.520000171661376</v>
      </c>
      <c r="P290" s="1128">
        <v>46.220000171661376</v>
      </c>
      <c r="Q290" s="1128">
        <v>55.219999313354492</v>
      </c>
      <c r="R290" s="1128">
        <v>61.7</v>
      </c>
      <c r="S290" s="1128">
        <v>69.980000686645511</v>
      </c>
      <c r="T290" s="1128">
        <v>74.83999862670899</v>
      </c>
      <c r="U290" s="1128">
        <v>73.219999313354492</v>
      </c>
      <c r="V290" s="1128">
        <v>69.8</v>
      </c>
      <c r="W290" s="1128">
        <v>54.859999656677246</v>
      </c>
      <c r="X290" s="1128">
        <v>36.860000085830691</v>
      </c>
      <c r="Y290" s="1128">
        <v>32.360000005364419</v>
      </c>
      <c r="Z290" s="1128">
        <v>51.963725858543015</v>
      </c>
      <c r="AA290" s="1128">
        <f t="shared" si="300"/>
        <v>46.467254211750081</v>
      </c>
      <c r="AB290" s="1128">
        <f t="shared" si="301"/>
        <v>45.116582455727375</v>
      </c>
      <c r="AC290" s="1128">
        <f t="shared" si="302"/>
        <v>47.114716608121221</v>
      </c>
      <c r="AD290" s="1128">
        <f t="shared" si="303"/>
        <v>51.940812209930804</v>
      </c>
      <c r="AE290" s="1128">
        <f t="shared" si="304"/>
        <v>58.336873070160003</v>
      </c>
      <c r="AF290" s="1128">
        <f t="shared" si="305"/>
        <v>64.635667359308641</v>
      </c>
      <c r="AG290" s="1128">
        <f t="shared" si="306"/>
        <v>69.195317278551911</v>
      </c>
      <c r="AH290" s="1128">
        <f t="shared" si="307"/>
        <v>70.827279810106887</v>
      </c>
      <c r="AI290" s="1128">
        <f t="shared" si="308"/>
        <v>69.10615877081986</v>
      </c>
      <c r="AJ290" s="1128">
        <f t="shared" si="309"/>
        <v>64.480590882859076</v>
      </c>
      <c r="AK290" s="1128">
        <f t="shared" si="310"/>
        <v>58.156301698380368</v>
      </c>
      <c r="AL290" s="1128">
        <f t="shared" si="311"/>
        <v>51.781814653564524</v>
      </c>
      <c r="AM290" s="1125">
        <f t="shared" si="312"/>
        <v>1</v>
      </c>
      <c r="AN290" s="1125">
        <f t="shared" si="313"/>
        <v>1</v>
      </c>
      <c r="AO290" s="1125">
        <f t="shared" si="314"/>
        <v>1</v>
      </c>
      <c r="AP290" s="1125">
        <f t="shared" si="315"/>
        <v>1</v>
      </c>
      <c r="AQ290" s="1125">
        <f t="shared" si="316"/>
        <v>1</v>
      </c>
      <c r="AR290" s="1125">
        <f t="shared" si="317"/>
        <v>0</v>
      </c>
      <c r="AS290" s="1125">
        <f t="shared" si="318"/>
        <v>0</v>
      </c>
      <c r="AT290" s="1125">
        <f t="shared" si="319"/>
        <v>0</v>
      </c>
      <c r="AU290" s="1125">
        <f t="shared" si="320"/>
        <v>0</v>
      </c>
      <c r="AV290" s="1125">
        <f t="shared" si="321"/>
        <v>1</v>
      </c>
      <c r="AW290" s="1125">
        <f t="shared" si="322"/>
        <v>1</v>
      </c>
      <c r="AX290" s="1125">
        <f t="shared" si="323"/>
        <v>1</v>
      </c>
      <c r="AY290" s="1125">
        <f t="shared" si="324"/>
        <v>0</v>
      </c>
      <c r="AZ290" s="1125">
        <f t="shared" si="325"/>
        <v>0</v>
      </c>
      <c r="BA290" s="1125">
        <f t="shared" si="326"/>
        <v>0</v>
      </c>
      <c r="BB290" s="1125">
        <f t="shared" si="327"/>
        <v>0</v>
      </c>
      <c r="BC290" s="1125">
        <f t="shared" si="328"/>
        <v>0</v>
      </c>
      <c r="BD290" s="1125">
        <f t="shared" si="329"/>
        <v>1</v>
      </c>
      <c r="BE290" s="1125">
        <f t="shared" si="330"/>
        <v>1</v>
      </c>
      <c r="BF290" s="1125">
        <f t="shared" si="331"/>
        <v>1</v>
      </c>
      <c r="BG290" s="1125">
        <f t="shared" si="332"/>
        <v>1</v>
      </c>
      <c r="BH290" s="1125">
        <f t="shared" si="333"/>
        <v>0</v>
      </c>
      <c r="BI290" s="1125">
        <f t="shared" si="334"/>
        <v>0</v>
      </c>
      <c r="BJ290" s="1125">
        <f t="shared" si="335"/>
        <v>0</v>
      </c>
      <c r="BK290" s="1125">
        <f t="shared" si="336"/>
        <v>1</v>
      </c>
      <c r="BL290" s="1125">
        <f t="shared" si="337"/>
        <v>1</v>
      </c>
      <c r="BM290" s="1125">
        <f t="shared" si="338"/>
        <v>1</v>
      </c>
      <c r="BN290" s="1125">
        <f t="shared" si="339"/>
        <v>1</v>
      </c>
      <c r="BO290" s="1125">
        <f t="shared" si="340"/>
        <v>1</v>
      </c>
      <c r="BP290" s="1125">
        <f t="shared" si="341"/>
        <v>1</v>
      </c>
      <c r="BQ290" s="1125">
        <f t="shared" si="342"/>
        <v>0</v>
      </c>
      <c r="BR290" s="1125">
        <f t="shared" si="343"/>
        <v>0</v>
      </c>
      <c r="BS290" s="1125">
        <f t="shared" si="344"/>
        <v>0</v>
      </c>
      <c r="BT290" s="1125">
        <f t="shared" si="345"/>
        <v>1</v>
      </c>
      <c r="BU290" s="1125">
        <f t="shared" si="346"/>
        <v>1</v>
      </c>
      <c r="BV290" s="1125">
        <f t="shared" si="347"/>
        <v>1</v>
      </c>
      <c r="BW290" s="1125">
        <f t="shared" si="348"/>
        <v>0</v>
      </c>
      <c r="BX290" s="1125">
        <f t="shared" si="349"/>
        <v>0</v>
      </c>
      <c r="BY290" s="1125">
        <f t="shared" si="350"/>
        <v>0</v>
      </c>
      <c r="BZ290" s="1125">
        <f t="shared" si="351"/>
        <v>0</v>
      </c>
      <c r="CA290" s="1125">
        <f t="shared" si="352"/>
        <v>1</v>
      </c>
      <c r="CB290" s="1125">
        <f t="shared" si="353"/>
        <v>1</v>
      </c>
      <c r="CC290" s="1125">
        <f t="shared" si="354"/>
        <v>1</v>
      </c>
      <c r="CD290" s="1125">
        <f t="shared" si="355"/>
        <v>1</v>
      </c>
      <c r="CE290" s="1125">
        <f t="shared" si="356"/>
        <v>1</v>
      </c>
      <c r="CF290" s="1125">
        <f t="shared" si="357"/>
        <v>1</v>
      </c>
      <c r="CG290" s="1125">
        <f t="shared" si="358"/>
        <v>0</v>
      </c>
      <c r="CH290" s="1125">
        <f t="shared" si="359"/>
        <v>0</v>
      </c>
      <c r="CI290" s="1125">
        <f t="shared" si="360"/>
        <v>0.85</v>
      </c>
      <c r="CJ290" s="1125">
        <f t="shared" si="361"/>
        <v>0.85</v>
      </c>
      <c r="CK290" s="1125">
        <f t="shared" si="362"/>
        <v>0.85</v>
      </c>
      <c r="CL290" s="1125">
        <f t="shared" si="363"/>
        <v>0.85</v>
      </c>
      <c r="CM290" s="1125">
        <f t="shared" si="364"/>
        <v>0.85</v>
      </c>
      <c r="CN290" s="1125">
        <f t="shared" si="365"/>
        <v>0.85</v>
      </c>
      <c r="CO290" s="1125">
        <f t="shared" si="366"/>
        <v>0.7</v>
      </c>
      <c r="CP290" s="1125">
        <f t="shared" si="367"/>
        <v>0.7</v>
      </c>
      <c r="CQ290" s="1125">
        <f t="shared" si="368"/>
        <v>0.7</v>
      </c>
      <c r="CR290" s="1125">
        <f t="shared" si="369"/>
        <v>0.85</v>
      </c>
      <c r="CS290" s="1125">
        <f t="shared" si="370"/>
        <v>0.85</v>
      </c>
      <c r="CT290" s="1125">
        <f t="shared" si="371"/>
        <v>0.85</v>
      </c>
      <c r="CU290" s="1125">
        <v>1</v>
      </c>
      <c r="CV290" s="1125"/>
      <c r="CW290" s="1125">
        <f t="shared" si="372"/>
        <v>184</v>
      </c>
      <c r="CX290" s="1125">
        <f t="shared" si="373"/>
        <v>181</v>
      </c>
      <c r="CY290" s="1135" t="s">
        <v>4889</v>
      </c>
      <c r="CZ290" s="1124" t="s">
        <v>4897</v>
      </c>
      <c r="DA290" s="1124"/>
      <c r="DB290" s="1124"/>
      <c r="DC290" s="1120" t="s">
        <v>5982</v>
      </c>
      <c r="DD290" s="1120" t="s">
        <v>771</v>
      </c>
      <c r="DE290" s="1120" t="str">
        <f t="shared" si="375"/>
        <v/>
      </c>
      <c r="DF290" s="1133">
        <v>0</v>
      </c>
      <c r="DG290" s="1120">
        <v>0</v>
      </c>
    </row>
    <row r="291" spans="1:111">
      <c r="A291" s="1125" t="s">
        <v>3378</v>
      </c>
      <c r="B291" s="1120" t="s">
        <v>3974</v>
      </c>
      <c r="C291" s="1120" t="s">
        <v>3975</v>
      </c>
      <c r="D291" s="1120" t="s">
        <v>248</v>
      </c>
      <c r="E291" s="1120">
        <v>899</v>
      </c>
      <c r="F291" s="1120">
        <v>-96.82</v>
      </c>
      <c r="G291" s="1120">
        <v>46.93</v>
      </c>
      <c r="H291" s="1120">
        <v>-6</v>
      </c>
      <c r="I291" s="1121">
        <v>-15.160001373291017</v>
      </c>
      <c r="J291" s="1121">
        <v>87.619999313354498</v>
      </c>
      <c r="K291" s="1122">
        <v>70.33999862670899</v>
      </c>
      <c r="L291" s="1120">
        <v>8922.6</v>
      </c>
      <c r="M291" s="1120">
        <v>552.6</v>
      </c>
      <c r="N291" s="1123">
        <v>5.8999999999999995</v>
      </c>
      <c r="O291" s="1123">
        <v>11.299999999999999</v>
      </c>
      <c r="P291" s="1123">
        <v>29.660000085830688</v>
      </c>
      <c r="Q291" s="1123">
        <v>45.5</v>
      </c>
      <c r="R291" s="1123">
        <v>60.8</v>
      </c>
      <c r="S291" s="1123">
        <v>66.739998626708982</v>
      </c>
      <c r="T291" s="1123">
        <v>70.7</v>
      </c>
      <c r="U291" s="1123">
        <v>66.739998626708982</v>
      </c>
      <c r="V291" s="1123">
        <v>58.819999313354494</v>
      </c>
      <c r="W291" s="1123">
        <v>44.420000171661378</v>
      </c>
      <c r="X291" s="1123">
        <v>26.060000085830687</v>
      </c>
      <c r="Y291" s="1123">
        <v>9.3199993133544918</v>
      </c>
      <c r="Z291" s="1123">
        <v>41.489698314797387</v>
      </c>
      <c r="AA291" s="1123">
        <f t="shared" si="300"/>
        <v>37.78704916036051</v>
      </c>
      <c r="AB291" s="1123">
        <f t="shared" si="301"/>
        <v>35.444344509374538</v>
      </c>
      <c r="AC291" s="1123">
        <f t="shared" si="302"/>
        <v>36.241446952292982</v>
      </c>
      <c r="AD291" s="1123">
        <f t="shared" si="303"/>
        <v>39.970579453648682</v>
      </c>
      <c r="AE291" s="1123">
        <f t="shared" si="304"/>
        <v>45.659686159291887</v>
      </c>
      <c r="AF291" s="1123">
        <f t="shared" si="305"/>
        <v>51.825813734608559</v>
      </c>
      <c r="AG291" s="1123">
        <f t="shared" si="306"/>
        <v>56.86166600419017</v>
      </c>
      <c r="AH291" s="1123">
        <f t="shared" si="307"/>
        <v>59.4545704691377</v>
      </c>
      <c r="AI291" s="1123">
        <f t="shared" si="308"/>
        <v>58.92864662279527</v>
      </c>
      <c r="AJ291" s="1123">
        <f t="shared" si="309"/>
        <v>55.420984620443825</v>
      </c>
      <c r="AK291" s="1123">
        <f t="shared" si="310"/>
        <v>49.84591061770395</v>
      </c>
      <c r="AL291" s="1123">
        <f t="shared" si="311"/>
        <v>43.656653567880781</v>
      </c>
      <c r="AM291" s="1120">
        <f t="shared" si="312"/>
        <v>1</v>
      </c>
      <c r="AN291" s="1120">
        <f t="shared" si="313"/>
        <v>1</v>
      </c>
      <c r="AO291" s="1120">
        <f t="shared" si="314"/>
        <v>1</v>
      </c>
      <c r="AP291" s="1120">
        <f t="shared" si="315"/>
        <v>1</v>
      </c>
      <c r="AQ291" s="1120">
        <f t="shared" si="316"/>
        <v>1</v>
      </c>
      <c r="AR291" s="1120">
        <f t="shared" si="317"/>
        <v>0</v>
      </c>
      <c r="AS291" s="1120">
        <f t="shared" si="318"/>
        <v>0</v>
      </c>
      <c r="AT291" s="1120">
        <f t="shared" si="319"/>
        <v>0</v>
      </c>
      <c r="AU291" s="1120">
        <f t="shared" si="320"/>
        <v>1</v>
      </c>
      <c r="AV291" s="1120">
        <f t="shared" si="321"/>
        <v>1</v>
      </c>
      <c r="AW291" s="1120">
        <f t="shared" si="322"/>
        <v>1</v>
      </c>
      <c r="AX291" s="1120">
        <f t="shared" si="323"/>
        <v>1</v>
      </c>
      <c r="AY291" s="1120">
        <f t="shared" si="324"/>
        <v>0</v>
      </c>
      <c r="AZ291" s="1120">
        <f t="shared" si="325"/>
        <v>0</v>
      </c>
      <c r="BA291" s="1120">
        <f t="shared" si="326"/>
        <v>0</v>
      </c>
      <c r="BB291" s="1120">
        <f t="shared" si="327"/>
        <v>0</v>
      </c>
      <c r="BC291" s="1120">
        <f t="shared" si="328"/>
        <v>0</v>
      </c>
      <c r="BD291" s="1120">
        <f t="shared" si="329"/>
        <v>1</v>
      </c>
      <c r="BE291" s="1120">
        <f t="shared" si="330"/>
        <v>1</v>
      </c>
      <c r="BF291" s="1120">
        <f t="shared" si="331"/>
        <v>1</v>
      </c>
      <c r="BG291" s="1120">
        <f t="shared" si="332"/>
        <v>0</v>
      </c>
      <c r="BH291" s="1120">
        <f t="shared" si="333"/>
        <v>0</v>
      </c>
      <c r="BI291" s="1120">
        <f t="shared" si="334"/>
        <v>0</v>
      </c>
      <c r="BJ291" s="1120">
        <f t="shared" si="335"/>
        <v>0</v>
      </c>
      <c r="BK291" s="1120">
        <f t="shared" si="336"/>
        <v>1</v>
      </c>
      <c r="BL291" s="1120">
        <f t="shared" si="337"/>
        <v>1</v>
      </c>
      <c r="BM291" s="1120">
        <f t="shared" si="338"/>
        <v>1</v>
      </c>
      <c r="BN291" s="1120">
        <f t="shared" si="339"/>
        <v>1</v>
      </c>
      <c r="BO291" s="1120">
        <f t="shared" si="340"/>
        <v>1</v>
      </c>
      <c r="BP291" s="1120">
        <f t="shared" si="341"/>
        <v>1</v>
      </c>
      <c r="BQ291" s="1120">
        <f t="shared" si="342"/>
        <v>0</v>
      </c>
      <c r="BR291" s="1120">
        <f t="shared" si="343"/>
        <v>0</v>
      </c>
      <c r="BS291" s="1120">
        <f t="shared" si="344"/>
        <v>1</v>
      </c>
      <c r="BT291" s="1120">
        <f t="shared" si="345"/>
        <v>1</v>
      </c>
      <c r="BU291" s="1120">
        <f t="shared" si="346"/>
        <v>1</v>
      </c>
      <c r="BV291" s="1120">
        <f t="shared" si="347"/>
        <v>1</v>
      </c>
      <c r="BW291" s="1120">
        <f t="shared" si="348"/>
        <v>0</v>
      </c>
      <c r="BX291" s="1120">
        <f t="shared" si="349"/>
        <v>0</v>
      </c>
      <c r="BY291" s="1120">
        <f t="shared" si="350"/>
        <v>0</v>
      </c>
      <c r="BZ291" s="1120">
        <f t="shared" si="351"/>
        <v>0</v>
      </c>
      <c r="CA291" s="1120">
        <f t="shared" si="352"/>
        <v>1</v>
      </c>
      <c r="CB291" s="1120">
        <f t="shared" si="353"/>
        <v>1</v>
      </c>
      <c r="CC291" s="1120">
        <f t="shared" si="354"/>
        <v>1</v>
      </c>
      <c r="CD291" s="1120">
        <f t="shared" si="355"/>
        <v>1</v>
      </c>
      <c r="CE291" s="1120">
        <f t="shared" si="356"/>
        <v>1</v>
      </c>
      <c r="CF291" s="1120">
        <f t="shared" si="357"/>
        <v>0</v>
      </c>
      <c r="CG291" s="1120">
        <f t="shared" si="358"/>
        <v>0</v>
      </c>
      <c r="CH291" s="1120">
        <f t="shared" si="359"/>
        <v>0</v>
      </c>
      <c r="CI291" s="1120">
        <f t="shared" si="360"/>
        <v>0.85</v>
      </c>
      <c r="CJ291" s="1120">
        <f t="shared" si="361"/>
        <v>0.85</v>
      </c>
      <c r="CK291" s="1120">
        <f t="shared" si="362"/>
        <v>0.85</v>
      </c>
      <c r="CL291" s="1120">
        <f t="shared" si="363"/>
        <v>0.85</v>
      </c>
      <c r="CM291" s="1120">
        <f t="shared" si="364"/>
        <v>0.85</v>
      </c>
      <c r="CN291" s="1120">
        <f t="shared" si="365"/>
        <v>0.85</v>
      </c>
      <c r="CO291" s="1120">
        <f t="shared" si="366"/>
        <v>0.7</v>
      </c>
      <c r="CP291" s="1120">
        <f t="shared" si="367"/>
        <v>0.7</v>
      </c>
      <c r="CQ291" s="1120">
        <f t="shared" si="368"/>
        <v>0.85</v>
      </c>
      <c r="CR291" s="1120">
        <f t="shared" si="369"/>
        <v>0.85</v>
      </c>
      <c r="CS291" s="1120">
        <f t="shared" si="370"/>
        <v>0.85</v>
      </c>
      <c r="CT291" s="1120">
        <f t="shared" si="371"/>
        <v>0.85</v>
      </c>
      <c r="CU291" s="1120">
        <v>1</v>
      </c>
      <c r="CV291" s="1120"/>
      <c r="CW291" s="1120">
        <f t="shared" si="372"/>
        <v>153</v>
      </c>
      <c r="CX291" s="1120">
        <f t="shared" si="373"/>
        <v>212</v>
      </c>
      <c r="CY291" s="1135" t="s">
        <v>4879</v>
      </c>
      <c r="CZ291" s="1124">
        <v>7</v>
      </c>
      <c r="DA291" s="1124"/>
      <c r="DB291" s="1124"/>
      <c r="DC291" s="1120" t="s">
        <v>5404</v>
      </c>
      <c r="DD291" s="1120" t="s">
        <v>248</v>
      </c>
      <c r="DE291" s="1120" t="str">
        <f t="shared" si="375"/>
        <v/>
      </c>
      <c r="DF291" s="1133">
        <v>0</v>
      </c>
      <c r="DG291" s="1125">
        <v>0</v>
      </c>
    </row>
    <row r="292" spans="1:111">
      <c r="A292" s="1120" t="s">
        <v>3372</v>
      </c>
      <c r="B292" s="1120" t="s">
        <v>3791</v>
      </c>
      <c r="C292" s="1120" t="s">
        <v>3792</v>
      </c>
      <c r="D292" s="1120" t="s">
        <v>934</v>
      </c>
      <c r="E292" s="1120">
        <v>1056</v>
      </c>
      <c r="F292" s="1120">
        <v>-93.32</v>
      </c>
      <c r="G292" s="1120">
        <v>44.33</v>
      </c>
      <c r="H292" s="1120">
        <v>-6</v>
      </c>
      <c r="I292" s="1121">
        <v>-8.5000000000000018</v>
      </c>
      <c r="J292" s="1121">
        <v>86.360001373291013</v>
      </c>
      <c r="K292" s="1122">
        <v>73.039998626708979</v>
      </c>
      <c r="L292" s="1120">
        <v>7237.8</v>
      </c>
      <c r="M292" s="1120">
        <v>570.6</v>
      </c>
      <c r="N292" s="1123">
        <v>16.159999656677247</v>
      </c>
      <c r="O292" s="1123">
        <v>11.480000686645507</v>
      </c>
      <c r="P292" s="1123">
        <v>42.079999828338622</v>
      </c>
      <c r="Q292" s="1123">
        <v>49.1</v>
      </c>
      <c r="R292" s="1123">
        <v>56.659999656677243</v>
      </c>
      <c r="S292" s="1123">
        <v>68.360001373291013</v>
      </c>
      <c r="T292" s="1123">
        <v>71.419999313354495</v>
      </c>
      <c r="U292" s="1123">
        <v>67.639998626708987</v>
      </c>
      <c r="V292" s="1123">
        <v>60.440000343322751</v>
      </c>
      <c r="W292" s="1123">
        <v>42.440000343322751</v>
      </c>
      <c r="X292" s="1123">
        <v>41.179999828338623</v>
      </c>
      <c r="Y292" s="1123">
        <v>24.620000171661378</v>
      </c>
      <c r="Z292" s="1123">
        <v>46.151945181023585</v>
      </c>
      <c r="AA292" s="1123">
        <f t="shared" si="300"/>
        <v>41.484207140510293</v>
      </c>
      <c r="AB292" s="1123">
        <f t="shared" si="301"/>
        <v>39.534177747413835</v>
      </c>
      <c r="AC292" s="1123">
        <f t="shared" si="302"/>
        <v>40.873163881569731</v>
      </c>
      <c r="AD292" s="1123">
        <f t="shared" si="303"/>
        <v>45.152138172709321</v>
      </c>
      <c r="AE292" s="1123">
        <f t="shared" si="304"/>
        <v>51.255720030857233</v>
      </c>
      <c r="AF292" s="1123">
        <f t="shared" si="305"/>
        <v>57.592916785643631</v>
      </c>
      <c r="AG292" s="1123">
        <f t="shared" si="306"/>
        <v>62.511840443775327</v>
      </c>
      <c r="AH292" s="1123">
        <f t="shared" si="307"/>
        <v>64.730297750852202</v>
      </c>
      <c r="AI292" s="1123">
        <f t="shared" si="308"/>
        <v>63.670013622322699</v>
      </c>
      <c r="AJ292" s="1123">
        <f t="shared" si="309"/>
        <v>59.607367455761064</v>
      </c>
      <c r="AK292" s="1123">
        <f t="shared" si="310"/>
        <v>53.601350581754133</v>
      </c>
      <c r="AL292" s="1123">
        <f t="shared" si="311"/>
        <v>47.217523854033423</v>
      </c>
      <c r="AM292" s="1120">
        <f t="shared" si="312"/>
        <v>1</v>
      </c>
      <c r="AN292" s="1120">
        <f t="shared" si="313"/>
        <v>1</v>
      </c>
      <c r="AO292" s="1120">
        <f t="shared" si="314"/>
        <v>1</v>
      </c>
      <c r="AP292" s="1120">
        <f t="shared" si="315"/>
        <v>1</v>
      </c>
      <c r="AQ292" s="1120">
        <f t="shared" si="316"/>
        <v>1</v>
      </c>
      <c r="AR292" s="1120">
        <f t="shared" si="317"/>
        <v>0</v>
      </c>
      <c r="AS292" s="1120">
        <f t="shared" si="318"/>
        <v>0</v>
      </c>
      <c r="AT292" s="1120">
        <f t="shared" si="319"/>
        <v>0</v>
      </c>
      <c r="AU292" s="1120">
        <f t="shared" si="320"/>
        <v>1</v>
      </c>
      <c r="AV292" s="1120">
        <f t="shared" si="321"/>
        <v>1</v>
      </c>
      <c r="AW292" s="1120">
        <f t="shared" si="322"/>
        <v>1</v>
      </c>
      <c r="AX292" s="1120">
        <f t="shared" si="323"/>
        <v>1</v>
      </c>
      <c r="AY292" s="1120">
        <f t="shared" si="324"/>
        <v>0</v>
      </c>
      <c r="AZ292" s="1120">
        <f t="shared" si="325"/>
        <v>0</v>
      </c>
      <c r="BA292" s="1120">
        <f t="shared" si="326"/>
        <v>0</v>
      </c>
      <c r="BB292" s="1120">
        <f t="shared" si="327"/>
        <v>0</v>
      </c>
      <c r="BC292" s="1120">
        <f t="shared" si="328"/>
        <v>0</v>
      </c>
      <c r="BD292" s="1120">
        <f t="shared" si="329"/>
        <v>1</v>
      </c>
      <c r="BE292" s="1120">
        <f t="shared" si="330"/>
        <v>1</v>
      </c>
      <c r="BF292" s="1120">
        <f t="shared" si="331"/>
        <v>1</v>
      </c>
      <c r="BG292" s="1120">
        <f t="shared" si="332"/>
        <v>0</v>
      </c>
      <c r="BH292" s="1120">
        <f t="shared" si="333"/>
        <v>0</v>
      </c>
      <c r="BI292" s="1120">
        <f t="shared" si="334"/>
        <v>0</v>
      </c>
      <c r="BJ292" s="1120">
        <f t="shared" si="335"/>
        <v>0</v>
      </c>
      <c r="BK292" s="1120">
        <f t="shared" si="336"/>
        <v>1</v>
      </c>
      <c r="BL292" s="1120">
        <f t="shared" si="337"/>
        <v>1</v>
      </c>
      <c r="BM292" s="1120">
        <f t="shared" si="338"/>
        <v>1</v>
      </c>
      <c r="BN292" s="1120">
        <f t="shared" si="339"/>
        <v>1</v>
      </c>
      <c r="BO292" s="1120">
        <f t="shared" si="340"/>
        <v>1</v>
      </c>
      <c r="BP292" s="1120">
        <f t="shared" si="341"/>
        <v>1</v>
      </c>
      <c r="BQ292" s="1120">
        <f t="shared" si="342"/>
        <v>0</v>
      </c>
      <c r="BR292" s="1120">
        <f t="shared" si="343"/>
        <v>0</v>
      </c>
      <c r="BS292" s="1120">
        <f t="shared" si="344"/>
        <v>1</v>
      </c>
      <c r="BT292" s="1120">
        <f t="shared" si="345"/>
        <v>1</v>
      </c>
      <c r="BU292" s="1120">
        <f t="shared" si="346"/>
        <v>1</v>
      </c>
      <c r="BV292" s="1120">
        <f t="shared" si="347"/>
        <v>1</v>
      </c>
      <c r="BW292" s="1120">
        <f t="shared" si="348"/>
        <v>0</v>
      </c>
      <c r="BX292" s="1120">
        <f t="shared" si="349"/>
        <v>0</v>
      </c>
      <c r="BY292" s="1120">
        <f t="shared" si="350"/>
        <v>0</v>
      </c>
      <c r="BZ292" s="1120">
        <f t="shared" si="351"/>
        <v>0</v>
      </c>
      <c r="CA292" s="1120">
        <f t="shared" si="352"/>
        <v>1</v>
      </c>
      <c r="CB292" s="1120">
        <f t="shared" si="353"/>
        <v>1</v>
      </c>
      <c r="CC292" s="1120">
        <f t="shared" si="354"/>
        <v>1</v>
      </c>
      <c r="CD292" s="1120">
        <f t="shared" si="355"/>
        <v>1</v>
      </c>
      <c r="CE292" s="1120">
        <f t="shared" si="356"/>
        <v>1</v>
      </c>
      <c r="CF292" s="1120">
        <f t="shared" si="357"/>
        <v>0</v>
      </c>
      <c r="CG292" s="1120">
        <f t="shared" si="358"/>
        <v>0</v>
      </c>
      <c r="CH292" s="1120">
        <f t="shared" si="359"/>
        <v>0</v>
      </c>
      <c r="CI292" s="1120">
        <f t="shared" si="360"/>
        <v>0.85</v>
      </c>
      <c r="CJ292" s="1120">
        <f t="shared" si="361"/>
        <v>0.85</v>
      </c>
      <c r="CK292" s="1120">
        <f t="shared" si="362"/>
        <v>0.85</v>
      </c>
      <c r="CL292" s="1120">
        <f t="shared" si="363"/>
        <v>0.85</v>
      </c>
      <c r="CM292" s="1120">
        <f t="shared" si="364"/>
        <v>0.85</v>
      </c>
      <c r="CN292" s="1120">
        <f t="shared" si="365"/>
        <v>0.85</v>
      </c>
      <c r="CO292" s="1120">
        <f t="shared" si="366"/>
        <v>0.7</v>
      </c>
      <c r="CP292" s="1120">
        <f t="shared" si="367"/>
        <v>0.7</v>
      </c>
      <c r="CQ292" s="1120">
        <f t="shared" si="368"/>
        <v>0.85</v>
      </c>
      <c r="CR292" s="1120">
        <f t="shared" si="369"/>
        <v>0.85</v>
      </c>
      <c r="CS292" s="1120">
        <f t="shared" si="370"/>
        <v>0.85</v>
      </c>
      <c r="CT292" s="1120">
        <f t="shared" si="371"/>
        <v>0.85</v>
      </c>
      <c r="CU292" s="1120">
        <v>1</v>
      </c>
      <c r="CV292" s="1120"/>
      <c r="CW292" s="1120">
        <f t="shared" si="372"/>
        <v>153</v>
      </c>
      <c r="CX292" s="1120">
        <f t="shared" si="373"/>
        <v>212</v>
      </c>
      <c r="CY292" s="1135" t="s">
        <v>4889</v>
      </c>
      <c r="CZ292" s="1124" t="s">
        <v>4899</v>
      </c>
      <c r="DA292" s="1124"/>
      <c r="DB292" s="1124"/>
      <c r="DC292" s="1120" t="s">
        <v>5329</v>
      </c>
      <c r="DD292" s="1120" t="s">
        <v>934</v>
      </c>
      <c r="DE292" s="1120" t="str">
        <f t="shared" si="375"/>
        <v/>
      </c>
      <c r="DF292" s="1133">
        <v>0</v>
      </c>
      <c r="DG292" s="1120">
        <v>0</v>
      </c>
    </row>
    <row r="293" spans="1:111">
      <c r="A293" s="1125" t="s">
        <v>3376</v>
      </c>
      <c r="B293" s="1120" t="s">
        <v>4078</v>
      </c>
      <c r="C293" s="1120" t="s">
        <v>4079</v>
      </c>
      <c r="D293" s="1120" t="s">
        <v>538</v>
      </c>
      <c r="E293" s="1120">
        <v>5494</v>
      </c>
      <c r="F293" s="1120">
        <v>-108.23</v>
      </c>
      <c r="G293" s="1120">
        <v>36.75</v>
      </c>
      <c r="H293" s="1120">
        <v>-7</v>
      </c>
      <c r="I293" s="1121">
        <v>12.380000686645507</v>
      </c>
      <c r="J293" s="1121">
        <v>92.3</v>
      </c>
      <c r="K293" s="1122">
        <v>59.719999313354492</v>
      </c>
      <c r="L293" s="1120">
        <v>5189.4000000000005</v>
      </c>
      <c r="M293" s="1120">
        <v>1126.8</v>
      </c>
      <c r="N293" s="1123">
        <v>32.720000010728839</v>
      </c>
      <c r="O293" s="1123">
        <v>35.23999991416931</v>
      </c>
      <c r="P293" s="1123">
        <v>40.640000343322754</v>
      </c>
      <c r="Q293" s="1123">
        <v>55.940000343322751</v>
      </c>
      <c r="R293" s="1123">
        <v>64.219999313354492</v>
      </c>
      <c r="S293" s="1123">
        <v>73.039998626708979</v>
      </c>
      <c r="T293" s="1123">
        <v>77.719999313354492</v>
      </c>
      <c r="U293" s="1123">
        <v>74.66000137329101</v>
      </c>
      <c r="V293" s="1123">
        <v>63.139998626708987</v>
      </c>
      <c r="W293" s="1123">
        <v>51.8</v>
      </c>
      <c r="X293" s="1123">
        <v>37.939999914169313</v>
      </c>
      <c r="Y293" s="1123">
        <v>31.279999989271165</v>
      </c>
      <c r="Z293" s="1123">
        <v>53.295232694704239</v>
      </c>
      <c r="AA293" s="1123">
        <f t="shared" si="300"/>
        <v>48.950621423276857</v>
      </c>
      <c r="AB293" s="1123">
        <f t="shared" si="301"/>
        <v>47.880134962377745</v>
      </c>
      <c r="AC293" s="1123">
        <f t="shared" si="302"/>
        <v>49.785169637390396</v>
      </c>
      <c r="AD293" s="1123">
        <f t="shared" si="303"/>
        <v>54.169148802799782</v>
      </c>
      <c r="AE293" s="1123">
        <f t="shared" si="304"/>
        <v>59.88932072997801</v>
      </c>
      <c r="AF293" s="1123">
        <f t="shared" si="305"/>
        <v>65.454634455588376</v>
      </c>
      <c r="AG293" s="1123">
        <f t="shared" si="306"/>
        <v>69.41440519296998</v>
      </c>
      <c r="AH293" s="1123">
        <f t="shared" si="307"/>
        <v>70.736457677510117</v>
      </c>
      <c r="AI293" s="1123">
        <f t="shared" si="308"/>
        <v>69.076178555667923</v>
      </c>
      <c r="AJ293" s="1123">
        <f t="shared" si="309"/>
        <v>64.866345166227305</v>
      </c>
      <c r="AK293" s="1123">
        <f t="shared" si="310"/>
        <v>59.204315457642245</v>
      </c>
      <c r="AL293" s="1123">
        <f t="shared" si="311"/>
        <v>53.565984727974424</v>
      </c>
      <c r="AM293" s="1120">
        <f t="shared" si="312"/>
        <v>1</v>
      </c>
      <c r="AN293" s="1120">
        <f t="shared" si="313"/>
        <v>1</v>
      </c>
      <c r="AO293" s="1120">
        <f t="shared" si="314"/>
        <v>1</v>
      </c>
      <c r="AP293" s="1120">
        <f t="shared" si="315"/>
        <v>1</v>
      </c>
      <c r="AQ293" s="1120">
        <f t="shared" si="316"/>
        <v>1</v>
      </c>
      <c r="AR293" s="1120">
        <f t="shared" si="317"/>
        <v>0</v>
      </c>
      <c r="AS293" s="1120">
        <f t="shared" si="318"/>
        <v>0</v>
      </c>
      <c r="AT293" s="1120">
        <f t="shared" si="319"/>
        <v>0</v>
      </c>
      <c r="AU293" s="1120">
        <f t="shared" si="320"/>
        <v>1</v>
      </c>
      <c r="AV293" s="1120">
        <f t="shared" si="321"/>
        <v>1</v>
      </c>
      <c r="AW293" s="1120">
        <f t="shared" si="322"/>
        <v>1</v>
      </c>
      <c r="AX293" s="1120">
        <f t="shared" si="323"/>
        <v>1</v>
      </c>
      <c r="AY293" s="1120">
        <f t="shared" si="324"/>
        <v>0</v>
      </c>
      <c r="AZ293" s="1120">
        <f t="shared" si="325"/>
        <v>0</v>
      </c>
      <c r="BA293" s="1120">
        <f t="shared" si="326"/>
        <v>0</v>
      </c>
      <c r="BB293" s="1120">
        <f t="shared" si="327"/>
        <v>0</v>
      </c>
      <c r="BC293" s="1120">
        <f t="shared" si="328"/>
        <v>0</v>
      </c>
      <c r="BD293" s="1120">
        <f t="shared" si="329"/>
        <v>1</v>
      </c>
      <c r="BE293" s="1120">
        <f t="shared" si="330"/>
        <v>1</v>
      </c>
      <c r="BF293" s="1120">
        <f t="shared" si="331"/>
        <v>1</v>
      </c>
      <c r="BG293" s="1120">
        <f t="shared" si="332"/>
        <v>0</v>
      </c>
      <c r="BH293" s="1120">
        <f t="shared" si="333"/>
        <v>0</v>
      </c>
      <c r="BI293" s="1120">
        <f t="shared" si="334"/>
        <v>0</v>
      </c>
      <c r="BJ293" s="1120">
        <f t="shared" si="335"/>
        <v>0</v>
      </c>
      <c r="BK293" s="1120">
        <f t="shared" si="336"/>
        <v>1</v>
      </c>
      <c r="BL293" s="1120">
        <f t="shared" si="337"/>
        <v>1</v>
      </c>
      <c r="BM293" s="1120">
        <f t="shared" si="338"/>
        <v>1</v>
      </c>
      <c r="BN293" s="1120">
        <f t="shared" si="339"/>
        <v>1</v>
      </c>
      <c r="BO293" s="1120">
        <f t="shared" si="340"/>
        <v>1</v>
      </c>
      <c r="BP293" s="1120">
        <f t="shared" si="341"/>
        <v>1</v>
      </c>
      <c r="BQ293" s="1120">
        <f t="shared" si="342"/>
        <v>0</v>
      </c>
      <c r="BR293" s="1120">
        <f t="shared" si="343"/>
        <v>0</v>
      </c>
      <c r="BS293" s="1120">
        <f t="shared" si="344"/>
        <v>1</v>
      </c>
      <c r="BT293" s="1120">
        <f t="shared" si="345"/>
        <v>1</v>
      </c>
      <c r="BU293" s="1120">
        <f t="shared" si="346"/>
        <v>1</v>
      </c>
      <c r="BV293" s="1120">
        <f t="shared" si="347"/>
        <v>1</v>
      </c>
      <c r="BW293" s="1120">
        <f t="shared" si="348"/>
        <v>0</v>
      </c>
      <c r="BX293" s="1120">
        <f t="shared" si="349"/>
        <v>0</v>
      </c>
      <c r="BY293" s="1120">
        <f t="shared" si="350"/>
        <v>0</v>
      </c>
      <c r="BZ293" s="1120">
        <f t="shared" si="351"/>
        <v>0</v>
      </c>
      <c r="CA293" s="1120">
        <f t="shared" si="352"/>
        <v>1</v>
      </c>
      <c r="CB293" s="1120">
        <f t="shared" si="353"/>
        <v>1</v>
      </c>
      <c r="CC293" s="1120">
        <f t="shared" si="354"/>
        <v>1</v>
      </c>
      <c r="CD293" s="1120">
        <f t="shared" si="355"/>
        <v>1</v>
      </c>
      <c r="CE293" s="1120">
        <f t="shared" si="356"/>
        <v>1</v>
      </c>
      <c r="CF293" s="1120">
        <f t="shared" si="357"/>
        <v>0</v>
      </c>
      <c r="CG293" s="1120">
        <f t="shared" si="358"/>
        <v>0</v>
      </c>
      <c r="CH293" s="1120">
        <f t="shared" si="359"/>
        <v>0</v>
      </c>
      <c r="CI293" s="1120">
        <f t="shared" si="360"/>
        <v>0.85</v>
      </c>
      <c r="CJ293" s="1120">
        <f t="shared" si="361"/>
        <v>0.85</v>
      </c>
      <c r="CK293" s="1120">
        <f t="shared" si="362"/>
        <v>0.85</v>
      </c>
      <c r="CL293" s="1120">
        <f t="shared" si="363"/>
        <v>0.85</v>
      </c>
      <c r="CM293" s="1120">
        <f t="shared" si="364"/>
        <v>0.85</v>
      </c>
      <c r="CN293" s="1120">
        <f t="shared" si="365"/>
        <v>0.85</v>
      </c>
      <c r="CO293" s="1120">
        <f t="shared" si="366"/>
        <v>0.7</v>
      </c>
      <c r="CP293" s="1120">
        <f t="shared" si="367"/>
        <v>0.7</v>
      </c>
      <c r="CQ293" s="1120">
        <f t="shared" si="368"/>
        <v>0.85</v>
      </c>
      <c r="CR293" s="1120">
        <f t="shared" si="369"/>
        <v>0.85</v>
      </c>
      <c r="CS293" s="1120">
        <f t="shared" si="370"/>
        <v>0.85</v>
      </c>
      <c r="CT293" s="1120">
        <f t="shared" si="371"/>
        <v>0.85</v>
      </c>
      <c r="CU293" s="1120">
        <v>1</v>
      </c>
      <c r="CV293" s="1120"/>
      <c r="CW293" s="1120">
        <f t="shared" si="372"/>
        <v>153</v>
      </c>
      <c r="CX293" s="1120">
        <f t="shared" si="373"/>
        <v>212</v>
      </c>
      <c r="CY293" s="1135" t="s">
        <v>4889</v>
      </c>
      <c r="CZ293" s="1124" t="s">
        <v>4890</v>
      </c>
      <c r="DA293" s="1124"/>
      <c r="DB293" s="1124"/>
      <c r="DC293" s="1120" t="s">
        <v>5450</v>
      </c>
      <c r="DD293" s="1120" t="s">
        <v>538</v>
      </c>
      <c r="DE293" s="1120" t="str">
        <f t="shared" si="375"/>
        <v/>
      </c>
      <c r="DF293" s="1133">
        <v>0</v>
      </c>
      <c r="DG293" s="1125">
        <v>0</v>
      </c>
    </row>
    <row r="294" spans="1:111">
      <c r="A294" s="1120" t="s">
        <v>3380</v>
      </c>
      <c r="B294" s="1125" t="s">
        <v>3843</v>
      </c>
      <c r="C294" s="1125" t="s">
        <v>1945</v>
      </c>
      <c r="D294" s="1125" t="s">
        <v>1248</v>
      </c>
      <c r="E294" s="1125">
        <v>899</v>
      </c>
      <c r="F294" s="1125">
        <v>-90.4</v>
      </c>
      <c r="G294" s="1125">
        <v>37.770000000000003</v>
      </c>
      <c r="H294" s="1125">
        <v>-6</v>
      </c>
      <c r="I294" s="1126">
        <v>-2.2000000000000011</v>
      </c>
      <c r="J294" s="1126">
        <v>93.020002746582037</v>
      </c>
      <c r="K294" s="1127">
        <v>75.019999313354489</v>
      </c>
      <c r="L294" s="1125">
        <v>4357.8</v>
      </c>
      <c r="M294" s="1125">
        <v>1229.4000000000001</v>
      </c>
      <c r="N294" s="1128">
        <v>36.5</v>
      </c>
      <c r="O294" s="1128">
        <v>37.76000008583069</v>
      </c>
      <c r="P294" s="1128">
        <v>48.380000686645509</v>
      </c>
      <c r="Q294" s="1128">
        <v>56.480000686645511</v>
      </c>
      <c r="R294" s="1128">
        <v>63.5</v>
      </c>
      <c r="S294" s="1128">
        <v>70.519999313354489</v>
      </c>
      <c r="T294" s="1128">
        <v>76.099999999999994</v>
      </c>
      <c r="U294" s="1128">
        <v>78.980000686645511</v>
      </c>
      <c r="V294" s="1128">
        <v>63.5</v>
      </c>
      <c r="W294" s="1128">
        <v>57.740000343322755</v>
      </c>
      <c r="X294" s="1128">
        <v>42.8</v>
      </c>
      <c r="Y294" s="1128">
        <v>36.320000171661377</v>
      </c>
      <c r="Z294" s="1128">
        <v>55.83397276969805</v>
      </c>
      <c r="AA294" s="1128">
        <f t="shared" si="300"/>
        <v>51.644802956164739</v>
      </c>
      <c r="AB294" s="1128">
        <f t="shared" si="301"/>
        <v>50.854157476059513</v>
      </c>
      <c r="AC294" s="1128">
        <f t="shared" si="302"/>
        <v>52.925570056316616</v>
      </c>
      <c r="AD294" s="1128">
        <f t="shared" si="303"/>
        <v>57.319095086457907</v>
      </c>
      <c r="AE294" s="1128">
        <f t="shared" si="304"/>
        <v>62.889492561106906</v>
      </c>
      <c r="AF294" s="1128">
        <f t="shared" si="305"/>
        <v>68.184752536072821</v>
      </c>
      <c r="AG294" s="1128">
        <f t="shared" si="306"/>
        <v>71.824583896454513</v>
      </c>
      <c r="AH294" s="1128">
        <f t="shared" si="307"/>
        <v>72.860208506669338</v>
      </c>
      <c r="AI294" s="1128">
        <f t="shared" si="308"/>
        <v>71.021674852606466</v>
      </c>
      <c r="AJ294" s="1128">
        <f t="shared" si="309"/>
        <v>66.788225063858619</v>
      </c>
      <c r="AK294" s="1128">
        <f t="shared" si="310"/>
        <v>61.263373067298971</v>
      </c>
      <c r="AL294" s="1128">
        <f t="shared" si="311"/>
        <v>55.887256676377199</v>
      </c>
      <c r="AM294" s="1125">
        <f t="shared" si="312"/>
        <v>1</v>
      </c>
      <c r="AN294" s="1125">
        <f t="shared" si="313"/>
        <v>1</v>
      </c>
      <c r="AO294" s="1125">
        <f t="shared" si="314"/>
        <v>1</v>
      </c>
      <c r="AP294" s="1125">
        <f t="shared" si="315"/>
        <v>1</v>
      </c>
      <c r="AQ294" s="1125">
        <f t="shared" si="316"/>
        <v>1</v>
      </c>
      <c r="AR294" s="1125">
        <f t="shared" si="317"/>
        <v>0</v>
      </c>
      <c r="AS294" s="1125">
        <f t="shared" si="318"/>
        <v>0</v>
      </c>
      <c r="AT294" s="1125">
        <f t="shared" si="319"/>
        <v>0</v>
      </c>
      <c r="AU294" s="1125">
        <f t="shared" si="320"/>
        <v>1</v>
      </c>
      <c r="AV294" s="1125">
        <f t="shared" si="321"/>
        <v>1</v>
      </c>
      <c r="AW294" s="1125">
        <f t="shared" si="322"/>
        <v>1</v>
      </c>
      <c r="AX294" s="1125">
        <f t="shared" si="323"/>
        <v>1</v>
      </c>
      <c r="AY294" s="1125">
        <f t="shared" si="324"/>
        <v>0</v>
      </c>
      <c r="AZ294" s="1125">
        <f t="shared" si="325"/>
        <v>0</v>
      </c>
      <c r="BA294" s="1125">
        <f t="shared" si="326"/>
        <v>0</v>
      </c>
      <c r="BB294" s="1125">
        <f t="shared" si="327"/>
        <v>0</v>
      </c>
      <c r="BC294" s="1125">
        <f t="shared" si="328"/>
        <v>0</v>
      </c>
      <c r="BD294" s="1125">
        <f t="shared" si="329"/>
        <v>1</v>
      </c>
      <c r="BE294" s="1125">
        <f t="shared" si="330"/>
        <v>1</v>
      </c>
      <c r="BF294" s="1125">
        <f t="shared" si="331"/>
        <v>1</v>
      </c>
      <c r="BG294" s="1125">
        <f t="shared" si="332"/>
        <v>0</v>
      </c>
      <c r="BH294" s="1125">
        <f t="shared" si="333"/>
        <v>0</v>
      </c>
      <c r="BI294" s="1125">
        <f t="shared" si="334"/>
        <v>0</v>
      </c>
      <c r="BJ294" s="1125">
        <f t="shared" si="335"/>
        <v>0</v>
      </c>
      <c r="BK294" s="1125">
        <f t="shared" si="336"/>
        <v>1</v>
      </c>
      <c r="BL294" s="1125">
        <f t="shared" si="337"/>
        <v>1</v>
      </c>
      <c r="BM294" s="1125">
        <f t="shared" si="338"/>
        <v>1</v>
      </c>
      <c r="BN294" s="1125">
        <f t="shared" si="339"/>
        <v>1</v>
      </c>
      <c r="BO294" s="1125">
        <f t="shared" si="340"/>
        <v>1</v>
      </c>
      <c r="BP294" s="1125">
        <f t="shared" si="341"/>
        <v>1</v>
      </c>
      <c r="BQ294" s="1125">
        <f t="shared" si="342"/>
        <v>0</v>
      </c>
      <c r="BR294" s="1125">
        <f t="shared" si="343"/>
        <v>0</v>
      </c>
      <c r="BS294" s="1125">
        <f t="shared" si="344"/>
        <v>1</v>
      </c>
      <c r="BT294" s="1125">
        <f t="shared" si="345"/>
        <v>1</v>
      </c>
      <c r="BU294" s="1125">
        <f t="shared" si="346"/>
        <v>1</v>
      </c>
      <c r="BV294" s="1125">
        <f t="shared" si="347"/>
        <v>1</v>
      </c>
      <c r="BW294" s="1125">
        <f t="shared" si="348"/>
        <v>0</v>
      </c>
      <c r="BX294" s="1125">
        <f t="shared" si="349"/>
        <v>0</v>
      </c>
      <c r="BY294" s="1125">
        <f t="shared" si="350"/>
        <v>0</v>
      </c>
      <c r="BZ294" s="1125">
        <f t="shared" si="351"/>
        <v>0</v>
      </c>
      <c r="CA294" s="1125">
        <f t="shared" si="352"/>
        <v>1</v>
      </c>
      <c r="CB294" s="1125">
        <f t="shared" si="353"/>
        <v>1</v>
      </c>
      <c r="CC294" s="1125">
        <f t="shared" si="354"/>
        <v>1</v>
      </c>
      <c r="CD294" s="1125">
        <f t="shared" si="355"/>
        <v>1</v>
      </c>
      <c r="CE294" s="1125">
        <f t="shared" si="356"/>
        <v>1</v>
      </c>
      <c r="CF294" s="1125">
        <f t="shared" si="357"/>
        <v>0</v>
      </c>
      <c r="CG294" s="1125">
        <f t="shared" si="358"/>
        <v>0</v>
      </c>
      <c r="CH294" s="1125">
        <f t="shared" si="359"/>
        <v>0</v>
      </c>
      <c r="CI294" s="1125">
        <f t="shared" si="360"/>
        <v>0.85</v>
      </c>
      <c r="CJ294" s="1125">
        <f t="shared" si="361"/>
        <v>0.85</v>
      </c>
      <c r="CK294" s="1125">
        <f t="shared" si="362"/>
        <v>0.85</v>
      </c>
      <c r="CL294" s="1125">
        <f t="shared" si="363"/>
        <v>0.85</v>
      </c>
      <c r="CM294" s="1125">
        <f t="shared" si="364"/>
        <v>0.85</v>
      </c>
      <c r="CN294" s="1125">
        <f t="shared" si="365"/>
        <v>0.85</v>
      </c>
      <c r="CO294" s="1125">
        <f t="shared" si="366"/>
        <v>0.7</v>
      </c>
      <c r="CP294" s="1125">
        <f t="shared" si="367"/>
        <v>0.7</v>
      </c>
      <c r="CQ294" s="1125">
        <f t="shared" si="368"/>
        <v>0.85</v>
      </c>
      <c r="CR294" s="1125">
        <f t="shared" si="369"/>
        <v>0.85</v>
      </c>
      <c r="CS294" s="1125">
        <f t="shared" si="370"/>
        <v>0.85</v>
      </c>
      <c r="CT294" s="1125">
        <f t="shared" si="371"/>
        <v>0.85</v>
      </c>
      <c r="CU294" s="1125">
        <v>1</v>
      </c>
      <c r="CV294" s="1125"/>
      <c r="CW294" s="1125">
        <f t="shared" si="372"/>
        <v>153</v>
      </c>
      <c r="CX294" s="1125">
        <f t="shared" si="373"/>
        <v>212</v>
      </c>
      <c r="CY294" s="1136" t="s">
        <v>4881</v>
      </c>
      <c r="CZ294" s="1129" t="s">
        <v>4885</v>
      </c>
      <c r="DA294" s="1129"/>
      <c r="DB294" s="1129"/>
      <c r="DC294" s="1125" t="s">
        <v>5348</v>
      </c>
      <c r="DD294" s="1125" t="s">
        <v>1248</v>
      </c>
      <c r="DE294" s="1120" t="str">
        <f t="shared" si="375"/>
        <v/>
      </c>
      <c r="DF294" s="1133">
        <v>0</v>
      </c>
      <c r="DG294" s="1120">
        <v>0</v>
      </c>
    </row>
    <row r="295" spans="1:111">
      <c r="A295" s="1125" t="s">
        <v>3382</v>
      </c>
      <c r="B295" s="1120" t="s">
        <v>4496</v>
      </c>
      <c r="C295" s="1120" t="s">
        <v>4497</v>
      </c>
      <c r="D295" s="1120" t="s">
        <v>501</v>
      </c>
      <c r="E295" s="1120">
        <v>410</v>
      </c>
      <c r="F295" s="1120">
        <v>-78.430000000000007</v>
      </c>
      <c r="G295" s="1120">
        <v>37.35</v>
      </c>
      <c r="H295" s="1120">
        <v>-5</v>
      </c>
      <c r="I295" s="1121">
        <v>18.5</v>
      </c>
      <c r="J295" s="1121">
        <v>91.4</v>
      </c>
      <c r="K295" s="1122">
        <v>75.739998626708982</v>
      </c>
      <c r="L295" s="1120">
        <v>3952.8</v>
      </c>
      <c r="M295" s="1120">
        <v>1362.6000000000001</v>
      </c>
      <c r="N295" s="1123">
        <v>35.960000085830686</v>
      </c>
      <c r="O295" s="1123">
        <v>36.860000085830691</v>
      </c>
      <c r="P295" s="1123">
        <v>43.340000343322757</v>
      </c>
      <c r="Q295" s="1123">
        <v>57.380000686645509</v>
      </c>
      <c r="R295" s="1123">
        <v>63.319999313354494</v>
      </c>
      <c r="S295" s="1123">
        <v>73.039998626708979</v>
      </c>
      <c r="T295" s="1123">
        <v>76.280000686645508</v>
      </c>
      <c r="U295" s="1123">
        <v>74.480000686645511</v>
      </c>
      <c r="V295" s="1123">
        <v>72.319999313354487</v>
      </c>
      <c r="W295" s="1123">
        <v>59</v>
      </c>
      <c r="X295" s="1123">
        <v>52.519999313354489</v>
      </c>
      <c r="Y295" s="1123">
        <v>42.079999828338622</v>
      </c>
      <c r="Z295" s="1123">
        <v>57.309972520201171</v>
      </c>
      <c r="AA295" s="1123">
        <f t="shared" si="300"/>
        <v>53.302712303679414</v>
      </c>
      <c r="AB295" s="1123">
        <f t="shared" si="301"/>
        <v>52.672389439923613</v>
      </c>
      <c r="AC295" s="1123">
        <f t="shared" si="302"/>
        <v>54.814916536159544</v>
      </c>
      <c r="AD295" s="1123">
        <f t="shared" si="303"/>
        <v>59.17181088741134</v>
      </c>
      <c r="AE295" s="1123">
        <f t="shared" si="304"/>
        <v>64.607380839250894</v>
      </c>
      <c r="AF295" s="1123">
        <f t="shared" si="305"/>
        <v>69.70476131906274</v>
      </c>
      <c r="AG295" s="1123">
        <f t="shared" si="306"/>
        <v>73.13524155177295</v>
      </c>
      <c r="AH295" s="1123">
        <f t="shared" si="307"/>
        <v>74.00461399942499</v>
      </c>
      <c r="AI295" s="1123">
        <f t="shared" si="308"/>
        <v>72.086263336103414</v>
      </c>
      <c r="AJ295" s="1123">
        <f t="shared" si="309"/>
        <v>67.880237224881554</v>
      </c>
      <c r="AK295" s="1123">
        <f t="shared" si="310"/>
        <v>62.482901188473761</v>
      </c>
      <c r="AL295" s="1123">
        <f t="shared" si="311"/>
        <v>57.301154040235744</v>
      </c>
      <c r="AM295" s="1120">
        <f t="shared" si="312"/>
        <v>1</v>
      </c>
      <c r="AN295" s="1120">
        <f t="shared" si="313"/>
        <v>1</v>
      </c>
      <c r="AO295" s="1120">
        <f t="shared" si="314"/>
        <v>1</v>
      </c>
      <c r="AP295" s="1120">
        <f t="shared" si="315"/>
        <v>1</v>
      </c>
      <c r="AQ295" s="1120">
        <f t="shared" si="316"/>
        <v>1</v>
      </c>
      <c r="AR295" s="1120">
        <f t="shared" si="317"/>
        <v>0</v>
      </c>
      <c r="AS295" s="1120">
        <f t="shared" si="318"/>
        <v>0</v>
      </c>
      <c r="AT295" s="1120">
        <f t="shared" si="319"/>
        <v>0</v>
      </c>
      <c r="AU295" s="1120">
        <f t="shared" si="320"/>
        <v>0</v>
      </c>
      <c r="AV295" s="1120">
        <f t="shared" si="321"/>
        <v>1</v>
      </c>
      <c r="AW295" s="1120">
        <f t="shared" si="322"/>
        <v>1</v>
      </c>
      <c r="AX295" s="1120">
        <f t="shared" si="323"/>
        <v>1</v>
      </c>
      <c r="AY295" s="1120">
        <f t="shared" si="324"/>
        <v>0</v>
      </c>
      <c r="AZ295" s="1120">
        <f t="shared" si="325"/>
        <v>0</v>
      </c>
      <c r="BA295" s="1120">
        <f t="shared" si="326"/>
        <v>0</v>
      </c>
      <c r="BB295" s="1120">
        <f t="shared" si="327"/>
        <v>0</v>
      </c>
      <c r="BC295" s="1120">
        <f t="shared" si="328"/>
        <v>0</v>
      </c>
      <c r="BD295" s="1120">
        <f t="shared" si="329"/>
        <v>1</v>
      </c>
      <c r="BE295" s="1120">
        <f t="shared" si="330"/>
        <v>1</v>
      </c>
      <c r="BF295" s="1120">
        <f t="shared" si="331"/>
        <v>1</v>
      </c>
      <c r="BG295" s="1120">
        <f t="shared" si="332"/>
        <v>1</v>
      </c>
      <c r="BH295" s="1120">
        <f t="shared" si="333"/>
        <v>0</v>
      </c>
      <c r="BI295" s="1120">
        <f t="shared" si="334"/>
        <v>0</v>
      </c>
      <c r="BJ295" s="1120">
        <f t="shared" si="335"/>
        <v>0</v>
      </c>
      <c r="BK295" s="1120">
        <f t="shared" si="336"/>
        <v>1</v>
      </c>
      <c r="BL295" s="1120">
        <f t="shared" si="337"/>
        <v>1</v>
      </c>
      <c r="BM295" s="1120">
        <f t="shared" si="338"/>
        <v>1</v>
      </c>
      <c r="BN295" s="1120">
        <f t="shared" si="339"/>
        <v>1</v>
      </c>
      <c r="BO295" s="1120">
        <f t="shared" si="340"/>
        <v>1</v>
      </c>
      <c r="BP295" s="1120">
        <f t="shared" si="341"/>
        <v>1</v>
      </c>
      <c r="BQ295" s="1120">
        <f t="shared" si="342"/>
        <v>0</v>
      </c>
      <c r="BR295" s="1120">
        <f t="shared" si="343"/>
        <v>0</v>
      </c>
      <c r="BS295" s="1120">
        <f t="shared" si="344"/>
        <v>0</v>
      </c>
      <c r="BT295" s="1120">
        <f t="shared" si="345"/>
        <v>1</v>
      </c>
      <c r="BU295" s="1120">
        <f t="shared" si="346"/>
        <v>1</v>
      </c>
      <c r="BV295" s="1120">
        <f t="shared" si="347"/>
        <v>1</v>
      </c>
      <c r="BW295" s="1120">
        <f t="shared" si="348"/>
        <v>0</v>
      </c>
      <c r="BX295" s="1120">
        <f t="shared" si="349"/>
        <v>0</v>
      </c>
      <c r="BY295" s="1120">
        <f t="shared" si="350"/>
        <v>0</v>
      </c>
      <c r="BZ295" s="1120">
        <f t="shared" si="351"/>
        <v>0</v>
      </c>
      <c r="CA295" s="1120">
        <f t="shared" si="352"/>
        <v>1</v>
      </c>
      <c r="CB295" s="1120">
        <f t="shared" si="353"/>
        <v>1</v>
      </c>
      <c r="CC295" s="1120">
        <f t="shared" si="354"/>
        <v>1</v>
      </c>
      <c r="CD295" s="1120">
        <f t="shared" si="355"/>
        <v>1</v>
      </c>
      <c r="CE295" s="1120">
        <f t="shared" si="356"/>
        <v>1</v>
      </c>
      <c r="CF295" s="1120">
        <f t="shared" si="357"/>
        <v>1</v>
      </c>
      <c r="CG295" s="1120">
        <f t="shared" si="358"/>
        <v>0</v>
      </c>
      <c r="CH295" s="1120">
        <f t="shared" si="359"/>
        <v>0</v>
      </c>
      <c r="CI295" s="1120">
        <f t="shared" si="360"/>
        <v>0.85</v>
      </c>
      <c r="CJ295" s="1120">
        <f t="shared" si="361"/>
        <v>0.85</v>
      </c>
      <c r="CK295" s="1120">
        <f t="shared" si="362"/>
        <v>0.85</v>
      </c>
      <c r="CL295" s="1120">
        <f t="shared" si="363"/>
        <v>0.85</v>
      </c>
      <c r="CM295" s="1120">
        <f t="shared" si="364"/>
        <v>0.85</v>
      </c>
      <c r="CN295" s="1120">
        <f t="shared" si="365"/>
        <v>0.85</v>
      </c>
      <c r="CO295" s="1120">
        <f t="shared" si="366"/>
        <v>0.7</v>
      </c>
      <c r="CP295" s="1120">
        <f t="shared" si="367"/>
        <v>0.7</v>
      </c>
      <c r="CQ295" s="1120">
        <f t="shared" si="368"/>
        <v>0.7</v>
      </c>
      <c r="CR295" s="1120">
        <f t="shared" si="369"/>
        <v>0.85</v>
      </c>
      <c r="CS295" s="1120">
        <f t="shared" si="370"/>
        <v>0.85</v>
      </c>
      <c r="CT295" s="1120">
        <f t="shared" si="371"/>
        <v>0.85</v>
      </c>
      <c r="CU295" s="1120">
        <v>1</v>
      </c>
      <c r="CV295" s="1120"/>
      <c r="CW295" s="1120">
        <f t="shared" si="372"/>
        <v>184</v>
      </c>
      <c r="CX295" s="1120">
        <f t="shared" si="373"/>
        <v>181</v>
      </c>
      <c r="CY295" s="1136" t="s">
        <v>4881</v>
      </c>
      <c r="CZ295" s="1129" t="s">
        <v>4885</v>
      </c>
      <c r="DA295" s="1129"/>
      <c r="DB295" s="1129"/>
      <c r="DC295" s="1125" t="s">
        <v>5630</v>
      </c>
      <c r="DD295" s="1125" t="s">
        <v>501</v>
      </c>
      <c r="DE295" s="1120" t="str">
        <f t="shared" si="375"/>
        <v/>
      </c>
      <c r="DF295" s="1133">
        <v>0</v>
      </c>
      <c r="DG295" s="1125">
        <v>0</v>
      </c>
    </row>
    <row r="296" spans="1:111">
      <c r="A296" s="1120" t="s">
        <v>3384</v>
      </c>
      <c r="B296" s="1125" t="s">
        <v>3026</v>
      </c>
      <c r="C296" s="1125" t="s">
        <v>3027</v>
      </c>
      <c r="D296" s="1125" t="s">
        <v>1176</v>
      </c>
      <c r="E296" s="1125">
        <v>1250</v>
      </c>
      <c r="F296" s="1125">
        <v>-94.17</v>
      </c>
      <c r="G296" s="1125">
        <v>36</v>
      </c>
      <c r="H296" s="1125">
        <v>-6</v>
      </c>
      <c r="I296" s="1126">
        <v>14.719999313354492</v>
      </c>
      <c r="J296" s="1126">
        <v>92.660001373291024</v>
      </c>
      <c r="K296" s="1127">
        <v>74.83999862670899</v>
      </c>
      <c r="L296" s="1125">
        <v>3547.8</v>
      </c>
      <c r="M296" s="1125">
        <v>1787.4</v>
      </c>
      <c r="N296" s="1128">
        <v>37.76000008583069</v>
      </c>
      <c r="O296" s="1128">
        <v>42.259999656677245</v>
      </c>
      <c r="P296" s="1128">
        <v>50.719999313354492</v>
      </c>
      <c r="Q296" s="1128">
        <v>61.160001373291017</v>
      </c>
      <c r="R296" s="1128">
        <v>64.400000000000006</v>
      </c>
      <c r="S296" s="1128">
        <v>71.419999313354495</v>
      </c>
      <c r="T296" s="1128">
        <v>81.680000686645513</v>
      </c>
      <c r="U296" s="1128">
        <v>80.599999999999994</v>
      </c>
      <c r="V296" s="1128">
        <v>75.919999313354495</v>
      </c>
      <c r="W296" s="1128">
        <v>60.259999656677245</v>
      </c>
      <c r="X296" s="1128">
        <v>50.9</v>
      </c>
      <c r="Y296" s="1128">
        <v>36.860000085830691</v>
      </c>
      <c r="Z296" s="1128">
        <v>59.577972561823181</v>
      </c>
      <c r="AA296" s="1128">
        <f t="shared" si="300"/>
        <v>53.812180875385707</v>
      </c>
      <c r="AB296" s="1128">
        <f t="shared" si="301"/>
        <v>53.32874070403463</v>
      </c>
      <c r="AC296" s="1128">
        <f t="shared" si="302"/>
        <v>56.038251582792974</v>
      </c>
      <c r="AD296" s="1128">
        <f t="shared" si="303"/>
        <v>61.234437746285828</v>
      </c>
      <c r="AE296" s="1128">
        <f t="shared" si="304"/>
        <v>67.56283319534613</v>
      </c>
      <c r="AF296" s="1128">
        <f t="shared" si="305"/>
        <v>73.373844132650433</v>
      </c>
      <c r="AG296" s="1128">
        <f t="shared" si="306"/>
        <v>77.152741007001154</v>
      </c>
      <c r="AH296" s="1128">
        <f t="shared" si="307"/>
        <v>77.914496113535208</v>
      </c>
      <c r="AI296" s="1128">
        <f t="shared" si="308"/>
        <v>75.460546244732953</v>
      </c>
      <c r="AJ296" s="1128">
        <f t="shared" si="309"/>
        <v>70.430551250409877</v>
      </c>
      <c r="AK296" s="1128">
        <f t="shared" si="310"/>
        <v>64.135656840405503</v>
      </c>
      <c r="AL296" s="1128">
        <f t="shared" si="311"/>
        <v>58.216724249946708</v>
      </c>
      <c r="AM296" s="1125">
        <f t="shared" si="312"/>
        <v>1</v>
      </c>
      <c r="AN296" s="1125">
        <f t="shared" si="313"/>
        <v>1</v>
      </c>
      <c r="AO296" s="1125">
        <f t="shared" si="314"/>
        <v>1</v>
      </c>
      <c r="AP296" s="1125">
        <f t="shared" si="315"/>
        <v>1</v>
      </c>
      <c r="AQ296" s="1125">
        <f t="shared" si="316"/>
        <v>1</v>
      </c>
      <c r="AR296" s="1125">
        <f t="shared" si="317"/>
        <v>0</v>
      </c>
      <c r="AS296" s="1125">
        <f t="shared" si="318"/>
        <v>0</v>
      </c>
      <c r="AT296" s="1125">
        <f t="shared" si="319"/>
        <v>0</v>
      </c>
      <c r="AU296" s="1125">
        <f t="shared" si="320"/>
        <v>0</v>
      </c>
      <c r="AV296" s="1125">
        <f t="shared" si="321"/>
        <v>1</v>
      </c>
      <c r="AW296" s="1125">
        <f t="shared" si="322"/>
        <v>1</v>
      </c>
      <c r="AX296" s="1125">
        <f t="shared" si="323"/>
        <v>1</v>
      </c>
      <c r="AY296" s="1125">
        <f t="shared" si="324"/>
        <v>0</v>
      </c>
      <c r="AZ296" s="1125">
        <f t="shared" si="325"/>
        <v>0</v>
      </c>
      <c r="BA296" s="1125">
        <f t="shared" si="326"/>
        <v>0</v>
      </c>
      <c r="BB296" s="1125">
        <f t="shared" si="327"/>
        <v>0</v>
      </c>
      <c r="BC296" s="1125">
        <f t="shared" si="328"/>
        <v>0</v>
      </c>
      <c r="BD296" s="1125">
        <f t="shared" si="329"/>
        <v>1</v>
      </c>
      <c r="BE296" s="1125">
        <f t="shared" si="330"/>
        <v>1</v>
      </c>
      <c r="BF296" s="1125">
        <f t="shared" si="331"/>
        <v>1</v>
      </c>
      <c r="BG296" s="1125">
        <f t="shared" si="332"/>
        <v>1</v>
      </c>
      <c r="BH296" s="1125">
        <f t="shared" si="333"/>
        <v>0</v>
      </c>
      <c r="BI296" s="1125">
        <f t="shared" si="334"/>
        <v>0</v>
      </c>
      <c r="BJ296" s="1125">
        <f t="shared" si="335"/>
        <v>0</v>
      </c>
      <c r="BK296" s="1125">
        <f t="shared" si="336"/>
        <v>1</v>
      </c>
      <c r="BL296" s="1125">
        <f t="shared" si="337"/>
        <v>1</v>
      </c>
      <c r="BM296" s="1125">
        <f t="shared" si="338"/>
        <v>1</v>
      </c>
      <c r="BN296" s="1125">
        <f t="shared" si="339"/>
        <v>1</v>
      </c>
      <c r="BO296" s="1125">
        <f t="shared" si="340"/>
        <v>1</v>
      </c>
      <c r="BP296" s="1125">
        <f t="shared" si="341"/>
        <v>1</v>
      </c>
      <c r="BQ296" s="1125">
        <f t="shared" si="342"/>
        <v>0</v>
      </c>
      <c r="BR296" s="1125">
        <f t="shared" si="343"/>
        <v>0</v>
      </c>
      <c r="BS296" s="1125">
        <f t="shared" si="344"/>
        <v>0</v>
      </c>
      <c r="BT296" s="1125">
        <f t="shared" si="345"/>
        <v>1</v>
      </c>
      <c r="BU296" s="1125">
        <f t="shared" si="346"/>
        <v>1</v>
      </c>
      <c r="BV296" s="1125">
        <f t="shared" si="347"/>
        <v>1</v>
      </c>
      <c r="BW296" s="1125">
        <f t="shared" si="348"/>
        <v>0</v>
      </c>
      <c r="BX296" s="1125">
        <f t="shared" si="349"/>
        <v>0</v>
      </c>
      <c r="BY296" s="1125">
        <f t="shared" si="350"/>
        <v>0</v>
      </c>
      <c r="BZ296" s="1125">
        <f t="shared" si="351"/>
        <v>0</v>
      </c>
      <c r="CA296" s="1125">
        <f t="shared" si="352"/>
        <v>1</v>
      </c>
      <c r="CB296" s="1125">
        <f t="shared" si="353"/>
        <v>1</v>
      </c>
      <c r="CC296" s="1125">
        <f t="shared" si="354"/>
        <v>1</v>
      </c>
      <c r="CD296" s="1125">
        <f t="shared" si="355"/>
        <v>1</v>
      </c>
      <c r="CE296" s="1125">
        <f t="shared" si="356"/>
        <v>1</v>
      </c>
      <c r="CF296" s="1125">
        <f t="shared" si="357"/>
        <v>1</v>
      </c>
      <c r="CG296" s="1125">
        <f t="shared" si="358"/>
        <v>0</v>
      </c>
      <c r="CH296" s="1125">
        <f t="shared" si="359"/>
        <v>0</v>
      </c>
      <c r="CI296" s="1125">
        <f t="shared" si="360"/>
        <v>0.85</v>
      </c>
      <c r="CJ296" s="1125">
        <f t="shared" si="361"/>
        <v>0.85</v>
      </c>
      <c r="CK296" s="1125">
        <f t="shared" si="362"/>
        <v>0.85</v>
      </c>
      <c r="CL296" s="1125">
        <f t="shared" si="363"/>
        <v>0.85</v>
      </c>
      <c r="CM296" s="1125">
        <f t="shared" si="364"/>
        <v>0.85</v>
      </c>
      <c r="CN296" s="1125">
        <f t="shared" si="365"/>
        <v>0.85</v>
      </c>
      <c r="CO296" s="1125">
        <f t="shared" si="366"/>
        <v>0.7</v>
      </c>
      <c r="CP296" s="1125">
        <f t="shared" si="367"/>
        <v>0.7</v>
      </c>
      <c r="CQ296" s="1125">
        <f t="shared" si="368"/>
        <v>0.7</v>
      </c>
      <c r="CR296" s="1125">
        <f t="shared" si="369"/>
        <v>0.85</v>
      </c>
      <c r="CS296" s="1125">
        <f t="shared" si="370"/>
        <v>0.85</v>
      </c>
      <c r="CT296" s="1125">
        <f t="shared" si="371"/>
        <v>0.85</v>
      </c>
      <c r="CU296" s="1125">
        <v>1</v>
      </c>
      <c r="CV296" s="1125"/>
      <c r="CW296" s="1125">
        <f t="shared" si="372"/>
        <v>184</v>
      </c>
      <c r="CX296" s="1125">
        <f t="shared" si="373"/>
        <v>181</v>
      </c>
      <c r="CY296" s="1136" t="s">
        <v>4881</v>
      </c>
      <c r="CZ296" s="1129" t="s">
        <v>4885</v>
      </c>
      <c r="DA296" s="1129"/>
      <c r="DB296" s="1129"/>
      <c r="DC296" s="1125" t="s">
        <v>4985</v>
      </c>
      <c r="DD296" s="1125" t="s">
        <v>1176</v>
      </c>
      <c r="DE296" s="1125" t="str">
        <f t="shared" si="375"/>
        <v/>
      </c>
      <c r="DF296" s="1125">
        <v>0</v>
      </c>
      <c r="DG296" s="1120">
        <v>0</v>
      </c>
    </row>
    <row r="297" spans="1:111">
      <c r="A297" s="1125" t="s">
        <v>3386</v>
      </c>
      <c r="B297" s="1125" t="s">
        <v>3938</v>
      </c>
      <c r="C297" s="1125" t="s">
        <v>3939</v>
      </c>
      <c r="D297" s="1125" t="s">
        <v>426</v>
      </c>
      <c r="E297" s="1125">
        <v>216</v>
      </c>
      <c r="F297" s="1125">
        <v>-79.02</v>
      </c>
      <c r="G297" s="1125">
        <v>35.17</v>
      </c>
      <c r="H297" s="1125">
        <v>-5</v>
      </c>
      <c r="I297" s="1126">
        <v>25.160000085830688</v>
      </c>
      <c r="J297" s="1126">
        <v>94.279997253417974</v>
      </c>
      <c r="K297" s="1127">
        <v>75.739998626708982</v>
      </c>
      <c r="L297" s="1125">
        <v>3276</v>
      </c>
      <c r="M297" s="1125">
        <v>1863</v>
      </c>
      <c r="N297" s="1128">
        <v>39.559999656677249</v>
      </c>
      <c r="O297" s="1128">
        <v>45.679999828338623</v>
      </c>
      <c r="P297" s="1128">
        <v>48.740000343322755</v>
      </c>
      <c r="Q297" s="1128">
        <v>61.339998626708983</v>
      </c>
      <c r="R297" s="1128">
        <v>67.639998626708987</v>
      </c>
      <c r="S297" s="1128">
        <v>78.260001373291018</v>
      </c>
      <c r="T297" s="1128">
        <v>82.219999313354492</v>
      </c>
      <c r="U297" s="1128">
        <v>77</v>
      </c>
      <c r="V297" s="1128">
        <v>71.060001373291016</v>
      </c>
      <c r="W297" s="1128">
        <v>61.519999313354496</v>
      </c>
      <c r="X297" s="1128">
        <v>49.640000343322754</v>
      </c>
      <c r="Y297" s="1128">
        <v>42.8</v>
      </c>
      <c r="Z297" s="1128">
        <v>60.525808113829733</v>
      </c>
      <c r="AA297" s="1128">
        <f t="shared" si="300"/>
        <v>55.073060720050087</v>
      </c>
      <c r="AB297" s="1128">
        <f t="shared" si="301"/>
        <v>54.70524638058518</v>
      </c>
      <c r="AC297" s="1128">
        <f t="shared" si="302"/>
        <v>57.41864361726072</v>
      </c>
      <c r="AD297" s="1128">
        <f t="shared" si="303"/>
        <v>62.50596362562009</v>
      </c>
      <c r="AE297" s="1128">
        <f t="shared" si="304"/>
        <v>68.641118047510005</v>
      </c>
      <c r="AF297" s="1128">
        <f t="shared" si="305"/>
        <v>74.224884337273352</v>
      </c>
      <c r="AG297" s="1128">
        <f t="shared" si="306"/>
        <v>77.801767763040118</v>
      </c>
      <c r="AH297" s="1128">
        <f t="shared" si="307"/>
        <v>78.439398538442092</v>
      </c>
      <c r="AI297" s="1128">
        <f t="shared" si="308"/>
        <v>75.971568375683063</v>
      </c>
      <c r="AJ297" s="1128">
        <f t="shared" si="309"/>
        <v>71.041555237100155</v>
      </c>
      <c r="AK297" s="1128">
        <f t="shared" si="310"/>
        <v>64.934443021067182</v>
      </c>
      <c r="AL297" s="1128">
        <f t="shared" si="311"/>
        <v>59.24214464014117</v>
      </c>
      <c r="AM297" s="1125">
        <f t="shared" si="312"/>
        <v>1</v>
      </c>
      <c r="AN297" s="1125">
        <f t="shared" si="313"/>
        <v>1</v>
      </c>
      <c r="AO297" s="1125">
        <f t="shared" si="314"/>
        <v>1</v>
      </c>
      <c r="AP297" s="1125">
        <f t="shared" si="315"/>
        <v>1</v>
      </c>
      <c r="AQ297" s="1125">
        <f t="shared" si="316"/>
        <v>0</v>
      </c>
      <c r="AR297" s="1125">
        <f t="shared" si="317"/>
        <v>0</v>
      </c>
      <c r="AS297" s="1125">
        <f t="shared" si="318"/>
        <v>0</v>
      </c>
      <c r="AT297" s="1125">
        <f t="shared" si="319"/>
        <v>0</v>
      </c>
      <c r="AU297" s="1125">
        <f t="shared" si="320"/>
        <v>0</v>
      </c>
      <c r="AV297" s="1125">
        <f t="shared" si="321"/>
        <v>1</v>
      </c>
      <c r="AW297" s="1125">
        <f t="shared" si="322"/>
        <v>1</v>
      </c>
      <c r="AX297" s="1125">
        <f t="shared" si="323"/>
        <v>1</v>
      </c>
      <c r="AY297" s="1125">
        <f t="shared" si="324"/>
        <v>0</v>
      </c>
      <c r="AZ297" s="1125">
        <f t="shared" si="325"/>
        <v>0</v>
      </c>
      <c r="BA297" s="1125">
        <f t="shared" si="326"/>
        <v>0</v>
      </c>
      <c r="BB297" s="1125">
        <f t="shared" si="327"/>
        <v>0</v>
      </c>
      <c r="BC297" s="1125">
        <f t="shared" si="328"/>
        <v>1</v>
      </c>
      <c r="BD297" s="1125">
        <f t="shared" si="329"/>
        <v>1</v>
      </c>
      <c r="BE297" s="1125">
        <f t="shared" si="330"/>
        <v>1</v>
      </c>
      <c r="BF297" s="1125">
        <f t="shared" si="331"/>
        <v>1</v>
      </c>
      <c r="BG297" s="1125">
        <f t="shared" si="332"/>
        <v>1</v>
      </c>
      <c r="BH297" s="1125">
        <f t="shared" si="333"/>
        <v>0</v>
      </c>
      <c r="BI297" s="1125">
        <f t="shared" si="334"/>
        <v>0</v>
      </c>
      <c r="BJ297" s="1125">
        <f t="shared" si="335"/>
        <v>0</v>
      </c>
      <c r="BK297" s="1125">
        <f t="shared" si="336"/>
        <v>1</v>
      </c>
      <c r="BL297" s="1125">
        <f t="shared" si="337"/>
        <v>1</v>
      </c>
      <c r="BM297" s="1125">
        <f t="shared" si="338"/>
        <v>1</v>
      </c>
      <c r="BN297" s="1125">
        <f t="shared" si="339"/>
        <v>1</v>
      </c>
      <c r="BO297" s="1125">
        <f t="shared" si="340"/>
        <v>1</v>
      </c>
      <c r="BP297" s="1125">
        <f t="shared" si="341"/>
        <v>0</v>
      </c>
      <c r="BQ297" s="1125">
        <f t="shared" si="342"/>
        <v>0</v>
      </c>
      <c r="BR297" s="1125">
        <f t="shared" si="343"/>
        <v>0</v>
      </c>
      <c r="BS297" s="1125">
        <f t="shared" si="344"/>
        <v>0</v>
      </c>
      <c r="BT297" s="1125">
        <f t="shared" si="345"/>
        <v>1</v>
      </c>
      <c r="BU297" s="1125">
        <f t="shared" si="346"/>
        <v>1</v>
      </c>
      <c r="BV297" s="1125">
        <f t="shared" si="347"/>
        <v>1</v>
      </c>
      <c r="BW297" s="1125">
        <f t="shared" si="348"/>
        <v>0</v>
      </c>
      <c r="BX297" s="1125">
        <f t="shared" si="349"/>
        <v>0</v>
      </c>
      <c r="BY297" s="1125">
        <f t="shared" si="350"/>
        <v>0</v>
      </c>
      <c r="BZ297" s="1125">
        <f t="shared" si="351"/>
        <v>1</v>
      </c>
      <c r="CA297" s="1125">
        <f t="shared" si="352"/>
        <v>1</v>
      </c>
      <c r="CB297" s="1125">
        <f t="shared" si="353"/>
        <v>1</v>
      </c>
      <c r="CC297" s="1125">
        <f t="shared" si="354"/>
        <v>1</v>
      </c>
      <c r="CD297" s="1125">
        <f t="shared" si="355"/>
        <v>1</v>
      </c>
      <c r="CE297" s="1125">
        <f t="shared" si="356"/>
        <v>1</v>
      </c>
      <c r="CF297" s="1125">
        <f t="shared" si="357"/>
        <v>1</v>
      </c>
      <c r="CG297" s="1125">
        <f t="shared" si="358"/>
        <v>0</v>
      </c>
      <c r="CH297" s="1125">
        <f t="shared" si="359"/>
        <v>0</v>
      </c>
      <c r="CI297" s="1125">
        <f t="shared" si="360"/>
        <v>0.85</v>
      </c>
      <c r="CJ297" s="1125">
        <f t="shared" si="361"/>
        <v>0.85</v>
      </c>
      <c r="CK297" s="1125">
        <f t="shared" si="362"/>
        <v>0.85</v>
      </c>
      <c r="CL297" s="1125">
        <f t="shared" si="363"/>
        <v>0.85</v>
      </c>
      <c r="CM297" s="1125">
        <f t="shared" si="364"/>
        <v>0.85</v>
      </c>
      <c r="CN297" s="1125">
        <f t="shared" si="365"/>
        <v>0.7</v>
      </c>
      <c r="CO297" s="1125">
        <f t="shared" si="366"/>
        <v>0.7</v>
      </c>
      <c r="CP297" s="1125">
        <f t="shared" si="367"/>
        <v>0.7</v>
      </c>
      <c r="CQ297" s="1125">
        <f t="shared" si="368"/>
        <v>0.7</v>
      </c>
      <c r="CR297" s="1125">
        <f t="shared" si="369"/>
        <v>0.85</v>
      </c>
      <c r="CS297" s="1125">
        <f t="shared" si="370"/>
        <v>0.85</v>
      </c>
      <c r="CT297" s="1125">
        <f t="shared" si="371"/>
        <v>0.85</v>
      </c>
      <c r="CU297" s="1125">
        <v>1</v>
      </c>
      <c r="CV297" s="1125"/>
      <c r="CW297" s="1125">
        <f t="shared" si="372"/>
        <v>214</v>
      </c>
      <c r="CX297" s="1125">
        <f t="shared" si="373"/>
        <v>151</v>
      </c>
      <c r="CY297" s="1135" t="s">
        <v>4881</v>
      </c>
      <c r="CZ297" s="1124" t="s">
        <v>4882</v>
      </c>
      <c r="DA297" s="1124"/>
      <c r="DB297" s="1124"/>
      <c r="DC297" s="1120" t="s">
        <v>5397</v>
      </c>
      <c r="DD297" s="1120" t="s">
        <v>426</v>
      </c>
      <c r="DE297" s="1120" t="b">
        <f t="shared" si="375"/>
        <v>0</v>
      </c>
      <c r="DF297" s="1133">
        <v>0</v>
      </c>
      <c r="DG297" s="1125">
        <v>0</v>
      </c>
    </row>
    <row r="298" spans="1:111">
      <c r="A298" s="1120" t="s">
        <v>3388</v>
      </c>
      <c r="B298" s="1120" t="s">
        <v>3940</v>
      </c>
      <c r="C298" s="1120" t="s">
        <v>3941</v>
      </c>
      <c r="D298" s="1120" t="s">
        <v>426</v>
      </c>
      <c r="E298" s="1120">
        <v>194</v>
      </c>
      <c r="F298" s="1120">
        <v>-78.88</v>
      </c>
      <c r="G298" s="1120">
        <v>34.979999999999997</v>
      </c>
      <c r="H298" s="1120">
        <v>-5</v>
      </c>
      <c r="I298" s="1121">
        <v>25.7</v>
      </c>
      <c r="J298" s="1121">
        <v>93.020002746582037</v>
      </c>
      <c r="K298" s="1122">
        <v>75.560001373291016</v>
      </c>
      <c r="L298" s="1120">
        <v>3398.4</v>
      </c>
      <c r="M298" s="1120">
        <v>1587.6000000000001</v>
      </c>
      <c r="N298" s="1123">
        <v>40.279999828338624</v>
      </c>
      <c r="O298" s="1123">
        <v>44.959999656677248</v>
      </c>
      <c r="P298" s="1123">
        <v>48.380000686645509</v>
      </c>
      <c r="Q298" s="1123">
        <v>61.339998626708983</v>
      </c>
      <c r="R298" s="1123">
        <v>69.080000686645505</v>
      </c>
      <c r="S298" s="1123">
        <v>76.280000686645508</v>
      </c>
      <c r="T298" s="1123">
        <v>77.539998626708979</v>
      </c>
      <c r="U298" s="1123">
        <v>76.280000686645508</v>
      </c>
      <c r="V298" s="1123">
        <v>70.7</v>
      </c>
      <c r="W298" s="1123">
        <v>61.160001373291017</v>
      </c>
      <c r="X298" s="1123">
        <v>48.919999313354495</v>
      </c>
      <c r="Y298" s="1123">
        <v>37.76000008583069</v>
      </c>
      <c r="Z298" s="1123">
        <v>59.454684959960311</v>
      </c>
      <c r="AA298" s="1123">
        <f t="shared" si="300"/>
        <v>55.042819855633091</v>
      </c>
      <c r="AB298" s="1123">
        <f t="shared" si="301"/>
        <v>54.60278200854016</v>
      </c>
      <c r="AC298" s="1123">
        <f t="shared" si="302"/>
        <v>56.991459898621471</v>
      </c>
      <c r="AD298" s="1123">
        <f t="shared" si="303"/>
        <v>61.586207823186783</v>
      </c>
      <c r="AE298" s="1123">
        <f t="shared" si="304"/>
        <v>67.189333928489333</v>
      </c>
      <c r="AF298" s="1123">
        <f t="shared" si="305"/>
        <v>72.340297048395016</v>
      </c>
      <c r="AG298" s="1123">
        <f t="shared" si="306"/>
        <v>75.696419266955971</v>
      </c>
      <c r="AH298" s="1123">
        <f t="shared" si="307"/>
        <v>76.382875608495368</v>
      </c>
      <c r="AI298" s="1123">
        <f t="shared" si="308"/>
        <v>74.220730648978517</v>
      </c>
      <c r="AJ298" s="1123">
        <f t="shared" si="309"/>
        <v>69.773580791765909</v>
      </c>
      <c r="AK298" s="1123">
        <f t="shared" si="310"/>
        <v>64.200644179793741</v>
      </c>
      <c r="AL298" s="1123">
        <f t="shared" si="311"/>
        <v>58.954592622525396</v>
      </c>
      <c r="AM298" s="1120">
        <f t="shared" si="312"/>
        <v>1</v>
      </c>
      <c r="AN298" s="1120">
        <f t="shared" si="313"/>
        <v>1</v>
      </c>
      <c r="AO298" s="1120">
        <f t="shared" si="314"/>
        <v>1</v>
      </c>
      <c r="AP298" s="1120">
        <f t="shared" si="315"/>
        <v>1</v>
      </c>
      <c r="AQ298" s="1120">
        <f t="shared" si="316"/>
        <v>0</v>
      </c>
      <c r="AR298" s="1120">
        <f t="shared" si="317"/>
        <v>0</v>
      </c>
      <c r="AS298" s="1120">
        <f t="shared" si="318"/>
        <v>0</v>
      </c>
      <c r="AT298" s="1120">
        <f t="shared" si="319"/>
        <v>0</v>
      </c>
      <c r="AU298" s="1120">
        <f t="shared" si="320"/>
        <v>0</v>
      </c>
      <c r="AV298" s="1120">
        <f t="shared" si="321"/>
        <v>1</v>
      </c>
      <c r="AW298" s="1120">
        <f t="shared" si="322"/>
        <v>1</v>
      </c>
      <c r="AX298" s="1120">
        <f t="shared" si="323"/>
        <v>1</v>
      </c>
      <c r="AY298" s="1120">
        <f t="shared" si="324"/>
        <v>0</v>
      </c>
      <c r="AZ298" s="1120">
        <f t="shared" si="325"/>
        <v>0</v>
      </c>
      <c r="BA298" s="1120">
        <f t="shared" si="326"/>
        <v>0</v>
      </c>
      <c r="BB298" s="1120">
        <f t="shared" si="327"/>
        <v>0</v>
      </c>
      <c r="BC298" s="1120">
        <f t="shared" si="328"/>
        <v>1</v>
      </c>
      <c r="BD298" s="1120">
        <f t="shared" si="329"/>
        <v>1</v>
      </c>
      <c r="BE298" s="1120">
        <f t="shared" si="330"/>
        <v>1</v>
      </c>
      <c r="BF298" s="1120">
        <f t="shared" si="331"/>
        <v>1</v>
      </c>
      <c r="BG298" s="1120">
        <f t="shared" si="332"/>
        <v>1</v>
      </c>
      <c r="BH298" s="1120">
        <f t="shared" si="333"/>
        <v>0</v>
      </c>
      <c r="BI298" s="1120">
        <f t="shared" si="334"/>
        <v>0</v>
      </c>
      <c r="BJ298" s="1120">
        <f t="shared" si="335"/>
        <v>0</v>
      </c>
      <c r="BK298" s="1120">
        <f t="shared" si="336"/>
        <v>1</v>
      </c>
      <c r="BL298" s="1120">
        <f t="shared" si="337"/>
        <v>1</v>
      </c>
      <c r="BM298" s="1120">
        <f t="shared" si="338"/>
        <v>1</v>
      </c>
      <c r="BN298" s="1120">
        <f t="shared" si="339"/>
        <v>1</v>
      </c>
      <c r="BO298" s="1120">
        <f t="shared" si="340"/>
        <v>1</v>
      </c>
      <c r="BP298" s="1120">
        <f t="shared" si="341"/>
        <v>0</v>
      </c>
      <c r="BQ298" s="1120">
        <f t="shared" si="342"/>
        <v>0</v>
      </c>
      <c r="BR298" s="1120">
        <f t="shared" si="343"/>
        <v>0</v>
      </c>
      <c r="BS298" s="1120">
        <f t="shared" si="344"/>
        <v>0</v>
      </c>
      <c r="BT298" s="1120">
        <f t="shared" si="345"/>
        <v>1</v>
      </c>
      <c r="BU298" s="1120">
        <f t="shared" si="346"/>
        <v>1</v>
      </c>
      <c r="BV298" s="1120">
        <f t="shared" si="347"/>
        <v>1</v>
      </c>
      <c r="BW298" s="1120">
        <f t="shared" si="348"/>
        <v>0</v>
      </c>
      <c r="BX298" s="1120">
        <f t="shared" si="349"/>
        <v>0</v>
      </c>
      <c r="BY298" s="1120">
        <f t="shared" si="350"/>
        <v>0</v>
      </c>
      <c r="BZ298" s="1120">
        <f t="shared" si="351"/>
        <v>1</v>
      </c>
      <c r="CA298" s="1120">
        <f t="shared" si="352"/>
        <v>1</v>
      </c>
      <c r="CB298" s="1120">
        <f t="shared" si="353"/>
        <v>1</v>
      </c>
      <c r="CC298" s="1120">
        <f t="shared" si="354"/>
        <v>1</v>
      </c>
      <c r="CD298" s="1120">
        <f t="shared" si="355"/>
        <v>1</v>
      </c>
      <c r="CE298" s="1120">
        <f t="shared" si="356"/>
        <v>1</v>
      </c>
      <c r="CF298" s="1120">
        <f t="shared" si="357"/>
        <v>1</v>
      </c>
      <c r="CG298" s="1120">
        <f t="shared" si="358"/>
        <v>0</v>
      </c>
      <c r="CH298" s="1120">
        <f t="shared" si="359"/>
        <v>0</v>
      </c>
      <c r="CI298" s="1120">
        <f t="shared" si="360"/>
        <v>0.85</v>
      </c>
      <c r="CJ298" s="1120">
        <f t="shared" si="361"/>
        <v>0.85</v>
      </c>
      <c r="CK298" s="1120">
        <f t="shared" si="362"/>
        <v>0.85</v>
      </c>
      <c r="CL298" s="1120">
        <f t="shared" si="363"/>
        <v>0.85</v>
      </c>
      <c r="CM298" s="1120">
        <f t="shared" si="364"/>
        <v>0.85</v>
      </c>
      <c r="CN298" s="1120">
        <f t="shared" si="365"/>
        <v>0.7</v>
      </c>
      <c r="CO298" s="1120">
        <f t="shared" si="366"/>
        <v>0.7</v>
      </c>
      <c r="CP298" s="1120">
        <f t="shared" si="367"/>
        <v>0.7</v>
      </c>
      <c r="CQ298" s="1120">
        <f t="shared" si="368"/>
        <v>0.7</v>
      </c>
      <c r="CR298" s="1120">
        <f t="shared" si="369"/>
        <v>0.85</v>
      </c>
      <c r="CS298" s="1120">
        <f t="shared" si="370"/>
        <v>0.85</v>
      </c>
      <c r="CT298" s="1120">
        <f t="shared" si="371"/>
        <v>0.85</v>
      </c>
      <c r="CU298" s="1120">
        <v>1</v>
      </c>
      <c r="CV298" s="1120"/>
      <c r="CW298" s="1120">
        <f t="shared" si="372"/>
        <v>214</v>
      </c>
      <c r="CX298" s="1120">
        <f t="shared" si="373"/>
        <v>151</v>
      </c>
      <c r="CY298" s="1136" t="s">
        <v>4881</v>
      </c>
      <c r="CZ298" s="1129" t="s">
        <v>4882</v>
      </c>
      <c r="DA298" s="1129"/>
      <c r="DB298" s="1129"/>
      <c r="DC298" s="1125" t="s">
        <v>5390</v>
      </c>
      <c r="DD298" s="1125" t="s">
        <v>426</v>
      </c>
      <c r="DE298" s="1120" t="str">
        <f t="shared" si="375"/>
        <v/>
      </c>
      <c r="DF298" s="1133">
        <v>0</v>
      </c>
      <c r="DG298" s="1120">
        <v>0</v>
      </c>
    </row>
    <row r="299" spans="1:111">
      <c r="A299" s="1125" t="s">
        <v>3390</v>
      </c>
      <c r="B299" s="1120" t="s">
        <v>4586</v>
      </c>
      <c r="C299" s="1120" t="s">
        <v>4587</v>
      </c>
      <c r="D299" s="1120" t="s">
        <v>238</v>
      </c>
      <c r="E299" s="1120">
        <v>2001</v>
      </c>
      <c r="F299" s="1120">
        <v>-117.32</v>
      </c>
      <c r="G299" s="1120">
        <v>47.68</v>
      </c>
      <c r="H299" s="1120">
        <v>-8</v>
      </c>
      <c r="I299" s="1121">
        <v>12.919999313354491</v>
      </c>
      <c r="J299" s="1121">
        <v>91.039998626708993</v>
      </c>
      <c r="K299" s="1122">
        <v>64.219999313354492</v>
      </c>
      <c r="L299" s="1120">
        <v>6075</v>
      </c>
      <c r="M299" s="1120">
        <v>567</v>
      </c>
      <c r="N299" s="1123">
        <v>33.259999978542325</v>
      </c>
      <c r="O299" s="1123">
        <v>35.060000085830687</v>
      </c>
      <c r="P299" s="1123">
        <v>35.779999828338624</v>
      </c>
      <c r="Q299" s="1123">
        <v>49.1</v>
      </c>
      <c r="R299" s="1123">
        <v>52.7</v>
      </c>
      <c r="S299" s="1123">
        <v>63.5</v>
      </c>
      <c r="T299" s="1123">
        <v>70.880000686645502</v>
      </c>
      <c r="U299" s="1123">
        <v>71.599999999999994</v>
      </c>
      <c r="V299" s="1123">
        <v>61.880000686645509</v>
      </c>
      <c r="W299" s="1123">
        <v>46.940000343322751</v>
      </c>
      <c r="X299" s="1123">
        <v>38.120000171661374</v>
      </c>
      <c r="Y299" s="1123">
        <v>32</v>
      </c>
      <c r="Z299" s="1123">
        <v>49.308602887930938</v>
      </c>
      <c r="AA299" s="1123">
        <f t="shared" si="300"/>
        <v>47.483319352820402</v>
      </c>
      <c r="AB299" s="1123">
        <f t="shared" si="301"/>
        <v>46.337626025691158</v>
      </c>
      <c r="AC299" s="1123">
        <f t="shared" si="302"/>
        <v>47.530356064642859</v>
      </c>
      <c r="AD299" s="1123">
        <f t="shared" si="303"/>
        <v>50.750606004496476</v>
      </c>
      <c r="AE299" s="1123">
        <f t="shared" si="304"/>
        <v>55.158968072875425</v>
      </c>
      <c r="AF299" s="1123">
        <f t="shared" si="305"/>
        <v>59.606334761740897</v>
      </c>
      <c r="AG299" s="1123">
        <f t="shared" si="306"/>
        <v>62.933431407644861</v>
      </c>
      <c r="AH299" s="1123">
        <f t="shared" si="307"/>
        <v>64.272998997721146</v>
      </c>
      <c r="AI299" s="1123">
        <f t="shared" si="308"/>
        <v>63.27585859625492</v>
      </c>
      <c r="AJ299" s="1123">
        <f t="shared" si="309"/>
        <v>60.201930215287099</v>
      </c>
      <c r="AK299" s="1123">
        <f t="shared" si="310"/>
        <v>55.852480657987186</v>
      </c>
      <c r="AL299" s="1123">
        <f t="shared" si="311"/>
        <v>51.361260978511964</v>
      </c>
      <c r="AM299" s="1120">
        <f t="shared" si="312"/>
        <v>1</v>
      </c>
      <c r="AN299" s="1120">
        <f t="shared" si="313"/>
        <v>1</v>
      </c>
      <c r="AO299" s="1120">
        <f t="shared" si="314"/>
        <v>1</v>
      </c>
      <c r="AP299" s="1120">
        <f t="shared" si="315"/>
        <v>1</v>
      </c>
      <c r="AQ299" s="1120">
        <f t="shared" si="316"/>
        <v>1</v>
      </c>
      <c r="AR299" s="1120">
        <f t="shared" si="317"/>
        <v>1</v>
      </c>
      <c r="AS299" s="1120">
        <f t="shared" si="318"/>
        <v>0</v>
      </c>
      <c r="AT299" s="1120">
        <f t="shared" si="319"/>
        <v>0</v>
      </c>
      <c r="AU299" s="1120">
        <f t="shared" si="320"/>
        <v>1</v>
      </c>
      <c r="AV299" s="1120">
        <f t="shared" si="321"/>
        <v>1</v>
      </c>
      <c r="AW299" s="1120">
        <f t="shared" si="322"/>
        <v>1</v>
      </c>
      <c r="AX299" s="1120">
        <f t="shared" si="323"/>
        <v>1</v>
      </c>
      <c r="AY299" s="1120">
        <f t="shared" si="324"/>
        <v>0</v>
      </c>
      <c r="AZ299" s="1120">
        <f t="shared" si="325"/>
        <v>0</v>
      </c>
      <c r="BA299" s="1120">
        <f t="shared" si="326"/>
        <v>0</v>
      </c>
      <c r="BB299" s="1120">
        <f t="shared" si="327"/>
        <v>0</v>
      </c>
      <c r="BC299" s="1120">
        <f t="shared" si="328"/>
        <v>0</v>
      </c>
      <c r="BD299" s="1120">
        <f t="shared" si="329"/>
        <v>0</v>
      </c>
      <c r="BE299" s="1120">
        <f t="shared" si="330"/>
        <v>1</v>
      </c>
      <c r="BF299" s="1120">
        <f t="shared" si="331"/>
        <v>1</v>
      </c>
      <c r="BG299" s="1120">
        <f t="shared" si="332"/>
        <v>0</v>
      </c>
      <c r="BH299" s="1120">
        <f t="shared" si="333"/>
        <v>0</v>
      </c>
      <c r="BI299" s="1120">
        <f t="shared" si="334"/>
        <v>0</v>
      </c>
      <c r="BJ299" s="1120">
        <f t="shared" si="335"/>
        <v>0</v>
      </c>
      <c r="BK299" s="1120">
        <f t="shared" si="336"/>
        <v>1</v>
      </c>
      <c r="BL299" s="1120">
        <f t="shared" si="337"/>
        <v>1</v>
      </c>
      <c r="BM299" s="1120">
        <f t="shared" si="338"/>
        <v>1</v>
      </c>
      <c r="BN299" s="1120">
        <f t="shared" si="339"/>
        <v>1</v>
      </c>
      <c r="BO299" s="1120">
        <f t="shared" si="340"/>
        <v>1</v>
      </c>
      <c r="BP299" s="1120">
        <f t="shared" si="341"/>
        <v>1</v>
      </c>
      <c r="BQ299" s="1120">
        <f t="shared" si="342"/>
        <v>1</v>
      </c>
      <c r="BR299" s="1120">
        <f t="shared" si="343"/>
        <v>0</v>
      </c>
      <c r="BS299" s="1120">
        <f t="shared" si="344"/>
        <v>1</v>
      </c>
      <c r="BT299" s="1120">
        <f t="shared" si="345"/>
        <v>1</v>
      </c>
      <c r="BU299" s="1120">
        <f t="shared" si="346"/>
        <v>1</v>
      </c>
      <c r="BV299" s="1120">
        <f t="shared" si="347"/>
        <v>1</v>
      </c>
      <c r="BW299" s="1120">
        <f t="shared" si="348"/>
        <v>0</v>
      </c>
      <c r="BX299" s="1120">
        <f t="shared" si="349"/>
        <v>0</v>
      </c>
      <c r="BY299" s="1120">
        <f t="shared" si="350"/>
        <v>0</v>
      </c>
      <c r="BZ299" s="1120">
        <f t="shared" si="351"/>
        <v>0</v>
      </c>
      <c r="CA299" s="1120">
        <f t="shared" si="352"/>
        <v>0</v>
      </c>
      <c r="CB299" s="1120">
        <f t="shared" si="353"/>
        <v>1</v>
      </c>
      <c r="CC299" s="1120">
        <f t="shared" si="354"/>
        <v>1</v>
      </c>
      <c r="CD299" s="1120">
        <f t="shared" si="355"/>
        <v>1</v>
      </c>
      <c r="CE299" s="1120">
        <f t="shared" si="356"/>
        <v>1</v>
      </c>
      <c r="CF299" s="1120">
        <f t="shared" si="357"/>
        <v>0</v>
      </c>
      <c r="CG299" s="1120">
        <f t="shared" si="358"/>
        <v>0</v>
      </c>
      <c r="CH299" s="1120">
        <f t="shared" si="359"/>
        <v>0</v>
      </c>
      <c r="CI299" s="1120">
        <f t="shared" si="360"/>
        <v>0.85</v>
      </c>
      <c r="CJ299" s="1120">
        <f t="shared" si="361"/>
        <v>0.85</v>
      </c>
      <c r="CK299" s="1120">
        <f t="shared" si="362"/>
        <v>0.85</v>
      </c>
      <c r="CL299" s="1120">
        <f t="shared" si="363"/>
        <v>0.85</v>
      </c>
      <c r="CM299" s="1120">
        <f t="shared" si="364"/>
        <v>0.85</v>
      </c>
      <c r="CN299" s="1120">
        <f t="shared" si="365"/>
        <v>0.85</v>
      </c>
      <c r="CO299" s="1120">
        <f t="shared" si="366"/>
        <v>0.85</v>
      </c>
      <c r="CP299" s="1120">
        <f t="shared" si="367"/>
        <v>0.7</v>
      </c>
      <c r="CQ299" s="1120">
        <f t="shared" si="368"/>
        <v>0.85</v>
      </c>
      <c r="CR299" s="1120">
        <f t="shared" si="369"/>
        <v>0.85</v>
      </c>
      <c r="CS299" s="1120">
        <f t="shared" si="370"/>
        <v>0.85</v>
      </c>
      <c r="CT299" s="1120">
        <f t="shared" si="371"/>
        <v>0.85</v>
      </c>
      <c r="CU299" s="1120">
        <v>1</v>
      </c>
      <c r="CV299" s="1120"/>
      <c r="CW299" s="1120">
        <f t="shared" si="372"/>
        <v>122</v>
      </c>
      <c r="CX299" s="1120">
        <f t="shared" si="373"/>
        <v>243</v>
      </c>
      <c r="CY299" s="1136" t="s">
        <v>4889</v>
      </c>
      <c r="CZ299" s="1129" t="s">
        <v>4890</v>
      </c>
      <c r="DA299" s="1129"/>
      <c r="DB299" s="1129"/>
      <c r="DC299" s="1125" t="s">
        <v>5654</v>
      </c>
      <c r="DD299" s="1125" t="s">
        <v>238</v>
      </c>
      <c r="DE299" s="1120" t="str">
        <f t="shared" si="375"/>
        <v/>
      </c>
      <c r="DF299" s="1133">
        <v>0</v>
      </c>
      <c r="DG299" s="1125">
        <v>0</v>
      </c>
    </row>
    <row r="300" spans="1:111">
      <c r="A300" s="1120" t="s">
        <v>3392</v>
      </c>
      <c r="B300" s="1125" t="s">
        <v>3793</v>
      </c>
      <c r="C300" s="1125" t="s">
        <v>3794</v>
      </c>
      <c r="D300" s="1125" t="s">
        <v>934</v>
      </c>
      <c r="E300" s="1125">
        <v>1184</v>
      </c>
      <c r="F300" s="1125">
        <v>-96.15</v>
      </c>
      <c r="G300" s="1125">
        <v>46.28</v>
      </c>
      <c r="H300" s="1125">
        <v>-6</v>
      </c>
      <c r="I300" s="1126">
        <v>-13.180000686645508</v>
      </c>
      <c r="J300" s="1126">
        <v>86.180000686645513</v>
      </c>
      <c r="K300" s="1127">
        <v>70.880000686645502</v>
      </c>
      <c r="L300" s="1125">
        <v>7759.8</v>
      </c>
      <c r="M300" s="1125">
        <v>747</v>
      </c>
      <c r="N300" s="1128">
        <v>16.880000686645506</v>
      </c>
      <c r="O300" s="1128">
        <v>16.7</v>
      </c>
      <c r="P300" s="1128">
        <v>29.119999957084655</v>
      </c>
      <c r="Q300" s="1128">
        <v>47.119999313354491</v>
      </c>
      <c r="R300" s="1128">
        <v>54.859999656677246</v>
      </c>
      <c r="S300" s="1128">
        <v>63.139998626708987</v>
      </c>
      <c r="T300" s="1128">
        <v>74.119999313354498</v>
      </c>
      <c r="U300" s="1128">
        <v>73.580000686645505</v>
      </c>
      <c r="V300" s="1128">
        <v>60.440000343322751</v>
      </c>
      <c r="W300" s="1128">
        <v>44.959999656677248</v>
      </c>
      <c r="X300" s="1128">
        <v>34.519999957084657</v>
      </c>
      <c r="Y300" s="1128">
        <v>24.620000171661378</v>
      </c>
      <c r="Z300" s="1128">
        <v>45.168602606041794</v>
      </c>
      <c r="AA300" s="1128">
        <f t="shared" si="300"/>
        <v>41.296319289299802</v>
      </c>
      <c r="AB300" s="1128">
        <f t="shared" si="301"/>
        <v>39.374779299856989</v>
      </c>
      <c r="AC300" s="1128">
        <f t="shared" si="302"/>
        <v>40.527481103489869</v>
      </c>
      <c r="AD300" s="1128">
        <f t="shared" si="303"/>
        <v>44.453955211409038</v>
      </c>
      <c r="AE300" s="1128">
        <f t="shared" si="304"/>
        <v>50.130705638587777</v>
      </c>
      <c r="AF300" s="1128">
        <f t="shared" si="305"/>
        <v>56.077999904809815</v>
      </c>
      <c r="AG300" s="1128">
        <f t="shared" si="306"/>
        <v>60.745584109005513</v>
      </c>
      <c r="AH300" s="1128">
        <f t="shared" si="307"/>
        <v>62.916780498701371</v>
      </c>
      <c r="AI300" s="1128">
        <f t="shared" si="308"/>
        <v>62.025633275773998</v>
      </c>
      <c r="AJ300" s="1128">
        <f t="shared" si="309"/>
        <v>58.304433696873822</v>
      </c>
      <c r="AK300" s="1128">
        <f t="shared" si="310"/>
        <v>52.723169777662498</v>
      </c>
      <c r="AL300" s="1128">
        <f t="shared" si="311"/>
        <v>46.736683968562978</v>
      </c>
      <c r="AM300" s="1125">
        <f t="shared" si="312"/>
        <v>1</v>
      </c>
      <c r="AN300" s="1125">
        <f t="shared" si="313"/>
        <v>1</v>
      </c>
      <c r="AO300" s="1125">
        <f t="shared" si="314"/>
        <v>1</v>
      </c>
      <c r="AP300" s="1125">
        <f t="shared" si="315"/>
        <v>1</v>
      </c>
      <c r="AQ300" s="1125">
        <f t="shared" si="316"/>
        <v>1</v>
      </c>
      <c r="AR300" s="1125">
        <f t="shared" si="317"/>
        <v>1</v>
      </c>
      <c r="AS300" s="1125">
        <f t="shared" si="318"/>
        <v>0</v>
      </c>
      <c r="AT300" s="1125">
        <f t="shared" si="319"/>
        <v>0</v>
      </c>
      <c r="AU300" s="1125">
        <f t="shared" si="320"/>
        <v>1</v>
      </c>
      <c r="AV300" s="1125">
        <f t="shared" si="321"/>
        <v>1</v>
      </c>
      <c r="AW300" s="1125">
        <f t="shared" si="322"/>
        <v>1</v>
      </c>
      <c r="AX300" s="1125">
        <f t="shared" si="323"/>
        <v>1</v>
      </c>
      <c r="AY300" s="1125">
        <f t="shared" si="324"/>
        <v>0</v>
      </c>
      <c r="AZ300" s="1125">
        <f t="shared" si="325"/>
        <v>0</v>
      </c>
      <c r="BA300" s="1125">
        <f t="shared" si="326"/>
        <v>0</v>
      </c>
      <c r="BB300" s="1125">
        <f t="shared" si="327"/>
        <v>0</v>
      </c>
      <c r="BC300" s="1125">
        <f t="shared" si="328"/>
        <v>0</v>
      </c>
      <c r="BD300" s="1125">
        <f t="shared" si="329"/>
        <v>0</v>
      </c>
      <c r="BE300" s="1125">
        <f t="shared" si="330"/>
        <v>1</v>
      </c>
      <c r="BF300" s="1125">
        <f t="shared" si="331"/>
        <v>1</v>
      </c>
      <c r="BG300" s="1125">
        <f t="shared" si="332"/>
        <v>0</v>
      </c>
      <c r="BH300" s="1125">
        <f t="shared" si="333"/>
        <v>0</v>
      </c>
      <c r="BI300" s="1125">
        <f t="shared" si="334"/>
        <v>0</v>
      </c>
      <c r="BJ300" s="1125">
        <f t="shared" si="335"/>
        <v>0</v>
      </c>
      <c r="BK300" s="1125">
        <f t="shared" si="336"/>
        <v>1</v>
      </c>
      <c r="BL300" s="1125">
        <f t="shared" si="337"/>
        <v>1</v>
      </c>
      <c r="BM300" s="1125">
        <f t="shared" si="338"/>
        <v>1</v>
      </c>
      <c r="BN300" s="1125">
        <f t="shared" si="339"/>
        <v>1</v>
      </c>
      <c r="BO300" s="1125">
        <f t="shared" si="340"/>
        <v>1</v>
      </c>
      <c r="BP300" s="1125">
        <f t="shared" si="341"/>
        <v>1</v>
      </c>
      <c r="BQ300" s="1125">
        <f t="shared" si="342"/>
        <v>1</v>
      </c>
      <c r="BR300" s="1125">
        <f t="shared" si="343"/>
        <v>0</v>
      </c>
      <c r="BS300" s="1125">
        <f t="shared" si="344"/>
        <v>1</v>
      </c>
      <c r="BT300" s="1125">
        <f t="shared" si="345"/>
        <v>1</v>
      </c>
      <c r="BU300" s="1125">
        <f t="shared" si="346"/>
        <v>1</v>
      </c>
      <c r="BV300" s="1125">
        <f t="shared" si="347"/>
        <v>1</v>
      </c>
      <c r="BW300" s="1125">
        <f t="shared" si="348"/>
        <v>0</v>
      </c>
      <c r="BX300" s="1125">
        <f t="shared" si="349"/>
        <v>0</v>
      </c>
      <c r="BY300" s="1125">
        <f t="shared" si="350"/>
        <v>0</v>
      </c>
      <c r="BZ300" s="1125">
        <f t="shared" si="351"/>
        <v>0</v>
      </c>
      <c r="CA300" s="1125">
        <f t="shared" si="352"/>
        <v>0</v>
      </c>
      <c r="CB300" s="1125">
        <f t="shared" si="353"/>
        <v>1</v>
      </c>
      <c r="CC300" s="1125">
        <f t="shared" si="354"/>
        <v>1</v>
      </c>
      <c r="CD300" s="1125">
        <f t="shared" si="355"/>
        <v>1</v>
      </c>
      <c r="CE300" s="1125">
        <f t="shared" si="356"/>
        <v>1</v>
      </c>
      <c r="CF300" s="1125">
        <f t="shared" si="357"/>
        <v>0</v>
      </c>
      <c r="CG300" s="1125">
        <f t="shared" si="358"/>
        <v>0</v>
      </c>
      <c r="CH300" s="1125">
        <f t="shared" si="359"/>
        <v>0</v>
      </c>
      <c r="CI300" s="1125">
        <f t="shared" si="360"/>
        <v>0.85</v>
      </c>
      <c r="CJ300" s="1125">
        <f t="shared" si="361"/>
        <v>0.85</v>
      </c>
      <c r="CK300" s="1125">
        <f t="shared" si="362"/>
        <v>0.85</v>
      </c>
      <c r="CL300" s="1125">
        <f t="shared" si="363"/>
        <v>0.85</v>
      </c>
      <c r="CM300" s="1125">
        <f t="shared" si="364"/>
        <v>0.85</v>
      </c>
      <c r="CN300" s="1125">
        <f t="shared" si="365"/>
        <v>0.85</v>
      </c>
      <c r="CO300" s="1125">
        <f t="shared" si="366"/>
        <v>0.85</v>
      </c>
      <c r="CP300" s="1125">
        <f t="shared" si="367"/>
        <v>0.7</v>
      </c>
      <c r="CQ300" s="1125">
        <f t="shared" si="368"/>
        <v>0.85</v>
      </c>
      <c r="CR300" s="1125">
        <f t="shared" si="369"/>
        <v>0.85</v>
      </c>
      <c r="CS300" s="1125">
        <f t="shared" si="370"/>
        <v>0.85</v>
      </c>
      <c r="CT300" s="1125">
        <f t="shared" si="371"/>
        <v>0.85</v>
      </c>
      <c r="CU300" s="1125">
        <v>1</v>
      </c>
      <c r="CV300" s="1125"/>
      <c r="CW300" s="1125">
        <f t="shared" si="372"/>
        <v>122</v>
      </c>
      <c r="CX300" s="1125">
        <f t="shared" si="373"/>
        <v>243</v>
      </c>
      <c r="CY300" s="1136" t="s">
        <v>4879</v>
      </c>
      <c r="CZ300" s="1129">
        <v>7</v>
      </c>
      <c r="DA300" s="1129"/>
      <c r="DB300" s="1129"/>
      <c r="DC300" s="1125" t="s">
        <v>5751</v>
      </c>
      <c r="DD300" s="1125" t="s">
        <v>934</v>
      </c>
      <c r="DE300" s="1120" t="b">
        <f t="shared" si="375"/>
        <v>0</v>
      </c>
      <c r="DF300" s="1133">
        <v>0</v>
      </c>
      <c r="DG300" s="1120">
        <v>0</v>
      </c>
    </row>
    <row r="301" spans="1:111">
      <c r="A301" s="1125" t="s">
        <v>3394</v>
      </c>
      <c r="B301" s="1120" t="s">
        <v>4178</v>
      </c>
      <c r="C301" s="1120" t="s">
        <v>4179</v>
      </c>
      <c r="D301" s="1120" t="s">
        <v>229</v>
      </c>
      <c r="E301" s="1120">
        <v>800</v>
      </c>
      <c r="F301" s="1120">
        <v>-83.67</v>
      </c>
      <c r="G301" s="1120">
        <v>41.02</v>
      </c>
      <c r="H301" s="1120">
        <v>-5</v>
      </c>
      <c r="I301" s="1121">
        <v>5.5400003433227534</v>
      </c>
      <c r="J301" s="1121">
        <v>87.8</v>
      </c>
      <c r="K301" s="1122">
        <v>72.680000686645513</v>
      </c>
      <c r="L301" s="1120">
        <v>5373</v>
      </c>
      <c r="M301" s="1120">
        <v>601.20000000000005</v>
      </c>
      <c r="N301" s="1123">
        <v>26.779999828338624</v>
      </c>
      <c r="O301" s="1123">
        <v>32.540000021457672</v>
      </c>
      <c r="P301" s="1123">
        <v>44.059999656677249</v>
      </c>
      <c r="Q301" s="1123">
        <v>53.780000686645508</v>
      </c>
      <c r="R301" s="1123">
        <v>58.819999313354494</v>
      </c>
      <c r="S301" s="1123">
        <v>67.099999999999994</v>
      </c>
      <c r="T301" s="1123">
        <v>71.599999999999994</v>
      </c>
      <c r="U301" s="1123">
        <v>68.360001373291013</v>
      </c>
      <c r="V301" s="1123">
        <v>63.139998626708987</v>
      </c>
      <c r="W301" s="1123">
        <v>51.8</v>
      </c>
      <c r="X301" s="1123">
        <v>44.240000343322755</v>
      </c>
      <c r="Y301" s="1123">
        <v>32.540000021457672</v>
      </c>
      <c r="Z301" s="1123">
        <v>51.319671222706361</v>
      </c>
      <c r="AA301" s="1123">
        <f t="shared" si="300"/>
        <v>47.895862654901606</v>
      </c>
      <c r="AB301" s="1123">
        <f t="shared" si="301"/>
        <v>46.723780927954977</v>
      </c>
      <c r="AC301" s="1123">
        <f t="shared" si="302"/>
        <v>48.313681293947418</v>
      </c>
      <c r="AD301" s="1123">
        <f t="shared" si="303"/>
        <v>52.251131721376716</v>
      </c>
      <c r="AE301" s="1123">
        <f t="shared" si="304"/>
        <v>57.509775078385616</v>
      </c>
      <c r="AF301" s="1123">
        <f t="shared" si="305"/>
        <v>62.718864935822637</v>
      </c>
      <c r="AG301" s="1123">
        <f t="shared" si="306"/>
        <v>66.520571747842197</v>
      </c>
      <c r="AH301" s="1123">
        <f t="shared" si="307"/>
        <v>67.923922047816077</v>
      </c>
      <c r="AI301" s="1123">
        <f t="shared" si="308"/>
        <v>66.563110953773304</v>
      </c>
      <c r="AJ301" s="1123">
        <f t="shared" si="309"/>
        <v>62.79285484810989</v>
      </c>
      <c r="AK301" s="1123">
        <f t="shared" si="310"/>
        <v>57.595929086172305</v>
      </c>
      <c r="AL301" s="1123">
        <f t="shared" si="311"/>
        <v>52.326992454859756</v>
      </c>
      <c r="AM301" s="1120">
        <f t="shared" si="312"/>
        <v>1</v>
      </c>
      <c r="AN301" s="1120">
        <f t="shared" si="313"/>
        <v>1</v>
      </c>
      <c r="AO301" s="1120">
        <f t="shared" si="314"/>
        <v>1</v>
      </c>
      <c r="AP301" s="1120">
        <f t="shared" si="315"/>
        <v>1</v>
      </c>
      <c r="AQ301" s="1120">
        <f t="shared" si="316"/>
        <v>1</v>
      </c>
      <c r="AR301" s="1120">
        <f t="shared" si="317"/>
        <v>0</v>
      </c>
      <c r="AS301" s="1120">
        <f t="shared" si="318"/>
        <v>0</v>
      </c>
      <c r="AT301" s="1120">
        <f t="shared" si="319"/>
        <v>0</v>
      </c>
      <c r="AU301" s="1120">
        <f t="shared" si="320"/>
        <v>1</v>
      </c>
      <c r="AV301" s="1120">
        <f t="shared" si="321"/>
        <v>1</v>
      </c>
      <c r="AW301" s="1120">
        <f t="shared" si="322"/>
        <v>1</v>
      </c>
      <c r="AX301" s="1120">
        <f t="shared" si="323"/>
        <v>1</v>
      </c>
      <c r="AY301" s="1120">
        <f t="shared" si="324"/>
        <v>0</v>
      </c>
      <c r="AZ301" s="1120">
        <f t="shared" si="325"/>
        <v>0</v>
      </c>
      <c r="BA301" s="1120">
        <f t="shared" si="326"/>
        <v>0</v>
      </c>
      <c r="BB301" s="1120">
        <f t="shared" si="327"/>
        <v>0</v>
      </c>
      <c r="BC301" s="1120">
        <f t="shared" si="328"/>
        <v>0</v>
      </c>
      <c r="BD301" s="1120">
        <f t="shared" si="329"/>
        <v>1</v>
      </c>
      <c r="BE301" s="1120">
        <f t="shared" si="330"/>
        <v>1</v>
      </c>
      <c r="BF301" s="1120">
        <f t="shared" si="331"/>
        <v>1</v>
      </c>
      <c r="BG301" s="1120">
        <f t="shared" si="332"/>
        <v>0</v>
      </c>
      <c r="BH301" s="1120">
        <f t="shared" si="333"/>
        <v>0</v>
      </c>
      <c r="BI301" s="1120">
        <f t="shared" si="334"/>
        <v>0</v>
      </c>
      <c r="BJ301" s="1120">
        <f t="shared" si="335"/>
        <v>0</v>
      </c>
      <c r="BK301" s="1120">
        <f t="shared" si="336"/>
        <v>1</v>
      </c>
      <c r="BL301" s="1120">
        <f t="shared" si="337"/>
        <v>1</v>
      </c>
      <c r="BM301" s="1120">
        <f t="shared" si="338"/>
        <v>1</v>
      </c>
      <c r="BN301" s="1120">
        <f t="shared" si="339"/>
        <v>1</v>
      </c>
      <c r="BO301" s="1120">
        <f t="shared" si="340"/>
        <v>1</v>
      </c>
      <c r="BP301" s="1120">
        <f t="shared" si="341"/>
        <v>1</v>
      </c>
      <c r="BQ301" s="1120">
        <f t="shared" si="342"/>
        <v>0</v>
      </c>
      <c r="BR301" s="1120">
        <f t="shared" si="343"/>
        <v>0</v>
      </c>
      <c r="BS301" s="1120">
        <f t="shared" si="344"/>
        <v>1</v>
      </c>
      <c r="BT301" s="1120">
        <f t="shared" si="345"/>
        <v>1</v>
      </c>
      <c r="BU301" s="1120">
        <f t="shared" si="346"/>
        <v>1</v>
      </c>
      <c r="BV301" s="1120">
        <f t="shared" si="347"/>
        <v>1</v>
      </c>
      <c r="BW301" s="1120">
        <f t="shared" si="348"/>
        <v>0</v>
      </c>
      <c r="BX301" s="1120">
        <f t="shared" si="349"/>
        <v>0</v>
      </c>
      <c r="BY301" s="1120">
        <f t="shared" si="350"/>
        <v>0</v>
      </c>
      <c r="BZ301" s="1120">
        <f t="shared" si="351"/>
        <v>0</v>
      </c>
      <c r="CA301" s="1120">
        <f t="shared" si="352"/>
        <v>1</v>
      </c>
      <c r="CB301" s="1120">
        <f t="shared" si="353"/>
        <v>1</v>
      </c>
      <c r="CC301" s="1120">
        <f t="shared" si="354"/>
        <v>1</v>
      </c>
      <c r="CD301" s="1120">
        <f t="shared" si="355"/>
        <v>1</v>
      </c>
      <c r="CE301" s="1120">
        <f t="shared" si="356"/>
        <v>1</v>
      </c>
      <c r="CF301" s="1120">
        <f t="shared" si="357"/>
        <v>0</v>
      </c>
      <c r="CG301" s="1120">
        <f t="shared" si="358"/>
        <v>0</v>
      </c>
      <c r="CH301" s="1120">
        <f t="shared" si="359"/>
        <v>0</v>
      </c>
      <c r="CI301" s="1120">
        <f t="shared" si="360"/>
        <v>0.85</v>
      </c>
      <c r="CJ301" s="1120">
        <f t="shared" si="361"/>
        <v>0.85</v>
      </c>
      <c r="CK301" s="1120">
        <f t="shared" si="362"/>
        <v>0.85</v>
      </c>
      <c r="CL301" s="1120">
        <f t="shared" si="363"/>
        <v>0.85</v>
      </c>
      <c r="CM301" s="1120">
        <f t="shared" si="364"/>
        <v>0.85</v>
      </c>
      <c r="CN301" s="1120">
        <f t="shared" si="365"/>
        <v>0.85</v>
      </c>
      <c r="CO301" s="1120">
        <f t="shared" si="366"/>
        <v>0.7</v>
      </c>
      <c r="CP301" s="1120">
        <f t="shared" si="367"/>
        <v>0.7</v>
      </c>
      <c r="CQ301" s="1120">
        <f t="shared" si="368"/>
        <v>0.85</v>
      </c>
      <c r="CR301" s="1120">
        <f t="shared" si="369"/>
        <v>0.85</v>
      </c>
      <c r="CS301" s="1120">
        <f t="shared" si="370"/>
        <v>0.85</v>
      </c>
      <c r="CT301" s="1120">
        <f t="shared" si="371"/>
        <v>0.85</v>
      </c>
      <c r="CU301" s="1120">
        <v>1</v>
      </c>
      <c r="CV301" s="1120"/>
      <c r="CW301" s="1120">
        <f t="shared" si="372"/>
        <v>153</v>
      </c>
      <c r="CX301" s="1120">
        <f t="shared" si="373"/>
        <v>212</v>
      </c>
      <c r="CY301" s="1136" t="s">
        <v>4889</v>
      </c>
      <c r="CZ301" s="1129" t="s">
        <v>4897</v>
      </c>
      <c r="DA301" s="1129"/>
      <c r="DB301" s="1129"/>
      <c r="DC301" s="1125" t="s">
        <v>5495</v>
      </c>
      <c r="DD301" s="1125" t="s">
        <v>229</v>
      </c>
      <c r="DE301" s="1120" t="str">
        <f t="shared" si="375"/>
        <v/>
      </c>
      <c r="DF301" s="1133">
        <v>1</v>
      </c>
      <c r="DG301" s="1125">
        <v>0</v>
      </c>
    </row>
    <row r="302" spans="1:111">
      <c r="A302" s="1120" t="s">
        <v>3396</v>
      </c>
      <c r="B302" s="1120" t="s">
        <v>3052</v>
      </c>
      <c r="C302" s="1120" t="s">
        <v>3053</v>
      </c>
      <c r="D302" s="1120" t="s">
        <v>1250</v>
      </c>
      <c r="E302" s="1120">
        <v>6993</v>
      </c>
      <c r="F302" s="1120">
        <v>-111.67</v>
      </c>
      <c r="G302" s="1120">
        <v>35.130000000000003</v>
      </c>
      <c r="H302" s="1120">
        <v>-7</v>
      </c>
      <c r="I302" s="1121">
        <v>-1.6600013732910164</v>
      </c>
      <c r="J302" s="1121">
        <v>85.639998626708987</v>
      </c>
      <c r="K302" s="1122">
        <v>55.219999313354492</v>
      </c>
      <c r="L302" s="1120">
        <v>6822</v>
      </c>
      <c r="M302" s="1120">
        <v>180</v>
      </c>
      <c r="N302" s="1123">
        <v>29.119999957084655</v>
      </c>
      <c r="O302" s="1123">
        <v>29.119999957084655</v>
      </c>
      <c r="P302" s="1123">
        <v>35.6</v>
      </c>
      <c r="Q302" s="1123">
        <v>43.159999656677243</v>
      </c>
      <c r="R302" s="1123">
        <v>51.619999313354491</v>
      </c>
      <c r="S302" s="1123">
        <v>64.039998626708979</v>
      </c>
      <c r="T302" s="1123">
        <v>67.639998626708987</v>
      </c>
      <c r="U302" s="1123">
        <v>63.319999313354494</v>
      </c>
      <c r="V302" s="1123">
        <v>57.559999656677249</v>
      </c>
      <c r="W302" s="1123">
        <v>46.4</v>
      </c>
      <c r="X302" s="1123">
        <v>36.139999914169309</v>
      </c>
      <c r="Y302" s="1123">
        <v>29.839999914169312</v>
      </c>
      <c r="Z302" s="1123">
        <v>46.224931082986807</v>
      </c>
      <c r="AA302" s="1123">
        <f t="shared" si="300"/>
        <v>45.352051432513093</v>
      </c>
      <c r="AB302" s="1123">
        <f t="shared" si="301"/>
        <v>44.101681538411576</v>
      </c>
      <c r="AC302" s="1123">
        <f t="shared" si="302"/>
        <v>44.968761821168336</v>
      </c>
      <c r="AD302" s="1123">
        <f t="shared" si="303"/>
        <v>47.727274442971193</v>
      </c>
      <c r="AE302" s="1123">
        <f t="shared" si="304"/>
        <v>51.658170578980972</v>
      </c>
      <c r="AF302" s="1123">
        <f t="shared" si="305"/>
        <v>55.736801574403614</v>
      </c>
      <c r="AG302" s="1123">
        <f t="shared" si="306"/>
        <v>58.900009406676006</v>
      </c>
      <c r="AH302" s="1123">
        <f t="shared" si="307"/>
        <v>60.32325520780811</v>
      </c>
      <c r="AI302" s="1123">
        <f t="shared" si="308"/>
        <v>59.635548026853144</v>
      </c>
      <c r="AJ302" s="1123">
        <f t="shared" si="309"/>
        <v>57.016149338415481</v>
      </c>
      <c r="AK302" s="1123">
        <f t="shared" si="310"/>
        <v>53.147845776792046</v>
      </c>
      <c r="AL302" s="1123">
        <f t="shared" si="311"/>
        <v>49.038970277682338</v>
      </c>
      <c r="AM302" s="1120">
        <f t="shared" si="312"/>
        <v>1</v>
      </c>
      <c r="AN302" s="1120">
        <f t="shared" si="313"/>
        <v>1</v>
      </c>
      <c r="AO302" s="1120">
        <f t="shared" si="314"/>
        <v>1</v>
      </c>
      <c r="AP302" s="1120">
        <f t="shared" si="315"/>
        <v>1</v>
      </c>
      <c r="AQ302" s="1120">
        <f t="shared" si="316"/>
        <v>1</v>
      </c>
      <c r="AR302" s="1120">
        <f t="shared" si="317"/>
        <v>1</v>
      </c>
      <c r="AS302" s="1120">
        <f t="shared" si="318"/>
        <v>0</v>
      </c>
      <c r="AT302" s="1120">
        <f t="shared" si="319"/>
        <v>1</v>
      </c>
      <c r="AU302" s="1120">
        <f t="shared" si="320"/>
        <v>1</v>
      </c>
      <c r="AV302" s="1120">
        <f t="shared" si="321"/>
        <v>1</v>
      </c>
      <c r="AW302" s="1120">
        <f t="shared" si="322"/>
        <v>1</v>
      </c>
      <c r="AX302" s="1120">
        <f t="shared" si="323"/>
        <v>1</v>
      </c>
      <c r="AY302" s="1120">
        <f t="shared" si="324"/>
        <v>0</v>
      </c>
      <c r="AZ302" s="1120">
        <f t="shared" si="325"/>
        <v>0</v>
      </c>
      <c r="BA302" s="1120">
        <f t="shared" si="326"/>
        <v>0</v>
      </c>
      <c r="BB302" s="1120">
        <f t="shared" si="327"/>
        <v>0</v>
      </c>
      <c r="BC302" s="1120">
        <f t="shared" si="328"/>
        <v>0</v>
      </c>
      <c r="BD302" s="1120">
        <f t="shared" si="329"/>
        <v>0</v>
      </c>
      <c r="BE302" s="1120">
        <f t="shared" si="330"/>
        <v>1</v>
      </c>
      <c r="BF302" s="1120">
        <f t="shared" si="331"/>
        <v>1</v>
      </c>
      <c r="BG302" s="1120">
        <f t="shared" si="332"/>
        <v>0</v>
      </c>
      <c r="BH302" s="1120">
        <f t="shared" si="333"/>
        <v>0</v>
      </c>
      <c r="BI302" s="1120">
        <f t="shared" si="334"/>
        <v>0</v>
      </c>
      <c r="BJ302" s="1120">
        <f t="shared" si="335"/>
        <v>0</v>
      </c>
      <c r="BK302" s="1120">
        <f t="shared" si="336"/>
        <v>1</v>
      </c>
      <c r="BL302" s="1120">
        <f t="shared" si="337"/>
        <v>1</v>
      </c>
      <c r="BM302" s="1120">
        <f t="shared" si="338"/>
        <v>1</v>
      </c>
      <c r="BN302" s="1120">
        <f t="shared" si="339"/>
        <v>1</v>
      </c>
      <c r="BO302" s="1120">
        <f t="shared" si="340"/>
        <v>1</v>
      </c>
      <c r="BP302" s="1120">
        <f t="shared" si="341"/>
        <v>1</v>
      </c>
      <c r="BQ302" s="1120">
        <f t="shared" si="342"/>
        <v>1</v>
      </c>
      <c r="BR302" s="1120">
        <f t="shared" si="343"/>
        <v>1</v>
      </c>
      <c r="BS302" s="1120">
        <f t="shared" si="344"/>
        <v>1</v>
      </c>
      <c r="BT302" s="1120">
        <f t="shared" si="345"/>
        <v>1</v>
      </c>
      <c r="BU302" s="1120">
        <f t="shared" si="346"/>
        <v>1</v>
      </c>
      <c r="BV302" s="1120">
        <f t="shared" si="347"/>
        <v>1</v>
      </c>
      <c r="BW302" s="1120">
        <f t="shared" si="348"/>
        <v>0</v>
      </c>
      <c r="BX302" s="1120">
        <f t="shared" si="349"/>
        <v>0</v>
      </c>
      <c r="BY302" s="1120">
        <f t="shared" si="350"/>
        <v>0</v>
      </c>
      <c r="BZ302" s="1120">
        <f t="shared" si="351"/>
        <v>0</v>
      </c>
      <c r="CA302" s="1120">
        <f t="shared" si="352"/>
        <v>0</v>
      </c>
      <c r="CB302" s="1120">
        <f t="shared" si="353"/>
        <v>1</v>
      </c>
      <c r="CC302" s="1120">
        <f t="shared" si="354"/>
        <v>1</v>
      </c>
      <c r="CD302" s="1120">
        <f t="shared" si="355"/>
        <v>1</v>
      </c>
      <c r="CE302" s="1120">
        <f t="shared" si="356"/>
        <v>0</v>
      </c>
      <c r="CF302" s="1120">
        <f t="shared" si="357"/>
        <v>0</v>
      </c>
      <c r="CG302" s="1120">
        <f t="shared" si="358"/>
        <v>0</v>
      </c>
      <c r="CH302" s="1120">
        <f t="shared" si="359"/>
        <v>0</v>
      </c>
      <c r="CI302" s="1120">
        <f t="shared" si="360"/>
        <v>0.85</v>
      </c>
      <c r="CJ302" s="1120">
        <f t="shared" si="361"/>
        <v>0.85</v>
      </c>
      <c r="CK302" s="1120">
        <f t="shared" si="362"/>
        <v>0.85</v>
      </c>
      <c r="CL302" s="1120">
        <f t="shared" si="363"/>
        <v>0.85</v>
      </c>
      <c r="CM302" s="1120">
        <f t="shared" si="364"/>
        <v>0.85</v>
      </c>
      <c r="CN302" s="1120">
        <f t="shared" si="365"/>
        <v>0.85</v>
      </c>
      <c r="CO302" s="1120">
        <f t="shared" si="366"/>
        <v>0.85</v>
      </c>
      <c r="CP302" s="1120">
        <f t="shared" si="367"/>
        <v>0.85</v>
      </c>
      <c r="CQ302" s="1120">
        <f t="shared" si="368"/>
        <v>0.85</v>
      </c>
      <c r="CR302" s="1120">
        <f t="shared" si="369"/>
        <v>0.85</v>
      </c>
      <c r="CS302" s="1120">
        <f t="shared" si="370"/>
        <v>0.85</v>
      </c>
      <c r="CT302" s="1120">
        <f t="shared" si="371"/>
        <v>0.85</v>
      </c>
      <c r="CU302" s="1120">
        <v>1</v>
      </c>
      <c r="CV302" s="1120"/>
      <c r="CW302" s="1120">
        <f t="shared" si="372"/>
        <v>92</v>
      </c>
      <c r="CX302" s="1120">
        <f t="shared" si="373"/>
        <v>273</v>
      </c>
      <c r="CY302" s="1135" t="s">
        <v>4889</v>
      </c>
      <c r="CZ302" s="1124" t="s">
        <v>4890</v>
      </c>
      <c r="DA302" s="1124"/>
      <c r="DB302" s="1124"/>
      <c r="DC302" s="1120" t="s">
        <v>4997</v>
      </c>
      <c r="DD302" s="1120" t="s">
        <v>1250</v>
      </c>
      <c r="DE302" s="1120" t="str">
        <f t="shared" si="375"/>
        <v/>
      </c>
      <c r="DF302" s="1120">
        <v>1</v>
      </c>
      <c r="DG302" s="1120">
        <v>0</v>
      </c>
    </row>
    <row r="303" spans="1:111">
      <c r="A303" s="1125" t="s">
        <v>3398</v>
      </c>
      <c r="B303" s="1120" t="s">
        <v>3725</v>
      </c>
      <c r="C303" s="1120" t="s">
        <v>3726</v>
      </c>
      <c r="D303" s="1120" t="s">
        <v>540</v>
      </c>
      <c r="E303" s="1120">
        <v>768</v>
      </c>
      <c r="F303" s="1120">
        <v>-83.75</v>
      </c>
      <c r="G303" s="1120">
        <v>42.97</v>
      </c>
      <c r="H303" s="1120">
        <v>-5</v>
      </c>
      <c r="I303" s="1121">
        <v>3.7400003433227531</v>
      </c>
      <c r="J303" s="1121">
        <v>86.539998626708979</v>
      </c>
      <c r="K303" s="1122">
        <v>72.139998626708987</v>
      </c>
      <c r="L303" s="1120">
        <v>6708.6</v>
      </c>
      <c r="M303" s="1120">
        <v>585</v>
      </c>
      <c r="N303" s="1123">
        <v>22.459999656677248</v>
      </c>
      <c r="O303" s="1123">
        <v>23.179999828338623</v>
      </c>
      <c r="P303" s="1123">
        <v>35.6</v>
      </c>
      <c r="Q303" s="1123">
        <v>46.4</v>
      </c>
      <c r="R303" s="1123">
        <v>60.259999656677245</v>
      </c>
      <c r="S303" s="1123">
        <v>67.099999999999994</v>
      </c>
      <c r="T303" s="1123">
        <v>71.780000686645508</v>
      </c>
      <c r="U303" s="1123">
        <v>69.439998626708984</v>
      </c>
      <c r="V303" s="1123">
        <v>60.619999313354491</v>
      </c>
      <c r="W303" s="1123">
        <v>50.540000343322752</v>
      </c>
      <c r="X303" s="1123">
        <v>35.779999828338624</v>
      </c>
      <c r="Y303" s="1123">
        <v>26.960000085830689</v>
      </c>
      <c r="Z303" s="1123">
        <v>47.655561479934278</v>
      </c>
      <c r="AA303" s="1123">
        <f t="shared" si="300"/>
        <v>44.418638586236987</v>
      </c>
      <c r="AB303" s="1123">
        <f t="shared" si="301"/>
        <v>42.892980996447108</v>
      </c>
      <c r="AC303" s="1123">
        <f t="shared" si="302"/>
        <v>44.172755866063838</v>
      </c>
      <c r="AD303" s="1123">
        <f t="shared" si="303"/>
        <v>47.924370153393859</v>
      </c>
      <c r="AE303" s="1123">
        <f t="shared" si="304"/>
        <v>53.169907780318425</v>
      </c>
      <c r="AF303" s="1123">
        <f t="shared" si="305"/>
        <v>58.542038528197907</v>
      </c>
      <c r="AG303" s="1123">
        <f t="shared" si="306"/>
        <v>62.640433730556765</v>
      </c>
      <c r="AH303" s="1123">
        <f t="shared" si="307"/>
        <v>64.396783519718312</v>
      </c>
      <c r="AI303" s="1123">
        <f t="shared" si="308"/>
        <v>63.353268256968043</v>
      </c>
      <c r="AJ303" s="1123">
        <f t="shared" si="309"/>
        <v>59.781896276598793</v>
      </c>
      <c r="AK303" s="1123">
        <f t="shared" si="310"/>
        <v>54.61360072180198</v>
      </c>
      <c r="AL303" s="1123">
        <f t="shared" si="311"/>
        <v>49.195577474780713</v>
      </c>
      <c r="AM303" s="1120">
        <f t="shared" si="312"/>
        <v>1</v>
      </c>
      <c r="AN303" s="1120">
        <f t="shared" si="313"/>
        <v>1</v>
      </c>
      <c r="AO303" s="1120">
        <f t="shared" si="314"/>
        <v>1</v>
      </c>
      <c r="AP303" s="1120">
        <f t="shared" si="315"/>
        <v>1</v>
      </c>
      <c r="AQ303" s="1120">
        <f t="shared" si="316"/>
        <v>1</v>
      </c>
      <c r="AR303" s="1120">
        <f t="shared" si="317"/>
        <v>0</v>
      </c>
      <c r="AS303" s="1120">
        <f t="shared" si="318"/>
        <v>0</v>
      </c>
      <c r="AT303" s="1120">
        <f t="shared" si="319"/>
        <v>0</v>
      </c>
      <c r="AU303" s="1120">
        <f t="shared" si="320"/>
        <v>1</v>
      </c>
      <c r="AV303" s="1120">
        <f t="shared" si="321"/>
        <v>1</v>
      </c>
      <c r="AW303" s="1120">
        <f t="shared" si="322"/>
        <v>1</v>
      </c>
      <c r="AX303" s="1120">
        <f t="shared" si="323"/>
        <v>1</v>
      </c>
      <c r="AY303" s="1120">
        <f t="shared" si="324"/>
        <v>0</v>
      </c>
      <c r="AZ303" s="1120">
        <f t="shared" si="325"/>
        <v>0</v>
      </c>
      <c r="BA303" s="1120">
        <f t="shared" si="326"/>
        <v>0</v>
      </c>
      <c r="BB303" s="1120">
        <f t="shared" si="327"/>
        <v>0</v>
      </c>
      <c r="BC303" s="1120">
        <f t="shared" si="328"/>
        <v>0</v>
      </c>
      <c r="BD303" s="1120">
        <f t="shared" si="329"/>
        <v>1</v>
      </c>
      <c r="BE303" s="1120">
        <f t="shared" si="330"/>
        <v>1</v>
      </c>
      <c r="BF303" s="1120">
        <f t="shared" si="331"/>
        <v>1</v>
      </c>
      <c r="BG303" s="1120">
        <f t="shared" si="332"/>
        <v>0</v>
      </c>
      <c r="BH303" s="1120">
        <f t="shared" si="333"/>
        <v>0</v>
      </c>
      <c r="BI303" s="1120">
        <f t="shared" si="334"/>
        <v>0</v>
      </c>
      <c r="BJ303" s="1120">
        <f t="shared" si="335"/>
        <v>0</v>
      </c>
      <c r="BK303" s="1120">
        <f t="shared" si="336"/>
        <v>1</v>
      </c>
      <c r="BL303" s="1120">
        <f t="shared" si="337"/>
        <v>1</v>
      </c>
      <c r="BM303" s="1120">
        <f t="shared" si="338"/>
        <v>1</v>
      </c>
      <c r="BN303" s="1120">
        <f t="shared" si="339"/>
        <v>1</v>
      </c>
      <c r="BO303" s="1120">
        <f t="shared" si="340"/>
        <v>1</v>
      </c>
      <c r="BP303" s="1120">
        <f t="shared" si="341"/>
        <v>1</v>
      </c>
      <c r="BQ303" s="1120">
        <f t="shared" si="342"/>
        <v>0</v>
      </c>
      <c r="BR303" s="1120">
        <f t="shared" si="343"/>
        <v>0</v>
      </c>
      <c r="BS303" s="1120">
        <f t="shared" si="344"/>
        <v>1</v>
      </c>
      <c r="BT303" s="1120">
        <f t="shared" si="345"/>
        <v>1</v>
      </c>
      <c r="BU303" s="1120">
        <f t="shared" si="346"/>
        <v>1</v>
      </c>
      <c r="BV303" s="1120">
        <f t="shared" si="347"/>
        <v>1</v>
      </c>
      <c r="BW303" s="1120">
        <f t="shared" si="348"/>
        <v>0</v>
      </c>
      <c r="BX303" s="1120">
        <f t="shared" si="349"/>
        <v>0</v>
      </c>
      <c r="BY303" s="1120">
        <f t="shared" si="350"/>
        <v>0</v>
      </c>
      <c r="BZ303" s="1120">
        <f t="shared" si="351"/>
        <v>0</v>
      </c>
      <c r="CA303" s="1120">
        <f t="shared" si="352"/>
        <v>1</v>
      </c>
      <c r="CB303" s="1120">
        <f t="shared" si="353"/>
        <v>1</v>
      </c>
      <c r="CC303" s="1120">
        <f t="shared" si="354"/>
        <v>1</v>
      </c>
      <c r="CD303" s="1120">
        <f t="shared" si="355"/>
        <v>1</v>
      </c>
      <c r="CE303" s="1120">
        <f t="shared" si="356"/>
        <v>1</v>
      </c>
      <c r="CF303" s="1120">
        <f t="shared" si="357"/>
        <v>0</v>
      </c>
      <c r="CG303" s="1120">
        <f t="shared" si="358"/>
        <v>0</v>
      </c>
      <c r="CH303" s="1120">
        <f t="shared" si="359"/>
        <v>0</v>
      </c>
      <c r="CI303" s="1120">
        <f t="shared" si="360"/>
        <v>0.85</v>
      </c>
      <c r="CJ303" s="1120">
        <f t="shared" si="361"/>
        <v>0.85</v>
      </c>
      <c r="CK303" s="1120">
        <f t="shared" si="362"/>
        <v>0.85</v>
      </c>
      <c r="CL303" s="1120">
        <f t="shared" si="363"/>
        <v>0.85</v>
      </c>
      <c r="CM303" s="1120">
        <f t="shared" si="364"/>
        <v>0.85</v>
      </c>
      <c r="CN303" s="1120">
        <f t="shared" si="365"/>
        <v>0.85</v>
      </c>
      <c r="CO303" s="1120">
        <f t="shared" si="366"/>
        <v>0.7</v>
      </c>
      <c r="CP303" s="1120">
        <f t="shared" si="367"/>
        <v>0.7</v>
      </c>
      <c r="CQ303" s="1120">
        <f t="shared" si="368"/>
        <v>0.85</v>
      </c>
      <c r="CR303" s="1120">
        <f t="shared" si="369"/>
        <v>0.85</v>
      </c>
      <c r="CS303" s="1120">
        <f t="shared" si="370"/>
        <v>0.85</v>
      </c>
      <c r="CT303" s="1120">
        <f t="shared" si="371"/>
        <v>0.85</v>
      </c>
      <c r="CU303" s="1120">
        <v>1</v>
      </c>
      <c r="CV303" s="1120"/>
      <c r="CW303" s="1120">
        <f t="shared" si="372"/>
        <v>153</v>
      </c>
      <c r="CX303" s="1120">
        <f t="shared" si="373"/>
        <v>212</v>
      </c>
      <c r="CY303" s="1135" t="s">
        <v>4889</v>
      </c>
      <c r="CZ303" s="1124" t="s">
        <v>4897</v>
      </c>
      <c r="DA303" s="1124"/>
      <c r="DB303" s="1124"/>
      <c r="DC303" s="1120" t="s">
        <v>5303</v>
      </c>
      <c r="DD303" s="1120" t="s">
        <v>540</v>
      </c>
      <c r="DE303" s="1120" t="str">
        <f t="shared" si="375"/>
        <v/>
      </c>
      <c r="DF303" s="1133">
        <v>1</v>
      </c>
      <c r="DG303" s="1125">
        <v>0</v>
      </c>
    </row>
    <row r="304" spans="1:111">
      <c r="A304" s="1120" t="s">
        <v>3400</v>
      </c>
      <c r="B304" s="1120" t="s">
        <v>5804</v>
      </c>
      <c r="C304" s="1120" t="s">
        <v>5805</v>
      </c>
      <c r="D304" s="1120" t="s">
        <v>1176</v>
      </c>
      <c r="E304" s="1120">
        <v>1148</v>
      </c>
      <c r="F304" s="1120">
        <v>-92.47</v>
      </c>
      <c r="G304" s="1120">
        <v>36.299999999999997</v>
      </c>
      <c r="H304" s="1120">
        <v>-6</v>
      </c>
      <c r="I304" s="1121">
        <v>17.779999828338624</v>
      </c>
      <c r="J304" s="1121">
        <v>94.100000000000009</v>
      </c>
      <c r="K304" s="1122">
        <v>73.760001373291018</v>
      </c>
      <c r="L304" s="1120">
        <v>3583.8</v>
      </c>
      <c r="M304" s="1120">
        <v>1632.6000000000001</v>
      </c>
      <c r="N304" s="1123">
        <v>37.4</v>
      </c>
      <c r="O304" s="1123">
        <v>41.9</v>
      </c>
      <c r="P304" s="1123">
        <v>46.040000343322752</v>
      </c>
      <c r="Q304" s="1123">
        <v>60.619999313354491</v>
      </c>
      <c r="R304" s="1123">
        <v>66.739998626708982</v>
      </c>
      <c r="S304" s="1123">
        <v>71.780000686645508</v>
      </c>
      <c r="T304" s="1123">
        <v>76.639998626708987</v>
      </c>
      <c r="U304" s="1123">
        <v>79.7</v>
      </c>
      <c r="V304" s="1123">
        <v>74.83999862670899</v>
      </c>
      <c r="W304" s="1123">
        <v>61.7</v>
      </c>
      <c r="X304" s="1123">
        <v>52.340000343322757</v>
      </c>
      <c r="Y304" s="1123">
        <v>38.120000171661374</v>
      </c>
      <c r="Z304" s="1123">
        <v>59.060657260058676</v>
      </c>
      <c r="AA304" s="1123">
        <f t="shared" si="300"/>
        <v>54.09419823375341</v>
      </c>
      <c r="AB304" s="1123">
        <f t="shared" si="301"/>
        <v>53.589427913420785</v>
      </c>
      <c r="AC304" s="1123">
        <f t="shared" si="302"/>
        <v>56.074810299284557</v>
      </c>
      <c r="AD304" s="1123">
        <f t="shared" si="303"/>
        <v>60.902492171567395</v>
      </c>
      <c r="AE304" s="1123">
        <f t="shared" si="304"/>
        <v>66.814063853429175</v>
      </c>
      <c r="AF304" s="1123">
        <f t="shared" si="305"/>
        <v>72.268583085915409</v>
      </c>
      <c r="AG304" s="1123">
        <f t="shared" si="306"/>
        <v>75.844245374392827</v>
      </c>
      <c r="AH304" s="1123">
        <f t="shared" si="307"/>
        <v>76.608999240745973</v>
      </c>
      <c r="AI304" s="1123">
        <f t="shared" si="308"/>
        <v>74.363499804496087</v>
      </c>
      <c r="AJ304" s="1123">
        <f t="shared" si="309"/>
        <v>69.693071097895469</v>
      </c>
      <c r="AK304" s="1123">
        <f t="shared" si="310"/>
        <v>63.815132336804574</v>
      </c>
      <c r="AL304" s="1123">
        <f t="shared" si="311"/>
        <v>58.261858841079928</v>
      </c>
      <c r="AM304" s="1120">
        <f t="shared" si="312"/>
        <v>1</v>
      </c>
      <c r="AN304" s="1120">
        <f t="shared" si="313"/>
        <v>1</v>
      </c>
      <c r="AO304" s="1120">
        <f t="shared" si="314"/>
        <v>1</v>
      </c>
      <c r="AP304" s="1120">
        <f t="shared" si="315"/>
        <v>1</v>
      </c>
      <c r="AQ304" s="1120">
        <f t="shared" si="316"/>
        <v>0</v>
      </c>
      <c r="AR304" s="1120">
        <f t="shared" si="317"/>
        <v>0</v>
      </c>
      <c r="AS304" s="1120">
        <f t="shared" si="318"/>
        <v>0</v>
      </c>
      <c r="AT304" s="1120">
        <f t="shared" si="319"/>
        <v>0</v>
      </c>
      <c r="AU304" s="1120">
        <f t="shared" si="320"/>
        <v>0</v>
      </c>
      <c r="AV304" s="1120">
        <f t="shared" si="321"/>
        <v>1</v>
      </c>
      <c r="AW304" s="1120">
        <f t="shared" si="322"/>
        <v>1</v>
      </c>
      <c r="AX304" s="1120">
        <f t="shared" si="323"/>
        <v>1</v>
      </c>
      <c r="AY304" s="1120">
        <f t="shared" si="324"/>
        <v>0</v>
      </c>
      <c r="AZ304" s="1120">
        <f t="shared" si="325"/>
        <v>0</v>
      </c>
      <c r="BA304" s="1120">
        <f t="shared" si="326"/>
        <v>0</v>
      </c>
      <c r="BB304" s="1120">
        <f t="shared" si="327"/>
        <v>0</v>
      </c>
      <c r="BC304" s="1120">
        <f t="shared" si="328"/>
        <v>1</v>
      </c>
      <c r="BD304" s="1120">
        <f t="shared" si="329"/>
        <v>1</v>
      </c>
      <c r="BE304" s="1120">
        <f t="shared" si="330"/>
        <v>1</v>
      </c>
      <c r="BF304" s="1120">
        <f t="shared" si="331"/>
        <v>1</v>
      </c>
      <c r="BG304" s="1120">
        <f t="shared" si="332"/>
        <v>1</v>
      </c>
      <c r="BH304" s="1120">
        <f t="shared" si="333"/>
        <v>0</v>
      </c>
      <c r="BI304" s="1120">
        <f t="shared" si="334"/>
        <v>0</v>
      </c>
      <c r="BJ304" s="1120">
        <f t="shared" si="335"/>
        <v>0</v>
      </c>
      <c r="BK304" s="1120">
        <f t="shared" si="336"/>
        <v>1</v>
      </c>
      <c r="BL304" s="1120">
        <f t="shared" si="337"/>
        <v>1</v>
      </c>
      <c r="BM304" s="1120">
        <f t="shared" si="338"/>
        <v>1</v>
      </c>
      <c r="BN304" s="1120">
        <f t="shared" si="339"/>
        <v>1</v>
      </c>
      <c r="BO304" s="1120">
        <f t="shared" si="340"/>
        <v>1</v>
      </c>
      <c r="BP304" s="1120">
        <f t="shared" si="341"/>
        <v>0</v>
      </c>
      <c r="BQ304" s="1120">
        <f t="shared" si="342"/>
        <v>0</v>
      </c>
      <c r="BR304" s="1120">
        <f t="shared" si="343"/>
        <v>0</v>
      </c>
      <c r="BS304" s="1120">
        <f t="shared" si="344"/>
        <v>0</v>
      </c>
      <c r="BT304" s="1120">
        <f t="shared" si="345"/>
        <v>1</v>
      </c>
      <c r="BU304" s="1120">
        <f t="shared" si="346"/>
        <v>1</v>
      </c>
      <c r="BV304" s="1120">
        <f t="shared" si="347"/>
        <v>1</v>
      </c>
      <c r="BW304" s="1120">
        <f t="shared" si="348"/>
        <v>0</v>
      </c>
      <c r="BX304" s="1120">
        <f t="shared" si="349"/>
        <v>0</v>
      </c>
      <c r="BY304" s="1120">
        <f t="shared" si="350"/>
        <v>0</v>
      </c>
      <c r="BZ304" s="1120">
        <f t="shared" si="351"/>
        <v>1</v>
      </c>
      <c r="CA304" s="1120">
        <f t="shared" si="352"/>
        <v>1</v>
      </c>
      <c r="CB304" s="1120">
        <f t="shared" si="353"/>
        <v>1</v>
      </c>
      <c r="CC304" s="1120">
        <f t="shared" si="354"/>
        <v>1</v>
      </c>
      <c r="CD304" s="1120">
        <f t="shared" si="355"/>
        <v>1</v>
      </c>
      <c r="CE304" s="1120">
        <f t="shared" si="356"/>
        <v>1</v>
      </c>
      <c r="CF304" s="1120">
        <f t="shared" si="357"/>
        <v>1</v>
      </c>
      <c r="CG304" s="1120">
        <f t="shared" si="358"/>
        <v>0</v>
      </c>
      <c r="CH304" s="1120">
        <f t="shared" si="359"/>
        <v>0</v>
      </c>
      <c r="CI304" s="1120">
        <f t="shared" si="360"/>
        <v>0.85</v>
      </c>
      <c r="CJ304" s="1120">
        <f t="shared" si="361"/>
        <v>0.85</v>
      </c>
      <c r="CK304" s="1120">
        <f t="shared" si="362"/>
        <v>0.85</v>
      </c>
      <c r="CL304" s="1120">
        <f t="shared" si="363"/>
        <v>0.85</v>
      </c>
      <c r="CM304" s="1120">
        <f t="shared" si="364"/>
        <v>0.85</v>
      </c>
      <c r="CN304" s="1120">
        <f t="shared" si="365"/>
        <v>0.7</v>
      </c>
      <c r="CO304" s="1120">
        <f t="shared" si="366"/>
        <v>0.7</v>
      </c>
      <c r="CP304" s="1120">
        <f t="shared" si="367"/>
        <v>0.7</v>
      </c>
      <c r="CQ304" s="1120">
        <f t="shared" si="368"/>
        <v>0.7</v>
      </c>
      <c r="CR304" s="1120">
        <f t="shared" si="369"/>
        <v>0.85</v>
      </c>
      <c r="CS304" s="1120">
        <f t="shared" si="370"/>
        <v>0.85</v>
      </c>
      <c r="CT304" s="1120">
        <f t="shared" si="371"/>
        <v>0.85</v>
      </c>
      <c r="CU304" s="1120">
        <v>1</v>
      </c>
      <c r="CV304" s="1120"/>
      <c r="CW304" s="1120">
        <f t="shared" si="372"/>
        <v>214</v>
      </c>
      <c r="CX304" s="1120">
        <f t="shared" si="373"/>
        <v>151</v>
      </c>
      <c r="CY304" s="1135" t="s">
        <v>4881</v>
      </c>
      <c r="CZ304" s="1124" t="s">
        <v>4885</v>
      </c>
      <c r="DA304" s="1124"/>
      <c r="DB304" s="1124"/>
      <c r="DC304" s="1120" t="s">
        <v>5712</v>
      </c>
      <c r="DD304" s="1120" t="s">
        <v>1176</v>
      </c>
      <c r="DE304" s="1120" t="str">
        <f t="shared" si="375"/>
        <v/>
      </c>
      <c r="DF304" s="1120">
        <v>0</v>
      </c>
      <c r="DG304" s="1120">
        <v>0</v>
      </c>
    </row>
    <row r="305" spans="1:111">
      <c r="A305" s="1125" t="s">
        <v>3402</v>
      </c>
      <c r="B305" s="1120" t="s">
        <v>4304</v>
      </c>
      <c r="C305" s="1120" t="s">
        <v>4305</v>
      </c>
      <c r="D305" s="1120" t="s">
        <v>512</v>
      </c>
      <c r="E305" s="1120">
        <v>144</v>
      </c>
      <c r="F305" s="1120">
        <v>-79.73</v>
      </c>
      <c r="G305" s="1120">
        <v>34.18</v>
      </c>
      <c r="H305" s="1120">
        <v>-5</v>
      </c>
      <c r="I305" s="1121">
        <v>26.960000085830689</v>
      </c>
      <c r="J305" s="1121">
        <v>93.379997253417969</v>
      </c>
      <c r="K305" s="1122">
        <v>76.280000686645508</v>
      </c>
      <c r="L305" s="1120">
        <v>2259</v>
      </c>
      <c r="M305" s="1120">
        <v>2179.8000000000002</v>
      </c>
      <c r="N305" s="1123">
        <v>51.440000343322751</v>
      </c>
      <c r="O305" s="1123">
        <v>48.019999313354489</v>
      </c>
      <c r="P305" s="1123">
        <v>56.659999656677243</v>
      </c>
      <c r="Q305" s="1123">
        <v>60.980000686645511</v>
      </c>
      <c r="R305" s="1123">
        <v>73.580000686645505</v>
      </c>
      <c r="S305" s="1123">
        <v>76.280000686645508</v>
      </c>
      <c r="T305" s="1123">
        <v>80.960001373291021</v>
      </c>
      <c r="U305" s="1123">
        <v>79.880000686645502</v>
      </c>
      <c r="V305" s="1123">
        <v>76.460001373291021</v>
      </c>
      <c r="W305" s="1123">
        <v>63.319999313354494</v>
      </c>
      <c r="X305" s="1123">
        <v>58.459999656677248</v>
      </c>
      <c r="Y305" s="1123">
        <v>43.159999656677243</v>
      </c>
      <c r="Z305" s="1123">
        <v>64.188931797497901</v>
      </c>
      <c r="AA305" s="1123">
        <f t="shared" si="300"/>
        <v>59.180740098161856</v>
      </c>
      <c r="AB305" s="1123">
        <f t="shared" si="301"/>
        <v>59.199623434830585</v>
      </c>
      <c r="AC305" s="1123">
        <f t="shared" si="302"/>
        <v>62.083039346596607</v>
      </c>
      <c r="AD305" s="1123">
        <f t="shared" si="303"/>
        <v>67.079381041273891</v>
      </c>
      <c r="AE305" s="1123">
        <f t="shared" si="304"/>
        <v>72.886275060188623</v>
      </c>
      <c r="AF305" s="1123">
        <f t="shared" si="305"/>
        <v>77.990064990365113</v>
      </c>
      <c r="AG305" s="1123">
        <f t="shared" si="306"/>
        <v>81.060369334719255</v>
      </c>
      <c r="AH305" s="1123">
        <f t="shared" si="307"/>
        <v>81.296865951073002</v>
      </c>
      <c r="AI305" s="1123">
        <f t="shared" si="308"/>
        <v>78.637908351850555</v>
      </c>
      <c r="AJ305" s="1123">
        <f t="shared" si="309"/>
        <v>73.77659481106619</v>
      </c>
      <c r="AK305" s="1123">
        <f t="shared" si="310"/>
        <v>67.98010161823467</v>
      </c>
      <c r="AL305" s="1123">
        <f t="shared" si="311"/>
        <v>62.759374050731537</v>
      </c>
      <c r="AM305" s="1120">
        <f t="shared" si="312"/>
        <v>1</v>
      </c>
      <c r="AN305" s="1120">
        <f t="shared" si="313"/>
        <v>1</v>
      </c>
      <c r="AO305" s="1120">
        <f t="shared" si="314"/>
        <v>1</v>
      </c>
      <c r="AP305" s="1120">
        <f t="shared" si="315"/>
        <v>1</v>
      </c>
      <c r="AQ305" s="1120">
        <f t="shared" si="316"/>
        <v>0</v>
      </c>
      <c r="AR305" s="1120">
        <f t="shared" si="317"/>
        <v>0</v>
      </c>
      <c r="AS305" s="1120">
        <f t="shared" si="318"/>
        <v>0</v>
      </c>
      <c r="AT305" s="1120">
        <f t="shared" si="319"/>
        <v>0</v>
      </c>
      <c r="AU305" s="1120">
        <f t="shared" si="320"/>
        <v>0</v>
      </c>
      <c r="AV305" s="1120">
        <f t="shared" si="321"/>
        <v>1</v>
      </c>
      <c r="AW305" s="1120">
        <f t="shared" si="322"/>
        <v>1</v>
      </c>
      <c r="AX305" s="1120">
        <f t="shared" si="323"/>
        <v>1</v>
      </c>
      <c r="AY305" s="1120">
        <f t="shared" si="324"/>
        <v>0</v>
      </c>
      <c r="AZ305" s="1120">
        <f t="shared" si="325"/>
        <v>0</v>
      </c>
      <c r="BA305" s="1120">
        <f t="shared" si="326"/>
        <v>0</v>
      </c>
      <c r="BB305" s="1120">
        <f t="shared" si="327"/>
        <v>0</v>
      </c>
      <c r="BC305" s="1120">
        <f t="shared" si="328"/>
        <v>1</v>
      </c>
      <c r="BD305" s="1120">
        <f t="shared" si="329"/>
        <v>1</v>
      </c>
      <c r="BE305" s="1120">
        <f t="shared" si="330"/>
        <v>1</v>
      </c>
      <c r="BF305" s="1120">
        <f t="shared" si="331"/>
        <v>1</v>
      </c>
      <c r="BG305" s="1120">
        <f t="shared" si="332"/>
        <v>1</v>
      </c>
      <c r="BH305" s="1120">
        <f t="shared" si="333"/>
        <v>0</v>
      </c>
      <c r="BI305" s="1120">
        <f t="shared" si="334"/>
        <v>0</v>
      </c>
      <c r="BJ305" s="1120">
        <f t="shared" si="335"/>
        <v>0</v>
      </c>
      <c r="BK305" s="1120">
        <f t="shared" si="336"/>
        <v>1</v>
      </c>
      <c r="BL305" s="1120">
        <f t="shared" si="337"/>
        <v>1</v>
      </c>
      <c r="BM305" s="1120">
        <f t="shared" si="338"/>
        <v>1</v>
      </c>
      <c r="BN305" s="1120">
        <f t="shared" si="339"/>
        <v>1</v>
      </c>
      <c r="BO305" s="1120">
        <f t="shared" si="340"/>
        <v>1</v>
      </c>
      <c r="BP305" s="1120">
        <f t="shared" si="341"/>
        <v>0</v>
      </c>
      <c r="BQ305" s="1120">
        <f t="shared" si="342"/>
        <v>0</v>
      </c>
      <c r="BR305" s="1120">
        <f t="shared" si="343"/>
        <v>0</v>
      </c>
      <c r="BS305" s="1120">
        <f t="shared" si="344"/>
        <v>0</v>
      </c>
      <c r="BT305" s="1120">
        <f t="shared" si="345"/>
        <v>1</v>
      </c>
      <c r="BU305" s="1120">
        <f t="shared" si="346"/>
        <v>1</v>
      </c>
      <c r="BV305" s="1120">
        <f t="shared" si="347"/>
        <v>1</v>
      </c>
      <c r="BW305" s="1120">
        <f t="shared" si="348"/>
        <v>0</v>
      </c>
      <c r="BX305" s="1120">
        <f t="shared" si="349"/>
        <v>0</v>
      </c>
      <c r="BY305" s="1120">
        <f t="shared" si="350"/>
        <v>0</v>
      </c>
      <c r="BZ305" s="1120">
        <f t="shared" si="351"/>
        <v>1</v>
      </c>
      <c r="CA305" s="1120">
        <f t="shared" si="352"/>
        <v>1</v>
      </c>
      <c r="CB305" s="1120">
        <f t="shared" si="353"/>
        <v>1</v>
      </c>
      <c r="CC305" s="1120">
        <f t="shared" si="354"/>
        <v>1</v>
      </c>
      <c r="CD305" s="1120">
        <f t="shared" si="355"/>
        <v>1</v>
      </c>
      <c r="CE305" s="1120">
        <f t="shared" si="356"/>
        <v>1</v>
      </c>
      <c r="CF305" s="1120">
        <f t="shared" si="357"/>
        <v>1</v>
      </c>
      <c r="CG305" s="1120">
        <f t="shared" si="358"/>
        <v>0</v>
      </c>
      <c r="CH305" s="1120">
        <f t="shared" si="359"/>
        <v>0</v>
      </c>
      <c r="CI305" s="1120">
        <f t="shared" si="360"/>
        <v>0.85</v>
      </c>
      <c r="CJ305" s="1120">
        <f t="shared" si="361"/>
        <v>0.85</v>
      </c>
      <c r="CK305" s="1120">
        <f t="shared" si="362"/>
        <v>0.85</v>
      </c>
      <c r="CL305" s="1120">
        <f t="shared" si="363"/>
        <v>0.85</v>
      </c>
      <c r="CM305" s="1120">
        <f t="shared" si="364"/>
        <v>0.85</v>
      </c>
      <c r="CN305" s="1120">
        <f t="shared" si="365"/>
        <v>0.7</v>
      </c>
      <c r="CO305" s="1120">
        <f t="shared" si="366"/>
        <v>0.7</v>
      </c>
      <c r="CP305" s="1120">
        <f t="shared" si="367"/>
        <v>0.7</v>
      </c>
      <c r="CQ305" s="1120">
        <f t="shared" si="368"/>
        <v>0.7</v>
      </c>
      <c r="CR305" s="1120">
        <f t="shared" si="369"/>
        <v>0.85</v>
      </c>
      <c r="CS305" s="1120">
        <f t="shared" si="370"/>
        <v>0.85</v>
      </c>
      <c r="CT305" s="1120">
        <f t="shared" si="371"/>
        <v>0.85</v>
      </c>
      <c r="CU305" s="1120">
        <v>1</v>
      </c>
      <c r="CV305" s="1120"/>
      <c r="CW305" s="1120">
        <f t="shared" si="372"/>
        <v>214</v>
      </c>
      <c r="CX305" s="1120">
        <f t="shared" si="373"/>
        <v>151</v>
      </c>
      <c r="CY305" s="1135" t="s">
        <v>4881</v>
      </c>
      <c r="CZ305" s="1124" t="s">
        <v>4882</v>
      </c>
      <c r="DA305" s="1124"/>
      <c r="DB305" s="1124"/>
      <c r="DC305" s="1120" t="s">
        <v>5552</v>
      </c>
      <c r="DD305" s="1120" t="s">
        <v>512</v>
      </c>
      <c r="DE305" s="1120" t="str">
        <f t="shared" si="375"/>
        <v/>
      </c>
      <c r="DF305" s="1133">
        <v>1</v>
      </c>
      <c r="DG305" s="1125">
        <v>0</v>
      </c>
    </row>
    <row r="306" spans="1:111">
      <c r="A306" s="1120" t="s">
        <v>3404</v>
      </c>
      <c r="B306" s="1120" t="s">
        <v>3785</v>
      </c>
      <c r="C306" s="1120" t="s">
        <v>3786</v>
      </c>
      <c r="D306" s="1120" t="s">
        <v>934</v>
      </c>
      <c r="E306" s="1120">
        <v>928</v>
      </c>
      <c r="F306" s="1120">
        <v>-93.45</v>
      </c>
      <c r="G306" s="1120">
        <v>44.82</v>
      </c>
      <c r="H306" s="1120">
        <v>-6</v>
      </c>
      <c r="I306" s="1121">
        <v>-4.0000000000000009</v>
      </c>
      <c r="J306" s="1121">
        <v>88.33999862670899</v>
      </c>
      <c r="K306" s="1122">
        <v>73.580000686645505</v>
      </c>
      <c r="L306" s="1120">
        <v>7693.2</v>
      </c>
      <c r="M306" s="1120">
        <v>1020.6</v>
      </c>
      <c r="N306" s="1123">
        <v>23.9</v>
      </c>
      <c r="O306" s="1123">
        <v>11.659999656677245</v>
      </c>
      <c r="P306" s="1123">
        <v>30.740000021457671</v>
      </c>
      <c r="Q306" s="1123">
        <v>48.740000343322755</v>
      </c>
      <c r="R306" s="1123">
        <v>55.580000686645505</v>
      </c>
      <c r="S306" s="1123">
        <v>67.819999313354487</v>
      </c>
      <c r="T306" s="1123">
        <v>77.180000686645513</v>
      </c>
      <c r="U306" s="1123">
        <v>74.480000686645511</v>
      </c>
      <c r="V306" s="1123">
        <v>64.760001373291018</v>
      </c>
      <c r="W306" s="1123">
        <v>42.8</v>
      </c>
      <c r="X306" s="1123">
        <v>38.120000171661374</v>
      </c>
      <c r="Y306" s="1123">
        <v>15.440000343322753</v>
      </c>
      <c r="Z306" s="1123">
        <v>46.118904387950899</v>
      </c>
      <c r="AA306" s="1123">
        <f t="shared" si="300"/>
        <v>40.471417901689307</v>
      </c>
      <c r="AB306" s="1123">
        <f t="shared" si="301"/>
        <v>38.337707191185658</v>
      </c>
      <c r="AC306" s="1123">
        <f t="shared" si="302"/>
        <v>39.796277904696197</v>
      </c>
      <c r="AD306" s="1123">
        <f t="shared" si="303"/>
        <v>44.466931108489327</v>
      </c>
      <c r="AE306" s="1123">
        <f t="shared" si="304"/>
        <v>51.132189068051773</v>
      </c>
      <c r="AF306" s="1123">
        <f t="shared" si="305"/>
        <v>58.054649581489286</v>
      </c>
      <c r="AG306" s="1123">
        <f t="shared" si="306"/>
        <v>63.429866637628727</v>
      </c>
      <c r="AH306" s="1123">
        <f t="shared" si="307"/>
        <v>65.856707076185145</v>
      </c>
      <c r="AI306" s="1123">
        <f t="shared" si="308"/>
        <v>64.702577538105601</v>
      </c>
      <c r="AJ306" s="1123">
        <f t="shared" si="309"/>
        <v>60.268319673165067</v>
      </c>
      <c r="AK306" s="1123">
        <f t="shared" si="310"/>
        <v>53.70979112784245</v>
      </c>
      <c r="AL306" s="1123">
        <f t="shared" si="311"/>
        <v>46.736573437460329</v>
      </c>
      <c r="AM306" s="1120">
        <f t="shared" si="312"/>
        <v>1</v>
      </c>
      <c r="AN306" s="1120">
        <f t="shared" si="313"/>
        <v>1</v>
      </c>
      <c r="AO306" s="1120">
        <f t="shared" si="314"/>
        <v>1</v>
      </c>
      <c r="AP306" s="1120">
        <f t="shared" si="315"/>
        <v>1</v>
      </c>
      <c r="AQ306" s="1120">
        <f t="shared" si="316"/>
        <v>1</v>
      </c>
      <c r="AR306" s="1120">
        <f t="shared" si="317"/>
        <v>0</v>
      </c>
      <c r="AS306" s="1120">
        <f t="shared" si="318"/>
        <v>0</v>
      </c>
      <c r="AT306" s="1120">
        <f t="shared" si="319"/>
        <v>0</v>
      </c>
      <c r="AU306" s="1120">
        <f t="shared" si="320"/>
        <v>1</v>
      </c>
      <c r="AV306" s="1120">
        <f t="shared" si="321"/>
        <v>1</v>
      </c>
      <c r="AW306" s="1120">
        <f t="shared" si="322"/>
        <v>1</v>
      </c>
      <c r="AX306" s="1120">
        <f t="shared" si="323"/>
        <v>1</v>
      </c>
      <c r="AY306" s="1120">
        <f t="shared" si="324"/>
        <v>0</v>
      </c>
      <c r="AZ306" s="1120">
        <f t="shared" si="325"/>
        <v>0</v>
      </c>
      <c r="BA306" s="1120">
        <f t="shared" si="326"/>
        <v>0</v>
      </c>
      <c r="BB306" s="1120">
        <f t="shared" si="327"/>
        <v>0</v>
      </c>
      <c r="BC306" s="1120">
        <f t="shared" si="328"/>
        <v>0</v>
      </c>
      <c r="BD306" s="1120">
        <f t="shared" si="329"/>
        <v>1</v>
      </c>
      <c r="BE306" s="1120">
        <f t="shared" si="330"/>
        <v>1</v>
      </c>
      <c r="BF306" s="1120">
        <f t="shared" si="331"/>
        <v>1</v>
      </c>
      <c r="BG306" s="1120">
        <f t="shared" si="332"/>
        <v>0</v>
      </c>
      <c r="BH306" s="1120">
        <f t="shared" si="333"/>
        <v>0</v>
      </c>
      <c r="BI306" s="1120">
        <f t="shared" si="334"/>
        <v>0</v>
      </c>
      <c r="BJ306" s="1120">
        <f t="shared" si="335"/>
        <v>0</v>
      </c>
      <c r="BK306" s="1120">
        <f t="shared" si="336"/>
        <v>1</v>
      </c>
      <c r="BL306" s="1120">
        <f t="shared" si="337"/>
        <v>1</v>
      </c>
      <c r="BM306" s="1120">
        <f t="shared" si="338"/>
        <v>1</v>
      </c>
      <c r="BN306" s="1120">
        <f t="shared" si="339"/>
        <v>1</v>
      </c>
      <c r="BO306" s="1120">
        <f t="shared" si="340"/>
        <v>1</v>
      </c>
      <c r="BP306" s="1120">
        <f t="shared" si="341"/>
        <v>1</v>
      </c>
      <c r="BQ306" s="1120">
        <f t="shared" si="342"/>
        <v>0</v>
      </c>
      <c r="BR306" s="1120">
        <f t="shared" si="343"/>
        <v>0</v>
      </c>
      <c r="BS306" s="1120">
        <f t="shared" si="344"/>
        <v>1</v>
      </c>
      <c r="BT306" s="1120">
        <f t="shared" si="345"/>
        <v>1</v>
      </c>
      <c r="BU306" s="1120">
        <f t="shared" si="346"/>
        <v>1</v>
      </c>
      <c r="BV306" s="1120">
        <f t="shared" si="347"/>
        <v>1</v>
      </c>
      <c r="BW306" s="1120">
        <f t="shared" si="348"/>
        <v>0</v>
      </c>
      <c r="BX306" s="1120">
        <f t="shared" si="349"/>
        <v>0</v>
      </c>
      <c r="BY306" s="1120">
        <f t="shared" si="350"/>
        <v>0</v>
      </c>
      <c r="BZ306" s="1120">
        <f t="shared" si="351"/>
        <v>0</v>
      </c>
      <c r="CA306" s="1120">
        <f t="shared" si="352"/>
        <v>1</v>
      </c>
      <c r="CB306" s="1120">
        <f t="shared" si="353"/>
        <v>1</v>
      </c>
      <c r="CC306" s="1120">
        <f t="shared" si="354"/>
        <v>1</v>
      </c>
      <c r="CD306" s="1120">
        <f t="shared" si="355"/>
        <v>1</v>
      </c>
      <c r="CE306" s="1120">
        <f t="shared" si="356"/>
        <v>1</v>
      </c>
      <c r="CF306" s="1120">
        <f t="shared" si="357"/>
        <v>0</v>
      </c>
      <c r="CG306" s="1120">
        <f t="shared" si="358"/>
        <v>0</v>
      </c>
      <c r="CH306" s="1120">
        <f t="shared" si="359"/>
        <v>0</v>
      </c>
      <c r="CI306" s="1120">
        <f t="shared" si="360"/>
        <v>0.85</v>
      </c>
      <c r="CJ306" s="1120">
        <f t="shared" si="361"/>
        <v>0.85</v>
      </c>
      <c r="CK306" s="1120">
        <f t="shared" si="362"/>
        <v>0.85</v>
      </c>
      <c r="CL306" s="1120">
        <f t="shared" si="363"/>
        <v>0.85</v>
      </c>
      <c r="CM306" s="1120">
        <f t="shared" si="364"/>
        <v>0.85</v>
      </c>
      <c r="CN306" s="1120">
        <f t="shared" si="365"/>
        <v>0.85</v>
      </c>
      <c r="CO306" s="1120">
        <f t="shared" si="366"/>
        <v>0.7</v>
      </c>
      <c r="CP306" s="1120">
        <f t="shared" si="367"/>
        <v>0.7</v>
      </c>
      <c r="CQ306" s="1120">
        <f t="shared" si="368"/>
        <v>0.85</v>
      </c>
      <c r="CR306" s="1120">
        <f t="shared" si="369"/>
        <v>0.85</v>
      </c>
      <c r="CS306" s="1120">
        <f t="shared" si="370"/>
        <v>0.85</v>
      </c>
      <c r="CT306" s="1120">
        <f t="shared" si="371"/>
        <v>0.85</v>
      </c>
      <c r="CU306" s="1120">
        <v>1</v>
      </c>
      <c r="CV306" s="1120"/>
      <c r="CW306" s="1120">
        <f t="shared" si="372"/>
        <v>153</v>
      </c>
      <c r="CX306" s="1120">
        <f t="shared" si="373"/>
        <v>212</v>
      </c>
      <c r="CY306" s="1135" t="s">
        <v>4889</v>
      </c>
      <c r="CZ306" s="1124" t="s">
        <v>4899</v>
      </c>
      <c r="DA306" s="1124"/>
      <c r="DB306" s="1124"/>
      <c r="DC306" s="1120" t="s">
        <v>5330</v>
      </c>
      <c r="DD306" s="1120" t="s">
        <v>934</v>
      </c>
      <c r="DE306" s="1120" t="str">
        <f t="shared" si="375"/>
        <v/>
      </c>
      <c r="DF306" s="1133">
        <v>0</v>
      </c>
      <c r="DG306" s="1120">
        <v>0</v>
      </c>
    </row>
    <row r="307" spans="1:111">
      <c r="A307" s="1125" t="s">
        <v>3406</v>
      </c>
      <c r="B307" s="1120" t="s">
        <v>3364</v>
      </c>
      <c r="C307" s="1120" t="s">
        <v>3365</v>
      </c>
      <c r="D307" s="1120" t="s">
        <v>428</v>
      </c>
      <c r="E307" s="1120">
        <v>289</v>
      </c>
      <c r="F307" s="1120">
        <v>-85</v>
      </c>
      <c r="G307" s="1120">
        <v>32.35</v>
      </c>
      <c r="H307" s="1120">
        <v>-6</v>
      </c>
      <c r="I307" s="1121">
        <v>26.6</v>
      </c>
      <c r="J307" s="1121">
        <v>94.279997253417974</v>
      </c>
      <c r="K307" s="1122">
        <v>75.739998626708982</v>
      </c>
      <c r="L307" s="1120">
        <v>3054.6</v>
      </c>
      <c r="M307" s="1120">
        <v>1810.8</v>
      </c>
      <c r="N307" s="1123">
        <v>42.440000343322751</v>
      </c>
      <c r="O307" s="1123">
        <v>48.740000343322755</v>
      </c>
      <c r="P307" s="1123">
        <v>51.619999313354491</v>
      </c>
      <c r="Q307" s="1123">
        <v>60.259999656677245</v>
      </c>
      <c r="R307" s="1123">
        <v>75.019999313354489</v>
      </c>
      <c r="S307" s="1123">
        <v>75.560001373291016</v>
      </c>
      <c r="T307" s="1123">
        <v>77.539998626708979</v>
      </c>
      <c r="U307" s="1123">
        <v>76.639998626708987</v>
      </c>
      <c r="V307" s="1123">
        <v>72.139998626708987</v>
      </c>
      <c r="W307" s="1123">
        <v>60.619999313354491</v>
      </c>
      <c r="X307" s="1123">
        <v>50.180000686645506</v>
      </c>
      <c r="Y307" s="1123">
        <v>40.279999828338624</v>
      </c>
      <c r="Z307" s="1123">
        <v>60.980492811594928</v>
      </c>
      <c r="AA307" s="1123">
        <f t="shared" si="300"/>
        <v>56.871341990214681</v>
      </c>
      <c r="AB307" s="1123">
        <f t="shared" si="301"/>
        <v>56.589843780420381</v>
      </c>
      <c r="AC307" s="1123">
        <f t="shared" si="302"/>
        <v>59.016828365350236</v>
      </c>
      <c r="AD307" s="1123">
        <f t="shared" si="303"/>
        <v>63.519664811977698</v>
      </c>
      <c r="AE307" s="1123">
        <f t="shared" si="304"/>
        <v>68.924619409679252</v>
      </c>
      <c r="AF307" s="1123">
        <f t="shared" si="305"/>
        <v>73.822807449692363</v>
      </c>
      <c r="AG307" s="1123">
        <f t="shared" si="306"/>
        <v>76.937440736025067</v>
      </c>
      <c r="AH307" s="1123">
        <f t="shared" si="307"/>
        <v>77.45664210464291</v>
      </c>
      <c r="AI307" s="1123">
        <f t="shared" si="308"/>
        <v>75.24507371768037</v>
      </c>
      <c r="AJ307" s="1123">
        <f t="shared" si="309"/>
        <v>70.879214956499723</v>
      </c>
      <c r="AK307" s="1123">
        <f t="shared" si="310"/>
        <v>65.497094187122755</v>
      </c>
      <c r="AL307" s="1123">
        <f t="shared" si="311"/>
        <v>60.501644129079196</v>
      </c>
      <c r="AM307" s="1120">
        <f t="shared" si="312"/>
        <v>1</v>
      </c>
      <c r="AN307" s="1120">
        <f t="shared" si="313"/>
        <v>1</v>
      </c>
      <c r="AO307" s="1120">
        <f t="shared" si="314"/>
        <v>1</v>
      </c>
      <c r="AP307" s="1120">
        <f t="shared" si="315"/>
        <v>1</v>
      </c>
      <c r="AQ307" s="1120">
        <f t="shared" si="316"/>
        <v>0</v>
      </c>
      <c r="AR307" s="1120">
        <f t="shared" si="317"/>
        <v>0</v>
      </c>
      <c r="AS307" s="1120">
        <f t="shared" si="318"/>
        <v>0</v>
      </c>
      <c r="AT307" s="1120">
        <f t="shared" si="319"/>
        <v>0</v>
      </c>
      <c r="AU307" s="1120">
        <f t="shared" si="320"/>
        <v>0</v>
      </c>
      <c r="AV307" s="1120">
        <f t="shared" si="321"/>
        <v>1</v>
      </c>
      <c r="AW307" s="1120">
        <f t="shared" si="322"/>
        <v>1</v>
      </c>
      <c r="AX307" s="1120">
        <f t="shared" si="323"/>
        <v>1</v>
      </c>
      <c r="AY307" s="1120">
        <f t="shared" si="324"/>
        <v>0</v>
      </c>
      <c r="AZ307" s="1120">
        <f t="shared" si="325"/>
        <v>0</v>
      </c>
      <c r="BA307" s="1120">
        <f t="shared" si="326"/>
        <v>0</v>
      </c>
      <c r="BB307" s="1120">
        <f t="shared" si="327"/>
        <v>0</v>
      </c>
      <c r="BC307" s="1120">
        <f t="shared" si="328"/>
        <v>1</v>
      </c>
      <c r="BD307" s="1120">
        <f t="shared" si="329"/>
        <v>1</v>
      </c>
      <c r="BE307" s="1120">
        <f t="shared" si="330"/>
        <v>1</v>
      </c>
      <c r="BF307" s="1120">
        <f t="shared" si="331"/>
        <v>1</v>
      </c>
      <c r="BG307" s="1120">
        <f t="shared" si="332"/>
        <v>1</v>
      </c>
      <c r="BH307" s="1120">
        <f t="shared" si="333"/>
        <v>0</v>
      </c>
      <c r="BI307" s="1120">
        <f t="shared" si="334"/>
        <v>0</v>
      </c>
      <c r="BJ307" s="1120">
        <f t="shared" si="335"/>
        <v>0</v>
      </c>
      <c r="BK307" s="1120">
        <f t="shared" si="336"/>
        <v>1</v>
      </c>
      <c r="BL307" s="1120">
        <f t="shared" si="337"/>
        <v>1</v>
      </c>
      <c r="BM307" s="1120">
        <f t="shared" si="338"/>
        <v>1</v>
      </c>
      <c r="BN307" s="1120">
        <f t="shared" si="339"/>
        <v>1</v>
      </c>
      <c r="BO307" s="1120">
        <f t="shared" si="340"/>
        <v>1</v>
      </c>
      <c r="BP307" s="1120">
        <f t="shared" si="341"/>
        <v>0</v>
      </c>
      <c r="BQ307" s="1120">
        <f t="shared" si="342"/>
        <v>0</v>
      </c>
      <c r="BR307" s="1120">
        <f t="shared" si="343"/>
        <v>0</v>
      </c>
      <c r="BS307" s="1120">
        <f t="shared" si="344"/>
        <v>0</v>
      </c>
      <c r="BT307" s="1120">
        <f t="shared" si="345"/>
        <v>1</v>
      </c>
      <c r="BU307" s="1120">
        <f t="shared" si="346"/>
        <v>1</v>
      </c>
      <c r="BV307" s="1120">
        <f t="shared" si="347"/>
        <v>1</v>
      </c>
      <c r="BW307" s="1120">
        <f t="shared" si="348"/>
        <v>0</v>
      </c>
      <c r="BX307" s="1120">
        <f t="shared" si="349"/>
        <v>0</v>
      </c>
      <c r="BY307" s="1120">
        <f t="shared" si="350"/>
        <v>0</v>
      </c>
      <c r="BZ307" s="1120">
        <f t="shared" si="351"/>
        <v>1</v>
      </c>
      <c r="CA307" s="1120">
        <f t="shared" si="352"/>
        <v>1</v>
      </c>
      <c r="CB307" s="1120">
        <f t="shared" si="353"/>
        <v>1</v>
      </c>
      <c r="CC307" s="1120">
        <f t="shared" si="354"/>
        <v>1</v>
      </c>
      <c r="CD307" s="1120">
        <f t="shared" si="355"/>
        <v>1</v>
      </c>
      <c r="CE307" s="1120">
        <f t="shared" si="356"/>
        <v>1</v>
      </c>
      <c r="CF307" s="1120">
        <f t="shared" si="357"/>
        <v>1</v>
      </c>
      <c r="CG307" s="1120">
        <f t="shared" si="358"/>
        <v>0</v>
      </c>
      <c r="CH307" s="1120">
        <f t="shared" si="359"/>
        <v>0</v>
      </c>
      <c r="CI307" s="1120">
        <f t="shared" si="360"/>
        <v>0.85</v>
      </c>
      <c r="CJ307" s="1120">
        <f t="shared" si="361"/>
        <v>0.85</v>
      </c>
      <c r="CK307" s="1120">
        <f t="shared" si="362"/>
        <v>0.85</v>
      </c>
      <c r="CL307" s="1120">
        <f t="shared" si="363"/>
        <v>0.85</v>
      </c>
      <c r="CM307" s="1120">
        <f t="shared" si="364"/>
        <v>0.85</v>
      </c>
      <c r="CN307" s="1120">
        <f t="shared" si="365"/>
        <v>0.7</v>
      </c>
      <c r="CO307" s="1120">
        <f t="shared" si="366"/>
        <v>0.7</v>
      </c>
      <c r="CP307" s="1120">
        <f t="shared" si="367"/>
        <v>0.7</v>
      </c>
      <c r="CQ307" s="1120">
        <f t="shared" si="368"/>
        <v>0.7</v>
      </c>
      <c r="CR307" s="1120">
        <f t="shared" si="369"/>
        <v>0.85</v>
      </c>
      <c r="CS307" s="1120">
        <f t="shared" si="370"/>
        <v>0.85</v>
      </c>
      <c r="CT307" s="1120">
        <f t="shared" si="371"/>
        <v>0.85</v>
      </c>
      <c r="CU307" s="1120">
        <v>1</v>
      </c>
      <c r="CV307" s="1120"/>
      <c r="CW307" s="1120">
        <f t="shared" si="372"/>
        <v>214</v>
      </c>
      <c r="CX307" s="1120">
        <f t="shared" si="373"/>
        <v>151</v>
      </c>
      <c r="CY307" s="1136" t="s">
        <v>4883</v>
      </c>
      <c r="CZ307" s="1129" t="s">
        <v>4882</v>
      </c>
      <c r="DA307" s="1129"/>
      <c r="DB307" s="1129"/>
      <c r="DC307" s="1125" t="s">
        <v>5139</v>
      </c>
      <c r="DD307" s="1125" t="s">
        <v>428</v>
      </c>
      <c r="DE307" s="1120" t="b">
        <f t="shared" si="375"/>
        <v>0</v>
      </c>
      <c r="DF307" s="1133">
        <v>0</v>
      </c>
      <c r="DG307" s="1125">
        <v>0</v>
      </c>
    </row>
    <row r="308" spans="1:111">
      <c r="A308" s="1120" t="s">
        <v>3408</v>
      </c>
      <c r="B308" s="1125" t="s">
        <v>3942</v>
      </c>
      <c r="C308" s="1125" t="s">
        <v>3943</v>
      </c>
      <c r="D308" s="1125" t="s">
        <v>426</v>
      </c>
      <c r="E308" s="1125">
        <v>305</v>
      </c>
      <c r="F308" s="1125">
        <v>-78.930000000000007</v>
      </c>
      <c r="G308" s="1125">
        <v>35.130000000000003</v>
      </c>
      <c r="H308" s="1125">
        <v>-5</v>
      </c>
      <c r="I308" s="1126">
        <v>26.060000085830687</v>
      </c>
      <c r="J308" s="1126">
        <v>93.920002746582028</v>
      </c>
      <c r="K308" s="1127">
        <v>75.739998626708982</v>
      </c>
      <c r="L308" s="1125">
        <v>3040.2000000000003</v>
      </c>
      <c r="M308" s="1125">
        <v>1873.8</v>
      </c>
      <c r="N308" s="1128">
        <v>45.5</v>
      </c>
      <c r="O308" s="1128">
        <v>45.859999656677246</v>
      </c>
      <c r="P308" s="1128">
        <v>48.740000343322755</v>
      </c>
      <c r="Q308" s="1128">
        <v>59.9</v>
      </c>
      <c r="R308" s="1128">
        <v>69.980000686645511</v>
      </c>
      <c r="S308" s="1128">
        <v>78.080000686645505</v>
      </c>
      <c r="T308" s="1128">
        <v>82.039998626708979</v>
      </c>
      <c r="U308" s="1128">
        <v>76.639998626708987</v>
      </c>
      <c r="V308" s="1128">
        <v>72.319999313354487</v>
      </c>
      <c r="W308" s="1128">
        <v>62.780000686645508</v>
      </c>
      <c r="X308" s="1128">
        <v>47.840000343322757</v>
      </c>
      <c r="Y308" s="1128">
        <v>43.879999828338626</v>
      </c>
      <c r="Z308" s="1128">
        <v>61.218191680646925</v>
      </c>
      <c r="AA308" s="1128">
        <f t="shared" si="300"/>
        <v>56.808128437694769</v>
      </c>
      <c r="AB308" s="1128">
        <f t="shared" si="301"/>
        <v>56.541399719218255</v>
      </c>
      <c r="AC308" s="1128">
        <f t="shared" si="302"/>
        <v>59.057741359832661</v>
      </c>
      <c r="AD308" s="1128">
        <f t="shared" si="303"/>
        <v>63.701230132913359</v>
      </c>
      <c r="AE308" s="1128">
        <f t="shared" si="304"/>
        <v>69.261469131428825</v>
      </c>
      <c r="AF308" s="1128">
        <f t="shared" si="305"/>
        <v>74.289096374539341</v>
      </c>
      <c r="AG308" s="1128">
        <f t="shared" si="306"/>
        <v>77.4735833432471</v>
      </c>
      <c r="AH308" s="1128">
        <f t="shared" si="307"/>
        <v>77.984844434728757</v>
      </c>
      <c r="AI308" s="1128">
        <f t="shared" si="308"/>
        <v>75.689611566717716</v>
      </c>
      <c r="AJ308" s="1128">
        <f t="shared" si="309"/>
        <v>71.186172556870204</v>
      </c>
      <c r="AK308" s="1128">
        <f t="shared" si="310"/>
        <v>65.648418183198856</v>
      </c>
      <c r="AL308" s="1128">
        <f t="shared" si="311"/>
        <v>60.519849462579188</v>
      </c>
      <c r="AM308" s="1125">
        <f t="shared" si="312"/>
        <v>1</v>
      </c>
      <c r="AN308" s="1125">
        <f t="shared" si="313"/>
        <v>1</v>
      </c>
      <c r="AO308" s="1125">
        <f t="shared" si="314"/>
        <v>1</v>
      </c>
      <c r="AP308" s="1125">
        <f t="shared" si="315"/>
        <v>1</v>
      </c>
      <c r="AQ308" s="1125">
        <f t="shared" si="316"/>
        <v>0</v>
      </c>
      <c r="AR308" s="1125">
        <f t="shared" si="317"/>
        <v>0</v>
      </c>
      <c r="AS308" s="1125">
        <f t="shared" si="318"/>
        <v>0</v>
      </c>
      <c r="AT308" s="1125">
        <f t="shared" si="319"/>
        <v>0</v>
      </c>
      <c r="AU308" s="1125">
        <f t="shared" si="320"/>
        <v>0</v>
      </c>
      <c r="AV308" s="1125">
        <f t="shared" si="321"/>
        <v>1</v>
      </c>
      <c r="AW308" s="1125">
        <f t="shared" si="322"/>
        <v>1</v>
      </c>
      <c r="AX308" s="1125">
        <f t="shared" si="323"/>
        <v>1</v>
      </c>
      <c r="AY308" s="1125">
        <f t="shared" si="324"/>
        <v>0</v>
      </c>
      <c r="AZ308" s="1125">
        <f t="shared" si="325"/>
        <v>0</v>
      </c>
      <c r="BA308" s="1125">
        <f t="shared" si="326"/>
        <v>0</v>
      </c>
      <c r="BB308" s="1125">
        <f t="shared" si="327"/>
        <v>0</v>
      </c>
      <c r="BC308" s="1125">
        <f t="shared" si="328"/>
        <v>1</v>
      </c>
      <c r="BD308" s="1125">
        <f t="shared" si="329"/>
        <v>1</v>
      </c>
      <c r="BE308" s="1125">
        <f t="shared" si="330"/>
        <v>1</v>
      </c>
      <c r="BF308" s="1125">
        <f t="shared" si="331"/>
        <v>1</v>
      </c>
      <c r="BG308" s="1125">
        <f t="shared" si="332"/>
        <v>1</v>
      </c>
      <c r="BH308" s="1125">
        <f t="shared" si="333"/>
        <v>0</v>
      </c>
      <c r="BI308" s="1125">
        <f t="shared" si="334"/>
        <v>0</v>
      </c>
      <c r="BJ308" s="1125">
        <f t="shared" si="335"/>
        <v>0</v>
      </c>
      <c r="BK308" s="1125">
        <f t="shared" si="336"/>
        <v>1</v>
      </c>
      <c r="BL308" s="1125">
        <f t="shared" si="337"/>
        <v>1</v>
      </c>
      <c r="BM308" s="1125">
        <f t="shared" si="338"/>
        <v>1</v>
      </c>
      <c r="BN308" s="1125">
        <f t="shared" si="339"/>
        <v>1</v>
      </c>
      <c r="BO308" s="1125">
        <f t="shared" si="340"/>
        <v>1</v>
      </c>
      <c r="BP308" s="1125">
        <f t="shared" si="341"/>
        <v>0</v>
      </c>
      <c r="BQ308" s="1125">
        <f t="shared" si="342"/>
        <v>0</v>
      </c>
      <c r="BR308" s="1125">
        <f t="shared" si="343"/>
        <v>0</v>
      </c>
      <c r="BS308" s="1125">
        <f t="shared" si="344"/>
        <v>0</v>
      </c>
      <c r="BT308" s="1125">
        <f t="shared" si="345"/>
        <v>1</v>
      </c>
      <c r="BU308" s="1125">
        <f t="shared" si="346"/>
        <v>1</v>
      </c>
      <c r="BV308" s="1125">
        <f t="shared" si="347"/>
        <v>1</v>
      </c>
      <c r="BW308" s="1125">
        <f t="shared" si="348"/>
        <v>0</v>
      </c>
      <c r="BX308" s="1125">
        <f t="shared" si="349"/>
        <v>0</v>
      </c>
      <c r="BY308" s="1125">
        <f t="shared" si="350"/>
        <v>0</v>
      </c>
      <c r="BZ308" s="1125">
        <f t="shared" si="351"/>
        <v>1</v>
      </c>
      <c r="CA308" s="1125">
        <f t="shared" si="352"/>
        <v>1</v>
      </c>
      <c r="CB308" s="1125">
        <f t="shared" si="353"/>
        <v>1</v>
      </c>
      <c r="CC308" s="1125">
        <f t="shared" si="354"/>
        <v>1</v>
      </c>
      <c r="CD308" s="1125">
        <f t="shared" si="355"/>
        <v>1</v>
      </c>
      <c r="CE308" s="1125">
        <f t="shared" si="356"/>
        <v>1</v>
      </c>
      <c r="CF308" s="1125">
        <f t="shared" si="357"/>
        <v>1</v>
      </c>
      <c r="CG308" s="1125">
        <f t="shared" si="358"/>
        <v>0</v>
      </c>
      <c r="CH308" s="1125">
        <f t="shared" si="359"/>
        <v>0</v>
      </c>
      <c r="CI308" s="1125">
        <f t="shared" si="360"/>
        <v>0.85</v>
      </c>
      <c r="CJ308" s="1125">
        <f t="shared" si="361"/>
        <v>0.85</v>
      </c>
      <c r="CK308" s="1125">
        <f t="shared" si="362"/>
        <v>0.85</v>
      </c>
      <c r="CL308" s="1125">
        <f t="shared" si="363"/>
        <v>0.85</v>
      </c>
      <c r="CM308" s="1125">
        <f t="shared" si="364"/>
        <v>0.85</v>
      </c>
      <c r="CN308" s="1125">
        <f t="shared" si="365"/>
        <v>0.7</v>
      </c>
      <c r="CO308" s="1125">
        <f t="shared" si="366"/>
        <v>0.7</v>
      </c>
      <c r="CP308" s="1125">
        <f t="shared" si="367"/>
        <v>0.7</v>
      </c>
      <c r="CQ308" s="1125">
        <f t="shared" si="368"/>
        <v>0.7</v>
      </c>
      <c r="CR308" s="1125">
        <f t="shared" si="369"/>
        <v>0.85</v>
      </c>
      <c r="CS308" s="1125">
        <f t="shared" si="370"/>
        <v>0.85</v>
      </c>
      <c r="CT308" s="1125">
        <f t="shared" si="371"/>
        <v>0.85</v>
      </c>
      <c r="CU308" s="1125">
        <v>1</v>
      </c>
      <c r="CV308" s="1125"/>
      <c r="CW308" s="1125">
        <f t="shared" si="372"/>
        <v>214</v>
      </c>
      <c r="CX308" s="1125">
        <f t="shared" si="373"/>
        <v>151</v>
      </c>
      <c r="CY308" s="1135" t="s">
        <v>4881</v>
      </c>
      <c r="CZ308" s="1124" t="s">
        <v>4882</v>
      </c>
      <c r="DA308" s="1124"/>
      <c r="DB308" s="1124"/>
      <c r="DC308" s="1120" t="s">
        <v>5981</v>
      </c>
      <c r="DD308" s="1120" t="s">
        <v>426</v>
      </c>
      <c r="DE308" s="1120" t="b">
        <f t="shared" si="375"/>
        <v>0</v>
      </c>
      <c r="DF308" s="1133">
        <v>0</v>
      </c>
      <c r="DG308" s="1120">
        <v>0</v>
      </c>
    </row>
    <row r="309" spans="1:111">
      <c r="A309" s="1125" t="s">
        <v>3410</v>
      </c>
      <c r="B309" s="1120" t="s">
        <v>3595</v>
      </c>
      <c r="C309" s="1120" t="s">
        <v>3596</v>
      </c>
      <c r="D309" s="1120" t="s">
        <v>1107</v>
      </c>
      <c r="E309" s="1120">
        <v>567</v>
      </c>
      <c r="F309" s="1120">
        <v>-87.48</v>
      </c>
      <c r="G309" s="1120">
        <v>36.67</v>
      </c>
      <c r="H309" s="1120">
        <v>-6</v>
      </c>
      <c r="I309" s="1121">
        <v>15.980000686645507</v>
      </c>
      <c r="J309" s="1121">
        <v>91.939998626708984</v>
      </c>
      <c r="K309" s="1122">
        <v>76.099999999999994</v>
      </c>
      <c r="L309" s="1120">
        <v>4249.8</v>
      </c>
      <c r="M309" s="1120">
        <v>1692</v>
      </c>
      <c r="N309" s="1123">
        <v>30.740000021457671</v>
      </c>
      <c r="O309" s="1123">
        <v>40.279999828338624</v>
      </c>
      <c r="P309" s="1123">
        <v>43.159999656677243</v>
      </c>
      <c r="Q309" s="1123">
        <v>55.759999656677245</v>
      </c>
      <c r="R309" s="1123">
        <v>66.019999313354489</v>
      </c>
      <c r="S309" s="1123">
        <v>75.919999313354495</v>
      </c>
      <c r="T309" s="1123">
        <v>79.7</v>
      </c>
      <c r="U309" s="1123">
        <v>81.139998626708987</v>
      </c>
      <c r="V309" s="1123">
        <v>68.539998626708979</v>
      </c>
      <c r="W309" s="1123">
        <v>57.919999313354495</v>
      </c>
      <c r="X309" s="1123">
        <v>50.719999313354492</v>
      </c>
      <c r="Y309" s="1123">
        <v>37.76000008583069</v>
      </c>
      <c r="Z309" s="1123">
        <v>57.385424137082822</v>
      </c>
      <c r="AA309" s="1123">
        <f t="shared" si="300"/>
        <v>50.8522855548945</v>
      </c>
      <c r="AB309" s="1123">
        <f t="shared" si="301"/>
        <v>50.072126899023843</v>
      </c>
      <c r="AC309" s="1123">
        <f t="shared" si="302"/>
        <v>52.762284332373952</v>
      </c>
      <c r="AD309" s="1123">
        <f t="shared" si="303"/>
        <v>58.221526863361206</v>
      </c>
      <c r="AE309" s="1123">
        <f t="shared" si="304"/>
        <v>65.026818796809792</v>
      </c>
      <c r="AF309" s="1123">
        <f t="shared" si="305"/>
        <v>71.404255917543182</v>
      </c>
      <c r="AG309" s="1123">
        <f t="shared" si="306"/>
        <v>75.69146096076129</v>
      </c>
      <c r="AH309" s="1123">
        <f t="shared" si="307"/>
        <v>76.770907864119735</v>
      </c>
      <c r="AI309" s="1123">
        <f t="shared" si="308"/>
        <v>74.36122215747784</v>
      </c>
      <c r="AJ309" s="1123">
        <f t="shared" si="309"/>
        <v>69.090525554652601</v>
      </c>
      <c r="AK309" s="1123">
        <f t="shared" si="310"/>
        <v>62.332706349063677</v>
      </c>
      <c r="AL309" s="1123">
        <f t="shared" si="311"/>
        <v>55.849294257794142</v>
      </c>
      <c r="AM309" s="1120">
        <f t="shared" si="312"/>
        <v>1</v>
      </c>
      <c r="AN309" s="1120">
        <f t="shared" si="313"/>
        <v>1</v>
      </c>
      <c r="AO309" s="1120">
        <f t="shared" si="314"/>
        <v>1</v>
      </c>
      <c r="AP309" s="1120">
        <f t="shared" si="315"/>
        <v>1</v>
      </c>
      <c r="AQ309" s="1120">
        <f t="shared" si="316"/>
        <v>0</v>
      </c>
      <c r="AR309" s="1120">
        <f t="shared" si="317"/>
        <v>0</v>
      </c>
      <c r="AS309" s="1120">
        <f t="shared" si="318"/>
        <v>0</v>
      </c>
      <c r="AT309" s="1120">
        <f t="shared" si="319"/>
        <v>0</v>
      </c>
      <c r="AU309" s="1120">
        <f t="shared" si="320"/>
        <v>0</v>
      </c>
      <c r="AV309" s="1120">
        <f t="shared" si="321"/>
        <v>1</v>
      </c>
      <c r="AW309" s="1120">
        <f t="shared" si="322"/>
        <v>1</v>
      </c>
      <c r="AX309" s="1120">
        <f t="shared" si="323"/>
        <v>1</v>
      </c>
      <c r="AY309" s="1120">
        <f t="shared" si="324"/>
        <v>0</v>
      </c>
      <c r="AZ309" s="1120">
        <f t="shared" si="325"/>
        <v>0</v>
      </c>
      <c r="BA309" s="1120">
        <f t="shared" si="326"/>
        <v>0</v>
      </c>
      <c r="BB309" s="1120">
        <f t="shared" si="327"/>
        <v>0</v>
      </c>
      <c r="BC309" s="1120">
        <f t="shared" si="328"/>
        <v>1</v>
      </c>
      <c r="BD309" s="1120">
        <f t="shared" si="329"/>
        <v>1</v>
      </c>
      <c r="BE309" s="1120">
        <f t="shared" si="330"/>
        <v>1</v>
      </c>
      <c r="BF309" s="1120">
        <f t="shared" si="331"/>
        <v>1</v>
      </c>
      <c r="BG309" s="1120">
        <f t="shared" si="332"/>
        <v>1</v>
      </c>
      <c r="BH309" s="1120">
        <f t="shared" si="333"/>
        <v>0</v>
      </c>
      <c r="BI309" s="1120">
        <f t="shared" si="334"/>
        <v>0</v>
      </c>
      <c r="BJ309" s="1120">
        <f t="shared" si="335"/>
        <v>0</v>
      </c>
      <c r="BK309" s="1120">
        <f t="shared" si="336"/>
        <v>1</v>
      </c>
      <c r="BL309" s="1120">
        <f t="shared" si="337"/>
        <v>1</v>
      </c>
      <c r="BM309" s="1120">
        <f t="shared" si="338"/>
        <v>1</v>
      </c>
      <c r="BN309" s="1120">
        <f t="shared" si="339"/>
        <v>1</v>
      </c>
      <c r="BO309" s="1120">
        <f t="shared" si="340"/>
        <v>1</v>
      </c>
      <c r="BP309" s="1120">
        <f t="shared" si="341"/>
        <v>0</v>
      </c>
      <c r="BQ309" s="1120">
        <f t="shared" si="342"/>
        <v>0</v>
      </c>
      <c r="BR309" s="1120">
        <f t="shared" si="343"/>
        <v>0</v>
      </c>
      <c r="BS309" s="1120">
        <f t="shared" si="344"/>
        <v>0</v>
      </c>
      <c r="BT309" s="1120">
        <f t="shared" si="345"/>
        <v>1</v>
      </c>
      <c r="BU309" s="1120">
        <f t="shared" si="346"/>
        <v>1</v>
      </c>
      <c r="BV309" s="1120">
        <f t="shared" si="347"/>
        <v>1</v>
      </c>
      <c r="BW309" s="1120">
        <f t="shared" si="348"/>
        <v>0</v>
      </c>
      <c r="BX309" s="1120">
        <f t="shared" si="349"/>
        <v>0</v>
      </c>
      <c r="BY309" s="1120">
        <f t="shared" si="350"/>
        <v>0</v>
      </c>
      <c r="BZ309" s="1120">
        <f t="shared" si="351"/>
        <v>1</v>
      </c>
      <c r="CA309" s="1120">
        <f t="shared" si="352"/>
        <v>1</v>
      </c>
      <c r="CB309" s="1120">
        <f t="shared" si="353"/>
        <v>1</v>
      </c>
      <c r="CC309" s="1120">
        <f t="shared" si="354"/>
        <v>1</v>
      </c>
      <c r="CD309" s="1120">
        <f t="shared" si="355"/>
        <v>1</v>
      </c>
      <c r="CE309" s="1120">
        <f t="shared" si="356"/>
        <v>1</v>
      </c>
      <c r="CF309" s="1120">
        <f t="shared" si="357"/>
        <v>1</v>
      </c>
      <c r="CG309" s="1120">
        <f t="shared" si="358"/>
        <v>0</v>
      </c>
      <c r="CH309" s="1120">
        <f t="shared" si="359"/>
        <v>0</v>
      </c>
      <c r="CI309" s="1120">
        <f t="shared" si="360"/>
        <v>0.85</v>
      </c>
      <c r="CJ309" s="1120">
        <f t="shared" si="361"/>
        <v>0.85</v>
      </c>
      <c r="CK309" s="1120">
        <f t="shared" si="362"/>
        <v>0.85</v>
      </c>
      <c r="CL309" s="1120">
        <f t="shared" si="363"/>
        <v>0.85</v>
      </c>
      <c r="CM309" s="1120">
        <f t="shared" si="364"/>
        <v>0.85</v>
      </c>
      <c r="CN309" s="1120">
        <f t="shared" si="365"/>
        <v>0.7</v>
      </c>
      <c r="CO309" s="1120">
        <f t="shared" si="366"/>
        <v>0.7</v>
      </c>
      <c r="CP309" s="1120">
        <f t="shared" si="367"/>
        <v>0.7</v>
      </c>
      <c r="CQ309" s="1120">
        <f t="shared" si="368"/>
        <v>0.7</v>
      </c>
      <c r="CR309" s="1120">
        <f t="shared" si="369"/>
        <v>0.85</v>
      </c>
      <c r="CS309" s="1120">
        <f t="shared" si="370"/>
        <v>0.85</v>
      </c>
      <c r="CT309" s="1120">
        <f t="shared" si="371"/>
        <v>0.85</v>
      </c>
      <c r="CU309" s="1120">
        <v>1</v>
      </c>
      <c r="CV309" s="1120"/>
      <c r="CW309" s="1120">
        <f t="shared" si="372"/>
        <v>214</v>
      </c>
      <c r="CX309" s="1120">
        <f t="shared" si="373"/>
        <v>151</v>
      </c>
      <c r="CY309" s="1135" t="s">
        <v>4881</v>
      </c>
      <c r="CZ309" s="1124" t="s">
        <v>4885</v>
      </c>
      <c r="DA309" s="1124"/>
      <c r="DB309" s="1124"/>
      <c r="DC309" s="1120" t="s">
        <v>5243</v>
      </c>
      <c r="DD309" s="1120" t="s">
        <v>1107</v>
      </c>
      <c r="DE309" s="1120" t="b">
        <f t="shared" si="375"/>
        <v>0</v>
      </c>
      <c r="DF309" s="1133">
        <v>0</v>
      </c>
      <c r="DG309" s="1125">
        <v>0</v>
      </c>
    </row>
    <row r="310" spans="1:111">
      <c r="A310" s="1120" t="s">
        <v>3412</v>
      </c>
      <c r="B310" s="1125" t="s">
        <v>5824</v>
      </c>
      <c r="C310" s="1125" t="s">
        <v>5825</v>
      </c>
      <c r="D310" s="1125" t="s">
        <v>536</v>
      </c>
      <c r="E310" s="1125">
        <v>5015</v>
      </c>
      <c r="F310" s="1125">
        <v>-105.02</v>
      </c>
      <c r="G310" s="1125">
        <v>40.450000000000003</v>
      </c>
      <c r="H310" s="1125">
        <v>-7</v>
      </c>
      <c r="I310" s="1126">
        <v>6.4400003433227528</v>
      </c>
      <c r="J310" s="1126">
        <v>90.860001373291013</v>
      </c>
      <c r="K310" s="1127">
        <v>60.259999656677245</v>
      </c>
      <c r="L310" s="1125">
        <v>6890.4000000000005</v>
      </c>
      <c r="M310" s="1125">
        <v>529.20000000000005</v>
      </c>
      <c r="N310" s="1128">
        <v>23.9</v>
      </c>
      <c r="O310" s="1128">
        <v>31.279999989271165</v>
      </c>
      <c r="P310" s="1128">
        <v>38.47999982833862</v>
      </c>
      <c r="Q310" s="1128">
        <v>43.879999828338626</v>
      </c>
      <c r="R310" s="1128">
        <v>57.2</v>
      </c>
      <c r="S310" s="1128">
        <v>61.7</v>
      </c>
      <c r="T310" s="1128">
        <v>72.680000686645513</v>
      </c>
      <c r="U310" s="1128">
        <v>69.260001373291018</v>
      </c>
      <c r="V310" s="1128">
        <v>59.180000686645506</v>
      </c>
      <c r="W310" s="1128">
        <v>43.340000343322757</v>
      </c>
      <c r="X310" s="1128">
        <v>33.980000042915343</v>
      </c>
      <c r="Y310" s="1128">
        <v>27.5</v>
      </c>
      <c r="Z310" s="1128">
        <v>46.962192015386606</v>
      </c>
      <c r="AA310" s="1128">
        <f t="shared" si="300"/>
        <v>44.03636215589237</v>
      </c>
      <c r="AB310" s="1128">
        <f t="shared" si="301"/>
        <v>42.490155800474625</v>
      </c>
      <c r="AC310" s="1128">
        <f t="shared" si="302"/>
        <v>43.673647063436661</v>
      </c>
      <c r="AD310" s="1128">
        <f t="shared" si="303"/>
        <v>47.278340708934991</v>
      </c>
      <c r="AE310" s="1128">
        <f t="shared" si="304"/>
        <v>52.36461778825992</v>
      </c>
      <c r="AF310" s="1128">
        <f t="shared" si="305"/>
        <v>57.606661798783009</v>
      </c>
      <c r="AG310" s="1128">
        <f t="shared" si="306"/>
        <v>61.638053186817956</v>
      </c>
      <c r="AH310" s="1128">
        <f t="shared" si="307"/>
        <v>63.40794766145163</v>
      </c>
      <c r="AI310" s="1128">
        <f t="shared" si="308"/>
        <v>62.454994952971312</v>
      </c>
      <c r="AJ310" s="1128">
        <f t="shared" si="309"/>
        <v>59.02759687028815</v>
      </c>
      <c r="AK310" s="1128">
        <f t="shared" si="310"/>
        <v>54.019157541456757</v>
      </c>
      <c r="AL310" s="1128">
        <f t="shared" si="311"/>
        <v>48.735203859923374</v>
      </c>
      <c r="AM310" s="1125">
        <f t="shared" si="312"/>
        <v>1</v>
      </c>
      <c r="AN310" s="1125">
        <f t="shared" si="313"/>
        <v>1</v>
      </c>
      <c r="AO310" s="1125">
        <f t="shared" si="314"/>
        <v>1</v>
      </c>
      <c r="AP310" s="1125">
        <f t="shared" si="315"/>
        <v>1</v>
      </c>
      <c r="AQ310" s="1125">
        <f t="shared" si="316"/>
        <v>1</v>
      </c>
      <c r="AR310" s="1125">
        <f t="shared" si="317"/>
        <v>1</v>
      </c>
      <c r="AS310" s="1125">
        <f t="shared" si="318"/>
        <v>0</v>
      </c>
      <c r="AT310" s="1125">
        <f t="shared" si="319"/>
        <v>0</v>
      </c>
      <c r="AU310" s="1125">
        <f t="shared" si="320"/>
        <v>1</v>
      </c>
      <c r="AV310" s="1125">
        <f t="shared" si="321"/>
        <v>1</v>
      </c>
      <c r="AW310" s="1125">
        <f t="shared" si="322"/>
        <v>1</v>
      </c>
      <c r="AX310" s="1125">
        <f t="shared" si="323"/>
        <v>1</v>
      </c>
      <c r="AY310" s="1125">
        <f t="shared" si="324"/>
        <v>0</v>
      </c>
      <c r="AZ310" s="1125">
        <f t="shared" si="325"/>
        <v>0</v>
      </c>
      <c r="BA310" s="1125">
        <f t="shared" si="326"/>
        <v>0</v>
      </c>
      <c r="BB310" s="1125">
        <f t="shared" si="327"/>
        <v>0</v>
      </c>
      <c r="BC310" s="1125">
        <f t="shared" si="328"/>
        <v>0</v>
      </c>
      <c r="BD310" s="1125">
        <f t="shared" si="329"/>
        <v>0</v>
      </c>
      <c r="BE310" s="1125">
        <f t="shared" si="330"/>
        <v>1</v>
      </c>
      <c r="BF310" s="1125">
        <f t="shared" si="331"/>
        <v>1</v>
      </c>
      <c r="BG310" s="1125">
        <f t="shared" si="332"/>
        <v>0</v>
      </c>
      <c r="BH310" s="1125">
        <f t="shared" si="333"/>
        <v>0</v>
      </c>
      <c r="BI310" s="1125">
        <f t="shared" si="334"/>
        <v>0</v>
      </c>
      <c r="BJ310" s="1125">
        <f t="shared" si="335"/>
        <v>0</v>
      </c>
      <c r="BK310" s="1125">
        <f t="shared" si="336"/>
        <v>1</v>
      </c>
      <c r="BL310" s="1125">
        <f t="shared" si="337"/>
        <v>1</v>
      </c>
      <c r="BM310" s="1125">
        <f t="shared" si="338"/>
        <v>1</v>
      </c>
      <c r="BN310" s="1125">
        <f t="shared" si="339"/>
        <v>1</v>
      </c>
      <c r="BO310" s="1125">
        <f t="shared" si="340"/>
        <v>1</v>
      </c>
      <c r="BP310" s="1125">
        <f t="shared" si="341"/>
        <v>1</v>
      </c>
      <c r="BQ310" s="1125">
        <f t="shared" si="342"/>
        <v>1</v>
      </c>
      <c r="BR310" s="1125">
        <f t="shared" si="343"/>
        <v>0</v>
      </c>
      <c r="BS310" s="1125">
        <f t="shared" si="344"/>
        <v>1</v>
      </c>
      <c r="BT310" s="1125">
        <f t="shared" si="345"/>
        <v>1</v>
      </c>
      <c r="BU310" s="1125">
        <f t="shared" si="346"/>
        <v>1</v>
      </c>
      <c r="BV310" s="1125">
        <f t="shared" si="347"/>
        <v>1</v>
      </c>
      <c r="BW310" s="1125">
        <f t="shared" si="348"/>
        <v>0</v>
      </c>
      <c r="BX310" s="1125">
        <f t="shared" si="349"/>
        <v>0</v>
      </c>
      <c r="BY310" s="1125">
        <f t="shared" si="350"/>
        <v>0</v>
      </c>
      <c r="BZ310" s="1125">
        <f t="shared" si="351"/>
        <v>0</v>
      </c>
      <c r="CA310" s="1125">
        <f t="shared" si="352"/>
        <v>0</v>
      </c>
      <c r="CB310" s="1125">
        <f t="shared" si="353"/>
        <v>1</v>
      </c>
      <c r="CC310" s="1125">
        <f t="shared" si="354"/>
        <v>1</v>
      </c>
      <c r="CD310" s="1125">
        <f t="shared" si="355"/>
        <v>1</v>
      </c>
      <c r="CE310" s="1125">
        <f t="shared" si="356"/>
        <v>1</v>
      </c>
      <c r="CF310" s="1125">
        <f t="shared" si="357"/>
        <v>0</v>
      </c>
      <c r="CG310" s="1125">
        <f t="shared" si="358"/>
        <v>0</v>
      </c>
      <c r="CH310" s="1125">
        <f t="shared" si="359"/>
        <v>0</v>
      </c>
      <c r="CI310" s="1125">
        <f t="shared" si="360"/>
        <v>0.85</v>
      </c>
      <c r="CJ310" s="1125">
        <f t="shared" si="361"/>
        <v>0.85</v>
      </c>
      <c r="CK310" s="1125">
        <f t="shared" si="362"/>
        <v>0.85</v>
      </c>
      <c r="CL310" s="1125">
        <f t="shared" si="363"/>
        <v>0.85</v>
      </c>
      <c r="CM310" s="1125">
        <f t="shared" si="364"/>
        <v>0.85</v>
      </c>
      <c r="CN310" s="1125">
        <f t="shared" si="365"/>
        <v>0.85</v>
      </c>
      <c r="CO310" s="1125">
        <f t="shared" si="366"/>
        <v>0.85</v>
      </c>
      <c r="CP310" s="1125">
        <f t="shared" si="367"/>
        <v>0.7</v>
      </c>
      <c r="CQ310" s="1125">
        <f t="shared" si="368"/>
        <v>0.85</v>
      </c>
      <c r="CR310" s="1125">
        <f t="shared" si="369"/>
        <v>0.85</v>
      </c>
      <c r="CS310" s="1125">
        <f t="shared" si="370"/>
        <v>0.85</v>
      </c>
      <c r="CT310" s="1125">
        <f t="shared" si="371"/>
        <v>0.85</v>
      </c>
      <c r="CU310" s="1125">
        <v>1</v>
      </c>
      <c r="CV310" s="1125"/>
      <c r="CW310" s="1125">
        <f t="shared" si="372"/>
        <v>122</v>
      </c>
      <c r="CX310" s="1125">
        <f t="shared" si="373"/>
        <v>243</v>
      </c>
      <c r="CY310" s="1136" t="s">
        <v>4889</v>
      </c>
      <c r="CZ310" s="1129" t="s">
        <v>4890</v>
      </c>
      <c r="DA310" s="1129"/>
      <c r="DB310" s="1129"/>
      <c r="DC310" s="1125" t="s">
        <v>5723</v>
      </c>
      <c r="DD310" s="1125" t="s">
        <v>536</v>
      </c>
      <c r="DE310" s="1120" t="str">
        <f t="shared" si="375"/>
        <v/>
      </c>
      <c r="DF310" s="1133">
        <v>1</v>
      </c>
      <c r="DG310" s="1120">
        <v>0</v>
      </c>
    </row>
    <row r="311" spans="1:111">
      <c r="A311" s="1125" t="s">
        <v>3414</v>
      </c>
      <c r="B311" s="1120" t="s">
        <v>5838</v>
      </c>
      <c r="C311" s="1120" t="s">
        <v>5839</v>
      </c>
      <c r="D311" s="1120" t="s">
        <v>566</v>
      </c>
      <c r="E311" s="1120">
        <v>1164</v>
      </c>
      <c r="F311" s="1120">
        <v>-94.18</v>
      </c>
      <c r="G311" s="1120">
        <v>42.55</v>
      </c>
      <c r="H311" s="1120">
        <v>-6</v>
      </c>
      <c r="I311" s="1121">
        <v>-5.9800006866455089</v>
      </c>
      <c r="J311" s="1121">
        <v>88.519999313354489</v>
      </c>
      <c r="K311" s="1122">
        <v>73.760001373291018</v>
      </c>
      <c r="L311" s="1120">
        <v>6942.6</v>
      </c>
      <c r="M311" s="1120">
        <v>898.2</v>
      </c>
      <c r="N311" s="1123">
        <v>17.779999828338624</v>
      </c>
      <c r="O311" s="1123">
        <v>30.559999978542329</v>
      </c>
      <c r="P311" s="1123">
        <v>32.540000021457672</v>
      </c>
      <c r="Q311" s="1123">
        <v>47.840000343322757</v>
      </c>
      <c r="R311" s="1123">
        <v>62.060001373291016</v>
      </c>
      <c r="S311" s="1123">
        <v>69.8</v>
      </c>
      <c r="T311" s="1123">
        <v>75.019999313354489</v>
      </c>
      <c r="U311" s="1123">
        <v>70.33999862670899</v>
      </c>
      <c r="V311" s="1123">
        <v>64.760001373291018</v>
      </c>
      <c r="W311" s="1123">
        <v>51.440000343322751</v>
      </c>
      <c r="X311" s="1123">
        <v>33.980000042915343</v>
      </c>
      <c r="Y311" s="1123">
        <v>16.880000686645506</v>
      </c>
      <c r="Z311" s="1123">
        <v>47.821753584032187</v>
      </c>
      <c r="AA311" s="1123">
        <f t="shared" si="300"/>
        <v>42.872851884985479</v>
      </c>
      <c r="AB311" s="1123">
        <f t="shared" si="301"/>
        <v>41.085388727431067</v>
      </c>
      <c r="AC311" s="1123">
        <f t="shared" si="302"/>
        <v>42.617855343073323</v>
      </c>
      <c r="AD311" s="1123">
        <f t="shared" si="303"/>
        <v>47.070790692519694</v>
      </c>
      <c r="AE311" s="1123">
        <f t="shared" si="304"/>
        <v>53.283468555126078</v>
      </c>
      <c r="AF311" s="1123">
        <f t="shared" si="305"/>
        <v>59.636458705740232</v>
      </c>
      <c r="AG311" s="1123">
        <f t="shared" si="306"/>
        <v>64.473756359062861</v>
      </c>
      <c r="AH311" s="1123">
        <f t="shared" si="307"/>
        <v>66.534445336742138</v>
      </c>
      <c r="AI311" s="1123">
        <f t="shared" si="308"/>
        <v>65.281375300567561</v>
      </c>
      <c r="AJ311" s="1123">
        <f t="shared" si="309"/>
        <v>61.041178265861802</v>
      </c>
      <c r="AK311" s="1123">
        <f t="shared" si="310"/>
        <v>54.919126933135146</v>
      </c>
      <c r="AL311" s="1123">
        <f t="shared" si="311"/>
        <v>48.511028325929615</v>
      </c>
      <c r="AM311" s="1120">
        <f t="shared" si="312"/>
        <v>1</v>
      </c>
      <c r="AN311" s="1120">
        <f t="shared" si="313"/>
        <v>1</v>
      </c>
      <c r="AO311" s="1120">
        <f t="shared" si="314"/>
        <v>1</v>
      </c>
      <c r="AP311" s="1120">
        <f t="shared" si="315"/>
        <v>1</v>
      </c>
      <c r="AQ311" s="1120">
        <f t="shared" si="316"/>
        <v>1</v>
      </c>
      <c r="AR311" s="1120">
        <f t="shared" si="317"/>
        <v>0</v>
      </c>
      <c r="AS311" s="1120">
        <f t="shared" si="318"/>
        <v>0</v>
      </c>
      <c r="AT311" s="1120">
        <f t="shared" si="319"/>
        <v>0</v>
      </c>
      <c r="AU311" s="1120">
        <f t="shared" si="320"/>
        <v>1</v>
      </c>
      <c r="AV311" s="1120">
        <f t="shared" si="321"/>
        <v>1</v>
      </c>
      <c r="AW311" s="1120">
        <f t="shared" si="322"/>
        <v>1</v>
      </c>
      <c r="AX311" s="1120">
        <f t="shared" si="323"/>
        <v>1</v>
      </c>
      <c r="AY311" s="1120">
        <f t="shared" si="324"/>
        <v>0</v>
      </c>
      <c r="AZ311" s="1120">
        <f t="shared" si="325"/>
        <v>0</v>
      </c>
      <c r="BA311" s="1120">
        <f t="shared" si="326"/>
        <v>0</v>
      </c>
      <c r="BB311" s="1120">
        <f t="shared" si="327"/>
        <v>0</v>
      </c>
      <c r="BC311" s="1120">
        <f t="shared" si="328"/>
        <v>0</v>
      </c>
      <c r="BD311" s="1120">
        <f t="shared" si="329"/>
        <v>1</v>
      </c>
      <c r="BE311" s="1120">
        <f t="shared" si="330"/>
        <v>1</v>
      </c>
      <c r="BF311" s="1120">
        <f t="shared" si="331"/>
        <v>1</v>
      </c>
      <c r="BG311" s="1120">
        <f t="shared" si="332"/>
        <v>0</v>
      </c>
      <c r="BH311" s="1120">
        <f t="shared" si="333"/>
        <v>0</v>
      </c>
      <c r="BI311" s="1120">
        <f t="shared" si="334"/>
        <v>0</v>
      </c>
      <c r="BJ311" s="1120">
        <f t="shared" si="335"/>
        <v>0</v>
      </c>
      <c r="BK311" s="1120">
        <f t="shared" si="336"/>
        <v>1</v>
      </c>
      <c r="BL311" s="1120">
        <f t="shared" si="337"/>
        <v>1</v>
      </c>
      <c r="BM311" s="1120">
        <f t="shared" si="338"/>
        <v>1</v>
      </c>
      <c r="BN311" s="1120">
        <f t="shared" si="339"/>
        <v>1</v>
      </c>
      <c r="BO311" s="1120">
        <f t="shared" si="340"/>
        <v>1</v>
      </c>
      <c r="BP311" s="1120">
        <f t="shared" si="341"/>
        <v>1</v>
      </c>
      <c r="BQ311" s="1120">
        <f t="shared" si="342"/>
        <v>0</v>
      </c>
      <c r="BR311" s="1120">
        <f t="shared" si="343"/>
        <v>0</v>
      </c>
      <c r="BS311" s="1120">
        <f t="shared" si="344"/>
        <v>1</v>
      </c>
      <c r="BT311" s="1120">
        <f t="shared" si="345"/>
        <v>1</v>
      </c>
      <c r="BU311" s="1120">
        <f t="shared" si="346"/>
        <v>1</v>
      </c>
      <c r="BV311" s="1120">
        <f t="shared" si="347"/>
        <v>1</v>
      </c>
      <c r="BW311" s="1120">
        <f t="shared" si="348"/>
        <v>0</v>
      </c>
      <c r="BX311" s="1120">
        <f t="shared" si="349"/>
        <v>0</v>
      </c>
      <c r="BY311" s="1120">
        <f t="shared" si="350"/>
        <v>0</v>
      </c>
      <c r="BZ311" s="1120">
        <f t="shared" si="351"/>
        <v>0</v>
      </c>
      <c r="CA311" s="1120">
        <f t="shared" si="352"/>
        <v>1</v>
      </c>
      <c r="CB311" s="1120">
        <f t="shared" si="353"/>
        <v>1</v>
      </c>
      <c r="CC311" s="1120">
        <f t="shared" si="354"/>
        <v>1</v>
      </c>
      <c r="CD311" s="1120">
        <f t="shared" si="355"/>
        <v>1</v>
      </c>
      <c r="CE311" s="1120">
        <f t="shared" si="356"/>
        <v>1</v>
      </c>
      <c r="CF311" s="1120">
        <f t="shared" si="357"/>
        <v>0</v>
      </c>
      <c r="CG311" s="1120">
        <f t="shared" si="358"/>
        <v>0</v>
      </c>
      <c r="CH311" s="1120">
        <f t="shared" si="359"/>
        <v>0</v>
      </c>
      <c r="CI311" s="1120">
        <f t="shared" si="360"/>
        <v>0.85</v>
      </c>
      <c r="CJ311" s="1120">
        <f t="shared" si="361"/>
        <v>0.85</v>
      </c>
      <c r="CK311" s="1120">
        <f t="shared" si="362"/>
        <v>0.85</v>
      </c>
      <c r="CL311" s="1120">
        <f t="shared" si="363"/>
        <v>0.85</v>
      </c>
      <c r="CM311" s="1120">
        <f t="shared" si="364"/>
        <v>0.85</v>
      </c>
      <c r="CN311" s="1120">
        <f t="shared" si="365"/>
        <v>0.85</v>
      </c>
      <c r="CO311" s="1120">
        <f t="shared" si="366"/>
        <v>0.7</v>
      </c>
      <c r="CP311" s="1120">
        <f t="shared" si="367"/>
        <v>0.7</v>
      </c>
      <c r="CQ311" s="1120">
        <f t="shared" si="368"/>
        <v>0.85</v>
      </c>
      <c r="CR311" s="1120">
        <f t="shared" si="369"/>
        <v>0.85</v>
      </c>
      <c r="CS311" s="1120">
        <f t="shared" si="370"/>
        <v>0.85</v>
      </c>
      <c r="CT311" s="1120">
        <f t="shared" si="371"/>
        <v>0.85</v>
      </c>
      <c r="CU311" s="1120">
        <v>1</v>
      </c>
      <c r="CV311" s="1120"/>
      <c r="CW311" s="1120">
        <f t="shared" si="372"/>
        <v>153</v>
      </c>
      <c r="CX311" s="1120">
        <f t="shared" si="373"/>
        <v>212</v>
      </c>
      <c r="CY311" s="1135" t="s">
        <v>4889</v>
      </c>
      <c r="CZ311" s="1124" t="s">
        <v>4899</v>
      </c>
      <c r="DA311" s="1124"/>
      <c r="DB311" s="1124"/>
      <c r="DC311" s="1120" t="s">
        <v>5728</v>
      </c>
      <c r="DD311" s="1120" t="s">
        <v>566</v>
      </c>
      <c r="DE311" s="1120" t="str">
        <f t="shared" si="375"/>
        <v/>
      </c>
      <c r="DF311" s="1133">
        <v>0</v>
      </c>
      <c r="DG311" s="1125">
        <v>0</v>
      </c>
    </row>
    <row r="312" spans="1:111">
      <c r="A312" s="1120" t="s">
        <v>3416</v>
      </c>
      <c r="B312" s="1120" t="s">
        <v>4126</v>
      </c>
      <c r="C312" s="1120" t="s">
        <v>4127</v>
      </c>
      <c r="D312" s="1120" t="s">
        <v>537</v>
      </c>
      <c r="E312" s="1120">
        <v>692</v>
      </c>
      <c r="F312" s="1120">
        <v>-75.72</v>
      </c>
      <c r="G312" s="1120">
        <v>44.05</v>
      </c>
      <c r="H312" s="1120">
        <v>-5</v>
      </c>
      <c r="I312" s="1121">
        <v>-5.9800006866455089</v>
      </c>
      <c r="J312" s="1121">
        <v>83.66000137329101</v>
      </c>
      <c r="K312" s="1122">
        <v>69.439998626708984</v>
      </c>
      <c r="L312" s="1120">
        <v>7214.4000000000005</v>
      </c>
      <c r="M312" s="1120">
        <v>421.2</v>
      </c>
      <c r="N312" s="1123">
        <v>25.879999828338622</v>
      </c>
      <c r="O312" s="1123">
        <v>26.960000085830689</v>
      </c>
      <c r="P312" s="1123">
        <v>33.080000042915344</v>
      </c>
      <c r="Q312" s="1123">
        <v>40.640000343322754</v>
      </c>
      <c r="R312" s="1123">
        <v>52.7</v>
      </c>
      <c r="S312" s="1123">
        <v>65.66000137329101</v>
      </c>
      <c r="T312" s="1123">
        <v>70.33999862670899</v>
      </c>
      <c r="U312" s="1123">
        <v>64.580000686645505</v>
      </c>
      <c r="V312" s="1123">
        <v>57.019999313354489</v>
      </c>
      <c r="W312" s="1123">
        <v>45.5</v>
      </c>
      <c r="X312" s="1123">
        <v>35.419999957084656</v>
      </c>
      <c r="Y312" s="1123">
        <v>30.559999978542329</v>
      </c>
      <c r="Z312" s="1123">
        <v>45.805260290609645</v>
      </c>
      <c r="AA312" s="1123">
        <f t="shared" si="300"/>
        <v>43.987471506983866</v>
      </c>
      <c r="AB312" s="1123">
        <f t="shared" si="301"/>
        <v>42.525992582626422</v>
      </c>
      <c r="AC312" s="1123">
        <f t="shared" si="302"/>
        <v>43.48329778419869</v>
      </c>
      <c r="AD312" s="1123">
        <f t="shared" si="303"/>
        <v>46.609850758391154</v>
      </c>
      <c r="AE312" s="1123">
        <f t="shared" si="304"/>
        <v>51.090667290840763</v>
      </c>
      <c r="AF312" s="1123">
        <f t="shared" si="305"/>
        <v>55.757753500891596</v>
      </c>
      <c r="AG312" s="1123">
        <f t="shared" si="306"/>
        <v>59.394561445918342</v>
      </c>
      <c r="AH312" s="1123">
        <f t="shared" si="307"/>
        <v>61.053101090142889</v>
      </c>
      <c r="AI312" s="1123">
        <f t="shared" si="308"/>
        <v>60.301048516428523</v>
      </c>
      <c r="AJ312" s="1123">
        <f t="shared" si="309"/>
        <v>57.334437817594875</v>
      </c>
      <c r="AK312" s="1123">
        <f t="shared" si="310"/>
        <v>52.926561789147627</v>
      </c>
      <c r="AL312" s="1123">
        <f t="shared" si="311"/>
        <v>48.22640124532731</v>
      </c>
      <c r="AM312" s="1120">
        <f t="shared" si="312"/>
        <v>1</v>
      </c>
      <c r="AN312" s="1120">
        <f t="shared" si="313"/>
        <v>1</v>
      </c>
      <c r="AO312" s="1120">
        <f t="shared" si="314"/>
        <v>1</v>
      </c>
      <c r="AP312" s="1120">
        <f t="shared" si="315"/>
        <v>1</v>
      </c>
      <c r="AQ312" s="1120">
        <f t="shared" si="316"/>
        <v>1</v>
      </c>
      <c r="AR312" s="1120">
        <f t="shared" si="317"/>
        <v>1</v>
      </c>
      <c r="AS312" s="1120">
        <f t="shared" si="318"/>
        <v>0</v>
      </c>
      <c r="AT312" s="1120">
        <f t="shared" si="319"/>
        <v>1</v>
      </c>
      <c r="AU312" s="1120">
        <f t="shared" si="320"/>
        <v>1</v>
      </c>
      <c r="AV312" s="1120">
        <f t="shared" si="321"/>
        <v>1</v>
      </c>
      <c r="AW312" s="1120">
        <f t="shared" si="322"/>
        <v>1</v>
      </c>
      <c r="AX312" s="1120">
        <f t="shared" si="323"/>
        <v>1</v>
      </c>
      <c r="AY312" s="1120">
        <f t="shared" si="324"/>
        <v>0</v>
      </c>
      <c r="AZ312" s="1120">
        <f t="shared" si="325"/>
        <v>0</v>
      </c>
      <c r="BA312" s="1120">
        <f t="shared" si="326"/>
        <v>0</v>
      </c>
      <c r="BB312" s="1120">
        <f t="shared" si="327"/>
        <v>0</v>
      </c>
      <c r="BC312" s="1120">
        <f t="shared" si="328"/>
        <v>0</v>
      </c>
      <c r="BD312" s="1120">
        <f t="shared" si="329"/>
        <v>0</v>
      </c>
      <c r="BE312" s="1120">
        <f t="shared" si="330"/>
        <v>1</v>
      </c>
      <c r="BF312" s="1120">
        <f t="shared" si="331"/>
        <v>1</v>
      </c>
      <c r="BG312" s="1120">
        <f t="shared" si="332"/>
        <v>0</v>
      </c>
      <c r="BH312" s="1120">
        <f t="shared" si="333"/>
        <v>0</v>
      </c>
      <c r="BI312" s="1120">
        <f t="shared" si="334"/>
        <v>0</v>
      </c>
      <c r="BJ312" s="1120">
        <f t="shared" si="335"/>
        <v>0</v>
      </c>
      <c r="BK312" s="1120">
        <f t="shared" si="336"/>
        <v>1</v>
      </c>
      <c r="BL312" s="1120">
        <f t="shared" si="337"/>
        <v>1</v>
      </c>
      <c r="BM312" s="1120">
        <f t="shared" si="338"/>
        <v>1</v>
      </c>
      <c r="BN312" s="1120">
        <f t="shared" si="339"/>
        <v>1</v>
      </c>
      <c r="BO312" s="1120">
        <f t="shared" si="340"/>
        <v>1</v>
      </c>
      <c r="BP312" s="1120">
        <f t="shared" si="341"/>
        <v>1</v>
      </c>
      <c r="BQ312" s="1120">
        <f t="shared" si="342"/>
        <v>1</v>
      </c>
      <c r="BR312" s="1120">
        <f t="shared" si="343"/>
        <v>1</v>
      </c>
      <c r="BS312" s="1120">
        <f t="shared" si="344"/>
        <v>1</v>
      </c>
      <c r="BT312" s="1120">
        <f t="shared" si="345"/>
        <v>1</v>
      </c>
      <c r="BU312" s="1120">
        <f t="shared" si="346"/>
        <v>1</v>
      </c>
      <c r="BV312" s="1120">
        <f t="shared" si="347"/>
        <v>1</v>
      </c>
      <c r="BW312" s="1120">
        <f t="shared" si="348"/>
        <v>0</v>
      </c>
      <c r="BX312" s="1120">
        <f t="shared" si="349"/>
        <v>0</v>
      </c>
      <c r="BY312" s="1120">
        <f t="shared" si="350"/>
        <v>0</v>
      </c>
      <c r="BZ312" s="1120">
        <f t="shared" si="351"/>
        <v>0</v>
      </c>
      <c r="CA312" s="1120">
        <f t="shared" si="352"/>
        <v>0</v>
      </c>
      <c r="CB312" s="1120">
        <f t="shared" si="353"/>
        <v>1</v>
      </c>
      <c r="CC312" s="1120">
        <f t="shared" si="354"/>
        <v>1</v>
      </c>
      <c r="CD312" s="1120">
        <f t="shared" si="355"/>
        <v>1</v>
      </c>
      <c r="CE312" s="1120">
        <f t="shared" si="356"/>
        <v>0</v>
      </c>
      <c r="CF312" s="1120">
        <f t="shared" si="357"/>
        <v>0</v>
      </c>
      <c r="CG312" s="1120">
        <f t="shared" si="358"/>
        <v>0</v>
      </c>
      <c r="CH312" s="1120">
        <f t="shared" si="359"/>
        <v>0</v>
      </c>
      <c r="CI312" s="1120">
        <f t="shared" si="360"/>
        <v>0.85</v>
      </c>
      <c r="CJ312" s="1120">
        <f t="shared" si="361"/>
        <v>0.85</v>
      </c>
      <c r="CK312" s="1120">
        <f t="shared" si="362"/>
        <v>0.85</v>
      </c>
      <c r="CL312" s="1120">
        <f t="shared" si="363"/>
        <v>0.85</v>
      </c>
      <c r="CM312" s="1120">
        <f t="shared" si="364"/>
        <v>0.85</v>
      </c>
      <c r="CN312" s="1120">
        <f t="shared" si="365"/>
        <v>0.85</v>
      </c>
      <c r="CO312" s="1120">
        <f t="shared" si="366"/>
        <v>0.85</v>
      </c>
      <c r="CP312" s="1120">
        <f t="shared" si="367"/>
        <v>0.85</v>
      </c>
      <c r="CQ312" s="1120">
        <f t="shared" si="368"/>
        <v>0.85</v>
      </c>
      <c r="CR312" s="1120">
        <f t="shared" si="369"/>
        <v>0.85</v>
      </c>
      <c r="CS312" s="1120">
        <f t="shared" si="370"/>
        <v>0.85</v>
      </c>
      <c r="CT312" s="1120">
        <f t="shared" si="371"/>
        <v>0.85</v>
      </c>
      <c r="CU312" s="1120">
        <v>1</v>
      </c>
      <c r="CV312" s="1120"/>
      <c r="CW312" s="1120">
        <f t="shared" si="372"/>
        <v>92</v>
      </c>
      <c r="CX312" s="1120">
        <f t="shared" si="373"/>
        <v>273</v>
      </c>
      <c r="CY312" s="1135" t="s">
        <v>4889</v>
      </c>
      <c r="CZ312" s="1124" t="s">
        <v>4899</v>
      </c>
      <c r="DA312" s="1124"/>
      <c r="DB312" s="1124"/>
      <c r="DC312" s="1120" t="s">
        <v>6044</v>
      </c>
      <c r="DD312" s="1120" t="s">
        <v>537</v>
      </c>
      <c r="DE312" s="1120" t="str">
        <f t="shared" si="375"/>
        <v/>
      </c>
      <c r="DF312" s="1133">
        <v>0</v>
      </c>
      <c r="DG312" s="1120">
        <v>0</v>
      </c>
    </row>
    <row r="313" spans="1:111">
      <c r="A313" s="1125" t="s">
        <v>3418</v>
      </c>
      <c r="B313" s="1125" t="s">
        <v>1170</v>
      </c>
      <c r="C313" s="1125" t="s">
        <v>1171</v>
      </c>
      <c r="D313" s="1125" t="s">
        <v>228</v>
      </c>
      <c r="E313" s="1125">
        <v>918</v>
      </c>
      <c r="F313" s="1125">
        <v>-97.72</v>
      </c>
      <c r="G313" s="1125">
        <v>31.13</v>
      </c>
      <c r="H313" s="1125">
        <v>-6</v>
      </c>
      <c r="I313" s="1126">
        <v>23.720000171661376</v>
      </c>
      <c r="J313" s="1126">
        <v>98.779997253417974</v>
      </c>
      <c r="K313" s="1127">
        <v>74.119999313354498</v>
      </c>
      <c r="L313" s="1125">
        <v>2143.8000000000002</v>
      </c>
      <c r="M313" s="1125">
        <v>3063.6</v>
      </c>
      <c r="N313" s="1128">
        <v>46.759999656677245</v>
      </c>
      <c r="O313" s="1128">
        <v>52.159999656677243</v>
      </c>
      <c r="P313" s="1128">
        <v>54.859999656677246</v>
      </c>
      <c r="Q313" s="1128">
        <v>67.099999999999994</v>
      </c>
      <c r="R313" s="1128">
        <v>80.960001373291021</v>
      </c>
      <c r="S313" s="1128">
        <v>80.419999313354495</v>
      </c>
      <c r="T313" s="1128">
        <v>83.480000686645511</v>
      </c>
      <c r="U313" s="1128">
        <v>83.66000137329101</v>
      </c>
      <c r="V313" s="1128">
        <v>77.900000000000006</v>
      </c>
      <c r="W313" s="1128">
        <v>68.539998626708979</v>
      </c>
      <c r="X313" s="1128">
        <v>60.080000686645505</v>
      </c>
      <c r="Y313" s="1128">
        <v>45.859999656677246</v>
      </c>
      <c r="Z313" s="1128">
        <v>66.885479513194468</v>
      </c>
      <c r="AA313" s="1128">
        <f t="shared" si="300"/>
        <v>61.257476605572514</v>
      </c>
      <c r="AB313" s="1128">
        <f t="shared" si="301"/>
        <v>61.558671559323628</v>
      </c>
      <c r="AC313" s="1128">
        <f t="shared" si="302"/>
        <v>64.812373557645373</v>
      </c>
      <c r="AD313" s="1128">
        <f t="shared" si="303"/>
        <v>70.170455033609642</v>
      </c>
      <c r="AE313" s="1128">
        <f t="shared" si="304"/>
        <v>76.236249479971391</v>
      </c>
      <c r="AF313" s="1128">
        <f t="shared" si="305"/>
        <v>81.42861409756452</v>
      </c>
      <c r="AG313" s="1128">
        <f t="shared" si="306"/>
        <v>84.394079032052531</v>
      </c>
      <c r="AH313" s="1128">
        <f t="shared" si="307"/>
        <v>84.359650149063171</v>
      </c>
      <c r="AI313" s="1128">
        <f t="shared" si="308"/>
        <v>81.334301867512764</v>
      </c>
      <c r="AJ313" s="1128">
        <f t="shared" si="309"/>
        <v>76.10663783901569</v>
      </c>
      <c r="AK313" s="1128">
        <f t="shared" si="310"/>
        <v>70.039329253340924</v>
      </c>
      <c r="AL313" s="1128">
        <f t="shared" si="311"/>
        <v>64.71391359340015</v>
      </c>
      <c r="AM313" s="1125">
        <f t="shared" si="312"/>
        <v>1</v>
      </c>
      <c r="AN313" s="1125">
        <f t="shared" si="313"/>
        <v>1</v>
      </c>
      <c r="AO313" s="1125">
        <f t="shared" si="314"/>
        <v>1</v>
      </c>
      <c r="AP313" s="1125">
        <f t="shared" si="315"/>
        <v>0</v>
      </c>
      <c r="AQ313" s="1125">
        <f t="shared" si="316"/>
        <v>0</v>
      </c>
      <c r="AR313" s="1125">
        <f t="shared" si="317"/>
        <v>0</v>
      </c>
      <c r="AS313" s="1125">
        <f t="shared" si="318"/>
        <v>0</v>
      </c>
      <c r="AT313" s="1125">
        <f t="shared" si="319"/>
        <v>0</v>
      </c>
      <c r="AU313" s="1125">
        <f t="shared" si="320"/>
        <v>0</v>
      </c>
      <c r="AV313" s="1125">
        <f t="shared" si="321"/>
        <v>0</v>
      </c>
      <c r="AW313" s="1125">
        <f t="shared" si="322"/>
        <v>1</v>
      </c>
      <c r="AX313" s="1125">
        <f t="shared" si="323"/>
        <v>1</v>
      </c>
      <c r="AY313" s="1125">
        <f t="shared" si="324"/>
        <v>0</v>
      </c>
      <c r="AZ313" s="1125">
        <f t="shared" si="325"/>
        <v>0</v>
      </c>
      <c r="BA313" s="1125">
        <f t="shared" si="326"/>
        <v>0</v>
      </c>
      <c r="BB313" s="1125">
        <f t="shared" si="327"/>
        <v>1</v>
      </c>
      <c r="BC313" s="1125">
        <f t="shared" si="328"/>
        <v>1</v>
      </c>
      <c r="BD313" s="1125">
        <f t="shared" si="329"/>
        <v>1</v>
      </c>
      <c r="BE313" s="1125">
        <f t="shared" si="330"/>
        <v>1</v>
      </c>
      <c r="BF313" s="1125">
        <f t="shared" si="331"/>
        <v>1</v>
      </c>
      <c r="BG313" s="1125">
        <f t="shared" si="332"/>
        <v>1</v>
      </c>
      <c r="BH313" s="1125">
        <f t="shared" si="333"/>
        <v>1</v>
      </c>
      <c r="BI313" s="1125">
        <f t="shared" si="334"/>
        <v>0</v>
      </c>
      <c r="BJ313" s="1125">
        <f t="shared" si="335"/>
        <v>0</v>
      </c>
      <c r="BK313" s="1125">
        <f t="shared" si="336"/>
        <v>1</v>
      </c>
      <c r="BL313" s="1125">
        <f t="shared" si="337"/>
        <v>1</v>
      </c>
      <c r="BM313" s="1125">
        <f t="shared" si="338"/>
        <v>1</v>
      </c>
      <c r="BN313" s="1125">
        <f t="shared" si="339"/>
        <v>1</v>
      </c>
      <c r="BO313" s="1125">
        <f t="shared" si="340"/>
        <v>0</v>
      </c>
      <c r="BP313" s="1125">
        <f t="shared" si="341"/>
        <v>0</v>
      </c>
      <c r="BQ313" s="1125">
        <f t="shared" si="342"/>
        <v>0</v>
      </c>
      <c r="BR313" s="1125">
        <f t="shared" si="343"/>
        <v>0</v>
      </c>
      <c r="BS313" s="1125">
        <f t="shared" si="344"/>
        <v>0</v>
      </c>
      <c r="BT313" s="1125">
        <f t="shared" si="345"/>
        <v>0</v>
      </c>
      <c r="BU313" s="1125">
        <f t="shared" si="346"/>
        <v>1</v>
      </c>
      <c r="BV313" s="1125">
        <f t="shared" si="347"/>
        <v>1</v>
      </c>
      <c r="BW313" s="1125">
        <f t="shared" si="348"/>
        <v>0</v>
      </c>
      <c r="BX313" s="1125">
        <f t="shared" si="349"/>
        <v>0</v>
      </c>
      <c r="BY313" s="1125">
        <f t="shared" si="350"/>
        <v>1</v>
      </c>
      <c r="BZ313" s="1125">
        <f t="shared" si="351"/>
        <v>1</v>
      </c>
      <c r="CA313" s="1125">
        <f t="shared" si="352"/>
        <v>1</v>
      </c>
      <c r="CB313" s="1125">
        <f t="shared" si="353"/>
        <v>1</v>
      </c>
      <c r="CC313" s="1125">
        <f t="shared" si="354"/>
        <v>1</v>
      </c>
      <c r="CD313" s="1125">
        <f t="shared" si="355"/>
        <v>1</v>
      </c>
      <c r="CE313" s="1125">
        <f t="shared" si="356"/>
        <v>1</v>
      </c>
      <c r="CF313" s="1125">
        <f t="shared" si="357"/>
        <v>1</v>
      </c>
      <c r="CG313" s="1125">
        <f t="shared" si="358"/>
        <v>1</v>
      </c>
      <c r="CH313" s="1125">
        <f t="shared" si="359"/>
        <v>0</v>
      </c>
      <c r="CI313" s="1125">
        <f t="shared" si="360"/>
        <v>0.85</v>
      </c>
      <c r="CJ313" s="1125">
        <f t="shared" si="361"/>
        <v>0.85</v>
      </c>
      <c r="CK313" s="1125">
        <f t="shared" si="362"/>
        <v>0.85</v>
      </c>
      <c r="CL313" s="1125">
        <f t="shared" si="363"/>
        <v>0.85</v>
      </c>
      <c r="CM313" s="1125">
        <f t="shared" si="364"/>
        <v>0.7</v>
      </c>
      <c r="CN313" s="1125">
        <f t="shared" si="365"/>
        <v>0.7</v>
      </c>
      <c r="CO313" s="1125">
        <f t="shared" si="366"/>
        <v>0.7</v>
      </c>
      <c r="CP313" s="1125">
        <f t="shared" si="367"/>
        <v>0.7</v>
      </c>
      <c r="CQ313" s="1125">
        <f t="shared" si="368"/>
        <v>0.7</v>
      </c>
      <c r="CR313" s="1125">
        <f t="shared" si="369"/>
        <v>0.7</v>
      </c>
      <c r="CS313" s="1125">
        <f t="shared" si="370"/>
        <v>0.85</v>
      </c>
      <c r="CT313" s="1125">
        <f t="shared" si="371"/>
        <v>0.85</v>
      </c>
      <c r="CU313" s="1125">
        <v>1</v>
      </c>
      <c r="CV313" s="1125"/>
      <c r="CW313" s="1125">
        <f t="shared" si="372"/>
        <v>275</v>
      </c>
      <c r="CX313" s="1125">
        <f t="shared" si="373"/>
        <v>90</v>
      </c>
      <c r="CY313" s="1135" t="s">
        <v>4883</v>
      </c>
      <c r="CZ313" s="1124" t="s">
        <v>4884</v>
      </c>
      <c r="DA313" s="1124"/>
      <c r="DB313" s="1124"/>
      <c r="DC313" s="1120" t="s">
        <v>5589</v>
      </c>
      <c r="DD313" s="1120" t="s">
        <v>228</v>
      </c>
      <c r="DE313" s="1120" t="str">
        <f t="shared" si="375"/>
        <v/>
      </c>
      <c r="DF313" s="1133">
        <v>0</v>
      </c>
      <c r="DG313" s="1125">
        <v>0</v>
      </c>
    </row>
    <row r="314" spans="1:111">
      <c r="A314" s="1120" t="s">
        <v>3420</v>
      </c>
      <c r="B314" s="1125" t="s">
        <v>3597</v>
      </c>
      <c r="C314" s="1125" t="s">
        <v>3598</v>
      </c>
      <c r="D314" s="1125" t="s">
        <v>1107</v>
      </c>
      <c r="E314" s="1125">
        <v>784</v>
      </c>
      <c r="F314" s="1125">
        <v>-85.97</v>
      </c>
      <c r="G314" s="1125">
        <v>37.9</v>
      </c>
      <c r="H314" s="1125">
        <v>-5</v>
      </c>
      <c r="I314" s="1126">
        <v>13.819999313354492</v>
      </c>
      <c r="J314" s="1126">
        <v>90.5</v>
      </c>
      <c r="K314" s="1127">
        <v>75.019999313354489</v>
      </c>
      <c r="L314" s="1125">
        <v>4645.8</v>
      </c>
      <c r="M314" s="1125">
        <v>1310.4000000000001</v>
      </c>
      <c r="N314" s="1128">
        <v>36.860000085830691</v>
      </c>
      <c r="O314" s="1128">
        <v>36.679999828338623</v>
      </c>
      <c r="P314" s="1128">
        <v>39.379999828338626</v>
      </c>
      <c r="Q314" s="1128">
        <v>51.980000686645511</v>
      </c>
      <c r="R314" s="1128">
        <v>66.739998626708982</v>
      </c>
      <c r="S314" s="1128">
        <v>72.139998626708987</v>
      </c>
      <c r="T314" s="1128">
        <v>79.33999862670899</v>
      </c>
      <c r="U314" s="1128">
        <v>71.780000686645508</v>
      </c>
      <c r="V314" s="1128">
        <v>69.260001373291018</v>
      </c>
      <c r="W314" s="1128">
        <v>58.819999313354494</v>
      </c>
      <c r="X314" s="1128">
        <v>42.97999982833862</v>
      </c>
      <c r="Y314" s="1128">
        <v>35.960000085830686</v>
      </c>
      <c r="Z314" s="1128">
        <v>55.268821713695786</v>
      </c>
      <c r="AA314" s="1128">
        <f t="shared" si="300"/>
        <v>51.06311868458431</v>
      </c>
      <c r="AB314" s="1128">
        <f t="shared" si="301"/>
        <v>50.213260715550561</v>
      </c>
      <c r="AC314" s="1128">
        <f t="shared" si="302"/>
        <v>52.245205092035448</v>
      </c>
      <c r="AD314" s="1128">
        <f t="shared" si="303"/>
        <v>56.629294199097494</v>
      </c>
      <c r="AE314" s="1128">
        <f t="shared" si="304"/>
        <v>62.222747650122791</v>
      </c>
      <c r="AF314" s="1128">
        <f t="shared" si="305"/>
        <v>67.567545605374733</v>
      </c>
      <c r="AG314" s="1128">
        <f t="shared" si="306"/>
        <v>71.270484111987201</v>
      </c>
      <c r="AH314" s="1128">
        <f t="shared" si="307"/>
        <v>72.366335184201986</v>
      </c>
      <c r="AI314" s="1128">
        <f t="shared" si="308"/>
        <v>70.569448352470076</v>
      </c>
      <c r="AJ314" s="1128">
        <f t="shared" si="309"/>
        <v>66.348209860346671</v>
      </c>
      <c r="AK314" s="1128">
        <f t="shared" si="310"/>
        <v>60.802950572057988</v>
      </c>
      <c r="AL314" s="1128">
        <f t="shared" si="311"/>
        <v>55.379127776128804</v>
      </c>
      <c r="AM314" s="1125">
        <f t="shared" si="312"/>
        <v>1</v>
      </c>
      <c r="AN314" s="1125">
        <f t="shared" si="313"/>
        <v>1</v>
      </c>
      <c r="AO314" s="1125">
        <f t="shared" si="314"/>
        <v>1</v>
      </c>
      <c r="AP314" s="1125">
        <f t="shared" si="315"/>
        <v>1</v>
      </c>
      <c r="AQ314" s="1125">
        <f t="shared" si="316"/>
        <v>0</v>
      </c>
      <c r="AR314" s="1125">
        <f t="shared" si="317"/>
        <v>0</v>
      </c>
      <c r="AS314" s="1125">
        <f t="shared" si="318"/>
        <v>0</v>
      </c>
      <c r="AT314" s="1125">
        <f t="shared" si="319"/>
        <v>0</v>
      </c>
      <c r="AU314" s="1125">
        <f t="shared" si="320"/>
        <v>0</v>
      </c>
      <c r="AV314" s="1125">
        <f t="shared" si="321"/>
        <v>1</v>
      </c>
      <c r="AW314" s="1125">
        <f t="shared" si="322"/>
        <v>1</v>
      </c>
      <c r="AX314" s="1125">
        <f t="shared" si="323"/>
        <v>1</v>
      </c>
      <c r="AY314" s="1125">
        <f t="shared" si="324"/>
        <v>0</v>
      </c>
      <c r="AZ314" s="1125">
        <f t="shared" si="325"/>
        <v>0</v>
      </c>
      <c r="BA314" s="1125">
        <f t="shared" si="326"/>
        <v>0</v>
      </c>
      <c r="BB314" s="1125">
        <f t="shared" si="327"/>
        <v>0</v>
      </c>
      <c r="BC314" s="1125">
        <f t="shared" si="328"/>
        <v>1</v>
      </c>
      <c r="BD314" s="1125">
        <f t="shared" si="329"/>
        <v>1</v>
      </c>
      <c r="BE314" s="1125">
        <f t="shared" si="330"/>
        <v>1</v>
      </c>
      <c r="BF314" s="1125">
        <f t="shared" si="331"/>
        <v>1</v>
      </c>
      <c r="BG314" s="1125">
        <f t="shared" si="332"/>
        <v>1</v>
      </c>
      <c r="BH314" s="1125">
        <f t="shared" si="333"/>
        <v>0</v>
      </c>
      <c r="BI314" s="1125">
        <f t="shared" si="334"/>
        <v>0</v>
      </c>
      <c r="BJ314" s="1125">
        <f t="shared" si="335"/>
        <v>0</v>
      </c>
      <c r="BK314" s="1125">
        <f t="shared" si="336"/>
        <v>1</v>
      </c>
      <c r="BL314" s="1125">
        <f t="shared" si="337"/>
        <v>1</v>
      </c>
      <c r="BM314" s="1125">
        <f t="shared" si="338"/>
        <v>1</v>
      </c>
      <c r="BN314" s="1125">
        <f t="shared" si="339"/>
        <v>1</v>
      </c>
      <c r="BO314" s="1125">
        <f t="shared" si="340"/>
        <v>1</v>
      </c>
      <c r="BP314" s="1125">
        <f t="shared" si="341"/>
        <v>0</v>
      </c>
      <c r="BQ314" s="1125">
        <f t="shared" si="342"/>
        <v>0</v>
      </c>
      <c r="BR314" s="1125">
        <f t="shared" si="343"/>
        <v>0</v>
      </c>
      <c r="BS314" s="1125">
        <f t="shared" si="344"/>
        <v>0</v>
      </c>
      <c r="BT314" s="1125">
        <f t="shared" si="345"/>
        <v>1</v>
      </c>
      <c r="BU314" s="1125">
        <f t="shared" si="346"/>
        <v>1</v>
      </c>
      <c r="BV314" s="1125">
        <f t="shared" si="347"/>
        <v>1</v>
      </c>
      <c r="BW314" s="1125">
        <f t="shared" si="348"/>
        <v>0</v>
      </c>
      <c r="BX314" s="1125">
        <f t="shared" si="349"/>
        <v>0</v>
      </c>
      <c r="BY314" s="1125">
        <f t="shared" si="350"/>
        <v>0</v>
      </c>
      <c r="BZ314" s="1125">
        <f t="shared" si="351"/>
        <v>1</v>
      </c>
      <c r="CA314" s="1125">
        <f t="shared" si="352"/>
        <v>1</v>
      </c>
      <c r="CB314" s="1125">
        <f t="shared" si="353"/>
        <v>1</v>
      </c>
      <c r="CC314" s="1125">
        <f t="shared" si="354"/>
        <v>1</v>
      </c>
      <c r="CD314" s="1125">
        <f t="shared" si="355"/>
        <v>1</v>
      </c>
      <c r="CE314" s="1125">
        <f t="shared" si="356"/>
        <v>1</v>
      </c>
      <c r="CF314" s="1125">
        <f t="shared" si="357"/>
        <v>1</v>
      </c>
      <c r="CG314" s="1125">
        <f t="shared" si="358"/>
        <v>0</v>
      </c>
      <c r="CH314" s="1125">
        <f t="shared" si="359"/>
        <v>0</v>
      </c>
      <c r="CI314" s="1125">
        <f t="shared" si="360"/>
        <v>0.85</v>
      </c>
      <c r="CJ314" s="1125">
        <f t="shared" si="361"/>
        <v>0.85</v>
      </c>
      <c r="CK314" s="1125">
        <f t="shared" si="362"/>
        <v>0.85</v>
      </c>
      <c r="CL314" s="1125">
        <f t="shared" si="363"/>
        <v>0.85</v>
      </c>
      <c r="CM314" s="1125">
        <f t="shared" si="364"/>
        <v>0.85</v>
      </c>
      <c r="CN314" s="1125">
        <f t="shared" si="365"/>
        <v>0.7</v>
      </c>
      <c r="CO314" s="1125">
        <f t="shared" si="366"/>
        <v>0.7</v>
      </c>
      <c r="CP314" s="1125">
        <f t="shared" si="367"/>
        <v>0.7</v>
      </c>
      <c r="CQ314" s="1125">
        <f t="shared" si="368"/>
        <v>0.7</v>
      </c>
      <c r="CR314" s="1125">
        <f t="shared" si="369"/>
        <v>0.85</v>
      </c>
      <c r="CS314" s="1125">
        <f t="shared" si="370"/>
        <v>0.85</v>
      </c>
      <c r="CT314" s="1125">
        <f t="shared" si="371"/>
        <v>0.85</v>
      </c>
      <c r="CU314" s="1125">
        <v>1</v>
      </c>
      <c r="CV314" s="1125"/>
      <c r="CW314" s="1125">
        <f t="shared" si="372"/>
        <v>214</v>
      </c>
      <c r="CX314" s="1125">
        <f t="shared" si="373"/>
        <v>151</v>
      </c>
      <c r="CY314" s="1136" t="s">
        <v>4881</v>
      </c>
      <c r="CZ314" s="1129" t="s">
        <v>4885</v>
      </c>
      <c r="DA314" s="1129"/>
      <c r="DB314" s="1129"/>
      <c r="DC314" s="1125" t="s">
        <v>5972</v>
      </c>
      <c r="DD314" s="1125" t="s">
        <v>1107</v>
      </c>
      <c r="DE314" s="1120" t="b">
        <f t="shared" si="375"/>
        <v>0</v>
      </c>
      <c r="DF314" s="1133">
        <v>0</v>
      </c>
      <c r="DG314" s="1120">
        <v>0</v>
      </c>
    </row>
    <row r="315" spans="1:111">
      <c r="A315" s="1125" t="s">
        <v>5836</v>
      </c>
      <c r="B315" s="1125" t="s">
        <v>3270</v>
      </c>
      <c r="C315" s="1125" t="s">
        <v>3271</v>
      </c>
      <c r="D315" s="1125" t="s">
        <v>594</v>
      </c>
      <c r="E315" s="1125">
        <v>10</v>
      </c>
      <c r="F315" s="1125">
        <v>-80.150000000000006</v>
      </c>
      <c r="G315" s="1125">
        <v>26.07</v>
      </c>
      <c r="H315" s="1125">
        <v>-5</v>
      </c>
      <c r="I315" s="1126">
        <v>51.080000686645505</v>
      </c>
      <c r="J315" s="1126">
        <v>90.5</v>
      </c>
      <c r="K315" s="1127">
        <v>78.260001373291018</v>
      </c>
      <c r="L315" s="1125">
        <v>111.60000000000001</v>
      </c>
      <c r="M315" s="1125">
        <v>4554</v>
      </c>
      <c r="N315" s="1128">
        <v>68.900000000000006</v>
      </c>
      <c r="O315" s="1128">
        <v>69.260001373291018</v>
      </c>
      <c r="P315" s="1128">
        <v>71.599999999999994</v>
      </c>
      <c r="Q315" s="1128">
        <v>77.539998626708979</v>
      </c>
      <c r="R315" s="1128">
        <v>79.519999313354489</v>
      </c>
      <c r="S315" s="1128">
        <v>82.580000686645505</v>
      </c>
      <c r="T315" s="1128">
        <v>84.739998626708982</v>
      </c>
      <c r="U315" s="1128">
        <v>82.760001373291018</v>
      </c>
      <c r="V315" s="1128">
        <v>80.599999999999994</v>
      </c>
      <c r="W315" s="1128">
        <v>79.16000137329101</v>
      </c>
      <c r="X315" s="1128">
        <v>74.119999313354498</v>
      </c>
      <c r="Y315" s="1128">
        <v>67.819999313354487</v>
      </c>
      <c r="Z315" s="1128">
        <v>76.586246567817582</v>
      </c>
      <c r="AA315" s="1128">
        <f t="shared" si="300"/>
        <v>76.450747316456599</v>
      </c>
      <c r="AB315" s="1128">
        <f t="shared" si="301"/>
        <v>77.124523789518676</v>
      </c>
      <c r="AC315" s="1128">
        <f t="shared" si="302"/>
        <v>79.221982472440104</v>
      </c>
      <c r="AD315" s="1128">
        <f t="shared" si="303"/>
        <v>82.196388436700715</v>
      </c>
      <c r="AE315" s="1128">
        <f t="shared" si="304"/>
        <v>85.272416930732604</v>
      </c>
      <c r="AF315" s="1128">
        <f t="shared" si="305"/>
        <v>87.648253724532367</v>
      </c>
      <c r="AG315" s="1128">
        <f t="shared" si="306"/>
        <v>88.704600345042863</v>
      </c>
      <c r="AH315" s="1128">
        <f t="shared" si="307"/>
        <v>88.166103766833842</v>
      </c>
      <c r="AI315" s="1128">
        <f t="shared" si="308"/>
        <v>86.173131421498965</v>
      </c>
      <c r="AJ315" s="1128">
        <f t="shared" si="309"/>
        <v>83.245182263483258</v>
      </c>
      <c r="AK315" s="1128">
        <f t="shared" si="310"/>
        <v>80.145471361885853</v>
      </c>
      <c r="AL315" s="1128">
        <f t="shared" si="311"/>
        <v>77.681986131199025</v>
      </c>
      <c r="AM315" s="1125">
        <f t="shared" si="312"/>
        <v>1</v>
      </c>
      <c r="AN315" s="1125">
        <f t="shared" si="313"/>
        <v>0</v>
      </c>
      <c r="AO315" s="1125">
        <f t="shared" si="314"/>
        <v>0</v>
      </c>
      <c r="AP315" s="1125">
        <f t="shared" si="315"/>
        <v>0</v>
      </c>
      <c r="AQ315" s="1125">
        <f t="shared" si="316"/>
        <v>0</v>
      </c>
      <c r="AR315" s="1125">
        <f t="shared" si="317"/>
        <v>0</v>
      </c>
      <c r="AS315" s="1125">
        <f t="shared" si="318"/>
        <v>0</v>
      </c>
      <c r="AT315" s="1125">
        <f t="shared" si="319"/>
        <v>0</v>
      </c>
      <c r="AU315" s="1125">
        <f t="shared" si="320"/>
        <v>0</v>
      </c>
      <c r="AV315" s="1125">
        <f t="shared" si="321"/>
        <v>0</v>
      </c>
      <c r="AW315" s="1125">
        <f t="shared" si="322"/>
        <v>0</v>
      </c>
      <c r="AX315" s="1125">
        <f t="shared" si="323"/>
        <v>0</v>
      </c>
      <c r="AY315" s="1125">
        <f t="shared" si="324"/>
        <v>1</v>
      </c>
      <c r="AZ315" s="1125">
        <f t="shared" si="325"/>
        <v>1</v>
      </c>
      <c r="BA315" s="1125">
        <f t="shared" si="326"/>
        <v>1</v>
      </c>
      <c r="BB315" s="1125">
        <f t="shared" si="327"/>
        <v>1</v>
      </c>
      <c r="BC315" s="1125">
        <f t="shared" si="328"/>
        <v>1</v>
      </c>
      <c r="BD315" s="1125">
        <f t="shared" si="329"/>
        <v>1</v>
      </c>
      <c r="BE315" s="1125">
        <f t="shared" si="330"/>
        <v>1</v>
      </c>
      <c r="BF315" s="1125">
        <f t="shared" si="331"/>
        <v>1</v>
      </c>
      <c r="BG315" s="1125">
        <f t="shared" si="332"/>
        <v>1</v>
      </c>
      <c r="BH315" s="1125">
        <f t="shared" si="333"/>
        <v>1</v>
      </c>
      <c r="BI315" s="1125">
        <f t="shared" si="334"/>
        <v>1</v>
      </c>
      <c r="BJ315" s="1125">
        <f t="shared" si="335"/>
        <v>1</v>
      </c>
      <c r="BK315" s="1125">
        <f t="shared" si="336"/>
        <v>1</v>
      </c>
      <c r="BL315" s="1125">
        <f t="shared" si="337"/>
        <v>0</v>
      </c>
      <c r="BM315" s="1125">
        <f t="shared" si="338"/>
        <v>0</v>
      </c>
      <c r="BN315" s="1125">
        <f t="shared" si="339"/>
        <v>0</v>
      </c>
      <c r="BO315" s="1125">
        <f t="shared" si="340"/>
        <v>0</v>
      </c>
      <c r="BP315" s="1125">
        <f t="shared" si="341"/>
        <v>0</v>
      </c>
      <c r="BQ315" s="1125">
        <f t="shared" si="342"/>
        <v>0</v>
      </c>
      <c r="BR315" s="1125">
        <f t="shared" si="343"/>
        <v>0</v>
      </c>
      <c r="BS315" s="1125">
        <f t="shared" si="344"/>
        <v>0</v>
      </c>
      <c r="BT315" s="1125">
        <f t="shared" si="345"/>
        <v>0</v>
      </c>
      <c r="BU315" s="1125">
        <f t="shared" si="346"/>
        <v>0</v>
      </c>
      <c r="BV315" s="1125">
        <f t="shared" si="347"/>
        <v>0</v>
      </c>
      <c r="BW315" s="1125">
        <f t="shared" si="348"/>
        <v>1</v>
      </c>
      <c r="BX315" s="1125">
        <f t="shared" si="349"/>
        <v>1</v>
      </c>
      <c r="BY315" s="1125">
        <f t="shared" si="350"/>
        <v>1</v>
      </c>
      <c r="BZ315" s="1125">
        <f t="shared" si="351"/>
        <v>1</v>
      </c>
      <c r="CA315" s="1125">
        <f t="shared" si="352"/>
        <v>1</v>
      </c>
      <c r="CB315" s="1125">
        <f t="shared" si="353"/>
        <v>1</v>
      </c>
      <c r="CC315" s="1125">
        <f t="shared" si="354"/>
        <v>1</v>
      </c>
      <c r="CD315" s="1125">
        <f t="shared" si="355"/>
        <v>1</v>
      </c>
      <c r="CE315" s="1125">
        <f t="shared" si="356"/>
        <v>1</v>
      </c>
      <c r="CF315" s="1125">
        <f t="shared" si="357"/>
        <v>1</v>
      </c>
      <c r="CG315" s="1125">
        <f t="shared" si="358"/>
        <v>1</v>
      </c>
      <c r="CH315" s="1125">
        <f t="shared" si="359"/>
        <v>1</v>
      </c>
      <c r="CI315" s="1125">
        <f t="shared" si="360"/>
        <v>0.85</v>
      </c>
      <c r="CJ315" s="1125">
        <f t="shared" si="361"/>
        <v>0.7</v>
      </c>
      <c r="CK315" s="1125">
        <f t="shared" si="362"/>
        <v>0.7</v>
      </c>
      <c r="CL315" s="1125">
        <f t="shared" si="363"/>
        <v>0.7</v>
      </c>
      <c r="CM315" s="1125">
        <f t="shared" si="364"/>
        <v>0.7</v>
      </c>
      <c r="CN315" s="1125">
        <f t="shared" si="365"/>
        <v>0.7</v>
      </c>
      <c r="CO315" s="1125">
        <f t="shared" si="366"/>
        <v>0.7</v>
      </c>
      <c r="CP315" s="1125">
        <f t="shared" si="367"/>
        <v>0.7</v>
      </c>
      <c r="CQ315" s="1125">
        <f t="shared" si="368"/>
        <v>0.7</v>
      </c>
      <c r="CR315" s="1125">
        <f t="shared" si="369"/>
        <v>0.7</v>
      </c>
      <c r="CS315" s="1125">
        <f t="shared" si="370"/>
        <v>0.7</v>
      </c>
      <c r="CT315" s="1125">
        <f t="shared" si="371"/>
        <v>0.7</v>
      </c>
      <c r="CU315" s="1125">
        <v>1</v>
      </c>
      <c r="CV315" s="1125"/>
      <c r="CW315" s="1125">
        <f t="shared" si="372"/>
        <v>365</v>
      </c>
      <c r="CX315" s="1125">
        <f t="shared" si="373"/>
        <v>0</v>
      </c>
      <c r="CY315" s="1136" t="s">
        <v>4883</v>
      </c>
      <c r="CZ315" s="1129" t="s">
        <v>4898</v>
      </c>
      <c r="DA315" s="1129"/>
      <c r="DB315" s="1129"/>
      <c r="DC315" s="1125" t="s">
        <v>5095</v>
      </c>
      <c r="DD315" s="1125" t="s">
        <v>594</v>
      </c>
      <c r="DE315" s="1120" t="str">
        <f t="shared" si="375"/>
        <v/>
      </c>
      <c r="DF315" s="1133">
        <v>0</v>
      </c>
      <c r="DG315" s="1125">
        <v>0</v>
      </c>
    </row>
    <row r="316" spans="1:111">
      <c r="A316" s="1120" t="s">
        <v>3422</v>
      </c>
      <c r="B316" s="1120" t="s">
        <v>3268</v>
      </c>
      <c r="C316" s="1120" t="s">
        <v>3269</v>
      </c>
      <c r="D316" s="1120" t="s">
        <v>594</v>
      </c>
      <c r="E316" s="1120">
        <v>13</v>
      </c>
      <c r="F316" s="1120">
        <v>-80.17</v>
      </c>
      <c r="G316" s="1120">
        <v>26.2</v>
      </c>
      <c r="H316" s="1120">
        <v>-5</v>
      </c>
      <c r="I316" s="1121">
        <v>14.359999656677246</v>
      </c>
      <c r="J316" s="1121">
        <v>91.579997253417972</v>
      </c>
      <c r="K316" s="1122">
        <v>78.980000686645511</v>
      </c>
      <c r="L316" s="1120">
        <v>252</v>
      </c>
      <c r="M316" s="1120">
        <v>4240.8</v>
      </c>
      <c r="N316" s="1123">
        <v>66.739998626708982</v>
      </c>
      <c r="O316" s="1123">
        <v>66.739998626708982</v>
      </c>
      <c r="P316" s="1123">
        <v>73.760001373291018</v>
      </c>
      <c r="Q316" s="1123">
        <v>73.760001373291018</v>
      </c>
      <c r="R316" s="1123">
        <v>79.7</v>
      </c>
      <c r="S316" s="1123">
        <v>80.060001373291016</v>
      </c>
      <c r="T316" s="1123">
        <v>84.019999313354489</v>
      </c>
      <c r="U316" s="1123">
        <v>79.880000686645502</v>
      </c>
      <c r="V316" s="1123">
        <v>80.419999313354495</v>
      </c>
      <c r="W316" s="1123">
        <v>77.360001373291013</v>
      </c>
      <c r="X316" s="1123">
        <v>73.760001373291018</v>
      </c>
      <c r="Y316" s="1123">
        <v>67.280000686645508</v>
      </c>
      <c r="Z316" s="1123">
        <v>75.341534598363594</v>
      </c>
      <c r="AA316" s="1123">
        <f t="shared" si="300"/>
        <v>75.189837832387326</v>
      </c>
      <c r="AB316" s="1123">
        <f t="shared" si="301"/>
        <v>75.800165694417288</v>
      </c>
      <c r="AC316" s="1123">
        <f t="shared" si="302"/>
        <v>77.854936756340564</v>
      </c>
      <c r="AD316" s="1123">
        <f t="shared" si="303"/>
        <v>80.818543275886285</v>
      </c>
      <c r="AE316" s="1123">
        <f t="shared" si="304"/>
        <v>83.918475543175944</v>
      </c>
      <c r="AF316" s="1123">
        <f t="shared" si="305"/>
        <v>86.346688441338245</v>
      </c>
      <c r="AG316" s="1123">
        <f t="shared" si="306"/>
        <v>87.470230858573728</v>
      </c>
      <c r="AH316" s="1123">
        <f t="shared" si="307"/>
        <v>86.996234149517207</v>
      </c>
      <c r="AI316" s="1123">
        <f t="shared" si="308"/>
        <v>85.048252860894664</v>
      </c>
      <c r="AJ316" s="1123">
        <f t="shared" si="309"/>
        <v>82.134058334885893</v>
      </c>
      <c r="AK316" s="1123">
        <f t="shared" si="310"/>
        <v>79.013280283792113</v>
      </c>
      <c r="AL316" s="1123">
        <f t="shared" si="311"/>
        <v>76.499397599276449</v>
      </c>
      <c r="AM316" s="1120">
        <f t="shared" si="312"/>
        <v>1</v>
      </c>
      <c r="AN316" s="1120">
        <f t="shared" si="313"/>
        <v>0</v>
      </c>
      <c r="AO316" s="1120">
        <f t="shared" si="314"/>
        <v>0</v>
      </c>
      <c r="AP316" s="1120">
        <f t="shared" si="315"/>
        <v>0</v>
      </c>
      <c r="AQ316" s="1120">
        <f t="shared" si="316"/>
        <v>0</v>
      </c>
      <c r="AR316" s="1120">
        <f t="shared" si="317"/>
        <v>0</v>
      </c>
      <c r="AS316" s="1120">
        <f t="shared" si="318"/>
        <v>0</v>
      </c>
      <c r="AT316" s="1120">
        <f t="shared" si="319"/>
        <v>0</v>
      </c>
      <c r="AU316" s="1120">
        <f t="shared" si="320"/>
        <v>0</v>
      </c>
      <c r="AV316" s="1120">
        <f t="shared" si="321"/>
        <v>0</v>
      </c>
      <c r="AW316" s="1120">
        <f t="shared" si="322"/>
        <v>0</v>
      </c>
      <c r="AX316" s="1120">
        <f t="shared" si="323"/>
        <v>0</v>
      </c>
      <c r="AY316" s="1120">
        <f t="shared" si="324"/>
        <v>1</v>
      </c>
      <c r="AZ316" s="1120">
        <f t="shared" si="325"/>
        <v>1</v>
      </c>
      <c r="BA316" s="1120">
        <f t="shared" si="326"/>
        <v>1</v>
      </c>
      <c r="BB316" s="1120">
        <f t="shared" si="327"/>
        <v>1</v>
      </c>
      <c r="BC316" s="1120">
        <f t="shared" si="328"/>
        <v>1</v>
      </c>
      <c r="BD316" s="1120">
        <f t="shared" si="329"/>
        <v>1</v>
      </c>
      <c r="BE316" s="1120">
        <f t="shared" si="330"/>
        <v>1</v>
      </c>
      <c r="BF316" s="1120">
        <f t="shared" si="331"/>
        <v>1</v>
      </c>
      <c r="BG316" s="1120">
        <f t="shared" si="332"/>
        <v>1</v>
      </c>
      <c r="BH316" s="1120">
        <f t="shared" si="333"/>
        <v>1</v>
      </c>
      <c r="BI316" s="1120">
        <f t="shared" si="334"/>
        <v>1</v>
      </c>
      <c r="BJ316" s="1120">
        <f t="shared" si="335"/>
        <v>1</v>
      </c>
      <c r="BK316" s="1120">
        <f t="shared" si="336"/>
        <v>1</v>
      </c>
      <c r="BL316" s="1120">
        <f t="shared" si="337"/>
        <v>0</v>
      </c>
      <c r="BM316" s="1120">
        <f t="shared" si="338"/>
        <v>0</v>
      </c>
      <c r="BN316" s="1120">
        <f t="shared" si="339"/>
        <v>0</v>
      </c>
      <c r="BO316" s="1120">
        <f t="shared" si="340"/>
        <v>0</v>
      </c>
      <c r="BP316" s="1120">
        <f t="shared" si="341"/>
        <v>0</v>
      </c>
      <c r="BQ316" s="1120">
        <f t="shared" si="342"/>
        <v>0</v>
      </c>
      <c r="BR316" s="1120">
        <f t="shared" si="343"/>
        <v>0</v>
      </c>
      <c r="BS316" s="1120">
        <f t="shared" si="344"/>
        <v>0</v>
      </c>
      <c r="BT316" s="1120">
        <f t="shared" si="345"/>
        <v>0</v>
      </c>
      <c r="BU316" s="1120">
        <f t="shared" si="346"/>
        <v>0</v>
      </c>
      <c r="BV316" s="1120">
        <f t="shared" si="347"/>
        <v>0</v>
      </c>
      <c r="BW316" s="1120">
        <f t="shared" si="348"/>
        <v>1</v>
      </c>
      <c r="BX316" s="1120">
        <f t="shared" si="349"/>
        <v>1</v>
      </c>
      <c r="BY316" s="1120">
        <f t="shared" si="350"/>
        <v>1</v>
      </c>
      <c r="BZ316" s="1120">
        <f t="shared" si="351"/>
        <v>1</v>
      </c>
      <c r="CA316" s="1120">
        <f t="shared" si="352"/>
        <v>1</v>
      </c>
      <c r="CB316" s="1120">
        <f t="shared" si="353"/>
        <v>1</v>
      </c>
      <c r="CC316" s="1120">
        <f t="shared" si="354"/>
        <v>1</v>
      </c>
      <c r="CD316" s="1120">
        <f t="shared" si="355"/>
        <v>1</v>
      </c>
      <c r="CE316" s="1120">
        <f t="shared" si="356"/>
        <v>1</v>
      </c>
      <c r="CF316" s="1120">
        <f t="shared" si="357"/>
        <v>1</v>
      </c>
      <c r="CG316" s="1120">
        <f t="shared" si="358"/>
        <v>1</v>
      </c>
      <c r="CH316" s="1120">
        <f t="shared" si="359"/>
        <v>1</v>
      </c>
      <c r="CI316" s="1120">
        <f t="shared" si="360"/>
        <v>0.85</v>
      </c>
      <c r="CJ316" s="1120">
        <f t="shared" si="361"/>
        <v>0.7</v>
      </c>
      <c r="CK316" s="1120">
        <f t="shared" si="362"/>
        <v>0.7</v>
      </c>
      <c r="CL316" s="1120">
        <f t="shared" si="363"/>
        <v>0.7</v>
      </c>
      <c r="CM316" s="1120">
        <f t="shared" si="364"/>
        <v>0.7</v>
      </c>
      <c r="CN316" s="1120">
        <f t="shared" si="365"/>
        <v>0.7</v>
      </c>
      <c r="CO316" s="1120">
        <f t="shared" si="366"/>
        <v>0.7</v>
      </c>
      <c r="CP316" s="1120">
        <f t="shared" si="367"/>
        <v>0.7</v>
      </c>
      <c r="CQ316" s="1120">
        <f t="shared" si="368"/>
        <v>0.7</v>
      </c>
      <c r="CR316" s="1120">
        <f t="shared" si="369"/>
        <v>0.7</v>
      </c>
      <c r="CS316" s="1120">
        <f t="shared" si="370"/>
        <v>0.7</v>
      </c>
      <c r="CT316" s="1120">
        <f t="shared" si="371"/>
        <v>0.7</v>
      </c>
      <c r="CU316" s="1120">
        <v>1</v>
      </c>
      <c r="CV316" s="1120"/>
      <c r="CW316" s="1120">
        <f t="shared" si="372"/>
        <v>365</v>
      </c>
      <c r="CX316" s="1120">
        <f t="shared" si="373"/>
        <v>0</v>
      </c>
      <c r="CY316" s="1135" t="s">
        <v>4883</v>
      </c>
      <c r="CZ316" s="1124" t="s">
        <v>4898</v>
      </c>
      <c r="DA316" s="1124"/>
      <c r="DB316" s="1124"/>
      <c r="DC316" s="1120" t="s">
        <v>5094</v>
      </c>
      <c r="DD316" s="1120" t="s">
        <v>594</v>
      </c>
      <c r="DE316" s="1120" t="str">
        <f t="shared" si="375"/>
        <v/>
      </c>
      <c r="DF316" s="1133">
        <v>0</v>
      </c>
      <c r="DG316" s="1120">
        <v>0</v>
      </c>
    </row>
    <row r="317" spans="1:111">
      <c r="A317" s="1125" t="s">
        <v>3424</v>
      </c>
      <c r="B317" s="1125" t="s">
        <v>3438</v>
      </c>
      <c r="C317" s="1125" t="s">
        <v>3439</v>
      </c>
      <c r="D317" s="1125" t="s">
        <v>566</v>
      </c>
      <c r="E317" s="1125">
        <v>725</v>
      </c>
      <c r="F317" s="1125">
        <v>-91.33</v>
      </c>
      <c r="G317" s="1125">
        <v>40.67</v>
      </c>
      <c r="H317" s="1125">
        <v>-6</v>
      </c>
      <c r="I317" s="1126">
        <v>4.8199993133544918</v>
      </c>
      <c r="J317" s="1126">
        <v>93.379997253417969</v>
      </c>
      <c r="K317" s="1127">
        <v>80.780000686645508</v>
      </c>
      <c r="L317" s="1125">
        <v>5162.4000000000005</v>
      </c>
      <c r="M317" s="1125">
        <v>1200.6000000000001</v>
      </c>
      <c r="N317" s="1128">
        <v>26.420000171661378</v>
      </c>
      <c r="O317" s="1128">
        <v>32.180000002682206</v>
      </c>
      <c r="P317" s="1128">
        <v>43.340000343322757</v>
      </c>
      <c r="Q317" s="1128">
        <v>54.859999656677246</v>
      </c>
      <c r="R317" s="1128">
        <v>60.980000686645511</v>
      </c>
      <c r="S317" s="1128">
        <v>69.980000686645511</v>
      </c>
      <c r="T317" s="1128">
        <v>75.739998626708982</v>
      </c>
      <c r="U317" s="1128">
        <v>73.760001373291018</v>
      </c>
      <c r="V317" s="1128">
        <v>75.560001373291016</v>
      </c>
      <c r="W317" s="1128">
        <v>53.780000686645508</v>
      </c>
      <c r="X317" s="1128">
        <v>39.920000171661378</v>
      </c>
      <c r="Y317" s="1128">
        <v>34.700000000000003</v>
      </c>
      <c r="Z317" s="1128">
        <v>53.536877028109274</v>
      </c>
      <c r="AA317" s="1128">
        <f t="shared" si="300"/>
        <v>48.475236126075409</v>
      </c>
      <c r="AB317" s="1128">
        <f t="shared" si="301"/>
        <v>47.358296446796615</v>
      </c>
      <c r="AC317" s="1128">
        <f t="shared" si="302"/>
        <v>49.415891473644677</v>
      </c>
      <c r="AD317" s="1128">
        <f t="shared" si="303"/>
        <v>54.111677354372475</v>
      </c>
      <c r="AE317" s="1128">
        <f t="shared" si="304"/>
        <v>60.221625134917446</v>
      </c>
      <c r="AF317" s="1128">
        <f t="shared" si="305"/>
        <v>66.153082769135125</v>
      </c>
      <c r="AG317" s="1128">
        <f t="shared" si="306"/>
        <v>70.359924418137666</v>
      </c>
      <c r="AH317" s="1128">
        <f t="shared" si="307"/>
        <v>71.745571976720413</v>
      </c>
      <c r="AI317" s="1128">
        <f t="shared" si="308"/>
        <v>69.948835055263487</v>
      </c>
      <c r="AJ317" s="1128">
        <f t="shared" si="309"/>
        <v>65.438060820898741</v>
      </c>
      <c r="AK317" s="1128">
        <f t="shared" si="310"/>
        <v>59.389052090948447</v>
      </c>
      <c r="AL317" s="1128">
        <f t="shared" si="311"/>
        <v>53.378576208920364</v>
      </c>
      <c r="AM317" s="1125">
        <f t="shared" si="312"/>
        <v>1</v>
      </c>
      <c r="AN317" s="1125">
        <f t="shared" si="313"/>
        <v>1</v>
      </c>
      <c r="AO317" s="1125">
        <f t="shared" si="314"/>
        <v>1</v>
      </c>
      <c r="AP317" s="1125">
        <f t="shared" si="315"/>
        <v>1</v>
      </c>
      <c r="AQ317" s="1125">
        <f t="shared" si="316"/>
        <v>1</v>
      </c>
      <c r="AR317" s="1125">
        <f t="shared" si="317"/>
        <v>0</v>
      </c>
      <c r="AS317" s="1125">
        <f t="shared" si="318"/>
        <v>0</v>
      </c>
      <c r="AT317" s="1125">
        <f t="shared" si="319"/>
        <v>0</v>
      </c>
      <c r="AU317" s="1125">
        <f t="shared" si="320"/>
        <v>0</v>
      </c>
      <c r="AV317" s="1125">
        <f t="shared" si="321"/>
        <v>1</v>
      </c>
      <c r="AW317" s="1125">
        <f t="shared" si="322"/>
        <v>1</v>
      </c>
      <c r="AX317" s="1125">
        <f t="shared" si="323"/>
        <v>1</v>
      </c>
      <c r="AY317" s="1125">
        <f t="shared" si="324"/>
        <v>0</v>
      </c>
      <c r="AZ317" s="1125">
        <f t="shared" si="325"/>
        <v>0</v>
      </c>
      <c r="BA317" s="1125">
        <f t="shared" si="326"/>
        <v>0</v>
      </c>
      <c r="BB317" s="1125">
        <f t="shared" si="327"/>
        <v>0</v>
      </c>
      <c r="BC317" s="1125">
        <f t="shared" si="328"/>
        <v>0</v>
      </c>
      <c r="BD317" s="1125">
        <f t="shared" si="329"/>
        <v>1</v>
      </c>
      <c r="BE317" s="1125">
        <f t="shared" si="330"/>
        <v>1</v>
      </c>
      <c r="BF317" s="1125">
        <f t="shared" si="331"/>
        <v>1</v>
      </c>
      <c r="BG317" s="1125">
        <f t="shared" si="332"/>
        <v>1</v>
      </c>
      <c r="BH317" s="1125">
        <f t="shared" si="333"/>
        <v>0</v>
      </c>
      <c r="BI317" s="1125">
        <f t="shared" si="334"/>
        <v>0</v>
      </c>
      <c r="BJ317" s="1125">
        <f t="shared" si="335"/>
        <v>0</v>
      </c>
      <c r="BK317" s="1125">
        <f t="shared" si="336"/>
        <v>1</v>
      </c>
      <c r="BL317" s="1125">
        <f t="shared" si="337"/>
        <v>1</v>
      </c>
      <c r="BM317" s="1125">
        <f t="shared" si="338"/>
        <v>1</v>
      </c>
      <c r="BN317" s="1125">
        <f t="shared" si="339"/>
        <v>1</v>
      </c>
      <c r="BO317" s="1125">
        <f t="shared" si="340"/>
        <v>1</v>
      </c>
      <c r="BP317" s="1125">
        <f t="shared" si="341"/>
        <v>1</v>
      </c>
      <c r="BQ317" s="1125">
        <f t="shared" si="342"/>
        <v>0</v>
      </c>
      <c r="BR317" s="1125">
        <f t="shared" si="343"/>
        <v>0</v>
      </c>
      <c r="BS317" s="1125">
        <f t="shared" si="344"/>
        <v>0</v>
      </c>
      <c r="BT317" s="1125">
        <f t="shared" si="345"/>
        <v>1</v>
      </c>
      <c r="BU317" s="1125">
        <f t="shared" si="346"/>
        <v>1</v>
      </c>
      <c r="BV317" s="1125">
        <f t="shared" si="347"/>
        <v>1</v>
      </c>
      <c r="BW317" s="1125">
        <f t="shared" si="348"/>
        <v>0</v>
      </c>
      <c r="BX317" s="1125">
        <f t="shared" si="349"/>
        <v>0</v>
      </c>
      <c r="BY317" s="1125">
        <f t="shared" si="350"/>
        <v>0</v>
      </c>
      <c r="BZ317" s="1125">
        <f t="shared" si="351"/>
        <v>0</v>
      </c>
      <c r="CA317" s="1125">
        <f t="shared" si="352"/>
        <v>1</v>
      </c>
      <c r="CB317" s="1125">
        <f t="shared" si="353"/>
        <v>1</v>
      </c>
      <c r="CC317" s="1125">
        <f t="shared" si="354"/>
        <v>1</v>
      </c>
      <c r="CD317" s="1125">
        <f t="shared" si="355"/>
        <v>1</v>
      </c>
      <c r="CE317" s="1125">
        <f t="shared" si="356"/>
        <v>1</v>
      </c>
      <c r="CF317" s="1125">
        <f t="shared" si="357"/>
        <v>1</v>
      </c>
      <c r="CG317" s="1125">
        <f t="shared" si="358"/>
        <v>0</v>
      </c>
      <c r="CH317" s="1125">
        <f t="shared" si="359"/>
        <v>0</v>
      </c>
      <c r="CI317" s="1125">
        <f t="shared" si="360"/>
        <v>0.85</v>
      </c>
      <c r="CJ317" s="1125">
        <f t="shared" si="361"/>
        <v>0.85</v>
      </c>
      <c r="CK317" s="1125">
        <f t="shared" si="362"/>
        <v>0.85</v>
      </c>
      <c r="CL317" s="1125">
        <f t="shared" si="363"/>
        <v>0.85</v>
      </c>
      <c r="CM317" s="1125">
        <f t="shared" si="364"/>
        <v>0.85</v>
      </c>
      <c r="CN317" s="1125">
        <f t="shared" si="365"/>
        <v>0.85</v>
      </c>
      <c r="CO317" s="1125">
        <f t="shared" si="366"/>
        <v>0.7</v>
      </c>
      <c r="CP317" s="1125">
        <f t="shared" si="367"/>
        <v>0.7</v>
      </c>
      <c r="CQ317" s="1125">
        <f t="shared" si="368"/>
        <v>0.7</v>
      </c>
      <c r="CR317" s="1125">
        <f t="shared" si="369"/>
        <v>0.85</v>
      </c>
      <c r="CS317" s="1125">
        <f t="shared" si="370"/>
        <v>0.85</v>
      </c>
      <c r="CT317" s="1125">
        <f t="shared" si="371"/>
        <v>0.85</v>
      </c>
      <c r="CU317" s="1125">
        <v>1</v>
      </c>
      <c r="CV317" s="1125"/>
      <c r="CW317" s="1125">
        <f t="shared" si="372"/>
        <v>184</v>
      </c>
      <c r="CX317" s="1125">
        <f t="shared" si="373"/>
        <v>181</v>
      </c>
      <c r="CY317" s="1136" t="s">
        <v>4889</v>
      </c>
      <c r="CZ317" s="1129" t="s">
        <v>4897</v>
      </c>
      <c r="DA317" s="1129"/>
      <c r="DB317" s="1129"/>
      <c r="DC317" s="1125" t="s">
        <v>5174</v>
      </c>
      <c r="DD317" s="1125" t="s">
        <v>566</v>
      </c>
      <c r="DE317" s="1120" t="str">
        <f t="shared" si="375"/>
        <v/>
      </c>
      <c r="DF317" s="1133">
        <v>1</v>
      </c>
      <c r="DG317" s="1125">
        <v>0</v>
      </c>
    </row>
    <row r="318" spans="1:111">
      <c r="A318" s="1120" t="s">
        <v>3426</v>
      </c>
      <c r="B318" s="1125" t="s">
        <v>3272</v>
      </c>
      <c r="C318" s="1125" t="s">
        <v>3273</v>
      </c>
      <c r="D318" s="1125" t="s">
        <v>594</v>
      </c>
      <c r="E318" s="1125">
        <v>16</v>
      </c>
      <c r="F318" s="1125">
        <v>-81.87</v>
      </c>
      <c r="G318" s="1125">
        <v>26.58</v>
      </c>
      <c r="H318" s="1125">
        <v>-5</v>
      </c>
      <c r="I318" s="1126">
        <v>46.4</v>
      </c>
      <c r="J318" s="1126">
        <v>92.479997253417977</v>
      </c>
      <c r="K318" s="1127">
        <v>77</v>
      </c>
      <c r="L318" s="1125">
        <v>192.6</v>
      </c>
      <c r="M318" s="1125">
        <v>3990.6</v>
      </c>
      <c r="N318" s="1128">
        <v>65.66000137329101</v>
      </c>
      <c r="O318" s="1128">
        <v>66.019999313354489</v>
      </c>
      <c r="P318" s="1128">
        <v>70.33999862670899</v>
      </c>
      <c r="Q318" s="1128">
        <v>73.039998626708979</v>
      </c>
      <c r="R318" s="1128">
        <v>79.7</v>
      </c>
      <c r="S318" s="1128">
        <v>81.680000686645513</v>
      </c>
      <c r="T318" s="1128">
        <v>81.139998626708987</v>
      </c>
      <c r="U318" s="1128">
        <v>81.5</v>
      </c>
      <c r="V318" s="1128">
        <v>79.7</v>
      </c>
      <c r="W318" s="1128">
        <v>77.719999313354492</v>
      </c>
      <c r="X318" s="1128">
        <v>74.3</v>
      </c>
      <c r="Y318" s="1128">
        <v>66.739998626708982</v>
      </c>
      <c r="Z318" s="1128">
        <v>74.840985900669878</v>
      </c>
      <c r="AA318" s="1128">
        <f t="shared" si="300"/>
        <v>75.181150678732763</v>
      </c>
      <c r="AB318" s="1128">
        <f t="shared" si="301"/>
        <v>75.718503624141277</v>
      </c>
      <c r="AC318" s="1128">
        <f t="shared" si="302"/>
        <v>77.591110514768346</v>
      </c>
      <c r="AD318" s="1128">
        <f t="shared" si="303"/>
        <v>80.310847506826306</v>
      </c>
      <c r="AE318" s="1128">
        <f t="shared" si="304"/>
        <v>83.168773240919535</v>
      </c>
      <c r="AF318" s="1128">
        <f t="shared" si="305"/>
        <v>85.419925332487949</v>
      </c>
      <c r="AG318" s="1128">
        <f t="shared" si="306"/>
        <v>86.477506297560382</v>
      </c>
      <c r="AH318" s="1128">
        <f t="shared" si="307"/>
        <v>86.065841359774723</v>
      </c>
      <c r="AI318" s="1128">
        <f t="shared" si="308"/>
        <v>84.292237329113519</v>
      </c>
      <c r="AJ318" s="1128">
        <f t="shared" si="309"/>
        <v>81.61901142823406</v>
      </c>
      <c r="AK318" s="1128">
        <f t="shared" si="310"/>
        <v>78.742981183858689</v>
      </c>
      <c r="AL318" s="1128">
        <f t="shared" si="311"/>
        <v>76.413828200151499</v>
      </c>
      <c r="AM318" s="1125">
        <f t="shared" si="312"/>
        <v>1</v>
      </c>
      <c r="AN318" s="1125">
        <f t="shared" si="313"/>
        <v>0</v>
      </c>
      <c r="AO318" s="1125">
        <f t="shared" si="314"/>
        <v>0</v>
      </c>
      <c r="AP318" s="1125">
        <f t="shared" si="315"/>
        <v>0</v>
      </c>
      <c r="AQ318" s="1125">
        <f t="shared" si="316"/>
        <v>0</v>
      </c>
      <c r="AR318" s="1125">
        <f t="shared" si="317"/>
        <v>0</v>
      </c>
      <c r="AS318" s="1125">
        <f t="shared" si="318"/>
        <v>0</v>
      </c>
      <c r="AT318" s="1125">
        <f t="shared" si="319"/>
        <v>0</v>
      </c>
      <c r="AU318" s="1125">
        <f t="shared" si="320"/>
        <v>0</v>
      </c>
      <c r="AV318" s="1125">
        <f t="shared" si="321"/>
        <v>0</v>
      </c>
      <c r="AW318" s="1125">
        <f t="shared" si="322"/>
        <v>0</v>
      </c>
      <c r="AX318" s="1125">
        <f t="shared" si="323"/>
        <v>0</v>
      </c>
      <c r="AY318" s="1125">
        <f t="shared" si="324"/>
        <v>0</v>
      </c>
      <c r="AZ318" s="1125">
        <f t="shared" si="325"/>
        <v>1</v>
      </c>
      <c r="BA318" s="1125">
        <f t="shared" si="326"/>
        <v>1</v>
      </c>
      <c r="BB318" s="1125">
        <f t="shared" si="327"/>
        <v>1</v>
      </c>
      <c r="BC318" s="1125">
        <f t="shared" si="328"/>
        <v>1</v>
      </c>
      <c r="BD318" s="1125">
        <f t="shared" si="329"/>
        <v>1</v>
      </c>
      <c r="BE318" s="1125">
        <f t="shared" si="330"/>
        <v>1</v>
      </c>
      <c r="BF318" s="1125">
        <f t="shared" si="331"/>
        <v>1</v>
      </c>
      <c r="BG318" s="1125">
        <f t="shared" si="332"/>
        <v>1</v>
      </c>
      <c r="BH318" s="1125">
        <f t="shared" si="333"/>
        <v>1</v>
      </c>
      <c r="BI318" s="1125">
        <f t="shared" si="334"/>
        <v>1</v>
      </c>
      <c r="BJ318" s="1125">
        <f t="shared" si="335"/>
        <v>1</v>
      </c>
      <c r="BK318" s="1125">
        <f t="shared" si="336"/>
        <v>1</v>
      </c>
      <c r="BL318" s="1125">
        <f t="shared" si="337"/>
        <v>1</v>
      </c>
      <c r="BM318" s="1125">
        <f t="shared" si="338"/>
        <v>0</v>
      </c>
      <c r="BN318" s="1125">
        <f t="shared" si="339"/>
        <v>0</v>
      </c>
      <c r="BO318" s="1125">
        <f t="shared" si="340"/>
        <v>0</v>
      </c>
      <c r="BP318" s="1125">
        <f t="shared" si="341"/>
        <v>0</v>
      </c>
      <c r="BQ318" s="1125">
        <f t="shared" si="342"/>
        <v>0</v>
      </c>
      <c r="BR318" s="1125">
        <f t="shared" si="343"/>
        <v>0</v>
      </c>
      <c r="BS318" s="1125">
        <f t="shared" si="344"/>
        <v>0</v>
      </c>
      <c r="BT318" s="1125">
        <f t="shared" si="345"/>
        <v>0</v>
      </c>
      <c r="BU318" s="1125">
        <f t="shared" si="346"/>
        <v>0</v>
      </c>
      <c r="BV318" s="1125">
        <f t="shared" si="347"/>
        <v>0</v>
      </c>
      <c r="BW318" s="1125">
        <f t="shared" si="348"/>
        <v>1</v>
      </c>
      <c r="BX318" s="1125">
        <f t="shared" si="349"/>
        <v>1</v>
      </c>
      <c r="BY318" s="1125">
        <f t="shared" si="350"/>
        <v>1</v>
      </c>
      <c r="BZ318" s="1125">
        <f t="shared" si="351"/>
        <v>1</v>
      </c>
      <c r="CA318" s="1125">
        <f t="shared" si="352"/>
        <v>1</v>
      </c>
      <c r="CB318" s="1125">
        <f t="shared" si="353"/>
        <v>1</v>
      </c>
      <c r="CC318" s="1125">
        <f t="shared" si="354"/>
        <v>1</v>
      </c>
      <c r="CD318" s="1125">
        <f t="shared" si="355"/>
        <v>1</v>
      </c>
      <c r="CE318" s="1125">
        <f t="shared" si="356"/>
        <v>1</v>
      </c>
      <c r="CF318" s="1125">
        <f t="shared" si="357"/>
        <v>1</v>
      </c>
      <c r="CG318" s="1125">
        <f t="shared" si="358"/>
        <v>1</v>
      </c>
      <c r="CH318" s="1125">
        <f t="shared" si="359"/>
        <v>1</v>
      </c>
      <c r="CI318" s="1125">
        <f t="shared" si="360"/>
        <v>0.85</v>
      </c>
      <c r="CJ318" s="1125">
        <f t="shared" si="361"/>
        <v>0.85</v>
      </c>
      <c r="CK318" s="1125">
        <f t="shared" si="362"/>
        <v>0.7</v>
      </c>
      <c r="CL318" s="1125">
        <f t="shared" si="363"/>
        <v>0.7</v>
      </c>
      <c r="CM318" s="1125">
        <f t="shared" si="364"/>
        <v>0.7</v>
      </c>
      <c r="CN318" s="1125">
        <f t="shared" si="365"/>
        <v>0.7</v>
      </c>
      <c r="CO318" s="1125">
        <f t="shared" si="366"/>
        <v>0.7</v>
      </c>
      <c r="CP318" s="1125">
        <f t="shared" si="367"/>
        <v>0.7</v>
      </c>
      <c r="CQ318" s="1125">
        <f t="shared" si="368"/>
        <v>0.7</v>
      </c>
      <c r="CR318" s="1125">
        <f t="shared" si="369"/>
        <v>0.7</v>
      </c>
      <c r="CS318" s="1125">
        <f t="shared" si="370"/>
        <v>0.7</v>
      </c>
      <c r="CT318" s="1125">
        <f t="shared" si="371"/>
        <v>0.7</v>
      </c>
      <c r="CU318" s="1125">
        <v>1</v>
      </c>
      <c r="CV318" s="1125"/>
      <c r="CW318" s="1125">
        <f t="shared" si="372"/>
        <v>365</v>
      </c>
      <c r="CX318" s="1125">
        <f t="shared" si="373"/>
        <v>0</v>
      </c>
      <c r="CY318" s="1135" t="s">
        <v>4883</v>
      </c>
      <c r="CZ318" s="1124" t="s">
        <v>4884</v>
      </c>
      <c r="DA318" s="1124"/>
      <c r="DB318" s="1124"/>
      <c r="DC318" s="1120" t="s">
        <v>5096</v>
      </c>
      <c r="DD318" s="1120" t="s">
        <v>594</v>
      </c>
      <c r="DE318" s="1120" t="str">
        <f t="shared" si="375"/>
        <v/>
      </c>
      <c r="DF318" s="1133">
        <v>0</v>
      </c>
      <c r="DG318" s="1120">
        <v>0</v>
      </c>
    </row>
    <row r="319" spans="1:111">
      <c r="A319" s="1125" t="s">
        <v>3428</v>
      </c>
      <c r="B319" s="1120" t="s">
        <v>3623</v>
      </c>
      <c r="C319" s="1120" t="s">
        <v>3624</v>
      </c>
      <c r="D319" s="1120" t="s">
        <v>591</v>
      </c>
      <c r="E319" s="1120">
        <v>335</v>
      </c>
      <c r="F319" s="1120">
        <v>-93.18</v>
      </c>
      <c r="G319" s="1120">
        <v>31.05</v>
      </c>
      <c r="H319" s="1120">
        <v>-6</v>
      </c>
      <c r="I319" s="1121">
        <v>30.2</v>
      </c>
      <c r="J319" s="1121">
        <v>93.560001373291016</v>
      </c>
      <c r="K319" s="1122">
        <v>76.099999999999994</v>
      </c>
      <c r="L319" s="1120">
        <v>2142</v>
      </c>
      <c r="M319" s="1120">
        <v>2430</v>
      </c>
      <c r="N319" s="1123">
        <v>48.740000343322755</v>
      </c>
      <c r="O319" s="1123">
        <v>53.780000686645508</v>
      </c>
      <c r="P319" s="1123">
        <v>54.680000686645506</v>
      </c>
      <c r="Q319" s="1123">
        <v>67.639998626708987</v>
      </c>
      <c r="R319" s="1123">
        <v>74.3</v>
      </c>
      <c r="S319" s="1123">
        <v>78.260001373291018</v>
      </c>
      <c r="T319" s="1123">
        <v>80.239998626708982</v>
      </c>
      <c r="U319" s="1123">
        <v>78.260001373291018</v>
      </c>
      <c r="V319" s="1123">
        <v>74.66000137329101</v>
      </c>
      <c r="W319" s="1123">
        <v>67.819999313354487</v>
      </c>
      <c r="X319" s="1123">
        <v>60.619999313354491</v>
      </c>
      <c r="Y319" s="1123">
        <v>42.8</v>
      </c>
      <c r="Z319" s="1123">
        <v>65.187068631420402</v>
      </c>
      <c r="AA319" s="1123">
        <f t="shared" si="300"/>
        <v>60.054934311958654</v>
      </c>
      <c r="AB319" s="1123">
        <f t="shared" si="301"/>
        <v>60.174390068591137</v>
      </c>
      <c r="AC319" s="1123">
        <f t="shared" si="302"/>
        <v>63.164470203138819</v>
      </c>
      <c r="AD319" s="1123">
        <f t="shared" si="303"/>
        <v>68.245764250002182</v>
      </c>
      <c r="AE319" s="1123">
        <f t="shared" si="304"/>
        <v>74.093754610754743</v>
      </c>
      <c r="AF319" s="1123">
        <f t="shared" si="305"/>
        <v>79.184072477607003</v>
      </c>
      <c r="AG319" s="1123">
        <f t="shared" si="306"/>
        <v>82.189848054391078</v>
      </c>
      <c r="AH319" s="1123">
        <f t="shared" si="307"/>
        <v>82.327579616614457</v>
      </c>
      <c r="AI319" s="1123">
        <f t="shared" si="308"/>
        <v>79.561365310075999</v>
      </c>
      <c r="AJ319" s="1123">
        <f t="shared" si="309"/>
        <v>74.612261522427787</v>
      </c>
      <c r="AK319" s="1123">
        <f t="shared" si="310"/>
        <v>68.770328423918286</v>
      </c>
      <c r="AL319" s="1123">
        <f t="shared" si="311"/>
        <v>63.558355903588158</v>
      </c>
      <c r="AM319" s="1120">
        <f t="shared" si="312"/>
        <v>1</v>
      </c>
      <c r="AN319" s="1120">
        <f t="shared" si="313"/>
        <v>1</v>
      </c>
      <c r="AO319" s="1120">
        <f t="shared" si="314"/>
        <v>1</v>
      </c>
      <c r="AP319" s="1120">
        <f t="shared" si="315"/>
        <v>0</v>
      </c>
      <c r="AQ319" s="1120">
        <f t="shared" si="316"/>
        <v>0</v>
      </c>
      <c r="AR319" s="1120">
        <f t="shared" si="317"/>
        <v>0</v>
      </c>
      <c r="AS319" s="1120">
        <f t="shared" si="318"/>
        <v>0</v>
      </c>
      <c r="AT319" s="1120">
        <f t="shared" si="319"/>
        <v>0</v>
      </c>
      <c r="AU319" s="1120">
        <f t="shared" si="320"/>
        <v>0</v>
      </c>
      <c r="AV319" s="1120">
        <f t="shared" si="321"/>
        <v>0</v>
      </c>
      <c r="AW319" s="1120">
        <f t="shared" si="322"/>
        <v>1</v>
      </c>
      <c r="AX319" s="1120">
        <f t="shared" si="323"/>
        <v>1</v>
      </c>
      <c r="AY319" s="1120">
        <f t="shared" si="324"/>
        <v>0</v>
      </c>
      <c r="AZ319" s="1120">
        <f t="shared" si="325"/>
        <v>0</v>
      </c>
      <c r="BA319" s="1120">
        <f t="shared" si="326"/>
        <v>0</v>
      </c>
      <c r="BB319" s="1120">
        <f t="shared" si="327"/>
        <v>1</v>
      </c>
      <c r="BC319" s="1120">
        <f t="shared" si="328"/>
        <v>1</v>
      </c>
      <c r="BD319" s="1120">
        <f t="shared" si="329"/>
        <v>1</v>
      </c>
      <c r="BE319" s="1120">
        <f t="shared" si="330"/>
        <v>1</v>
      </c>
      <c r="BF319" s="1120">
        <f t="shared" si="331"/>
        <v>1</v>
      </c>
      <c r="BG319" s="1120">
        <f t="shared" si="332"/>
        <v>1</v>
      </c>
      <c r="BH319" s="1120">
        <f t="shared" si="333"/>
        <v>1</v>
      </c>
      <c r="BI319" s="1120">
        <f t="shared" si="334"/>
        <v>0</v>
      </c>
      <c r="BJ319" s="1120">
        <f t="shared" si="335"/>
        <v>0</v>
      </c>
      <c r="BK319" s="1120">
        <f t="shared" si="336"/>
        <v>1</v>
      </c>
      <c r="BL319" s="1120">
        <f t="shared" si="337"/>
        <v>1</v>
      </c>
      <c r="BM319" s="1120">
        <f t="shared" si="338"/>
        <v>1</v>
      </c>
      <c r="BN319" s="1120">
        <f t="shared" si="339"/>
        <v>1</v>
      </c>
      <c r="BO319" s="1120">
        <f t="shared" si="340"/>
        <v>0</v>
      </c>
      <c r="BP319" s="1120">
        <f t="shared" si="341"/>
        <v>0</v>
      </c>
      <c r="BQ319" s="1120">
        <f t="shared" si="342"/>
        <v>0</v>
      </c>
      <c r="BR319" s="1120">
        <f t="shared" si="343"/>
        <v>0</v>
      </c>
      <c r="BS319" s="1120">
        <f t="shared" si="344"/>
        <v>0</v>
      </c>
      <c r="BT319" s="1120">
        <f t="shared" si="345"/>
        <v>0</v>
      </c>
      <c r="BU319" s="1120">
        <f t="shared" si="346"/>
        <v>1</v>
      </c>
      <c r="BV319" s="1120">
        <f t="shared" si="347"/>
        <v>1</v>
      </c>
      <c r="BW319" s="1120">
        <f t="shared" si="348"/>
        <v>0</v>
      </c>
      <c r="BX319" s="1120">
        <f t="shared" si="349"/>
        <v>0</v>
      </c>
      <c r="BY319" s="1120">
        <f t="shared" si="350"/>
        <v>1</v>
      </c>
      <c r="BZ319" s="1120">
        <f t="shared" si="351"/>
        <v>1</v>
      </c>
      <c r="CA319" s="1120">
        <f t="shared" si="352"/>
        <v>1</v>
      </c>
      <c r="CB319" s="1120">
        <f t="shared" si="353"/>
        <v>1</v>
      </c>
      <c r="CC319" s="1120">
        <f t="shared" si="354"/>
        <v>1</v>
      </c>
      <c r="CD319" s="1120">
        <f t="shared" si="355"/>
        <v>1</v>
      </c>
      <c r="CE319" s="1120">
        <f t="shared" si="356"/>
        <v>1</v>
      </c>
      <c r="CF319" s="1120">
        <f t="shared" si="357"/>
        <v>1</v>
      </c>
      <c r="CG319" s="1120">
        <f t="shared" si="358"/>
        <v>1</v>
      </c>
      <c r="CH319" s="1120">
        <f t="shared" si="359"/>
        <v>0</v>
      </c>
      <c r="CI319" s="1120">
        <f t="shared" si="360"/>
        <v>0.85</v>
      </c>
      <c r="CJ319" s="1120">
        <f t="shared" si="361"/>
        <v>0.85</v>
      </c>
      <c r="CK319" s="1120">
        <f t="shared" si="362"/>
        <v>0.85</v>
      </c>
      <c r="CL319" s="1120">
        <f t="shared" si="363"/>
        <v>0.85</v>
      </c>
      <c r="CM319" s="1120">
        <f t="shared" si="364"/>
        <v>0.7</v>
      </c>
      <c r="CN319" s="1120">
        <f t="shared" si="365"/>
        <v>0.7</v>
      </c>
      <c r="CO319" s="1120">
        <f t="shared" si="366"/>
        <v>0.7</v>
      </c>
      <c r="CP319" s="1120">
        <f t="shared" si="367"/>
        <v>0.7</v>
      </c>
      <c r="CQ319" s="1120">
        <f t="shared" si="368"/>
        <v>0.7</v>
      </c>
      <c r="CR319" s="1120">
        <f t="shared" si="369"/>
        <v>0.7</v>
      </c>
      <c r="CS319" s="1120">
        <f t="shared" si="370"/>
        <v>0.85</v>
      </c>
      <c r="CT319" s="1120">
        <f t="shared" si="371"/>
        <v>0.85</v>
      </c>
      <c r="CU319" s="1120">
        <v>1</v>
      </c>
      <c r="CV319" s="1120"/>
      <c r="CW319" s="1120">
        <f t="shared" si="372"/>
        <v>275</v>
      </c>
      <c r="CX319" s="1120">
        <f t="shared" si="373"/>
        <v>90</v>
      </c>
      <c r="CY319" s="1135" t="s">
        <v>4900</v>
      </c>
      <c r="CZ319" s="1124" t="s">
        <v>4882</v>
      </c>
      <c r="DA319" s="1124"/>
      <c r="DB319" s="1124"/>
      <c r="DC319" s="1120" t="s">
        <v>5253</v>
      </c>
      <c r="DD319" s="1120" t="s">
        <v>591</v>
      </c>
      <c r="DE319" s="1120" t="b">
        <f t="shared" si="375"/>
        <v>0</v>
      </c>
      <c r="DF319" s="1133">
        <v>0</v>
      </c>
      <c r="DG319" s="1125">
        <v>0</v>
      </c>
    </row>
    <row r="320" spans="1:111">
      <c r="A320" s="1120" t="s">
        <v>3430</v>
      </c>
      <c r="B320" s="1125" t="s">
        <v>3559</v>
      </c>
      <c r="C320" s="1125" t="s">
        <v>3560</v>
      </c>
      <c r="D320" s="1125" t="s">
        <v>256</v>
      </c>
      <c r="E320" s="1125">
        <v>1063</v>
      </c>
      <c r="F320" s="1125">
        <v>-96.77</v>
      </c>
      <c r="G320" s="1125">
        <v>39.049999999999997</v>
      </c>
      <c r="H320" s="1125">
        <v>-6</v>
      </c>
      <c r="I320" s="1126">
        <v>6.0800006866455067</v>
      </c>
      <c r="J320" s="1126">
        <v>96.260001373291018</v>
      </c>
      <c r="K320" s="1127">
        <v>74.66000137329101</v>
      </c>
      <c r="L320" s="1125">
        <v>4370.4000000000005</v>
      </c>
      <c r="M320" s="1125">
        <v>1663.2</v>
      </c>
      <c r="N320" s="1128">
        <v>32.720000010728839</v>
      </c>
      <c r="O320" s="1128">
        <v>32</v>
      </c>
      <c r="P320" s="1128">
        <v>48.019999313354489</v>
      </c>
      <c r="Q320" s="1128">
        <v>58.280000686645508</v>
      </c>
      <c r="R320" s="1128">
        <v>61.7</v>
      </c>
      <c r="S320" s="1128">
        <v>78.260001373291018</v>
      </c>
      <c r="T320" s="1128">
        <v>78.619999313354498</v>
      </c>
      <c r="U320" s="1128">
        <v>79.16000137329101</v>
      </c>
      <c r="V320" s="1128">
        <v>69.980000686645511</v>
      </c>
      <c r="W320" s="1128">
        <v>60.980000686645511</v>
      </c>
      <c r="X320" s="1128">
        <v>45.859999656677246</v>
      </c>
      <c r="Y320" s="1128">
        <v>36.5</v>
      </c>
      <c r="Z320" s="1128">
        <v>56.975616695113381</v>
      </c>
      <c r="AA320" s="1128">
        <f t="shared" si="300"/>
        <v>51.370510716014053</v>
      </c>
      <c r="AB320" s="1128">
        <f t="shared" si="301"/>
        <v>50.60144081108254</v>
      </c>
      <c r="AC320" s="1128">
        <f t="shared" si="302"/>
        <v>53.057890542146225</v>
      </c>
      <c r="AD320" s="1128">
        <f t="shared" si="303"/>
        <v>58.099548431767154</v>
      </c>
      <c r="AE320" s="1128">
        <f t="shared" si="304"/>
        <v>64.412228656715754</v>
      </c>
      <c r="AF320" s="1128">
        <f t="shared" si="305"/>
        <v>70.350433835012225</v>
      </c>
      <c r="AG320" s="1128">
        <f t="shared" si="306"/>
        <v>74.366279276421807</v>
      </c>
      <c r="AH320" s="1128">
        <f t="shared" si="307"/>
        <v>75.412972980589558</v>
      </c>
      <c r="AI320" s="1128">
        <f t="shared" si="308"/>
        <v>73.217678103485909</v>
      </c>
      <c r="AJ320" s="1128">
        <f t="shared" si="309"/>
        <v>68.352632085346045</v>
      </c>
      <c r="AK320" s="1128">
        <f t="shared" si="310"/>
        <v>62.08598414342665</v>
      </c>
      <c r="AL320" s="1128">
        <f t="shared" si="311"/>
        <v>56.051232635757003</v>
      </c>
      <c r="AM320" s="1125">
        <f t="shared" si="312"/>
        <v>1</v>
      </c>
      <c r="AN320" s="1125">
        <f t="shared" si="313"/>
        <v>1</v>
      </c>
      <c r="AO320" s="1125">
        <f t="shared" si="314"/>
        <v>1</v>
      </c>
      <c r="AP320" s="1125">
        <f t="shared" si="315"/>
        <v>1</v>
      </c>
      <c r="AQ320" s="1125">
        <f t="shared" si="316"/>
        <v>1</v>
      </c>
      <c r="AR320" s="1125">
        <f t="shared" si="317"/>
        <v>0</v>
      </c>
      <c r="AS320" s="1125">
        <f t="shared" si="318"/>
        <v>0</v>
      </c>
      <c r="AT320" s="1125">
        <f t="shared" si="319"/>
        <v>0</v>
      </c>
      <c r="AU320" s="1125">
        <f t="shared" si="320"/>
        <v>0</v>
      </c>
      <c r="AV320" s="1125">
        <f t="shared" si="321"/>
        <v>1</v>
      </c>
      <c r="AW320" s="1125">
        <f t="shared" si="322"/>
        <v>1</v>
      </c>
      <c r="AX320" s="1125">
        <f t="shared" si="323"/>
        <v>1</v>
      </c>
      <c r="AY320" s="1125">
        <f t="shared" si="324"/>
        <v>0</v>
      </c>
      <c r="AZ320" s="1125">
        <f t="shared" si="325"/>
        <v>0</v>
      </c>
      <c r="BA320" s="1125">
        <f t="shared" si="326"/>
        <v>0</v>
      </c>
      <c r="BB320" s="1125">
        <f t="shared" si="327"/>
        <v>0</v>
      </c>
      <c r="BC320" s="1125">
        <f t="shared" si="328"/>
        <v>0</v>
      </c>
      <c r="BD320" s="1125">
        <f t="shared" si="329"/>
        <v>1</v>
      </c>
      <c r="BE320" s="1125">
        <f t="shared" si="330"/>
        <v>1</v>
      </c>
      <c r="BF320" s="1125">
        <f t="shared" si="331"/>
        <v>1</v>
      </c>
      <c r="BG320" s="1125">
        <f t="shared" si="332"/>
        <v>1</v>
      </c>
      <c r="BH320" s="1125">
        <f t="shared" si="333"/>
        <v>0</v>
      </c>
      <c r="BI320" s="1125">
        <f t="shared" si="334"/>
        <v>0</v>
      </c>
      <c r="BJ320" s="1125">
        <f t="shared" si="335"/>
        <v>0</v>
      </c>
      <c r="BK320" s="1125">
        <f t="shared" si="336"/>
        <v>1</v>
      </c>
      <c r="BL320" s="1125">
        <f t="shared" si="337"/>
        <v>1</v>
      </c>
      <c r="BM320" s="1125">
        <f t="shared" si="338"/>
        <v>1</v>
      </c>
      <c r="BN320" s="1125">
        <f t="shared" si="339"/>
        <v>1</v>
      </c>
      <c r="BO320" s="1125">
        <f t="shared" si="340"/>
        <v>1</v>
      </c>
      <c r="BP320" s="1125">
        <f t="shared" si="341"/>
        <v>1</v>
      </c>
      <c r="BQ320" s="1125">
        <f t="shared" si="342"/>
        <v>0</v>
      </c>
      <c r="BR320" s="1125">
        <f t="shared" si="343"/>
        <v>0</v>
      </c>
      <c r="BS320" s="1125">
        <f t="shared" si="344"/>
        <v>0</v>
      </c>
      <c r="BT320" s="1125">
        <f t="shared" si="345"/>
        <v>1</v>
      </c>
      <c r="BU320" s="1125">
        <f t="shared" si="346"/>
        <v>1</v>
      </c>
      <c r="BV320" s="1125">
        <f t="shared" si="347"/>
        <v>1</v>
      </c>
      <c r="BW320" s="1125">
        <f t="shared" si="348"/>
        <v>0</v>
      </c>
      <c r="BX320" s="1125">
        <f t="shared" si="349"/>
        <v>0</v>
      </c>
      <c r="BY320" s="1125">
        <f t="shared" si="350"/>
        <v>0</v>
      </c>
      <c r="BZ320" s="1125">
        <f t="shared" si="351"/>
        <v>0</v>
      </c>
      <c r="CA320" s="1125">
        <f t="shared" si="352"/>
        <v>1</v>
      </c>
      <c r="CB320" s="1125">
        <f t="shared" si="353"/>
        <v>1</v>
      </c>
      <c r="CC320" s="1125">
        <f t="shared" si="354"/>
        <v>1</v>
      </c>
      <c r="CD320" s="1125">
        <f t="shared" si="355"/>
        <v>1</v>
      </c>
      <c r="CE320" s="1125">
        <f t="shared" si="356"/>
        <v>1</v>
      </c>
      <c r="CF320" s="1125">
        <f t="shared" si="357"/>
        <v>1</v>
      </c>
      <c r="CG320" s="1125">
        <f t="shared" si="358"/>
        <v>0</v>
      </c>
      <c r="CH320" s="1125">
        <f t="shared" si="359"/>
        <v>0</v>
      </c>
      <c r="CI320" s="1125">
        <f t="shared" si="360"/>
        <v>0.85</v>
      </c>
      <c r="CJ320" s="1125">
        <f t="shared" si="361"/>
        <v>0.85</v>
      </c>
      <c r="CK320" s="1125">
        <f t="shared" si="362"/>
        <v>0.85</v>
      </c>
      <c r="CL320" s="1125">
        <f t="shared" si="363"/>
        <v>0.85</v>
      </c>
      <c r="CM320" s="1125">
        <f t="shared" si="364"/>
        <v>0.85</v>
      </c>
      <c r="CN320" s="1125">
        <f t="shared" si="365"/>
        <v>0.85</v>
      </c>
      <c r="CO320" s="1125">
        <f t="shared" si="366"/>
        <v>0.7</v>
      </c>
      <c r="CP320" s="1125">
        <f t="shared" si="367"/>
        <v>0.7</v>
      </c>
      <c r="CQ320" s="1125">
        <f t="shared" si="368"/>
        <v>0.7</v>
      </c>
      <c r="CR320" s="1125">
        <f t="shared" si="369"/>
        <v>0.85</v>
      </c>
      <c r="CS320" s="1125">
        <f t="shared" si="370"/>
        <v>0.85</v>
      </c>
      <c r="CT320" s="1125">
        <f t="shared" si="371"/>
        <v>0.85</v>
      </c>
      <c r="CU320" s="1125">
        <v>1</v>
      </c>
      <c r="CV320" s="1125"/>
      <c r="CW320" s="1125">
        <f t="shared" si="372"/>
        <v>184</v>
      </c>
      <c r="CX320" s="1125">
        <f t="shared" si="373"/>
        <v>181</v>
      </c>
      <c r="CY320" s="1136" t="s">
        <v>4881</v>
      </c>
      <c r="CZ320" s="1129" t="s">
        <v>4885</v>
      </c>
      <c r="DA320" s="1129"/>
      <c r="DB320" s="1129"/>
      <c r="DC320" s="1125" t="s">
        <v>5969</v>
      </c>
      <c r="DD320" s="1125" t="s">
        <v>256</v>
      </c>
      <c r="DE320" s="1120" t="b">
        <f t="shared" si="375"/>
        <v>0</v>
      </c>
      <c r="DF320" s="1133">
        <v>0</v>
      </c>
      <c r="DG320" s="1120">
        <v>0</v>
      </c>
    </row>
    <row r="321" spans="1:111">
      <c r="A321" s="1125" t="s">
        <v>3432</v>
      </c>
      <c r="B321" s="1125" t="s">
        <v>4196</v>
      </c>
      <c r="C321" s="1125" t="s">
        <v>4197</v>
      </c>
      <c r="D321" s="1125" t="s">
        <v>61</v>
      </c>
      <c r="E321" s="1125">
        <v>1210</v>
      </c>
      <c r="F321" s="1125">
        <v>-98.4</v>
      </c>
      <c r="G321" s="1125">
        <v>34.65</v>
      </c>
      <c r="H321" s="1125">
        <v>-6</v>
      </c>
      <c r="I321" s="1126">
        <v>18.859999656677246</v>
      </c>
      <c r="J321" s="1126">
        <v>98.239998626708982</v>
      </c>
      <c r="K321" s="1127">
        <v>73.039998626708979</v>
      </c>
      <c r="L321" s="1125">
        <v>3369.6</v>
      </c>
      <c r="M321" s="1125">
        <v>2503.8000000000002</v>
      </c>
      <c r="N321" s="1128">
        <v>39.02000017166138</v>
      </c>
      <c r="O321" s="1128">
        <v>42.8</v>
      </c>
      <c r="P321" s="1128">
        <v>48.2</v>
      </c>
      <c r="Q321" s="1128">
        <v>60.8</v>
      </c>
      <c r="R321" s="1128">
        <v>72.680000686645513</v>
      </c>
      <c r="S321" s="1128">
        <v>84.380000686645502</v>
      </c>
      <c r="T321" s="1128">
        <v>82.760001373291018</v>
      </c>
      <c r="U321" s="1128">
        <v>82.039998626708979</v>
      </c>
      <c r="V321" s="1128">
        <v>77.719999313354492</v>
      </c>
      <c r="W321" s="1128">
        <v>63.5</v>
      </c>
      <c r="X321" s="1128">
        <v>47.480000686645511</v>
      </c>
      <c r="Y321" s="1128">
        <v>41.720000171661376</v>
      </c>
      <c r="Z321" s="1128">
        <v>62.020054938433923</v>
      </c>
      <c r="AA321" s="1128">
        <f t="shared" si="300"/>
        <v>55.418908161945708</v>
      </c>
      <c r="AB321" s="1128">
        <f t="shared" si="301"/>
        <v>55.190039526616069</v>
      </c>
      <c r="AC321" s="1128">
        <f t="shared" si="302"/>
        <v>58.305512124899082</v>
      </c>
      <c r="AD321" s="1128">
        <f t="shared" si="303"/>
        <v>63.953230013166262</v>
      </c>
      <c r="AE321" s="1128">
        <f t="shared" si="304"/>
        <v>70.661028489873615</v>
      </c>
      <c r="AF321" s="1128">
        <f t="shared" si="305"/>
        <v>76.680416511763852</v>
      </c>
      <c r="AG321" s="1128">
        <f t="shared" si="306"/>
        <v>80.442347829353992</v>
      </c>
      <c r="AH321" s="1128">
        <f t="shared" si="307"/>
        <v>80.966217071597725</v>
      </c>
      <c r="AI321" s="1128">
        <f t="shared" si="308"/>
        <v>78.115469647434836</v>
      </c>
      <c r="AJ321" s="1128">
        <f t="shared" si="309"/>
        <v>72.633196804320988</v>
      </c>
      <c r="AK321" s="1128">
        <f t="shared" si="310"/>
        <v>65.948437443195616</v>
      </c>
      <c r="AL321" s="1128">
        <f t="shared" si="311"/>
        <v>59.80367710679608</v>
      </c>
      <c r="AM321" s="1125">
        <f t="shared" si="312"/>
        <v>1</v>
      </c>
      <c r="AN321" s="1125">
        <f t="shared" si="313"/>
        <v>1</v>
      </c>
      <c r="AO321" s="1125">
        <f t="shared" si="314"/>
        <v>1</v>
      </c>
      <c r="AP321" s="1125">
        <f t="shared" si="315"/>
        <v>1</v>
      </c>
      <c r="AQ321" s="1125">
        <f t="shared" si="316"/>
        <v>0</v>
      </c>
      <c r="AR321" s="1125">
        <f t="shared" si="317"/>
        <v>0</v>
      </c>
      <c r="AS321" s="1125">
        <f t="shared" si="318"/>
        <v>0</v>
      </c>
      <c r="AT321" s="1125">
        <f t="shared" si="319"/>
        <v>0</v>
      </c>
      <c r="AU321" s="1125">
        <f t="shared" si="320"/>
        <v>0</v>
      </c>
      <c r="AV321" s="1125">
        <f t="shared" si="321"/>
        <v>1</v>
      </c>
      <c r="AW321" s="1125">
        <f t="shared" si="322"/>
        <v>1</v>
      </c>
      <c r="AX321" s="1125">
        <f t="shared" si="323"/>
        <v>1</v>
      </c>
      <c r="AY321" s="1125">
        <f t="shared" si="324"/>
        <v>0</v>
      </c>
      <c r="AZ321" s="1125">
        <f t="shared" si="325"/>
        <v>0</v>
      </c>
      <c r="BA321" s="1125">
        <f t="shared" si="326"/>
        <v>0</v>
      </c>
      <c r="BB321" s="1125">
        <f t="shared" si="327"/>
        <v>0</v>
      </c>
      <c r="BC321" s="1125">
        <f t="shared" si="328"/>
        <v>1</v>
      </c>
      <c r="BD321" s="1125">
        <f t="shared" si="329"/>
        <v>1</v>
      </c>
      <c r="BE321" s="1125">
        <f t="shared" si="330"/>
        <v>1</v>
      </c>
      <c r="BF321" s="1125">
        <f t="shared" si="331"/>
        <v>1</v>
      </c>
      <c r="BG321" s="1125">
        <f t="shared" si="332"/>
        <v>1</v>
      </c>
      <c r="BH321" s="1125">
        <f t="shared" si="333"/>
        <v>0</v>
      </c>
      <c r="BI321" s="1125">
        <f t="shared" si="334"/>
        <v>0</v>
      </c>
      <c r="BJ321" s="1125">
        <f t="shared" si="335"/>
        <v>0</v>
      </c>
      <c r="BK321" s="1125">
        <f t="shared" si="336"/>
        <v>1</v>
      </c>
      <c r="BL321" s="1125">
        <f t="shared" si="337"/>
        <v>1</v>
      </c>
      <c r="BM321" s="1125">
        <f t="shared" si="338"/>
        <v>1</v>
      </c>
      <c r="BN321" s="1125">
        <f t="shared" si="339"/>
        <v>1</v>
      </c>
      <c r="BO321" s="1125">
        <f t="shared" si="340"/>
        <v>1</v>
      </c>
      <c r="BP321" s="1125">
        <f t="shared" si="341"/>
        <v>0</v>
      </c>
      <c r="BQ321" s="1125">
        <f t="shared" si="342"/>
        <v>0</v>
      </c>
      <c r="BR321" s="1125">
        <f t="shared" si="343"/>
        <v>0</v>
      </c>
      <c r="BS321" s="1125">
        <f t="shared" si="344"/>
        <v>0</v>
      </c>
      <c r="BT321" s="1125">
        <f t="shared" si="345"/>
        <v>1</v>
      </c>
      <c r="BU321" s="1125">
        <f t="shared" si="346"/>
        <v>1</v>
      </c>
      <c r="BV321" s="1125">
        <f t="shared" si="347"/>
        <v>1</v>
      </c>
      <c r="BW321" s="1125">
        <f t="shared" si="348"/>
        <v>0</v>
      </c>
      <c r="BX321" s="1125">
        <f t="shared" si="349"/>
        <v>0</v>
      </c>
      <c r="BY321" s="1125">
        <f t="shared" si="350"/>
        <v>0</v>
      </c>
      <c r="BZ321" s="1125">
        <f t="shared" si="351"/>
        <v>1</v>
      </c>
      <c r="CA321" s="1125">
        <f t="shared" si="352"/>
        <v>1</v>
      </c>
      <c r="CB321" s="1125">
        <f t="shared" si="353"/>
        <v>1</v>
      </c>
      <c r="CC321" s="1125">
        <f t="shared" si="354"/>
        <v>1</v>
      </c>
      <c r="CD321" s="1125">
        <f t="shared" si="355"/>
        <v>1</v>
      </c>
      <c r="CE321" s="1125">
        <f t="shared" si="356"/>
        <v>1</v>
      </c>
      <c r="CF321" s="1125">
        <f t="shared" si="357"/>
        <v>1</v>
      </c>
      <c r="CG321" s="1125">
        <f t="shared" si="358"/>
        <v>0</v>
      </c>
      <c r="CH321" s="1125">
        <f t="shared" si="359"/>
        <v>0</v>
      </c>
      <c r="CI321" s="1125">
        <f t="shared" si="360"/>
        <v>0.85</v>
      </c>
      <c r="CJ321" s="1125">
        <f t="shared" si="361"/>
        <v>0.85</v>
      </c>
      <c r="CK321" s="1125">
        <f t="shared" si="362"/>
        <v>0.85</v>
      </c>
      <c r="CL321" s="1125">
        <f t="shared" si="363"/>
        <v>0.85</v>
      </c>
      <c r="CM321" s="1125">
        <f t="shared" si="364"/>
        <v>0.85</v>
      </c>
      <c r="CN321" s="1125">
        <f t="shared" si="365"/>
        <v>0.7</v>
      </c>
      <c r="CO321" s="1125">
        <f t="shared" si="366"/>
        <v>0.7</v>
      </c>
      <c r="CP321" s="1125">
        <f t="shared" si="367"/>
        <v>0.7</v>
      </c>
      <c r="CQ321" s="1125">
        <f t="shared" si="368"/>
        <v>0.7</v>
      </c>
      <c r="CR321" s="1125">
        <f t="shared" si="369"/>
        <v>0.85</v>
      </c>
      <c r="CS321" s="1125">
        <f t="shared" si="370"/>
        <v>0.85</v>
      </c>
      <c r="CT321" s="1125">
        <f t="shared" si="371"/>
        <v>0.85</v>
      </c>
      <c r="CU321" s="1125">
        <v>1</v>
      </c>
      <c r="CV321" s="1125"/>
      <c r="CW321" s="1125">
        <f t="shared" si="372"/>
        <v>214</v>
      </c>
      <c r="CX321" s="1125">
        <f t="shared" si="373"/>
        <v>151</v>
      </c>
      <c r="CY321" s="1136" t="s">
        <v>4881</v>
      </c>
      <c r="CZ321" s="1129" t="s">
        <v>4882</v>
      </c>
      <c r="DA321" s="1129"/>
      <c r="DB321" s="1129"/>
      <c r="DC321" s="1125" t="s">
        <v>5502</v>
      </c>
      <c r="DD321" s="1125" t="s">
        <v>61</v>
      </c>
      <c r="DE321" s="1120" t="b">
        <f t="shared" si="375"/>
        <v>0</v>
      </c>
      <c r="DF321" s="1133">
        <v>0</v>
      </c>
      <c r="DG321" s="1125">
        <v>0</v>
      </c>
    </row>
    <row r="322" spans="1:111">
      <c r="A322" s="1120" t="s">
        <v>3434</v>
      </c>
      <c r="B322" s="1125" t="s">
        <v>3028</v>
      </c>
      <c r="C322" s="1125" t="s">
        <v>3029</v>
      </c>
      <c r="D322" s="1125" t="s">
        <v>1176</v>
      </c>
      <c r="E322" s="1125">
        <v>449</v>
      </c>
      <c r="F322" s="1125">
        <v>-94.37</v>
      </c>
      <c r="G322" s="1125">
        <v>35.33</v>
      </c>
      <c r="H322" s="1125">
        <v>-6</v>
      </c>
      <c r="I322" s="1126">
        <v>20.120000171661378</v>
      </c>
      <c r="J322" s="1126">
        <v>96.439998626708984</v>
      </c>
      <c r="K322" s="1127">
        <v>76.280000686645508</v>
      </c>
      <c r="L322" s="1125">
        <v>3596.4</v>
      </c>
      <c r="M322" s="1125">
        <v>2026.8</v>
      </c>
      <c r="N322" s="1128">
        <v>35.779999828338624</v>
      </c>
      <c r="O322" s="1128">
        <v>37.220000171661376</v>
      </c>
      <c r="P322" s="1128">
        <v>51.619999313354491</v>
      </c>
      <c r="Q322" s="1128">
        <v>59.719999313354492</v>
      </c>
      <c r="R322" s="1128">
        <v>68.900000000000006</v>
      </c>
      <c r="S322" s="1128">
        <v>77.539998626708979</v>
      </c>
      <c r="T322" s="1128">
        <v>81.5</v>
      </c>
      <c r="U322" s="1128">
        <v>79.7</v>
      </c>
      <c r="V322" s="1128">
        <v>75.919999313354495</v>
      </c>
      <c r="W322" s="1128">
        <v>60.619999313354491</v>
      </c>
      <c r="X322" s="1128">
        <v>52.159999656677243</v>
      </c>
      <c r="Y322" s="1128">
        <v>39.02000017166138</v>
      </c>
      <c r="Z322" s="1128">
        <v>60.092328409691383</v>
      </c>
      <c r="AA322" s="1128">
        <f t="shared" si="300"/>
        <v>53.942442738146504</v>
      </c>
      <c r="AB322" s="1128">
        <f t="shared" si="301"/>
        <v>53.502530174652904</v>
      </c>
      <c r="AC322" s="1128">
        <f t="shared" si="302"/>
        <v>56.344342535785657</v>
      </c>
      <c r="AD322" s="1128">
        <f t="shared" si="303"/>
        <v>61.727117635961413</v>
      </c>
      <c r="AE322" s="1128">
        <f t="shared" si="304"/>
        <v>68.247752194244157</v>
      </c>
      <c r="AF322" s="1128">
        <f t="shared" si="305"/>
        <v>74.206542326997251</v>
      </c>
      <c r="AG322" s="1128">
        <f t="shared" si="306"/>
        <v>78.05023755838306</v>
      </c>
      <c r="AH322" s="1128">
        <f t="shared" si="307"/>
        <v>78.776919493204403</v>
      </c>
      <c r="AI322" s="1128">
        <f t="shared" si="308"/>
        <v>76.197167286642483</v>
      </c>
      <c r="AJ322" s="1128">
        <f t="shared" si="309"/>
        <v>70.98343310652254</v>
      </c>
      <c r="AK322" s="1128">
        <f t="shared" si="310"/>
        <v>64.494757112968628</v>
      </c>
      <c r="AL322" s="1128">
        <f t="shared" si="311"/>
        <v>58.42251269722442</v>
      </c>
      <c r="AM322" s="1125">
        <f t="shared" si="312"/>
        <v>1</v>
      </c>
      <c r="AN322" s="1125">
        <f t="shared" si="313"/>
        <v>1</v>
      </c>
      <c r="AO322" s="1125">
        <f t="shared" si="314"/>
        <v>1</v>
      </c>
      <c r="AP322" s="1125">
        <f t="shared" si="315"/>
        <v>1</v>
      </c>
      <c r="AQ322" s="1125">
        <f t="shared" si="316"/>
        <v>0</v>
      </c>
      <c r="AR322" s="1125">
        <f t="shared" si="317"/>
        <v>0</v>
      </c>
      <c r="AS322" s="1125">
        <f t="shared" si="318"/>
        <v>0</v>
      </c>
      <c r="AT322" s="1125">
        <f t="shared" si="319"/>
        <v>0</v>
      </c>
      <c r="AU322" s="1125">
        <f t="shared" si="320"/>
        <v>0</v>
      </c>
      <c r="AV322" s="1125">
        <f t="shared" si="321"/>
        <v>1</v>
      </c>
      <c r="AW322" s="1125">
        <f t="shared" si="322"/>
        <v>1</v>
      </c>
      <c r="AX322" s="1125">
        <f t="shared" si="323"/>
        <v>1</v>
      </c>
      <c r="AY322" s="1125">
        <f t="shared" si="324"/>
        <v>0</v>
      </c>
      <c r="AZ322" s="1125">
        <f t="shared" si="325"/>
        <v>0</v>
      </c>
      <c r="BA322" s="1125">
        <f t="shared" si="326"/>
        <v>0</v>
      </c>
      <c r="BB322" s="1125">
        <f t="shared" si="327"/>
        <v>0</v>
      </c>
      <c r="BC322" s="1125">
        <f t="shared" si="328"/>
        <v>1</v>
      </c>
      <c r="BD322" s="1125">
        <f t="shared" si="329"/>
        <v>1</v>
      </c>
      <c r="BE322" s="1125">
        <f t="shared" si="330"/>
        <v>1</v>
      </c>
      <c r="BF322" s="1125">
        <f t="shared" si="331"/>
        <v>1</v>
      </c>
      <c r="BG322" s="1125">
        <f t="shared" si="332"/>
        <v>1</v>
      </c>
      <c r="BH322" s="1125">
        <f t="shared" si="333"/>
        <v>0</v>
      </c>
      <c r="BI322" s="1125">
        <f t="shared" si="334"/>
        <v>0</v>
      </c>
      <c r="BJ322" s="1125">
        <f t="shared" si="335"/>
        <v>0</v>
      </c>
      <c r="BK322" s="1125">
        <f t="shared" si="336"/>
        <v>1</v>
      </c>
      <c r="BL322" s="1125">
        <f t="shared" si="337"/>
        <v>1</v>
      </c>
      <c r="BM322" s="1125">
        <f t="shared" si="338"/>
        <v>1</v>
      </c>
      <c r="BN322" s="1125">
        <f t="shared" si="339"/>
        <v>1</v>
      </c>
      <c r="BO322" s="1125">
        <f t="shared" si="340"/>
        <v>1</v>
      </c>
      <c r="BP322" s="1125">
        <f t="shared" si="341"/>
        <v>0</v>
      </c>
      <c r="BQ322" s="1125">
        <f t="shared" si="342"/>
        <v>0</v>
      </c>
      <c r="BR322" s="1125">
        <f t="shared" si="343"/>
        <v>0</v>
      </c>
      <c r="BS322" s="1125">
        <f t="shared" si="344"/>
        <v>0</v>
      </c>
      <c r="BT322" s="1125">
        <f t="shared" si="345"/>
        <v>1</v>
      </c>
      <c r="BU322" s="1125">
        <f t="shared" si="346"/>
        <v>1</v>
      </c>
      <c r="BV322" s="1125">
        <f t="shared" si="347"/>
        <v>1</v>
      </c>
      <c r="BW322" s="1125">
        <f t="shared" si="348"/>
        <v>0</v>
      </c>
      <c r="BX322" s="1125">
        <f t="shared" si="349"/>
        <v>0</v>
      </c>
      <c r="BY322" s="1125">
        <f t="shared" si="350"/>
        <v>0</v>
      </c>
      <c r="BZ322" s="1125">
        <f t="shared" si="351"/>
        <v>1</v>
      </c>
      <c r="CA322" s="1125">
        <f t="shared" si="352"/>
        <v>1</v>
      </c>
      <c r="CB322" s="1125">
        <f t="shared" si="353"/>
        <v>1</v>
      </c>
      <c r="CC322" s="1125">
        <f t="shared" si="354"/>
        <v>1</v>
      </c>
      <c r="CD322" s="1125">
        <f t="shared" si="355"/>
        <v>1</v>
      </c>
      <c r="CE322" s="1125">
        <f t="shared" si="356"/>
        <v>1</v>
      </c>
      <c r="CF322" s="1125">
        <f t="shared" si="357"/>
        <v>1</v>
      </c>
      <c r="CG322" s="1125">
        <f t="shared" si="358"/>
        <v>0</v>
      </c>
      <c r="CH322" s="1125">
        <f t="shared" si="359"/>
        <v>0</v>
      </c>
      <c r="CI322" s="1125">
        <f t="shared" si="360"/>
        <v>0.85</v>
      </c>
      <c r="CJ322" s="1125">
        <f t="shared" si="361"/>
        <v>0.85</v>
      </c>
      <c r="CK322" s="1125">
        <f t="shared" si="362"/>
        <v>0.85</v>
      </c>
      <c r="CL322" s="1125">
        <f t="shared" si="363"/>
        <v>0.85</v>
      </c>
      <c r="CM322" s="1125">
        <f t="shared" si="364"/>
        <v>0.85</v>
      </c>
      <c r="CN322" s="1125">
        <f t="shared" si="365"/>
        <v>0.7</v>
      </c>
      <c r="CO322" s="1125">
        <f t="shared" si="366"/>
        <v>0.7</v>
      </c>
      <c r="CP322" s="1125">
        <f t="shared" si="367"/>
        <v>0.7</v>
      </c>
      <c r="CQ322" s="1125">
        <f t="shared" si="368"/>
        <v>0.7</v>
      </c>
      <c r="CR322" s="1125">
        <f t="shared" si="369"/>
        <v>0.85</v>
      </c>
      <c r="CS322" s="1125">
        <f t="shared" si="370"/>
        <v>0.85</v>
      </c>
      <c r="CT322" s="1125">
        <f t="shared" si="371"/>
        <v>0.85</v>
      </c>
      <c r="CU322" s="1125">
        <v>1</v>
      </c>
      <c r="CV322" s="1125"/>
      <c r="CW322" s="1125">
        <f t="shared" si="372"/>
        <v>214</v>
      </c>
      <c r="CX322" s="1125">
        <f t="shared" si="373"/>
        <v>151</v>
      </c>
      <c r="CY322" s="1136" t="s">
        <v>4881</v>
      </c>
      <c r="CZ322" s="1129" t="s">
        <v>4882</v>
      </c>
      <c r="DA322" s="1129"/>
      <c r="DB322" s="1129"/>
      <c r="DC322" s="1125" t="s">
        <v>4986</v>
      </c>
      <c r="DD322" s="1125" t="s">
        <v>1176</v>
      </c>
      <c r="DE322" s="1125" t="str">
        <f t="shared" si="375"/>
        <v/>
      </c>
      <c r="DF322" s="1125">
        <v>0</v>
      </c>
      <c r="DG322" s="1120">
        <v>0</v>
      </c>
    </row>
    <row r="323" spans="1:111">
      <c r="A323" s="1125" t="s">
        <v>3436</v>
      </c>
      <c r="B323" s="1125" t="s">
        <v>3535</v>
      </c>
      <c r="C323" s="1125" t="s">
        <v>3536</v>
      </c>
      <c r="D323" s="1125" t="s">
        <v>283</v>
      </c>
      <c r="E323" s="1125">
        <v>790</v>
      </c>
      <c r="F323" s="1125">
        <v>-85.2</v>
      </c>
      <c r="G323" s="1125">
        <v>41</v>
      </c>
      <c r="H323" s="1125">
        <v>-5</v>
      </c>
      <c r="I323" s="1126">
        <v>3.7400003433227531</v>
      </c>
      <c r="J323" s="1126">
        <v>88.33999862670899</v>
      </c>
      <c r="K323" s="1127">
        <v>73.219999313354492</v>
      </c>
      <c r="L323" s="1125">
        <v>6282</v>
      </c>
      <c r="M323" s="1125">
        <v>828</v>
      </c>
      <c r="N323" s="1128">
        <v>22.1</v>
      </c>
      <c r="O323" s="1128">
        <v>24.079999828338622</v>
      </c>
      <c r="P323" s="1128">
        <v>38.120000171661374</v>
      </c>
      <c r="Q323" s="1128">
        <v>50.180000686645506</v>
      </c>
      <c r="R323" s="1128">
        <v>61.519999313354496</v>
      </c>
      <c r="S323" s="1128">
        <v>70.33999862670899</v>
      </c>
      <c r="T323" s="1128">
        <v>72.860001373291013</v>
      </c>
      <c r="U323" s="1128">
        <v>71.599999999999994</v>
      </c>
      <c r="V323" s="1128">
        <v>64.580000686645505</v>
      </c>
      <c r="W323" s="1128">
        <v>51.619999313354491</v>
      </c>
      <c r="X323" s="1128">
        <v>39.379999828338626</v>
      </c>
      <c r="Y323" s="1128">
        <v>25.520000171661376</v>
      </c>
      <c r="Z323" s="1128">
        <v>49.458027399141493</v>
      </c>
      <c r="AA323" s="1128">
        <f t="shared" ref="AA323:AA386" si="376">MAX($Z323+6+(0.4+0.01*($Z323-44))*(MAX($N323:$Y323)-MIN($N323:$Y323))/2*SIN((0.986*((1*30-15)-15-(35-1*($Z323-44)))-90)*PI()/180),32)</f>
        <v>45.379881834824289</v>
      </c>
      <c r="AB323" s="1128">
        <f t="shared" ref="AB323:AB386" si="377">MAX($Z323+6+(0.4+0.01*($Z323-44))*(MAX($N323:$Y323)-MIN($N323:$Y323))/2*SIN((0.986*((2*30-15)-15-(35-1*($Z323-44)))-90)*PI()/180),32)</f>
        <v>43.921138127700139</v>
      </c>
      <c r="AC323" s="1128">
        <f t="shared" ref="AC323:AC386" si="378">MAX($Z323+6+(0.4+0.01*($Z323-44))*(MAX($N323:$Y323)-MIN($N323:$Y323))/2*SIN((0.986*((3*30-15)-15-(35-1*($Z323-44)))-90)*PI()/180),32)</f>
        <v>45.469662398022479</v>
      </c>
      <c r="AD323" s="1128">
        <f t="shared" ref="AD323:AD386" si="379">MAX($Z323+6+(0.4+0.01*($Z323-44))*(MAX($N323:$Y323)-MIN($N323:$Y323))/2*SIN((0.986*((4*30-15)-15-(35-1*($Z323-44)))-90)*PI()/180),32)</f>
        <v>49.621807931250437</v>
      </c>
      <c r="AE323" s="1128">
        <f t="shared" ref="AE323:AE386" si="380">MAX($Z323+6+(0.4+0.01*($Z323-44))*(MAX($N323:$Y323)-MIN($N323:$Y323))/2*SIN((0.986*((5*30-15)-15-(35-1*($Z323-44)))-90)*PI()/180),32)</f>
        <v>55.295254007648623</v>
      </c>
      <c r="AF323" s="1128">
        <f t="shared" ref="AF323:AF386" si="381">MAX($Z323+6+(0.4+0.01*($Z323-44))*(MAX($N323:$Y323)-MIN($N323:$Y323))/2*SIN((0.986*((6*30-15)-15-(35-1*($Z323-44)))-90)*PI()/180),32)</f>
        <v>61.011129476953322</v>
      </c>
      <c r="AG323" s="1128">
        <f t="shared" ref="AG323:AG386" si="382">MAX($Z323+6+(0.4+0.01*($Z323-44))*(MAX($N323:$Y323)-MIN($N323:$Y323))/2*SIN((0.986*((7*30-15)-15-(35-1*($Z323-44)))-90)*PI()/180),32)</f>
        <v>65.279503313782982</v>
      </c>
      <c r="AH323" s="1128">
        <f t="shared" ref="AH323:AH386" si="383">MAX($Z323+6+(0.4+0.01*($Z323-44))*(MAX($N323:$Y323)-MIN($N323:$Y323))/2*SIN((0.986*((8*30-15)-15-(35-1*($Z323-44)))-90)*PI()/180),32)</f>
        <v>66.987758099936059</v>
      </c>
      <c r="AI323" s="1128">
        <f t="shared" ref="AI323:AI386" si="384">MAX($Z323+6+(0.4+0.01*($Z323-44))*(MAX($N323:$Y323)-MIN($N323:$Y323))/2*SIN((0.986*((9*30-15)-15-(35-1*($Z323-44)))-90)*PI()/180),32)</f>
        <v>65.690610900398667</v>
      </c>
      <c r="AJ323" s="1128">
        <f t="shared" ref="AJ323:AJ386" si="385">MAX($Z323+6+(0.4+0.01*($Z323-44))*(MAX($N323:$Y323)-MIN($N323:$Y323))/2*SIN((0.986*((10*30-15)-15-(35-1*($Z323-44)))-90)*PI()/180),32)</f>
        <v>61.726183122373612</v>
      </c>
      <c r="AK323" s="1128">
        <f t="shared" ref="AK323:AK386" si="386">MAX($Z323+6+(0.4+0.01*($Z323-44))*(MAX($N323:$Y323)-MIN($N323:$Y323))/2*SIN((0.986*((11*30-15)-15-(35-1*($Z323-44)))-90)*PI()/180),32)</f>
        <v>56.127863959884507</v>
      </c>
      <c r="AL323" s="1128">
        <f t="shared" ref="AL323:AL386" si="387">MAX($Z323+6+(0.4+0.01*($Z323-44))*(MAX($N323:$Y323)-MIN($N323:$Y323))/2*SIN((0.986*((12*30-15)-15-(35-1*($Z323-44)))-90)*PI()/180),32)</f>
        <v>50.354941575343879</v>
      </c>
      <c r="AM323" s="1125">
        <f t="shared" ref="AM323:AM386" si="388">IF(AND(OR(LEFT(AM$1,3)="Jan",LEFT(AM$1,3)="Dec"),I323&lt;59),1,IF(N323&lt;66,1,0))</f>
        <v>1</v>
      </c>
      <c r="AN323" s="1125">
        <f t="shared" ref="AN323:AN386" si="389">IF(AND(OR(LEFT(AN$1,3)="Jan",LEFT(AN$1,3)="Dec"),J323&lt;59),1,IF(O323&lt;66,1,0))</f>
        <v>1</v>
      </c>
      <c r="AO323" s="1125">
        <f t="shared" ref="AO323:AO386" si="390">IF(AND(OR(LEFT(AO$1,3)="Jan",LEFT(AO$1,3)="Dec"),K323&lt;59),1,IF(P323&lt;66,1,0))</f>
        <v>1</v>
      </c>
      <c r="AP323" s="1125">
        <f t="shared" ref="AP323:AP386" si="391">IF(AND(OR(LEFT(AP$1,3)="Jan",LEFT(AP$1,3)="Dec"),L323&lt;59),1,IF(Q323&lt;66,1,0))</f>
        <v>1</v>
      </c>
      <c r="AQ323" s="1125">
        <f t="shared" ref="AQ323:AQ386" si="392">IF(AND(OR(LEFT(AQ$1,3)="Jan",LEFT(AQ$1,3)="Dec"),M323&lt;59),1,IF(R323&lt;66,1,0))</f>
        <v>1</v>
      </c>
      <c r="AR323" s="1125">
        <f t="shared" ref="AR323:AR386" si="393">IF(AND(OR(LEFT(AR$1,3)="Jan",LEFT(AR$1,3)="Dec"),N323&lt;59),1,IF(S323&lt;66,1,0))</f>
        <v>0</v>
      </c>
      <c r="AS323" s="1125">
        <f t="shared" ref="AS323:AS386" si="394">IF(AND(OR(LEFT(AS$1,3)="Jan",LEFT(AS$1,3)="Dec"),O323&lt;59),1,IF(T323&lt;66,1,0))</f>
        <v>0</v>
      </c>
      <c r="AT323" s="1125">
        <f t="shared" ref="AT323:AT386" si="395">IF(AND(OR(LEFT(AT$1,3)="Jan",LEFT(AT$1,3)="Dec"),P323&lt;59),1,IF(U323&lt;66,1,0))</f>
        <v>0</v>
      </c>
      <c r="AU323" s="1125">
        <f t="shared" ref="AU323:AU386" si="396">IF(AND(OR(LEFT(AU$1,3)="Jan",LEFT(AU$1,3)="Dec"),Q323&lt;59),1,IF(V323&lt;66,1,0))</f>
        <v>1</v>
      </c>
      <c r="AV323" s="1125">
        <f t="shared" ref="AV323:AV386" si="397">IF(AND(OR(LEFT(AV$1,3)="Jan",LEFT(AV$1,3)="Dec"),R323&lt;59),1,IF(W323&lt;66,1,0))</f>
        <v>1</v>
      </c>
      <c r="AW323" s="1125">
        <f t="shared" ref="AW323:AW386" si="398">IF(AND(OR(LEFT(AW$1,3)="Jan",LEFT(AW$1,3)="Dec"),S323&lt;59),1,IF(X323&lt;66,1,0))</f>
        <v>1</v>
      </c>
      <c r="AX323" s="1125">
        <f t="shared" ref="AX323:AX386" si="399">IF(AND(OR(LEFT(AX$1,3)="Jan",LEFT(AX$1,3)="Dec"),T323&lt;59),1,IF(Y323&lt;66,1,0))</f>
        <v>1</v>
      </c>
      <c r="AY323" s="1125">
        <f t="shared" ref="AY323:AY386" si="400">IF(OR(LEFT(AY$1,3)="Jul", LEFT(AY$1,3)="Aug"),1,IF(N323&gt;66,1,0))</f>
        <v>0</v>
      </c>
      <c r="AZ323" s="1125">
        <f t="shared" ref="AZ323:AZ386" si="401">IF(OR(LEFT(AZ$1,3)="Jul", LEFT(AZ$1,3)="Aug"),1,IF(O323&gt;66,1,0))</f>
        <v>0</v>
      </c>
      <c r="BA323" s="1125">
        <f t="shared" ref="BA323:BA386" si="402">IF(OR(LEFT(BA$1,3)="Jul", LEFT(BA$1,3)="Aug"),1,IF(P323&gt;66,1,0))</f>
        <v>0</v>
      </c>
      <c r="BB323" s="1125">
        <f t="shared" ref="BB323:BB386" si="403">IF(OR(LEFT(BB$1,3)="Jul", LEFT(BB$1,3)="Aug"),1,IF(Q323&gt;66,1,0))</f>
        <v>0</v>
      </c>
      <c r="BC323" s="1125">
        <f t="shared" ref="BC323:BC386" si="404">IF(OR(LEFT(BC$1,3)="Jul", LEFT(BC$1,3)="Aug"),1,IF(R323&gt;66,1,0))</f>
        <v>0</v>
      </c>
      <c r="BD323" s="1125">
        <f t="shared" ref="BD323:BD386" si="405">IF(OR(LEFT(BD$1,3)="Jul", LEFT(BD$1,3)="Aug"),1,IF(S323&gt;66,1,0))</f>
        <v>1</v>
      </c>
      <c r="BE323" s="1125">
        <f t="shared" ref="BE323:BE386" si="406">IF(OR(LEFT(BE$1,3)="Jul", LEFT(BE$1,3)="Aug"),1,IF(T323&gt;66,1,0))</f>
        <v>1</v>
      </c>
      <c r="BF323" s="1125">
        <f t="shared" ref="BF323:BF386" si="407">IF(OR(LEFT(BF$1,3)="Jul", LEFT(BF$1,3)="Aug"),1,IF(U323&gt;66,1,0))</f>
        <v>1</v>
      </c>
      <c r="BG323" s="1125">
        <f t="shared" ref="BG323:BG386" si="408">IF(OR(LEFT(BG$1,3)="Jul", LEFT(BG$1,3)="Aug"),1,IF(V323&gt;66,1,0))</f>
        <v>0</v>
      </c>
      <c r="BH323" s="1125">
        <f t="shared" ref="BH323:BH386" si="409">IF(OR(LEFT(BH$1,3)="Jul", LEFT(BH$1,3)="Aug"),1,IF(W323&gt;66,1,0))</f>
        <v>0</v>
      </c>
      <c r="BI323" s="1125">
        <f t="shared" ref="BI323:BI386" si="410">IF(OR(LEFT(BI$1,3)="Jul", LEFT(BI$1,3)="Aug"),1,IF(X323&gt;66,1,0))</f>
        <v>0</v>
      </c>
      <c r="BJ323" s="1125">
        <f t="shared" ref="BJ323:BJ386" si="411">IF(OR(LEFT(BJ$1,3)="Jul", LEFT(BJ$1,3)="Aug"),1,IF(Y323&gt;66,1,0))</f>
        <v>0</v>
      </c>
      <c r="BK323" s="1125">
        <f t="shared" ref="BK323:BK386" si="412">IF(AND(AY323=1,BJ323=0),1,AM323)</f>
        <v>1</v>
      </c>
      <c r="BL323" s="1125">
        <f t="shared" ref="BL323:BL386" si="413">IF(AND(AY323=0,AZ323=1),1,AN323)</f>
        <v>1</v>
      </c>
      <c r="BM323" s="1125">
        <f t="shared" ref="BM323:BM386" si="414">IF(AND(AZ323=0,BA323=1),1,AO323)</f>
        <v>1</v>
      </c>
      <c r="BN323" s="1125">
        <f t="shared" ref="BN323:BN386" si="415">IF(AND(BA323=0,BB323=1),1,AP323)</f>
        <v>1</v>
      </c>
      <c r="BO323" s="1125">
        <f t="shared" ref="BO323:BO386" si="416">IF(AND(BB323=0,BC323=1),1,AQ323)</f>
        <v>1</v>
      </c>
      <c r="BP323" s="1125">
        <f t="shared" ref="BP323:BP386" si="417">IF(AND(BC323=0,BD323=1),1,AR323)</f>
        <v>1</v>
      </c>
      <c r="BQ323" s="1125">
        <f t="shared" ref="BQ323:BQ386" si="418">IF(AND(BD323=0,BE323=1),1,AS323)</f>
        <v>0</v>
      </c>
      <c r="BR323" s="1125">
        <f t="shared" ref="BR323:BR386" si="419">IF(AND(BE323=0,BF323=1),1,AT323)</f>
        <v>0</v>
      </c>
      <c r="BS323" s="1125">
        <f t="shared" ref="BS323:BS386" si="420">IF(AND(BF323=0,BG323=1),1,AU323)</f>
        <v>1</v>
      </c>
      <c r="BT323" s="1125">
        <f t="shared" ref="BT323:BT386" si="421">IF(AND(BG323=0,BH323=1),1,AV323)</f>
        <v>1</v>
      </c>
      <c r="BU323" s="1125">
        <f t="shared" ref="BU323:BU386" si="422">IF(AND(BH323=0,BI323=1),1,AW323)</f>
        <v>1</v>
      </c>
      <c r="BV323" s="1125">
        <f t="shared" ref="BV323:BV386" si="423">IF(AND(BI323=0,BJ323=1),1,AX323)</f>
        <v>1</v>
      </c>
      <c r="BW323" s="1125">
        <f t="shared" ref="BW323:BW386" si="424">IF(OR(AND(AX323=0,AM323=1),AND(AM323=1,AN323=0)),1,AY323)</f>
        <v>0</v>
      </c>
      <c r="BX323" s="1125">
        <f t="shared" ref="BX323:BX386" si="425">IF(OR(AND(AM323=0,AN323=1),AND(AN323=1,AO323=0)),1,AZ323)</f>
        <v>0</v>
      </c>
      <c r="BY323" s="1125">
        <f t="shared" ref="BY323:BY386" si="426">IF(OR(AND(AN323=0,AO323=1),AND(AO323=1,AP323=0)),1,BA323)</f>
        <v>0</v>
      </c>
      <c r="BZ323" s="1125">
        <f t="shared" ref="BZ323:BZ386" si="427">IF(OR(AND(AO323=0,AP323=1),AND(AP323=1,AQ323=0)),1,BB323)</f>
        <v>0</v>
      </c>
      <c r="CA323" s="1125">
        <f t="shared" ref="CA323:CA386" si="428">IF(OR(AND(AP323=0,AQ323=1),AND(AQ323=1,AR323=0)),1,BC323)</f>
        <v>1</v>
      </c>
      <c r="CB323" s="1125">
        <f t="shared" ref="CB323:CB386" si="429">IF(OR(AND(AQ323=0,AR323=1),AND(AR323=1,AS323=0)),1,BD323)</f>
        <v>1</v>
      </c>
      <c r="CC323" s="1125">
        <f t="shared" ref="CC323:CC386" si="430">IF(OR(AND(AR323=0,AS323=1),AND(AS323=1,AT323=0)),1,BE323)</f>
        <v>1</v>
      </c>
      <c r="CD323" s="1125">
        <f t="shared" ref="CD323:CD386" si="431">IF(OR(AND(AS323=0,AT323=1),AND(AT323=1,AU323=0)),1,BF323)</f>
        <v>1</v>
      </c>
      <c r="CE323" s="1125">
        <f t="shared" ref="CE323:CE386" si="432">IF(OR(AND(AT323=0,AU323=1),AND(AU323=1,AV323=0)),1,BG323)</f>
        <v>1</v>
      </c>
      <c r="CF323" s="1125">
        <f t="shared" ref="CF323:CF386" si="433">IF(OR(AND(AU323=0,AV323=1),AND(AV323=1,AW323=0)),1,BH323)</f>
        <v>0</v>
      </c>
      <c r="CG323" s="1125">
        <f t="shared" ref="CG323:CG386" si="434">IF(OR(AND(AV323=0,AW323=1),AND(AW323=1,AX323=0)),1,BI323)</f>
        <v>0</v>
      </c>
      <c r="CH323" s="1125">
        <f t="shared" ref="CH323:CH386" si="435">IF(OR(AND(AW323=0,AX323=1),AND(AX323=1,AM323=0)),1,BJ323)</f>
        <v>0</v>
      </c>
      <c r="CI323" s="1125">
        <f t="shared" ref="CI323:CI386" si="436">IF(BK323=1,0.85,0.7)</f>
        <v>0.85</v>
      </c>
      <c r="CJ323" s="1125">
        <f t="shared" ref="CJ323:CJ386" si="437">IF(BL323=1,0.85,0.7)</f>
        <v>0.85</v>
      </c>
      <c r="CK323" s="1125">
        <f t="shared" ref="CK323:CK386" si="438">IF(BM323=1,0.85,0.7)</f>
        <v>0.85</v>
      </c>
      <c r="CL323" s="1125">
        <f t="shared" ref="CL323:CL386" si="439">IF(BN323=1,0.85,0.7)</f>
        <v>0.85</v>
      </c>
      <c r="CM323" s="1125">
        <f t="shared" ref="CM323:CM386" si="440">IF(BO323=1,0.85,0.7)</f>
        <v>0.85</v>
      </c>
      <c r="CN323" s="1125">
        <f t="shared" ref="CN323:CN386" si="441">IF(BP323=1,0.85,0.7)</f>
        <v>0.85</v>
      </c>
      <c r="CO323" s="1125">
        <f t="shared" ref="CO323:CO386" si="442">IF(BQ323=1,0.85,0.7)</f>
        <v>0.7</v>
      </c>
      <c r="CP323" s="1125">
        <f t="shared" ref="CP323:CP386" si="443">IF(BR323=1,0.85,0.7)</f>
        <v>0.7</v>
      </c>
      <c r="CQ323" s="1125">
        <f t="shared" ref="CQ323:CQ386" si="444">IF(BS323=1,0.85,0.7)</f>
        <v>0.85</v>
      </c>
      <c r="CR323" s="1125">
        <f t="shared" ref="CR323:CR386" si="445">IF(BT323=1,0.85,0.7)</f>
        <v>0.85</v>
      </c>
      <c r="CS323" s="1125">
        <f t="shared" ref="CS323:CS386" si="446">IF(BU323=1,0.85,0.7)</f>
        <v>0.85</v>
      </c>
      <c r="CT323" s="1125">
        <f t="shared" ref="CT323:CT386" si="447">IF(BV323=1,0.85,0.7)</f>
        <v>0.85</v>
      </c>
      <c r="CU323" s="1125">
        <v>1</v>
      </c>
      <c r="CV323" s="1125"/>
      <c r="CW323" s="1125">
        <f t="shared" ref="CW323:CW386" si="448">BW323*31+BX323*28+BY323*31+BZ323*30+CA323*31+CB323*30+CC323*31+CD323*31+CE323*30+CF323*31+CG323*30+CH323*31</f>
        <v>153</v>
      </c>
      <c r="CX323" s="1125">
        <f t="shared" ref="CX323:CX386" si="449">365-CW323</f>
        <v>212</v>
      </c>
      <c r="CY323" s="1136" t="s">
        <v>4889</v>
      </c>
      <c r="CZ323" s="1129" t="s">
        <v>4897</v>
      </c>
      <c r="DA323" s="1129"/>
      <c r="DB323" s="1129"/>
      <c r="DC323" s="1125" t="s">
        <v>5218</v>
      </c>
      <c r="DD323" s="1125" t="s">
        <v>283</v>
      </c>
      <c r="DE323" s="1120" t="str">
        <f t="shared" si="375"/>
        <v/>
      </c>
      <c r="DF323" s="1133">
        <v>0</v>
      </c>
      <c r="DG323" s="1125">
        <v>0</v>
      </c>
    </row>
    <row r="324" spans="1:111">
      <c r="A324" s="1120" t="s">
        <v>5838</v>
      </c>
      <c r="B324" s="1120" t="s">
        <v>4396</v>
      </c>
      <c r="C324" s="1120" t="s">
        <v>4397</v>
      </c>
      <c r="D324" s="1120" t="s">
        <v>228</v>
      </c>
      <c r="E324" s="1120">
        <v>741</v>
      </c>
      <c r="F324" s="1120">
        <v>-97.32</v>
      </c>
      <c r="G324" s="1120">
        <v>32.979999999999997</v>
      </c>
      <c r="H324" s="1120">
        <v>-6</v>
      </c>
      <c r="I324" s="1121">
        <v>26.6</v>
      </c>
      <c r="J324" s="1121">
        <v>99.5</v>
      </c>
      <c r="K324" s="1122">
        <v>74.66000137329101</v>
      </c>
      <c r="L324" s="1120">
        <v>2680.2000000000003</v>
      </c>
      <c r="M324" s="1120">
        <v>2518.2000000000003</v>
      </c>
      <c r="N324" s="1123">
        <v>43.879999828338626</v>
      </c>
      <c r="O324" s="1123">
        <v>44.059999656677249</v>
      </c>
      <c r="P324" s="1123">
        <v>53.240000343322755</v>
      </c>
      <c r="Q324" s="1123">
        <v>60.619999313354491</v>
      </c>
      <c r="R324" s="1123">
        <v>76.819999313354487</v>
      </c>
      <c r="S324" s="1123">
        <v>77.719999313354492</v>
      </c>
      <c r="T324" s="1123">
        <v>81.860001373291013</v>
      </c>
      <c r="U324" s="1123">
        <v>82.039998626708979</v>
      </c>
      <c r="V324" s="1123">
        <v>75.560001373291016</v>
      </c>
      <c r="W324" s="1123">
        <v>65.119999313354498</v>
      </c>
      <c r="X324" s="1123">
        <v>59</v>
      </c>
      <c r="Y324" s="1123">
        <v>46.220000171661376</v>
      </c>
      <c r="Z324" s="1123">
        <v>63.959616324542324</v>
      </c>
      <c r="AA324" s="1123">
        <f t="shared" si="376"/>
        <v>58.900394474963733</v>
      </c>
      <c r="AB324" s="1123">
        <f t="shared" si="377"/>
        <v>58.896335288560202</v>
      </c>
      <c r="AC324" s="1123">
        <f t="shared" si="378"/>
        <v>61.776090794506878</v>
      </c>
      <c r="AD324" s="1123">
        <f t="shared" si="379"/>
        <v>66.789008341803083</v>
      </c>
      <c r="AE324" s="1123">
        <f t="shared" si="380"/>
        <v>72.628393720348285</v>
      </c>
      <c r="AF324" s="1123">
        <f t="shared" si="381"/>
        <v>77.772121143572079</v>
      </c>
      <c r="AG324" s="1123">
        <f t="shared" si="382"/>
        <v>80.879398791372211</v>
      </c>
      <c r="AH324" s="1123">
        <f t="shared" si="383"/>
        <v>81.140266860251558</v>
      </c>
      <c r="AI324" s="1123">
        <f t="shared" si="384"/>
        <v>78.486726067958074</v>
      </c>
      <c r="AJ324" s="1123">
        <f t="shared" si="385"/>
        <v>73.610462714304504</v>
      </c>
      <c r="AK324" s="1123">
        <f t="shared" si="386"/>
        <v>67.782549987913541</v>
      </c>
      <c r="AL324" s="1123">
        <f t="shared" si="387"/>
        <v>62.522123151772632</v>
      </c>
      <c r="AM324" s="1120">
        <f t="shared" si="388"/>
        <v>1</v>
      </c>
      <c r="AN324" s="1120">
        <f t="shared" si="389"/>
        <v>1</v>
      </c>
      <c r="AO324" s="1120">
        <f t="shared" si="390"/>
        <v>1</v>
      </c>
      <c r="AP324" s="1120">
        <f t="shared" si="391"/>
        <v>1</v>
      </c>
      <c r="AQ324" s="1120">
        <f t="shared" si="392"/>
        <v>0</v>
      </c>
      <c r="AR324" s="1120">
        <f t="shared" si="393"/>
        <v>0</v>
      </c>
      <c r="AS324" s="1120">
        <f t="shared" si="394"/>
        <v>0</v>
      </c>
      <c r="AT324" s="1120">
        <f t="shared" si="395"/>
        <v>0</v>
      </c>
      <c r="AU324" s="1120">
        <f t="shared" si="396"/>
        <v>0</v>
      </c>
      <c r="AV324" s="1120">
        <f t="shared" si="397"/>
        <v>1</v>
      </c>
      <c r="AW324" s="1120">
        <f t="shared" si="398"/>
        <v>1</v>
      </c>
      <c r="AX324" s="1120">
        <f t="shared" si="399"/>
        <v>1</v>
      </c>
      <c r="AY324" s="1120">
        <f t="shared" si="400"/>
        <v>0</v>
      </c>
      <c r="AZ324" s="1120">
        <f t="shared" si="401"/>
        <v>0</v>
      </c>
      <c r="BA324" s="1120">
        <f t="shared" si="402"/>
        <v>0</v>
      </c>
      <c r="BB324" s="1120">
        <f t="shared" si="403"/>
        <v>0</v>
      </c>
      <c r="BC324" s="1120">
        <f t="shared" si="404"/>
        <v>1</v>
      </c>
      <c r="BD324" s="1120">
        <f t="shared" si="405"/>
        <v>1</v>
      </c>
      <c r="BE324" s="1120">
        <f t="shared" si="406"/>
        <v>1</v>
      </c>
      <c r="BF324" s="1120">
        <f t="shared" si="407"/>
        <v>1</v>
      </c>
      <c r="BG324" s="1120">
        <f t="shared" si="408"/>
        <v>1</v>
      </c>
      <c r="BH324" s="1120">
        <f t="shared" si="409"/>
        <v>0</v>
      </c>
      <c r="BI324" s="1120">
        <f t="shared" si="410"/>
        <v>0</v>
      </c>
      <c r="BJ324" s="1120">
        <f t="shared" si="411"/>
        <v>0</v>
      </c>
      <c r="BK324" s="1120">
        <f t="shared" si="412"/>
        <v>1</v>
      </c>
      <c r="BL324" s="1120">
        <f t="shared" si="413"/>
        <v>1</v>
      </c>
      <c r="BM324" s="1120">
        <f t="shared" si="414"/>
        <v>1</v>
      </c>
      <c r="BN324" s="1120">
        <f t="shared" si="415"/>
        <v>1</v>
      </c>
      <c r="BO324" s="1120">
        <f t="shared" si="416"/>
        <v>1</v>
      </c>
      <c r="BP324" s="1120">
        <f t="shared" si="417"/>
        <v>0</v>
      </c>
      <c r="BQ324" s="1120">
        <f t="shared" si="418"/>
        <v>0</v>
      </c>
      <c r="BR324" s="1120">
        <f t="shared" si="419"/>
        <v>0</v>
      </c>
      <c r="BS324" s="1120">
        <f t="shared" si="420"/>
        <v>0</v>
      </c>
      <c r="BT324" s="1120">
        <f t="shared" si="421"/>
        <v>1</v>
      </c>
      <c r="BU324" s="1120">
        <f t="shared" si="422"/>
        <v>1</v>
      </c>
      <c r="BV324" s="1120">
        <f t="shared" si="423"/>
        <v>1</v>
      </c>
      <c r="BW324" s="1120">
        <f t="shared" si="424"/>
        <v>0</v>
      </c>
      <c r="BX324" s="1120">
        <f t="shared" si="425"/>
        <v>0</v>
      </c>
      <c r="BY324" s="1120">
        <f t="shared" si="426"/>
        <v>0</v>
      </c>
      <c r="BZ324" s="1120">
        <f t="shared" si="427"/>
        <v>1</v>
      </c>
      <c r="CA324" s="1120">
        <f t="shared" si="428"/>
        <v>1</v>
      </c>
      <c r="CB324" s="1120">
        <f t="shared" si="429"/>
        <v>1</v>
      </c>
      <c r="CC324" s="1120">
        <f t="shared" si="430"/>
        <v>1</v>
      </c>
      <c r="CD324" s="1120">
        <f t="shared" si="431"/>
        <v>1</v>
      </c>
      <c r="CE324" s="1120">
        <f t="shared" si="432"/>
        <v>1</v>
      </c>
      <c r="CF324" s="1120">
        <f t="shared" si="433"/>
        <v>1</v>
      </c>
      <c r="CG324" s="1120">
        <f t="shared" si="434"/>
        <v>0</v>
      </c>
      <c r="CH324" s="1120">
        <f t="shared" si="435"/>
        <v>0</v>
      </c>
      <c r="CI324" s="1120">
        <f t="shared" si="436"/>
        <v>0.85</v>
      </c>
      <c r="CJ324" s="1120">
        <f t="shared" si="437"/>
        <v>0.85</v>
      </c>
      <c r="CK324" s="1120">
        <f t="shared" si="438"/>
        <v>0.85</v>
      </c>
      <c r="CL324" s="1120">
        <f t="shared" si="439"/>
        <v>0.85</v>
      </c>
      <c r="CM324" s="1120">
        <f t="shared" si="440"/>
        <v>0.85</v>
      </c>
      <c r="CN324" s="1120">
        <f t="shared" si="441"/>
        <v>0.7</v>
      </c>
      <c r="CO324" s="1120">
        <f t="shared" si="442"/>
        <v>0.7</v>
      </c>
      <c r="CP324" s="1120">
        <f t="shared" si="443"/>
        <v>0.7</v>
      </c>
      <c r="CQ324" s="1120">
        <f t="shared" si="444"/>
        <v>0.7</v>
      </c>
      <c r="CR324" s="1120">
        <f t="shared" si="445"/>
        <v>0.85</v>
      </c>
      <c r="CS324" s="1120">
        <f t="shared" si="446"/>
        <v>0.85</v>
      </c>
      <c r="CT324" s="1120">
        <f t="shared" si="447"/>
        <v>0.85</v>
      </c>
      <c r="CU324" s="1120">
        <v>1</v>
      </c>
      <c r="CV324" s="1120"/>
      <c r="CW324" s="1120">
        <f t="shared" si="448"/>
        <v>214</v>
      </c>
      <c r="CX324" s="1120">
        <f t="shared" si="449"/>
        <v>151</v>
      </c>
      <c r="CY324" s="1135" t="s">
        <v>4883</v>
      </c>
      <c r="CZ324" s="1124" t="s">
        <v>4882</v>
      </c>
      <c r="DA324" s="1124"/>
      <c r="DB324" s="1124"/>
      <c r="DC324" s="1120" t="s">
        <v>5590</v>
      </c>
      <c r="DD324" s="1120" t="s">
        <v>228</v>
      </c>
      <c r="DE324" s="1120" t="str">
        <f t="shared" si="375"/>
        <v/>
      </c>
      <c r="DF324" s="1133">
        <v>0</v>
      </c>
      <c r="DG324" s="1120">
        <v>0</v>
      </c>
    </row>
    <row r="325" spans="1:111">
      <c r="A325" s="1125" t="s">
        <v>3438</v>
      </c>
      <c r="B325" s="1125" t="s">
        <v>4398</v>
      </c>
      <c r="C325" s="1125" t="s">
        <v>4399</v>
      </c>
      <c r="D325" s="1125" t="s">
        <v>228</v>
      </c>
      <c r="E325" s="1125">
        <v>686</v>
      </c>
      <c r="F325" s="1125">
        <v>-97.37</v>
      </c>
      <c r="G325" s="1125">
        <v>32.82</v>
      </c>
      <c r="H325" s="1125">
        <v>-6</v>
      </c>
      <c r="I325" s="1126">
        <v>25.339999914169312</v>
      </c>
      <c r="J325" s="1126">
        <v>98.960001373291021</v>
      </c>
      <c r="K325" s="1127">
        <v>74.83999862670899</v>
      </c>
      <c r="L325" s="1125">
        <v>2698.2000000000003</v>
      </c>
      <c r="M325" s="1125">
        <v>2811.6</v>
      </c>
      <c r="N325" s="1128">
        <v>44.6</v>
      </c>
      <c r="O325" s="1128">
        <v>49.459999656677248</v>
      </c>
      <c r="P325" s="1128">
        <v>51.8</v>
      </c>
      <c r="Q325" s="1128">
        <v>60.440000343322751</v>
      </c>
      <c r="R325" s="1128">
        <v>78.260001373291018</v>
      </c>
      <c r="S325" s="1128">
        <v>78.980000686645511</v>
      </c>
      <c r="T325" s="1128">
        <v>87.980000686645511</v>
      </c>
      <c r="U325" s="1128">
        <v>85.1</v>
      </c>
      <c r="V325" s="1128">
        <v>76.099999999999994</v>
      </c>
      <c r="W325" s="1128">
        <v>66.380000686645502</v>
      </c>
      <c r="X325" s="1128">
        <v>51.8</v>
      </c>
      <c r="Y325" s="1128">
        <v>44.420000171661378</v>
      </c>
      <c r="Z325" s="1128">
        <v>64.71019208699056</v>
      </c>
      <c r="AA325" s="1128">
        <f t="shared" si="376"/>
        <v>57.885308765541758</v>
      </c>
      <c r="AB325" s="1128">
        <f t="shared" si="377"/>
        <v>57.967813807611883</v>
      </c>
      <c r="AC325" s="1128">
        <f t="shared" si="378"/>
        <v>61.37181611419529</v>
      </c>
      <c r="AD325" s="1128">
        <f t="shared" si="379"/>
        <v>67.210010026817613</v>
      </c>
      <c r="AE325" s="1128">
        <f t="shared" si="380"/>
        <v>73.960580332862293</v>
      </c>
      <c r="AF325" s="1128">
        <f t="shared" si="381"/>
        <v>79.86388685262142</v>
      </c>
      <c r="AG325" s="1128">
        <f t="shared" si="382"/>
        <v>83.381141769012601</v>
      </c>
      <c r="AH325" s="1128">
        <f t="shared" si="383"/>
        <v>83.595518385539506</v>
      </c>
      <c r="AI325" s="1128">
        <f t="shared" si="384"/>
        <v>80.451136133460736</v>
      </c>
      <c r="AJ325" s="1128">
        <f t="shared" si="385"/>
        <v>74.767626703177896</v>
      </c>
      <c r="AK325" s="1128">
        <f t="shared" si="386"/>
        <v>68.026484413225702</v>
      </c>
      <c r="AL325" s="1128">
        <f t="shared" si="387"/>
        <v>61.984891885627462</v>
      </c>
      <c r="AM325" s="1125">
        <f t="shared" si="388"/>
        <v>1</v>
      </c>
      <c r="AN325" s="1125">
        <f t="shared" si="389"/>
        <v>1</v>
      </c>
      <c r="AO325" s="1125">
        <f t="shared" si="390"/>
        <v>1</v>
      </c>
      <c r="AP325" s="1125">
        <f t="shared" si="391"/>
        <v>1</v>
      </c>
      <c r="AQ325" s="1125">
        <f t="shared" si="392"/>
        <v>0</v>
      </c>
      <c r="AR325" s="1125">
        <f t="shared" si="393"/>
        <v>0</v>
      </c>
      <c r="AS325" s="1125">
        <f t="shared" si="394"/>
        <v>0</v>
      </c>
      <c r="AT325" s="1125">
        <f t="shared" si="395"/>
        <v>0</v>
      </c>
      <c r="AU325" s="1125">
        <f t="shared" si="396"/>
        <v>0</v>
      </c>
      <c r="AV325" s="1125">
        <f t="shared" si="397"/>
        <v>0</v>
      </c>
      <c r="AW325" s="1125">
        <f t="shared" si="398"/>
        <v>1</v>
      </c>
      <c r="AX325" s="1125">
        <f t="shared" si="399"/>
        <v>1</v>
      </c>
      <c r="AY325" s="1125">
        <f t="shared" si="400"/>
        <v>0</v>
      </c>
      <c r="AZ325" s="1125">
        <f t="shared" si="401"/>
        <v>0</v>
      </c>
      <c r="BA325" s="1125">
        <f t="shared" si="402"/>
        <v>0</v>
      </c>
      <c r="BB325" s="1125">
        <f t="shared" si="403"/>
        <v>0</v>
      </c>
      <c r="BC325" s="1125">
        <f t="shared" si="404"/>
        <v>1</v>
      </c>
      <c r="BD325" s="1125">
        <f t="shared" si="405"/>
        <v>1</v>
      </c>
      <c r="BE325" s="1125">
        <f t="shared" si="406"/>
        <v>1</v>
      </c>
      <c r="BF325" s="1125">
        <f t="shared" si="407"/>
        <v>1</v>
      </c>
      <c r="BG325" s="1125">
        <f t="shared" si="408"/>
        <v>1</v>
      </c>
      <c r="BH325" s="1125">
        <f t="shared" si="409"/>
        <v>1</v>
      </c>
      <c r="BI325" s="1125">
        <f t="shared" si="410"/>
        <v>0</v>
      </c>
      <c r="BJ325" s="1125">
        <f t="shared" si="411"/>
        <v>0</v>
      </c>
      <c r="BK325" s="1125">
        <f t="shared" si="412"/>
        <v>1</v>
      </c>
      <c r="BL325" s="1125">
        <f t="shared" si="413"/>
        <v>1</v>
      </c>
      <c r="BM325" s="1125">
        <f t="shared" si="414"/>
        <v>1</v>
      </c>
      <c r="BN325" s="1125">
        <f t="shared" si="415"/>
        <v>1</v>
      </c>
      <c r="BO325" s="1125">
        <f t="shared" si="416"/>
        <v>1</v>
      </c>
      <c r="BP325" s="1125">
        <f t="shared" si="417"/>
        <v>0</v>
      </c>
      <c r="BQ325" s="1125">
        <f t="shared" si="418"/>
        <v>0</v>
      </c>
      <c r="BR325" s="1125">
        <f t="shared" si="419"/>
        <v>0</v>
      </c>
      <c r="BS325" s="1125">
        <f t="shared" si="420"/>
        <v>0</v>
      </c>
      <c r="BT325" s="1125">
        <f t="shared" si="421"/>
        <v>0</v>
      </c>
      <c r="BU325" s="1125">
        <f t="shared" si="422"/>
        <v>1</v>
      </c>
      <c r="BV325" s="1125">
        <f t="shared" si="423"/>
        <v>1</v>
      </c>
      <c r="BW325" s="1125">
        <f t="shared" si="424"/>
        <v>0</v>
      </c>
      <c r="BX325" s="1125">
        <f t="shared" si="425"/>
        <v>0</v>
      </c>
      <c r="BY325" s="1125">
        <f t="shared" si="426"/>
        <v>0</v>
      </c>
      <c r="BZ325" s="1125">
        <f t="shared" si="427"/>
        <v>1</v>
      </c>
      <c r="CA325" s="1125">
        <f t="shared" si="428"/>
        <v>1</v>
      </c>
      <c r="CB325" s="1125">
        <f t="shared" si="429"/>
        <v>1</v>
      </c>
      <c r="CC325" s="1125">
        <f t="shared" si="430"/>
        <v>1</v>
      </c>
      <c r="CD325" s="1125">
        <f t="shared" si="431"/>
        <v>1</v>
      </c>
      <c r="CE325" s="1125">
        <f t="shared" si="432"/>
        <v>1</v>
      </c>
      <c r="CF325" s="1125">
        <f t="shared" si="433"/>
        <v>1</v>
      </c>
      <c r="CG325" s="1125">
        <f t="shared" si="434"/>
        <v>1</v>
      </c>
      <c r="CH325" s="1125">
        <f t="shared" si="435"/>
        <v>0</v>
      </c>
      <c r="CI325" s="1125">
        <f t="shared" si="436"/>
        <v>0.85</v>
      </c>
      <c r="CJ325" s="1125">
        <f t="shared" si="437"/>
        <v>0.85</v>
      </c>
      <c r="CK325" s="1125">
        <f t="shared" si="438"/>
        <v>0.85</v>
      </c>
      <c r="CL325" s="1125">
        <f t="shared" si="439"/>
        <v>0.85</v>
      </c>
      <c r="CM325" s="1125">
        <f t="shared" si="440"/>
        <v>0.85</v>
      </c>
      <c r="CN325" s="1125">
        <f t="shared" si="441"/>
        <v>0.7</v>
      </c>
      <c r="CO325" s="1125">
        <f t="shared" si="442"/>
        <v>0.7</v>
      </c>
      <c r="CP325" s="1125">
        <f t="shared" si="443"/>
        <v>0.7</v>
      </c>
      <c r="CQ325" s="1125">
        <f t="shared" si="444"/>
        <v>0.7</v>
      </c>
      <c r="CR325" s="1125">
        <f t="shared" si="445"/>
        <v>0.7</v>
      </c>
      <c r="CS325" s="1125">
        <f t="shared" si="446"/>
        <v>0.85</v>
      </c>
      <c r="CT325" s="1125">
        <f t="shared" si="447"/>
        <v>0.85</v>
      </c>
      <c r="CU325" s="1125">
        <v>1</v>
      </c>
      <c r="CV325" s="1125"/>
      <c r="CW325" s="1125">
        <f t="shared" si="448"/>
        <v>244</v>
      </c>
      <c r="CX325" s="1125">
        <f t="shared" si="449"/>
        <v>121</v>
      </c>
      <c r="CY325" s="1136" t="s">
        <v>4883</v>
      </c>
      <c r="CZ325" s="1129" t="s">
        <v>4882</v>
      </c>
      <c r="DA325" s="1129"/>
      <c r="DB325" s="1129"/>
      <c r="DC325" s="1125" t="s">
        <v>5591</v>
      </c>
      <c r="DD325" s="1125" t="s">
        <v>228</v>
      </c>
      <c r="DE325" s="1120" t="str">
        <f t="shared" si="375"/>
        <v/>
      </c>
      <c r="DF325" s="1133">
        <v>0</v>
      </c>
      <c r="DG325" s="1125">
        <v>0</v>
      </c>
    </row>
    <row r="326" spans="1:111">
      <c r="A326" s="1120" t="s">
        <v>3440</v>
      </c>
      <c r="B326" s="1120" t="s">
        <v>4400</v>
      </c>
      <c r="C326" s="1120" t="s">
        <v>4401</v>
      </c>
      <c r="D326" s="1120" t="s">
        <v>228</v>
      </c>
      <c r="E326" s="1120">
        <v>607</v>
      </c>
      <c r="F326" s="1120">
        <v>-97.45</v>
      </c>
      <c r="G326" s="1120">
        <v>32.770000000000003</v>
      </c>
      <c r="H326" s="1120">
        <v>-6</v>
      </c>
      <c r="I326" s="1121">
        <v>25.520000171661376</v>
      </c>
      <c r="J326" s="1121">
        <v>98.420002746582028</v>
      </c>
      <c r="K326" s="1122">
        <v>75.2</v>
      </c>
      <c r="L326" s="1120">
        <v>2052</v>
      </c>
      <c r="M326" s="1120">
        <v>2696.4</v>
      </c>
      <c r="N326" s="1123">
        <v>47.840000343322757</v>
      </c>
      <c r="O326" s="1123">
        <v>50.9</v>
      </c>
      <c r="P326" s="1123">
        <v>59.719999313354492</v>
      </c>
      <c r="Q326" s="1123">
        <v>67.639998626708987</v>
      </c>
      <c r="R326" s="1123">
        <v>72.860001373291013</v>
      </c>
      <c r="S326" s="1123">
        <v>81.139998626708987</v>
      </c>
      <c r="T326" s="1123">
        <v>84.919999313354495</v>
      </c>
      <c r="U326" s="1123">
        <v>81.680000686645513</v>
      </c>
      <c r="V326" s="1123">
        <v>78.980000686645511</v>
      </c>
      <c r="W326" s="1123">
        <v>66.919999313354495</v>
      </c>
      <c r="X326" s="1123">
        <v>53.780000686645508</v>
      </c>
      <c r="Y326" s="1123">
        <v>46.580000686645505</v>
      </c>
      <c r="Z326" s="1123">
        <v>66.157589015699415</v>
      </c>
      <c r="AA326" s="1123">
        <f t="shared" si="376"/>
        <v>60.531793754982935</v>
      </c>
      <c r="AB326" s="1123">
        <f t="shared" si="377"/>
        <v>60.757623514908275</v>
      </c>
      <c r="AC326" s="1123">
        <f t="shared" si="378"/>
        <v>63.955029961400946</v>
      </c>
      <c r="AD326" s="1123">
        <f t="shared" si="379"/>
        <v>69.290559830657799</v>
      </c>
      <c r="AE326" s="1123">
        <f t="shared" si="380"/>
        <v>75.373425039252865</v>
      </c>
      <c r="AF326" s="1123">
        <f t="shared" si="381"/>
        <v>80.618033030775507</v>
      </c>
      <c r="AG326" s="1123">
        <f t="shared" si="382"/>
        <v>83.657295910379759</v>
      </c>
      <c r="AH326" s="1123">
        <f t="shared" si="383"/>
        <v>83.698982972038038</v>
      </c>
      <c r="AI326" s="1123">
        <f t="shared" si="384"/>
        <v>80.732227840712071</v>
      </c>
      <c r="AJ326" s="1123">
        <f t="shared" si="385"/>
        <v>75.530360960462446</v>
      </c>
      <c r="AK326" s="1123">
        <f t="shared" si="386"/>
        <v>69.449329096821373</v>
      </c>
      <c r="AL326" s="1123">
        <f t="shared" si="387"/>
        <v>64.074246916584514</v>
      </c>
      <c r="AM326" s="1120">
        <f t="shared" si="388"/>
        <v>1</v>
      </c>
      <c r="AN326" s="1120">
        <f t="shared" si="389"/>
        <v>1</v>
      </c>
      <c r="AO326" s="1120">
        <f t="shared" si="390"/>
        <v>1</v>
      </c>
      <c r="AP326" s="1120">
        <f t="shared" si="391"/>
        <v>0</v>
      </c>
      <c r="AQ326" s="1120">
        <f t="shared" si="392"/>
        <v>0</v>
      </c>
      <c r="AR326" s="1120">
        <f t="shared" si="393"/>
        <v>0</v>
      </c>
      <c r="AS326" s="1120">
        <f t="shared" si="394"/>
        <v>0</v>
      </c>
      <c r="AT326" s="1120">
        <f t="shared" si="395"/>
        <v>0</v>
      </c>
      <c r="AU326" s="1120">
        <f t="shared" si="396"/>
        <v>0</v>
      </c>
      <c r="AV326" s="1120">
        <f t="shared" si="397"/>
        <v>0</v>
      </c>
      <c r="AW326" s="1120">
        <f t="shared" si="398"/>
        <v>1</v>
      </c>
      <c r="AX326" s="1120">
        <f t="shared" si="399"/>
        <v>1</v>
      </c>
      <c r="AY326" s="1120">
        <f t="shared" si="400"/>
        <v>0</v>
      </c>
      <c r="AZ326" s="1120">
        <f t="shared" si="401"/>
        <v>0</v>
      </c>
      <c r="BA326" s="1120">
        <f t="shared" si="402"/>
        <v>0</v>
      </c>
      <c r="BB326" s="1120">
        <f t="shared" si="403"/>
        <v>1</v>
      </c>
      <c r="BC326" s="1120">
        <f t="shared" si="404"/>
        <v>1</v>
      </c>
      <c r="BD326" s="1120">
        <f t="shared" si="405"/>
        <v>1</v>
      </c>
      <c r="BE326" s="1120">
        <f t="shared" si="406"/>
        <v>1</v>
      </c>
      <c r="BF326" s="1120">
        <f t="shared" si="407"/>
        <v>1</v>
      </c>
      <c r="BG326" s="1120">
        <f t="shared" si="408"/>
        <v>1</v>
      </c>
      <c r="BH326" s="1120">
        <f t="shared" si="409"/>
        <v>1</v>
      </c>
      <c r="BI326" s="1120">
        <f t="shared" si="410"/>
        <v>0</v>
      </c>
      <c r="BJ326" s="1120">
        <f t="shared" si="411"/>
        <v>0</v>
      </c>
      <c r="BK326" s="1120">
        <f t="shared" si="412"/>
        <v>1</v>
      </c>
      <c r="BL326" s="1120">
        <f t="shared" si="413"/>
        <v>1</v>
      </c>
      <c r="BM326" s="1120">
        <f t="shared" si="414"/>
        <v>1</v>
      </c>
      <c r="BN326" s="1120">
        <f t="shared" si="415"/>
        <v>1</v>
      </c>
      <c r="BO326" s="1120">
        <f t="shared" si="416"/>
        <v>0</v>
      </c>
      <c r="BP326" s="1120">
        <f t="shared" si="417"/>
        <v>0</v>
      </c>
      <c r="BQ326" s="1120">
        <f t="shared" si="418"/>
        <v>0</v>
      </c>
      <c r="BR326" s="1120">
        <f t="shared" si="419"/>
        <v>0</v>
      </c>
      <c r="BS326" s="1120">
        <f t="shared" si="420"/>
        <v>0</v>
      </c>
      <c r="BT326" s="1120">
        <f t="shared" si="421"/>
        <v>0</v>
      </c>
      <c r="BU326" s="1120">
        <f t="shared" si="422"/>
        <v>1</v>
      </c>
      <c r="BV326" s="1120">
        <f t="shared" si="423"/>
        <v>1</v>
      </c>
      <c r="BW326" s="1120">
        <f t="shared" si="424"/>
        <v>0</v>
      </c>
      <c r="BX326" s="1120">
        <f t="shared" si="425"/>
        <v>0</v>
      </c>
      <c r="BY326" s="1120">
        <f t="shared" si="426"/>
        <v>1</v>
      </c>
      <c r="BZ326" s="1120">
        <f t="shared" si="427"/>
        <v>1</v>
      </c>
      <c r="CA326" s="1120">
        <f t="shared" si="428"/>
        <v>1</v>
      </c>
      <c r="CB326" s="1120">
        <f t="shared" si="429"/>
        <v>1</v>
      </c>
      <c r="CC326" s="1120">
        <f t="shared" si="430"/>
        <v>1</v>
      </c>
      <c r="CD326" s="1120">
        <f t="shared" si="431"/>
        <v>1</v>
      </c>
      <c r="CE326" s="1120">
        <f t="shared" si="432"/>
        <v>1</v>
      </c>
      <c r="CF326" s="1120">
        <f t="shared" si="433"/>
        <v>1</v>
      </c>
      <c r="CG326" s="1120">
        <f t="shared" si="434"/>
        <v>1</v>
      </c>
      <c r="CH326" s="1120">
        <f t="shared" si="435"/>
        <v>0</v>
      </c>
      <c r="CI326" s="1120">
        <f t="shared" si="436"/>
        <v>0.85</v>
      </c>
      <c r="CJ326" s="1120">
        <f t="shared" si="437"/>
        <v>0.85</v>
      </c>
      <c r="CK326" s="1120">
        <f t="shared" si="438"/>
        <v>0.85</v>
      </c>
      <c r="CL326" s="1120">
        <f t="shared" si="439"/>
        <v>0.85</v>
      </c>
      <c r="CM326" s="1120">
        <f t="shared" si="440"/>
        <v>0.7</v>
      </c>
      <c r="CN326" s="1120">
        <f t="shared" si="441"/>
        <v>0.7</v>
      </c>
      <c r="CO326" s="1120">
        <f t="shared" si="442"/>
        <v>0.7</v>
      </c>
      <c r="CP326" s="1120">
        <f t="shared" si="443"/>
        <v>0.7</v>
      </c>
      <c r="CQ326" s="1120">
        <f t="shared" si="444"/>
        <v>0.7</v>
      </c>
      <c r="CR326" s="1120">
        <f t="shared" si="445"/>
        <v>0.7</v>
      </c>
      <c r="CS326" s="1120">
        <f t="shared" si="446"/>
        <v>0.85</v>
      </c>
      <c r="CT326" s="1120">
        <f t="shared" si="447"/>
        <v>0.85</v>
      </c>
      <c r="CU326" s="1120">
        <v>1</v>
      </c>
      <c r="CV326" s="1120"/>
      <c r="CW326" s="1120">
        <f t="shared" si="448"/>
        <v>275</v>
      </c>
      <c r="CX326" s="1120">
        <f t="shared" si="449"/>
        <v>90</v>
      </c>
      <c r="CY326" s="1135" t="s">
        <v>4883</v>
      </c>
      <c r="CZ326" s="1124" t="s">
        <v>4882</v>
      </c>
      <c r="DA326" s="1124"/>
      <c r="DB326" s="1124"/>
      <c r="DC326" s="1120" t="s">
        <v>5592</v>
      </c>
      <c r="DD326" s="1120" t="s">
        <v>228</v>
      </c>
      <c r="DE326" s="1120" t="str">
        <f t="shared" si="375"/>
        <v/>
      </c>
      <c r="DF326" s="1133">
        <v>0</v>
      </c>
      <c r="DG326" s="1120">
        <v>0</v>
      </c>
    </row>
    <row r="327" spans="1:111">
      <c r="A327" s="1125" t="s">
        <v>3442</v>
      </c>
      <c r="B327" s="1120" t="s">
        <v>615</v>
      </c>
      <c r="C327" s="1120" t="s">
        <v>616</v>
      </c>
      <c r="D327" s="1120" t="s">
        <v>953</v>
      </c>
      <c r="E327" s="1120">
        <v>446</v>
      </c>
      <c r="F327" s="1120">
        <v>-145.27000000000001</v>
      </c>
      <c r="G327" s="1120">
        <v>66.569999999999993</v>
      </c>
      <c r="H327" s="1120">
        <v>-9</v>
      </c>
      <c r="I327" s="1121">
        <v>-50.97999725341797</v>
      </c>
      <c r="J327" s="1121">
        <v>76.639998626708987</v>
      </c>
      <c r="K327" s="1122">
        <v>58.819999313354494</v>
      </c>
      <c r="L327" s="1120">
        <v>14779.800000000001</v>
      </c>
      <c r="M327" s="1120">
        <v>12.6</v>
      </c>
      <c r="N327" s="1123">
        <v>-6.1600013732910162</v>
      </c>
      <c r="O327" s="1123">
        <v>-13.000000000000002</v>
      </c>
      <c r="P327" s="1123">
        <v>7.1599996566772459</v>
      </c>
      <c r="Q327" s="1123">
        <v>24.440000343322755</v>
      </c>
      <c r="R327" s="1123">
        <v>48.559999656677249</v>
      </c>
      <c r="S327" s="1123">
        <v>59.180000686645506</v>
      </c>
      <c r="T327" s="1123">
        <v>57.2</v>
      </c>
      <c r="U327" s="1123">
        <v>51.440000343322751</v>
      </c>
      <c r="V327" s="1123">
        <v>37.939999914169313</v>
      </c>
      <c r="W327" s="1123">
        <v>19.759999656677245</v>
      </c>
      <c r="X327" s="1123">
        <v>12.740000343322754</v>
      </c>
      <c r="Y327" s="1123">
        <v>-14.080000686645509</v>
      </c>
      <c r="Z327" s="1123">
        <v>23.959671105424018</v>
      </c>
      <c r="AA327" s="1123">
        <f t="shared" si="376"/>
        <v>32</v>
      </c>
      <c r="AB327" s="1123">
        <f t="shared" si="377"/>
        <v>32</v>
      </c>
      <c r="AC327" s="1123">
        <f t="shared" si="378"/>
        <v>32</v>
      </c>
      <c r="AD327" s="1123">
        <f t="shared" si="379"/>
        <v>32</v>
      </c>
      <c r="AE327" s="1123">
        <f t="shared" si="380"/>
        <v>32</v>
      </c>
      <c r="AF327" s="1123">
        <f t="shared" si="381"/>
        <v>32</v>
      </c>
      <c r="AG327" s="1123">
        <f t="shared" si="382"/>
        <v>33.964123349421314</v>
      </c>
      <c r="AH327" s="1123">
        <f t="shared" si="383"/>
        <v>36.461827072001014</v>
      </c>
      <c r="AI327" s="1123">
        <f t="shared" si="384"/>
        <v>37.26464364063591</v>
      </c>
      <c r="AJ327" s="1123">
        <f t="shared" si="385"/>
        <v>36.163306544933498</v>
      </c>
      <c r="AK327" s="1123">
        <f t="shared" si="386"/>
        <v>33.444896271007003</v>
      </c>
      <c r="AL327" s="1123">
        <f t="shared" si="387"/>
        <v>32</v>
      </c>
      <c r="AM327" s="1120">
        <f t="shared" si="388"/>
        <v>1</v>
      </c>
      <c r="AN327" s="1120">
        <f t="shared" si="389"/>
        <v>1</v>
      </c>
      <c r="AO327" s="1120">
        <f t="shared" si="390"/>
        <v>1</v>
      </c>
      <c r="AP327" s="1120">
        <f t="shared" si="391"/>
        <v>1</v>
      </c>
      <c r="AQ327" s="1120">
        <f t="shared" si="392"/>
        <v>1</v>
      </c>
      <c r="AR327" s="1120">
        <f t="shared" si="393"/>
        <v>1</v>
      </c>
      <c r="AS327" s="1120">
        <f t="shared" si="394"/>
        <v>1</v>
      </c>
      <c r="AT327" s="1120">
        <f t="shared" si="395"/>
        <v>1</v>
      </c>
      <c r="AU327" s="1120">
        <f t="shared" si="396"/>
        <v>1</v>
      </c>
      <c r="AV327" s="1120">
        <f t="shared" si="397"/>
        <v>1</v>
      </c>
      <c r="AW327" s="1120">
        <f t="shared" si="398"/>
        <v>1</v>
      </c>
      <c r="AX327" s="1120">
        <f t="shared" si="399"/>
        <v>1</v>
      </c>
      <c r="AY327" s="1120">
        <f t="shared" si="400"/>
        <v>0</v>
      </c>
      <c r="AZ327" s="1120">
        <f t="shared" si="401"/>
        <v>0</v>
      </c>
      <c r="BA327" s="1120">
        <f t="shared" si="402"/>
        <v>0</v>
      </c>
      <c r="BB327" s="1120">
        <f t="shared" si="403"/>
        <v>0</v>
      </c>
      <c r="BC327" s="1120">
        <f t="shared" si="404"/>
        <v>0</v>
      </c>
      <c r="BD327" s="1120">
        <f t="shared" si="405"/>
        <v>0</v>
      </c>
      <c r="BE327" s="1120">
        <f t="shared" si="406"/>
        <v>1</v>
      </c>
      <c r="BF327" s="1120">
        <f t="shared" si="407"/>
        <v>1</v>
      </c>
      <c r="BG327" s="1120">
        <f t="shared" si="408"/>
        <v>0</v>
      </c>
      <c r="BH327" s="1120">
        <f t="shared" si="409"/>
        <v>0</v>
      </c>
      <c r="BI327" s="1120">
        <f t="shared" si="410"/>
        <v>0</v>
      </c>
      <c r="BJ327" s="1120">
        <f t="shared" si="411"/>
        <v>0</v>
      </c>
      <c r="BK327" s="1120">
        <f t="shared" si="412"/>
        <v>1</v>
      </c>
      <c r="BL327" s="1120">
        <f t="shared" si="413"/>
        <v>1</v>
      </c>
      <c r="BM327" s="1120">
        <f t="shared" si="414"/>
        <v>1</v>
      </c>
      <c r="BN327" s="1120">
        <f t="shared" si="415"/>
        <v>1</v>
      </c>
      <c r="BO327" s="1120">
        <f t="shared" si="416"/>
        <v>1</v>
      </c>
      <c r="BP327" s="1120">
        <f t="shared" si="417"/>
        <v>1</v>
      </c>
      <c r="BQ327" s="1120">
        <f t="shared" si="418"/>
        <v>1</v>
      </c>
      <c r="BR327" s="1120">
        <f t="shared" si="419"/>
        <v>1</v>
      </c>
      <c r="BS327" s="1120">
        <f t="shared" si="420"/>
        <v>1</v>
      </c>
      <c r="BT327" s="1120">
        <f t="shared" si="421"/>
        <v>1</v>
      </c>
      <c r="BU327" s="1120">
        <f t="shared" si="422"/>
        <v>1</v>
      </c>
      <c r="BV327" s="1120">
        <f t="shared" si="423"/>
        <v>1</v>
      </c>
      <c r="BW327" s="1120">
        <f t="shared" si="424"/>
        <v>0</v>
      </c>
      <c r="BX327" s="1120">
        <f t="shared" si="425"/>
        <v>0</v>
      </c>
      <c r="BY327" s="1120">
        <f t="shared" si="426"/>
        <v>0</v>
      </c>
      <c r="BZ327" s="1120">
        <f t="shared" si="427"/>
        <v>0</v>
      </c>
      <c r="CA327" s="1120">
        <f t="shared" si="428"/>
        <v>0</v>
      </c>
      <c r="CB327" s="1120">
        <f t="shared" si="429"/>
        <v>0</v>
      </c>
      <c r="CC327" s="1120">
        <f t="shared" si="430"/>
        <v>1</v>
      </c>
      <c r="CD327" s="1120">
        <f t="shared" si="431"/>
        <v>1</v>
      </c>
      <c r="CE327" s="1120">
        <f t="shared" si="432"/>
        <v>0</v>
      </c>
      <c r="CF327" s="1120">
        <f t="shared" si="433"/>
        <v>0</v>
      </c>
      <c r="CG327" s="1120">
        <f t="shared" si="434"/>
        <v>0</v>
      </c>
      <c r="CH327" s="1120">
        <f t="shared" si="435"/>
        <v>0</v>
      </c>
      <c r="CI327" s="1120">
        <f t="shared" si="436"/>
        <v>0.85</v>
      </c>
      <c r="CJ327" s="1120">
        <f t="shared" si="437"/>
        <v>0.85</v>
      </c>
      <c r="CK327" s="1120">
        <f t="shared" si="438"/>
        <v>0.85</v>
      </c>
      <c r="CL327" s="1120">
        <f t="shared" si="439"/>
        <v>0.85</v>
      </c>
      <c r="CM327" s="1120">
        <f t="shared" si="440"/>
        <v>0.85</v>
      </c>
      <c r="CN327" s="1120">
        <f t="shared" si="441"/>
        <v>0.85</v>
      </c>
      <c r="CO327" s="1120">
        <f t="shared" si="442"/>
        <v>0.85</v>
      </c>
      <c r="CP327" s="1120">
        <f t="shared" si="443"/>
        <v>0.85</v>
      </c>
      <c r="CQ327" s="1120">
        <f t="shared" si="444"/>
        <v>0.85</v>
      </c>
      <c r="CR327" s="1120">
        <f t="shared" si="445"/>
        <v>0.85</v>
      </c>
      <c r="CS327" s="1120">
        <f t="shared" si="446"/>
        <v>0.85</v>
      </c>
      <c r="CT327" s="1120">
        <f t="shared" si="447"/>
        <v>0.85</v>
      </c>
      <c r="CU327" s="1120">
        <v>1</v>
      </c>
      <c r="CV327" s="1120"/>
      <c r="CW327" s="1120">
        <f t="shared" si="448"/>
        <v>62</v>
      </c>
      <c r="CX327" s="1120">
        <f t="shared" si="449"/>
        <v>303</v>
      </c>
      <c r="CY327" s="1135" t="s">
        <v>4880</v>
      </c>
      <c r="CZ327" s="1124">
        <v>8</v>
      </c>
      <c r="DA327" s="1124"/>
      <c r="DB327" s="1124"/>
      <c r="DC327" s="1120" t="s">
        <v>4925</v>
      </c>
      <c r="DD327" s="1120" t="s">
        <v>953</v>
      </c>
      <c r="DE327" s="1120" t="str">
        <f t="shared" si="375"/>
        <v/>
      </c>
      <c r="DF327" s="1120">
        <v>0</v>
      </c>
      <c r="DG327" s="1125">
        <v>0</v>
      </c>
    </row>
    <row r="328" spans="1:111">
      <c r="A328" s="1120" t="s">
        <v>3443</v>
      </c>
      <c r="B328" s="1125" t="s">
        <v>3795</v>
      </c>
      <c r="C328" s="1125" t="s">
        <v>3796</v>
      </c>
      <c r="D328" s="1125" t="s">
        <v>934</v>
      </c>
      <c r="E328" s="1125">
        <v>1273</v>
      </c>
      <c r="F328" s="1125">
        <v>-95.77</v>
      </c>
      <c r="G328" s="1125">
        <v>47.58</v>
      </c>
      <c r="H328" s="1125">
        <v>-6</v>
      </c>
      <c r="I328" s="1126">
        <v>-17.68000068664551</v>
      </c>
      <c r="J328" s="1126">
        <v>83.480000686645511</v>
      </c>
      <c r="K328" s="1127">
        <v>67.819999313354487</v>
      </c>
      <c r="L328" s="1125">
        <v>9423</v>
      </c>
      <c r="M328" s="1125">
        <v>295.2</v>
      </c>
      <c r="N328" s="1128">
        <v>6.0800006866455067</v>
      </c>
      <c r="O328" s="1128">
        <v>22.1</v>
      </c>
      <c r="P328" s="1128">
        <v>22.640000343322754</v>
      </c>
      <c r="Q328" s="1128">
        <v>39.559999656677249</v>
      </c>
      <c r="R328" s="1128">
        <v>52.340000343322757</v>
      </c>
      <c r="S328" s="1128">
        <v>64.219999313354492</v>
      </c>
      <c r="T328" s="1128">
        <v>65.3</v>
      </c>
      <c r="U328" s="1128">
        <v>66.019999313354489</v>
      </c>
      <c r="V328" s="1128">
        <v>59.540000343322752</v>
      </c>
      <c r="W328" s="1128">
        <v>43.52000017166138</v>
      </c>
      <c r="X328" s="1128">
        <v>25.160000085830688</v>
      </c>
      <c r="Y328" s="1128">
        <v>5.5400003433227534</v>
      </c>
      <c r="Z328" s="1128">
        <v>39.391342518427599</v>
      </c>
      <c r="AA328" s="1128">
        <f t="shared" si="376"/>
        <v>37.080428323565876</v>
      </c>
      <c r="AB328" s="1128">
        <f t="shared" si="377"/>
        <v>34.834980614760426</v>
      </c>
      <c r="AC328" s="1128">
        <f t="shared" si="378"/>
        <v>35.341211314606994</v>
      </c>
      <c r="AD328" s="1128">
        <f t="shared" si="379"/>
        <v>38.467163589939346</v>
      </c>
      <c r="AE328" s="1128">
        <f t="shared" si="380"/>
        <v>43.398009807809373</v>
      </c>
      <c r="AF328" s="1128">
        <f t="shared" si="381"/>
        <v>48.848448914888948</v>
      </c>
      <c r="AG328" s="1128">
        <f t="shared" si="382"/>
        <v>53.397739964108666</v>
      </c>
      <c r="AH328" s="1128">
        <f t="shared" si="383"/>
        <v>55.860040136792222</v>
      </c>
      <c r="AI328" s="1128">
        <f t="shared" si="384"/>
        <v>55.593512947735398</v>
      </c>
      <c r="AJ328" s="1128">
        <f t="shared" si="385"/>
        <v>52.667632816074168</v>
      </c>
      <c r="AK328" s="1128">
        <f t="shared" si="386"/>
        <v>47.845075487303689</v>
      </c>
      <c r="AL328" s="1128">
        <f t="shared" si="387"/>
        <v>42.382914847026015</v>
      </c>
      <c r="AM328" s="1125">
        <f t="shared" si="388"/>
        <v>1</v>
      </c>
      <c r="AN328" s="1125">
        <f t="shared" si="389"/>
        <v>1</v>
      </c>
      <c r="AO328" s="1125">
        <f t="shared" si="390"/>
        <v>1</v>
      </c>
      <c r="AP328" s="1125">
        <f t="shared" si="391"/>
        <v>1</v>
      </c>
      <c r="AQ328" s="1125">
        <f t="shared" si="392"/>
        <v>1</v>
      </c>
      <c r="AR328" s="1125">
        <f t="shared" si="393"/>
        <v>1</v>
      </c>
      <c r="AS328" s="1125">
        <f t="shared" si="394"/>
        <v>1</v>
      </c>
      <c r="AT328" s="1125">
        <f t="shared" si="395"/>
        <v>0</v>
      </c>
      <c r="AU328" s="1125">
        <f t="shared" si="396"/>
        <v>1</v>
      </c>
      <c r="AV328" s="1125">
        <f t="shared" si="397"/>
        <v>1</v>
      </c>
      <c r="AW328" s="1125">
        <f t="shared" si="398"/>
        <v>1</v>
      </c>
      <c r="AX328" s="1125">
        <f t="shared" si="399"/>
        <v>1</v>
      </c>
      <c r="AY328" s="1125">
        <f t="shared" si="400"/>
        <v>0</v>
      </c>
      <c r="AZ328" s="1125">
        <f t="shared" si="401"/>
        <v>0</v>
      </c>
      <c r="BA328" s="1125">
        <f t="shared" si="402"/>
        <v>0</v>
      </c>
      <c r="BB328" s="1125">
        <f t="shared" si="403"/>
        <v>0</v>
      </c>
      <c r="BC328" s="1125">
        <f t="shared" si="404"/>
        <v>0</v>
      </c>
      <c r="BD328" s="1125">
        <f t="shared" si="405"/>
        <v>0</v>
      </c>
      <c r="BE328" s="1125">
        <f t="shared" si="406"/>
        <v>1</v>
      </c>
      <c r="BF328" s="1125">
        <f t="shared" si="407"/>
        <v>1</v>
      </c>
      <c r="BG328" s="1125">
        <f t="shared" si="408"/>
        <v>0</v>
      </c>
      <c r="BH328" s="1125">
        <f t="shared" si="409"/>
        <v>0</v>
      </c>
      <c r="BI328" s="1125">
        <f t="shared" si="410"/>
        <v>0</v>
      </c>
      <c r="BJ328" s="1125">
        <f t="shared" si="411"/>
        <v>0</v>
      </c>
      <c r="BK328" s="1125">
        <f t="shared" si="412"/>
        <v>1</v>
      </c>
      <c r="BL328" s="1125">
        <f t="shared" si="413"/>
        <v>1</v>
      </c>
      <c r="BM328" s="1125">
        <f t="shared" si="414"/>
        <v>1</v>
      </c>
      <c r="BN328" s="1125">
        <f t="shared" si="415"/>
        <v>1</v>
      </c>
      <c r="BO328" s="1125">
        <f t="shared" si="416"/>
        <v>1</v>
      </c>
      <c r="BP328" s="1125">
        <f t="shared" si="417"/>
        <v>1</v>
      </c>
      <c r="BQ328" s="1125">
        <f t="shared" si="418"/>
        <v>1</v>
      </c>
      <c r="BR328" s="1125">
        <f t="shared" si="419"/>
        <v>0</v>
      </c>
      <c r="BS328" s="1125">
        <f t="shared" si="420"/>
        <v>1</v>
      </c>
      <c r="BT328" s="1125">
        <f t="shared" si="421"/>
        <v>1</v>
      </c>
      <c r="BU328" s="1125">
        <f t="shared" si="422"/>
        <v>1</v>
      </c>
      <c r="BV328" s="1125">
        <f t="shared" si="423"/>
        <v>1</v>
      </c>
      <c r="BW328" s="1125">
        <f t="shared" si="424"/>
        <v>0</v>
      </c>
      <c r="BX328" s="1125">
        <f t="shared" si="425"/>
        <v>0</v>
      </c>
      <c r="BY328" s="1125">
        <f t="shared" si="426"/>
        <v>0</v>
      </c>
      <c r="BZ328" s="1125">
        <f t="shared" si="427"/>
        <v>0</v>
      </c>
      <c r="CA328" s="1125">
        <f t="shared" si="428"/>
        <v>0</v>
      </c>
      <c r="CB328" s="1125">
        <f t="shared" si="429"/>
        <v>0</v>
      </c>
      <c r="CC328" s="1125">
        <f t="shared" si="430"/>
        <v>1</v>
      </c>
      <c r="CD328" s="1125">
        <f t="shared" si="431"/>
        <v>1</v>
      </c>
      <c r="CE328" s="1125">
        <f t="shared" si="432"/>
        <v>1</v>
      </c>
      <c r="CF328" s="1125">
        <f t="shared" si="433"/>
        <v>0</v>
      </c>
      <c r="CG328" s="1125">
        <f t="shared" si="434"/>
        <v>0</v>
      </c>
      <c r="CH328" s="1125">
        <f t="shared" si="435"/>
        <v>0</v>
      </c>
      <c r="CI328" s="1125">
        <f t="shared" si="436"/>
        <v>0.85</v>
      </c>
      <c r="CJ328" s="1125">
        <f t="shared" si="437"/>
        <v>0.85</v>
      </c>
      <c r="CK328" s="1125">
        <f t="shared" si="438"/>
        <v>0.85</v>
      </c>
      <c r="CL328" s="1125">
        <f t="shared" si="439"/>
        <v>0.85</v>
      </c>
      <c r="CM328" s="1125">
        <f t="shared" si="440"/>
        <v>0.85</v>
      </c>
      <c r="CN328" s="1125">
        <f t="shared" si="441"/>
        <v>0.85</v>
      </c>
      <c r="CO328" s="1125">
        <f t="shared" si="442"/>
        <v>0.85</v>
      </c>
      <c r="CP328" s="1125">
        <f t="shared" si="443"/>
        <v>0.7</v>
      </c>
      <c r="CQ328" s="1125">
        <f t="shared" si="444"/>
        <v>0.85</v>
      </c>
      <c r="CR328" s="1125">
        <f t="shared" si="445"/>
        <v>0.85</v>
      </c>
      <c r="CS328" s="1125">
        <f t="shared" si="446"/>
        <v>0.85</v>
      </c>
      <c r="CT328" s="1125">
        <f t="shared" si="447"/>
        <v>0.85</v>
      </c>
      <c r="CU328" s="1125">
        <v>1</v>
      </c>
      <c r="CV328" s="1125"/>
      <c r="CW328" s="1125">
        <f t="shared" si="448"/>
        <v>92</v>
      </c>
      <c r="CX328" s="1125">
        <f t="shared" si="449"/>
        <v>273</v>
      </c>
      <c r="CY328" s="1136" t="s">
        <v>4879</v>
      </c>
      <c r="CZ328" s="1129">
        <v>7</v>
      </c>
      <c r="DA328" s="1129"/>
      <c r="DB328" s="1129"/>
      <c r="DC328" s="1125" t="s">
        <v>5752</v>
      </c>
      <c r="DD328" s="1125" t="s">
        <v>934</v>
      </c>
      <c r="DE328" s="1120" t="b">
        <f t="shared" si="375"/>
        <v>0</v>
      </c>
      <c r="DF328" s="1133">
        <v>0</v>
      </c>
      <c r="DG328" s="1120">
        <v>0</v>
      </c>
    </row>
    <row r="329" spans="1:111">
      <c r="A329" s="1125" t="s">
        <v>3445</v>
      </c>
      <c r="B329" s="1125" t="s">
        <v>4498</v>
      </c>
      <c r="C329" s="1125" t="s">
        <v>4499</v>
      </c>
      <c r="D329" s="1125" t="s">
        <v>501</v>
      </c>
      <c r="E329" s="1125">
        <v>39</v>
      </c>
      <c r="F329" s="1125">
        <v>-76.900000000000006</v>
      </c>
      <c r="G329" s="1125">
        <v>36.700000000000003</v>
      </c>
      <c r="H329" s="1125">
        <v>-5</v>
      </c>
      <c r="I329" s="1126">
        <v>19.040000343322752</v>
      </c>
      <c r="J329" s="1126">
        <v>96.979997253417977</v>
      </c>
      <c r="K329" s="1127">
        <v>77.719999313354492</v>
      </c>
      <c r="L329" s="1125">
        <v>2943</v>
      </c>
      <c r="M329" s="1125">
        <v>1656</v>
      </c>
      <c r="N329" s="1128">
        <v>41.359999656677246</v>
      </c>
      <c r="O329" s="1128">
        <v>45.5</v>
      </c>
      <c r="P329" s="1128">
        <v>53.6</v>
      </c>
      <c r="Q329" s="1128">
        <v>58.819999313354494</v>
      </c>
      <c r="R329" s="1128">
        <v>66.739998626708982</v>
      </c>
      <c r="S329" s="1128">
        <v>73.939998626708984</v>
      </c>
      <c r="T329" s="1128">
        <v>78.619999313354498</v>
      </c>
      <c r="U329" s="1128">
        <v>77.900000000000006</v>
      </c>
      <c r="V329" s="1128">
        <v>72.860001373291013</v>
      </c>
      <c r="W329" s="1128">
        <v>63.139998626708987</v>
      </c>
      <c r="X329" s="1128">
        <v>51.8</v>
      </c>
      <c r="Y329" s="1128">
        <v>45.140000343322754</v>
      </c>
      <c r="Z329" s="1128">
        <v>60.871506501289261</v>
      </c>
      <c r="AA329" s="1128">
        <f t="shared" si="376"/>
        <v>56.787772761014935</v>
      </c>
      <c r="AB329" s="1128">
        <f t="shared" si="377"/>
        <v>56.496681610834884</v>
      </c>
      <c r="AC329" s="1128">
        <f t="shared" si="378"/>
        <v>58.909948449242883</v>
      </c>
      <c r="AD329" s="1128">
        <f t="shared" si="379"/>
        <v>63.398518085240184</v>
      </c>
      <c r="AE329" s="1128">
        <f t="shared" si="380"/>
        <v>68.79237567225222</v>
      </c>
      <c r="AF329" s="1128">
        <f t="shared" si="381"/>
        <v>73.6855291083628</v>
      </c>
      <c r="AG329" s="1128">
        <f t="shared" si="382"/>
        <v>76.802502544672748</v>
      </c>
      <c r="AH329" s="1128">
        <f t="shared" si="383"/>
        <v>77.330808820993241</v>
      </c>
      <c r="AI329" s="1128">
        <f t="shared" si="384"/>
        <v>75.132736764955183</v>
      </c>
      <c r="AJ329" s="1128">
        <f t="shared" si="385"/>
        <v>70.781247731280615</v>
      </c>
      <c r="AK329" s="1128">
        <f t="shared" si="386"/>
        <v>65.410624395072659</v>
      </c>
      <c r="AL329" s="1128">
        <f t="shared" si="387"/>
        <v>60.420802492724796</v>
      </c>
      <c r="AM329" s="1125">
        <f t="shared" si="388"/>
        <v>1</v>
      </c>
      <c r="AN329" s="1125">
        <f t="shared" si="389"/>
        <v>1</v>
      </c>
      <c r="AO329" s="1125">
        <f t="shared" si="390"/>
        <v>1</v>
      </c>
      <c r="AP329" s="1125">
        <f t="shared" si="391"/>
        <v>1</v>
      </c>
      <c r="AQ329" s="1125">
        <f t="shared" si="392"/>
        <v>0</v>
      </c>
      <c r="AR329" s="1125">
        <f t="shared" si="393"/>
        <v>0</v>
      </c>
      <c r="AS329" s="1125">
        <f t="shared" si="394"/>
        <v>0</v>
      </c>
      <c r="AT329" s="1125">
        <f t="shared" si="395"/>
        <v>0</v>
      </c>
      <c r="AU329" s="1125">
        <f t="shared" si="396"/>
        <v>0</v>
      </c>
      <c r="AV329" s="1125">
        <f t="shared" si="397"/>
        <v>1</v>
      </c>
      <c r="AW329" s="1125">
        <f t="shared" si="398"/>
        <v>1</v>
      </c>
      <c r="AX329" s="1125">
        <f t="shared" si="399"/>
        <v>1</v>
      </c>
      <c r="AY329" s="1125">
        <f t="shared" si="400"/>
        <v>0</v>
      </c>
      <c r="AZ329" s="1125">
        <f t="shared" si="401"/>
        <v>0</v>
      </c>
      <c r="BA329" s="1125">
        <f t="shared" si="402"/>
        <v>0</v>
      </c>
      <c r="BB329" s="1125">
        <f t="shared" si="403"/>
        <v>0</v>
      </c>
      <c r="BC329" s="1125">
        <f t="shared" si="404"/>
        <v>1</v>
      </c>
      <c r="BD329" s="1125">
        <f t="shared" si="405"/>
        <v>1</v>
      </c>
      <c r="BE329" s="1125">
        <f t="shared" si="406"/>
        <v>1</v>
      </c>
      <c r="BF329" s="1125">
        <f t="shared" si="407"/>
        <v>1</v>
      </c>
      <c r="BG329" s="1125">
        <f t="shared" si="408"/>
        <v>1</v>
      </c>
      <c r="BH329" s="1125">
        <f t="shared" si="409"/>
        <v>0</v>
      </c>
      <c r="BI329" s="1125">
        <f t="shared" si="410"/>
        <v>0</v>
      </c>
      <c r="BJ329" s="1125">
        <f t="shared" si="411"/>
        <v>0</v>
      </c>
      <c r="BK329" s="1125">
        <f t="shared" si="412"/>
        <v>1</v>
      </c>
      <c r="BL329" s="1125">
        <f t="shared" si="413"/>
        <v>1</v>
      </c>
      <c r="BM329" s="1125">
        <f t="shared" si="414"/>
        <v>1</v>
      </c>
      <c r="BN329" s="1125">
        <f t="shared" si="415"/>
        <v>1</v>
      </c>
      <c r="BO329" s="1125">
        <f t="shared" si="416"/>
        <v>1</v>
      </c>
      <c r="BP329" s="1125">
        <f t="shared" si="417"/>
        <v>0</v>
      </c>
      <c r="BQ329" s="1125">
        <f t="shared" si="418"/>
        <v>0</v>
      </c>
      <c r="BR329" s="1125">
        <f t="shared" si="419"/>
        <v>0</v>
      </c>
      <c r="BS329" s="1125">
        <f t="shared" si="420"/>
        <v>0</v>
      </c>
      <c r="BT329" s="1125">
        <f t="shared" si="421"/>
        <v>1</v>
      </c>
      <c r="BU329" s="1125">
        <f t="shared" si="422"/>
        <v>1</v>
      </c>
      <c r="BV329" s="1125">
        <f t="shared" si="423"/>
        <v>1</v>
      </c>
      <c r="BW329" s="1125">
        <f t="shared" si="424"/>
        <v>0</v>
      </c>
      <c r="BX329" s="1125">
        <f t="shared" si="425"/>
        <v>0</v>
      </c>
      <c r="BY329" s="1125">
        <f t="shared" si="426"/>
        <v>0</v>
      </c>
      <c r="BZ329" s="1125">
        <f t="shared" si="427"/>
        <v>1</v>
      </c>
      <c r="CA329" s="1125">
        <f t="shared" si="428"/>
        <v>1</v>
      </c>
      <c r="CB329" s="1125">
        <f t="shared" si="429"/>
        <v>1</v>
      </c>
      <c r="CC329" s="1125">
        <f t="shared" si="430"/>
        <v>1</v>
      </c>
      <c r="CD329" s="1125">
        <f t="shared" si="431"/>
        <v>1</v>
      </c>
      <c r="CE329" s="1125">
        <f t="shared" si="432"/>
        <v>1</v>
      </c>
      <c r="CF329" s="1125">
        <f t="shared" si="433"/>
        <v>1</v>
      </c>
      <c r="CG329" s="1125">
        <f t="shared" si="434"/>
        <v>0</v>
      </c>
      <c r="CH329" s="1125">
        <f t="shared" si="435"/>
        <v>0</v>
      </c>
      <c r="CI329" s="1125">
        <f t="shared" si="436"/>
        <v>0.85</v>
      </c>
      <c r="CJ329" s="1125">
        <f t="shared" si="437"/>
        <v>0.85</v>
      </c>
      <c r="CK329" s="1125">
        <f t="shared" si="438"/>
        <v>0.85</v>
      </c>
      <c r="CL329" s="1125">
        <f t="shared" si="439"/>
        <v>0.85</v>
      </c>
      <c r="CM329" s="1125">
        <f t="shared" si="440"/>
        <v>0.85</v>
      </c>
      <c r="CN329" s="1125">
        <f t="shared" si="441"/>
        <v>0.7</v>
      </c>
      <c r="CO329" s="1125">
        <f t="shared" si="442"/>
        <v>0.7</v>
      </c>
      <c r="CP329" s="1125">
        <f t="shared" si="443"/>
        <v>0.7</v>
      </c>
      <c r="CQ329" s="1125">
        <f t="shared" si="444"/>
        <v>0.7</v>
      </c>
      <c r="CR329" s="1125">
        <f t="shared" si="445"/>
        <v>0.85</v>
      </c>
      <c r="CS329" s="1125">
        <f t="shared" si="446"/>
        <v>0.85</v>
      </c>
      <c r="CT329" s="1125">
        <f t="shared" si="447"/>
        <v>0.85</v>
      </c>
      <c r="CU329" s="1125">
        <v>1</v>
      </c>
      <c r="CV329" s="1125"/>
      <c r="CW329" s="1125">
        <f t="shared" si="448"/>
        <v>214</v>
      </c>
      <c r="CX329" s="1125">
        <f t="shared" si="449"/>
        <v>151</v>
      </c>
      <c r="CY329" s="1136" t="s">
        <v>4881</v>
      </c>
      <c r="CZ329" s="1129" t="s">
        <v>4885</v>
      </c>
      <c r="DA329" s="1129"/>
      <c r="DB329" s="1129"/>
      <c r="DC329" s="1125" t="s">
        <v>5631</v>
      </c>
      <c r="DD329" s="1125" t="s">
        <v>501</v>
      </c>
      <c r="DE329" s="1120" t="str">
        <f t="shared" si="375"/>
        <v/>
      </c>
      <c r="DF329" s="1133">
        <v>0</v>
      </c>
      <c r="DG329" s="1125">
        <v>0</v>
      </c>
    </row>
    <row r="330" spans="1:111">
      <c r="A330" s="1120" t="s">
        <v>3447</v>
      </c>
      <c r="B330" s="1120" t="s">
        <v>4264</v>
      </c>
      <c r="C330" s="1120" t="s">
        <v>4265</v>
      </c>
      <c r="D330" s="1120" t="s">
        <v>539</v>
      </c>
      <c r="E330" s="1120">
        <v>1542</v>
      </c>
      <c r="F330" s="1120">
        <v>-79.87</v>
      </c>
      <c r="G330" s="1120">
        <v>41.38</v>
      </c>
      <c r="H330" s="1120">
        <v>-5</v>
      </c>
      <c r="I330" s="1121">
        <v>6.2599996566772456</v>
      </c>
      <c r="J330" s="1121">
        <v>82.4</v>
      </c>
      <c r="K330" s="1122">
        <v>69.439998626708984</v>
      </c>
      <c r="L330" s="1120">
        <v>6591.6</v>
      </c>
      <c r="M330" s="1120">
        <v>383.40000000000003</v>
      </c>
      <c r="N330" s="1123">
        <v>32.540000021457672</v>
      </c>
      <c r="O330" s="1123">
        <v>25.339999914169312</v>
      </c>
      <c r="P330" s="1123">
        <v>38.120000171661374</v>
      </c>
      <c r="Q330" s="1123">
        <v>44.420000171661378</v>
      </c>
      <c r="R330" s="1123">
        <v>50.180000686645506</v>
      </c>
      <c r="S330" s="1123">
        <v>67.460001373291021</v>
      </c>
      <c r="T330" s="1123">
        <v>69.619999313354498</v>
      </c>
      <c r="U330" s="1123">
        <v>64.760001373291018</v>
      </c>
      <c r="V330" s="1123">
        <v>58.459999656677248</v>
      </c>
      <c r="W330" s="1123">
        <v>52.7</v>
      </c>
      <c r="X330" s="1123">
        <v>35.960000085830686</v>
      </c>
      <c r="Y330" s="1123">
        <v>27.5</v>
      </c>
      <c r="Z330" s="1123">
        <v>47.387781054189759</v>
      </c>
      <c r="AA330" s="1123">
        <f t="shared" si="376"/>
        <v>45.168470313551637</v>
      </c>
      <c r="AB330" s="1123">
        <f t="shared" si="377"/>
        <v>43.785423411048164</v>
      </c>
      <c r="AC330" s="1123">
        <f t="shared" si="378"/>
        <v>44.905379005040054</v>
      </c>
      <c r="AD330" s="1123">
        <f t="shared" si="379"/>
        <v>48.23640341091518</v>
      </c>
      <c r="AE330" s="1123">
        <f t="shared" si="380"/>
        <v>52.910213784642281</v>
      </c>
      <c r="AF330" s="1123">
        <f t="shared" si="381"/>
        <v>57.708509426711323</v>
      </c>
      <c r="AG330" s="1123">
        <f t="shared" si="382"/>
        <v>61.380540634042909</v>
      </c>
      <c r="AH330" s="1123">
        <f t="shared" si="383"/>
        <v>62.969135884732253</v>
      </c>
      <c r="AI330" s="1123">
        <f t="shared" si="384"/>
        <v>62.060203345693331</v>
      </c>
      <c r="AJ330" s="1123">
        <f t="shared" si="385"/>
        <v>58.890670290301067</v>
      </c>
      <c r="AK330" s="1123">
        <f t="shared" si="386"/>
        <v>54.286724353426315</v>
      </c>
      <c r="AL330" s="1123">
        <f t="shared" si="387"/>
        <v>49.448454992469991</v>
      </c>
      <c r="AM330" s="1120">
        <f t="shared" si="388"/>
        <v>1</v>
      </c>
      <c r="AN330" s="1120">
        <f t="shared" si="389"/>
        <v>1</v>
      </c>
      <c r="AO330" s="1120">
        <f t="shared" si="390"/>
        <v>1</v>
      </c>
      <c r="AP330" s="1120">
        <f t="shared" si="391"/>
        <v>1</v>
      </c>
      <c r="AQ330" s="1120">
        <f t="shared" si="392"/>
        <v>1</v>
      </c>
      <c r="AR330" s="1120">
        <f t="shared" si="393"/>
        <v>0</v>
      </c>
      <c r="AS330" s="1120">
        <f t="shared" si="394"/>
        <v>0</v>
      </c>
      <c r="AT330" s="1120">
        <f t="shared" si="395"/>
        <v>1</v>
      </c>
      <c r="AU330" s="1120">
        <f t="shared" si="396"/>
        <v>1</v>
      </c>
      <c r="AV330" s="1120">
        <f t="shared" si="397"/>
        <v>1</v>
      </c>
      <c r="AW330" s="1120">
        <f t="shared" si="398"/>
        <v>1</v>
      </c>
      <c r="AX330" s="1120">
        <f t="shared" si="399"/>
        <v>1</v>
      </c>
      <c r="AY330" s="1120">
        <f t="shared" si="400"/>
        <v>0</v>
      </c>
      <c r="AZ330" s="1120">
        <f t="shared" si="401"/>
        <v>0</v>
      </c>
      <c r="BA330" s="1120">
        <f t="shared" si="402"/>
        <v>0</v>
      </c>
      <c r="BB330" s="1120">
        <f t="shared" si="403"/>
        <v>0</v>
      </c>
      <c r="BC330" s="1120">
        <f t="shared" si="404"/>
        <v>0</v>
      </c>
      <c r="BD330" s="1120">
        <f t="shared" si="405"/>
        <v>1</v>
      </c>
      <c r="BE330" s="1120">
        <f t="shared" si="406"/>
        <v>1</v>
      </c>
      <c r="BF330" s="1120">
        <f t="shared" si="407"/>
        <v>1</v>
      </c>
      <c r="BG330" s="1120">
        <f t="shared" si="408"/>
        <v>0</v>
      </c>
      <c r="BH330" s="1120">
        <f t="shared" si="409"/>
        <v>0</v>
      </c>
      <c r="BI330" s="1120">
        <f t="shared" si="410"/>
        <v>0</v>
      </c>
      <c r="BJ330" s="1120">
        <f t="shared" si="411"/>
        <v>0</v>
      </c>
      <c r="BK330" s="1120">
        <f t="shared" si="412"/>
        <v>1</v>
      </c>
      <c r="BL330" s="1120">
        <f t="shared" si="413"/>
        <v>1</v>
      </c>
      <c r="BM330" s="1120">
        <f t="shared" si="414"/>
        <v>1</v>
      </c>
      <c r="BN330" s="1120">
        <f t="shared" si="415"/>
        <v>1</v>
      </c>
      <c r="BO330" s="1120">
        <f t="shared" si="416"/>
        <v>1</v>
      </c>
      <c r="BP330" s="1120">
        <f t="shared" si="417"/>
        <v>1</v>
      </c>
      <c r="BQ330" s="1120">
        <f t="shared" si="418"/>
        <v>0</v>
      </c>
      <c r="BR330" s="1120">
        <f t="shared" si="419"/>
        <v>1</v>
      </c>
      <c r="BS330" s="1120">
        <f t="shared" si="420"/>
        <v>1</v>
      </c>
      <c r="BT330" s="1120">
        <f t="shared" si="421"/>
        <v>1</v>
      </c>
      <c r="BU330" s="1120">
        <f t="shared" si="422"/>
        <v>1</v>
      </c>
      <c r="BV330" s="1120">
        <f t="shared" si="423"/>
        <v>1</v>
      </c>
      <c r="BW330" s="1120">
        <f t="shared" si="424"/>
        <v>0</v>
      </c>
      <c r="BX330" s="1120">
        <f t="shared" si="425"/>
        <v>0</v>
      </c>
      <c r="BY330" s="1120">
        <f t="shared" si="426"/>
        <v>0</v>
      </c>
      <c r="BZ330" s="1120">
        <f t="shared" si="427"/>
        <v>0</v>
      </c>
      <c r="CA330" s="1120">
        <f t="shared" si="428"/>
        <v>1</v>
      </c>
      <c r="CB330" s="1120">
        <f t="shared" si="429"/>
        <v>1</v>
      </c>
      <c r="CC330" s="1120">
        <f t="shared" si="430"/>
        <v>1</v>
      </c>
      <c r="CD330" s="1120">
        <f t="shared" si="431"/>
        <v>1</v>
      </c>
      <c r="CE330" s="1120">
        <f t="shared" si="432"/>
        <v>0</v>
      </c>
      <c r="CF330" s="1120">
        <f t="shared" si="433"/>
        <v>0</v>
      </c>
      <c r="CG330" s="1120">
        <f t="shared" si="434"/>
        <v>0</v>
      </c>
      <c r="CH330" s="1120">
        <f t="shared" si="435"/>
        <v>0</v>
      </c>
      <c r="CI330" s="1120">
        <f t="shared" si="436"/>
        <v>0.85</v>
      </c>
      <c r="CJ330" s="1120">
        <f t="shared" si="437"/>
        <v>0.85</v>
      </c>
      <c r="CK330" s="1120">
        <f t="shared" si="438"/>
        <v>0.85</v>
      </c>
      <c r="CL330" s="1120">
        <f t="shared" si="439"/>
        <v>0.85</v>
      </c>
      <c r="CM330" s="1120">
        <f t="shared" si="440"/>
        <v>0.85</v>
      </c>
      <c r="CN330" s="1120">
        <f t="shared" si="441"/>
        <v>0.85</v>
      </c>
      <c r="CO330" s="1120">
        <f t="shared" si="442"/>
        <v>0.7</v>
      </c>
      <c r="CP330" s="1120">
        <f t="shared" si="443"/>
        <v>0.85</v>
      </c>
      <c r="CQ330" s="1120">
        <f t="shared" si="444"/>
        <v>0.85</v>
      </c>
      <c r="CR330" s="1120">
        <f t="shared" si="445"/>
        <v>0.85</v>
      </c>
      <c r="CS330" s="1120">
        <f t="shared" si="446"/>
        <v>0.85</v>
      </c>
      <c r="CT330" s="1120">
        <f t="shared" si="447"/>
        <v>0.85</v>
      </c>
      <c r="CU330" s="1120">
        <v>1</v>
      </c>
      <c r="CV330" s="1120"/>
      <c r="CW330" s="1120">
        <f t="shared" si="448"/>
        <v>123</v>
      </c>
      <c r="CX330" s="1120">
        <f t="shared" si="449"/>
        <v>242</v>
      </c>
      <c r="CY330" s="1135" t="s">
        <v>4889</v>
      </c>
      <c r="CZ330" s="1124" t="s">
        <v>4897</v>
      </c>
      <c r="DA330" s="1124"/>
      <c r="DB330" s="1124"/>
      <c r="DC330" s="1120" t="s">
        <v>5534</v>
      </c>
      <c r="DD330" s="1120" t="s">
        <v>539</v>
      </c>
      <c r="DE330" s="1120" t="str">
        <f t="shared" si="375"/>
        <v/>
      </c>
      <c r="DF330" s="1133">
        <v>0</v>
      </c>
      <c r="DG330" s="1120">
        <v>0</v>
      </c>
    </row>
    <row r="331" spans="1:111">
      <c r="A331" s="1125" t="s">
        <v>3449</v>
      </c>
      <c r="B331" s="1120" t="s">
        <v>4004</v>
      </c>
      <c r="C331" s="1120" t="s">
        <v>4005</v>
      </c>
      <c r="D331" s="1120" t="s">
        <v>771</v>
      </c>
      <c r="E331" s="1120">
        <v>1243</v>
      </c>
      <c r="F331" s="1120">
        <v>-96.52</v>
      </c>
      <c r="G331" s="1120">
        <v>41.45</v>
      </c>
      <c r="H331" s="1120">
        <v>-6</v>
      </c>
      <c r="I331" s="1121">
        <v>1.2199993133544915</v>
      </c>
      <c r="J331" s="1121">
        <v>90.679997253417966</v>
      </c>
      <c r="K331" s="1122">
        <v>73.580000686645505</v>
      </c>
      <c r="L331" s="1120">
        <v>6775.2</v>
      </c>
      <c r="M331" s="1120">
        <v>1008</v>
      </c>
      <c r="N331" s="1123">
        <v>24.259999656677245</v>
      </c>
      <c r="O331" s="1123">
        <v>21.020000171661376</v>
      </c>
      <c r="P331" s="1123">
        <v>42.97999982833862</v>
      </c>
      <c r="Q331" s="1123">
        <v>50.180000686645506</v>
      </c>
      <c r="R331" s="1123">
        <v>58.819999313354494</v>
      </c>
      <c r="S331" s="1123">
        <v>71.239998626708982</v>
      </c>
      <c r="T331" s="1123">
        <v>71.780000686645508</v>
      </c>
      <c r="U331" s="1123">
        <v>73.219999313354492</v>
      </c>
      <c r="V331" s="1123">
        <v>69.439998626708984</v>
      </c>
      <c r="W331" s="1123">
        <v>53.419999313354495</v>
      </c>
      <c r="X331" s="1123">
        <v>30.559999978542329</v>
      </c>
      <c r="Y331" s="1123">
        <v>14.359999656677246</v>
      </c>
      <c r="Z331" s="1123">
        <v>48.589588693657966</v>
      </c>
      <c r="AA331" s="1123">
        <f t="shared" si="376"/>
        <v>43.223227725412031</v>
      </c>
      <c r="AB331" s="1123">
        <f t="shared" si="377"/>
        <v>41.467200112470891</v>
      </c>
      <c r="AC331" s="1123">
        <f t="shared" si="378"/>
        <v>43.131725305345419</v>
      </c>
      <c r="AD331" s="1123">
        <f t="shared" si="379"/>
        <v>47.782919161403179</v>
      </c>
      <c r="AE331" s="1123">
        <f t="shared" si="380"/>
        <v>54.208376324995754</v>
      </c>
      <c r="AF331" s="1123">
        <f t="shared" si="381"/>
        <v>60.733202367140564</v>
      </c>
      <c r="AG331" s="1123">
        <f t="shared" si="382"/>
        <v>65.65660082933961</v>
      </c>
      <c r="AH331" s="1123">
        <f t="shared" si="383"/>
        <v>67.695212030553776</v>
      </c>
      <c r="AI331" s="1123">
        <f t="shared" si="384"/>
        <v>66.317640545237055</v>
      </c>
      <c r="AJ331" s="1123">
        <f t="shared" si="385"/>
        <v>61.882971610056394</v>
      </c>
      <c r="AK331" s="1123">
        <f t="shared" si="386"/>
        <v>55.547170023283606</v>
      </c>
      <c r="AL331" s="1123">
        <f t="shared" si="387"/>
        <v>48.961760106168924</v>
      </c>
      <c r="AM331" s="1120">
        <f t="shared" si="388"/>
        <v>1</v>
      </c>
      <c r="AN331" s="1120">
        <f t="shared" si="389"/>
        <v>1</v>
      </c>
      <c r="AO331" s="1120">
        <f t="shared" si="390"/>
        <v>1</v>
      </c>
      <c r="AP331" s="1120">
        <f t="shared" si="391"/>
        <v>1</v>
      </c>
      <c r="AQ331" s="1120">
        <f t="shared" si="392"/>
        <v>1</v>
      </c>
      <c r="AR331" s="1120">
        <f t="shared" si="393"/>
        <v>0</v>
      </c>
      <c r="AS331" s="1120">
        <f t="shared" si="394"/>
        <v>0</v>
      </c>
      <c r="AT331" s="1120">
        <f t="shared" si="395"/>
        <v>0</v>
      </c>
      <c r="AU331" s="1120">
        <f t="shared" si="396"/>
        <v>0</v>
      </c>
      <c r="AV331" s="1120">
        <f t="shared" si="397"/>
        <v>1</v>
      </c>
      <c r="AW331" s="1120">
        <f t="shared" si="398"/>
        <v>1</v>
      </c>
      <c r="AX331" s="1120">
        <f t="shared" si="399"/>
        <v>1</v>
      </c>
      <c r="AY331" s="1120">
        <f t="shared" si="400"/>
        <v>0</v>
      </c>
      <c r="AZ331" s="1120">
        <f t="shared" si="401"/>
        <v>0</v>
      </c>
      <c r="BA331" s="1120">
        <f t="shared" si="402"/>
        <v>0</v>
      </c>
      <c r="BB331" s="1120">
        <f t="shared" si="403"/>
        <v>0</v>
      </c>
      <c r="BC331" s="1120">
        <f t="shared" si="404"/>
        <v>0</v>
      </c>
      <c r="BD331" s="1120">
        <f t="shared" si="405"/>
        <v>1</v>
      </c>
      <c r="BE331" s="1120">
        <f t="shared" si="406"/>
        <v>1</v>
      </c>
      <c r="BF331" s="1120">
        <f t="shared" si="407"/>
        <v>1</v>
      </c>
      <c r="BG331" s="1120">
        <f t="shared" si="408"/>
        <v>1</v>
      </c>
      <c r="BH331" s="1120">
        <f t="shared" si="409"/>
        <v>0</v>
      </c>
      <c r="BI331" s="1120">
        <f t="shared" si="410"/>
        <v>0</v>
      </c>
      <c r="BJ331" s="1120">
        <f t="shared" si="411"/>
        <v>0</v>
      </c>
      <c r="BK331" s="1120">
        <f t="shared" si="412"/>
        <v>1</v>
      </c>
      <c r="BL331" s="1120">
        <f t="shared" si="413"/>
        <v>1</v>
      </c>
      <c r="BM331" s="1120">
        <f t="shared" si="414"/>
        <v>1</v>
      </c>
      <c r="BN331" s="1120">
        <f t="shared" si="415"/>
        <v>1</v>
      </c>
      <c r="BO331" s="1120">
        <f t="shared" si="416"/>
        <v>1</v>
      </c>
      <c r="BP331" s="1120">
        <f t="shared" si="417"/>
        <v>1</v>
      </c>
      <c r="BQ331" s="1120">
        <f t="shared" si="418"/>
        <v>0</v>
      </c>
      <c r="BR331" s="1120">
        <f t="shared" si="419"/>
        <v>0</v>
      </c>
      <c r="BS331" s="1120">
        <f t="shared" si="420"/>
        <v>0</v>
      </c>
      <c r="BT331" s="1120">
        <f t="shared" si="421"/>
        <v>1</v>
      </c>
      <c r="BU331" s="1120">
        <f t="shared" si="422"/>
        <v>1</v>
      </c>
      <c r="BV331" s="1120">
        <f t="shared" si="423"/>
        <v>1</v>
      </c>
      <c r="BW331" s="1120">
        <f t="shared" si="424"/>
        <v>0</v>
      </c>
      <c r="BX331" s="1120">
        <f t="shared" si="425"/>
        <v>0</v>
      </c>
      <c r="BY331" s="1120">
        <f t="shared" si="426"/>
        <v>0</v>
      </c>
      <c r="BZ331" s="1120">
        <f t="shared" si="427"/>
        <v>0</v>
      </c>
      <c r="CA331" s="1120">
        <f t="shared" si="428"/>
        <v>1</v>
      </c>
      <c r="CB331" s="1120">
        <f t="shared" si="429"/>
        <v>1</v>
      </c>
      <c r="CC331" s="1120">
        <f t="shared" si="430"/>
        <v>1</v>
      </c>
      <c r="CD331" s="1120">
        <f t="shared" si="431"/>
        <v>1</v>
      </c>
      <c r="CE331" s="1120">
        <f t="shared" si="432"/>
        <v>1</v>
      </c>
      <c r="CF331" s="1120">
        <f t="shared" si="433"/>
        <v>1</v>
      </c>
      <c r="CG331" s="1120">
        <f t="shared" si="434"/>
        <v>0</v>
      </c>
      <c r="CH331" s="1120">
        <f t="shared" si="435"/>
        <v>0</v>
      </c>
      <c r="CI331" s="1120">
        <f t="shared" si="436"/>
        <v>0.85</v>
      </c>
      <c r="CJ331" s="1120">
        <f t="shared" si="437"/>
        <v>0.85</v>
      </c>
      <c r="CK331" s="1120">
        <f t="shared" si="438"/>
        <v>0.85</v>
      </c>
      <c r="CL331" s="1120">
        <f t="shared" si="439"/>
        <v>0.85</v>
      </c>
      <c r="CM331" s="1120">
        <f t="shared" si="440"/>
        <v>0.85</v>
      </c>
      <c r="CN331" s="1120">
        <f t="shared" si="441"/>
        <v>0.85</v>
      </c>
      <c r="CO331" s="1120">
        <f t="shared" si="442"/>
        <v>0.7</v>
      </c>
      <c r="CP331" s="1120">
        <f t="shared" si="443"/>
        <v>0.7</v>
      </c>
      <c r="CQ331" s="1120">
        <f t="shared" si="444"/>
        <v>0.7</v>
      </c>
      <c r="CR331" s="1120">
        <f t="shared" si="445"/>
        <v>0.85</v>
      </c>
      <c r="CS331" s="1120">
        <f t="shared" si="446"/>
        <v>0.85</v>
      </c>
      <c r="CT331" s="1120">
        <f t="shared" si="447"/>
        <v>0.85</v>
      </c>
      <c r="CU331" s="1120">
        <v>1</v>
      </c>
      <c r="CV331" s="1120"/>
      <c r="CW331" s="1120">
        <f t="shared" si="448"/>
        <v>184</v>
      </c>
      <c r="CX331" s="1120">
        <f t="shared" si="449"/>
        <v>181</v>
      </c>
      <c r="CY331" s="1136" t="s">
        <v>4889</v>
      </c>
      <c r="CZ331" s="1129" t="s">
        <v>4897</v>
      </c>
      <c r="DA331" s="1129"/>
      <c r="DB331" s="1129"/>
      <c r="DC331" s="1125" t="s">
        <v>5418</v>
      </c>
      <c r="DD331" s="1125" t="s">
        <v>771</v>
      </c>
      <c r="DE331" s="1120" t="str">
        <f t="shared" si="375"/>
        <v/>
      </c>
      <c r="DF331" s="1133">
        <v>0</v>
      </c>
      <c r="DG331" s="1125">
        <v>0</v>
      </c>
    </row>
    <row r="332" spans="1:111">
      <c r="A332" s="1120" t="s">
        <v>3451</v>
      </c>
      <c r="B332" s="1120" t="s">
        <v>3114</v>
      </c>
      <c r="C332" s="1120" t="s">
        <v>3115</v>
      </c>
      <c r="D332" s="1120" t="s">
        <v>954</v>
      </c>
      <c r="E332" s="1120">
        <v>335</v>
      </c>
      <c r="F332" s="1120">
        <v>-119.72</v>
      </c>
      <c r="G332" s="1120">
        <v>36.78</v>
      </c>
      <c r="H332" s="1120">
        <v>-8</v>
      </c>
      <c r="I332" s="1121">
        <v>33.619999957084659</v>
      </c>
      <c r="J332" s="1121">
        <v>101.12000274658203</v>
      </c>
      <c r="K332" s="1122">
        <v>69.980000686645511</v>
      </c>
      <c r="L332" s="1120">
        <v>2295</v>
      </c>
      <c r="M332" s="1120">
        <v>2228.4</v>
      </c>
      <c r="N332" s="1123">
        <v>46.759999656677245</v>
      </c>
      <c r="O332" s="1123">
        <v>50.719999313354492</v>
      </c>
      <c r="P332" s="1123">
        <v>55.219999313354492</v>
      </c>
      <c r="Q332" s="1123">
        <v>62.419999313354495</v>
      </c>
      <c r="R332" s="1123">
        <v>71.060001373291016</v>
      </c>
      <c r="S332" s="1123">
        <v>78.260001373291018</v>
      </c>
      <c r="T332" s="1123">
        <v>83.480000686645511</v>
      </c>
      <c r="U332" s="1123">
        <v>80.780000686645508</v>
      </c>
      <c r="V332" s="1123">
        <v>75.380000686645502</v>
      </c>
      <c r="W332" s="1123">
        <v>67.639998626708987</v>
      </c>
      <c r="X332" s="1123">
        <v>52.340000343322757</v>
      </c>
      <c r="Y332" s="1123">
        <v>45.679999828338623</v>
      </c>
      <c r="Z332" s="1123">
        <v>64.222959007106411</v>
      </c>
      <c r="AA332" s="1123">
        <f t="shared" si="376"/>
        <v>59.206865598287543</v>
      </c>
      <c r="AB332" s="1123">
        <f t="shared" si="377"/>
        <v>59.229162465413779</v>
      </c>
      <c r="AC332" s="1123">
        <f t="shared" si="378"/>
        <v>62.117161820665196</v>
      </c>
      <c r="AD332" s="1123">
        <f t="shared" si="379"/>
        <v>67.118062126678268</v>
      </c>
      <c r="AE332" s="1123">
        <f t="shared" si="380"/>
        <v>72.928301652484222</v>
      </c>
      <c r="AF332" s="1123">
        <f t="shared" si="381"/>
        <v>78.033351927180306</v>
      </c>
      <c r="AG332" s="1123">
        <f t="shared" si="382"/>
        <v>81.102502925460911</v>
      </c>
      <c r="AH332" s="1123">
        <f t="shared" si="383"/>
        <v>81.335733142575648</v>
      </c>
      <c r="AI332" s="1123">
        <f t="shared" si="384"/>
        <v>78.672247528247112</v>
      </c>
      <c r="AJ332" s="1123">
        <f t="shared" si="385"/>
        <v>73.806324653405809</v>
      </c>
      <c r="AK332" s="1123">
        <f t="shared" si="386"/>
        <v>68.006342301520391</v>
      </c>
      <c r="AL332" s="1123">
        <f t="shared" si="387"/>
        <v>62.784155253043416</v>
      </c>
      <c r="AM332" s="1120">
        <f t="shared" si="388"/>
        <v>1</v>
      </c>
      <c r="AN332" s="1120">
        <f t="shared" si="389"/>
        <v>1</v>
      </c>
      <c r="AO332" s="1120">
        <f t="shared" si="390"/>
        <v>1</v>
      </c>
      <c r="AP332" s="1120">
        <f t="shared" si="391"/>
        <v>1</v>
      </c>
      <c r="AQ332" s="1120">
        <f t="shared" si="392"/>
        <v>0</v>
      </c>
      <c r="AR332" s="1120">
        <f t="shared" si="393"/>
        <v>0</v>
      </c>
      <c r="AS332" s="1120">
        <f t="shared" si="394"/>
        <v>0</v>
      </c>
      <c r="AT332" s="1120">
        <f t="shared" si="395"/>
        <v>0</v>
      </c>
      <c r="AU332" s="1120">
        <f t="shared" si="396"/>
        <v>0</v>
      </c>
      <c r="AV332" s="1120">
        <f t="shared" si="397"/>
        <v>0</v>
      </c>
      <c r="AW332" s="1120">
        <f t="shared" si="398"/>
        <v>1</v>
      </c>
      <c r="AX332" s="1120">
        <f t="shared" si="399"/>
        <v>1</v>
      </c>
      <c r="AY332" s="1120">
        <f t="shared" si="400"/>
        <v>0</v>
      </c>
      <c r="AZ332" s="1120">
        <f t="shared" si="401"/>
        <v>0</v>
      </c>
      <c r="BA332" s="1120">
        <f t="shared" si="402"/>
        <v>0</v>
      </c>
      <c r="BB332" s="1120">
        <f t="shared" si="403"/>
        <v>0</v>
      </c>
      <c r="BC332" s="1120">
        <f t="shared" si="404"/>
        <v>1</v>
      </c>
      <c r="BD332" s="1120">
        <f t="shared" si="405"/>
        <v>1</v>
      </c>
      <c r="BE332" s="1120">
        <f t="shared" si="406"/>
        <v>1</v>
      </c>
      <c r="BF332" s="1120">
        <f t="shared" si="407"/>
        <v>1</v>
      </c>
      <c r="BG332" s="1120">
        <f t="shared" si="408"/>
        <v>1</v>
      </c>
      <c r="BH332" s="1120">
        <f t="shared" si="409"/>
        <v>1</v>
      </c>
      <c r="BI332" s="1120">
        <f t="shared" si="410"/>
        <v>0</v>
      </c>
      <c r="BJ332" s="1120">
        <f t="shared" si="411"/>
        <v>0</v>
      </c>
      <c r="BK332" s="1120">
        <f t="shared" si="412"/>
        <v>1</v>
      </c>
      <c r="BL332" s="1120">
        <f t="shared" si="413"/>
        <v>1</v>
      </c>
      <c r="BM332" s="1120">
        <f t="shared" si="414"/>
        <v>1</v>
      </c>
      <c r="BN332" s="1120">
        <f t="shared" si="415"/>
        <v>1</v>
      </c>
      <c r="BO332" s="1120">
        <f t="shared" si="416"/>
        <v>1</v>
      </c>
      <c r="BP332" s="1120">
        <f t="shared" si="417"/>
        <v>0</v>
      </c>
      <c r="BQ332" s="1120">
        <f t="shared" si="418"/>
        <v>0</v>
      </c>
      <c r="BR332" s="1120">
        <f t="shared" si="419"/>
        <v>0</v>
      </c>
      <c r="BS332" s="1120">
        <f t="shared" si="420"/>
        <v>0</v>
      </c>
      <c r="BT332" s="1120">
        <f t="shared" si="421"/>
        <v>0</v>
      </c>
      <c r="BU332" s="1120">
        <f t="shared" si="422"/>
        <v>1</v>
      </c>
      <c r="BV332" s="1120">
        <f t="shared" si="423"/>
        <v>1</v>
      </c>
      <c r="BW332" s="1120">
        <f t="shared" si="424"/>
        <v>0</v>
      </c>
      <c r="BX332" s="1120">
        <f t="shared" si="425"/>
        <v>0</v>
      </c>
      <c r="BY332" s="1120">
        <f t="shared" si="426"/>
        <v>0</v>
      </c>
      <c r="BZ332" s="1120">
        <f t="shared" si="427"/>
        <v>1</v>
      </c>
      <c r="CA332" s="1120">
        <f t="shared" si="428"/>
        <v>1</v>
      </c>
      <c r="CB332" s="1120">
        <f t="shared" si="429"/>
        <v>1</v>
      </c>
      <c r="CC332" s="1120">
        <f t="shared" si="430"/>
        <v>1</v>
      </c>
      <c r="CD332" s="1120">
        <f t="shared" si="431"/>
        <v>1</v>
      </c>
      <c r="CE332" s="1120">
        <f t="shared" si="432"/>
        <v>1</v>
      </c>
      <c r="CF332" s="1120">
        <f t="shared" si="433"/>
        <v>1</v>
      </c>
      <c r="CG332" s="1120">
        <f t="shared" si="434"/>
        <v>1</v>
      </c>
      <c r="CH332" s="1120">
        <f t="shared" si="435"/>
        <v>0</v>
      </c>
      <c r="CI332" s="1120">
        <f t="shared" si="436"/>
        <v>0.85</v>
      </c>
      <c r="CJ332" s="1120">
        <f t="shared" si="437"/>
        <v>0.85</v>
      </c>
      <c r="CK332" s="1120">
        <f t="shared" si="438"/>
        <v>0.85</v>
      </c>
      <c r="CL332" s="1120">
        <f t="shared" si="439"/>
        <v>0.85</v>
      </c>
      <c r="CM332" s="1120">
        <f t="shared" si="440"/>
        <v>0.85</v>
      </c>
      <c r="CN332" s="1120">
        <f t="shared" si="441"/>
        <v>0.7</v>
      </c>
      <c r="CO332" s="1120">
        <f t="shared" si="442"/>
        <v>0.7</v>
      </c>
      <c r="CP332" s="1120">
        <f t="shared" si="443"/>
        <v>0.7</v>
      </c>
      <c r="CQ332" s="1120">
        <f t="shared" si="444"/>
        <v>0.7</v>
      </c>
      <c r="CR332" s="1120">
        <f t="shared" si="445"/>
        <v>0.7</v>
      </c>
      <c r="CS332" s="1120">
        <f t="shared" si="446"/>
        <v>0.85</v>
      </c>
      <c r="CT332" s="1120">
        <f t="shared" si="447"/>
        <v>0.85</v>
      </c>
      <c r="CU332" s="1120">
        <v>1</v>
      </c>
      <c r="CV332" s="1120"/>
      <c r="CW332" s="1120">
        <f t="shared" si="448"/>
        <v>244</v>
      </c>
      <c r="CX332" s="1120">
        <f t="shared" si="449"/>
        <v>121</v>
      </c>
      <c r="CY332" s="1136" t="s">
        <v>4886</v>
      </c>
      <c r="CZ332" s="1129" t="s">
        <v>4888</v>
      </c>
      <c r="DA332" s="1129"/>
      <c r="DB332" s="1129"/>
      <c r="DC332" s="1125" t="s">
        <v>5024</v>
      </c>
      <c r="DD332" s="1125" t="s">
        <v>954</v>
      </c>
      <c r="DE332" s="1120" t="str">
        <f t="shared" si="375"/>
        <v/>
      </c>
      <c r="DF332" s="1120">
        <v>0</v>
      </c>
      <c r="DG332" s="1120">
        <v>0</v>
      </c>
    </row>
    <row r="333" spans="1:111">
      <c r="A333" s="1125" t="s">
        <v>3453</v>
      </c>
      <c r="B333" s="1120" t="s">
        <v>3844</v>
      </c>
      <c r="C333" s="1120" t="s">
        <v>3845</v>
      </c>
      <c r="D333" s="1120" t="s">
        <v>1248</v>
      </c>
      <c r="E333" s="1120">
        <v>1151</v>
      </c>
      <c r="F333" s="1120">
        <v>-92.15</v>
      </c>
      <c r="G333" s="1120">
        <v>37.75</v>
      </c>
      <c r="H333" s="1120">
        <v>-6</v>
      </c>
      <c r="I333" s="1121">
        <v>-1.3000000000000007</v>
      </c>
      <c r="J333" s="1121">
        <v>96.260001373291018</v>
      </c>
      <c r="K333" s="1122">
        <v>74.66000137329101</v>
      </c>
      <c r="L333" s="1120">
        <v>4523.4000000000005</v>
      </c>
      <c r="M333" s="1120">
        <v>1589.4</v>
      </c>
      <c r="N333" s="1123">
        <v>36.5</v>
      </c>
      <c r="O333" s="1123">
        <v>40.459999656677248</v>
      </c>
      <c r="P333" s="1123">
        <v>42.97999982833862</v>
      </c>
      <c r="Q333" s="1123">
        <v>52.880000686645509</v>
      </c>
      <c r="R333" s="1123">
        <v>66.2</v>
      </c>
      <c r="S333" s="1123">
        <v>76.819999313354487</v>
      </c>
      <c r="T333" s="1123">
        <v>80.599999999999994</v>
      </c>
      <c r="U333" s="1123">
        <v>75.2</v>
      </c>
      <c r="V333" s="1123">
        <v>66.739998626708982</v>
      </c>
      <c r="W333" s="1123">
        <v>61.7</v>
      </c>
      <c r="X333" s="1123">
        <v>39.740000343322755</v>
      </c>
      <c r="Y333" s="1123">
        <v>35.419999957084656</v>
      </c>
      <c r="Z333" s="1123">
        <v>56.369534117359002</v>
      </c>
      <c r="AA333" s="1123">
        <f t="shared" si="376"/>
        <v>51.425115096369403</v>
      </c>
      <c r="AB333" s="1123">
        <f t="shared" si="377"/>
        <v>50.634266806337408</v>
      </c>
      <c r="AC333" s="1123">
        <f t="shared" si="378"/>
        <v>52.902396786866618</v>
      </c>
      <c r="AD333" s="1123">
        <f t="shared" si="379"/>
        <v>57.638282005591073</v>
      </c>
      <c r="AE333" s="1123">
        <f t="shared" si="380"/>
        <v>63.607440998049867</v>
      </c>
      <c r="AF333" s="1123">
        <f t="shared" si="381"/>
        <v>69.25392048533412</v>
      </c>
      <c r="AG333" s="1123">
        <f t="shared" si="382"/>
        <v>73.105878574200347</v>
      </c>
      <c r="AH333" s="1123">
        <f t="shared" si="383"/>
        <v>74.15924302831462</v>
      </c>
      <c r="AI333" s="1123">
        <f t="shared" si="384"/>
        <v>72.139438169874424</v>
      </c>
      <c r="AJ333" s="1123">
        <f t="shared" si="385"/>
        <v>67.572957261367264</v>
      </c>
      <c r="AK333" s="1123">
        <f t="shared" si="386"/>
        <v>61.650123923196453</v>
      </c>
      <c r="AL333" s="1123">
        <f t="shared" si="387"/>
        <v>55.914815938580794</v>
      </c>
      <c r="AM333" s="1120">
        <f t="shared" si="388"/>
        <v>1</v>
      </c>
      <c r="AN333" s="1120">
        <f t="shared" si="389"/>
        <v>1</v>
      </c>
      <c r="AO333" s="1120">
        <f t="shared" si="390"/>
        <v>1</v>
      </c>
      <c r="AP333" s="1120">
        <f t="shared" si="391"/>
        <v>1</v>
      </c>
      <c r="AQ333" s="1120">
        <f t="shared" si="392"/>
        <v>0</v>
      </c>
      <c r="AR333" s="1120">
        <f t="shared" si="393"/>
        <v>0</v>
      </c>
      <c r="AS333" s="1120">
        <f t="shared" si="394"/>
        <v>0</v>
      </c>
      <c r="AT333" s="1120">
        <f t="shared" si="395"/>
        <v>0</v>
      </c>
      <c r="AU333" s="1120">
        <f t="shared" si="396"/>
        <v>0</v>
      </c>
      <c r="AV333" s="1120">
        <f t="shared" si="397"/>
        <v>1</v>
      </c>
      <c r="AW333" s="1120">
        <f t="shared" si="398"/>
        <v>1</v>
      </c>
      <c r="AX333" s="1120">
        <f t="shared" si="399"/>
        <v>1</v>
      </c>
      <c r="AY333" s="1120">
        <f t="shared" si="400"/>
        <v>0</v>
      </c>
      <c r="AZ333" s="1120">
        <f t="shared" si="401"/>
        <v>0</v>
      </c>
      <c r="BA333" s="1120">
        <f t="shared" si="402"/>
        <v>0</v>
      </c>
      <c r="BB333" s="1120">
        <f t="shared" si="403"/>
        <v>0</v>
      </c>
      <c r="BC333" s="1120">
        <f t="shared" si="404"/>
        <v>1</v>
      </c>
      <c r="BD333" s="1120">
        <f t="shared" si="405"/>
        <v>1</v>
      </c>
      <c r="BE333" s="1120">
        <f t="shared" si="406"/>
        <v>1</v>
      </c>
      <c r="BF333" s="1120">
        <f t="shared" si="407"/>
        <v>1</v>
      </c>
      <c r="BG333" s="1120">
        <f t="shared" si="408"/>
        <v>1</v>
      </c>
      <c r="BH333" s="1120">
        <f t="shared" si="409"/>
        <v>0</v>
      </c>
      <c r="BI333" s="1120">
        <f t="shared" si="410"/>
        <v>0</v>
      </c>
      <c r="BJ333" s="1120">
        <f t="shared" si="411"/>
        <v>0</v>
      </c>
      <c r="BK333" s="1120">
        <f t="shared" si="412"/>
        <v>1</v>
      </c>
      <c r="BL333" s="1120">
        <f t="shared" si="413"/>
        <v>1</v>
      </c>
      <c r="BM333" s="1120">
        <f t="shared" si="414"/>
        <v>1</v>
      </c>
      <c r="BN333" s="1120">
        <f t="shared" si="415"/>
        <v>1</v>
      </c>
      <c r="BO333" s="1120">
        <f t="shared" si="416"/>
        <v>1</v>
      </c>
      <c r="BP333" s="1120">
        <f t="shared" si="417"/>
        <v>0</v>
      </c>
      <c r="BQ333" s="1120">
        <f t="shared" si="418"/>
        <v>0</v>
      </c>
      <c r="BR333" s="1120">
        <f t="shared" si="419"/>
        <v>0</v>
      </c>
      <c r="BS333" s="1120">
        <f t="shared" si="420"/>
        <v>0</v>
      </c>
      <c r="BT333" s="1120">
        <f t="shared" si="421"/>
        <v>1</v>
      </c>
      <c r="BU333" s="1120">
        <f t="shared" si="422"/>
        <v>1</v>
      </c>
      <c r="BV333" s="1120">
        <f t="shared" si="423"/>
        <v>1</v>
      </c>
      <c r="BW333" s="1120">
        <f t="shared" si="424"/>
        <v>0</v>
      </c>
      <c r="BX333" s="1120">
        <f t="shared" si="425"/>
        <v>0</v>
      </c>
      <c r="BY333" s="1120">
        <f t="shared" si="426"/>
        <v>0</v>
      </c>
      <c r="BZ333" s="1120">
        <f t="shared" si="427"/>
        <v>1</v>
      </c>
      <c r="CA333" s="1120">
        <f t="shared" si="428"/>
        <v>1</v>
      </c>
      <c r="CB333" s="1120">
        <f t="shared" si="429"/>
        <v>1</v>
      </c>
      <c r="CC333" s="1120">
        <f t="shared" si="430"/>
        <v>1</v>
      </c>
      <c r="CD333" s="1120">
        <f t="shared" si="431"/>
        <v>1</v>
      </c>
      <c r="CE333" s="1120">
        <f t="shared" si="432"/>
        <v>1</v>
      </c>
      <c r="CF333" s="1120">
        <f t="shared" si="433"/>
        <v>1</v>
      </c>
      <c r="CG333" s="1120">
        <f t="shared" si="434"/>
        <v>0</v>
      </c>
      <c r="CH333" s="1120">
        <f t="shared" si="435"/>
        <v>0</v>
      </c>
      <c r="CI333" s="1120">
        <f t="shared" si="436"/>
        <v>0.85</v>
      </c>
      <c r="CJ333" s="1120">
        <f t="shared" si="437"/>
        <v>0.85</v>
      </c>
      <c r="CK333" s="1120">
        <f t="shared" si="438"/>
        <v>0.85</v>
      </c>
      <c r="CL333" s="1120">
        <f t="shared" si="439"/>
        <v>0.85</v>
      </c>
      <c r="CM333" s="1120">
        <f t="shared" si="440"/>
        <v>0.85</v>
      </c>
      <c r="CN333" s="1120">
        <f t="shared" si="441"/>
        <v>0.7</v>
      </c>
      <c r="CO333" s="1120">
        <f t="shared" si="442"/>
        <v>0.7</v>
      </c>
      <c r="CP333" s="1120">
        <f t="shared" si="443"/>
        <v>0.7</v>
      </c>
      <c r="CQ333" s="1120">
        <f t="shared" si="444"/>
        <v>0.7</v>
      </c>
      <c r="CR333" s="1120">
        <f t="shared" si="445"/>
        <v>0.85</v>
      </c>
      <c r="CS333" s="1120">
        <f t="shared" si="446"/>
        <v>0.85</v>
      </c>
      <c r="CT333" s="1120">
        <f t="shared" si="447"/>
        <v>0.85</v>
      </c>
      <c r="CU333" s="1120">
        <v>1</v>
      </c>
      <c r="CV333" s="1120"/>
      <c r="CW333" s="1120">
        <f t="shared" si="448"/>
        <v>214</v>
      </c>
      <c r="CX333" s="1120">
        <f t="shared" si="449"/>
        <v>151</v>
      </c>
      <c r="CY333" s="1135" t="s">
        <v>4881</v>
      </c>
      <c r="CZ333" s="1124" t="s">
        <v>4885</v>
      </c>
      <c r="DA333" s="1124"/>
      <c r="DB333" s="1124"/>
      <c r="DC333" s="1120" t="s">
        <v>5349</v>
      </c>
      <c r="DD333" s="1120" t="s">
        <v>1248</v>
      </c>
      <c r="DE333" s="1120" t="str">
        <f t="shared" si="375"/>
        <v/>
      </c>
      <c r="DF333" s="1133">
        <v>0</v>
      </c>
      <c r="DG333" s="1125">
        <v>0</v>
      </c>
    </row>
    <row r="334" spans="1:111">
      <c r="A334" s="1120" t="s">
        <v>3455</v>
      </c>
      <c r="B334" s="1125" t="s">
        <v>3116</v>
      </c>
      <c r="C334" s="1125" t="s">
        <v>3117</v>
      </c>
      <c r="D334" s="1125" t="s">
        <v>954</v>
      </c>
      <c r="E334" s="1125">
        <v>95</v>
      </c>
      <c r="F334" s="1125">
        <v>-117.98</v>
      </c>
      <c r="G334" s="1125">
        <v>33.869999999999997</v>
      </c>
      <c r="H334" s="1125">
        <v>-8</v>
      </c>
      <c r="I334" s="1126">
        <v>42.8</v>
      </c>
      <c r="J334" s="1126">
        <v>90.139998626708987</v>
      </c>
      <c r="K334" s="1127">
        <v>67.639998626708987</v>
      </c>
      <c r="L334" s="1125">
        <v>1326.6000000000001</v>
      </c>
      <c r="M334" s="1125">
        <v>1094.4000000000001</v>
      </c>
      <c r="N334" s="1128">
        <v>56.119999313354491</v>
      </c>
      <c r="O334" s="1128">
        <v>58.1</v>
      </c>
      <c r="P334" s="1128">
        <v>55.219999313354492</v>
      </c>
      <c r="Q334" s="1128">
        <v>59.9</v>
      </c>
      <c r="R334" s="1128">
        <v>65.83999862670899</v>
      </c>
      <c r="S334" s="1128">
        <v>67.280000686645508</v>
      </c>
      <c r="T334" s="1128">
        <v>73.760001373291018</v>
      </c>
      <c r="U334" s="1128">
        <v>74.3</v>
      </c>
      <c r="V334" s="1128">
        <v>73.939998626708984</v>
      </c>
      <c r="W334" s="1128">
        <v>64.039998626708979</v>
      </c>
      <c r="X334" s="1128">
        <v>59.180000686645506</v>
      </c>
      <c r="Y334" s="1128">
        <v>56.840000343322757</v>
      </c>
      <c r="Z334" s="1128">
        <v>63.741150480819073</v>
      </c>
      <c r="AA334" s="1128">
        <f t="shared" si="376"/>
        <v>64.237209716960024</v>
      </c>
      <c r="AB334" s="1128">
        <f t="shared" si="377"/>
        <v>64.224247959706105</v>
      </c>
      <c r="AC334" s="1128">
        <f t="shared" si="378"/>
        <v>65.6493518626216</v>
      </c>
      <c r="AD334" s="1128">
        <f t="shared" si="379"/>
        <v>68.141046131895678</v>
      </c>
      <c r="AE334" s="1128">
        <f t="shared" si="380"/>
        <v>71.049832258071064</v>
      </c>
      <c r="AF334" s="1128">
        <f t="shared" si="381"/>
        <v>73.617490311609075</v>
      </c>
      <c r="AG334" s="1128">
        <f t="shared" si="382"/>
        <v>75.174720652046659</v>
      </c>
      <c r="AH334" s="1128">
        <f t="shared" si="383"/>
        <v>75.315607193502842</v>
      </c>
      <c r="AI334" s="1128">
        <f t="shared" si="384"/>
        <v>74.003425687819743</v>
      </c>
      <c r="AJ334" s="1128">
        <f t="shared" si="385"/>
        <v>71.58021646578274</v>
      </c>
      <c r="AK334" s="1128">
        <f t="shared" si="386"/>
        <v>68.677626353900266</v>
      </c>
      <c r="AL334" s="1128">
        <f t="shared" si="387"/>
        <v>66.052260195102065</v>
      </c>
      <c r="AM334" s="1125">
        <f t="shared" si="388"/>
        <v>1</v>
      </c>
      <c r="AN334" s="1125">
        <f t="shared" si="389"/>
        <v>1</v>
      </c>
      <c r="AO334" s="1125">
        <f t="shared" si="390"/>
        <v>1</v>
      </c>
      <c r="AP334" s="1125">
        <f t="shared" si="391"/>
        <v>1</v>
      </c>
      <c r="AQ334" s="1125">
        <f t="shared" si="392"/>
        <v>1</v>
      </c>
      <c r="AR334" s="1125">
        <f t="shared" si="393"/>
        <v>0</v>
      </c>
      <c r="AS334" s="1125">
        <f t="shared" si="394"/>
        <v>0</v>
      </c>
      <c r="AT334" s="1125">
        <f t="shared" si="395"/>
        <v>0</v>
      </c>
      <c r="AU334" s="1125">
        <f t="shared" si="396"/>
        <v>0</v>
      </c>
      <c r="AV334" s="1125">
        <f t="shared" si="397"/>
        <v>1</v>
      </c>
      <c r="AW334" s="1125">
        <f t="shared" si="398"/>
        <v>1</v>
      </c>
      <c r="AX334" s="1125">
        <f t="shared" si="399"/>
        <v>1</v>
      </c>
      <c r="AY334" s="1125">
        <f t="shared" si="400"/>
        <v>0</v>
      </c>
      <c r="AZ334" s="1125">
        <f t="shared" si="401"/>
        <v>0</v>
      </c>
      <c r="BA334" s="1125">
        <f t="shared" si="402"/>
        <v>0</v>
      </c>
      <c r="BB334" s="1125">
        <f t="shared" si="403"/>
        <v>0</v>
      </c>
      <c r="BC334" s="1125">
        <f t="shared" si="404"/>
        <v>0</v>
      </c>
      <c r="BD334" s="1125">
        <f t="shared" si="405"/>
        <v>1</v>
      </c>
      <c r="BE334" s="1125">
        <f t="shared" si="406"/>
        <v>1</v>
      </c>
      <c r="BF334" s="1125">
        <f t="shared" si="407"/>
        <v>1</v>
      </c>
      <c r="BG334" s="1125">
        <f t="shared" si="408"/>
        <v>1</v>
      </c>
      <c r="BH334" s="1125">
        <f t="shared" si="409"/>
        <v>0</v>
      </c>
      <c r="BI334" s="1125">
        <f t="shared" si="410"/>
        <v>0</v>
      </c>
      <c r="BJ334" s="1125">
        <f t="shared" si="411"/>
        <v>0</v>
      </c>
      <c r="BK334" s="1125">
        <f t="shared" si="412"/>
        <v>1</v>
      </c>
      <c r="BL334" s="1125">
        <f t="shared" si="413"/>
        <v>1</v>
      </c>
      <c r="BM334" s="1125">
        <f t="shared" si="414"/>
        <v>1</v>
      </c>
      <c r="BN334" s="1125">
        <f t="shared" si="415"/>
        <v>1</v>
      </c>
      <c r="BO334" s="1125">
        <f t="shared" si="416"/>
        <v>1</v>
      </c>
      <c r="BP334" s="1125">
        <f t="shared" si="417"/>
        <v>1</v>
      </c>
      <c r="BQ334" s="1125">
        <f t="shared" si="418"/>
        <v>0</v>
      </c>
      <c r="BR334" s="1125">
        <f t="shared" si="419"/>
        <v>0</v>
      </c>
      <c r="BS334" s="1125">
        <f t="shared" si="420"/>
        <v>0</v>
      </c>
      <c r="BT334" s="1125">
        <f t="shared" si="421"/>
        <v>1</v>
      </c>
      <c r="BU334" s="1125">
        <f t="shared" si="422"/>
        <v>1</v>
      </c>
      <c r="BV334" s="1125">
        <f t="shared" si="423"/>
        <v>1</v>
      </c>
      <c r="BW334" s="1125">
        <f t="shared" si="424"/>
        <v>0</v>
      </c>
      <c r="BX334" s="1125">
        <f t="shared" si="425"/>
        <v>0</v>
      </c>
      <c r="BY334" s="1125">
        <f t="shared" si="426"/>
        <v>0</v>
      </c>
      <c r="BZ334" s="1125">
        <f t="shared" si="427"/>
        <v>0</v>
      </c>
      <c r="CA334" s="1125">
        <f t="shared" si="428"/>
        <v>1</v>
      </c>
      <c r="CB334" s="1125">
        <f t="shared" si="429"/>
        <v>1</v>
      </c>
      <c r="CC334" s="1125">
        <f t="shared" si="430"/>
        <v>1</v>
      </c>
      <c r="CD334" s="1125">
        <f t="shared" si="431"/>
        <v>1</v>
      </c>
      <c r="CE334" s="1125">
        <f t="shared" si="432"/>
        <v>1</v>
      </c>
      <c r="CF334" s="1125">
        <f t="shared" si="433"/>
        <v>1</v>
      </c>
      <c r="CG334" s="1125">
        <f t="shared" si="434"/>
        <v>0</v>
      </c>
      <c r="CH334" s="1125">
        <f t="shared" si="435"/>
        <v>0</v>
      </c>
      <c r="CI334" s="1125">
        <f t="shared" si="436"/>
        <v>0.85</v>
      </c>
      <c r="CJ334" s="1125">
        <f t="shared" si="437"/>
        <v>0.85</v>
      </c>
      <c r="CK334" s="1125">
        <f t="shared" si="438"/>
        <v>0.85</v>
      </c>
      <c r="CL334" s="1125">
        <f t="shared" si="439"/>
        <v>0.85</v>
      </c>
      <c r="CM334" s="1125">
        <f t="shared" si="440"/>
        <v>0.85</v>
      </c>
      <c r="CN334" s="1125">
        <f t="shared" si="441"/>
        <v>0.85</v>
      </c>
      <c r="CO334" s="1125">
        <f t="shared" si="442"/>
        <v>0.7</v>
      </c>
      <c r="CP334" s="1125">
        <f t="shared" si="443"/>
        <v>0.7</v>
      </c>
      <c r="CQ334" s="1125">
        <f t="shared" si="444"/>
        <v>0.7</v>
      </c>
      <c r="CR334" s="1125">
        <f t="shared" si="445"/>
        <v>0.85</v>
      </c>
      <c r="CS334" s="1125">
        <f t="shared" si="446"/>
        <v>0.85</v>
      </c>
      <c r="CT334" s="1125">
        <f t="shared" si="447"/>
        <v>0.85</v>
      </c>
      <c r="CU334" s="1125">
        <v>1</v>
      </c>
      <c r="CV334" s="1125"/>
      <c r="CW334" s="1125">
        <f t="shared" si="448"/>
        <v>184</v>
      </c>
      <c r="CX334" s="1125">
        <f t="shared" si="449"/>
        <v>181</v>
      </c>
      <c r="CY334" s="1135" t="s">
        <v>4886</v>
      </c>
      <c r="CZ334" s="1124" t="s">
        <v>4888</v>
      </c>
      <c r="DA334" s="1124"/>
      <c r="DB334" s="1124"/>
      <c r="DC334" s="1120" t="s">
        <v>5025</v>
      </c>
      <c r="DD334" s="1120" t="s">
        <v>954</v>
      </c>
      <c r="DE334" s="1120" t="str">
        <f t="shared" si="375"/>
        <v/>
      </c>
      <c r="DF334" s="1125">
        <v>0</v>
      </c>
      <c r="DG334" s="1120">
        <v>0</v>
      </c>
    </row>
    <row r="335" spans="1:111">
      <c r="A335" s="1125" t="s">
        <v>3457</v>
      </c>
      <c r="B335" s="1125" t="s">
        <v>3366</v>
      </c>
      <c r="C335" s="1125" t="s">
        <v>3367</v>
      </c>
      <c r="D335" s="1125" t="s">
        <v>428</v>
      </c>
      <c r="E335" s="1125">
        <v>863</v>
      </c>
      <c r="F335" s="1125">
        <v>-84.52</v>
      </c>
      <c r="G335" s="1125">
        <v>33.770000000000003</v>
      </c>
      <c r="H335" s="1125">
        <v>-5</v>
      </c>
      <c r="I335" s="1126">
        <v>24.979999828338624</v>
      </c>
      <c r="J335" s="1126">
        <v>91.4</v>
      </c>
      <c r="K335" s="1127">
        <v>74.3</v>
      </c>
      <c r="L335" s="1125">
        <v>2833.2000000000003</v>
      </c>
      <c r="M335" s="1125">
        <v>1620</v>
      </c>
      <c r="N335" s="1128">
        <v>44.240000343322755</v>
      </c>
      <c r="O335" s="1128">
        <v>48.2</v>
      </c>
      <c r="P335" s="1128">
        <v>55.580000686645505</v>
      </c>
      <c r="Q335" s="1128">
        <v>63.86000137329102</v>
      </c>
      <c r="R335" s="1128">
        <v>68.900000000000006</v>
      </c>
      <c r="S335" s="1128">
        <v>74.119999313354498</v>
      </c>
      <c r="T335" s="1128">
        <v>74.66000137329101</v>
      </c>
      <c r="U335" s="1128">
        <v>79.33999862670899</v>
      </c>
      <c r="V335" s="1128">
        <v>74.66000137329101</v>
      </c>
      <c r="W335" s="1128">
        <v>58.459999656677248</v>
      </c>
      <c r="X335" s="1128">
        <v>49.459999656677248</v>
      </c>
      <c r="Y335" s="1128">
        <v>40.820000171661377</v>
      </c>
      <c r="Z335" s="1128">
        <v>61.081096104399798</v>
      </c>
      <c r="AA335" s="1128">
        <f t="shared" si="376"/>
        <v>56.605845650139521</v>
      </c>
      <c r="AB335" s="1128">
        <f t="shared" si="377"/>
        <v>56.3240192315928</v>
      </c>
      <c r="AC335" s="1128">
        <f t="shared" si="378"/>
        <v>58.846190671515693</v>
      </c>
      <c r="AD335" s="1128">
        <f t="shared" si="379"/>
        <v>63.514917116253883</v>
      </c>
      <c r="AE335" s="1128">
        <f t="shared" si="380"/>
        <v>69.113223070734037</v>
      </c>
      <c r="AF335" s="1128">
        <f t="shared" si="381"/>
        <v>74.181823815414688</v>
      </c>
      <c r="AG335" s="1128">
        <f t="shared" si="382"/>
        <v>77.399510456692994</v>
      </c>
      <c r="AH335" s="1128">
        <f t="shared" si="383"/>
        <v>77.927543385467672</v>
      </c>
      <c r="AI335" s="1128">
        <f t="shared" si="384"/>
        <v>75.628282681619851</v>
      </c>
      <c r="AJ335" s="1128">
        <f t="shared" si="385"/>
        <v>71.101066080287453</v>
      </c>
      <c r="AK335" s="1128">
        <f t="shared" si="386"/>
        <v>65.525982355127411</v>
      </c>
      <c r="AL335" s="1128">
        <f t="shared" si="387"/>
        <v>60.356262993743492</v>
      </c>
      <c r="AM335" s="1125">
        <f t="shared" si="388"/>
        <v>1</v>
      </c>
      <c r="AN335" s="1125">
        <f t="shared" si="389"/>
        <v>1</v>
      </c>
      <c r="AO335" s="1125">
        <f t="shared" si="390"/>
        <v>1</v>
      </c>
      <c r="AP335" s="1125">
        <f t="shared" si="391"/>
        <v>1</v>
      </c>
      <c r="AQ335" s="1125">
        <f t="shared" si="392"/>
        <v>0</v>
      </c>
      <c r="AR335" s="1125">
        <f t="shared" si="393"/>
        <v>0</v>
      </c>
      <c r="AS335" s="1125">
        <f t="shared" si="394"/>
        <v>0</v>
      </c>
      <c r="AT335" s="1125">
        <f t="shared" si="395"/>
        <v>0</v>
      </c>
      <c r="AU335" s="1125">
        <f t="shared" si="396"/>
        <v>0</v>
      </c>
      <c r="AV335" s="1125">
        <f t="shared" si="397"/>
        <v>1</v>
      </c>
      <c r="AW335" s="1125">
        <f t="shared" si="398"/>
        <v>1</v>
      </c>
      <c r="AX335" s="1125">
        <f t="shared" si="399"/>
        <v>1</v>
      </c>
      <c r="AY335" s="1125">
        <f t="shared" si="400"/>
        <v>0</v>
      </c>
      <c r="AZ335" s="1125">
        <f t="shared" si="401"/>
        <v>0</v>
      </c>
      <c r="BA335" s="1125">
        <f t="shared" si="402"/>
        <v>0</v>
      </c>
      <c r="BB335" s="1125">
        <f t="shared" si="403"/>
        <v>0</v>
      </c>
      <c r="BC335" s="1125">
        <f t="shared" si="404"/>
        <v>1</v>
      </c>
      <c r="BD335" s="1125">
        <f t="shared" si="405"/>
        <v>1</v>
      </c>
      <c r="BE335" s="1125">
        <f t="shared" si="406"/>
        <v>1</v>
      </c>
      <c r="BF335" s="1125">
        <f t="shared" si="407"/>
        <v>1</v>
      </c>
      <c r="BG335" s="1125">
        <f t="shared" si="408"/>
        <v>1</v>
      </c>
      <c r="BH335" s="1125">
        <f t="shared" si="409"/>
        <v>0</v>
      </c>
      <c r="BI335" s="1125">
        <f t="shared" si="410"/>
        <v>0</v>
      </c>
      <c r="BJ335" s="1125">
        <f t="shared" si="411"/>
        <v>0</v>
      </c>
      <c r="BK335" s="1125">
        <f t="shared" si="412"/>
        <v>1</v>
      </c>
      <c r="BL335" s="1125">
        <f t="shared" si="413"/>
        <v>1</v>
      </c>
      <c r="BM335" s="1125">
        <f t="shared" si="414"/>
        <v>1</v>
      </c>
      <c r="BN335" s="1125">
        <f t="shared" si="415"/>
        <v>1</v>
      </c>
      <c r="BO335" s="1125">
        <f t="shared" si="416"/>
        <v>1</v>
      </c>
      <c r="BP335" s="1125">
        <f t="shared" si="417"/>
        <v>0</v>
      </c>
      <c r="BQ335" s="1125">
        <f t="shared" si="418"/>
        <v>0</v>
      </c>
      <c r="BR335" s="1125">
        <f t="shared" si="419"/>
        <v>0</v>
      </c>
      <c r="BS335" s="1125">
        <f t="shared" si="420"/>
        <v>0</v>
      </c>
      <c r="BT335" s="1125">
        <f t="shared" si="421"/>
        <v>1</v>
      </c>
      <c r="BU335" s="1125">
        <f t="shared" si="422"/>
        <v>1</v>
      </c>
      <c r="BV335" s="1125">
        <f t="shared" si="423"/>
        <v>1</v>
      </c>
      <c r="BW335" s="1125">
        <f t="shared" si="424"/>
        <v>0</v>
      </c>
      <c r="BX335" s="1125">
        <f t="shared" si="425"/>
        <v>0</v>
      </c>
      <c r="BY335" s="1125">
        <f t="shared" si="426"/>
        <v>0</v>
      </c>
      <c r="BZ335" s="1125">
        <f t="shared" si="427"/>
        <v>1</v>
      </c>
      <c r="CA335" s="1125">
        <f t="shared" si="428"/>
        <v>1</v>
      </c>
      <c r="CB335" s="1125">
        <f t="shared" si="429"/>
        <v>1</v>
      </c>
      <c r="CC335" s="1125">
        <f t="shared" si="430"/>
        <v>1</v>
      </c>
      <c r="CD335" s="1125">
        <f t="shared" si="431"/>
        <v>1</v>
      </c>
      <c r="CE335" s="1125">
        <f t="shared" si="432"/>
        <v>1</v>
      </c>
      <c r="CF335" s="1125">
        <f t="shared" si="433"/>
        <v>1</v>
      </c>
      <c r="CG335" s="1125">
        <f t="shared" si="434"/>
        <v>0</v>
      </c>
      <c r="CH335" s="1125">
        <f t="shared" si="435"/>
        <v>0</v>
      </c>
      <c r="CI335" s="1125">
        <f t="shared" si="436"/>
        <v>0.85</v>
      </c>
      <c r="CJ335" s="1125">
        <f t="shared" si="437"/>
        <v>0.85</v>
      </c>
      <c r="CK335" s="1125">
        <f t="shared" si="438"/>
        <v>0.85</v>
      </c>
      <c r="CL335" s="1125">
        <f t="shared" si="439"/>
        <v>0.85</v>
      </c>
      <c r="CM335" s="1125">
        <f t="shared" si="440"/>
        <v>0.85</v>
      </c>
      <c r="CN335" s="1125">
        <f t="shared" si="441"/>
        <v>0.7</v>
      </c>
      <c r="CO335" s="1125">
        <f t="shared" si="442"/>
        <v>0.7</v>
      </c>
      <c r="CP335" s="1125">
        <f t="shared" si="443"/>
        <v>0.7</v>
      </c>
      <c r="CQ335" s="1125">
        <f t="shared" si="444"/>
        <v>0.7</v>
      </c>
      <c r="CR335" s="1125">
        <f t="shared" si="445"/>
        <v>0.85</v>
      </c>
      <c r="CS335" s="1125">
        <f t="shared" si="446"/>
        <v>0.85</v>
      </c>
      <c r="CT335" s="1125">
        <f t="shared" si="447"/>
        <v>0.85</v>
      </c>
      <c r="CU335" s="1125">
        <v>1</v>
      </c>
      <c r="CV335" s="1125"/>
      <c r="CW335" s="1125">
        <f t="shared" si="448"/>
        <v>214</v>
      </c>
      <c r="CX335" s="1125">
        <f t="shared" si="449"/>
        <v>151</v>
      </c>
      <c r="CY335" s="1135" t="s">
        <v>4881</v>
      </c>
      <c r="CZ335" s="1124" t="s">
        <v>4882</v>
      </c>
      <c r="DA335" s="1124"/>
      <c r="DB335" s="1124"/>
      <c r="DC335" s="1120" t="s">
        <v>5140</v>
      </c>
      <c r="DD335" s="1120" t="s">
        <v>428</v>
      </c>
      <c r="DE335" s="1120" t="str">
        <f t="shared" si="375"/>
        <v/>
      </c>
      <c r="DF335" s="1133">
        <v>0</v>
      </c>
      <c r="DG335" s="1125">
        <v>0</v>
      </c>
    </row>
    <row r="336" spans="1:111">
      <c r="A336" s="1120" t="s">
        <v>3459</v>
      </c>
      <c r="B336" s="1125" t="s">
        <v>5798</v>
      </c>
      <c r="C336" s="1125" t="s">
        <v>5799</v>
      </c>
      <c r="D336" s="1125" t="s">
        <v>247</v>
      </c>
      <c r="E336" s="1125">
        <v>567</v>
      </c>
      <c r="F336" s="1125">
        <v>-86.08</v>
      </c>
      <c r="G336" s="1125">
        <v>33.97</v>
      </c>
      <c r="H336" s="1125">
        <v>-6</v>
      </c>
      <c r="I336" s="1126">
        <v>22.1</v>
      </c>
      <c r="J336" s="1126">
        <v>91.22000274658204</v>
      </c>
      <c r="K336" s="1127">
        <v>74.480000686645511</v>
      </c>
      <c r="L336" s="1125">
        <v>2982.6</v>
      </c>
      <c r="M336" s="1125">
        <v>1407.6000000000001</v>
      </c>
      <c r="N336" s="1128">
        <v>40.279999828338624</v>
      </c>
      <c r="O336" s="1128">
        <v>47.3</v>
      </c>
      <c r="P336" s="1128">
        <v>55.219999313354492</v>
      </c>
      <c r="Q336" s="1128">
        <v>61.160001373291017</v>
      </c>
      <c r="R336" s="1128">
        <v>64.760001373291018</v>
      </c>
      <c r="S336" s="1128">
        <v>73.580000686645505</v>
      </c>
      <c r="T336" s="1128">
        <v>77.360001373291013</v>
      </c>
      <c r="U336" s="1128">
        <v>76.460001373291021</v>
      </c>
      <c r="V336" s="1128">
        <v>70.7</v>
      </c>
      <c r="W336" s="1128">
        <v>59.9</v>
      </c>
      <c r="X336" s="1128">
        <v>53.419999313354495</v>
      </c>
      <c r="Y336" s="1128">
        <v>39.740000343322755</v>
      </c>
      <c r="Z336" s="1128">
        <v>60.042520966987091</v>
      </c>
      <c r="AA336" s="1128">
        <f t="shared" si="376"/>
        <v>56.05694311501955</v>
      </c>
      <c r="AB336" s="1128">
        <f t="shared" si="377"/>
        <v>55.69068664525453</v>
      </c>
      <c r="AC336" s="1128">
        <f t="shared" si="378"/>
        <v>58.022795318044828</v>
      </c>
      <c r="AD336" s="1128">
        <f t="shared" si="379"/>
        <v>62.445369068945155</v>
      </c>
      <c r="AE336" s="1128">
        <f t="shared" si="380"/>
        <v>67.805595895858829</v>
      </c>
      <c r="AF336" s="1128">
        <f t="shared" si="381"/>
        <v>72.706250072754997</v>
      </c>
      <c r="AG336" s="1128">
        <f t="shared" si="382"/>
        <v>75.869900567058821</v>
      </c>
      <c r="AH336" s="1128">
        <f t="shared" si="383"/>
        <v>76.47189312410012</v>
      </c>
      <c r="AI336" s="1128">
        <f t="shared" si="384"/>
        <v>74.355309106899966</v>
      </c>
      <c r="AJ336" s="1128">
        <f t="shared" si="385"/>
        <v>70.071868757088623</v>
      </c>
      <c r="AK336" s="1128">
        <f t="shared" si="386"/>
        <v>64.738116811658301</v>
      </c>
      <c r="AL336" s="1128">
        <f t="shared" si="387"/>
        <v>59.744377910790924</v>
      </c>
      <c r="AM336" s="1125">
        <f t="shared" si="388"/>
        <v>1</v>
      </c>
      <c r="AN336" s="1125">
        <f t="shared" si="389"/>
        <v>1</v>
      </c>
      <c r="AO336" s="1125">
        <f t="shared" si="390"/>
        <v>1</v>
      </c>
      <c r="AP336" s="1125">
        <f t="shared" si="391"/>
        <v>1</v>
      </c>
      <c r="AQ336" s="1125">
        <f t="shared" si="392"/>
        <v>1</v>
      </c>
      <c r="AR336" s="1125">
        <f t="shared" si="393"/>
        <v>0</v>
      </c>
      <c r="AS336" s="1125">
        <f t="shared" si="394"/>
        <v>0</v>
      </c>
      <c r="AT336" s="1125">
        <f t="shared" si="395"/>
        <v>0</v>
      </c>
      <c r="AU336" s="1125">
        <f t="shared" si="396"/>
        <v>0</v>
      </c>
      <c r="AV336" s="1125">
        <f t="shared" si="397"/>
        <v>1</v>
      </c>
      <c r="AW336" s="1125">
        <f t="shared" si="398"/>
        <v>1</v>
      </c>
      <c r="AX336" s="1125">
        <f t="shared" si="399"/>
        <v>1</v>
      </c>
      <c r="AY336" s="1125">
        <f t="shared" si="400"/>
        <v>0</v>
      </c>
      <c r="AZ336" s="1125">
        <f t="shared" si="401"/>
        <v>0</v>
      </c>
      <c r="BA336" s="1125">
        <f t="shared" si="402"/>
        <v>0</v>
      </c>
      <c r="BB336" s="1125">
        <f t="shared" si="403"/>
        <v>0</v>
      </c>
      <c r="BC336" s="1125">
        <f t="shared" si="404"/>
        <v>0</v>
      </c>
      <c r="BD336" s="1125">
        <f t="shared" si="405"/>
        <v>1</v>
      </c>
      <c r="BE336" s="1125">
        <f t="shared" si="406"/>
        <v>1</v>
      </c>
      <c r="BF336" s="1125">
        <f t="shared" si="407"/>
        <v>1</v>
      </c>
      <c r="BG336" s="1125">
        <f t="shared" si="408"/>
        <v>1</v>
      </c>
      <c r="BH336" s="1125">
        <f t="shared" si="409"/>
        <v>0</v>
      </c>
      <c r="BI336" s="1125">
        <f t="shared" si="410"/>
        <v>0</v>
      </c>
      <c r="BJ336" s="1125">
        <f t="shared" si="411"/>
        <v>0</v>
      </c>
      <c r="BK336" s="1125">
        <f t="shared" si="412"/>
        <v>1</v>
      </c>
      <c r="BL336" s="1125">
        <f t="shared" si="413"/>
        <v>1</v>
      </c>
      <c r="BM336" s="1125">
        <f t="shared" si="414"/>
        <v>1</v>
      </c>
      <c r="BN336" s="1125">
        <f t="shared" si="415"/>
        <v>1</v>
      </c>
      <c r="BO336" s="1125">
        <f t="shared" si="416"/>
        <v>1</v>
      </c>
      <c r="BP336" s="1125">
        <f t="shared" si="417"/>
        <v>1</v>
      </c>
      <c r="BQ336" s="1125">
        <f t="shared" si="418"/>
        <v>0</v>
      </c>
      <c r="BR336" s="1125">
        <f t="shared" si="419"/>
        <v>0</v>
      </c>
      <c r="BS336" s="1125">
        <f t="shared" si="420"/>
        <v>0</v>
      </c>
      <c r="BT336" s="1125">
        <f t="shared" si="421"/>
        <v>1</v>
      </c>
      <c r="BU336" s="1125">
        <f t="shared" si="422"/>
        <v>1</v>
      </c>
      <c r="BV336" s="1125">
        <f t="shared" si="423"/>
        <v>1</v>
      </c>
      <c r="BW336" s="1125">
        <f t="shared" si="424"/>
        <v>0</v>
      </c>
      <c r="BX336" s="1125">
        <f t="shared" si="425"/>
        <v>0</v>
      </c>
      <c r="BY336" s="1125">
        <f t="shared" si="426"/>
        <v>0</v>
      </c>
      <c r="BZ336" s="1125">
        <f t="shared" si="427"/>
        <v>0</v>
      </c>
      <c r="CA336" s="1125">
        <f t="shared" si="428"/>
        <v>1</v>
      </c>
      <c r="CB336" s="1125">
        <f t="shared" si="429"/>
        <v>1</v>
      </c>
      <c r="CC336" s="1125">
        <f t="shared" si="430"/>
        <v>1</v>
      </c>
      <c r="CD336" s="1125">
        <f t="shared" si="431"/>
        <v>1</v>
      </c>
      <c r="CE336" s="1125">
        <f t="shared" si="432"/>
        <v>1</v>
      </c>
      <c r="CF336" s="1125">
        <f t="shared" si="433"/>
        <v>1</v>
      </c>
      <c r="CG336" s="1125">
        <f t="shared" si="434"/>
        <v>0</v>
      </c>
      <c r="CH336" s="1125">
        <f t="shared" si="435"/>
        <v>0</v>
      </c>
      <c r="CI336" s="1125">
        <f t="shared" si="436"/>
        <v>0.85</v>
      </c>
      <c r="CJ336" s="1125">
        <f t="shared" si="437"/>
        <v>0.85</v>
      </c>
      <c r="CK336" s="1125">
        <f t="shared" si="438"/>
        <v>0.85</v>
      </c>
      <c r="CL336" s="1125">
        <f t="shared" si="439"/>
        <v>0.85</v>
      </c>
      <c r="CM336" s="1125">
        <f t="shared" si="440"/>
        <v>0.85</v>
      </c>
      <c r="CN336" s="1125">
        <f t="shared" si="441"/>
        <v>0.85</v>
      </c>
      <c r="CO336" s="1125">
        <f t="shared" si="442"/>
        <v>0.7</v>
      </c>
      <c r="CP336" s="1125">
        <f t="shared" si="443"/>
        <v>0.7</v>
      </c>
      <c r="CQ336" s="1125">
        <f t="shared" si="444"/>
        <v>0.7</v>
      </c>
      <c r="CR336" s="1125">
        <f t="shared" si="445"/>
        <v>0.85</v>
      </c>
      <c r="CS336" s="1125">
        <f t="shared" si="446"/>
        <v>0.85</v>
      </c>
      <c r="CT336" s="1125">
        <f t="shared" si="447"/>
        <v>0.85</v>
      </c>
      <c r="CU336" s="1125">
        <v>1</v>
      </c>
      <c r="CV336" s="1125"/>
      <c r="CW336" s="1125">
        <f t="shared" si="448"/>
        <v>184</v>
      </c>
      <c r="CX336" s="1125">
        <f t="shared" si="449"/>
        <v>181</v>
      </c>
      <c r="CY336" s="1136" t="s">
        <v>4881</v>
      </c>
      <c r="CZ336" s="1129" t="s">
        <v>4882</v>
      </c>
      <c r="DA336" s="1129"/>
      <c r="DB336" s="1129"/>
      <c r="DC336" s="1125" t="s">
        <v>5709</v>
      </c>
      <c r="DD336" s="1125" t="s">
        <v>247</v>
      </c>
      <c r="DE336" s="1125" t="str">
        <f t="shared" si="375"/>
        <v/>
      </c>
      <c r="DF336" s="1125">
        <v>0</v>
      </c>
      <c r="DG336" s="1120">
        <v>0</v>
      </c>
    </row>
    <row r="337" spans="1:111">
      <c r="A337" s="1125" t="s">
        <v>3461</v>
      </c>
      <c r="B337" s="1120" t="s">
        <v>4198</v>
      </c>
      <c r="C337" s="1120" t="s">
        <v>4199</v>
      </c>
      <c r="D337" s="1120" t="s">
        <v>61</v>
      </c>
      <c r="E337" s="1120">
        <v>2191</v>
      </c>
      <c r="F337" s="1120">
        <v>-99.77</v>
      </c>
      <c r="G337" s="1120">
        <v>36.299999999999997</v>
      </c>
      <c r="H337" s="1120">
        <v>-6</v>
      </c>
      <c r="I337" s="1121">
        <v>12.559999656677245</v>
      </c>
      <c r="J337" s="1121">
        <v>97.520002746582037</v>
      </c>
      <c r="K337" s="1122">
        <v>70.880000686645502</v>
      </c>
      <c r="L337" s="1120">
        <v>4077</v>
      </c>
      <c r="M337" s="1120">
        <v>2073.6</v>
      </c>
      <c r="N337" s="1123">
        <v>32.720000010728839</v>
      </c>
      <c r="O337" s="1123">
        <v>35.960000085830686</v>
      </c>
      <c r="P337" s="1123">
        <v>50</v>
      </c>
      <c r="Q337" s="1123">
        <v>59.9</v>
      </c>
      <c r="R337" s="1123">
        <v>70.880000686645502</v>
      </c>
      <c r="S337" s="1123">
        <v>77.360001373291013</v>
      </c>
      <c r="T337" s="1123">
        <v>82.580000686645505</v>
      </c>
      <c r="U337" s="1123">
        <v>82.219999313354492</v>
      </c>
      <c r="V337" s="1123">
        <v>71.960001373291021</v>
      </c>
      <c r="W337" s="1123">
        <v>57.919999313354495</v>
      </c>
      <c r="X337" s="1123">
        <v>45.5</v>
      </c>
      <c r="Y337" s="1123">
        <v>38.47999982833862</v>
      </c>
      <c r="Z337" s="1123">
        <v>58.924055013183043</v>
      </c>
      <c r="AA337" s="1123">
        <f t="shared" si="376"/>
        <v>52.040567671641661</v>
      </c>
      <c r="AB337" s="1123">
        <f t="shared" si="377"/>
        <v>51.430686355841623</v>
      </c>
      <c r="AC337" s="1123">
        <f t="shared" si="378"/>
        <v>54.338059519682901</v>
      </c>
      <c r="AD337" s="1123">
        <f t="shared" si="379"/>
        <v>60.004835544033611</v>
      </c>
      <c r="AE337" s="1123">
        <f t="shared" si="380"/>
        <v>66.953881930484812</v>
      </c>
      <c r="AF337" s="1123">
        <f t="shared" si="381"/>
        <v>73.37382265036166</v>
      </c>
      <c r="AG337" s="1123">
        <f t="shared" si="382"/>
        <v>77.591201220747038</v>
      </c>
      <c r="AH337" s="1123">
        <f t="shared" si="383"/>
        <v>78.506692925498953</v>
      </c>
      <c r="AI337" s="1123">
        <f t="shared" si="384"/>
        <v>75.881660743619591</v>
      </c>
      <c r="AJ337" s="1123">
        <f t="shared" si="385"/>
        <v>70.400359766286243</v>
      </c>
      <c r="AK337" s="1123">
        <f t="shared" si="386"/>
        <v>63.491575562645778</v>
      </c>
      <c r="AL337" s="1123">
        <f t="shared" si="387"/>
        <v>56.956189202964367</v>
      </c>
      <c r="AM337" s="1120">
        <f t="shared" si="388"/>
        <v>1</v>
      </c>
      <c r="AN337" s="1120">
        <f t="shared" si="389"/>
        <v>1</v>
      </c>
      <c r="AO337" s="1120">
        <f t="shared" si="390"/>
        <v>1</v>
      </c>
      <c r="AP337" s="1120">
        <f t="shared" si="391"/>
        <v>1</v>
      </c>
      <c r="AQ337" s="1120">
        <f t="shared" si="392"/>
        <v>0</v>
      </c>
      <c r="AR337" s="1120">
        <f t="shared" si="393"/>
        <v>0</v>
      </c>
      <c r="AS337" s="1120">
        <f t="shared" si="394"/>
        <v>0</v>
      </c>
      <c r="AT337" s="1120">
        <f t="shared" si="395"/>
        <v>0</v>
      </c>
      <c r="AU337" s="1120">
        <f t="shared" si="396"/>
        <v>0</v>
      </c>
      <c r="AV337" s="1120">
        <f t="shared" si="397"/>
        <v>1</v>
      </c>
      <c r="AW337" s="1120">
        <f t="shared" si="398"/>
        <v>1</v>
      </c>
      <c r="AX337" s="1120">
        <f t="shared" si="399"/>
        <v>1</v>
      </c>
      <c r="AY337" s="1120">
        <f t="shared" si="400"/>
        <v>0</v>
      </c>
      <c r="AZ337" s="1120">
        <f t="shared" si="401"/>
        <v>0</v>
      </c>
      <c r="BA337" s="1120">
        <f t="shared" si="402"/>
        <v>0</v>
      </c>
      <c r="BB337" s="1120">
        <f t="shared" si="403"/>
        <v>0</v>
      </c>
      <c r="BC337" s="1120">
        <f t="shared" si="404"/>
        <v>1</v>
      </c>
      <c r="BD337" s="1120">
        <f t="shared" si="405"/>
        <v>1</v>
      </c>
      <c r="BE337" s="1120">
        <f t="shared" si="406"/>
        <v>1</v>
      </c>
      <c r="BF337" s="1120">
        <f t="shared" si="407"/>
        <v>1</v>
      </c>
      <c r="BG337" s="1120">
        <f t="shared" si="408"/>
        <v>1</v>
      </c>
      <c r="BH337" s="1120">
        <f t="shared" si="409"/>
        <v>0</v>
      </c>
      <c r="BI337" s="1120">
        <f t="shared" si="410"/>
        <v>0</v>
      </c>
      <c r="BJ337" s="1120">
        <f t="shared" si="411"/>
        <v>0</v>
      </c>
      <c r="BK337" s="1120">
        <f t="shared" si="412"/>
        <v>1</v>
      </c>
      <c r="BL337" s="1120">
        <f t="shared" si="413"/>
        <v>1</v>
      </c>
      <c r="BM337" s="1120">
        <f t="shared" si="414"/>
        <v>1</v>
      </c>
      <c r="BN337" s="1120">
        <f t="shared" si="415"/>
        <v>1</v>
      </c>
      <c r="BO337" s="1120">
        <f t="shared" si="416"/>
        <v>1</v>
      </c>
      <c r="BP337" s="1120">
        <f t="shared" si="417"/>
        <v>0</v>
      </c>
      <c r="BQ337" s="1120">
        <f t="shared" si="418"/>
        <v>0</v>
      </c>
      <c r="BR337" s="1120">
        <f t="shared" si="419"/>
        <v>0</v>
      </c>
      <c r="BS337" s="1120">
        <f t="shared" si="420"/>
        <v>0</v>
      </c>
      <c r="BT337" s="1120">
        <f t="shared" si="421"/>
        <v>1</v>
      </c>
      <c r="BU337" s="1120">
        <f t="shared" si="422"/>
        <v>1</v>
      </c>
      <c r="BV337" s="1120">
        <f t="shared" si="423"/>
        <v>1</v>
      </c>
      <c r="BW337" s="1120">
        <f t="shared" si="424"/>
        <v>0</v>
      </c>
      <c r="BX337" s="1120">
        <f t="shared" si="425"/>
        <v>0</v>
      </c>
      <c r="BY337" s="1120">
        <f t="shared" si="426"/>
        <v>0</v>
      </c>
      <c r="BZ337" s="1120">
        <f t="shared" si="427"/>
        <v>1</v>
      </c>
      <c r="CA337" s="1120">
        <f t="shared" si="428"/>
        <v>1</v>
      </c>
      <c r="CB337" s="1120">
        <f t="shared" si="429"/>
        <v>1</v>
      </c>
      <c r="CC337" s="1120">
        <f t="shared" si="430"/>
        <v>1</v>
      </c>
      <c r="CD337" s="1120">
        <f t="shared" si="431"/>
        <v>1</v>
      </c>
      <c r="CE337" s="1120">
        <f t="shared" si="432"/>
        <v>1</v>
      </c>
      <c r="CF337" s="1120">
        <f t="shared" si="433"/>
        <v>1</v>
      </c>
      <c r="CG337" s="1120">
        <f t="shared" si="434"/>
        <v>0</v>
      </c>
      <c r="CH337" s="1120">
        <f t="shared" si="435"/>
        <v>0</v>
      </c>
      <c r="CI337" s="1120">
        <f t="shared" si="436"/>
        <v>0.85</v>
      </c>
      <c r="CJ337" s="1120">
        <f t="shared" si="437"/>
        <v>0.85</v>
      </c>
      <c r="CK337" s="1120">
        <f t="shared" si="438"/>
        <v>0.85</v>
      </c>
      <c r="CL337" s="1120">
        <f t="shared" si="439"/>
        <v>0.85</v>
      </c>
      <c r="CM337" s="1120">
        <f t="shared" si="440"/>
        <v>0.85</v>
      </c>
      <c r="CN337" s="1120">
        <f t="shared" si="441"/>
        <v>0.7</v>
      </c>
      <c r="CO337" s="1120">
        <f t="shared" si="442"/>
        <v>0.7</v>
      </c>
      <c r="CP337" s="1120">
        <f t="shared" si="443"/>
        <v>0.7</v>
      </c>
      <c r="CQ337" s="1120">
        <f t="shared" si="444"/>
        <v>0.7</v>
      </c>
      <c r="CR337" s="1120">
        <f t="shared" si="445"/>
        <v>0.85</v>
      </c>
      <c r="CS337" s="1120">
        <f t="shared" si="446"/>
        <v>0.85</v>
      </c>
      <c r="CT337" s="1120">
        <f t="shared" si="447"/>
        <v>0.85</v>
      </c>
      <c r="CU337" s="1120">
        <v>1</v>
      </c>
      <c r="CV337" s="1120"/>
      <c r="CW337" s="1120">
        <f t="shared" si="448"/>
        <v>214</v>
      </c>
      <c r="CX337" s="1120">
        <f t="shared" si="449"/>
        <v>151</v>
      </c>
      <c r="CY337" s="1135" t="s">
        <v>4881</v>
      </c>
      <c r="CZ337" s="1124" t="s">
        <v>4882</v>
      </c>
      <c r="DA337" s="1124"/>
      <c r="DB337" s="1124"/>
      <c r="DC337" s="1120" t="s">
        <v>5503</v>
      </c>
      <c r="DD337" s="1120" t="s">
        <v>61</v>
      </c>
      <c r="DE337" s="1120" t="str">
        <f t="shared" si="375"/>
        <v/>
      </c>
      <c r="DF337" s="1133">
        <v>0</v>
      </c>
      <c r="DG337" s="1125">
        <v>0</v>
      </c>
    </row>
    <row r="338" spans="1:111">
      <c r="A338" s="1120" t="s">
        <v>3463</v>
      </c>
      <c r="B338" s="1120" t="s">
        <v>3278</v>
      </c>
      <c r="C338" s="1120" t="s">
        <v>3279</v>
      </c>
      <c r="D338" s="1120" t="s">
        <v>594</v>
      </c>
      <c r="E338" s="1120">
        <v>134</v>
      </c>
      <c r="F338" s="1120">
        <v>-82.28</v>
      </c>
      <c r="G338" s="1120">
        <v>29.7</v>
      </c>
      <c r="H338" s="1120">
        <v>-5</v>
      </c>
      <c r="I338" s="1121">
        <v>33.440000021457671</v>
      </c>
      <c r="J338" s="1121">
        <v>91.939998626708984</v>
      </c>
      <c r="K338" s="1122">
        <v>76.280000686645508</v>
      </c>
      <c r="L338" s="1120">
        <v>1256.4000000000001</v>
      </c>
      <c r="M338" s="1120">
        <v>2624.4</v>
      </c>
      <c r="N338" s="1123">
        <v>52.519999313354489</v>
      </c>
      <c r="O338" s="1123">
        <v>58.640000343322754</v>
      </c>
      <c r="P338" s="1123">
        <v>63.139998626708987</v>
      </c>
      <c r="Q338" s="1123">
        <v>68.360001373291013</v>
      </c>
      <c r="R338" s="1123">
        <v>76.099999999999994</v>
      </c>
      <c r="S338" s="1123">
        <v>77.360001373291013</v>
      </c>
      <c r="T338" s="1123">
        <v>79.7</v>
      </c>
      <c r="U338" s="1123">
        <v>80.599999999999994</v>
      </c>
      <c r="V338" s="1123">
        <v>76.460001373291021</v>
      </c>
      <c r="W338" s="1123">
        <v>70.33999862670899</v>
      </c>
      <c r="X338" s="1123">
        <v>60.080000686645505</v>
      </c>
      <c r="Y338" s="1123">
        <v>53.6</v>
      </c>
      <c r="Z338" s="1123">
        <v>68.125260403776821</v>
      </c>
      <c r="AA338" s="1123">
        <f t="shared" si="376"/>
        <v>65.27927078011912</v>
      </c>
      <c r="AB338" s="1123">
        <f t="shared" si="377"/>
        <v>65.605316693443413</v>
      </c>
      <c r="AC338" s="1123">
        <f t="shared" si="378"/>
        <v>68.152217231172997</v>
      </c>
      <c r="AD338" s="1123">
        <f t="shared" si="379"/>
        <v>72.25608351922331</v>
      </c>
      <c r="AE338" s="1123">
        <f t="shared" si="380"/>
        <v>76.847179567120193</v>
      </c>
      <c r="AF338" s="1123">
        <f t="shared" si="381"/>
        <v>80.728765439047635</v>
      </c>
      <c r="AG338" s="1123">
        <f t="shared" si="382"/>
        <v>82.889045960438793</v>
      </c>
      <c r="AH338" s="1123">
        <f t="shared" si="383"/>
        <v>82.764910722462531</v>
      </c>
      <c r="AI338" s="1123">
        <f t="shared" si="384"/>
        <v>80.388717487879291</v>
      </c>
      <c r="AJ338" s="1123">
        <f t="shared" si="385"/>
        <v>76.379857641529355</v>
      </c>
      <c r="AK338" s="1123">
        <f t="shared" si="386"/>
        <v>71.783302280764076</v>
      </c>
      <c r="AL338" s="1123">
        <f t="shared" si="387"/>
        <v>67.797214395429208</v>
      </c>
      <c r="AM338" s="1120">
        <f t="shared" si="388"/>
        <v>1</v>
      </c>
      <c r="AN338" s="1120">
        <f t="shared" si="389"/>
        <v>1</v>
      </c>
      <c r="AO338" s="1120">
        <f t="shared" si="390"/>
        <v>1</v>
      </c>
      <c r="AP338" s="1120">
        <f t="shared" si="391"/>
        <v>0</v>
      </c>
      <c r="AQ338" s="1120">
        <f t="shared" si="392"/>
        <v>0</v>
      </c>
      <c r="AR338" s="1120">
        <f t="shared" si="393"/>
        <v>0</v>
      </c>
      <c r="AS338" s="1120">
        <f t="shared" si="394"/>
        <v>0</v>
      </c>
      <c r="AT338" s="1120">
        <f t="shared" si="395"/>
        <v>0</v>
      </c>
      <c r="AU338" s="1120">
        <f t="shared" si="396"/>
        <v>0</v>
      </c>
      <c r="AV338" s="1120">
        <f t="shared" si="397"/>
        <v>0</v>
      </c>
      <c r="AW338" s="1120">
        <f t="shared" si="398"/>
        <v>1</v>
      </c>
      <c r="AX338" s="1120">
        <f t="shared" si="399"/>
        <v>1</v>
      </c>
      <c r="AY338" s="1120">
        <f t="shared" si="400"/>
        <v>0</v>
      </c>
      <c r="AZ338" s="1120">
        <f t="shared" si="401"/>
        <v>0</v>
      </c>
      <c r="BA338" s="1120">
        <f t="shared" si="402"/>
        <v>0</v>
      </c>
      <c r="BB338" s="1120">
        <f t="shared" si="403"/>
        <v>1</v>
      </c>
      <c r="BC338" s="1120">
        <f t="shared" si="404"/>
        <v>1</v>
      </c>
      <c r="BD338" s="1120">
        <f t="shared" si="405"/>
        <v>1</v>
      </c>
      <c r="BE338" s="1120">
        <f t="shared" si="406"/>
        <v>1</v>
      </c>
      <c r="BF338" s="1120">
        <f t="shared" si="407"/>
        <v>1</v>
      </c>
      <c r="BG338" s="1120">
        <f t="shared" si="408"/>
        <v>1</v>
      </c>
      <c r="BH338" s="1120">
        <f t="shared" si="409"/>
        <v>1</v>
      </c>
      <c r="BI338" s="1120">
        <f t="shared" si="410"/>
        <v>0</v>
      </c>
      <c r="BJ338" s="1120">
        <f t="shared" si="411"/>
        <v>0</v>
      </c>
      <c r="BK338" s="1120">
        <f t="shared" si="412"/>
        <v>1</v>
      </c>
      <c r="BL338" s="1120">
        <f t="shared" si="413"/>
        <v>1</v>
      </c>
      <c r="BM338" s="1120">
        <f t="shared" si="414"/>
        <v>1</v>
      </c>
      <c r="BN338" s="1120">
        <f t="shared" si="415"/>
        <v>1</v>
      </c>
      <c r="BO338" s="1120">
        <f t="shared" si="416"/>
        <v>0</v>
      </c>
      <c r="BP338" s="1120">
        <f t="shared" si="417"/>
        <v>0</v>
      </c>
      <c r="BQ338" s="1120">
        <f t="shared" si="418"/>
        <v>0</v>
      </c>
      <c r="BR338" s="1120">
        <f t="shared" si="419"/>
        <v>0</v>
      </c>
      <c r="BS338" s="1120">
        <f t="shared" si="420"/>
        <v>0</v>
      </c>
      <c r="BT338" s="1120">
        <f t="shared" si="421"/>
        <v>0</v>
      </c>
      <c r="BU338" s="1120">
        <f t="shared" si="422"/>
        <v>1</v>
      </c>
      <c r="BV338" s="1120">
        <f t="shared" si="423"/>
        <v>1</v>
      </c>
      <c r="BW338" s="1120">
        <f t="shared" si="424"/>
        <v>0</v>
      </c>
      <c r="BX338" s="1120">
        <f t="shared" si="425"/>
        <v>0</v>
      </c>
      <c r="BY338" s="1120">
        <f t="shared" si="426"/>
        <v>1</v>
      </c>
      <c r="BZ338" s="1120">
        <f t="shared" si="427"/>
        <v>1</v>
      </c>
      <c r="CA338" s="1120">
        <f t="shared" si="428"/>
        <v>1</v>
      </c>
      <c r="CB338" s="1120">
        <f t="shared" si="429"/>
        <v>1</v>
      </c>
      <c r="CC338" s="1120">
        <f t="shared" si="430"/>
        <v>1</v>
      </c>
      <c r="CD338" s="1120">
        <f t="shared" si="431"/>
        <v>1</v>
      </c>
      <c r="CE338" s="1120">
        <f t="shared" si="432"/>
        <v>1</v>
      </c>
      <c r="CF338" s="1120">
        <f t="shared" si="433"/>
        <v>1</v>
      </c>
      <c r="CG338" s="1120">
        <f t="shared" si="434"/>
        <v>1</v>
      </c>
      <c r="CH338" s="1120">
        <f t="shared" si="435"/>
        <v>0</v>
      </c>
      <c r="CI338" s="1120">
        <f t="shared" si="436"/>
        <v>0.85</v>
      </c>
      <c r="CJ338" s="1120">
        <f t="shared" si="437"/>
        <v>0.85</v>
      </c>
      <c r="CK338" s="1120">
        <f t="shared" si="438"/>
        <v>0.85</v>
      </c>
      <c r="CL338" s="1120">
        <f t="shared" si="439"/>
        <v>0.85</v>
      </c>
      <c r="CM338" s="1120">
        <f t="shared" si="440"/>
        <v>0.7</v>
      </c>
      <c r="CN338" s="1120">
        <f t="shared" si="441"/>
        <v>0.7</v>
      </c>
      <c r="CO338" s="1120">
        <f t="shared" si="442"/>
        <v>0.7</v>
      </c>
      <c r="CP338" s="1120">
        <f t="shared" si="443"/>
        <v>0.7</v>
      </c>
      <c r="CQ338" s="1120">
        <f t="shared" si="444"/>
        <v>0.7</v>
      </c>
      <c r="CR338" s="1120">
        <f t="shared" si="445"/>
        <v>0.7</v>
      </c>
      <c r="CS338" s="1120">
        <f t="shared" si="446"/>
        <v>0.85</v>
      </c>
      <c r="CT338" s="1120">
        <f t="shared" si="447"/>
        <v>0.85</v>
      </c>
      <c r="CU338" s="1120">
        <v>1</v>
      </c>
      <c r="CV338" s="1120"/>
      <c r="CW338" s="1120">
        <f t="shared" si="448"/>
        <v>275</v>
      </c>
      <c r="CX338" s="1120">
        <f t="shared" si="449"/>
        <v>90</v>
      </c>
      <c r="CY338" s="1136" t="s">
        <v>4883</v>
      </c>
      <c r="CZ338" s="1129" t="s">
        <v>4884</v>
      </c>
      <c r="DA338" s="1129"/>
      <c r="DB338" s="1129"/>
      <c r="DC338" s="1125" t="s">
        <v>5097</v>
      </c>
      <c r="DD338" s="1125" t="s">
        <v>594</v>
      </c>
      <c r="DE338" s="1120" t="str">
        <f t="shared" si="375"/>
        <v/>
      </c>
      <c r="DF338" s="1133">
        <v>0</v>
      </c>
      <c r="DG338" s="1120">
        <v>0</v>
      </c>
    </row>
    <row r="339" spans="1:111">
      <c r="A339" s="1125" t="s">
        <v>3465</v>
      </c>
      <c r="B339" s="1125" t="s">
        <v>4080</v>
      </c>
      <c r="C339" s="1125" t="s">
        <v>4081</v>
      </c>
      <c r="D339" s="1125" t="s">
        <v>538</v>
      </c>
      <c r="E339" s="1125">
        <v>6465</v>
      </c>
      <c r="F339" s="1125">
        <v>-108.78</v>
      </c>
      <c r="G339" s="1125">
        <v>35.520000000000003</v>
      </c>
      <c r="H339" s="1125">
        <v>-7</v>
      </c>
      <c r="I339" s="1126">
        <v>5.3599996566772452</v>
      </c>
      <c r="J339" s="1126">
        <v>89.060001373291016</v>
      </c>
      <c r="K339" s="1127">
        <v>57.2</v>
      </c>
      <c r="L339" s="1125">
        <v>5882.4000000000005</v>
      </c>
      <c r="M339" s="1125">
        <v>493.2</v>
      </c>
      <c r="N339" s="1128">
        <v>31.81999999731779</v>
      </c>
      <c r="O339" s="1128">
        <v>34.519999957084657</v>
      </c>
      <c r="P339" s="1128">
        <v>40.459999656677248</v>
      </c>
      <c r="Q339" s="1128">
        <v>47.119999313354491</v>
      </c>
      <c r="R339" s="1128">
        <v>58.819999313354494</v>
      </c>
      <c r="S339" s="1128">
        <v>67.639998626708987</v>
      </c>
      <c r="T339" s="1128">
        <v>70.33999862670899</v>
      </c>
      <c r="U339" s="1128">
        <v>69.8</v>
      </c>
      <c r="V339" s="1128">
        <v>61.160001373291017</v>
      </c>
      <c r="W339" s="1128">
        <v>46.759999656677245</v>
      </c>
      <c r="X339" s="1128">
        <v>37.039999914169314</v>
      </c>
      <c r="Y339" s="1128">
        <v>29.3</v>
      </c>
      <c r="Z339" s="1128">
        <v>49.648383261361353</v>
      </c>
      <c r="AA339" s="1128">
        <f t="shared" si="376"/>
        <v>47.451082376346335</v>
      </c>
      <c r="AB339" s="1128">
        <f t="shared" si="377"/>
        <v>46.281918426019793</v>
      </c>
      <c r="AC339" s="1128">
        <f t="shared" si="378"/>
        <v>47.554267876617324</v>
      </c>
      <c r="AD339" s="1128">
        <f t="shared" si="379"/>
        <v>50.936473236342138</v>
      </c>
      <c r="AE339" s="1128">
        <f t="shared" si="380"/>
        <v>55.546910556819661</v>
      </c>
      <c r="AF339" s="1128">
        <f t="shared" si="381"/>
        <v>60.183798301477687</v>
      </c>
      <c r="AG339" s="1128">
        <f t="shared" si="382"/>
        <v>63.638460223067987</v>
      </c>
      <c r="AH339" s="1128">
        <f t="shared" si="383"/>
        <v>65.010385453776337</v>
      </c>
      <c r="AI339" s="1128">
        <f t="shared" si="384"/>
        <v>63.941960540210829</v>
      </c>
      <c r="AJ339" s="1128">
        <f t="shared" si="385"/>
        <v>60.711686901018624</v>
      </c>
      <c r="AK339" s="1128">
        <f t="shared" si="386"/>
        <v>56.161585140278788</v>
      </c>
      <c r="AL339" s="1128">
        <f t="shared" si="387"/>
        <v>51.477709401118773</v>
      </c>
      <c r="AM339" s="1125">
        <f t="shared" si="388"/>
        <v>1</v>
      </c>
      <c r="AN339" s="1125">
        <f t="shared" si="389"/>
        <v>1</v>
      </c>
      <c r="AO339" s="1125">
        <f t="shared" si="390"/>
        <v>1</v>
      </c>
      <c r="AP339" s="1125">
        <f t="shared" si="391"/>
        <v>1</v>
      </c>
      <c r="AQ339" s="1125">
        <f t="shared" si="392"/>
        <v>1</v>
      </c>
      <c r="AR339" s="1125">
        <f t="shared" si="393"/>
        <v>0</v>
      </c>
      <c r="AS339" s="1125">
        <f t="shared" si="394"/>
        <v>0</v>
      </c>
      <c r="AT339" s="1125">
        <f t="shared" si="395"/>
        <v>0</v>
      </c>
      <c r="AU339" s="1125">
        <f t="shared" si="396"/>
        <v>1</v>
      </c>
      <c r="AV339" s="1125">
        <f t="shared" si="397"/>
        <v>1</v>
      </c>
      <c r="AW339" s="1125">
        <f t="shared" si="398"/>
        <v>1</v>
      </c>
      <c r="AX339" s="1125">
        <f t="shared" si="399"/>
        <v>1</v>
      </c>
      <c r="AY339" s="1125">
        <f t="shared" si="400"/>
        <v>0</v>
      </c>
      <c r="AZ339" s="1125">
        <f t="shared" si="401"/>
        <v>0</v>
      </c>
      <c r="BA339" s="1125">
        <f t="shared" si="402"/>
        <v>0</v>
      </c>
      <c r="BB339" s="1125">
        <f t="shared" si="403"/>
        <v>0</v>
      </c>
      <c r="BC339" s="1125">
        <f t="shared" si="404"/>
        <v>0</v>
      </c>
      <c r="BD339" s="1125">
        <f t="shared" si="405"/>
        <v>1</v>
      </c>
      <c r="BE339" s="1125">
        <f t="shared" si="406"/>
        <v>1</v>
      </c>
      <c r="BF339" s="1125">
        <f t="shared" si="407"/>
        <v>1</v>
      </c>
      <c r="BG339" s="1125">
        <f t="shared" si="408"/>
        <v>0</v>
      </c>
      <c r="BH339" s="1125">
        <f t="shared" si="409"/>
        <v>0</v>
      </c>
      <c r="BI339" s="1125">
        <f t="shared" si="410"/>
        <v>0</v>
      </c>
      <c r="BJ339" s="1125">
        <f t="shared" si="411"/>
        <v>0</v>
      </c>
      <c r="BK339" s="1125">
        <f t="shared" si="412"/>
        <v>1</v>
      </c>
      <c r="BL339" s="1125">
        <f t="shared" si="413"/>
        <v>1</v>
      </c>
      <c r="BM339" s="1125">
        <f t="shared" si="414"/>
        <v>1</v>
      </c>
      <c r="BN339" s="1125">
        <f t="shared" si="415"/>
        <v>1</v>
      </c>
      <c r="BO339" s="1125">
        <f t="shared" si="416"/>
        <v>1</v>
      </c>
      <c r="BP339" s="1125">
        <f t="shared" si="417"/>
        <v>1</v>
      </c>
      <c r="BQ339" s="1125">
        <f t="shared" si="418"/>
        <v>0</v>
      </c>
      <c r="BR339" s="1125">
        <f t="shared" si="419"/>
        <v>0</v>
      </c>
      <c r="BS339" s="1125">
        <f t="shared" si="420"/>
        <v>1</v>
      </c>
      <c r="BT339" s="1125">
        <f t="shared" si="421"/>
        <v>1</v>
      </c>
      <c r="BU339" s="1125">
        <f t="shared" si="422"/>
        <v>1</v>
      </c>
      <c r="BV339" s="1125">
        <f t="shared" si="423"/>
        <v>1</v>
      </c>
      <c r="BW339" s="1125">
        <f t="shared" si="424"/>
        <v>0</v>
      </c>
      <c r="BX339" s="1125">
        <f t="shared" si="425"/>
        <v>0</v>
      </c>
      <c r="BY339" s="1125">
        <f t="shared" si="426"/>
        <v>0</v>
      </c>
      <c r="BZ339" s="1125">
        <f t="shared" si="427"/>
        <v>0</v>
      </c>
      <c r="CA339" s="1125">
        <f t="shared" si="428"/>
        <v>1</v>
      </c>
      <c r="CB339" s="1125">
        <f t="shared" si="429"/>
        <v>1</v>
      </c>
      <c r="CC339" s="1125">
        <f t="shared" si="430"/>
        <v>1</v>
      </c>
      <c r="CD339" s="1125">
        <f t="shared" si="431"/>
        <v>1</v>
      </c>
      <c r="CE339" s="1125">
        <f t="shared" si="432"/>
        <v>1</v>
      </c>
      <c r="CF339" s="1125">
        <f t="shared" si="433"/>
        <v>0</v>
      </c>
      <c r="CG339" s="1125">
        <f t="shared" si="434"/>
        <v>0</v>
      </c>
      <c r="CH339" s="1125">
        <f t="shared" si="435"/>
        <v>0</v>
      </c>
      <c r="CI339" s="1125">
        <f t="shared" si="436"/>
        <v>0.85</v>
      </c>
      <c r="CJ339" s="1125">
        <f t="shared" si="437"/>
        <v>0.85</v>
      </c>
      <c r="CK339" s="1125">
        <f t="shared" si="438"/>
        <v>0.85</v>
      </c>
      <c r="CL339" s="1125">
        <f t="shared" si="439"/>
        <v>0.85</v>
      </c>
      <c r="CM339" s="1125">
        <f t="shared" si="440"/>
        <v>0.85</v>
      </c>
      <c r="CN339" s="1125">
        <f t="shared" si="441"/>
        <v>0.85</v>
      </c>
      <c r="CO339" s="1125">
        <f t="shared" si="442"/>
        <v>0.7</v>
      </c>
      <c r="CP339" s="1125">
        <f t="shared" si="443"/>
        <v>0.7</v>
      </c>
      <c r="CQ339" s="1125">
        <f t="shared" si="444"/>
        <v>0.85</v>
      </c>
      <c r="CR339" s="1125">
        <f t="shared" si="445"/>
        <v>0.85</v>
      </c>
      <c r="CS339" s="1125">
        <f t="shared" si="446"/>
        <v>0.85</v>
      </c>
      <c r="CT339" s="1125">
        <f t="shared" si="447"/>
        <v>0.85</v>
      </c>
      <c r="CU339" s="1125">
        <v>1</v>
      </c>
      <c r="CV339" s="1125"/>
      <c r="CW339" s="1125">
        <f t="shared" si="448"/>
        <v>153</v>
      </c>
      <c r="CX339" s="1125">
        <f t="shared" si="449"/>
        <v>212</v>
      </c>
      <c r="CY339" s="1136" t="s">
        <v>4889</v>
      </c>
      <c r="CZ339" s="1129" t="s">
        <v>4890</v>
      </c>
      <c r="DA339" s="1129"/>
      <c r="DB339" s="1129"/>
      <c r="DC339" s="1125" t="s">
        <v>5451</v>
      </c>
      <c r="DD339" s="1125" t="s">
        <v>538</v>
      </c>
      <c r="DE339" s="1120" t="str">
        <f t="shared" si="375"/>
        <v/>
      </c>
      <c r="DF339" s="1133">
        <v>0</v>
      </c>
      <c r="DG339" s="1125">
        <v>0</v>
      </c>
    </row>
    <row r="340" spans="1:111">
      <c r="A340" s="1120" t="s">
        <v>1962</v>
      </c>
      <c r="B340" s="1125" t="s">
        <v>4402</v>
      </c>
      <c r="C340" s="1125" t="s">
        <v>4403</v>
      </c>
      <c r="D340" s="1125" t="s">
        <v>228</v>
      </c>
      <c r="E340" s="1125">
        <v>52</v>
      </c>
      <c r="F340" s="1125">
        <v>-94.8</v>
      </c>
      <c r="G340" s="1125">
        <v>29.3</v>
      </c>
      <c r="H340" s="1125">
        <v>-6</v>
      </c>
      <c r="I340" s="1126">
        <v>37.220000171661376</v>
      </c>
      <c r="J340" s="1126">
        <v>90.5</v>
      </c>
      <c r="K340" s="1127">
        <v>78.619999313354498</v>
      </c>
      <c r="L340" s="1125">
        <v>1024.2</v>
      </c>
      <c r="M340" s="1125">
        <v>3169.8</v>
      </c>
      <c r="N340" s="1128">
        <v>58.640000343322754</v>
      </c>
      <c r="O340" s="1128">
        <v>61.519999313354496</v>
      </c>
      <c r="P340" s="1128">
        <v>60.8</v>
      </c>
      <c r="Q340" s="1128">
        <v>66.019999313354489</v>
      </c>
      <c r="R340" s="1128">
        <v>77</v>
      </c>
      <c r="S340" s="1128">
        <v>82.580000686645505</v>
      </c>
      <c r="T340" s="1128">
        <v>84.019999313354489</v>
      </c>
      <c r="U340" s="1128">
        <v>83.66000137329101</v>
      </c>
      <c r="V340" s="1128">
        <v>80.419999313354495</v>
      </c>
      <c r="W340" s="1128">
        <v>74.3</v>
      </c>
      <c r="X340" s="1128">
        <v>62.239998626708989</v>
      </c>
      <c r="Y340" s="1128">
        <v>51.440000343322751</v>
      </c>
      <c r="Z340" s="1128">
        <v>70.263068387802335</v>
      </c>
      <c r="AA340" s="1128">
        <f t="shared" si="376"/>
        <v>65.590593427103528</v>
      </c>
      <c r="AB340" s="1128">
        <f t="shared" si="377"/>
        <v>66.183429444940657</v>
      </c>
      <c r="AC340" s="1128">
        <f t="shared" si="378"/>
        <v>69.40367868517265</v>
      </c>
      <c r="AD340" s="1128">
        <f t="shared" si="379"/>
        <v>74.411933557790078</v>
      </c>
      <c r="AE340" s="1128">
        <f t="shared" si="380"/>
        <v>79.902715250701448</v>
      </c>
      <c r="AF340" s="1128">
        <f t="shared" si="381"/>
        <v>84.444766900142213</v>
      </c>
      <c r="AG340" s="1128">
        <f t="shared" si="382"/>
        <v>86.854132748550981</v>
      </c>
      <c r="AH340" s="1128">
        <f t="shared" si="383"/>
        <v>86.502774458088396</v>
      </c>
      <c r="AI340" s="1128">
        <f t="shared" si="384"/>
        <v>83.482278981758682</v>
      </c>
      <c r="AJ340" s="1128">
        <f t="shared" si="385"/>
        <v>78.579985012711447</v>
      </c>
      <c r="AK340" s="1128">
        <f t="shared" si="386"/>
        <v>73.073751020615688</v>
      </c>
      <c r="AL340" s="1128">
        <f t="shared" si="387"/>
        <v>68.398861749145468</v>
      </c>
      <c r="AM340" s="1125">
        <f t="shared" si="388"/>
        <v>1</v>
      </c>
      <c r="AN340" s="1125">
        <f t="shared" si="389"/>
        <v>1</v>
      </c>
      <c r="AO340" s="1125">
        <f t="shared" si="390"/>
        <v>1</v>
      </c>
      <c r="AP340" s="1125">
        <f t="shared" si="391"/>
        <v>0</v>
      </c>
      <c r="AQ340" s="1125">
        <f t="shared" si="392"/>
        <v>0</v>
      </c>
      <c r="AR340" s="1125">
        <f t="shared" si="393"/>
        <v>0</v>
      </c>
      <c r="AS340" s="1125">
        <f t="shared" si="394"/>
        <v>0</v>
      </c>
      <c r="AT340" s="1125">
        <f t="shared" si="395"/>
        <v>0</v>
      </c>
      <c r="AU340" s="1125">
        <f t="shared" si="396"/>
        <v>0</v>
      </c>
      <c r="AV340" s="1125">
        <f t="shared" si="397"/>
        <v>0</v>
      </c>
      <c r="AW340" s="1125">
        <f t="shared" si="398"/>
        <v>1</v>
      </c>
      <c r="AX340" s="1125">
        <f t="shared" si="399"/>
        <v>1</v>
      </c>
      <c r="AY340" s="1125">
        <f t="shared" si="400"/>
        <v>0</v>
      </c>
      <c r="AZ340" s="1125">
        <f t="shared" si="401"/>
        <v>0</v>
      </c>
      <c r="BA340" s="1125">
        <f t="shared" si="402"/>
        <v>0</v>
      </c>
      <c r="BB340" s="1125">
        <f t="shared" si="403"/>
        <v>1</v>
      </c>
      <c r="BC340" s="1125">
        <f t="shared" si="404"/>
        <v>1</v>
      </c>
      <c r="BD340" s="1125">
        <f t="shared" si="405"/>
        <v>1</v>
      </c>
      <c r="BE340" s="1125">
        <f t="shared" si="406"/>
        <v>1</v>
      </c>
      <c r="BF340" s="1125">
        <f t="shared" si="407"/>
        <v>1</v>
      </c>
      <c r="BG340" s="1125">
        <f t="shared" si="408"/>
        <v>1</v>
      </c>
      <c r="BH340" s="1125">
        <f t="shared" si="409"/>
        <v>1</v>
      </c>
      <c r="BI340" s="1125">
        <f t="shared" si="410"/>
        <v>0</v>
      </c>
      <c r="BJ340" s="1125">
        <f t="shared" si="411"/>
        <v>0</v>
      </c>
      <c r="BK340" s="1125">
        <f t="shared" si="412"/>
        <v>1</v>
      </c>
      <c r="BL340" s="1125">
        <f t="shared" si="413"/>
        <v>1</v>
      </c>
      <c r="BM340" s="1125">
        <f t="shared" si="414"/>
        <v>1</v>
      </c>
      <c r="BN340" s="1125">
        <f t="shared" si="415"/>
        <v>1</v>
      </c>
      <c r="BO340" s="1125">
        <f t="shared" si="416"/>
        <v>0</v>
      </c>
      <c r="BP340" s="1125">
        <f t="shared" si="417"/>
        <v>0</v>
      </c>
      <c r="BQ340" s="1125">
        <f t="shared" si="418"/>
        <v>0</v>
      </c>
      <c r="BR340" s="1125">
        <f t="shared" si="419"/>
        <v>0</v>
      </c>
      <c r="BS340" s="1125">
        <f t="shared" si="420"/>
        <v>0</v>
      </c>
      <c r="BT340" s="1125">
        <f t="shared" si="421"/>
        <v>0</v>
      </c>
      <c r="BU340" s="1125">
        <f t="shared" si="422"/>
        <v>1</v>
      </c>
      <c r="BV340" s="1125">
        <f t="shared" si="423"/>
        <v>1</v>
      </c>
      <c r="BW340" s="1125">
        <f t="shared" si="424"/>
        <v>0</v>
      </c>
      <c r="BX340" s="1125">
        <f t="shared" si="425"/>
        <v>0</v>
      </c>
      <c r="BY340" s="1125">
        <f t="shared" si="426"/>
        <v>1</v>
      </c>
      <c r="BZ340" s="1125">
        <f t="shared" si="427"/>
        <v>1</v>
      </c>
      <c r="CA340" s="1125">
        <f t="shared" si="428"/>
        <v>1</v>
      </c>
      <c r="CB340" s="1125">
        <f t="shared" si="429"/>
        <v>1</v>
      </c>
      <c r="CC340" s="1125">
        <f t="shared" si="430"/>
        <v>1</v>
      </c>
      <c r="CD340" s="1125">
        <f t="shared" si="431"/>
        <v>1</v>
      </c>
      <c r="CE340" s="1125">
        <f t="shared" si="432"/>
        <v>1</v>
      </c>
      <c r="CF340" s="1125">
        <f t="shared" si="433"/>
        <v>1</v>
      </c>
      <c r="CG340" s="1125">
        <f t="shared" si="434"/>
        <v>1</v>
      </c>
      <c r="CH340" s="1125">
        <f t="shared" si="435"/>
        <v>0</v>
      </c>
      <c r="CI340" s="1125">
        <f t="shared" si="436"/>
        <v>0.85</v>
      </c>
      <c r="CJ340" s="1125">
        <f t="shared" si="437"/>
        <v>0.85</v>
      </c>
      <c r="CK340" s="1125">
        <f t="shared" si="438"/>
        <v>0.85</v>
      </c>
      <c r="CL340" s="1125">
        <f t="shared" si="439"/>
        <v>0.85</v>
      </c>
      <c r="CM340" s="1125">
        <f t="shared" si="440"/>
        <v>0.7</v>
      </c>
      <c r="CN340" s="1125">
        <f t="shared" si="441"/>
        <v>0.7</v>
      </c>
      <c r="CO340" s="1125">
        <f t="shared" si="442"/>
        <v>0.7</v>
      </c>
      <c r="CP340" s="1125">
        <f t="shared" si="443"/>
        <v>0.7</v>
      </c>
      <c r="CQ340" s="1125">
        <f t="shared" si="444"/>
        <v>0.7</v>
      </c>
      <c r="CR340" s="1125">
        <f t="shared" si="445"/>
        <v>0.7</v>
      </c>
      <c r="CS340" s="1125">
        <f t="shared" si="446"/>
        <v>0.85</v>
      </c>
      <c r="CT340" s="1125">
        <f t="shared" si="447"/>
        <v>0.85</v>
      </c>
      <c r="CU340" s="1125">
        <v>1</v>
      </c>
      <c r="CV340" s="1125"/>
      <c r="CW340" s="1125">
        <f t="shared" si="448"/>
        <v>275</v>
      </c>
      <c r="CX340" s="1125">
        <f t="shared" si="449"/>
        <v>90</v>
      </c>
      <c r="CY340" s="1136" t="s">
        <v>4883</v>
      </c>
      <c r="CZ340" s="1129" t="s">
        <v>4884</v>
      </c>
      <c r="DA340" s="1129"/>
      <c r="DB340" s="1129"/>
      <c r="DC340" s="1125" t="s">
        <v>5998</v>
      </c>
      <c r="DD340" s="1125" t="s">
        <v>228</v>
      </c>
      <c r="DE340" s="1120" t="str">
        <f t="shared" ref="DE340:DE403" si="450">IF(AND(C340=DC340,D340=DD340),"",FALSE)</f>
        <v/>
      </c>
      <c r="DF340" s="1133">
        <v>1</v>
      </c>
      <c r="DG340" s="1120">
        <v>0</v>
      </c>
    </row>
    <row r="341" spans="1:111">
      <c r="A341" s="1125" t="s">
        <v>3467</v>
      </c>
      <c r="B341" s="1125" t="s">
        <v>617</v>
      </c>
      <c r="C341" s="1125" t="s">
        <v>618</v>
      </c>
      <c r="D341" s="1125" t="s">
        <v>953</v>
      </c>
      <c r="E341" s="1125">
        <v>26</v>
      </c>
      <c r="F341" s="1125">
        <v>-171.75</v>
      </c>
      <c r="G341" s="1125">
        <v>63.78</v>
      </c>
      <c r="H341" s="1125">
        <v>-9</v>
      </c>
      <c r="I341" s="1126">
        <v>-13.180000686645508</v>
      </c>
      <c r="J341" s="1126">
        <v>53.780000686645508</v>
      </c>
      <c r="K341" s="1127">
        <v>49.1</v>
      </c>
      <c r="L341" s="1125">
        <v>13123.800000000001</v>
      </c>
      <c r="M341" s="1125">
        <v>0</v>
      </c>
      <c r="N341" s="1128">
        <v>14.359999656677246</v>
      </c>
      <c r="O341" s="1128">
        <v>12.2</v>
      </c>
      <c r="P341" s="1128">
        <v>19.579999828338622</v>
      </c>
      <c r="Q341" s="1128">
        <v>14.540000343322754</v>
      </c>
      <c r="R341" s="1128">
        <v>33.799999999999997</v>
      </c>
      <c r="S341" s="1128">
        <v>37.939999914169313</v>
      </c>
      <c r="T341" s="1128">
        <v>44.240000343322755</v>
      </c>
      <c r="U341" s="1128">
        <v>47.659999656677243</v>
      </c>
      <c r="V341" s="1128">
        <v>40.820000171661377</v>
      </c>
      <c r="W341" s="1128">
        <v>34.700000000000003</v>
      </c>
      <c r="X341" s="1128">
        <v>26.6</v>
      </c>
      <c r="Y341" s="1128">
        <v>13.459999656677246</v>
      </c>
      <c r="Z341" s="1128">
        <v>28.439452017170108</v>
      </c>
      <c r="AA341" s="1128">
        <f t="shared" si="376"/>
        <v>32</v>
      </c>
      <c r="AB341" s="1128">
        <f t="shared" si="377"/>
        <v>32</v>
      </c>
      <c r="AC341" s="1128">
        <f t="shared" si="378"/>
        <v>32</v>
      </c>
      <c r="AD341" s="1128">
        <f t="shared" si="379"/>
        <v>32</v>
      </c>
      <c r="AE341" s="1128">
        <f t="shared" si="380"/>
        <v>32.849059435062117</v>
      </c>
      <c r="AF341" s="1128">
        <f t="shared" si="381"/>
        <v>35.046047161686893</v>
      </c>
      <c r="AG341" s="1128">
        <f t="shared" si="382"/>
        <v>37.084916515979231</v>
      </c>
      <c r="AH341" s="1128">
        <f t="shared" si="383"/>
        <v>38.434204780815016</v>
      </c>
      <c r="AI341" s="1128">
        <f t="shared" si="384"/>
        <v>38.742199176803233</v>
      </c>
      <c r="AJ341" s="1128">
        <f t="shared" si="385"/>
        <v>37.928616218292241</v>
      </c>
      <c r="AK341" s="1128">
        <f t="shared" si="386"/>
        <v>36.205528841110834</v>
      </c>
      <c r="AL341" s="1128">
        <f t="shared" si="387"/>
        <v>34.022086323701593</v>
      </c>
      <c r="AM341" s="1125">
        <f t="shared" si="388"/>
        <v>1</v>
      </c>
      <c r="AN341" s="1125">
        <f t="shared" si="389"/>
        <v>1</v>
      </c>
      <c r="AO341" s="1125">
        <f t="shared" si="390"/>
        <v>1</v>
      </c>
      <c r="AP341" s="1125">
        <f t="shared" si="391"/>
        <v>1</v>
      </c>
      <c r="AQ341" s="1125">
        <f t="shared" si="392"/>
        <v>1</v>
      </c>
      <c r="AR341" s="1125">
        <f t="shared" si="393"/>
        <v>1</v>
      </c>
      <c r="AS341" s="1125">
        <f t="shared" si="394"/>
        <v>1</v>
      </c>
      <c r="AT341" s="1125">
        <f t="shared" si="395"/>
        <v>1</v>
      </c>
      <c r="AU341" s="1125">
        <f t="shared" si="396"/>
        <v>1</v>
      </c>
      <c r="AV341" s="1125">
        <f t="shared" si="397"/>
        <v>1</v>
      </c>
      <c r="AW341" s="1125">
        <f t="shared" si="398"/>
        <v>1</v>
      </c>
      <c r="AX341" s="1125">
        <f t="shared" si="399"/>
        <v>1</v>
      </c>
      <c r="AY341" s="1125">
        <f t="shared" si="400"/>
        <v>0</v>
      </c>
      <c r="AZ341" s="1125">
        <f t="shared" si="401"/>
        <v>0</v>
      </c>
      <c r="BA341" s="1125">
        <f t="shared" si="402"/>
        <v>0</v>
      </c>
      <c r="BB341" s="1125">
        <f t="shared" si="403"/>
        <v>0</v>
      </c>
      <c r="BC341" s="1125">
        <f t="shared" si="404"/>
        <v>0</v>
      </c>
      <c r="BD341" s="1125">
        <f t="shared" si="405"/>
        <v>0</v>
      </c>
      <c r="BE341" s="1125">
        <f t="shared" si="406"/>
        <v>1</v>
      </c>
      <c r="BF341" s="1125">
        <f t="shared" si="407"/>
        <v>1</v>
      </c>
      <c r="BG341" s="1125">
        <f t="shared" si="408"/>
        <v>0</v>
      </c>
      <c r="BH341" s="1125">
        <f t="shared" si="409"/>
        <v>0</v>
      </c>
      <c r="BI341" s="1125">
        <f t="shared" si="410"/>
        <v>0</v>
      </c>
      <c r="BJ341" s="1125">
        <f t="shared" si="411"/>
        <v>0</v>
      </c>
      <c r="BK341" s="1125">
        <f t="shared" si="412"/>
        <v>1</v>
      </c>
      <c r="BL341" s="1125">
        <f t="shared" si="413"/>
        <v>1</v>
      </c>
      <c r="BM341" s="1125">
        <f t="shared" si="414"/>
        <v>1</v>
      </c>
      <c r="BN341" s="1125">
        <f t="shared" si="415"/>
        <v>1</v>
      </c>
      <c r="BO341" s="1125">
        <f t="shared" si="416"/>
        <v>1</v>
      </c>
      <c r="BP341" s="1125">
        <f t="shared" si="417"/>
        <v>1</v>
      </c>
      <c r="BQ341" s="1125">
        <f t="shared" si="418"/>
        <v>1</v>
      </c>
      <c r="BR341" s="1125">
        <f t="shared" si="419"/>
        <v>1</v>
      </c>
      <c r="BS341" s="1125">
        <f t="shared" si="420"/>
        <v>1</v>
      </c>
      <c r="BT341" s="1125">
        <f t="shared" si="421"/>
        <v>1</v>
      </c>
      <c r="BU341" s="1125">
        <f t="shared" si="422"/>
        <v>1</v>
      </c>
      <c r="BV341" s="1125">
        <f t="shared" si="423"/>
        <v>1</v>
      </c>
      <c r="BW341" s="1125">
        <f t="shared" si="424"/>
        <v>0</v>
      </c>
      <c r="BX341" s="1125">
        <f t="shared" si="425"/>
        <v>0</v>
      </c>
      <c r="BY341" s="1125">
        <f t="shared" si="426"/>
        <v>0</v>
      </c>
      <c r="BZ341" s="1125">
        <f t="shared" si="427"/>
        <v>0</v>
      </c>
      <c r="CA341" s="1125">
        <f t="shared" si="428"/>
        <v>0</v>
      </c>
      <c r="CB341" s="1125">
        <f t="shared" si="429"/>
        <v>0</v>
      </c>
      <c r="CC341" s="1125">
        <f t="shared" si="430"/>
        <v>1</v>
      </c>
      <c r="CD341" s="1125">
        <f t="shared" si="431"/>
        <v>1</v>
      </c>
      <c r="CE341" s="1125">
        <f t="shared" si="432"/>
        <v>0</v>
      </c>
      <c r="CF341" s="1125">
        <f t="shared" si="433"/>
        <v>0</v>
      </c>
      <c r="CG341" s="1125">
        <f t="shared" si="434"/>
        <v>0</v>
      </c>
      <c r="CH341" s="1125">
        <f t="shared" si="435"/>
        <v>0</v>
      </c>
      <c r="CI341" s="1125">
        <f t="shared" si="436"/>
        <v>0.85</v>
      </c>
      <c r="CJ341" s="1125">
        <f t="shared" si="437"/>
        <v>0.85</v>
      </c>
      <c r="CK341" s="1125">
        <f t="shared" si="438"/>
        <v>0.85</v>
      </c>
      <c r="CL341" s="1125">
        <f t="shared" si="439"/>
        <v>0.85</v>
      </c>
      <c r="CM341" s="1125">
        <f t="shared" si="440"/>
        <v>0.85</v>
      </c>
      <c r="CN341" s="1125">
        <f t="shared" si="441"/>
        <v>0.85</v>
      </c>
      <c r="CO341" s="1125">
        <f t="shared" si="442"/>
        <v>0.85</v>
      </c>
      <c r="CP341" s="1125">
        <f t="shared" si="443"/>
        <v>0.85</v>
      </c>
      <c r="CQ341" s="1125">
        <f t="shared" si="444"/>
        <v>0.85</v>
      </c>
      <c r="CR341" s="1125">
        <f t="shared" si="445"/>
        <v>0.85</v>
      </c>
      <c r="CS341" s="1125">
        <f t="shared" si="446"/>
        <v>0.85</v>
      </c>
      <c r="CT341" s="1125">
        <f t="shared" si="447"/>
        <v>0.85</v>
      </c>
      <c r="CU341" s="1125">
        <v>1</v>
      </c>
      <c r="CV341" s="1125"/>
      <c r="CW341" s="1125">
        <f t="shared" si="448"/>
        <v>62</v>
      </c>
      <c r="CX341" s="1125">
        <f t="shared" si="449"/>
        <v>303</v>
      </c>
      <c r="CY341" s="1136" t="s">
        <v>4880</v>
      </c>
      <c r="CZ341" s="1129">
        <v>8</v>
      </c>
      <c r="DA341" s="1129"/>
      <c r="DB341" s="1129"/>
      <c r="DC341" s="1125" t="s">
        <v>4926</v>
      </c>
      <c r="DD341" s="1125" t="s">
        <v>953</v>
      </c>
      <c r="DE341" s="1125" t="str">
        <f t="shared" si="450"/>
        <v/>
      </c>
      <c r="DF341" s="1125">
        <v>1</v>
      </c>
      <c r="DG341" s="1125">
        <v>0</v>
      </c>
    </row>
    <row r="342" spans="1:111">
      <c r="A342" s="1120" t="s">
        <v>3469</v>
      </c>
      <c r="B342" s="1120" t="s">
        <v>3561</v>
      </c>
      <c r="C342" s="1120" t="s">
        <v>3562</v>
      </c>
      <c r="D342" s="1120" t="s">
        <v>256</v>
      </c>
      <c r="E342" s="1120">
        <v>2880</v>
      </c>
      <c r="F342" s="1120">
        <v>-100.72</v>
      </c>
      <c r="G342" s="1120">
        <v>37.93</v>
      </c>
      <c r="H342" s="1120">
        <v>-6</v>
      </c>
      <c r="I342" s="1121">
        <v>6.2599996566772456</v>
      </c>
      <c r="J342" s="1121">
        <v>96.620002746582031</v>
      </c>
      <c r="K342" s="1122">
        <v>69.080000686645505</v>
      </c>
      <c r="L342" s="1120">
        <v>5203.8</v>
      </c>
      <c r="M342" s="1120">
        <v>1254.6000000000001</v>
      </c>
      <c r="N342" s="1123">
        <v>31.639999994635581</v>
      </c>
      <c r="O342" s="1123">
        <v>33.799999999999997</v>
      </c>
      <c r="P342" s="1123">
        <v>37.76000008583069</v>
      </c>
      <c r="Q342" s="1123">
        <v>55.940000343322751</v>
      </c>
      <c r="R342" s="1123">
        <v>60.8</v>
      </c>
      <c r="S342" s="1123">
        <v>77</v>
      </c>
      <c r="T342" s="1123">
        <v>77.180000686645513</v>
      </c>
      <c r="U342" s="1123">
        <v>72.139998626708987</v>
      </c>
      <c r="V342" s="1123">
        <v>65.66000137329101</v>
      </c>
      <c r="W342" s="1123">
        <v>54.5</v>
      </c>
      <c r="X342" s="1123">
        <v>40.279999828338624</v>
      </c>
      <c r="Y342" s="1123">
        <v>34.880000042915341</v>
      </c>
      <c r="Z342" s="1123">
        <v>53.558082270924359</v>
      </c>
      <c r="AA342" s="1123">
        <f t="shared" si="376"/>
        <v>49.338112088646653</v>
      </c>
      <c r="AB342" s="1123">
        <f t="shared" si="377"/>
        <v>48.308404230022674</v>
      </c>
      <c r="AC342" s="1123">
        <f t="shared" si="378"/>
        <v>50.211098315545968</v>
      </c>
      <c r="AD342" s="1123">
        <f t="shared" si="379"/>
        <v>54.550227810421489</v>
      </c>
      <c r="AE342" s="1123">
        <f t="shared" si="380"/>
        <v>60.19473174380034</v>
      </c>
      <c r="AF342" s="1123">
        <f t="shared" si="381"/>
        <v>65.673283181008713</v>
      </c>
      <c r="AG342" s="1123">
        <f t="shared" si="382"/>
        <v>69.557813262905</v>
      </c>
      <c r="AH342" s="1123">
        <f t="shared" si="383"/>
        <v>70.835759361222387</v>
      </c>
      <c r="AI342" s="1123">
        <f t="shared" si="384"/>
        <v>69.174005131688901</v>
      </c>
      <c r="AJ342" s="1123">
        <f t="shared" si="385"/>
        <v>65.005712422640315</v>
      </c>
      <c r="AK342" s="1123">
        <f t="shared" si="386"/>
        <v>59.417410964025166</v>
      </c>
      <c r="AL342" s="1123">
        <f t="shared" si="387"/>
        <v>53.865777649363736</v>
      </c>
      <c r="AM342" s="1120">
        <f t="shared" si="388"/>
        <v>1</v>
      </c>
      <c r="AN342" s="1120">
        <f t="shared" si="389"/>
        <v>1</v>
      </c>
      <c r="AO342" s="1120">
        <f t="shared" si="390"/>
        <v>1</v>
      </c>
      <c r="AP342" s="1120">
        <f t="shared" si="391"/>
        <v>1</v>
      </c>
      <c r="AQ342" s="1120">
        <f t="shared" si="392"/>
        <v>1</v>
      </c>
      <c r="AR342" s="1120">
        <f t="shared" si="393"/>
        <v>0</v>
      </c>
      <c r="AS342" s="1120">
        <f t="shared" si="394"/>
        <v>0</v>
      </c>
      <c r="AT342" s="1120">
        <f t="shared" si="395"/>
        <v>0</v>
      </c>
      <c r="AU342" s="1120">
        <f t="shared" si="396"/>
        <v>1</v>
      </c>
      <c r="AV342" s="1120">
        <f t="shared" si="397"/>
        <v>1</v>
      </c>
      <c r="AW342" s="1120">
        <f t="shared" si="398"/>
        <v>1</v>
      </c>
      <c r="AX342" s="1120">
        <f t="shared" si="399"/>
        <v>1</v>
      </c>
      <c r="AY342" s="1120">
        <f t="shared" si="400"/>
        <v>0</v>
      </c>
      <c r="AZ342" s="1120">
        <f t="shared" si="401"/>
        <v>0</v>
      </c>
      <c r="BA342" s="1120">
        <f t="shared" si="402"/>
        <v>0</v>
      </c>
      <c r="BB342" s="1120">
        <f t="shared" si="403"/>
        <v>0</v>
      </c>
      <c r="BC342" s="1120">
        <f t="shared" si="404"/>
        <v>0</v>
      </c>
      <c r="BD342" s="1120">
        <f t="shared" si="405"/>
        <v>1</v>
      </c>
      <c r="BE342" s="1120">
        <f t="shared" si="406"/>
        <v>1</v>
      </c>
      <c r="BF342" s="1120">
        <f t="shared" si="407"/>
        <v>1</v>
      </c>
      <c r="BG342" s="1120">
        <f t="shared" si="408"/>
        <v>0</v>
      </c>
      <c r="BH342" s="1120">
        <f t="shared" si="409"/>
        <v>0</v>
      </c>
      <c r="BI342" s="1120">
        <f t="shared" si="410"/>
        <v>0</v>
      </c>
      <c r="BJ342" s="1120">
        <f t="shared" si="411"/>
        <v>0</v>
      </c>
      <c r="BK342" s="1120">
        <f t="shared" si="412"/>
        <v>1</v>
      </c>
      <c r="BL342" s="1120">
        <f t="shared" si="413"/>
        <v>1</v>
      </c>
      <c r="BM342" s="1120">
        <f t="shared" si="414"/>
        <v>1</v>
      </c>
      <c r="BN342" s="1120">
        <f t="shared" si="415"/>
        <v>1</v>
      </c>
      <c r="BO342" s="1120">
        <f t="shared" si="416"/>
        <v>1</v>
      </c>
      <c r="BP342" s="1120">
        <f t="shared" si="417"/>
        <v>1</v>
      </c>
      <c r="BQ342" s="1120">
        <f t="shared" si="418"/>
        <v>0</v>
      </c>
      <c r="BR342" s="1120">
        <f t="shared" si="419"/>
        <v>0</v>
      </c>
      <c r="BS342" s="1120">
        <f t="shared" si="420"/>
        <v>1</v>
      </c>
      <c r="BT342" s="1120">
        <f t="shared" si="421"/>
        <v>1</v>
      </c>
      <c r="BU342" s="1120">
        <f t="shared" si="422"/>
        <v>1</v>
      </c>
      <c r="BV342" s="1120">
        <f t="shared" si="423"/>
        <v>1</v>
      </c>
      <c r="BW342" s="1120">
        <f t="shared" si="424"/>
        <v>0</v>
      </c>
      <c r="BX342" s="1120">
        <f t="shared" si="425"/>
        <v>0</v>
      </c>
      <c r="BY342" s="1120">
        <f t="shared" si="426"/>
        <v>0</v>
      </c>
      <c r="BZ342" s="1120">
        <f t="shared" si="427"/>
        <v>0</v>
      </c>
      <c r="CA342" s="1120">
        <f t="shared" si="428"/>
        <v>1</v>
      </c>
      <c r="CB342" s="1120">
        <f t="shared" si="429"/>
        <v>1</v>
      </c>
      <c r="CC342" s="1120">
        <f t="shared" si="430"/>
        <v>1</v>
      </c>
      <c r="CD342" s="1120">
        <f t="shared" si="431"/>
        <v>1</v>
      </c>
      <c r="CE342" s="1120">
        <f t="shared" si="432"/>
        <v>1</v>
      </c>
      <c r="CF342" s="1120">
        <f t="shared" si="433"/>
        <v>0</v>
      </c>
      <c r="CG342" s="1120">
        <f t="shared" si="434"/>
        <v>0</v>
      </c>
      <c r="CH342" s="1120">
        <f t="shared" si="435"/>
        <v>0</v>
      </c>
      <c r="CI342" s="1120">
        <f t="shared" si="436"/>
        <v>0.85</v>
      </c>
      <c r="CJ342" s="1120">
        <f t="shared" si="437"/>
        <v>0.85</v>
      </c>
      <c r="CK342" s="1120">
        <f t="shared" si="438"/>
        <v>0.85</v>
      </c>
      <c r="CL342" s="1120">
        <f t="shared" si="439"/>
        <v>0.85</v>
      </c>
      <c r="CM342" s="1120">
        <f t="shared" si="440"/>
        <v>0.85</v>
      </c>
      <c r="CN342" s="1120">
        <f t="shared" si="441"/>
        <v>0.85</v>
      </c>
      <c r="CO342" s="1120">
        <f t="shared" si="442"/>
        <v>0.7</v>
      </c>
      <c r="CP342" s="1120">
        <f t="shared" si="443"/>
        <v>0.7</v>
      </c>
      <c r="CQ342" s="1120">
        <f t="shared" si="444"/>
        <v>0.85</v>
      </c>
      <c r="CR342" s="1120">
        <f t="shared" si="445"/>
        <v>0.85</v>
      </c>
      <c r="CS342" s="1120">
        <f t="shared" si="446"/>
        <v>0.85</v>
      </c>
      <c r="CT342" s="1120">
        <f t="shared" si="447"/>
        <v>0.85</v>
      </c>
      <c r="CU342" s="1120">
        <v>1</v>
      </c>
      <c r="CV342" s="1120"/>
      <c r="CW342" s="1120">
        <f t="shared" si="448"/>
        <v>153</v>
      </c>
      <c r="CX342" s="1120">
        <f t="shared" si="449"/>
        <v>212</v>
      </c>
      <c r="CY342" s="1135" t="s">
        <v>4881</v>
      </c>
      <c r="CZ342" s="1124" t="s">
        <v>4885</v>
      </c>
      <c r="DA342" s="1124"/>
      <c r="DB342" s="1124"/>
      <c r="DC342" s="1120" t="s">
        <v>5229</v>
      </c>
      <c r="DD342" s="1120" t="s">
        <v>256</v>
      </c>
      <c r="DE342" s="1120" t="str">
        <f t="shared" si="450"/>
        <v/>
      </c>
      <c r="DF342" s="1133">
        <v>0</v>
      </c>
      <c r="DG342" s="1120">
        <v>0</v>
      </c>
    </row>
    <row r="343" spans="1:111">
      <c r="A343" s="1125" t="s">
        <v>3471</v>
      </c>
      <c r="B343" s="1120" t="s">
        <v>5923</v>
      </c>
      <c r="C343" s="1120" t="s">
        <v>5924</v>
      </c>
      <c r="D343" s="1120" t="s">
        <v>228</v>
      </c>
      <c r="E343" s="1120">
        <v>787</v>
      </c>
      <c r="F343" s="1120">
        <v>-97.68</v>
      </c>
      <c r="G343" s="1120">
        <v>30.68</v>
      </c>
      <c r="H343" s="1120">
        <v>-6</v>
      </c>
      <c r="I343" s="1121">
        <v>28.4</v>
      </c>
      <c r="J343" s="1121">
        <v>96.979997253417977</v>
      </c>
      <c r="K343" s="1122">
        <v>72.860001373291013</v>
      </c>
      <c r="L343" s="1120">
        <v>1967.4</v>
      </c>
      <c r="M343" s="1120">
        <v>2739.6</v>
      </c>
      <c r="N343" s="1123">
        <v>47.119999313354491</v>
      </c>
      <c r="O343" s="1123">
        <v>55.219999313354492</v>
      </c>
      <c r="P343" s="1123">
        <v>53.959999656677248</v>
      </c>
      <c r="Q343" s="1123">
        <v>66.2</v>
      </c>
      <c r="R343" s="1123">
        <v>71.780000686645508</v>
      </c>
      <c r="S343" s="1123">
        <v>81.139998626708987</v>
      </c>
      <c r="T343" s="1123">
        <v>84.739998626708982</v>
      </c>
      <c r="U343" s="1123">
        <v>80.960001373291021</v>
      </c>
      <c r="V343" s="1123">
        <v>77.900000000000006</v>
      </c>
      <c r="W343" s="1123">
        <v>67.099999999999994</v>
      </c>
      <c r="X343" s="1123">
        <v>61.880000686645509</v>
      </c>
      <c r="Y343" s="1123">
        <v>49.819999313354494</v>
      </c>
      <c r="Z343" s="1123">
        <v>66.519561447248066</v>
      </c>
      <c r="AA343" s="1123">
        <f t="shared" si="376"/>
        <v>61.029824404088302</v>
      </c>
      <c r="AB343" s="1123">
        <f t="shared" si="377"/>
        <v>61.290073699594089</v>
      </c>
      <c r="AC343" s="1123">
        <f t="shared" si="378"/>
        <v>64.477462028170308</v>
      </c>
      <c r="AD343" s="1123">
        <f t="shared" si="379"/>
        <v>69.7611475028326</v>
      </c>
      <c r="AE343" s="1123">
        <f t="shared" si="380"/>
        <v>75.763856080552387</v>
      </c>
      <c r="AF343" s="1123">
        <f t="shared" si="381"/>
        <v>80.920889266007734</v>
      </c>
      <c r="AG343" s="1123">
        <f t="shared" si="382"/>
        <v>83.887986887122707</v>
      </c>
      <c r="AH343" s="1123">
        <f t="shared" si="383"/>
        <v>83.891729224595295</v>
      </c>
      <c r="AI343" s="1123">
        <f t="shared" si="384"/>
        <v>80.931140780492086</v>
      </c>
      <c r="AJ343" s="1123">
        <f t="shared" si="385"/>
        <v>75.777944556817545</v>
      </c>
      <c r="AK343" s="1123">
        <f t="shared" si="386"/>
        <v>69.77540056243005</v>
      </c>
      <c r="AL343" s="1123">
        <f t="shared" si="387"/>
        <v>64.488164391469695</v>
      </c>
      <c r="AM343" s="1120">
        <f t="shared" si="388"/>
        <v>1</v>
      </c>
      <c r="AN343" s="1120">
        <f t="shared" si="389"/>
        <v>1</v>
      </c>
      <c r="AO343" s="1120">
        <f t="shared" si="390"/>
        <v>1</v>
      </c>
      <c r="AP343" s="1120">
        <f t="shared" si="391"/>
        <v>0</v>
      </c>
      <c r="AQ343" s="1120">
        <f t="shared" si="392"/>
        <v>0</v>
      </c>
      <c r="AR343" s="1120">
        <f t="shared" si="393"/>
        <v>0</v>
      </c>
      <c r="AS343" s="1120">
        <f t="shared" si="394"/>
        <v>0</v>
      </c>
      <c r="AT343" s="1120">
        <f t="shared" si="395"/>
        <v>0</v>
      </c>
      <c r="AU343" s="1120">
        <f t="shared" si="396"/>
        <v>0</v>
      </c>
      <c r="AV343" s="1120">
        <f t="shared" si="397"/>
        <v>0</v>
      </c>
      <c r="AW343" s="1120">
        <f t="shared" si="398"/>
        <v>1</v>
      </c>
      <c r="AX343" s="1120">
        <f t="shared" si="399"/>
        <v>1</v>
      </c>
      <c r="AY343" s="1120">
        <f t="shared" si="400"/>
        <v>0</v>
      </c>
      <c r="AZ343" s="1120">
        <f t="shared" si="401"/>
        <v>0</v>
      </c>
      <c r="BA343" s="1120">
        <f t="shared" si="402"/>
        <v>0</v>
      </c>
      <c r="BB343" s="1120">
        <f t="shared" si="403"/>
        <v>1</v>
      </c>
      <c r="BC343" s="1120">
        <f t="shared" si="404"/>
        <v>1</v>
      </c>
      <c r="BD343" s="1120">
        <f t="shared" si="405"/>
        <v>1</v>
      </c>
      <c r="BE343" s="1120">
        <f t="shared" si="406"/>
        <v>1</v>
      </c>
      <c r="BF343" s="1120">
        <f t="shared" si="407"/>
        <v>1</v>
      </c>
      <c r="BG343" s="1120">
        <f t="shared" si="408"/>
        <v>1</v>
      </c>
      <c r="BH343" s="1120">
        <f t="shared" si="409"/>
        <v>1</v>
      </c>
      <c r="BI343" s="1120">
        <f t="shared" si="410"/>
        <v>0</v>
      </c>
      <c r="BJ343" s="1120">
        <f t="shared" si="411"/>
        <v>0</v>
      </c>
      <c r="BK343" s="1120">
        <f t="shared" si="412"/>
        <v>1</v>
      </c>
      <c r="BL343" s="1120">
        <f t="shared" si="413"/>
        <v>1</v>
      </c>
      <c r="BM343" s="1120">
        <f t="shared" si="414"/>
        <v>1</v>
      </c>
      <c r="BN343" s="1120">
        <f t="shared" si="415"/>
        <v>1</v>
      </c>
      <c r="BO343" s="1120">
        <f t="shared" si="416"/>
        <v>0</v>
      </c>
      <c r="BP343" s="1120">
        <f t="shared" si="417"/>
        <v>0</v>
      </c>
      <c r="BQ343" s="1120">
        <f t="shared" si="418"/>
        <v>0</v>
      </c>
      <c r="BR343" s="1120">
        <f t="shared" si="419"/>
        <v>0</v>
      </c>
      <c r="BS343" s="1120">
        <f t="shared" si="420"/>
        <v>0</v>
      </c>
      <c r="BT343" s="1120">
        <f t="shared" si="421"/>
        <v>0</v>
      </c>
      <c r="BU343" s="1120">
        <f t="shared" si="422"/>
        <v>1</v>
      </c>
      <c r="BV343" s="1120">
        <f t="shared" si="423"/>
        <v>1</v>
      </c>
      <c r="BW343" s="1120">
        <f t="shared" si="424"/>
        <v>0</v>
      </c>
      <c r="BX343" s="1120">
        <f t="shared" si="425"/>
        <v>0</v>
      </c>
      <c r="BY343" s="1120">
        <f t="shared" si="426"/>
        <v>1</v>
      </c>
      <c r="BZ343" s="1120">
        <f t="shared" si="427"/>
        <v>1</v>
      </c>
      <c r="CA343" s="1120">
        <f t="shared" si="428"/>
        <v>1</v>
      </c>
      <c r="CB343" s="1120">
        <f t="shared" si="429"/>
        <v>1</v>
      </c>
      <c r="CC343" s="1120">
        <f t="shared" si="430"/>
        <v>1</v>
      </c>
      <c r="CD343" s="1120">
        <f t="shared" si="431"/>
        <v>1</v>
      </c>
      <c r="CE343" s="1120">
        <f t="shared" si="432"/>
        <v>1</v>
      </c>
      <c r="CF343" s="1120">
        <f t="shared" si="433"/>
        <v>1</v>
      </c>
      <c r="CG343" s="1120">
        <f t="shared" si="434"/>
        <v>1</v>
      </c>
      <c r="CH343" s="1120">
        <f t="shared" si="435"/>
        <v>0</v>
      </c>
      <c r="CI343" s="1120">
        <f t="shared" si="436"/>
        <v>0.85</v>
      </c>
      <c r="CJ343" s="1120">
        <f t="shared" si="437"/>
        <v>0.85</v>
      </c>
      <c r="CK343" s="1120">
        <f t="shared" si="438"/>
        <v>0.85</v>
      </c>
      <c r="CL343" s="1120">
        <f t="shared" si="439"/>
        <v>0.85</v>
      </c>
      <c r="CM343" s="1120">
        <f t="shared" si="440"/>
        <v>0.7</v>
      </c>
      <c r="CN343" s="1120">
        <f t="shared" si="441"/>
        <v>0.7</v>
      </c>
      <c r="CO343" s="1120">
        <f t="shared" si="442"/>
        <v>0.7</v>
      </c>
      <c r="CP343" s="1120">
        <f t="shared" si="443"/>
        <v>0.7</v>
      </c>
      <c r="CQ343" s="1120">
        <f t="shared" si="444"/>
        <v>0.7</v>
      </c>
      <c r="CR343" s="1120">
        <f t="shared" si="445"/>
        <v>0.7</v>
      </c>
      <c r="CS343" s="1120">
        <f t="shared" si="446"/>
        <v>0.85</v>
      </c>
      <c r="CT343" s="1120">
        <f t="shared" si="447"/>
        <v>0.85</v>
      </c>
      <c r="CU343" s="1120">
        <v>1</v>
      </c>
      <c r="CV343" s="1120"/>
      <c r="CW343" s="1120">
        <f t="shared" si="448"/>
        <v>275</v>
      </c>
      <c r="CX343" s="1120">
        <f t="shared" si="449"/>
        <v>90</v>
      </c>
      <c r="CY343" s="1135" t="s">
        <v>4883</v>
      </c>
      <c r="CZ343" s="1124" t="s">
        <v>4884</v>
      </c>
      <c r="DA343" s="1124"/>
      <c r="DB343" s="1124"/>
      <c r="DC343" s="1120" t="s">
        <v>5783</v>
      </c>
      <c r="DD343" s="1120" t="s">
        <v>228</v>
      </c>
      <c r="DE343" s="1120" t="str">
        <f t="shared" si="450"/>
        <v/>
      </c>
      <c r="DF343" s="1133">
        <v>0</v>
      </c>
      <c r="DG343" s="1125">
        <v>0</v>
      </c>
    </row>
    <row r="344" spans="1:111">
      <c r="A344" s="1120" t="s">
        <v>3473</v>
      </c>
      <c r="B344" s="1120" t="s">
        <v>4671</v>
      </c>
      <c r="C344" s="1120" t="s">
        <v>4672</v>
      </c>
      <c r="D344" s="1120" t="s">
        <v>904</v>
      </c>
      <c r="E344" s="1120">
        <v>4034</v>
      </c>
      <c r="F344" s="1120">
        <v>-105.53</v>
      </c>
      <c r="G344" s="1120">
        <v>44.35</v>
      </c>
      <c r="H344" s="1120">
        <v>-7</v>
      </c>
      <c r="I344" s="1121">
        <v>-4.3600013732910163</v>
      </c>
      <c r="J344" s="1121">
        <v>91.579997253417972</v>
      </c>
      <c r="K344" s="1122">
        <v>60.980000686645511</v>
      </c>
      <c r="L344" s="1120">
        <v>6795</v>
      </c>
      <c r="M344" s="1120">
        <v>847.80000000000007</v>
      </c>
      <c r="N344" s="1123">
        <v>23.540000343322752</v>
      </c>
      <c r="O344" s="1123">
        <v>33.080000042915344</v>
      </c>
      <c r="P344" s="1123">
        <v>29.839999914169312</v>
      </c>
      <c r="Q344" s="1123">
        <v>48.380000686645509</v>
      </c>
      <c r="R344" s="1123">
        <v>53.959999656677248</v>
      </c>
      <c r="S344" s="1123">
        <v>64.400000000000006</v>
      </c>
      <c r="T344" s="1123">
        <v>73.400000000000006</v>
      </c>
      <c r="U344" s="1123">
        <v>73.760001373291018</v>
      </c>
      <c r="V344" s="1123">
        <v>64.939998626708984</v>
      </c>
      <c r="W344" s="1123">
        <v>44.6</v>
      </c>
      <c r="X344" s="1123">
        <v>36.5</v>
      </c>
      <c r="Y344" s="1123">
        <v>30.380000042915345</v>
      </c>
      <c r="Z344" s="1123">
        <v>48.128000059846329</v>
      </c>
      <c r="AA344" s="1123">
        <f t="shared" si="376"/>
        <v>44.574778405686914</v>
      </c>
      <c r="AB344" s="1123">
        <f t="shared" si="377"/>
        <v>43.048706585767718</v>
      </c>
      <c r="AC344" s="1123">
        <f t="shared" si="378"/>
        <v>44.410623346947716</v>
      </c>
      <c r="AD344" s="1123">
        <f t="shared" si="379"/>
        <v>48.305524097652757</v>
      </c>
      <c r="AE344" s="1123">
        <f t="shared" si="380"/>
        <v>53.718142934974146</v>
      </c>
      <c r="AF344" s="1123">
        <f t="shared" si="381"/>
        <v>59.237597347982948</v>
      </c>
      <c r="AG344" s="1123">
        <f t="shared" si="382"/>
        <v>63.425156486561249</v>
      </c>
      <c r="AH344" s="1123">
        <f t="shared" si="383"/>
        <v>65.189268528998923</v>
      </c>
      <c r="AI344" s="1123">
        <f t="shared" si="384"/>
        <v>64.070090485645096</v>
      </c>
      <c r="AJ344" s="1123">
        <f t="shared" si="385"/>
        <v>60.359353360555673</v>
      </c>
      <c r="AK344" s="1123">
        <f t="shared" si="386"/>
        <v>55.024317969575243</v>
      </c>
      <c r="AL344" s="1123">
        <f t="shared" si="387"/>
        <v>49.455643502746888</v>
      </c>
      <c r="AM344" s="1120">
        <f t="shared" si="388"/>
        <v>1</v>
      </c>
      <c r="AN344" s="1120">
        <f t="shared" si="389"/>
        <v>1</v>
      </c>
      <c r="AO344" s="1120">
        <f t="shared" si="390"/>
        <v>1</v>
      </c>
      <c r="AP344" s="1120">
        <f t="shared" si="391"/>
        <v>1</v>
      </c>
      <c r="AQ344" s="1120">
        <f t="shared" si="392"/>
        <v>1</v>
      </c>
      <c r="AR344" s="1120">
        <f t="shared" si="393"/>
        <v>1</v>
      </c>
      <c r="AS344" s="1120">
        <f t="shared" si="394"/>
        <v>0</v>
      </c>
      <c r="AT344" s="1120">
        <f t="shared" si="395"/>
        <v>0</v>
      </c>
      <c r="AU344" s="1120">
        <f t="shared" si="396"/>
        <v>1</v>
      </c>
      <c r="AV344" s="1120">
        <f t="shared" si="397"/>
        <v>1</v>
      </c>
      <c r="AW344" s="1120">
        <f t="shared" si="398"/>
        <v>1</v>
      </c>
      <c r="AX344" s="1120">
        <f t="shared" si="399"/>
        <v>1</v>
      </c>
      <c r="AY344" s="1120">
        <f t="shared" si="400"/>
        <v>0</v>
      </c>
      <c r="AZ344" s="1120">
        <f t="shared" si="401"/>
        <v>0</v>
      </c>
      <c r="BA344" s="1120">
        <f t="shared" si="402"/>
        <v>0</v>
      </c>
      <c r="BB344" s="1120">
        <f t="shared" si="403"/>
        <v>0</v>
      </c>
      <c r="BC344" s="1120">
        <f t="shared" si="404"/>
        <v>0</v>
      </c>
      <c r="BD344" s="1120">
        <f t="shared" si="405"/>
        <v>0</v>
      </c>
      <c r="BE344" s="1120">
        <f t="shared" si="406"/>
        <v>1</v>
      </c>
      <c r="BF344" s="1120">
        <f t="shared" si="407"/>
        <v>1</v>
      </c>
      <c r="BG344" s="1120">
        <f t="shared" si="408"/>
        <v>0</v>
      </c>
      <c r="BH344" s="1120">
        <f t="shared" si="409"/>
        <v>0</v>
      </c>
      <c r="BI344" s="1120">
        <f t="shared" si="410"/>
        <v>0</v>
      </c>
      <c r="BJ344" s="1120">
        <f t="shared" si="411"/>
        <v>0</v>
      </c>
      <c r="BK344" s="1120">
        <f t="shared" si="412"/>
        <v>1</v>
      </c>
      <c r="BL344" s="1120">
        <f t="shared" si="413"/>
        <v>1</v>
      </c>
      <c r="BM344" s="1120">
        <f t="shared" si="414"/>
        <v>1</v>
      </c>
      <c r="BN344" s="1120">
        <f t="shared" si="415"/>
        <v>1</v>
      </c>
      <c r="BO344" s="1120">
        <f t="shared" si="416"/>
        <v>1</v>
      </c>
      <c r="BP344" s="1120">
        <f t="shared" si="417"/>
        <v>1</v>
      </c>
      <c r="BQ344" s="1120">
        <f t="shared" si="418"/>
        <v>1</v>
      </c>
      <c r="BR344" s="1120">
        <f t="shared" si="419"/>
        <v>0</v>
      </c>
      <c r="BS344" s="1120">
        <f t="shared" si="420"/>
        <v>1</v>
      </c>
      <c r="BT344" s="1120">
        <f t="shared" si="421"/>
        <v>1</v>
      </c>
      <c r="BU344" s="1120">
        <f t="shared" si="422"/>
        <v>1</v>
      </c>
      <c r="BV344" s="1120">
        <f t="shared" si="423"/>
        <v>1</v>
      </c>
      <c r="BW344" s="1120">
        <f t="shared" si="424"/>
        <v>0</v>
      </c>
      <c r="BX344" s="1120">
        <f t="shared" si="425"/>
        <v>0</v>
      </c>
      <c r="BY344" s="1120">
        <f t="shared" si="426"/>
        <v>0</v>
      </c>
      <c r="BZ344" s="1120">
        <f t="shared" si="427"/>
        <v>0</v>
      </c>
      <c r="CA344" s="1120">
        <f t="shared" si="428"/>
        <v>0</v>
      </c>
      <c r="CB344" s="1120">
        <f t="shared" si="429"/>
        <v>1</v>
      </c>
      <c r="CC344" s="1120">
        <f t="shared" si="430"/>
        <v>1</v>
      </c>
      <c r="CD344" s="1120">
        <f t="shared" si="431"/>
        <v>1</v>
      </c>
      <c r="CE344" s="1120">
        <f t="shared" si="432"/>
        <v>1</v>
      </c>
      <c r="CF344" s="1120">
        <f t="shared" si="433"/>
        <v>0</v>
      </c>
      <c r="CG344" s="1120">
        <f t="shared" si="434"/>
        <v>0</v>
      </c>
      <c r="CH344" s="1120">
        <f t="shared" si="435"/>
        <v>0</v>
      </c>
      <c r="CI344" s="1120">
        <f t="shared" si="436"/>
        <v>0.85</v>
      </c>
      <c r="CJ344" s="1120">
        <f t="shared" si="437"/>
        <v>0.85</v>
      </c>
      <c r="CK344" s="1120">
        <f t="shared" si="438"/>
        <v>0.85</v>
      </c>
      <c r="CL344" s="1120">
        <f t="shared" si="439"/>
        <v>0.85</v>
      </c>
      <c r="CM344" s="1120">
        <f t="shared" si="440"/>
        <v>0.85</v>
      </c>
      <c r="CN344" s="1120">
        <f t="shared" si="441"/>
        <v>0.85</v>
      </c>
      <c r="CO344" s="1120">
        <f t="shared" si="442"/>
        <v>0.85</v>
      </c>
      <c r="CP344" s="1120">
        <f t="shared" si="443"/>
        <v>0.7</v>
      </c>
      <c r="CQ344" s="1120">
        <f t="shared" si="444"/>
        <v>0.85</v>
      </c>
      <c r="CR344" s="1120">
        <f t="shared" si="445"/>
        <v>0.85</v>
      </c>
      <c r="CS344" s="1120">
        <f t="shared" si="446"/>
        <v>0.85</v>
      </c>
      <c r="CT344" s="1120">
        <f t="shared" si="447"/>
        <v>0.85</v>
      </c>
      <c r="CU344" s="1120">
        <v>1</v>
      </c>
      <c r="CV344" s="1120"/>
      <c r="CW344" s="1120">
        <f t="shared" si="448"/>
        <v>122</v>
      </c>
      <c r="CX344" s="1120">
        <f t="shared" si="449"/>
        <v>243</v>
      </c>
      <c r="CY344" s="1136" t="s">
        <v>4889</v>
      </c>
      <c r="CZ344" s="1129" t="s">
        <v>4896</v>
      </c>
      <c r="DA344" s="1129"/>
      <c r="DB344" s="1129"/>
      <c r="DC344" s="1125" t="s">
        <v>6057</v>
      </c>
      <c r="DD344" s="1125" t="s">
        <v>904</v>
      </c>
      <c r="DE344" s="1120" t="str">
        <f t="shared" si="450"/>
        <v/>
      </c>
      <c r="DF344" s="1133">
        <v>0</v>
      </c>
      <c r="DG344" s="1120">
        <v>0</v>
      </c>
    </row>
    <row r="345" spans="1:111">
      <c r="A345" s="1125" t="s">
        <v>3475</v>
      </c>
      <c r="B345" s="1125" t="s">
        <v>3904</v>
      </c>
      <c r="C345" s="1125" t="s">
        <v>3905</v>
      </c>
      <c r="D345" s="1125" t="s">
        <v>1108</v>
      </c>
      <c r="E345" s="1125">
        <v>2293</v>
      </c>
      <c r="F345" s="1125">
        <v>-106.62</v>
      </c>
      <c r="G345" s="1125">
        <v>48.22</v>
      </c>
      <c r="H345" s="1125">
        <v>-7</v>
      </c>
      <c r="I345" s="1126">
        <v>-16.780000686645508</v>
      </c>
      <c r="J345" s="1126">
        <v>91.4</v>
      </c>
      <c r="K345" s="1127">
        <v>63.86000137329102</v>
      </c>
      <c r="L345" s="1125">
        <v>7990.2</v>
      </c>
      <c r="M345" s="1125">
        <v>595.80000000000007</v>
      </c>
      <c r="N345" s="1128">
        <v>8.4199993133544915</v>
      </c>
      <c r="O345" s="1128">
        <v>22.1</v>
      </c>
      <c r="P345" s="1128">
        <v>33.259999978542325</v>
      </c>
      <c r="Q345" s="1128">
        <v>44.779999828338624</v>
      </c>
      <c r="R345" s="1128">
        <v>58.819999313354494</v>
      </c>
      <c r="S345" s="1128">
        <v>65.119999313354498</v>
      </c>
      <c r="T345" s="1128">
        <v>71.960001373291021</v>
      </c>
      <c r="U345" s="1128">
        <v>69.980000686645511</v>
      </c>
      <c r="V345" s="1128">
        <v>57.740000343322755</v>
      </c>
      <c r="W345" s="1128">
        <v>44.779999828338624</v>
      </c>
      <c r="X345" s="1128">
        <v>33.080000042915344</v>
      </c>
      <c r="Y345" s="1128">
        <v>18.320000171661377</v>
      </c>
      <c r="Z345" s="1128">
        <v>44.142849332763724</v>
      </c>
      <c r="AA345" s="1128">
        <f t="shared" si="376"/>
        <v>39.615982385753796</v>
      </c>
      <c r="AB345" s="1128">
        <f t="shared" si="377"/>
        <v>37.433991746861345</v>
      </c>
      <c r="AC345" s="1128">
        <f t="shared" si="378"/>
        <v>38.564760687158056</v>
      </c>
      <c r="AD345" s="1128">
        <f t="shared" si="379"/>
        <v>42.713536856678758</v>
      </c>
      <c r="AE345" s="1128">
        <f t="shared" si="380"/>
        <v>48.798877812261821</v>
      </c>
      <c r="AF345" s="1128">
        <f t="shared" si="381"/>
        <v>55.234545655891758</v>
      </c>
      <c r="AG345" s="1128">
        <f t="shared" si="382"/>
        <v>60.342984387482907</v>
      </c>
      <c r="AH345" s="1128">
        <f t="shared" si="383"/>
        <v>62.79260072822224</v>
      </c>
      <c r="AI345" s="1128">
        <f t="shared" si="384"/>
        <v>61.944864429165563</v>
      </c>
      <c r="AJ345" s="1128">
        <f t="shared" si="385"/>
        <v>58.020751020673821</v>
      </c>
      <c r="AK345" s="1128">
        <f t="shared" si="386"/>
        <v>52.043141135088497</v>
      </c>
      <c r="AL345" s="1128">
        <f t="shared" si="387"/>
        <v>45.570190906844097</v>
      </c>
      <c r="AM345" s="1125">
        <f t="shared" si="388"/>
        <v>1</v>
      </c>
      <c r="AN345" s="1125">
        <f t="shared" si="389"/>
        <v>1</v>
      </c>
      <c r="AO345" s="1125">
        <f t="shared" si="390"/>
        <v>1</v>
      </c>
      <c r="AP345" s="1125">
        <f t="shared" si="391"/>
        <v>1</v>
      </c>
      <c r="AQ345" s="1125">
        <f t="shared" si="392"/>
        <v>1</v>
      </c>
      <c r="AR345" s="1125">
        <f t="shared" si="393"/>
        <v>1</v>
      </c>
      <c r="AS345" s="1125">
        <f t="shared" si="394"/>
        <v>0</v>
      </c>
      <c r="AT345" s="1125">
        <f t="shared" si="395"/>
        <v>0</v>
      </c>
      <c r="AU345" s="1125">
        <f t="shared" si="396"/>
        <v>1</v>
      </c>
      <c r="AV345" s="1125">
        <f t="shared" si="397"/>
        <v>1</v>
      </c>
      <c r="AW345" s="1125">
        <f t="shared" si="398"/>
        <v>1</v>
      </c>
      <c r="AX345" s="1125">
        <f t="shared" si="399"/>
        <v>1</v>
      </c>
      <c r="AY345" s="1125">
        <f t="shared" si="400"/>
        <v>0</v>
      </c>
      <c r="AZ345" s="1125">
        <f t="shared" si="401"/>
        <v>0</v>
      </c>
      <c r="BA345" s="1125">
        <f t="shared" si="402"/>
        <v>0</v>
      </c>
      <c r="BB345" s="1125">
        <f t="shared" si="403"/>
        <v>0</v>
      </c>
      <c r="BC345" s="1125">
        <f t="shared" si="404"/>
        <v>0</v>
      </c>
      <c r="BD345" s="1125">
        <f t="shared" si="405"/>
        <v>0</v>
      </c>
      <c r="BE345" s="1125">
        <f t="shared" si="406"/>
        <v>1</v>
      </c>
      <c r="BF345" s="1125">
        <f t="shared" si="407"/>
        <v>1</v>
      </c>
      <c r="BG345" s="1125">
        <f t="shared" si="408"/>
        <v>0</v>
      </c>
      <c r="BH345" s="1125">
        <f t="shared" si="409"/>
        <v>0</v>
      </c>
      <c r="BI345" s="1125">
        <f t="shared" si="410"/>
        <v>0</v>
      </c>
      <c r="BJ345" s="1125">
        <f t="shared" si="411"/>
        <v>0</v>
      </c>
      <c r="BK345" s="1125">
        <f t="shared" si="412"/>
        <v>1</v>
      </c>
      <c r="BL345" s="1125">
        <f t="shared" si="413"/>
        <v>1</v>
      </c>
      <c r="BM345" s="1125">
        <f t="shared" si="414"/>
        <v>1</v>
      </c>
      <c r="BN345" s="1125">
        <f t="shared" si="415"/>
        <v>1</v>
      </c>
      <c r="BO345" s="1125">
        <f t="shared" si="416"/>
        <v>1</v>
      </c>
      <c r="BP345" s="1125">
        <f t="shared" si="417"/>
        <v>1</v>
      </c>
      <c r="BQ345" s="1125">
        <f t="shared" si="418"/>
        <v>1</v>
      </c>
      <c r="BR345" s="1125">
        <f t="shared" si="419"/>
        <v>0</v>
      </c>
      <c r="BS345" s="1125">
        <f t="shared" si="420"/>
        <v>1</v>
      </c>
      <c r="BT345" s="1125">
        <f t="shared" si="421"/>
        <v>1</v>
      </c>
      <c r="BU345" s="1125">
        <f t="shared" si="422"/>
        <v>1</v>
      </c>
      <c r="BV345" s="1125">
        <f t="shared" si="423"/>
        <v>1</v>
      </c>
      <c r="BW345" s="1125">
        <f t="shared" si="424"/>
        <v>0</v>
      </c>
      <c r="BX345" s="1125">
        <f t="shared" si="425"/>
        <v>0</v>
      </c>
      <c r="BY345" s="1125">
        <f t="shared" si="426"/>
        <v>0</v>
      </c>
      <c r="BZ345" s="1125">
        <f t="shared" si="427"/>
        <v>0</v>
      </c>
      <c r="CA345" s="1125">
        <f t="shared" si="428"/>
        <v>0</v>
      </c>
      <c r="CB345" s="1125">
        <f t="shared" si="429"/>
        <v>1</v>
      </c>
      <c r="CC345" s="1125">
        <f t="shared" si="430"/>
        <v>1</v>
      </c>
      <c r="CD345" s="1125">
        <f t="shared" si="431"/>
        <v>1</v>
      </c>
      <c r="CE345" s="1125">
        <f t="shared" si="432"/>
        <v>1</v>
      </c>
      <c r="CF345" s="1125">
        <f t="shared" si="433"/>
        <v>0</v>
      </c>
      <c r="CG345" s="1125">
        <f t="shared" si="434"/>
        <v>0</v>
      </c>
      <c r="CH345" s="1125">
        <f t="shared" si="435"/>
        <v>0</v>
      </c>
      <c r="CI345" s="1125">
        <f t="shared" si="436"/>
        <v>0.85</v>
      </c>
      <c r="CJ345" s="1125">
        <f t="shared" si="437"/>
        <v>0.85</v>
      </c>
      <c r="CK345" s="1125">
        <f t="shared" si="438"/>
        <v>0.85</v>
      </c>
      <c r="CL345" s="1125">
        <f t="shared" si="439"/>
        <v>0.85</v>
      </c>
      <c r="CM345" s="1125">
        <f t="shared" si="440"/>
        <v>0.85</v>
      </c>
      <c r="CN345" s="1125">
        <f t="shared" si="441"/>
        <v>0.85</v>
      </c>
      <c r="CO345" s="1125">
        <f t="shared" si="442"/>
        <v>0.85</v>
      </c>
      <c r="CP345" s="1125">
        <f t="shared" si="443"/>
        <v>0.7</v>
      </c>
      <c r="CQ345" s="1125">
        <f t="shared" si="444"/>
        <v>0.85</v>
      </c>
      <c r="CR345" s="1125">
        <f t="shared" si="445"/>
        <v>0.85</v>
      </c>
      <c r="CS345" s="1125">
        <f t="shared" si="446"/>
        <v>0.85</v>
      </c>
      <c r="CT345" s="1125">
        <f t="shared" si="447"/>
        <v>0.85</v>
      </c>
      <c r="CU345" s="1125">
        <v>1</v>
      </c>
      <c r="CV345" s="1125"/>
      <c r="CW345" s="1125">
        <f t="shared" si="448"/>
        <v>122</v>
      </c>
      <c r="CX345" s="1125">
        <f t="shared" si="449"/>
        <v>243</v>
      </c>
      <c r="CY345" s="1136" t="s">
        <v>4889</v>
      </c>
      <c r="CZ345" s="1129" t="s">
        <v>4896</v>
      </c>
      <c r="DA345" s="1129"/>
      <c r="DB345" s="1129"/>
      <c r="DC345" s="1125" t="s">
        <v>5376</v>
      </c>
      <c r="DD345" s="1125" t="s">
        <v>1108</v>
      </c>
      <c r="DE345" s="1120" t="str">
        <f t="shared" si="450"/>
        <v/>
      </c>
      <c r="DF345" s="1133">
        <v>0</v>
      </c>
      <c r="DG345" s="1125">
        <v>0</v>
      </c>
    </row>
    <row r="346" spans="1:111">
      <c r="A346" s="1120" t="s">
        <v>3477</v>
      </c>
      <c r="B346" s="1120" t="s">
        <v>3906</v>
      </c>
      <c r="C346" s="1120" t="s">
        <v>3907</v>
      </c>
      <c r="D346" s="1120" t="s">
        <v>1108</v>
      </c>
      <c r="E346" s="1120">
        <v>2457</v>
      </c>
      <c r="F346" s="1120">
        <v>-104.8</v>
      </c>
      <c r="G346" s="1120">
        <v>47.13</v>
      </c>
      <c r="H346" s="1120">
        <v>-7</v>
      </c>
      <c r="I346" s="1121">
        <v>-11.919999313354493</v>
      </c>
      <c r="J346" s="1121">
        <v>90.860001373291013</v>
      </c>
      <c r="K346" s="1122">
        <v>64.400000000000006</v>
      </c>
      <c r="L346" s="1120">
        <v>8508.6</v>
      </c>
      <c r="M346" s="1120">
        <v>651.6</v>
      </c>
      <c r="N346" s="1123">
        <v>18.320000171661377</v>
      </c>
      <c r="O346" s="1123">
        <v>27.320000171661377</v>
      </c>
      <c r="P346" s="1123">
        <v>19.399999999999999</v>
      </c>
      <c r="Q346" s="1123">
        <v>46.040000343322752</v>
      </c>
      <c r="R346" s="1123">
        <v>53.780000686645508</v>
      </c>
      <c r="S346" s="1123">
        <v>61.880000686645509</v>
      </c>
      <c r="T346" s="1123">
        <v>74.83999862670899</v>
      </c>
      <c r="U346" s="1123">
        <v>69.8</v>
      </c>
      <c r="V346" s="1123">
        <v>57.380000686645509</v>
      </c>
      <c r="W346" s="1123">
        <v>35.960000085830686</v>
      </c>
      <c r="X346" s="1123">
        <v>33.080000042915344</v>
      </c>
      <c r="Y346" s="1123">
        <v>15.980000686645507</v>
      </c>
      <c r="Z346" s="1123">
        <v>42.868054974177113</v>
      </c>
      <c r="AA346" s="1123">
        <f t="shared" si="376"/>
        <v>39.570136563307429</v>
      </c>
      <c r="AB346" s="1123">
        <f t="shared" si="377"/>
        <v>37.492815794402603</v>
      </c>
      <c r="AC346" s="1123">
        <f t="shared" si="378"/>
        <v>38.380626415447978</v>
      </c>
      <c r="AD346" s="1123">
        <f t="shared" si="379"/>
        <v>42.002146906492271</v>
      </c>
      <c r="AE346" s="1123">
        <f t="shared" si="380"/>
        <v>47.413372142224695</v>
      </c>
      <c r="AF346" s="1123">
        <f t="shared" si="381"/>
        <v>53.203782875446521</v>
      </c>
      <c r="AG346" s="1123">
        <f t="shared" si="382"/>
        <v>57.864019315613021</v>
      </c>
      <c r="AH346" s="1123">
        <f t="shared" si="383"/>
        <v>60.179319018177402</v>
      </c>
      <c r="AI346" s="1123">
        <f t="shared" si="384"/>
        <v>59.546163435817817</v>
      </c>
      <c r="AJ346" s="1123">
        <f t="shared" si="385"/>
        <v>56.129594328299149</v>
      </c>
      <c r="AK346" s="1123">
        <f t="shared" si="386"/>
        <v>50.820193084419849</v>
      </c>
      <c r="AL346" s="1123">
        <f t="shared" si="387"/>
        <v>45.001936958746874</v>
      </c>
      <c r="AM346" s="1120">
        <f t="shared" si="388"/>
        <v>1</v>
      </c>
      <c r="AN346" s="1120">
        <f t="shared" si="389"/>
        <v>1</v>
      </c>
      <c r="AO346" s="1120">
        <f t="shared" si="390"/>
        <v>1</v>
      </c>
      <c r="AP346" s="1120">
        <f t="shared" si="391"/>
        <v>1</v>
      </c>
      <c r="AQ346" s="1120">
        <f t="shared" si="392"/>
        <v>1</v>
      </c>
      <c r="AR346" s="1120">
        <f t="shared" si="393"/>
        <v>1</v>
      </c>
      <c r="AS346" s="1120">
        <f t="shared" si="394"/>
        <v>0</v>
      </c>
      <c r="AT346" s="1120">
        <f t="shared" si="395"/>
        <v>0</v>
      </c>
      <c r="AU346" s="1120">
        <f t="shared" si="396"/>
        <v>1</v>
      </c>
      <c r="AV346" s="1120">
        <f t="shared" si="397"/>
        <v>1</v>
      </c>
      <c r="AW346" s="1120">
        <f t="shared" si="398"/>
        <v>1</v>
      </c>
      <c r="AX346" s="1120">
        <f t="shared" si="399"/>
        <v>1</v>
      </c>
      <c r="AY346" s="1120">
        <f t="shared" si="400"/>
        <v>0</v>
      </c>
      <c r="AZ346" s="1120">
        <f t="shared" si="401"/>
        <v>0</v>
      </c>
      <c r="BA346" s="1120">
        <f t="shared" si="402"/>
        <v>0</v>
      </c>
      <c r="BB346" s="1120">
        <f t="shared" si="403"/>
        <v>0</v>
      </c>
      <c r="BC346" s="1120">
        <f t="shared" si="404"/>
        <v>0</v>
      </c>
      <c r="BD346" s="1120">
        <f t="shared" si="405"/>
        <v>0</v>
      </c>
      <c r="BE346" s="1120">
        <f t="shared" si="406"/>
        <v>1</v>
      </c>
      <c r="BF346" s="1120">
        <f t="shared" si="407"/>
        <v>1</v>
      </c>
      <c r="BG346" s="1120">
        <f t="shared" si="408"/>
        <v>0</v>
      </c>
      <c r="BH346" s="1120">
        <f t="shared" si="409"/>
        <v>0</v>
      </c>
      <c r="BI346" s="1120">
        <f t="shared" si="410"/>
        <v>0</v>
      </c>
      <c r="BJ346" s="1120">
        <f t="shared" si="411"/>
        <v>0</v>
      </c>
      <c r="BK346" s="1120">
        <f t="shared" si="412"/>
        <v>1</v>
      </c>
      <c r="BL346" s="1120">
        <f t="shared" si="413"/>
        <v>1</v>
      </c>
      <c r="BM346" s="1120">
        <f t="shared" si="414"/>
        <v>1</v>
      </c>
      <c r="BN346" s="1120">
        <f t="shared" si="415"/>
        <v>1</v>
      </c>
      <c r="BO346" s="1120">
        <f t="shared" si="416"/>
        <v>1</v>
      </c>
      <c r="BP346" s="1120">
        <f t="shared" si="417"/>
        <v>1</v>
      </c>
      <c r="BQ346" s="1120">
        <f t="shared" si="418"/>
        <v>1</v>
      </c>
      <c r="BR346" s="1120">
        <f t="shared" si="419"/>
        <v>0</v>
      </c>
      <c r="BS346" s="1120">
        <f t="shared" si="420"/>
        <v>1</v>
      </c>
      <c r="BT346" s="1120">
        <f t="shared" si="421"/>
        <v>1</v>
      </c>
      <c r="BU346" s="1120">
        <f t="shared" si="422"/>
        <v>1</v>
      </c>
      <c r="BV346" s="1120">
        <f t="shared" si="423"/>
        <v>1</v>
      </c>
      <c r="BW346" s="1120">
        <f t="shared" si="424"/>
        <v>0</v>
      </c>
      <c r="BX346" s="1120">
        <f t="shared" si="425"/>
        <v>0</v>
      </c>
      <c r="BY346" s="1120">
        <f t="shared" si="426"/>
        <v>0</v>
      </c>
      <c r="BZ346" s="1120">
        <f t="shared" si="427"/>
        <v>0</v>
      </c>
      <c r="CA346" s="1120">
        <f t="shared" si="428"/>
        <v>0</v>
      </c>
      <c r="CB346" s="1120">
        <f t="shared" si="429"/>
        <v>1</v>
      </c>
      <c r="CC346" s="1120">
        <f t="shared" si="430"/>
        <v>1</v>
      </c>
      <c r="CD346" s="1120">
        <f t="shared" si="431"/>
        <v>1</v>
      </c>
      <c r="CE346" s="1120">
        <f t="shared" si="432"/>
        <v>1</v>
      </c>
      <c r="CF346" s="1120">
        <f t="shared" si="433"/>
        <v>0</v>
      </c>
      <c r="CG346" s="1120">
        <f t="shared" si="434"/>
        <v>0</v>
      </c>
      <c r="CH346" s="1120">
        <f t="shared" si="435"/>
        <v>0</v>
      </c>
      <c r="CI346" s="1120">
        <f t="shared" si="436"/>
        <v>0.85</v>
      </c>
      <c r="CJ346" s="1120">
        <f t="shared" si="437"/>
        <v>0.85</v>
      </c>
      <c r="CK346" s="1120">
        <f t="shared" si="438"/>
        <v>0.85</v>
      </c>
      <c r="CL346" s="1120">
        <f t="shared" si="439"/>
        <v>0.85</v>
      </c>
      <c r="CM346" s="1120">
        <f t="shared" si="440"/>
        <v>0.85</v>
      </c>
      <c r="CN346" s="1120">
        <f t="shared" si="441"/>
        <v>0.85</v>
      </c>
      <c r="CO346" s="1120">
        <f t="shared" si="442"/>
        <v>0.85</v>
      </c>
      <c r="CP346" s="1120">
        <f t="shared" si="443"/>
        <v>0.7</v>
      </c>
      <c r="CQ346" s="1120">
        <f t="shared" si="444"/>
        <v>0.85</v>
      </c>
      <c r="CR346" s="1120">
        <f t="shared" si="445"/>
        <v>0.85</v>
      </c>
      <c r="CS346" s="1120">
        <f t="shared" si="446"/>
        <v>0.85</v>
      </c>
      <c r="CT346" s="1120">
        <f t="shared" si="447"/>
        <v>0.85</v>
      </c>
      <c r="CU346" s="1120">
        <v>1</v>
      </c>
      <c r="CV346" s="1120"/>
      <c r="CW346" s="1120">
        <f t="shared" si="448"/>
        <v>122</v>
      </c>
      <c r="CX346" s="1120">
        <f t="shared" si="449"/>
        <v>243</v>
      </c>
      <c r="CY346" s="1135" t="s">
        <v>4889</v>
      </c>
      <c r="CZ346" s="1124" t="s">
        <v>4896</v>
      </c>
      <c r="DA346" s="1124"/>
      <c r="DB346" s="1124"/>
      <c r="DC346" s="1120" t="s">
        <v>5769</v>
      </c>
      <c r="DD346" s="1120" t="s">
        <v>1108</v>
      </c>
      <c r="DE346" s="1120" t="b">
        <f t="shared" si="450"/>
        <v>0</v>
      </c>
      <c r="DF346" s="1133">
        <v>0</v>
      </c>
      <c r="DG346" s="1120">
        <v>0</v>
      </c>
    </row>
    <row r="347" spans="1:111">
      <c r="A347" s="1125" t="s">
        <v>5840</v>
      </c>
      <c r="B347" s="1125" t="s">
        <v>4128</v>
      </c>
      <c r="C347" s="1125" t="s">
        <v>4129</v>
      </c>
      <c r="D347" s="1125" t="s">
        <v>537</v>
      </c>
      <c r="E347" s="1125">
        <v>321</v>
      </c>
      <c r="F347" s="1125">
        <v>-73.62</v>
      </c>
      <c r="G347" s="1125">
        <v>43.35</v>
      </c>
      <c r="H347" s="1125">
        <v>-5</v>
      </c>
      <c r="I347" s="1126">
        <v>-3.4600013732910164</v>
      </c>
      <c r="J347" s="1126">
        <v>85.1</v>
      </c>
      <c r="K347" s="1127">
        <v>70.7</v>
      </c>
      <c r="L347" s="1125">
        <v>6858</v>
      </c>
      <c r="M347" s="1125">
        <v>514.80000000000007</v>
      </c>
      <c r="N347" s="1128">
        <v>19.759999656677245</v>
      </c>
      <c r="O347" s="1128">
        <v>15.259999656677246</v>
      </c>
      <c r="P347" s="1128">
        <v>36.679999828338623</v>
      </c>
      <c r="Q347" s="1128">
        <v>49.459999656677248</v>
      </c>
      <c r="R347" s="1128">
        <v>53.240000343322755</v>
      </c>
      <c r="S347" s="1128">
        <v>65.83999862670899</v>
      </c>
      <c r="T347" s="1128">
        <v>71.960001373291021</v>
      </c>
      <c r="U347" s="1128">
        <v>68</v>
      </c>
      <c r="V347" s="1128">
        <v>63.319999313354494</v>
      </c>
      <c r="W347" s="1128">
        <v>47.659999656677243</v>
      </c>
      <c r="X347" s="1128">
        <v>41.359999656677246</v>
      </c>
      <c r="Y347" s="1128">
        <v>29.660000085830688</v>
      </c>
      <c r="Z347" s="1128">
        <v>47.020383389747309</v>
      </c>
      <c r="AA347" s="1128">
        <f t="shared" si="376"/>
        <v>42.624895813678336</v>
      </c>
      <c r="AB347" s="1128">
        <f t="shared" si="377"/>
        <v>40.831180953128346</v>
      </c>
      <c r="AC347" s="1128">
        <f t="shared" si="378"/>
        <v>42.214769548978545</v>
      </c>
      <c r="AD347" s="1128">
        <f t="shared" si="379"/>
        <v>46.415007911974911</v>
      </c>
      <c r="AE347" s="1128">
        <f t="shared" si="380"/>
        <v>52.337039185169978</v>
      </c>
      <c r="AF347" s="1128">
        <f t="shared" si="381"/>
        <v>58.437194655941084</v>
      </c>
      <c r="AG347" s="1128">
        <f t="shared" si="382"/>
        <v>63.125374794590385</v>
      </c>
      <c r="AH347" s="1128">
        <f t="shared" si="383"/>
        <v>65.179533200936106</v>
      </c>
      <c r="AI347" s="1128">
        <f t="shared" si="384"/>
        <v>64.064221830824977</v>
      </c>
      <c r="AJ347" s="1128">
        <f t="shared" si="385"/>
        <v>60.070163780344963</v>
      </c>
      <c r="AK347" s="1128">
        <f t="shared" si="386"/>
        <v>54.238471830651335</v>
      </c>
      <c r="AL347" s="1128">
        <f t="shared" si="387"/>
        <v>48.089266357524991</v>
      </c>
      <c r="AM347" s="1125">
        <f t="shared" si="388"/>
        <v>1</v>
      </c>
      <c r="AN347" s="1125">
        <f t="shared" si="389"/>
        <v>1</v>
      </c>
      <c r="AO347" s="1125">
        <f t="shared" si="390"/>
        <v>1</v>
      </c>
      <c r="AP347" s="1125">
        <f t="shared" si="391"/>
        <v>1</v>
      </c>
      <c r="AQ347" s="1125">
        <f t="shared" si="392"/>
        <v>1</v>
      </c>
      <c r="AR347" s="1125">
        <f t="shared" si="393"/>
        <v>1</v>
      </c>
      <c r="AS347" s="1125">
        <f t="shared" si="394"/>
        <v>0</v>
      </c>
      <c r="AT347" s="1125">
        <f t="shared" si="395"/>
        <v>0</v>
      </c>
      <c r="AU347" s="1125">
        <f t="shared" si="396"/>
        <v>1</v>
      </c>
      <c r="AV347" s="1125">
        <f t="shared" si="397"/>
        <v>1</v>
      </c>
      <c r="AW347" s="1125">
        <f t="shared" si="398"/>
        <v>1</v>
      </c>
      <c r="AX347" s="1125">
        <f t="shared" si="399"/>
        <v>1</v>
      </c>
      <c r="AY347" s="1125">
        <f t="shared" si="400"/>
        <v>0</v>
      </c>
      <c r="AZ347" s="1125">
        <f t="shared" si="401"/>
        <v>0</v>
      </c>
      <c r="BA347" s="1125">
        <f t="shared" si="402"/>
        <v>0</v>
      </c>
      <c r="BB347" s="1125">
        <f t="shared" si="403"/>
        <v>0</v>
      </c>
      <c r="BC347" s="1125">
        <f t="shared" si="404"/>
        <v>0</v>
      </c>
      <c r="BD347" s="1125">
        <f t="shared" si="405"/>
        <v>0</v>
      </c>
      <c r="BE347" s="1125">
        <f t="shared" si="406"/>
        <v>1</v>
      </c>
      <c r="BF347" s="1125">
        <f t="shared" si="407"/>
        <v>1</v>
      </c>
      <c r="BG347" s="1125">
        <f t="shared" si="408"/>
        <v>0</v>
      </c>
      <c r="BH347" s="1125">
        <f t="shared" si="409"/>
        <v>0</v>
      </c>
      <c r="BI347" s="1125">
        <f t="shared" si="410"/>
        <v>0</v>
      </c>
      <c r="BJ347" s="1125">
        <f t="shared" si="411"/>
        <v>0</v>
      </c>
      <c r="BK347" s="1125">
        <f t="shared" si="412"/>
        <v>1</v>
      </c>
      <c r="BL347" s="1125">
        <f t="shared" si="413"/>
        <v>1</v>
      </c>
      <c r="BM347" s="1125">
        <f t="shared" si="414"/>
        <v>1</v>
      </c>
      <c r="BN347" s="1125">
        <f t="shared" si="415"/>
        <v>1</v>
      </c>
      <c r="BO347" s="1125">
        <f t="shared" si="416"/>
        <v>1</v>
      </c>
      <c r="BP347" s="1125">
        <f t="shared" si="417"/>
        <v>1</v>
      </c>
      <c r="BQ347" s="1125">
        <f t="shared" si="418"/>
        <v>1</v>
      </c>
      <c r="BR347" s="1125">
        <f t="shared" si="419"/>
        <v>0</v>
      </c>
      <c r="BS347" s="1125">
        <f t="shared" si="420"/>
        <v>1</v>
      </c>
      <c r="BT347" s="1125">
        <f t="shared" si="421"/>
        <v>1</v>
      </c>
      <c r="BU347" s="1125">
        <f t="shared" si="422"/>
        <v>1</v>
      </c>
      <c r="BV347" s="1125">
        <f t="shared" si="423"/>
        <v>1</v>
      </c>
      <c r="BW347" s="1125">
        <f t="shared" si="424"/>
        <v>0</v>
      </c>
      <c r="BX347" s="1125">
        <f t="shared" si="425"/>
        <v>0</v>
      </c>
      <c r="BY347" s="1125">
        <f t="shared" si="426"/>
        <v>0</v>
      </c>
      <c r="BZ347" s="1125">
        <f t="shared" si="427"/>
        <v>0</v>
      </c>
      <c r="CA347" s="1125">
        <f t="shared" si="428"/>
        <v>0</v>
      </c>
      <c r="CB347" s="1125">
        <f t="shared" si="429"/>
        <v>1</v>
      </c>
      <c r="CC347" s="1125">
        <f t="shared" si="430"/>
        <v>1</v>
      </c>
      <c r="CD347" s="1125">
        <f t="shared" si="431"/>
        <v>1</v>
      </c>
      <c r="CE347" s="1125">
        <f t="shared" si="432"/>
        <v>1</v>
      </c>
      <c r="CF347" s="1125">
        <f t="shared" si="433"/>
        <v>0</v>
      </c>
      <c r="CG347" s="1125">
        <f t="shared" si="434"/>
        <v>0</v>
      </c>
      <c r="CH347" s="1125">
        <f t="shared" si="435"/>
        <v>0</v>
      </c>
      <c r="CI347" s="1125">
        <f t="shared" si="436"/>
        <v>0.85</v>
      </c>
      <c r="CJ347" s="1125">
        <f t="shared" si="437"/>
        <v>0.85</v>
      </c>
      <c r="CK347" s="1125">
        <f t="shared" si="438"/>
        <v>0.85</v>
      </c>
      <c r="CL347" s="1125">
        <f t="shared" si="439"/>
        <v>0.85</v>
      </c>
      <c r="CM347" s="1125">
        <f t="shared" si="440"/>
        <v>0.85</v>
      </c>
      <c r="CN347" s="1125">
        <f t="shared" si="441"/>
        <v>0.85</v>
      </c>
      <c r="CO347" s="1125">
        <f t="shared" si="442"/>
        <v>0.85</v>
      </c>
      <c r="CP347" s="1125">
        <f t="shared" si="443"/>
        <v>0.7</v>
      </c>
      <c r="CQ347" s="1125">
        <f t="shared" si="444"/>
        <v>0.85</v>
      </c>
      <c r="CR347" s="1125">
        <f t="shared" si="445"/>
        <v>0.85</v>
      </c>
      <c r="CS347" s="1125">
        <f t="shared" si="446"/>
        <v>0.85</v>
      </c>
      <c r="CT347" s="1125">
        <f t="shared" si="447"/>
        <v>0.85</v>
      </c>
      <c r="CU347" s="1125">
        <v>1</v>
      </c>
      <c r="CV347" s="1125"/>
      <c r="CW347" s="1125">
        <f t="shared" si="448"/>
        <v>122</v>
      </c>
      <c r="CX347" s="1125">
        <f t="shared" si="449"/>
        <v>243</v>
      </c>
      <c r="CY347" s="1136" t="s">
        <v>4889</v>
      </c>
      <c r="CZ347" s="1129" t="s">
        <v>4899</v>
      </c>
      <c r="DA347" s="1129"/>
      <c r="DB347" s="1129"/>
      <c r="DC347" s="1125" t="s">
        <v>5475</v>
      </c>
      <c r="DD347" s="1125" t="s">
        <v>537</v>
      </c>
      <c r="DE347" s="1120" t="str">
        <f t="shared" si="450"/>
        <v/>
      </c>
      <c r="DF347" s="1133">
        <v>0</v>
      </c>
      <c r="DG347" s="1125">
        <v>0</v>
      </c>
    </row>
    <row r="348" spans="1:111">
      <c r="A348" s="1120" t="s">
        <v>3479</v>
      </c>
      <c r="B348" s="1120" t="s">
        <v>3797</v>
      </c>
      <c r="C348" s="1120" t="s">
        <v>3798</v>
      </c>
      <c r="D348" s="1120" t="s">
        <v>934</v>
      </c>
      <c r="E348" s="1120">
        <v>1394</v>
      </c>
      <c r="F348" s="1120">
        <v>-95.32</v>
      </c>
      <c r="G348" s="1120">
        <v>45.65</v>
      </c>
      <c r="H348" s="1120">
        <v>-6</v>
      </c>
      <c r="I348" s="1121">
        <v>-10.839998626708985</v>
      </c>
      <c r="J348" s="1121">
        <v>86.360001373291013</v>
      </c>
      <c r="K348" s="1122">
        <v>72.680000686645513</v>
      </c>
      <c r="L348" s="1120">
        <v>8172</v>
      </c>
      <c r="M348" s="1120">
        <v>588.6</v>
      </c>
      <c r="N348" s="1123">
        <v>11.299999999999999</v>
      </c>
      <c r="O348" s="1123">
        <v>22.279999828338624</v>
      </c>
      <c r="P348" s="1123">
        <v>27.320000171661377</v>
      </c>
      <c r="Q348" s="1123">
        <v>49.819999313354494</v>
      </c>
      <c r="R348" s="1123">
        <v>54.859999656677246</v>
      </c>
      <c r="S348" s="1123">
        <v>63.319999313354494</v>
      </c>
      <c r="T348" s="1123">
        <v>72.680000686645513</v>
      </c>
      <c r="U348" s="1123">
        <v>68.180000686645513</v>
      </c>
      <c r="V348" s="1123">
        <v>64.219999313354492</v>
      </c>
      <c r="W348" s="1123">
        <v>38.120000171661374</v>
      </c>
      <c r="X348" s="1123">
        <v>28.220000171661376</v>
      </c>
      <c r="Y348" s="1123">
        <v>22.1</v>
      </c>
      <c r="Z348" s="1123">
        <v>43.62356159210205</v>
      </c>
      <c r="AA348" s="1123">
        <f t="shared" si="376"/>
        <v>39.647842092016226</v>
      </c>
      <c r="AB348" s="1123">
        <f t="shared" si="377"/>
        <v>37.515102994169318</v>
      </c>
      <c r="AC348" s="1123">
        <f t="shared" si="378"/>
        <v>38.538620226868808</v>
      </c>
      <c r="AD348" s="1123">
        <f t="shared" si="379"/>
        <v>42.451598250533586</v>
      </c>
      <c r="AE348" s="1123">
        <f t="shared" si="380"/>
        <v>48.234059042478791</v>
      </c>
      <c r="AF348" s="1123">
        <f t="shared" si="381"/>
        <v>54.378715086865746</v>
      </c>
      <c r="AG348" s="1123">
        <f t="shared" si="382"/>
        <v>59.283867093709055</v>
      </c>
      <c r="AH348" s="1123">
        <f t="shared" si="383"/>
        <v>61.670911601744464</v>
      </c>
      <c r="AI348" s="1123">
        <f t="shared" si="384"/>
        <v>60.91762867448319</v>
      </c>
      <c r="AJ348" s="1123">
        <f t="shared" si="385"/>
        <v>57.220373115357177</v>
      </c>
      <c r="AK348" s="1123">
        <f t="shared" si="386"/>
        <v>51.54289156228544</v>
      </c>
      <c r="AL348" s="1123">
        <f t="shared" si="387"/>
        <v>45.365107074715269</v>
      </c>
      <c r="AM348" s="1120">
        <f t="shared" si="388"/>
        <v>1</v>
      </c>
      <c r="AN348" s="1120">
        <f t="shared" si="389"/>
        <v>1</v>
      </c>
      <c r="AO348" s="1120">
        <f t="shared" si="390"/>
        <v>1</v>
      </c>
      <c r="AP348" s="1120">
        <f t="shared" si="391"/>
        <v>1</v>
      </c>
      <c r="AQ348" s="1120">
        <f t="shared" si="392"/>
        <v>1</v>
      </c>
      <c r="AR348" s="1120">
        <f t="shared" si="393"/>
        <v>1</v>
      </c>
      <c r="AS348" s="1120">
        <f t="shared" si="394"/>
        <v>0</v>
      </c>
      <c r="AT348" s="1120">
        <f t="shared" si="395"/>
        <v>0</v>
      </c>
      <c r="AU348" s="1120">
        <f t="shared" si="396"/>
        <v>1</v>
      </c>
      <c r="AV348" s="1120">
        <f t="shared" si="397"/>
        <v>1</v>
      </c>
      <c r="AW348" s="1120">
        <f t="shared" si="398"/>
        <v>1</v>
      </c>
      <c r="AX348" s="1120">
        <f t="shared" si="399"/>
        <v>1</v>
      </c>
      <c r="AY348" s="1120">
        <f t="shared" si="400"/>
        <v>0</v>
      </c>
      <c r="AZ348" s="1120">
        <f t="shared" si="401"/>
        <v>0</v>
      </c>
      <c r="BA348" s="1120">
        <f t="shared" si="402"/>
        <v>0</v>
      </c>
      <c r="BB348" s="1120">
        <f t="shared" si="403"/>
        <v>0</v>
      </c>
      <c r="BC348" s="1120">
        <f t="shared" si="404"/>
        <v>0</v>
      </c>
      <c r="BD348" s="1120">
        <f t="shared" si="405"/>
        <v>0</v>
      </c>
      <c r="BE348" s="1120">
        <f t="shared" si="406"/>
        <v>1</v>
      </c>
      <c r="BF348" s="1120">
        <f t="shared" si="407"/>
        <v>1</v>
      </c>
      <c r="BG348" s="1120">
        <f t="shared" si="408"/>
        <v>0</v>
      </c>
      <c r="BH348" s="1120">
        <f t="shared" si="409"/>
        <v>0</v>
      </c>
      <c r="BI348" s="1120">
        <f t="shared" si="410"/>
        <v>0</v>
      </c>
      <c r="BJ348" s="1120">
        <f t="shared" si="411"/>
        <v>0</v>
      </c>
      <c r="BK348" s="1120">
        <f t="shared" si="412"/>
        <v>1</v>
      </c>
      <c r="BL348" s="1120">
        <f t="shared" si="413"/>
        <v>1</v>
      </c>
      <c r="BM348" s="1120">
        <f t="shared" si="414"/>
        <v>1</v>
      </c>
      <c r="BN348" s="1120">
        <f t="shared" si="415"/>
        <v>1</v>
      </c>
      <c r="BO348" s="1120">
        <f t="shared" si="416"/>
        <v>1</v>
      </c>
      <c r="BP348" s="1120">
        <f t="shared" si="417"/>
        <v>1</v>
      </c>
      <c r="BQ348" s="1120">
        <f t="shared" si="418"/>
        <v>1</v>
      </c>
      <c r="BR348" s="1120">
        <f t="shared" si="419"/>
        <v>0</v>
      </c>
      <c r="BS348" s="1120">
        <f t="shared" si="420"/>
        <v>1</v>
      </c>
      <c r="BT348" s="1120">
        <f t="shared" si="421"/>
        <v>1</v>
      </c>
      <c r="BU348" s="1120">
        <f t="shared" si="422"/>
        <v>1</v>
      </c>
      <c r="BV348" s="1120">
        <f t="shared" si="423"/>
        <v>1</v>
      </c>
      <c r="BW348" s="1120">
        <f t="shared" si="424"/>
        <v>0</v>
      </c>
      <c r="BX348" s="1120">
        <f t="shared" si="425"/>
        <v>0</v>
      </c>
      <c r="BY348" s="1120">
        <f t="shared" si="426"/>
        <v>0</v>
      </c>
      <c r="BZ348" s="1120">
        <f t="shared" si="427"/>
        <v>0</v>
      </c>
      <c r="CA348" s="1120">
        <f t="shared" si="428"/>
        <v>0</v>
      </c>
      <c r="CB348" s="1120">
        <f t="shared" si="429"/>
        <v>1</v>
      </c>
      <c r="CC348" s="1120">
        <f t="shared" si="430"/>
        <v>1</v>
      </c>
      <c r="CD348" s="1120">
        <f t="shared" si="431"/>
        <v>1</v>
      </c>
      <c r="CE348" s="1120">
        <f t="shared" si="432"/>
        <v>1</v>
      </c>
      <c r="CF348" s="1120">
        <f t="shared" si="433"/>
        <v>0</v>
      </c>
      <c r="CG348" s="1120">
        <f t="shared" si="434"/>
        <v>0</v>
      </c>
      <c r="CH348" s="1120">
        <f t="shared" si="435"/>
        <v>0</v>
      </c>
      <c r="CI348" s="1120">
        <f t="shared" si="436"/>
        <v>0.85</v>
      </c>
      <c r="CJ348" s="1120">
        <f t="shared" si="437"/>
        <v>0.85</v>
      </c>
      <c r="CK348" s="1120">
        <f t="shared" si="438"/>
        <v>0.85</v>
      </c>
      <c r="CL348" s="1120">
        <f t="shared" si="439"/>
        <v>0.85</v>
      </c>
      <c r="CM348" s="1120">
        <f t="shared" si="440"/>
        <v>0.85</v>
      </c>
      <c r="CN348" s="1120">
        <f t="shared" si="441"/>
        <v>0.85</v>
      </c>
      <c r="CO348" s="1120">
        <f t="shared" si="442"/>
        <v>0.85</v>
      </c>
      <c r="CP348" s="1120">
        <f t="shared" si="443"/>
        <v>0.7</v>
      </c>
      <c r="CQ348" s="1120">
        <f t="shared" si="444"/>
        <v>0.85</v>
      </c>
      <c r="CR348" s="1120">
        <f t="shared" si="445"/>
        <v>0.85</v>
      </c>
      <c r="CS348" s="1120">
        <f t="shared" si="446"/>
        <v>0.85</v>
      </c>
      <c r="CT348" s="1120">
        <f t="shared" si="447"/>
        <v>0.85</v>
      </c>
      <c r="CU348" s="1120">
        <v>1</v>
      </c>
      <c r="CV348" s="1120"/>
      <c r="CW348" s="1120">
        <f t="shared" si="448"/>
        <v>122</v>
      </c>
      <c r="CX348" s="1120">
        <f t="shared" si="449"/>
        <v>243</v>
      </c>
      <c r="CY348" s="1135" t="s">
        <v>4889</v>
      </c>
      <c r="CZ348" s="1124" t="s">
        <v>4899</v>
      </c>
      <c r="DA348" s="1124"/>
      <c r="DB348" s="1124"/>
      <c r="DC348" s="1120" t="s">
        <v>5331</v>
      </c>
      <c r="DD348" s="1120" t="s">
        <v>934</v>
      </c>
      <c r="DE348" s="1120" t="b">
        <f t="shared" si="450"/>
        <v>0</v>
      </c>
      <c r="DF348" s="1133">
        <v>1</v>
      </c>
      <c r="DG348" s="1120">
        <v>0</v>
      </c>
    </row>
    <row r="349" spans="1:111">
      <c r="A349" s="1125" t="s">
        <v>3481</v>
      </c>
      <c r="B349" s="1125" t="s">
        <v>3874</v>
      </c>
      <c r="C349" s="1125" t="s">
        <v>3875</v>
      </c>
      <c r="D349" s="1125" t="s">
        <v>460</v>
      </c>
      <c r="E349" s="1125">
        <v>262</v>
      </c>
      <c r="F349" s="1125">
        <v>-88.58</v>
      </c>
      <c r="G349" s="1125">
        <v>33.450000000000003</v>
      </c>
      <c r="H349" s="1125">
        <v>-6</v>
      </c>
      <c r="I349" s="1126">
        <v>24.8</v>
      </c>
      <c r="J349" s="1126">
        <v>93.379997253417969</v>
      </c>
      <c r="K349" s="1127">
        <v>76.819999313354487</v>
      </c>
      <c r="L349" s="1125">
        <v>3258</v>
      </c>
      <c r="M349" s="1125">
        <v>1940.4</v>
      </c>
      <c r="N349" s="1128">
        <v>38.660000085830688</v>
      </c>
      <c r="O349" s="1128">
        <v>47.3</v>
      </c>
      <c r="P349" s="1128">
        <v>50</v>
      </c>
      <c r="Q349" s="1128">
        <v>60.259999656677245</v>
      </c>
      <c r="R349" s="1128">
        <v>71.960001373291021</v>
      </c>
      <c r="S349" s="1128">
        <v>77.360001373291013</v>
      </c>
      <c r="T349" s="1128">
        <v>80.060001373291016</v>
      </c>
      <c r="U349" s="1128">
        <v>76.819999313354487</v>
      </c>
      <c r="V349" s="1128">
        <v>74.83999862670899</v>
      </c>
      <c r="W349" s="1128">
        <v>60.080000686645505</v>
      </c>
      <c r="X349" s="1128">
        <v>47.480000686645511</v>
      </c>
      <c r="Y349" s="1128">
        <v>43.879999828338626</v>
      </c>
      <c r="Z349" s="1128">
        <v>60.788657788446507</v>
      </c>
      <c r="AA349" s="1128">
        <f t="shared" si="376"/>
        <v>55.605986204239919</v>
      </c>
      <c r="AB349" s="1128">
        <f t="shared" si="377"/>
        <v>55.274478633158758</v>
      </c>
      <c r="AC349" s="1128">
        <f t="shared" si="378"/>
        <v>57.944319297775159</v>
      </c>
      <c r="AD349" s="1128">
        <f t="shared" si="379"/>
        <v>62.919573085366814</v>
      </c>
      <c r="AE349" s="1128">
        <f t="shared" si="380"/>
        <v>68.903363425216284</v>
      </c>
      <c r="AF349" s="1128">
        <f t="shared" si="381"/>
        <v>74.335923152241392</v>
      </c>
      <c r="AG349" s="1128">
        <f t="shared" si="382"/>
        <v>77.801171855313527</v>
      </c>
      <c r="AH349" s="1128">
        <f t="shared" si="383"/>
        <v>78.395839058877982</v>
      </c>
      <c r="AI349" s="1128">
        <f t="shared" si="384"/>
        <v>75.964915592226689</v>
      </c>
      <c r="AJ349" s="1128">
        <f t="shared" si="385"/>
        <v>71.142059118606866</v>
      </c>
      <c r="AK349" s="1128">
        <f t="shared" si="386"/>
        <v>65.184421500335517</v>
      </c>
      <c r="AL349" s="1128">
        <f t="shared" si="387"/>
        <v>59.644952792589827</v>
      </c>
      <c r="AM349" s="1125">
        <f t="shared" si="388"/>
        <v>1</v>
      </c>
      <c r="AN349" s="1125">
        <f t="shared" si="389"/>
        <v>1</v>
      </c>
      <c r="AO349" s="1125">
        <f t="shared" si="390"/>
        <v>1</v>
      </c>
      <c r="AP349" s="1125">
        <f t="shared" si="391"/>
        <v>1</v>
      </c>
      <c r="AQ349" s="1125">
        <f t="shared" si="392"/>
        <v>0</v>
      </c>
      <c r="AR349" s="1125">
        <f t="shared" si="393"/>
        <v>0</v>
      </c>
      <c r="AS349" s="1125">
        <f t="shared" si="394"/>
        <v>0</v>
      </c>
      <c r="AT349" s="1125">
        <f t="shared" si="395"/>
        <v>0</v>
      </c>
      <c r="AU349" s="1125">
        <f t="shared" si="396"/>
        <v>0</v>
      </c>
      <c r="AV349" s="1125">
        <f t="shared" si="397"/>
        <v>1</v>
      </c>
      <c r="AW349" s="1125">
        <f t="shared" si="398"/>
        <v>1</v>
      </c>
      <c r="AX349" s="1125">
        <f t="shared" si="399"/>
        <v>1</v>
      </c>
      <c r="AY349" s="1125">
        <f t="shared" si="400"/>
        <v>0</v>
      </c>
      <c r="AZ349" s="1125">
        <f t="shared" si="401"/>
        <v>0</v>
      </c>
      <c r="BA349" s="1125">
        <f t="shared" si="402"/>
        <v>0</v>
      </c>
      <c r="BB349" s="1125">
        <f t="shared" si="403"/>
        <v>0</v>
      </c>
      <c r="BC349" s="1125">
        <f t="shared" si="404"/>
        <v>1</v>
      </c>
      <c r="BD349" s="1125">
        <f t="shared" si="405"/>
        <v>1</v>
      </c>
      <c r="BE349" s="1125">
        <f t="shared" si="406"/>
        <v>1</v>
      </c>
      <c r="BF349" s="1125">
        <f t="shared" si="407"/>
        <v>1</v>
      </c>
      <c r="BG349" s="1125">
        <f t="shared" si="408"/>
        <v>1</v>
      </c>
      <c r="BH349" s="1125">
        <f t="shared" si="409"/>
        <v>0</v>
      </c>
      <c r="BI349" s="1125">
        <f t="shared" si="410"/>
        <v>0</v>
      </c>
      <c r="BJ349" s="1125">
        <f t="shared" si="411"/>
        <v>0</v>
      </c>
      <c r="BK349" s="1125">
        <f t="shared" si="412"/>
        <v>1</v>
      </c>
      <c r="BL349" s="1125">
        <f t="shared" si="413"/>
        <v>1</v>
      </c>
      <c r="BM349" s="1125">
        <f t="shared" si="414"/>
        <v>1</v>
      </c>
      <c r="BN349" s="1125">
        <f t="shared" si="415"/>
        <v>1</v>
      </c>
      <c r="BO349" s="1125">
        <f t="shared" si="416"/>
        <v>1</v>
      </c>
      <c r="BP349" s="1125">
        <f t="shared" si="417"/>
        <v>0</v>
      </c>
      <c r="BQ349" s="1125">
        <f t="shared" si="418"/>
        <v>0</v>
      </c>
      <c r="BR349" s="1125">
        <f t="shared" si="419"/>
        <v>0</v>
      </c>
      <c r="BS349" s="1125">
        <f t="shared" si="420"/>
        <v>0</v>
      </c>
      <c r="BT349" s="1125">
        <f t="shared" si="421"/>
        <v>1</v>
      </c>
      <c r="BU349" s="1125">
        <f t="shared" si="422"/>
        <v>1</v>
      </c>
      <c r="BV349" s="1125">
        <f t="shared" si="423"/>
        <v>1</v>
      </c>
      <c r="BW349" s="1125">
        <f t="shared" si="424"/>
        <v>0</v>
      </c>
      <c r="BX349" s="1125">
        <f t="shared" si="425"/>
        <v>0</v>
      </c>
      <c r="BY349" s="1125">
        <f t="shared" si="426"/>
        <v>0</v>
      </c>
      <c r="BZ349" s="1125">
        <f t="shared" si="427"/>
        <v>1</v>
      </c>
      <c r="CA349" s="1125">
        <f t="shared" si="428"/>
        <v>1</v>
      </c>
      <c r="CB349" s="1125">
        <f t="shared" si="429"/>
        <v>1</v>
      </c>
      <c r="CC349" s="1125">
        <f t="shared" si="430"/>
        <v>1</v>
      </c>
      <c r="CD349" s="1125">
        <f t="shared" si="431"/>
        <v>1</v>
      </c>
      <c r="CE349" s="1125">
        <f t="shared" si="432"/>
        <v>1</v>
      </c>
      <c r="CF349" s="1125">
        <f t="shared" si="433"/>
        <v>1</v>
      </c>
      <c r="CG349" s="1125">
        <f t="shared" si="434"/>
        <v>0</v>
      </c>
      <c r="CH349" s="1125">
        <f t="shared" si="435"/>
        <v>0</v>
      </c>
      <c r="CI349" s="1125">
        <f t="shared" si="436"/>
        <v>0.85</v>
      </c>
      <c r="CJ349" s="1125">
        <f t="shared" si="437"/>
        <v>0.85</v>
      </c>
      <c r="CK349" s="1125">
        <f t="shared" si="438"/>
        <v>0.85</v>
      </c>
      <c r="CL349" s="1125">
        <f t="shared" si="439"/>
        <v>0.85</v>
      </c>
      <c r="CM349" s="1125">
        <f t="shared" si="440"/>
        <v>0.85</v>
      </c>
      <c r="CN349" s="1125">
        <f t="shared" si="441"/>
        <v>0.7</v>
      </c>
      <c r="CO349" s="1125">
        <f t="shared" si="442"/>
        <v>0.7</v>
      </c>
      <c r="CP349" s="1125">
        <f t="shared" si="443"/>
        <v>0.7</v>
      </c>
      <c r="CQ349" s="1125">
        <f t="shared" si="444"/>
        <v>0.7</v>
      </c>
      <c r="CR349" s="1125">
        <f t="shared" si="445"/>
        <v>0.85</v>
      </c>
      <c r="CS349" s="1125">
        <f t="shared" si="446"/>
        <v>0.85</v>
      </c>
      <c r="CT349" s="1125">
        <f t="shared" si="447"/>
        <v>0.85</v>
      </c>
      <c r="CU349" s="1125">
        <v>1</v>
      </c>
      <c r="CV349" s="1125"/>
      <c r="CW349" s="1125">
        <f t="shared" si="448"/>
        <v>214</v>
      </c>
      <c r="CX349" s="1125">
        <f t="shared" si="449"/>
        <v>151</v>
      </c>
      <c r="CY349" s="1136" t="s">
        <v>4881</v>
      </c>
      <c r="CZ349" s="1129" t="s">
        <v>4882</v>
      </c>
      <c r="DA349" s="1129"/>
      <c r="DB349" s="1129"/>
      <c r="DC349" s="1125" t="s">
        <v>5768</v>
      </c>
      <c r="DD349" s="1125" t="s">
        <v>460</v>
      </c>
      <c r="DE349" s="1120" t="b">
        <f t="shared" si="450"/>
        <v>0</v>
      </c>
      <c r="DF349" s="1133">
        <v>0</v>
      </c>
      <c r="DG349" s="1125">
        <v>0</v>
      </c>
    </row>
    <row r="350" spans="1:111">
      <c r="A350" s="1120" t="s">
        <v>3483</v>
      </c>
      <c r="B350" s="1120" t="s">
        <v>3944</v>
      </c>
      <c r="C350" s="1120" t="s">
        <v>3945</v>
      </c>
      <c r="D350" s="1120" t="s">
        <v>426</v>
      </c>
      <c r="E350" s="1120">
        <v>108</v>
      </c>
      <c r="F350" s="1120">
        <v>-77.97</v>
      </c>
      <c r="G350" s="1120">
        <v>35.35</v>
      </c>
      <c r="H350" s="1120">
        <v>-5</v>
      </c>
      <c r="I350" s="1121">
        <v>26.23999991416931</v>
      </c>
      <c r="J350" s="1121">
        <v>93.560001373291016</v>
      </c>
      <c r="K350" s="1122">
        <v>76.099999999999994</v>
      </c>
      <c r="L350" s="1120">
        <v>3427.2000000000003</v>
      </c>
      <c r="M350" s="1120">
        <v>1740.6000000000001</v>
      </c>
      <c r="N350" s="1123">
        <v>40.1</v>
      </c>
      <c r="O350" s="1123">
        <v>44.959999656677248</v>
      </c>
      <c r="P350" s="1123">
        <v>48.2</v>
      </c>
      <c r="Q350" s="1123">
        <v>61.519999313354496</v>
      </c>
      <c r="R350" s="1123">
        <v>70.16000137329101</v>
      </c>
      <c r="S350" s="1123">
        <v>76.819999313354487</v>
      </c>
      <c r="T350" s="1123">
        <v>80.780000686645508</v>
      </c>
      <c r="U350" s="1123">
        <v>76.099999999999994</v>
      </c>
      <c r="V350" s="1123">
        <v>70.33999862670899</v>
      </c>
      <c r="W350" s="1123">
        <v>61.160001373291017</v>
      </c>
      <c r="X350" s="1123">
        <v>48.559999656677249</v>
      </c>
      <c r="Y350" s="1123">
        <v>37.579999828338622</v>
      </c>
      <c r="Z350" s="1123">
        <v>59.760438352872249</v>
      </c>
      <c r="AA350" s="1123">
        <f t="shared" si="376"/>
        <v>54.370334204362699</v>
      </c>
      <c r="AB350" s="1123">
        <f t="shared" si="377"/>
        <v>53.922093260158611</v>
      </c>
      <c r="AC350" s="1123">
        <f t="shared" si="378"/>
        <v>56.559699398790464</v>
      </c>
      <c r="AD350" s="1123">
        <f t="shared" si="379"/>
        <v>61.595619933482894</v>
      </c>
      <c r="AE350" s="1123">
        <f t="shared" si="380"/>
        <v>67.717164570983769</v>
      </c>
      <c r="AF350" s="1123">
        <f t="shared" si="381"/>
        <v>73.328658365670108</v>
      </c>
      <c r="AG350" s="1123">
        <f t="shared" si="382"/>
        <v>76.96737898421992</v>
      </c>
      <c r="AH350" s="1123">
        <f t="shared" si="383"/>
        <v>77.684837823026143</v>
      </c>
      <c r="AI350" s="1123">
        <f t="shared" si="384"/>
        <v>75.294018179378526</v>
      </c>
      <c r="AJ350" s="1123">
        <f t="shared" si="385"/>
        <v>70.418124037039775</v>
      </c>
      <c r="AK350" s="1123">
        <f t="shared" si="386"/>
        <v>64.32813234401371</v>
      </c>
      <c r="AL350" s="1123">
        <f t="shared" si="387"/>
        <v>58.611493284700344</v>
      </c>
      <c r="AM350" s="1120">
        <f t="shared" si="388"/>
        <v>1</v>
      </c>
      <c r="AN350" s="1120">
        <f t="shared" si="389"/>
        <v>1</v>
      </c>
      <c r="AO350" s="1120">
        <f t="shared" si="390"/>
        <v>1</v>
      </c>
      <c r="AP350" s="1120">
        <f t="shared" si="391"/>
        <v>1</v>
      </c>
      <c r="AQ350" s="1120">
        <f t="shared" si="392"/>
        <v>0</v>
      </c>
      <c r="AR350" s="1120">
        <f t="shared" si="393"/>
        <v>0</v>
      </c>
      <c r="AS350" s="1120">
        <f t="shared" si="394"/>
        <v>0</v>
      </c>
      <c r="AT350" s="1120">
        <f t="shared" si="395"/>
        <v>0</v>
      </c>
      <c r="AU350" s="1120">
        <f t="shared" si="396"/>
        <v>0</v>
      </c>
      <c r="AV350" s="1120">
        <f t="shared" si="397"/>
        <v>1</v>
      </c>
      <c r="AW350" s="1120">
        <f t="shared" si="398"/>
        <v>1</v>
      </c>
      <c r="AX350" s="1120">
        <f t="shared" si="399"/>
        <v>1</v>
      </c>
      <c r="AY350" s="1120">
        <f t="shared" si="400"/>
        <v>0</v>
      </c>
      <c r="AZ350" s="1120">
        <f t="shared" si="401"/>
        <v>0</v>
      </c>
      <c r="BA350" s="1120">
        <f t="shared" si="402"/>
        <v>0</v>
      </c>
      <c r="BB350" s="1120">
        <f t="shared" si="403"/>
        <v>0</v>
      </c>
      <c r="BC350" s="1120">
        <f t="shared" si="404"/>
        <v>1</v>
      </c>
      <c r="BD350" s="1120">
        <f t="shared" si="405"/>
        <v>1</v>
      </c>
      <c r="BE350" s="1120">
        <f t="shared" si="406"/>
        <v>1</v>
      </c>
      <c r="BF350" s="1120">
        <f t="shared" si="407"/>
        <v>1</v>
      </c>
      <c r="BG350" s="1120">
        <f t="shared" si="408"/>
        <v>1</v>
      </c>
      <c r="BH350" s="1120">
        <f t="shared" si="409"/>
        <v>0</v>
      </c>
      <c r="BI350" s="1120">
        <f t="shared" si="410"/>
        <v>0</v>
      </c>
      <c r="BJ350" s="1120">
        <f t="shared" si="411"/>
        <v>0</v>
      </c>
      <c r="BK350" s="1120">
        <f t="shared" si="412"/>
        <v>1</v>
      </c>
      <c r="BL350" s="1120">
        <f t="shared" si="413"/>
        <v>1</v>
      </c>
      <c r="BM350" s="1120">
        <f t="shared" si="414"/>
        <v>1</v>
      </c>
      <c r="BN350" s="1120">
        <f t="shared" si="415"/>
        <v>1</v>
      </c>
      <c r="BO350" s="1120">
        <f t="shared" si="416"/>
        <v>1</v>
      </c>
      <c r="BP350" s="1120">
        <f t="shared" si="417"/>
        <v>0</v>
      </c>
      <c r="BQ350" s="1120">
        <f t="shared" si="418"/>
        <v>0</v>
      </c>
      <c r="BR350" s="1120">
        <f t="shared" si="419"/>
        <v>0</v>
      </c>
      <c r="BS350" s="1120">
        <f t="shared" si="420"/>
        <v>0</v>
      </c>
      <c r="BT350" s="1120">
        <f t="shared" si="421"/>
        <v>1</v>
      </c>
      <c r="BU350" s="1120">
        <f t="shared" si="422"/>
        <v>1</v>
      </c>
      <c r="BV350" s="1120">
        <f t="shared" si="423"/>
        <v>1</v>
      </c>
      <c r="BW350" s="1120">
        <f t="shared" si="424"/>
        <v>0</v>
      </c>
      <c r="BX350" s="1120">
        <f t="shared" si="425"/>
        <v>0</v>
      </c>
      <c r="BY350" s="1120">
        <f t="shared" si="426"/>
        <v>0</v>
      </c>
      <c r="BZ350" s="1120">
        <f t="shared" si="427"/>
        <v>1</v>
      </c>
      <c r="CA350" s="1120">
        <f t="shared" si="428"/>
        <v>1</v>
      </c>
      <c r="CB350" s="1120">
        <f t="shared" si="429"/>
        <v>1</v>
      </c>
      <c r="CC350" s="1120">
        <f t="shared" si="430"/>
        <v>1</v>
      </c>
      <c r="CD350" s="1120">
        <f t="shared" si="431"/>
        <v>1</v>
      </c>
      <c r="CE350" s="1120">
        <f t="shared" si="432"/>
        <v>1</v>
      </c>
      <c r="CF350" s="1120">
        <f t="shared" si="433"/>
        <v>1</v>
      </c>
      <c r="CG350" s="1120">
        <f t="shared" si="434"/>
        <v>0</v>
      </c>
      <c r="CH350" s="1120">
        <f t="shared" si="435"/>
        <v>0</v>
      </c>
      <c r="CI350" s="1120">
        <f t="shared" si="436"/>
        <v>0.85</v>
      </c>
      <c r="CJ350" s="1120">
        <f t="shared" si="437"/>
        <v>0.85</v>
      </c>
      <c r="CK350" s="1120">
        <f t="shared" si="438"/>
        <v>0.85</v>
      </c>
      <c r="CL350" s="1120">
        <f t="shared" si="439"/>
        <v>0.85</v>
      </c>
      <c r="CM350" s="1120">
        <f t="shared" si="440"/>
        <v>0.85</v>
      </c>
      <c r="CN350" s="1120">
        <f t="shared" si="441"/>
        <v>0.7</v>
      </c>
      <c r="CO350" s="1120">
        <f t="shared" si="442"/>
        <v>0.7</v>
      </c>
      <c r="CP350" s="1120">
        <f t="shared" si="443"/>
        <v>0.7</v>
      </c>
      <c r="CQ350" s="1120">
        <f t="shared" si="444"/>
        <v>0.7</v>
      </c>
      <c r="CR350" s="1120">
        <f t="shared" si="445"/>
        <v>0.85</v>
      </c>
      <c r="CS350" s="1120">
        <f t="shared" si="446"/>
        <v>0.85</v>
      </c>
      <c r="CT350" s="1120">
        <f t="shared" si="447"/>
        <v>0.85</v>
      </c>
      <c r="CU350" s="1120">
        <v>1</v>
      </c>
      <c r="CV350" s="1120"/>
      <c r="CW350" s="1120">
        <f t="shared" si="448"/>
        <v>214</v>
      </c>
      <c r="CX350" s="1120">
        <f t="shared" si="449"/>
        <v>151</v>
      </c>
      <c r="CY350" s="1136" t="s">
        <v>4881</v>
      </c>
      <c r="CZ350" s="1129" t="s">
        <v>4882</v>
      </c>
      <c r="DA350" s="1129"/>
      <c r="DB350" s="1129"/>
      <c r="DC350" s="1125" t="s">
        <v>6041</v>
      </c>
      <c r="DD350" s="1125" t="s">
        <v>426</v>
      </c>
      <c r="DE350" s="1120" t="b">
        <f t="shared" si="450"/>
        <v>0</v>
      </c>
      <c r="DF350" s="1133">
        <v>0</v>
      </c>
      <c r="DG350" s="1120">
        <v>0</v>
      </c>
    </row>
    <row r="351" spans="1:111">
      <c r="A351" s="1125" t="s">
        <v>3495</v>
      </c>
      <c r="B351" s="1125" t="s">
        <v>3563</v>
      </c>
      <c r="C351" s="1125" t="s">
        <v>3564</v>
      </c>
      <c r="D351" s="1125" t="s">
        <v>256</v>
      </c>
      <c r="E351" s="1125">
        <v>3644</v>
      </c>
      <c r="F351" s="1125">
        <v>-101.7</v>
      </c>
      <c r="G351" s="1125">
        <v>39.369999999999997</v>
      </c>
      <c r="H351" s="1125">
        <v>-7</v>
      </c>
      <c r="I351" s="1126">
        <v>4.4599996566772457</v>
      </c>
      <c r="J351" s="1126">
        <v>94.460001373291021</v>
      </c>
      <c r="K351" s="1127">
        <v>66.560001373291016</v>
      </c>
      <c r="L351" s="1125">
        <v>5841</v>
      </c>
      <c r="M351" s="1125">
        <v>928.80000000000007</v>
      </c>
      <c r="N351" s="1128">
        <v>25.339999914169312</v>
      </c>
      <c r="O351" s="1128">
        <v>30.919999957084656</v>
      </c>
      <c r="P351" s="1128">
        <v>41.720000171661376</v>
      </c>
      <c r="Q351" s="1128">
        <v>53.6</v>
      </c>
      <c r="R351" s="1128">
        <v>59.359999656677246</v>
      </c>
      <c r="S351" s="1128">
        <v>68.719999313354492</v>
      </c>
      <c r="T351" s="1128">
        <v>75.380000686645502</v>
      </c>
      <c r="U351" s="1128">
        <v>72.5</v>
      </c>
      <c r="V351" s="1128">
        <v>64.939998626708984</v>
      </c>
      <c r="W351" s="1128">
        <v>51.8</v>
      </c>
      <c r="X351" s="1128">
        <v>39.559999656677249</v>
      </c>
      <c r="Y351" s="1128">
        <v>26.23999991416931</v>
      </c>
      <c r="Z351" s="1128">
        <v>50.939451883133145</v>
      </c>
      <c r="AA351" s="1128">
        <f t="shared" si="376"/>
        <v>46.538090976549242</v>
      </c>
      <c r="AB351" s="1128">
        <f t="shared" si="377"/>
        <v>45.201741501046726</v>
      </c>
      <c r="AC351" s="1128">
        <f t="shared" si="378"/>
        <v>46.92500712022732</v>
      </c>
      <c r="AD351" s="1128">
        <f t="shared" si="379"/>
        <v>51.258692094124569</v>
      </c>
      <c r="AE351" s="1128">
        <f t="shared" si="380"/>
        <v>57.073154650185153</v>
      </c>
      <c r="AF351" s="1128">
        <f t="shared" si="381"/>
        <v>62.852765519591621</v>
      </c>
      <c r="AG351" s="1128">
        <f t="shared" si="382"/>
        <v>67.090980062733664</v>
      </c>
      <c r="AH351" s="1128">
        <f t="shared" si="383"/>
        <v>68.683042346078196</v>
      </c>
      <c r="AI351" s="1128">
        <f t="shared" si="384"/>
        <v>67.213956801049022</v>
      </c>
      <c r="AJ351" s="1128">
        <f t="shared" si="385"/>
        <v>63.066663214251527</v>
      </c>
      <c r="AK351" s="1128">
        <f t="shared" si="386"/>
        <v>57.322217570813251</v>
      </c>
      <c r="AL351" s="1128">
        <f t="shared" si="387"/>
        <v>51.477998152283362</v>
      </c>
      <c r="AM351" s="1125">
        <f t="shared" si="388"/>
        <v>1</v>
      </c>
      <c r="AN351" s="1125">
        <f t="shared" si="389"/>
        <v>1</v>
      </c>
      <c r="AO351" s="1125">
        <f t="shared" si="390"/>
        <v>1</v>
      </c>
      <c r="AP351" s="1125">
        <f t="shared" si="391"/>
        <v>1</v>
      </c>
      <c r="AQ351" s="1125">
        <f t="shared" si="392"/>
        <v>1</v>
      </c>
      <c r="AR351" s="1125">
        <f t="shared" si="393"/>
        <v>0</v>
      </c>
      <c r="AS351" s="1125">
        <f t="shared" si="394"/>
        <v>0</v>
      </c>
      <c r="AT351" s="1125">
        <f t="shared" si="395"/>
        <v>0</v>
      </c>
      <c r="AU351" s="1125">
        <f t="shared" si="396"/>
        <v>1</v>
      </c>
      <c r="AV351" s="1125">
        <f t="shared" si="397"/>
        <v>1</v>
      </c>
      <c r="AW351" s="1125">
        <f t="shared" si="398"/>
        <v>1</v>
      </c>
      <c r="AX351" s="1125">
        <f t="shared" si="399"/>
        <v>1</v>
      </c>
      <c r="AY351" s="1125">
        <f t="shared" si="400"/>
        <v>0</v>
      </c>
      <c r="AZ351" s="1125">
        <f t="shared" si="401"/>
        <v>0</v>
      </c>
      <c r="BA351" s="1125">
        <f t="shared" si="402"/>
        <v>0</v>
      </c>
      <c r="BB351" s="1125">
        <f t="shared" si="403"/>
        <v>0</v>
      </c>
      <c r="BC351" s="1125">
        <f t="shared" si="404"/>
        <v>0</v>
      </c>
      <c r="BD351" s="1125">
        <f t="shared" si="405"/>
        <v>1</v>
      </c>
      <c r="BE351" s="1125">
        <f t="shared" si="406"/>
        <v>1</v>
      </c>
      <c r="BF351" s="1125">
        <f t="shared" si="407"/>
        <v>1</v>
      </c>
      <c r="BG351" s="1125">
        <f t="shared" si="408"/>
        <v>0</v>
      </c>
      <c r="BH351" s="1125">
        <f t="shared" si="409"/>
        <v>0</v>
      </c>
      <c r="BI351" s="1125">
        <f t="shared" si="410"/>
        <v>0</v>
      </c>
      <c r="BJ351" s="1125">
        <f t="shared" si="411"/>
        <v>0</v>
      </c>
      <c r="BK351" s="1125">
        <f t="shared" si="412"/>
        <v>1</v>
      </c>
      <c r="BL351" s="1125">
        <f t="shared" si="413"/>
        <v>1</v>
      </c>
      <c r="BM351" s="1125">
        <f t="shared" si="414"/>
        <v>1</v>
      </c>
      <c r="BN351" s="1125">
        <f t="shared" si="415"/>
        <v>1</v>
      </c>
      <c r="BO351" s="1125">
        <f t="shared" si="416"/>
        <v>1</v>
      </c>
      <c r="BP351" s="1125">
        <f t="shared" si="417"/>
        <v>1</v>
      </c>
      <c r="BQ351" s="1125">
        <f t="shared" si="418"/>
        <v>0</v>
      </c>
      <c r="BR351" s="1125">
        <f t="shared" si="419"/>
        <v>0</v>
      </c>
      <c r="BS351" s="1125">
        <f t="shared" si="420"/>
        <v>1</v>
      </c>
      <c r="BT351" s="1125">
        <f t="shared" si="421"/>
        <v>1</v>
      </c>
      <c r="BU351" s="1125">
        <f t="shared" si="422"/>
        <v>1</v>
      </c>
      <c r="BV351" s="1125">
        <f t="shared" si="423"/>
        <v>1</v>
      </c>
      <c r="BW351" s="1125">
        <f t="shared" si="424"/>
        <v>0</v>
      </c>
      <c r="BX351" s="1125">
        <f t="shared" si="425"/>
        <v>0</v>
      </c>
      <c r="BY351" s="1125">
        <f t="shared" si="426"/>
        <v>0</v>
      </c>
      <c r="BZ351" s="1125">
        <f t="shared" si="427"/>
        <v>0</v>
      </c>
      <c r="CA351" s="1125">
        <f t="shared" si="428"/>
        <v>1</v>
      </c>
      <c r="CB351" s="1125">
        <f t="shared" si="429"/>
        <v>1</v>
      </c>
      <c r="CC351" s="1125">
        <f t="shared" si="430"/>
        <v>1</v>
      </c>
      <c r="CD351" s="1125">
        <f t="shared" si="431"/>
        <v>1</v>
      </c>
      <c r="CE351" s="1125">
        <f t="shared" si="432"/>
        <v>1</v>
      </c>
      <c r="CF351" s="1125">
        <f t="shared" si="433"/>
        <v>0</v>
      </c>
      <c r="CG351" s="1125">
        <f t="shared" si="434"/>
        <v>0</v>
      </c>
      <c r="CH351" s="1125">
        <f t="shared" si="435"/>
        <v>0</v>
      </c>
      <c r="CI351" s="1125">
        <f t="shared" si="436"/>
        <v>0.85</v>
      </c>
      <c r="CJ351" s="1125">
        <f t="shared" si="437"/>
        <v>0.85</v>
      </c>
      <c r="CK351" s="1125">
        <f t="shared" si="438"/>
        <v>0.85</v>
      </c>
      <c r="CL351" s="1125">
        <f t="shared" si="439"/>
        <v>0.85</v>
      </c>
      <c r="CM351" s="1125">
        <f t="shared" si="440"/>
        <v>0.85</v>
      </c>
      <c r="CN351" s="1125">
        <f t="shared" si="441"/>
        <v>0.85</v>
      </c>
      <c r="CO351" s="1125">
        <f t="shared" si="442"/>
        <v>0.7</v>
      </c>
      <c r="CP351" s="1125">
        <f t="shared" si="443"/>
        <v>0.7</v>
      </c>
      <c r="CQ351" s="1125">
        <f t="shared" si="444"/>
        <v>0.85</v>
      </c>
      <c r="CR351" s="1125">
        <f t="shared" si="445"/>
        <v>0.85</v>
      </c>
      <c r="CS351" s="1125">
        <f t="shared" si="446"/>
        <v>0.85</v>
      </c>
      <c r="CT351" s="1125">
        <f t="shared" si="447"/>
        <v>0.85</v>
      </c>
      <c r="CU351" s="1125">
        <v>1</v>
      </c>
      <c r="CV351" s="1125"/>
      <c r="CW351" s="1125">
        <f t="shared" si="448"/>
        <v>153</v>
      </c>
      <c r="CX351" s="1125">
        <f t="shared" si="449"/>
        <v>212</v>
      </c>
      <c r="CY351" s="1136" t="s">
        <v>4889</v>
      </c>
      <c r="CZ351" s="1129" t="s">
        <v>4897</v>
      </c>
      <c r="DA351" s="1129"/>
      <c r="DB351" s="1129"/>
      <c r="DC351" s="1125" t="s">
        <v>5230</v>
      </c>
      <c r="DD351" s="1125" t="s">
        <v>256</v>
      </c>
      <c r="DE351" s="1120" t="str">
        <f t="shared" si="450"/>
        <v/>
      </c>
      <c r="DF351" s="1133">
        <v>0</v>
      </c>
      <c r="DG351" s="1125">
        <v>0</v>
      </c>
    </row>
    <row r="352" spans="1:111">
      <c r="A352" s="1120" t="s">
        <v>3485</v>
      </c>
      <c r="B352" s="1125" t="s">
        <v>3054</v>
      </c>
      <c r="C352" s="1125" t="s">
        <v>3055</v>
      </c>
      <c r="D352" s="1125" t="s">
        <v>1250</v>
      </c>
      <c r="E352" s="1125">
        <v>6773</v>
      </c>
      <c r="F352" s="1125">
        <v>-112.15</v>
      </c>
      <c r="G352" s="1125">
        <v>35.950000000000003</v>
      </c>
      <c r="H352" s="1125">
        <v>-7</v>
      </c>
      <c r="I352" s="1126">
        <v>6.6199993133544917</v>
      </c>
      <c r="J352" s="1126">
        <v>87.8</v>
      </c>
      <c r="K352" s="1127">
        <v>56.3</v>
      </c>
      <c r="L352" s="1125">
        <v>6289.2</v>
      </c>
      <c r="M352" s="1125">
        <v>183.6</v>
      </c>
      <c r="N352" s="1128">
        <v>32.180000002682206</v>
      </c>
      <c r="O352" s="1128">
        <v>30.559999978542329</v>
      </c>
      <c r="P352" s="1128">
        <v>30.919999957084656</v>
      </c>
      <c r="Q352" s="1128">
        <v>47.659999656677243</v>
      </c>
      <c r="R352" s="1128">
        <v>57.919999313354495</v>
      </c>
      <c r="S352" s="1128">
        <v>63.139998626708987</v>
      </c>
      <c r="T352" s="1128">
        <v>66.560001373291016</v>
      </c>
      <c r="U352" s="1128">
        <v>66.560001373291016</v>
      </c>
      <c r="V352" s="1128">
        <v>60.080000686645505</v>
      </c>
      <c r="W352" s="1128">
        <v>48.2</v>
      </c>
      <c r="X352" s="1128">
        <v>36.320000171661377</v>
      </c>
      <c r="Y352" s="1128">
        <v>30.919999957084656</v>
      </c>
      <c r="Z352" s="1128">
        <v>47.678739821727149</v>
      </c>
      <c r="AA352" s="1128">
        <f t="shared" si="376"/>
        <v>46.931270288492946</v>
      </c>
      <c r="AB352" s="1128">
        <f t="shared" si="377"/>
        <v>45.818598608758982</v>
      </c>
      <c r="AC352" s="1128">
        <f t="shared" si="378"/>
        <v>46.754793864627786</v>
      </c>
      <c r="AD352" s="1128">
        <f t="shared" si="379"/>
        <v>49.495822335451564</v>
      </c>
      <c r="AE352" s="1128">
        <f t="shared" si="380"/>
        <v>53.327192709782743</v>
      </c>
      <c r="AF352" s="1128">
        <f t="shared" si="381"/>
        <v>57.250199256347209</v>
      </c>
      <c r="AG352" s="1128">
        <f t="shared" si="382"/>
        <v>60.242249863422096</v>
      </c>
      <c r="AH352" s="1128">
        <f t="shared" si="383"/>
        <v>61.523420431377758</v>
      </c>
      <c r="AI352" s="1128">
        <f t="shared" si="384"/>
        <v>60.759754108240486</v>
      </c>
      <c r="AJ352" s="1128">
        <f t="shared" si="385"/>
        <v>58.150312289590268</v>
      </c>
      <c r="AK352" s="1128">
        <f t="shared" si="386"/>
        <v>54.375286198173939</v>
      </c>
      <c r="AL352" s="1128">
        <f t="shared" si="387"/>
        <v>50.418694559632172</v>
      </c>
      <c r="AM352" s="1125">
        <f t="shared" si="388"/>
        <v>1</v>
      </c>
      <c r="AN352" s="1125">
        <f t="shared" si="389"/>
        <v>1</v>
      </c>
      <c r="AO352" s="1125">
        <f t="shared" si="390"/>
        <v>1</v>
      </c>
      <c r="AP352" s="1125">
        <f t="shared" si="391"/>
        <v>1</v>
      </c>
      <c r="AQ352" s="1125">
        <f t="shared" si="392"/>
        <v>1</v>
      </c>
      <c r="AR352" s="1125">
        <f t="shared" si="393"/>
        <v>1</v>
      </c>
      <c r="AS352" s="1125">
        <f t="shared" si="394"/>
        <v>0</v>
      </c>
      <c r="AT352" s="1125">
        <f t="shared" si="395"/>
        <v>0</v>
      </c>
      <c r="AU352" s="1125">
        <f t="shared" si="396"/>
        <v>1</v>
      </c>
      <c r="AV352" s="1125">
        <f t="shared" si="397"/>
        <v>1</v>
      </c>
      <c r="AW352" s="1125">
        <f t="shared" si="398"/>
        <v>1</v>
      </c>
      <c r="AX352" s="1125">
        <f t="shared" si="399"/>
        <v>1</v>
      </c>
      <c r="AY352" s="1125">
        <f t="shared" si="400"/>
        <v>0</v>
      </c>
      <c r="AZ352" s="1125">
        <f t="shared" si="401"/>
        <v>0</v>
      </c>
      <c r="BA352" s="1125">
        <f t="shared" si="402"/>
        <v>0</v>
      </c>
      <c r="BB352" s="1125">
        <f t="shared" si="403"/>
        <v>0</v>
      </c>
      <c r="BC352" s="1125">
        <f t="shared" si="404"/>
        <v>0</v>
      </c>
      <c r="BD352" s="1125">
        <f t="shared" si="405"/>
        <v>0</v>
      </c>
      <c r="BE352" s="1125">
        <f t="shared" si="406"/>
        <v>1</v>
      </c>
      <c r="BF352" s="1125">
        <f t="shared" si="407"/>
        <v>1</v>
      </c>
      <c r="BG352" s="1125">
        <f t="shared" si="408"/>
        <v>0</v>
      </c>
      <c r="BH352" s="1125">
        <f t="shared" si="409"/>
        <v>0</v>
      </c>
      <c r="BI352" s="1125">
        <f t="shared" si="410"/>
        <v>0</v>
      </c>
      <c r="BJ352" s="1125">
        <f t="shared" si="411"/>
        <v>0</v>
      </c>
      <c r="BK352" s="1125">
        <f t="shared" si="412"/>
        <v>1</v>
      </c>
      <c r="BL352" s="1125">
        <f t="shared" si="413"/>
        <v>1</v>
      </c>
      <c r="BM352" s="1125">
        <f t="shared" si="414"/>
        <v>1</v>
      </c>
      <c r="BN352" s="1125">
        <f t="shared" si="415"/>
        <v>1</v>
      </c>
      <c r="BO352" s="1125">
        <f t="shared" si="416"/>
        <v>1</v>
      </c>
      <c r="BP352" s="1125">
        <f t="shared" si="417"/>
        <v>1</v>
      </c>
      <c r="BQ352" s="1125">
        <f t="shared" si="418"/>
        <v>1</v>
      </c>
      <c r="BR352" s="1125">
        <f t="shared" si="419"/>
        <v>0</v>
      </c>
      <c r="BS352" s="1125">
        <f t="shared" si="420"/>
        <v>1</v>
      </c>
      <c r="BT352" s="1125">
        <f t="shared" si="421"/>
        <v>1</v>
      </c>
      <c r="BU352" s="1125">
        <f t="shared" si="422"/>
        <v>1</v>
      </c>
      <c r="BV352" s="1125">
        <f t="shared" si="423"/>
        <v>1</v>
      </c>
      <c r="BW352" s="1125">
        <f t="shared" si="424"/>
        <v>0</v>
      </c>
      <c r="BX352" s="1125">
        <f t="shared" si="425"/>
        <v>0</v>
      </c>
      <c r="BY352" s="1125">
        <f t="shared" si="426"/>
        <v>0</v>
      </c>
      <c r="BZ352" s="1125">
        <f t="shared" si="427"/>
        <v>0</v>
      </c>
      <c r="CA352" s="1125">
        <f t="shared" si="428"/>
        <v>0</v>
      </c>
      <c r="CB352" s="1125">
        <f t="shared" si="429"/>
        <v>1</v>
      </c>
      <c r="CC352" s="1125">
        <f t="shared" si="430"/>
        <v>1</v>
      </c>
      <c r="CD352" s="1125">
        <f t="shared" si="431"/>
        <v>1</v>
      </c>
      <c r="CE352" s="1125">
        <f t="shared" si="432"/>
        <v>1</v>
      </c>
      <c r="CF352" s="1125">
        <f t="shared" si="433"/>
        <v>0</v>
      </c>
      <c r="CG352" s="1125">
        <f t="shared" si="434"/>
        <v>0</v>
      </c>
      <c r="CH352" s="1125">
        <f t="shared" si="435"/>
        <v>0</v>
      </c>
      <c r="CI352" s="1125">
        <f t="shared" si="436"/>
        <v>0.85</v>
      </c>
      <c r="CJ352" s="1125">
        <f t="shared" si="437"/>
        <v>0.85</v>
      </c>
      <c r="CK352" s="1125">
        <f t="shared" si="438"/>
        <v>0.85</v>
      </c>
      <c r="CL352" s="1125">
        <f t="shared" si="439"/>
        <v>0.85</v>
      </c>
      <c r="CM352" s="1125">
        <f t="shared" si="440"/>
        <v>0.85</v>
      </c>
      <c r="CN352" s="1125">
        <f t="shared" si="441"/>
        <v>0.85</v>
      </c>
      <c r="CO352" s="1125">
        <f t="shared" si="442"/>
        <v>0.85</v>
      </c>
      <c r="CP352" s="1125">
        <f t="shared" si="443"/>
        <v>0.7</v>
      </c>
      <c r="CQ352" s="1125">
        <f t="shared" si="444"/>
        <v>0.85</v>
      </c>
      <c r="CR352" s="1125">
        <f t="shared" si="445"/>
        <v>0.85</v>
      </c>
      <c r="CS352" s="1125">
        <f t="shared" si="446"/>
        <v>0.85</v>
      </c>
      <c r="CT352" s="1125">
        <f t="shared" si="447"/>
        <v>0.85</v>
      </c>
      <c r="CU352" s="1125">
        <v>1</v>
      </c>
      <c r="CV352" s="1125"/>
      <c r="CW352" s="1125">
        <f t="shared" si="448"/>
        <v>122</v>
      </c>
      <c r="CX352" s="1125">
        <f t="shared" si="449"/>
        <v>243</v>
      </c>
      <c r="CY352" s="1136" t="s">
        <v>4889</v>
      </c>
      <c r="CZ352" s="1129" t="s">
        <v>4890</v>
      </c>
      <c r="DA352" s="1129"/>
      <c r="DB352" s="1129"/>
      <c r="DC352" s="1125" t="s">
        <v>4998</v>
      </c>
      <c r="DD352" s="1125" t="s">
        <v>1250</v>
      </c>
      <c r="DE352" s="1125" t="str">
        <f t="shared" si="450"/>
        <v/>
      </c>
      <c r="DF352" s="1125">
        <v>1</v>
      </c>
      <c r="DG352" s="1120">
        <v>0</v>
      </c>
    </row>
    <row r="353" spans="1:111">
      <c r="A353" s="1125" t="s">
        <v>3487</v>
      </c>
      <c r="B353" s="1125" t="s">
        <v>3976</v>
      </c>
      <c r="C353" s="1125" t="s">
        <v>3977</v>
      </c>
      <c r="D353" s="1125" t="s">
        <v>248</v>
      </c>
      <c r="E353" s="1125">
        <v>905</v>
      </c>
      <c r="F353" s="1125">
        <v>-97.4</v>
      </c>
      <c r="G353" s="1125">
        <v>47.97</v>
      </c>
      <c r="H353" s="1125">
        <v>-6</v>
      </c>
      <c r="I353" s="1126">
        <v>-15.880000686645509</v>
      </c>
      <c r="J353" s="1126">
        <v>87.619999313354498</v>
      </c>
      <c r="K353" s="1127">
        <v>70.16000137329101</v>
      </c>
      <c r="L353" s="1125">
        <v>8614.8000000000011</v>
      </c>
      <c r="M353" s="1125">
        <v>403.2</v>
      </c>
      <c r="N353" s="1128">
        <v>15.259999656677246</v>
      </c>
      <c r="O353" s="1128">
        <v>26.6</v>
      </c>
      <c r="P353" s="1128">
        <v>25.879999828338622</v>
      </c>
      <c r="Q353" s="1128">
        <v>35.6</v>
      </c>
      <c r="R353" s="1128">
        <v>53.059999656677249</v>
      </c>
      <c r="S353" s="1128">
        <v>62.6</v>
      </c>
      <c r="T353" s="1128">
        <v>69.260001373291018</v>
      </c>
      <c r="U353" s="1128">
        <v>67.819999313354487</v>
      </c>
      <c r="V353" s="1128">
        <v>56.840000343322757</v>
      </c>
      <c r="W353" s="1128">
        <v>35.23999991416931</v>
      </c>
      <c r="X353" s="1128">
        <v>30.740000021457671</v>
      </c>
      <c r="Y353" s="1128">
        <v>23</v>
      </c>
      <c r="Z353" s="1128">
        <v>41.899506857427831</v>
      </c>
      <c r="AA353" s="1128">
        <f t="shared" si="376"/>
        <v>39.682368699217548</v>
      </c>
      <c r="AB353" s="1128">
        <f t="shared" si="377"/>
        <v>37.742937565218298</v>
      </c>
      <c r="AC353" s="1128">
        <f t="shared" si="378"/>
        <v>38.450972734703996</v>
      </c>
      <c r="AD353" s="1128">
        <f t="shared" si="379"/>
        <v>41.621913929595962</v>
      </c>
      <c r="AE353" s="1128">
        <f t="shared" si="380"/>
        <v>46.429206461762632</v>
      </c>
      <c r="AF353" s="1128">
        <f t="shared" si="381"/>
        <v>51.619755450074386</v>
      </c>
      <c r="AG353" s="1128">
        <f t="shared" si="382"/>
        <v>55.840564311946622</v>
      </c>
      <c r="AH353" s="1128">
        <f t="shared" si="383"/>
        <v>57.991414172898878</v>
      </c>
      <c r="AI353" s="1128">
        <f t="shared" si="384"/>
        <v>57.511652871074304</v>
      </c>
      <c r="AJ353" s="1128">
        <f t="shared" si="385"/>
        <v>54.526337583138911</v>
      </c>
      <c r="AK353" s="1128">
        <f t="shared" si="386"/>
        <v>49.813636743994223</v>
      </c>
      <c r="AL353" s="1128">
        <f t="shared" si="387"/>
        <v>44.601988452281574</v>
      </c>
      <c r="AM353" s="1125">
        <f t="shared" si="388"/>
        <v>1</v>
      </c>
      <c r="AN353" s="1125">
        <f t="shared" si="389"/>
        <v>1</v>
      </c>
      <c r="AO353" s="1125">
        <f t="shared" si="390"/>
        <v>1</v>
      </c>
      <c r="AP353" s="1125">
        <f t="shared" si="391"/>
        <v>1</v>
      </c>
      <c r="AQ353" s="1125">
        <f t="shared" si="392"/>
        <v>1</v>
      </c>
      <c r="AR353" s="1125">
        <f t="shared" si="393"/>
        <v>1</v>
      </c>
      <c r="AS353" s="1125">
        <f t="shared" si="394"/>
        <v>0</v>
      </c>
      <c r="AT353" s="1125">
        <f t="shared" si="395"/>
        <v>0</v>
      </c>
      <c r="AU353" s="1125">
        <f t="shared" si="396"/>
        <v>1</v>
      </c>
      <c r="AV353" s="1125">
        <f t="shared" si="397"/>
        <v>1</v>
      </c>
      <c r="AW353" s="1125">
        <f t="shared" si="398"/>
        <v>1</v>
      </c>
      <c r="AX353" s="1125">
        <f t="shared" si="399"/>
        <v>1</v>
      </c>
      <c r="AY353" s="1125">
        <f t="shared" si="400"/>
        <v>0</v>
      </c>
      <c r="AZ353" s="1125">
        <f t="shared" si="401"/>
        <v>0</v>
      </c>
      <c r="BA353" s="1125">
        <f t="shared" si="402"/>
        <v>0</v>
      </c>
      <c r="BB353" s="1125">
        <f t="shared" si="403"/>
        <v>0</v>
      </c>
      <c r="BC353" s="1125">
        <f t="shared" si="404"/>
        <v>0</v>
      </c>
      <c r="BD353" s="1125">
        <f t="shared" si="405"/>
        <v>0</v>
      </c>
      <c r="BE353" s="1125">
        <f t="shared" si="406"/>
        <v>1</v>
      </c>
      <c r="BF353" s="1125">
        <f t="shared" si="407"/>
        <v>1</v>
      </c>
      <c r="BG353" s="1125">
        <f t="shared" si="408"/>
        <v>0</v>
      </c>
      <c r="BH353" s="1125">
        <f t="shared" si="409"/>
        <v>0</v>
      </c>
      <c r="BI353" s="1125">
        <f t="shared" si="410"/>
        <v>0</v>
      </c>
      <c r="BJ353" s="1125">
        <f t="shared" si="411"/>
        <v>0</v>
      </c>
      <c r="BK353" s="1125">
        <f t="shared" si="412"/>
        <v>1</v>
      </c>
      <c r="BL353" s="1125">
        <f t="shared" si="413"/>
        <v>1</v>
      </c>
      <c r="BM353" s="1125">
        <f t="shared" si="414"/>
        <v>1</v>
      </c>
      <c r="BN353" s="1125">
        <f t="shared" si="415"/>
        <v>1</v>
      </c>
      <c r="BO353" s="1125">
        <f t="shared" si="416"/>
        <v>1</v>
      </c>
      <c r="BP353" s="1125">
        <f t="shared" si="417"/>
        <v>1</v>
      </c>
      <c r="BQ353" s="1125">
        <f t="shared" si="418"/>
        <v>1</v>
      </c>
      <c r="BR353" s="1125">
        <f t="shared" si="419"/>
        <v>0</v>
      </c>
      <c r="BS353" s="1125">
        <f t="shared" si="420"/>
        <v>1</v>
      </c>
      <c r="BT353" s="1125">
        <f t="shared" si="421"/>
        <v>1</v>
      </c>
      <c r="BU353" s="1125">
        <f t="shared" si="422"/>
        <v>1</v>
      </c>
      <c r="BV353" s="1125">
        <f t="shared" si="423"/>
        <v>1</v>
      </c>
      <c r="BW353" s="1125">
        <f t="shared" si="424"/>
        <v>0</v>
      </c>
      <c r="BX353" s="1125">
        <f t="shared" si="425"/>
        <v>0</v>
      </c>
      <c r="BY353" s="1125">
        <f t="shared" si="426"/>
        <v>0</v>
      </c>
      <c r="BZ353" s="1125">
        <f t="shared" si="427"/>
        <v>0</v>
      </c>
      <c r="CA353" s="1125">
        <f t="shared" si="428"/>
        <v>0</v>
      </c>
      <c r="CB353" s="1125">
        <f t="shared" si="429"/>
        <v>1</v>
      </c>
      <c r="CC353" s="1125">
        <f t="shared" si="430"/>
        <v>1</v>
      </c>
      <c r="CD353" s="1125">
        <f t="shared" si="431"/>
        <v>1</v>
      </c>
      <c r="CE353" s="1125">
        <f t="shared" si="432"/>
        <v>1</v>
      </c>
      <c r="CF353" s="1125">
        <f t="shared" si="433"/>
        <v>0</v>
      </c>
      <c r="CG353" s="1125">
        <f t="shared" si="434"/>
        <v>0</v>
      </c>
      <c r="CH353" s="1125">
        <f t="shared" si="435"/>
        <v>0</v>
      </c>
      <c r="CI353" s="1125">
        <f t="shared" si="436"/>
        <v>0.85</v>
      </c>
      <c r="CJ353" s="1125">
        <f t="shared" si="437"/>
        <v>0.85</v>
      </c>
      <c r="CK353" s="1125">
        <f t="shared" si="438"/>
        <v>0.85</v>
      </c>
      <c r="CL353" s="1125">
        <f t="shared" si="439"/>
        <v>0.85</v>
      </c>
      <c r="CM353" s="1125">
        <f t="shared" si="440"/>
        <v>0.85</v>
      </c>
      <c r="CN353" s="1125">
        <f t="shared" si="441"/>
        <v>0.85</v>
      </c>
      <c r="CO353" s="1125">
        <f t="shared" si="442"/>
        <v>0.85</v>
      </c>
      <c r="CP353" s="1125">
        <f t="shared" si="443"/>
        <v>0.7</v>
      </c>
      <c r="CQ353" s="1125">
        <f t="shared" si="444"/>
        <v>0.85</v>
      </c>
      <c r="CR353" s="1125">
        <f t="shared" si="445"/>
        <v>0.85</v>
      </c>
      <c r="CS353" s="1125">
        <f t="shared" si="446"/>
        <v>0.85</v>
      </c>
      <c r="CT353" s="1125">
        <f t="shared" si="447"/>
        <v>0.85</v>
      </c>
      <c r="CU353" s="1125">
        <v>1</v>
      </c>
      <c r="CV353" s="1125"/>
      <c r="CW353" s="1125">
        <f t="shared" si="448"/>
        <v>122</v>
      </c>
      <c r="CX353" s="1125">
        <f t="shared" si="449"/>
        <v>243</v>
      </c>
      <c r="CY353" s="1136" t="s">
        <v>4879</v>
      </c>
      <c r="CZ353" s="1129">
        <v>7</v>
      </c>
      <c r="DA353" s="1129"/>
      <c r="DB353" s="1129"/>
      <c r="DC353" s="1125" t="s">
        <v>5405</v>
      </c>
      <c r="DD353" s="1125" t="s">
        <v>248</v>
      </c>
      <c r="DE353" s="1120" t="b">
        <f t="shared" si="450"/>
        <v>0</v>
      </c>
      <c r="DF353" s="1133">
        <v>0</v>
      </c>
      <c r="DG353" s="1125">
        <v>0</v>
      </c>
    </row>
    <row r="354" spans="1:111">
      <c r="A354" s="1120" t="s">
        <v>3489</v>
      </c>
      <c r="B354" s="1120" t="s">
        <v>3978</v>
      </c>
      <c r="C354" s="1120" t="s">
        <v>3979</v>
      </c>
      <c r="D354" s="1120" t="s">
        <v>248</v>
      </c>
      <c r="E354" s="1120">
        <v>840</v>
      </c>
      <c r="F354" s="1120">
        <v>-97.18</v>
      </c>
      <c r="G354" s="1120">
        <v>47.95</v>
      </c>
      <c r="H354" s="1120">
        <v>-6</v>
      </c>
      <c r="I354" s="1121">
        <v>-17.139998626708987</v>
      </c>
      <c r="J354" s="1121">
        <v>86.539998626708979</v>
      </c>
      <c r="K354" s="1122">
        <v>69.439998626708984</v>
      </c>
      <c r="L354" s="1120">
        <v>9232.2000000000007</v>
      </c>
      <c r="M354" s="1120">
        <v>540</v>
      </c>
      <c r="N354" s="1123">
        <v>8.9599996566772457</v>
      </c>
      <c r="O354" s="1123">
        <v>4.9999999999999991</v>
      </c>
      <c r="P354" s="1123">
        <v>26.420000171661378</v>
      </c>
      <c r="Q354" s="1123">
        <v>48.019999313354489</v>
      </c>
      <c r="R354" s="1123">
        <v>58.819999313354494</v>
      </c>
      <c r="S354" s="1123">
        <v>66.919999313354495</v>
      </c>
      <c r="T354" s="1123">
        <v>69.439998626708984</v>
      </c>
      <c r="U354" s="1123">
        <v>70.16000137329101</v>
      </c>
      <c r="V354" s="1123">
        <v>59.359999656677246</v>
      </c>
      <c r="W354" s="1123">
        <v>42.259999656677245</v>
      </c>
      <c r="X354" s="1123">
        <v>23.720000171661376</v>
      </c>
      <c r="Y354" s="1123">
        <v>5.7199993133544913</v>
      </c>
      <c r="Z354" s="1123">
        <v>40.591177794835339</v>
      </c>
      <c r="AA354" s="1123">
        <f t="shared" si="376"/>
        <v>37.18049330513692</v>
      </c>
      <c r="AB354" s="1123">
        <f t="shared" si="377"/>
        <v>34.794371922676042</v>
      </c>
      <c r="AC354" s="1123">
        <f t="shared" si="378"/>
        <v>35.483269785074832</v>
      </c>
      <c r="AD354" s="1123">
        <f t="shared" si="379"/>
        <v>39.067615048261651</v>
      </c>
      <c r="AE354" s="1123">
        <f t="shared" si="380"/>
        <v>44.613092882954341</v>
      </c>
      <c r="AF354" s="1123">
        <f t="shared" si="381"/>
        <v>50.674189033140031</v>
      </c>
      <c r="AG354" s="1123">
        <f t="shared" si="382"/>
        <v>55.670985382953816</v>
      </c>
      <c r="AH354" s="1123">
        <f t="shared" si="383"/>
        <v>58.30098996085411</v>
      </c>
      <c r="AI354" s="1123">
        <f t="shared" si="384"/>
        <v>57.878651544013856</v>
      </c>
      <c r="AJ354" s="1123">
        <f t="shared" si="385"/>
        <v>54.514059149214468</v>
      </c>
      <c r="AK354" s="1123">
        <f t="shared" si="386"/>
        <v>49.084245634098693</v>
      </c>
      <c r="AL354" s="1123">
        <f t="shared" si="387"/>
        <v>43.004575567340581</v>
      </c>
      <c r="AM354" s="1120">
        <f t="shared" si="388"/>
        <v>1</v>
      </c>
      <c r="AN354" s="1120">
        <f t="shared" si="389"/>
        <v>1</v>
      </c>
      <c r="AO354" s="1120">
        <f t="shared" si="390"/>
        <v>1</v>
      </c>
      <c r="AP354" s="1120">
        <f t="shared" si="391"/>
        <v>1</v>
      </c>
      <c r="AQ354" s="1120">
        <f t="shared" si="392"/>
        <v>1</v>
      </c>
      <c r="AR354" s="1120">
        <f t="shared" si="393"/>
        <v>0</v>
      </c>
      <c r="AS354" s="1120">
        <f t="shared" si="394"/>
        <v>0</v>
      </c>
      <c r="AT354" s="1120">
        <f t="shared" si="395"/>
        <v>0</v>
      </c>
      <c r="AU354" s="1120">
        <f t="shared" si="396"/>
        <v>1</v>
      </c>
      <c r="AV354" s="1120">
        <f t="shared" si="397"/>
        <v>1</v>
      </c>
      <c r="AW354" s="1120">
        <f t="shared" si="398"/>
        <v>1</v>
      </c>
      <c r="AX354" s="1120">
        <f t="shared" si="399"/>
        <v>1</v>
      </c>
      <c r="AY354" s="1120">
        <f t="shared" si="400"/>
        <v>0</v>
      </c>
      <c r="AZ354" s="1120">
        <f t="shared" si="401"/>
        <v>0</v>
      </c>
      <c r="BA354" s="1120">
        <f t="shared" si="402"/>
        <v>0</v>
      </c>
      <c r="BB354" s="1120">
        <f t="shared" si="403"/>
        <v>0</v>
      </c>
      <c r="BC354" s="1120">
        <f t="shared" si="404"/>
        <v>0</v>
      </c>
      <c r="BD354" s="1120">
        <f t="shared" si="405"/>
        <v>1</v>
      </c>
      <c r="BE354" s="1120">
        <f t="shared" si="406"/>
        <v>1</v>
      </c>
      <c r="BF354" s="1120">
        <f t="shared" si="407"/>
        <v>1</v>
      </c>
      <c r="BG354" s="1120">
        <f t="shared" si="408"/>
        <v>0</v>
      </c>
      <c r="BH354" s="1120">
        <f t="shared" si="409"/>
        <v>0</v>
      </c>
      <c r="BI354" s="1120">
        <f t="shared" si="410"/>
        <v>0</v>
      </c>
      <c r="BJ354" s="1120">
        <f t="shared" si="411"/>
        <v>0</v>
      </c>
      <c r="BK354" s="1120">
        <f t="shared" si="412"/>
        <v>1</v>
      </c>
      <c r="BL354" s="1120">
        <f t="shared" si="413"/>
        <v>1</v>
      </c>
      <c r="BM354" s="1120">
        <f t="shared" si="414"/>
        <v>1</v>
      </c>
      <c r="BN354" s="1120">
        <f t="shared" si="415"/>
        <v>1</v>
      </c>
      <c r="BO354" s="1120">
        <f t="shared" si="416"/>
        <v>1</v>
      </c>
      <c r="BP354" s="1120">
        <f t="shared" si="417"/>
        <v>1</v>
      </c>
      <c r="BQ354" s="1120">
        <f t="shared" si="418"/>
        <v>0</v>
      </c>
      <c r="BR354" s="1120">
        <f t="shared" si="419"/>
        <v>0</v>
      </c>
      <c r="BS354" s="1120">
        <f t="shared" si="420"/>
        <v>1</v>
      </c>
      <c r="BT354" s="1120">
        <f t="shared" si="421"/>
        <v>1</v>
      </c>
      <c r="BU354" s="1120">
        <f t="shared" si="422"/>
        <v>1</v>
      </c>
      <c r="BV354" s="1120">
        <f t="shared" si="423"/>
        <v>1</v>
      </c>
      <c r="BW354" s="1120">
        <f t="shared" si="424"/>
        <v>0</v>
      </c>
      <c r="BX354" s="1120">
        <f t="shared" si="425"/>
        <v>0</v>
      </c>
      <c r="BY354" s="1120">
        <f t="shared" si="426"/>
        <v>0</v>
      </c>
      <c r="BZ354" s="1120">
        <f t="shared" si="427"/>
        <v>0</v>
      </c>
      <c r="CA354" s="1120">
        <f t="shared" si="428"/>
        <v>1</v>
      </c>
      <c r="CB354" s="1120">
        <f t="shared" si="429"/>
        <v>1</v>
      </c>
      <c r="CC354" s="1120">
        <f t="shared" si="430"/>
        <v>1</v>
      </c>
      <c r="CD354" s="1120">
        <f t="shared" si="431"/>
        <v>1</v>
      </c>
      <c r="CE354" s="1120">
        <f t="shared" si="432"/>
        <v>1</v>
      </c>
      <c r="CF354" s="1120">
        <f t="shared" si="433"/>
        <v>0</v>
      </c>
      <c r="CG354" s="1120">
        <f t="shared" si="434"/>
        <v>0</v>
      </c>
      <c r="CH354" s="1120">
        <f t="shared" si="435"/>
        <v>0</v>
      </c>
      <c r="CI354" s="1120">
        <f t="shared" si="436"/>
        <v>0.85</v>
      </c>
      <c r="CJ354" s="1120">
        <f t="shared" si="437"/>
        <v>0.85</v>
      </c>
      <c r="CK354" s="1120">
        <f t="shared" si="438"/>
        <v>0.85</v>
      </c>
      <c r="CL354" s="1120">
        <f t="shared" si="439"/>
        <v>0.85</v>
      </c>
      <c r="CM354" s="1120">
        <f t="shared" si="440"/>
        <v>0.85</v>
      </c>
      <c r="CN354" s="1120">
        <f t="shared" si="441"/>
        <v>0.85</v>
      </c>
      <c r="CO354" s="1120">
        <f t="shared" si="442"/>
        <v>0.7</v>
      </c>
      <c r="CP354" s="1120">
        <f t="shared" si="443"/>
        <v>0.7</v>
      </c>
      <c r="CQ354" s="1120">
        <f t="shared" si="444"/>
        <v>0.85</v>
      </c>
      <c r="CR354" s="1120">
        <f t="shared" si="445"/>
        <v>0.85</v>
      </c>
      <c r="CS354" s="1120">
        <f t="shared" si="446"/>
        <v>0.85</v>
      </c>
      <c r="CT354" s="1120">
        <f t="shared" si="447"/>
        <v>0.85</v>
      </c>
      <c r="CU354" s="1120">
        <v>1</v>
      </c>
      <c r="CV354" s="1120"/>
      <c r="CW354" s="1120">
        <f t="shared" si="448"/>
        <v>153</v>
      </c>
      <c r="CX354" s="1120">
        <f t="shared" si="449"/>
        <v>212</v>
      </c>
      <c r="CY354" s="1135" t="s">
        <v>4879</v>
      </c>
      <c r="CZ354" s="1124">
        <v>7</v>
      </c>
      <c r="DA354" s="1124"/>
      <c r="DB354" s="1124"/>
      <c r="DC354" s="1120" t="s">
        <v>5406</v>
      </c>
      <c r="DD354" s="1120" t="s">
        <v>248</v>
      </c>
      <c r="DE354" s="1120" t="str">
        <f t="shared" si="450"/>
        <v/>
      </c>
      <c r="DF354" s="1133">
        <v>0</v>
      </c>
      <c r="DG354" s="1120">
        <v>0</v>
      </c>
    </row>
    <row r="355" spans="1:111">
      <c r="A355" s="1125" t="s">
        <v>3491</v>
      </c>
      <c r="B355" s="1125" t="s">
        <v>4006</v>
      </c>
      <c r="C355" s="1125" t="s">
        <v>4007</v>
      </c>
      <c r="D355" s="1125" t="s">
        <v>771</v>
      </c>
      <c r="E355" s="1125">
        <v>1840</v>
      </c>
      <c r="F355" s="1125">
        <v>-98.32</v>
      </c>
      <c r="G355" s="1125">
        <v>40.97</v>
      </c>
      <c r="H355" s="1125">
        <v>-6</v>
      </c>
      <c r="I355" s="1126">
        <v>-3.9998626708985165E-2</v>
      </c>
      <c r="J355" s="1126">
        <v>93.020002746582037</v>
      </c>
      <c r="K355" s="1127">
        <v>73.039998626708979</v>
      </c>
      <c r="L355" s="1125">
        <v>6552</v>
      </c>
      <c r="M355" s="1125">
        <v>1089</v>
      </c>
      <c r="N355" s="1128">
        <v>17.419999313354491</v>
      </c>
      <c r="O355" s="1128">
        <v>23.9</v>
      </c>
      <c r="P355" s="1128">
        <v>38.120000171661374</v>
      </c>
      <c r="Q355" s="1128">
        <v>52.159999656677243</v>
      </c>
      <c r="R355" s="1128">
        <v>60.8</v>
      </c>
      <c r="S355" s="1128">
        <v>73.039998626708979</v>
      </c>
      <c r="T355" s="1128">
        <v>75.919999313354495</v>
      </c>
      <c r="U355" s="1128">
        <v>73.400000000000006</v>
      </c>
      <c r="V355" s="1128">
        <v>65.119999313354498</v>
      </c>
      <c r="W355" s="1128">
        <v>51.440000343322751</v>
      </c>
      <c r="X355" s="1128">
        <v>34.339999914169312</v>
      </c>
      <c r="Y355" s="1128">
        <v>25.879999828338622</v>
      </c>
      <c r="Z355" s="1128">
        <v>49.428438064104888</v>
      </c>
      <c r="AA355" s="1128">
        <f t="shared" si="376"/>
        <v>43.824409676958609</v>
      </c>
      <c r="AB355" s="1128">
        <f t="shared" si="377"/>
        <v>42.140981095950657</v>
      </c>
      <c r="AC355" s="1128">
        <f t="shared" si="378"/>
        <v>43.921132939602195</v>
      </c>
      <c r="AD355" s="1128">
        <f t="shared" si="379"/>
        <v>48.700841196895148</v>
      </c>
      <c r="AE355" s="1128">
        <f t="shared" si="380"/>
        <v>55.234201253032275</v>
      </c>
      <c r="AF355" s="1128">
        <f t="shared" si="381"/>
        <v>61.818192127255344</v>
      </c>
      <c r="AG355" s="1128">
        <f t="shared" si="382"/>
        <v>66.7365951358275</v>
      </c>
      <c r="AH355" s="1128">
        <f t="shared" si="383"/>
        <v>68.707352739679749</v>
      </c>
      <c r="AI355" s="1128">
        <f t="shared" si="384"/>
        <v>67.216756599074046</v>
      </c>
      <c r="AJ355" s="1128">
        <f t="shared" si="385"/>
        <v>62.653353568841091</v>
      </c>
      <c r="AK355" s="1128">
        <f t="shared" si="386"/>
        <v>56.206664972980498</v>
      </c>
      <c r="AL355" s="1128">
        <f t="shared" si="387"/>
        <v>49.557119540481807</v>
      </c>
      <c r="AM355" s="1125">
        <f t="shared" si="388"/>
        <v>1</v>
      </c>
      <c r="AN355" s="1125">
        <f t="shared" si="389"/>
        <v>1</v>
      </c>
      <c r="AO355" s="1125">
        <f t="shared" si="390"/>
        <v>1</v>
      </c>
      <c r="AP355" s="1125">
        <f t="shared" si="391"/>
        <v>1</v>
      </c>
      <c r="AQ355" s="1125">
        <f t="shared" si="392"/>
        <v>1</v>
      </c>
      <c r="AR355" s="1125">
        <f t="shared" si="393"/>
        <v>0</v>
      </c>
      <c r="AS355" s="1125">
        <f t="shared" si="394"/>
        <v>0</v>
      </c>
      <c r="AT355" s="1125">
        <f t="shared" si="395"/>
        <v>0</v>
      </c>
      <c r="AU355" s="1125">
        <f t="shared" si="396"/>
        <v>1</v>
      </c>
      <c r="AV355" s="1125">
        <f t="shared" si="397"/>
        <v>1</v>
      </c>
      <c r="AW355" s="1125">
        <f t="shared" si="398"/>
        <v>1</v>
      </c>
      <c r="AX355" s="1125">
        <f t="shared" si="399"/>
        <v>1</v>
      </c>
      <c r="AY355" s="1125">
        <f t="shared" si="400"/>
        <v>0</v>
      </c>
      <c r="AZ355" s="1125">
        <f t="shared" si="401"/>
        <v>0</v>
      </c>
      <c r="BA355" s="1125">
        <f t="shared" si="402"/>
        <v>0</v>
      </c>
      <c r="BB355" s="1125">
        <f t="shared" si="403"/>
        <v>0</v>
      </c>
      <c r="BC355" s="1125">
        <f t="shared" si="404"/>
        <v>0</v>
      </c>
      <c r="BD355" s="1125">
        <f t="shared" si="405"/>
        <v>1</v>
      </c>
      <c r="BE355" s="1125">
        <f t="shared" si="406"/>
        <v>1</v>
      </c>
      <c r="BF355" s="1125">
        <f t="shared" si="407"/>
        <v>1</v>
      </c>
      <c r="BG355" s="1125">
        <f t="shared" si="408"/>
        <v>0</v>
      </c>
      <c r="BH355" s="1125">
        <f t="shared" si="409"/>
        <v>0</v>
      </c>
      <c r="BI355" s="1125">
        <f t="shared" si="410"/>
        <v>0</v>
      </c>
      <c r="BJ355" s="1125">
        <f t="shared" si="411"/>
        <v>0</v>
      </c>
      <c r="BK355" s="1125">
        <f t="shared" si="412"/>
        <v>1</v>
      </c>
      <c r="BL355" s="1125">
        <f t="shared" si="413"/>
        <v>1</v>
      </c>
      <c r="BM355" s="1125">
        <f t="shared" si="414"/>
        <v>1</v>
      </c>
      <c r="BN355" s="1125">
        <f t="shared" si="415"/>
        <v>1</v>
      </c>
      <c r="BO355" s="1125">
        <f t="shared" si="416"/>
        <v>1</v>
      </c>
      <c r="BP355" s="1125">
        <f t="shared" si="417"/>
        <v>1</v>
      </c>
      <c r="BQ355" s="1125">
        <f t="shared" si="418"/>
        <v>0</v>
      </c>
      <c r="BR355" s="1125">
        <f t="shared" si="419"/>
        <v>0</v>
      </c>
      <c r="BS355" s="1125">
        <f t="shared" si="420"/>
        <v>1</v>
      </c>
      <c r="BT355" s="1125">
        <f t="shared" si="421"/>
        <v>1</v>
      </c>
      <c r="BU355" s="1125">
        <f t="shared" si="422"/>
        <v>1</v>
      </c>
      <c r="BV355" s="1125">
        <f t="shared" si="423"/>
        <v>1</v>
      </c>
      <c r="BW355" s="1125">
        <f t="shared" si="424"/>
        <v>0</v>
      </c>
      <c r="BX355" s="1125">
        <f t="shared" si="425"/>
        <v>0</v>
      </c>
      <c r="BY355" s="1125">
        <f t="shared" si="426"/>
        <v>0</v>
      </c>
      <c r="BZ355" s="1125">
        <f t="shared" si="427"/>
        <v>0</v>
      </c>
      <c r="CA355" s="1125">
        <f t="shared" si="428"/>
        <v>1</v>
      </c>
      <c r="CB355" s="1125">
        <f t="shared" si="429"/>
        <v>1</v>
      </c>
      <c r="CC355" s="1125">
        <f t="shared" si="430"/>
        <v>1</v>
      </c>
      <c r="CD355" s="1125">
        <f t="shared" si="431"/>
        <v>1</v>
      </c>
      <c r="CE355" s="1125">
        <f t="shared" si="432"/>
        <v>1</v>
      </c>
      <c r="CF355" s="1125">
        <f t="shared" si="433"/>
        <v>0</v>
      </c>
      <c r="CG355" s="1125">
        <f t="shared" si="434"/>
        <v>0</v>
      </c>
      <c r="CH355" s="1125">
        <f t="shared" si="435"/>
        <v>0</v>
      </c>
      <c r="CI355" s="1125">
        <f t="shared" si="436"/>
        <v>0.85</v>
      </c>
      <c r="CJ355" s="1125">
        <f t="shared" si="437"/>
        <v>0.85</v>
      </c>
      <c r="CK355" s="1125">
        <f t="shared" si="438"/>
        <v>0.85</v>
      </c>
      <c r="CL355" s="1125">
        <f t="shared" si="439"/>
        <v>0.85</v>
      </c>
      <c r="CM355" s="1125">
        <f t="shared" si="440"/>
        <v>0.85</v>
      </c>
      <c r="CN355" s="1125">
        <f t="shared" si="441"/>
        <v>0.85</v>
      </c>
      <c r="CO355" s="1125">
        <f t="shared" si="442"/>
        <v>0.7</v>
      </c>
      <c r="CP355" s="1125">
        <f t="shared" si="443"/>
        <v>0.7</v>
      </c>
      <c r="CQ355" s="1125">
        <f t="shared" si="444"/>
        <v>0.85</v>
      </c>
      <c r="CR355" s="1125">
        <f t="shared" si="445"/>
        <v>0.85</v>
      </c>
      <c r="CS355" s="1125">
        <f t="shared" si="446"/>
        <v>0.85</v>
      </c>
      <c r="CT355" s="1125">
        <f t="shared" si="447"/>
        <v>0.85</v>
      </c>
      <c r="CU355" s="1125">
        <v>1</v>
      </c>
      <c r="CV355" s="1125"/>
      <c r="CW355" s="1125">
        <f t="shared" si="448"/>
        <v>153</v>
      </c>
      <c r="CX355" s="1125">
        <f t="shared" si="449"/>
        <v>212</v>
      </c>
      <c r="CY355" s="1135" t="s">
        <v>4889</v>
      </c>
      <c r="CZ355" s="1124" t="s">
        <v>4897</v>
      </c>
      <c r="DA355" s="1124"/>
      <c r="DB355" s="1124"/>
      <c r="DC355" s="1120" t="s">
        <v>5419</v>
      </c>
      <c r="DD355" s="1120" t="s">
        <v>771</v>
      </c>
      <c r="DE355" s="1120" t="str">
        <f t="shared" si="450"/>
        <v/>
      </c>
      <c r="DF355" s="1133">
        <v>0</v>
      </c>
      <c r="DG355" s="1125">
        <v>0</v>
      </c>
    </row>
    <row r="356" spans="1:111">
      <c r="A356" s="1120" t="s">
        <v>5842</v>
      </c>
      <c r="B356" s="1120" t="s">
        <v>3232</v>
      </c>
      <c r="C356" s="1120" t="s">
        <v>3233</v>
      </c>
      <c r="D356" s="1120" t="s">
        <v>536</v>
      </c>
      <c r="E356" s="1120">
        <v>4838</v>
      </c>
      <c r="F356" s="1120">
        <v>-108.53</v>
      </c>
      <c r="G356" s="1120">
        <v>39.130000000000003</v>
      </c>
      <c r="H356" s="1120">
        <v>-7</v>
      </c>
      <c r="I356" s="1121">
        <v>11.659999656677245</v>
      </c>
      <c r="J356" s="1121">
        <v>94.820002746582034</v>
      </c>
      <c r="K356" s="1122">
        <v>60.980000686645511</v>
      </c>
      <c r="L356" s="1120">
        <v>5218.2</v>
      </c>
      <c r="M356" s="1120">
        <v>1310.4000000000001</v>
      </c>
      <c r="N356" s="1123">
        <v>28.220000171661376</v>
      </c>
      <c r="O356" s="1123">
        <v>34.160000085830688</v>
      </c>
      <c r="P356" s="1123">
        <v>43.879999828338626</v>
      </c>
      <c r="Q356" s="1123">
        <v>53.240000343322755</v>
      </c>
      <c r="R356" s="1123">
        <v>63.139998626708987</v>
      </c>
      <c r="S356" s="1123">
        <v>74.480000686645511</v>
      </c>
      <c r="T356" s="1123">
        <v>78.8</v>
      </c>
      <c r="U356" s="1123">
        <v>75.919999313354495</v>
      </c>
      <c r="V356" s="1123">
        <v>67.819999313354487</v>
      </c>
      <c r="W356" s="1123">
        <v>54.680000686645506</v>
      </c>
      <c r="X356" s="1123">
        <v>39.02000017166138</v>
      </c>
      <c r="Y356" s="1123">
        <v>29.839999914169312</v>
      </c>
      <c r="Z356" s="1123">
        <v>53.70454787019181</v>
      </c>
      <c r="AA356" s="1123">
        <f t="shared" si="376"/>
        <v>48.306569931104065</v>
      </c>
      <c r="AB356" s="1123">
        <f t="shared" si="377"/>
        <v>47.175441663367309</v>
      </c>
      <c r="AC356" s="1123">
        <f t="shared" si="378"/>
        <v>49.310218007810477</v>
      </c>
      <c r="AD356" s="1123">
        <f t="shared" si="379"/>
        <v>54.15443661235517</v>
      </c>
      <c r="AE356" s="1123">
        <f t="shared" si="380"/>
        <v>60.445377246058428</v>
      </c>
      <c r="AF356" s="1123">
        <f t="shared" si="381"/>
        <v>66.543209286415802</v>
      </c>
      <c r="AG356" s="1123">
        <f t="shared" si="382"/>
        <v>70.858438841671926</v>
      </c>
      <c r="AH356" s="1123">
        <f t="shared" si="383"/>
        <v>72.266234828548917</v>
      </c>
      <c r="AI356" s="1123">
        <f t="shared" si="384"/>
        <v>70.39963352827445</v>
      </c>
      <c r="AJ356" s="1123">
        <f t="shared" si="385"/>
        <v>65.745193334961797</v>
      </c>
      <c r="AK356" s="1123">
        <f t="shared" si="386"/>
        <v>59.516165812092453</v>
      </c>
      <c r="AL356" s="1123">
        <f t="shared" si="387"/>
        <v>53.336242975722101</v>
      </c>
      <c r="AM356" s="1120">
        <f t="shared" si="388"/>
        <v>1</v>
      </c>
      <c r="AN356" s="1120">
        <f t="shared" si="389"/>
        <v>1</v>
      </c>
      <c r="AO356" s="1120">
        <f t="shared" si="390"/>
        <v>1</v>
      </c>
      <c r="AP356" s="1120">
        <f t="shared" si="391"/>
        <v>1</v>
      </c>
      <c r="AQ356" s="1120">
        <f t="shared" si="392"/>
        <v>1</v>
      </c>
      <c r="AR356" s="1120">
        <f t="shared" si="393"/>
        <v>0</v>
      </c>
      <c r="AS356" s="1120">
        <f t="shared" si="394"/>
        <v>0</v>
      </c>
      <c r="AT356" s="1120">
        <f t="shared" si="395"/>
        <v>0</v>
      </c>
      <c r="AU356" s="1120">
        <f t="shared" si="396"/>
        <v>0</v>
      </c>
      <c r="AV356" s="1120">
        <f t="shared" si="397"/>
        <v>1</v>
      </c>
      <c r="AW356" s="1120">
        <f t="shared" si="398"/>
        <v>1</v>
      </c>
      <c r="AX356" s="1120">
        <f t="shared" si="399"/>
        <v>1</v>
      </c>
      <c r="AY356" s="1120">
        <f t="shared" si="400"/>
        <v>0</v>
      </c>
      <c r="AZ356" s="1120">
        <f t="shared" si="401"/>
        <v>0</v>
      </c>
      <c r="BA356" s="1120">
        <f t="shared" si="402"/>
        <v>0</v>
      </c>
      <c r="BB356" s="1120">
        <f t="shared" si="403"/>
        <v>0</v>
      </c>
      <c r="BC356" s="1120">
        <f t="shared" si="404"/>
        <v>0</v>
      </c>
      <c r="BD356" s="1120">
        <f t="shared" si="405"/>
        <v>1</v>
      </c>
      <c r="BE356" s="1120">
        <f t="shared" si="406"/>
        <v>1</v>
      </c>
      <c r="BF356" s="1120">
        <f t="shared" si="407"/>
        <v>1</v>
      </c>
      <c r="BG356" s="1120">
        <f t="shared" si="408"/>
        <v>1</v>
      </c>
      <c r="BH356" s="1120">
        <f t="shared" si="409"/>
        <v>0</v>
      </c>
      <c r="BI356" s="1120">
        <f t="shared" si="410"/>
        <v>0</v>
      </c>
      <c r="BJ356" s="1120">
        <f t="shared" si="411"/>
        <v>0</v>
      </c>
      <c r="BK356" s="1120">
        <f t="shared" si="412"/>
        <v>1</v>
      </c>
      <c r="BL356" s="1120">
        <f t="shared" si="413"/>
        <v>1</v>
      </c>
      <c r="BM356" s="1120">
        <f t="shared" si="414"/>
        <v>1</v>
      </c>
      <c r="BN356" s="1120">
        <f t="shared" si="415"/>
        <v>1</v>
      </c>
      <c r="BO356" s="1120">
        <f t="shared" si="416"/>
        <v>1</v>
      </c>
      <c r="BP356" s="1120">
        <f t="shared" si="417"/>
        <v>1</v>
      </c>
      <c r="BQ356" s="1120">
        <f t="shared" si="418"/>
        <v>0</v>
      </c>
      <c r="BR356" s="1120">
        <f t="shared" si="419"/>
        <v>0</v>
      </c>
      <c r="BS356" s="1120">
        <f t="shared" si="420"/>
        <v>0</v>
      </c>
      <c r="BT356" s="1120">
        <f t="shared" si="421"/>
        <v>1</v>
      </c>
      <c r="BU356" s="1120">
        <f t="shared" si="422"/>
        <v>1</v>
      </c>
      <c r="BV356" s="1120">
        <f t="shared" si="423"/>
        <v>1</v>
      </c>
      <c r="BW356" s="1120">
        <f t="shared" si="424"/>
        <v>0</v>
      </c>
      <c r="BX356" s="1120">
        <f t="shared" si="425"/>
        <v>0</v>
      </c>
      <c r="BY356" s="1120">
        <f t="shared" si="426"/>
        <v>0</v>
      </c>
      <c r="BZ356" s="1120">
        <f t="shared" si="427"/>
        <v>0</v>
      </c>
      <c r="CA356" s="1120">
        <f t="shared" si="428"/>
        <v>1</v>
      </c>
      <c r="CB356" s="1120">
        <f t="shared" si="429"/>
        <v>1</v>
      </c>
      <c r="CC356" s="1120">
        <f t="shared" si="430"/>
        <v>1</v>
      </c>
      <c r="CD356" s="1120">
        <f t="shared" si="431"/>
        <v>1</v>
      </c>
      <c r="CE356" s="1120">
        <f t="shared" si="432"/>
        <v>1</v>
      </c>
      <c r="CF356" s="1120">
        <f t="shared" si="433"/>
        <v>1</v>
      </c>
      <c r="CG356" s="1120">
        <f t="shared" si="434"/>
        <v>0</v>
      </c>
      <c r="CH356" s="1120">
        <f t="shared" si="435"/>
        <v>0</v>
      </c>
      <c r="CI356" s="1120">
        <f t="shared" si="436"/>
        <v>0.85</v>
      </c>
      <c r="CJ356" s="1120">
        <f t="shared" si="437"/>
        <v>0.85</v>
      </c>
      <c r="CK356" s="1120">
        <f t="shared" si="438"/>
        <v>0.85</v>
      </c>
      <c r="CL356" s="1120">
        <f t="shared" si="439"/>
        <v>0.85</v>
      </c>
      <c r="CM356" s="1120">
        <f t="shared" si="440"/>
        <v>0.85</v>
      </c>
      <c r="CN356" s="1120">
        <f t="shared" si="441"/>
        <v>0.85</v>
      </c>
      <c r="CO356" s="1120">
        <f t="shared" si="442"/>
        <v>0.7</v>
      </c>
      <c r="CP356" s="1120">
        <f t="shared" si="443"/>
        <v>0.7</v>
      </c>
      <c r="CQ356" s="1120">
        <f t="shared" si="444"/>
        <v>0.7</v>
      </c>
      <c r="CR356" s="1120">
        <f t="shared" si="445"/>
        <v>0.85</v>
      </c>
      <c r="CS356" s="1120">
        <f t="shared" si="446"/>
        <v>0.85</v>
      </c>
      <c r="CT356" s="1120">
        <f t="shared" si="447"/>
        <v>0.85</v>
      </c>
      <c r="CU356" s="1120">
        <v>1</v>
      </c>
      <c r="CV356" s="1120"/>
      <c r="CW356" s="1120">
        <f t="shared" si="448"/>
        <v>184</v>
      </c>
      <c r="CX356" s="1120">
        <f t="shared" si="449"/>
        <v>181</v>
      </c>
      <c r="CY356" s="1135" t="s">
        <v>4889</v>
      </c>
      <c r="CZ356" s="1124" t="s">
        <v>4890</v>
      </c>
      <c r="DA356" s="1124"/>
      <c r="DB356" s="1124"/>
      <c r="DC356" s="1120" t="s">
        <v>5076</v>
      </c>
      <c r="DD356" s="1120" t="s">
        <v>536</v>
      </c>
      <c r="DE356" s="1120" t="str">
        <f t="shared" si="450"/>
        <v/>
      </c>
      <c r="DF356" s="1133">
        <v>0</v>
      </c>
      <c r="DG356" s="1120">
        <v>0</v>
      </c>
    </row>
    <row r="357" spans="1:111">
      <c r="A357" s="1125" t="s">
        <v>3493</v>
      </c>
      <c r="B357" s="1125" t="s">
        <v>3799</v>
      </c>
      <c r="C357" s="1125" t="s">
        <v>3800</v>
      </c>
      <c r="D357" s="1125" t="s">
        <v>934</v>
      </c>
      <c r="E357" s="1125">
        <v>1355</v>
      </c>
      <c r="F357" s="1125">
        <v>-93.52</v>
      </c>
      <c r="G357" s="1125">
        <v>47.22</v>
      </c>
      <c r="H357" s="1125">
        <v>-6</v>
      </c>
      <c r="I357" s="1126">
        <v>-14.8</v>
      </c>
      <c r="J357" s="1126">
        <v>81.680000686645513</v>
      </c>
      <c r="K357" s="1127">
        <v>67.099999999999994</v>
      </c>
      <c r="L357" s="1125">
        <v>8839.8000000000011</v>
      </c>
      <c r="M357" s="1125">
        <v>354.6</v>
      </c>
      <c r="N357" s="1128">
        <v>14.9</v>
      </c>
      <c r="O357" s="1128">
        <v>17.419999313354491</v>
      </c>
      <c r="P357" s="1128">
        <v>17.959999656677248</v>
      </c>
      <c r="Q357" s="1128">
        <v>45.320000171661377</v>
      </c>
      <c r="R357" s="1128">
        <v>55.040000343322752</v>
      </c>
      <c r="S357" s="1128">
        <v>66.560001373291016</v>
      </c>
      <c r="T357" s="1128">
        <v>66.739998626708982</v>
      </c>
      <c r="U357" s="1128">
        <v>65.3</v>
      </c>
      <c r="V357" s="1128">
        <v>57.380000686645509</v>
      </c>
      <c r="W357" s="1128">
        <v>35.960000085830686</v>
      </c>
      <c r="X357" s="1128">
        <v>36.5</v>
      </c>
      <c r="Y357" s="1128">
        <v>14.180000686645508</v>
      </c>
      <c r="Z357" s="1128">
        <v>41.186411038620832</v>
      </c>
      <c r="AA357" s="1128">
        <f t="shared" si="376"/>
        <v>39.410943176415515</v>
      </c>
      <c r="AB357" s="1128">
        <f t="shared" si="377"/>
        <v>37.502036058987173</v>
      </c>
      <c r="AC357" s="1128">
        <f t="shared" si="378"/>
        <v>38.117510520736253</v>
      </c>
      <c r="AD357" s="1128">
        <f t="shared" si="379"/>
        <v>41.096933658459314</v>
      </c>
      <c r="AE357" s="1128">
        <f t="shared" si="380"/>
        <v>45.663672917008462</v>
      </c>
      <c r="AF357" s="1128">
        <f t="shared" si="381"/>
        <v>50.627337333060645</v>
      </c>
      <c r="AG357" s="1128">
        <f t="shared" si="382"/>
        <v>54.6940712841878</v>
      </c>
      <c r="AH357" s="1128">
        <f t="shared" si="383"/>
        <v>56.803817895761433</v>
      </c>
      <c r="AI357" s="1128">
        <f t="shared" si="384"/>
        <v>56.406639201295462</v>
      </c>
      <c r="AJ357" s="1128">
        <f t="shared" si="385"/>
        <v>53.606065948211402</v>
      </c>
      <c r="AK357" s="1128">
        <f t="shared" si="386"/>
        <v>49.132110713065813</v>
      </c>
      <c r="AL357" s="1128">
        <f t="shared" si="387"/>
        <v>44.150978873636546</v>
      </c>
      <c r="AM357" s="1125">
        <f t="shared" si="388"/>
        <v>1</v>
      </c>
      <c r="AN357" s="1125">
        <f t="shared" si="389"/>
        <v>1</v>
      </c>
      <c r="AO357" s="1125">
        <f t="shared" si="390"/>
        <v>1</v>
      </c>
      <c r="AP357" s="1125">
        <f t="shared" si="391"/>
        <v>1</v>
      </c>
      <c r="AQ357" s="1125">
        <f t="shared" si="392"/>
        <v>1</v>
      </c>
      <c r="AR357" s="1125">
        <f t="shared" si="393"/>
        <v>0</v>
      </c>
      <c r="AS357" s="1125">
        <f t="shared" si="394"/>
        <v>0</v>
      </c>
      <c r="AT357" s="1125">
        <f t="shared" si="395"/>
        <v>1</v>
      </c>
      <c r="AU357" s="1125">
        <f t="shared" si="396"/>
        <v>1</v>
      </c>
      <c r="AV357" s="1125">
        <f t="shared" si="397"/>
        <v>1</v>
      </c>
      <c r="AW357" s="1125">
        <f t="shared" si="398"/>
        <v>1</v>
      </c>
      <c r="AX357" s="1125">
        <f t="shared" si="399"/>
        <v>1</v>
      </c>
      <c r="AY357" s="1125">
        <f t="shared" si="400"/>
        <v>0</v>
      </c>
      <c r="AZ357" s="1125">
        <f t="shared" si="401"/>
        <v>0</v>
      </c>
      <c r="BA357" s="1125">
        <f t="shared" si="402"/>
        <v>0</v>
      </c>
      <c r="BB357" s="1125">
        <f t="shared" si="403"/>
        <v>0</v>
      </c>
      <c r="BC357" s="1125">
        <f t="shared" si="404"/>
        <v>0</v>
      </c>
      <c r="BD357" s="1125">
        <f t="shared" si="405"/>
        <v>1</v>
      </c>
      <c r="BE357" s="1125">
        <f t="shared" si="406"/>
        <v>1</v>
      </c>
      <c r="BF357" s="1125">
        <f t="shared" si="407"/>
        <v>1</v>
      </c>
      <c r="BG357" s="1125">
        <f t="shared" si="408"/>
        <v>0</v>
      </c>
      <c r="BH357" s="1125">
        <f t="shared" si="409"/>
        <v>0</v>
      </c>
      <c r="BI357" s="1125">
        <f t="shared" si="410"/>
        <v>0</v>
      </c>
      <c r="BJ357" s="1125">
        <f t="shared" si="411"/>
        <v>0</v>
      </c>
      <c r="BK357" s="1125">
        <f t="shared" si="412"/>
        <v>1</v>
      </c>
      <c r="BL357" s="1125">
        <f t="shared" si="413"/>
        <v>1</v>
      </c>
      <c r="BM357" s="1125">
        <f t="shared" si="414"/>
        <v>1</v>
      </c>
      <c r="BN357" s="1125">
        <f t="shared" si="415"/>
        <v>1</v>
      </c>
      <c r="BO357" s="1125">
        <f t="shared" si="416"/>
        <v>1</v>
      </c>
      <c r="BP357" s="1125">
        <f t="shared" si="417"/>
        <v>1</v>
      </c>
      <c r="BQ357" s="1125">
        <f t="shared" si="418"/>
        <v>0</v>
      </c>
      <c r="BR357" s="1125">
        <f t="shared" si="419"/>
        <v>1</v>
      </c>
      <c r="BS357" s="1125">
        <f t="shared" si="420"/>
        <v>1</v>
      </c>
      <c r="BT357" s="1125">
        <f t="shared" si="421"/>
        <v>1</v>
      </c>
      <c r="BU357" s="1125">
        <f t="shared" si="422"/>
        <v>1</v>
      </c>
      <c r="BV357" s="1125">
        <f t="shared" si="423"/>
        <v>1</v>
      </c>
      <c r="BW357" s="1125">
        <f t="shared" si="424"/>
        <v>0</v>
      </c>
      <c r="BX357" s="1125">
        <f t="shared" si="425"/>
        <v>0</v>
      </c>
      <c r="BY357" s="1125">
        <f t="shared" si="426"/>
        <v>0</v>
      </c>
      <c r="BZ357" s="1125">
        <f t="shared" si="427"/>
        <v>0</v>
      </c>
      <c r="CA357" s="1125">
        <f t="shared" si="428"/>
        <v>1</v>
      </c>
      <c r="CB357" s="1125">
        <f t="shared" si="429"/>
        <v>1</v>
      </c>
      <c r="CC357" s="1125">
        <f t="shared" si="430"/>
        <v>1</v>
      </c>
      <c r="CD357" s="1125">
        <f t="shared" si="431"/>
        <v>1</v>
      </c>
      <c r="CE357" s="1125">
        <f t="shared" si="432"/>
        <v>0</v>
      </c>
      <c r="CF357" s="1125">
        <f t="shared" si="433"/>
        <v>0</v>
      </c>
      <c r="CG357" s="1125">
        <f t="shared" si="434"/>
        <v>0</v>
      </c>
      <c r="CH357" s="1125">
        <f t="shared" si="435"/>
        <v>0</v>
      </c>
      <c r="CI357" s="1125">
        <f t="shared" si="436"/>
        <v>0.85</v>
      </c>
      <c r="CJ357" s="1125">
        <f t="shared" si="437"/>
        <v>0.85</v>
      </c>
      <c r="CK357" s="1125">
        <f t="shared" si="438"/>
        <v>0.85</v>
      </c>
      <c r="CL357" s="1125">
        <f t="shared" si="439"/>
        <v>0.85</v>
      </c>
      <c r="CM357" s="1125">
        <f t="shared" si="440"/>
        <v>0.85</v>
      </c>
      <c r="CN357" s="1125">
        <f t="shared" si="441"/>
        <v>0.85</v>
      </c>
      <c r="CO357" s="1125">
        <f t="shared" si="442"/>
        <v>0.7</v>
      </c>
      <c r="CP357" s="1125">
        <f t="shared" si="443"/>
        <v>0.85</v>
      </c>
      <c r="CQ357" s="1125">
        <f t="shared" si="444"/>
        <v>0.85</v>
      </c>
      <c r="CR357" s="1125">
        <f t="shared" si="445"/>
        <v>0.85</v>
      </c>
      <c r="CS357" s="1125">
        <f t="shared" si="446"/>
        <v>0.85</v>
      </c>
      <c r="CT357" s="1125">
        <f t="shared" si="447"/>
        <v>0.85</v>
      </c>
      <c r="CU357" s="1125">
        <v>1</v>
      </c>
      <c r="CV357" s="1125"/>
      <c r="CW357" s="1125">
        <f t="shared" si="448"/>
        <v>123</v>
      </c>
      <c r="CX357" s="1125">
        <f t="shared" si="449"/>
        <v>242</v>
      </c>
      <c r="CY357" s="1136" t="s">
        <v>4879</v>
      </c>
      <c r="CZ357" s="1129">
        <v>7</v>
      </c>
      <c r="DA357" s="1129"/>
      <c r="DB357" s="1129"/>
      <c r="DC357" s="1125" t="s">
        <v>5753</v>
      </c>
      <c r="DD357" s="1125" t="s">
        <v>934</v>
      </c>
      <c r="DE357" s="1120" t="b">
        <f t="shared" si="450"/>
        <v>0</v>
      </c>
      <c r="DF357" s="1133">
        <v>0</v>
      </c>
      <c r="DG357" s="1125">
        <v>0</v>
      </c>
    </row>
    <row r="358" spans="1:111">
      <c r="A358" s="1120" t="s">
        <v>3497</v>
      </c>
      <c r="B358" s="1125" t="s">
        <v>3727</v>
      </c>
      <c r="C358" s="1125" t="s">
        <v>3728</v>
      </c>
      <c r="D358" s="1125" t="s">
        <v>540</v>
      </c>
      <c r="E358" s="1125">
        <v>794</v>
      </c>
      <c r="F358" s="1125">
        <v>-85.52</v>
      </c>
      <c r="G358" s="1125">
        <v>42.88</v>
      </c>
      <c r="H358" s="1125">
        <v>-5</v>
      </c>
      <c r="I358" s="1126">
        <v>6.0800006866455067</v>
      </c>
      <c r="J358" s="1126">
        <v>86.360001373291013</v>
      </c>
      <c r="K358" s="1127">
        <v>71.780000686645508</v>
      </c>
      <c r="L358" s="1125">
        <v>6669</v>
      </c>
      <c r="M358" s="1125">
        <v>640.80000000000007</v>
      </c>
      <c r="N358" s="1128">
        <v>21.740000343322755</v>
      </c>
      <c r="O358" s="1128">
        <v>23.540000343322752</v>
      </c>
      <c r="P358" s="1128">
        <v>34.339999914169312</v>
      </c>
      <c r="Q358" s="1128">
        <v>48.2</v>
      </c>
      <c r="R358" s="1128">
        <v>60.080000686645505</v>
      </c>
      <c r="S358" s="1128">
        <v>68</v>
      </c>
      <c r="T358" s="1128">
        <v>72.5</v>
      </c>
      <c r="U358" s="1128">
        <v>68.900000000000006</v>
      </c>
      <c r="V358" s="1128">
        <v>61.880000686645509</v>
      </c>
      <c r="W358" s="1128">
        <v>47.659999656677243</v>
      </c>
      <c r="X358" s="1128">
        <v>40.1</v>
      </c>
      <c r="Y358" s="1128">
        <v>26.420000171661378</v>
      </c>
      <c r="Z358" s="1128">
        <v>47.90509603879223</v>
      </c>
      <c r="AA358" s="1128">
        <f t="shared" si="376"/>
        <v>44.319653274454268</v>
      </c>
      <c r="AB358" s="1128">
        <f t="shared" si="377"/>
        <v>42.763960730558594</v>
      </c>
      <c r="AC358" s="1128">
        <f t="shared" si="378"/>
        <v>44.112376794846142</v>
      </c>
      <c r="AD358" s="1128">
        <f t="shared" si="379"/>
        <v>48.013416040439793</v>
      </c>
      <c r="AE358" s="1128">
        <f t="shared" si="380"/>
        <v>53.450212471141086</v>
      </c>
      <c r="AF358" s="1128">
        <f t="shared" si="381"/>
        <v>59.005581313718615</v>
      </c>
      <c r="AG358" s="1128">
        <f t="shared" si="382"/>
        <v>63.231430068529271</v>
      </c>
      <c r="AH358" s="1128">
        <f t="shared" si="383"/>
        <v>65.0262261353311</v>
      </c>
      <c r="AI358" s="1128">
        <f t="shared" si="384"/>
        <v>63.922128260667606</v>
      </c>
      <c r="AJ358" s="1128">
        <f t="shared" si="385"/>
        <v>60.206936570233097</v>
      </c>
      <c r="AK358" s="1128">
        <f t="shared" si="386"/>
        <v>54.849073030976314</v>
      </c>
      <c r="AL358" s="1128">
        <f t="shared" si="387"/>
        <v>49.245147341580974</v>
      </c>
      <c r="AM358" s="1125">
        <f t="shared" si="388"/>
        <v>1</v>
      </c>
      <c r="AN358" s="1125">
        <f t="shared" si="389"/>
        <v>1</v>
      </c>
      <c r="AO358" s="1125">
        <f t="shared" si="390"/>
        <v>1</v>
      </c>
      <c r="AP358" s="1125">
        <f t="shared" si="391"/>
        <v>1</v>
      </c>
      <c r="AQ358" s="1125">
        <f t="shared" si="392"/>
        <v>1</v>
      </c>
      <c r="AR358" s="1125">
        <f t="shared" si="393"/>
        <v>0</v>
      </c>
      <c r="AS358" s="1125">
        <f t="shared" si="394"/>
        <v>0</v>
      </c>
      <c r="AT358" s="1125">
        <f t="shared" si="395"/>
        <v>0</v>
      </c>
      <c r="AU358" s="1125">
        <f t="shared" si="396"/>
        <v>1</v>
      </c>
      <c r="AV358" s="1125">
        <f t="shared" si="397"/>
        <v>1</v>
      </c>
      <c r="AW358" s="1125">
        <f t="shared" si="398"/>
        <v>1</v>
      </c>
      <c r="AX358" s="1125">
        <f t="shared" si="399"/>
        <v>1</v>
      </c>
      <c r="AY358" s="1125">
        <f t="shared" si="400"/>
        <v>0</v>
      </c>
      <c r="AZ358" s="1125">
        <f t="shared" si="401"/>
        <v>0</v>
      </c>
      <c r="BA358" s="1125">
        <f t="shared" si="402"/>
        <v>0</v>
      </c>
      <c r="BB358" s="1125">
        <f t="shared" si="403"/>
        <v>0</v>
      </c>
      <c r="BC358" s="1125">
        <f t="shared" si="404"/>
        <v>0</v>
      </c>
      <c r="BD358" s="1125">
        <f t="shared" si="405"/>
        <v>1</v>
      </c>
      <c r="BE358" s="1125">
        <f t="shared" si="406"/>
        <v>1</v>
      </c>
      <c r="BF358" s="1125">
        <f t="shared" si="407"/>
        <v>1</v>
      </c>
      <c r="BG358" s="1125">
        <f t="shared" si="408"/>
        <v>0</v>
      </c>
      <c r="BH358" s="1125">
        <f t="shared" si="409"/>
        <v>0</v>
      </c>
      <c r="BI358" s="1125">
        <f t="shared" si="410"/>
        <v>0</v>
      </c>
      <c r="BJ358" s="1125">
        <f t="shared" si="411"/>
        <v>0</v>
      </c>
      <c r="BK358" s="1125">
        <f t="shared" si="412"/>
        <v>1</v>
      </c>
      <c r="BL358" s="1125">
        <f t="shared" si="413"/>
        <v>1</v>
      </c>
      <c r="BM358" s="1125">
        <f t="shared" si="414"/>
        <v>1</v>
      </c>
      <c r="BN358" s="1125">
        <f t="shared" si="415"/>
        <v>1</v>
      </c>
      <c r="BO358" s="1125">
        <f t="shared" si="416"/>
        <v>1</v>
      </c>
      <c r="BP358" s="1125">
        <f t="shared" si="417"/>
        <v>1</v>
      </c>
      <c r="BQ358" s="1125">
        <f t="shared" si="418"/>
        <v>0</v>
      </c>
      <c r="BR358" s="1125">
        <f t="shared" si="419"/>
        <v>0</v>
      </c>
      <c r="BS358" s="1125">
        <f t="shared" si="420"/>
        <v>1</v>
      </c>
      <c r="BT358" s="1125">
        <f t="shared" si="421"/>
        <v>1</v>
      </c>
      <c r="BU358" s="1125">
        <f t="shared" si="422"/>
        <v>1</v>
      </c>
      <c r="BV358" s="1125">
        <f t="shared" si="423"/>
        <v>1</v>
      </c>
      <c r="BW358" s="1125">
        <f t="shared" si="424"/>
        <v>0</v>
      </c>
      <c r="BX358" s="1125">
        <f t="shared" si="425"/>
        <v>0</v>
      </c>
      <c r="BY358" s="1125">
        <f t="shared" si="426"/>
        <v>0</v>
      </c>
      <c r="BZ358" s="1125">
        <f t="shared" si="427"/>
        <v>0</v>
      </c>
      <c r="CA358" s="1125">
        <f t="shared" si="428"/>
        <v>1</v>
      </c>
      <c r="CB358" s="1125">
        <f t="shared" si="429"/>
        <v>1</v>
      </c>
      <c r="CC358" s="1125">
        <f t="shared" si="430"/>
        <v>1</v>
      </c>
      <c r="CD358" s="1125">
        <f t="shared" si="431"/>
        <v>1</v>
      </c>
      <c r="CE358" s="1125">
        <f t="shared" si="432"/>
        <v>1</v>
      </c>
      <c r="CF358" s="1125">
        <f t="shared" si="433"/>
        <v>0</v>
      </c>
      <c r="CG358" s="1125">
        <f t="shared" si="434"/>
        <v>0</v>
      </c>
      <c r="CH358" s="1125">
        <f t="shared" si="435"/>
        <v>0</v>
      </c>
      <c r="CI358" s="1125">
        <f t="shared" si="436"/>
        <v>0.85</v>
      </c>
      <c r="CJ358" s="1125">
        <f t="shared" si="437"/>
        <v>0.85</v>
      </c>
      <c r="CK358" s="1125">
        <f t="shared" si="438"/>
        <v>0.85</v>
      </c>
      <c r="CL358" s="1125">
        <f t="shared" si="439"/>
        <v>0.85</v>
      </c>
      <c r="CM358" s="1125">
        <f t="shared" si="440"/>
        <v>0.85</v>
      </c>
      <c r="CN358" s="1125">
        <f t="shared" si="441"/>
        <v>0.85</v>
      </c>
      <c r="CO358" s="1125">
        <f t="shared" si="442"/>
        <v>0.7</v>
      </c>
      <c r="CP358" s="1125">
        <f t="shared" si="443"/>
        <v>0.7</v>
      </c>
      <c r="CQ358" s="1125">
        <f t="shared" si="444"/>
        <v>0.85</v>
      </c>
      <c r="CR358" s="1125">
        <f t="shared" si="445"/>
        <v>0.85</v>
      </c>
      <c r="CS358" s="1125">
        <f t="shared" si="446"/>
        <v>0.85</v>
      </c>
      <c r="CT358" s="1125">
        <f t="shared" si="447"/>
        <v>0.85</v>
      </c>
      <c r="CU358" s="1125">
        <v>1</v>
      </c>
      <c r="CV358" s="1125"/>
      <c r="CW358" s="1125">
        <f t="shared" si="448"/>
        <v>153</v>
      </c>
      <c r="CX358" s="1125">
        <f t="shared" si="449"/>
        <v>212</v>
      </c>
      <c r="CY358" s="1136" t="s">
        <v>4889</v>
      </c>
      <c r="CZ358" s="1129" t="s">
        <v>4897</v>
      </c>
      <c r="DA358" s="1129"/>
      <c r="DB358" s="1129"/>
      <c r="DC358" s="1125" t="s">
        <v>5304</v>
      </c>
      <c r="DD358" s="1125" t="s">
        <v>540</v>
      </c>
      <c r="DE358" s="1120" t="b">
        <f t="shared" si="450"/>
        <v>0</v>
      </c>
      <c r="DF358" s="1133">
        <v>1</v>
      </c>
      <c r="DG358" s="1120">
        <v>0</v>
      </c>
    </row>
    <row r="359" spans="1:111">
      <c r="A359" s="1125" t="s">
        <v>3499</v>
      </c>
      <c r="B359" s="1125" t="s">
        <v>4560</v>
      </c>
      <c r="C359" s="1125" t="s">
        <v>4561</v>
      </c>
      <c r="D359" s="1125" t="s">
        <v>238</v>
      </c>
      <c r="E359" s="1125">
        <v>295</v>
      </c>
      <c r="F359" s="1125">
        <v>-122.58</v>
      </c>
      <c r="G359" s="1125">
        <v>47.08</v>
      </c>
      <c r="H359" s="1125">
        <v>-8</v>
      </c>
      <c r="I359" s="1126">
        <v>10.759999656677246</v>
      </c>
      <c r="J359" s="1126">
        <v>85.1</v>
      </c>
      <c r="K359" s="1127">
        <v>59.180000686645506</v>
      </c>
      <c r="L359" s="1125">
        <v>5400</v>
      </c>
      <c r="M359" s="1125">
        <v>138.6</v>
      </c>
      <c r="N359" s="1128">
        <v>38.120000171661374</v>
      </c>
      <c r="O359" s="1128">
        <v>39.02000017166138</v>
      </c>
      <c r="P359" s="1128">
        <v>44.6</v>
      </c>
      <c r="Q359" s="1128">
        <v>47.840000343322757</v>
      </c>
      <c r="R359" s="1128">
        <v>51.080000686645505</v>
      </c>
      <c r="S359" s="1128">
        <v>57.559999656677249</v>
      </c>
      <c r="T359" s="1128">
        <v>65.66000137329101</v>
      </c>
      <c r="U359" s="1128">
        <v>65.66000137329101</v>
      </c>
      <c r="V359" s="1128">
        <v>61.160001373291017</v>
      </c>
      <c r="W359" s="1128">
        <v>50.359999656677246</v>
      </c>
      <c r="X359" s="1128">
        <v>40.1</v>
      </c>
      <c r="Y359" s="1128">
        <v>37.939999914169313</v>
      </c>
      <c r="Z359" s="1128">
        <v>49.995562039597395</v>
      </c>
      <c r="AA359" s="1128">
        <f t="shared" si="376"/>
        <v>50.398347031940325</v>
      </c>
      <c r="AB359" s="1128">
        <f t="shared" si="377"/>
        <v>49.621512391500033</v>
      </c>
      <c r="AC359" s="1128">
        <f t="shared" si="378"/>
        <v>50.506172018914704</v>
      </c>
      <c r="AD359" s="1128">
        <f t="shared" si="379"/>
        <v>52.821725749281178</v>
      </c>
      <c r="AE359" s="1128">
        <f t="shared" si="380"/>
        <v>55.964588819016306</v>
      </c>
      <c r="AF359" s="1128">
        <f t="shared" si="381"/>
        <v>59.115525536007674</v>
      </c>
      <c r="AG359" s="1128">
        <f t="shared" si="382"/>
        <v>61.453195687566854</v>
      </c>
      <c r="AH359" s="1128">
        <f t="shared" si="383"/>
        <v>62.368249524102445</v>
      </c>
      <c r="AI359" s="1128">
        <f t="shared" si="384"/>
        <v>61.622164161714991</v>
      </c>
      <c r="AJ359" s="1128">
        <f t="shared" si="385"/>
        <v>59.409418247634235</v>
      </c>
      <c r="AK359" s="1128">
        <f t="shared" si="386"/>
        <v>56.306798103812042</v>
      </c>
      <c r="AL359" s="1128">
        <f t="shared" si="387"/>
        <v>53.123049483559377</v>
      </c>
      <c r="AM359" s="1125">
        <f t="shared" si="388"/>
        <v>1</v>
      </c>
      <c r="AN359" s="1125">
        <f t="shared" si="389"/>
        <v>1</v>
      </c>
      <c r="AO359" s="1125">
        <f t="shared" si="390"/>
        <v>1</v>
      </c>
      <c r="AP359" s="1125">
        <f t="shared" si="391"/>
        <v>1</v>
      </c>
      <c r="AQ359" s="1125">
        <f t="shared" si="392"/>
        <v>1</v>
      </c>
      <c r="AR359" s="1125">
        <f t="shared" si="393"/>
        <v>1</v>
      </c>
      <c r="AS359" s="1125">
        <f t="shared" si="394"/>
        <v>1</v>
      </c>
      <c r="AT359" s="1125">
        <f t="shared" si="395"/>
        <v>1</v>
      </c>
      <c r="AU359" s="1125">
        <f t="shared" si="396"/>
        <v>1</v>
      </c>
      <c r="AV359" s="1125">
        <f t="shared" si="397"/>
        <v>1</v>
      </c>
      <c r="AW359" s="1125">
        <f t="shared" si="398"/>
        <v>1</v>
      </c>
      <c r="AX359" s="1125">
        <f t="shared" si="399"/>
        <v>1</v>
      </c>
      <c r="AY359" s="1125">
        <f t="shared" si="400"/>
        <v>0</v>
      </c>
      <c r="AZ359" s="1125">
        <f t="shared" si="401"/>
        <v>0</v>
      </c>
      <c r="BA359" s="1125">
        <f t="shared" si="402"/>
        <v>0</v>
      </c>
      <c r="BB359" s="1125">
        <f t="shared" si="403"/>
        <v>0</v>
      </c>
      <c r="BC359" s="1125">
        <f t="shared" si="404"/>
        <v>0</v>
      </c>
      <c r="BD359" s="1125">
        <f t="shared" si="405"/>
        <v>0</v>
      </c>
      <c r="BE359" s="1125">
        <f t="shared" si="406"/>
        <v>1</v>
      </c>
      <c r="BF359" s="1125">
        <f t="shared" si="407"/>
        <v>1</v>
      </c>
      <c r="BG359" s="1125">
        <f t="shared" si="408"/>
        <v>0</v>
      </c>
      <c r="BH359" s="1125">
        <f t="shared" si="409"/>
        <v>0</v>
      </c>
      <c r="BI359" s="1125">
        <f t="shared" si="410"/>
        <v>0</v>
      </c>
      <c r="BJ359" s="1125">
        <f t="shared" si="411"/>
        <v>0</v>
      </c>
      <c r="BK359" s="1125">
        <f t="shared" si="412"/>
        <v>1</v>
      </c>
      <c r="BL359" s="1125">
        <f t="shared" si="413"/>
        <v>1</v>
      </c>
      <c r="BM359" s="1125">
        <f t="shared" si="414"/>
        <v>1</v>
      </c>
      <c r="BN359" s="1125">
        <f t="shared" si="415"/>
        <v>1</v>
      </c>
      <c r="BO359" s="1125">
        <f t="shared" si="416"/>
        <v>1</v>
      </c>
      <c r="BP359" s="1125">
        <f t="shared" si="417"/>
        <v>1</v>
      </c>
      <c r="BQ359" s="1125">
        <f t="shared" si="418"/>
        <v>1</v>
      </c>
      <c r="BR359" s="1125">
        <f t="shared" si="419"/>
        <v>1</v>
      </c>
      <c r="BS359" s="1125">
        <f t="shared" si="420"/>
        <v>1</v>
      </c>
      <c r="BT359" s="1125">
        <f t="shared" si="421"/>
        <v>1</v>
      </c>
      <c r="BU359" s="1125">
        <f t="shared" si="422"/>
        <v>1</v>
      </c>
      <c r="BV359" s="1125">
        <f t="shared" si="423"/>
        <v>1</v>
      </c>
      <c r="BW359" s="1125">
        <f t="shared" si="424"/>
        <v>0</v>
      </c>
      <c r="BX359" s="1125">
        <f t="shared" si="425"/>
        <v>0</v>
      </c>
      <c r="BY359" s="1125">
        <f t="shared" si="426"/>
        <v>0</v>
      </c>
      <c r="BZ359" s="1125">
        <f t="shared" si="427"/>
        <v>0</v>
      </c>
      <c r="CA359" s="1125">
        <f t="shared" si="428"/>
        <v>0</v>
      </c>
      <c r="CB359" s="1125">
        <f t="shared" si="429"/>
        <v>0</v>
      </c>
      <c r="CC359" s="1125">
        <f t="shared" si="430"/>
        <v>1</v>
      </c>
      <c r="CD359" s="1125">
        <f t="shared" si="431"/>
        <v>1</v>
      </c>
      <c r="CE359" s="1125">
        <f t="shared" si="432"/>
        <v>0</v>
      </c>
      <c r="CF359" s="1125">
        <f t="shared" si="433"/>
        <v>0</v>
      </c>
      <c r="CG359" s="1125">
        <f t="shared" si="434"/>
        <v>0</v>
      </c>
      <c r="CH359" s="1125">
        <f t="shared" si="435"/>
        <v>0</v>
      </c>
      <c r="CI359" s="1125">
        <f t="shared" si="436"/>
        <v>0.85</v>
      </c>
      <c r="CJ359" s="1125">
        <f t="shared" si="437"/>
        <v>0.85</v>
      </c>
      <c r="CK359" s="1125">
        <f t="shared" si="438"/>
        <v>0.85</v>
      </c>
      <c r="CL359" s="1125">
        <f t="shared" si="439"/>
        <v>0.85</v>
      </c>
      <c r="CM359" s="1125">
        <f t="shared" si="440"/>
        <v>0.85</v>
      </c>
      <c r="CN359" s="1125">
        <f t="shared" si="441"/>
        <v>0.85</v>
      </c>
      <c r="CO359" s="1125">
        <f t="shared" si="442"/>
        <v>0.85</v>
      </c>
      <c r="CP359" s="1125">
        <f t="shared" si="443"/>
        <v>0.85</v>
      </c>
      <c r="CQ359" s="1125">
        <f t="shared" si="444"/>
        <v>0.85</v>
      </c>
      <c r="CR359" s="1125">
        <f t="shared" si="445"/>
        <v>0.85</v>
      </c>
      <c r="CS359" s="1125">
        <f t="shared" si="446"/>
        <v>0.85</v>
      </c>
      <c r="CT359" s="1125">
        <f t="shared" si="447"/>
        <v>0.85</v>
      </c>
      <c r="CU359" s="1125">
        <v>1</v>
      </c>
      <c r="CV359" s="1125"/>
      <c r="CW359" s="1125">
        <f t="shared" si="448"/>
        <v>62</v>
      </c>
      <c r="CX359" s="1125">
        <f t="shared" si="449"/>
        <v>303</v>
      </c>
      <c r="CY359" s="1135" t="s">
        <v>4893</v>
      </c>
      <c r="CZ359" s="1124" t="s">
        <v>4894</v>
      </c>
      <c r="DA359" s="1124"/>
      <c r="DB359" s="1124"/>
      <c r="DC359" s="1120" t="s">
        <v>5655</v>
      </c>
      <c r="DD359" s="1120" t="s">
        <v>238</v>
      </c>
      <c r="DE359" s="1120" t="str">
        <f t="shared" si="450"/>
        <v/>
      </c>
      <c r="DF359" s="1133">
        <v>0</v>
      </c>
      <c r="DG359" s="1125">
        <v>0</v>
      </c>
    </row>
    <row r="360" spans="1:111">
      <c r="A360" s="1120" t="s">
        <v>3503</v>
      </c>
      <c r="B360" s="1120" t="s">
        <v>5846</v>
      </c>
      <c r="C360" s="1120" t="s">
        <v>5847</v>
      </c>
      <c r="D360" s="1120" t="s">
        <v>256</v>
      </c>
      <c r="E360" s="1120">
        <v>1886</v>
      </c>
      <c r="F360" s="1120">
        <v>-98.87</v>
      </c>
      <c r="G360" s="1120">
        <v>38.35</v>
      </c>
      <c r="H360" s="1120">
        <v>-6</v>
      </c>
      <c r="I360" s="1121">
        <v>8.9599996566772457</v>
      </c>
      <c r="J360" s="1121">
        <v>97.160001373291024</v>
      </c>
      <c r="K360" s="1122">
        <v>71.599999999999994</v>
      </c>
      <c r="L360" s="1120">
        <v>4860</v>
      </c>
      <c r="M360" s="1120">
        <v>1463.4</v>
      </c>
      <c r="N360" s="1123">
        <v>28.220000171661376</v>
      </c>
      <c r="O360" s="1123">
        <v>39.559999656677249</v>
      </c>
      <c r="P360" s="1123">
        <v>36.679999828338623</v>
      </c>
      <c r="Q360" s="1123">
        <v>58.1</v>
      </c>
      <c r="R360" s="1123">
        <v>60.619999313354491</v>
      </c>
      <c r="S360" s="1123">
        <v>77.719999313354492</v>
      </c>
      <c r="T360" s="1123">
        <v>78.980000686645511</v>
      </c>
      <c r="U360" s="1123">
        <v>73.219999313354492</v>
      </c>
      <c r="V360" s="1123">
        <v>71.599999999999994</v>
      </c>
      <c r="W360" s="1123">
        <v>55.940000343322751</v>
      </c>
      <c r="X360" s="1123">
        <v>45.140000343322754</v>
      </c>
      <c r="Y360" s="1123">
        <v>34.519999957084657</v>
      </c>
      <c r="Z360" s="1123">
        <v>55.0631779948326</v>
      </c>
      <c r="AA360" s="1123">
        <f t="shared" si="376"/>
        <v>49.187423026685593</v>
      </c>
      <c r="AB360" s="1123">
        <f t="shared" si="377"/>
        <v>48.173826326628941</v>
      </c>
      <c r="AC360" s="1123">
        <f t="shared" si="378"/>
        <v>50.520037769811296</v>
      </c>
      <c r="AD360" s="1123">
        <f t="shared" si="379"/>
        <v>55.614481187354386</v>
      </c>
      <c r="AE360" s="1123">
        <f t="shared" si="380"/>
        <v>62.129211394726134</v>
      </c>
      <c r="AF360" s="1123">
        <f t="shared" si="381"/>
        <v>68.366063568343662</v>
      </c>
      <c r="AG360" s="1123">
        <f t="shared" si="382"/>
        <v>72.699306076352272</v>
      </c>
      <c r="AH360" s="1123">
        <f t="shared" si="383"/>
        <v>73.999412481751122</v>
      </c>
      <c r="AI360" s="1123">
        <f t="shared" si="384"/>
        <v>71.927490014726843</v>
      </c>
      <c r="AJ360" s="1123">
        <f t="shared" si="385"/>
        <v>67.023617195601005</v>
      </c>
      <c r="AK360" s="1123">
        <f t="shared" si="386"/>
        <v>60.566064045646449</v>
      </c>
      <c r="AL360" s="1123">
        <f t="shared" si="387"/>
        <v>54.238091307305083</v>
      </c>
      <c r="AM360" s="1120">
        <f t="shared" si="388"/>
        <v>1</v>
      </c>
      <c r="AN360" s="1120">
        <f t="shared" si="389"/>
        <v>1</v>
      </c>
      <c r="AO360" s="1120">
        <f t="shared" si="390"/>
        <v>1</v>
      </c>
      <c r="AP360" s="1120">
        <f t="shared" si="391"/>
        <v>1</v>
      </c>
      <c r="AQ360" s="1120">
        <f t="shared" si="392"/>
        <v>1</v>
      </c>
      <c r="AR360" s="1120">
        <f t="shared" si="393"/>
        <v>0</v>
      </c>
      <c r="AS360" s="1120">
        <f t="shared" si="394"/>
        <v>0</v>
      </c>
      <c r="AT360" s="1120">
        <f t="shared" si="395"/>
        <v>0</v>
      </c>
      <c r="AU360" s="1120">
        <f t="shared" si="396"/>
        <v>0</v>
      </c>
      <c r="AV360" s="1120">
        <f t="shared" si="397"/>
        <v>1</v>
      </c>
      <c r="AW360" s="1120">
        <f t="shared" si="398"/>
        <v>1</v>
      </c>
      <c r="AX360" s="1120">
        <f t="shared" si="399"/>
        <v>1</v>
      </c>
      <c r="AY360" s="1120">
        <f t="shared" si="400"/>
        <v>0</v>
      </c>
      <c r="AZ360" s="1120">
        <f t="shared" si="401"/>
        <v>0</v>
      </c>
      <c r="BA360" s="1120">
        <f t="shared" si="402"/>
        <v>0</v>
      </c>
      <c r="BB360" s="1120">
        <f t="shared" si="403"/>
        <v>0</v>
      </c>
      <c r="BC360" s="1120">
        <f t="shared" si="404"/>
        <v>0</v>
      </c>
      <c r="BD360" s="1120">
        <f t="shared" si="405"/>
        <v>1</v>
      </c>
      <c r="BE360" s="1120">
        <f t="shared" si="406"/>
        <v>1</v>
      </c>
      <c r="BF360" s="1120">
        <f t="shared" si="407"/>
        <v>1</v>
      </c>
      <c r="BG360" s="1120">
        <f t="shared" si="408"/>
        <v>1</v>
      </c>
      <c r="BH360" s="1120">
        <f t="shared" si="409"/>
        <v>0</v>
      </c>
      <c r="BI360" s="1120">
        <f t="shared" si="410"/>
        <v>0</v>
      </c>
      <c r="BJ360" s="1120">
        <f t="shared" si="411"/>
        <v>0</v>
      </c>
      <c r="BK360" s="1120">
        <f t="shared" si="412"/>
        <v>1</v>
      </c>
      <c r="BL360" s="1120">
        <f t="shared" si="413"/>
        <v>1</v>
      </c>
      <c r="BM360" s="1120">
        <f t="shared" si="414"/>
        <v>1</v>
      </c>
      <c r="BN360" s="1120">
        <f t="shared" si="415"/>
        <v>1</v>
      </c>
      <c r="BO360" s="1120">
        <f t="shared" si="416"/>
        <v>1</v>
      </c>
      <c r="BP360" s="1120">
        <f t="shared" si="417"/>
        <v>1</v>
      </c>
      <c r="BQ360" s="1120">
        <f t="shared" si="418"/>
        <v>0</v>
      </c>
      <c r="BR360" s="1120">
        <f t="shared" si="419"/>
        <v>0</v>
      </c>
      <c r="BS360" s="1120">
        <f t="shared" si="420"/>
        <v>0</v>
      </c>
      <c r="BT360" s="1120">
        <f t="shared" si="421"/>
        <v>1</v>
      </c>
      <c r="BU360" s="1120">
        <f t="shared" si="422"/>
        <v>1</v>
      </c>
      <c r="BV360" s="1120">
        <f t="shared" si="423"/>
        <v>1</v>
      </c>
      <c r="BW360" s="1120">
        <f t="shared" si="424"/>
        <v>0</v>
      </c>
      <c r="BX360" s="1120">
        <f t="shared" si="425"/>
        <v>0</v>
      </c>
      <c r="BY360" s="1120">
        <f t="shared" si="426"/>
        <v>0</v>
      </c>
      <c r="BZ360" s="1120">
        <f t="shared" si="427"/>
        <v>0</v>
      </c>
      <c r="CA360" s="1120">
        <f t="shared" si="428"/>
        <v>1</v>
      </c>
      <c r="CB360" s="1120">
        <f t="shared" si="429"/>
        <v>1</v>
      </c>
      <c r="CC360" s="1120">
        <f t="shared" si="430"/>
        <v>1</v>
      </c>
      <c r="CD360" s="1120">
        <f t="shared" si="431"/>
        <v>1</v>
      </c>
      <c r="CE360" s="1120">
        <f t="shared" si="432"/>
        <v>1</v>
      </c>
      <c r="CF360" s="1120">
        <f t="shared" si="433"/>
        <v>1</v>
      </c>
      <c r="CG360" s="1120">
        <f t="shared" si="434"/>
        <v>0</v>
      </c>
      <c r="CH360" s="1120">
        <f t="shared" si="435"/>
        <v>0</v>
      </c>
      <c r="CI360" s="1120">
        <f t="shared" si="436"/>
        <v>0.85</v>
      </c>
      <c r="CJ360" s="1120">
        <f t="shared" si="437"/>
        <v>0.85</v>
      </c>
      <c r="CK360" s="1120">
        <f t="shared" si="438"/>
        <v>0.85</v>
      </c>
      <c r="CL360" s="1120">
        <f t="shared" si="439"/>
        <v>0.85</v>
      </c>
      <c r="CM360" s="1120">
        <f t="shared" si="440"/>
        <v>0.85</v>
      </c>
      <c r="CN360" s="1120">
        <f t="shared" si="441"/>
        <v>0.85</v>
      </c>
      <c r="CO360" s="1120">
        <f t="shared" si="442"/>
        <v>0.7</v>
      </c>
      <c r="CP360" s="1120">
        <f t="shared" si="443"/>
        <v>0.7</v>
      </c>
      <c r="CQ360" s="1120">
        <f t="shared" si="444"/>
        <v>0.7</v>
      </c>
      <c r="CR360" s="1120">
        <f t="shared" si="445"/>
        <v>0.85</v>
      </c>
      <c r="CS360" s="1120">
        <f t="shared" si="446"/>
        <v>0.85</v>
      </c>
      <c r="CT360" s="1120">
        <f t="shared" si="447"/>
        <v>0.85</v>
      </c>
      <c r="CU360" s="1120">
        <v>1</v>
      </c>
      <c r="CV360" s="1120"/>
      <c r="CW360" s="1120">
        <f t="shared" si="448"/>
        <v>184</v>
      </c>
      <c r="CX360" s="1120">
        <f t="shared" si="449"/>
        <v>181</v>
      </c>
      <c r="CY360" s="1135" t="s">
        <v>4881</v>
      </c>
      <c r="CZ360" s="1124" t="s">
        <v>4885</v>
      </c>
      <c r="DA360" s="1124"/>
      <c r="DB360" s="1124"/>
      <c r="DC360" s="1120" t="s">
        <v>5732</v>
      </c>
      <c r="DD360" s="1120" t="s">
        <v>256</v>
      </c>
      <c r="DE360" s="1120" t="str">
        <f t="shared" si="450"/>
        <v/>
      </c>
      <c r="DF360" s="1133">
        <v>0</v>
      </c>
      <c r="DG360" s="1120">
        <v>0</v>
      </c>
    </row>
    <row r="361" spans="1:111">
      <c r="A361" s="1125" t="s">
        <v>3501</v>
      </c>
      <c r="B361" s="1125" t="s">
        <v>3908</v>
      </c>
      <c r="C361" s="1125" t="s">
        <v>3909</v>
      </c>
      <c r="D361" s="1125" t="s">
        <v>1108</v>
      </c>
      <c r="E361" s="1125">
        <v>3664</v>
      </c>
      <c r="F361" s="1125">
        <v>-111.38</v>
      </c>
      <c r="G361" s="1125">
        <v>47.47</v>
      </c>
      <c r="H361" s="1125">
        <v>-7</v>
      </c>
      <c r="I361" s="1126">
        <v>-11.200000000000001</v>
      </c>
      <c r="J361" s="1126">
        <v>88.7</v>
      </c>
      <c r="K361" s="1127">
        <v>60.259999656677245</v>
      </c>
      <c r="L361" s="1125">
        <v>7599.6</v>
      </c>
      <c r="M361" s="1125">
        <v>419.40000000000003</v>
      </c>
      <c r="N361" s="1128">
        <v>16.159999656677247</v>
      </c>
      <c r="O361" s="1128">
        <v>28.039999914169311</v>
      </c>
      <c r="P361" s="1128">
        <v>32.540000021457672</v>
      </c>
      <c r="Q361" s="1128">
        <v>44.059999656677249</v>
      </c>
      <c r="R361" s="1128">
        <v>50.180000686645506</v>
      </c>
      <c r="S361" s="1128">
        <v>61.7</v>
      </c>
      <c r="T361" s="1128">
        <v>69.080000686645505</v>
      </c>
      <c r="U361" s="1128">
        <v>66.560001373291016</v>
      </c>
      <c r="V361" s="1128">
        <v>58.459999656677248</v>
      </c>
      <c r="W361" s="1128">
        <v>47.480000686645511</v>
      </c>
      <c r="X361" s="1128">
        <v>37.039999914169314</v>
      </c>
      <c r="Y361" s="1128">
        <v>24.620000171661378</v>
      </c>
      <c r="Z361" s="1128">
        <v>44.734630345743</v>
      </c>
      <c r="AA361" s="1128">
        <f t="shared" si="376"/>
        <v>41.776460168054513</v>
      </c>
      <c r="AB361" s="1128">
        <f t="shared" si="377"/>
        <v>39.985270497198691</v>
      </c>
      <c r="AC361" s="1128">
        <f t="shared" si="378"/>
        <v>40.996067123515473</v>
      </c>
      <c r="AD361" s="1128">
        <f t="shared" si="379"/>
        <v>44.545370329507868</v>
      </c>
      <c r="AE361" s="1128">
        <f t="shared" si="380"/>
        <v>49.707999538115907</v>
      </c>
      <c r="AF361" s="1128">
        <f t="shared" si="381"/>
        <v>55.138235887591591</v>
      </c>
      <c r="AG361" s="1128">
        <f t="shared" si="382"/>
        <v>59.420604590968885</v>
      </c>
      <c r="AH361" s="1128">
        <f t="shared" si="383"/>
        <v>61.438840252413179</v>
      </c>
      <c r="AI361" s="1128">
        <f t="shared" si="384"/>
        <v>60.666858644816031</v>
      </c>
      <c r="AJ361" s="1128">
        <f t="shared" si="385"/>
        <v>57.30588867079431</v>
      </c>
      <c r="AK361" s="1128">
        <f t="shared" si="386"/>
        <v>52.232018948191879</v>
      </c>
      <c r="AL361" s="1128">
        <f t="shared" si="387"/>
        <v>46.767831810904291</v>
      </c>
      <c r="AM361" s="1125">
        <f t="shared" si="388"/>
        <v>1</v>
      </c>
      <c r="AN361" s="1125">
        <f t="shared" si="389"/>
        <v>1</v>
      </c>
      <c r="AO361" s="1125">
        <f t="shared" si="390"/>
        <v>1</v>
      </c>
      <c r="AP361" s="1125">
        <f t="shared" si="391"/>
        <v>1</v>
      </c>
      <c r="AQ361" s="1125">
        <f t="shared" si="392"/>
        <v>1</v>
      </c>
      <c r="AR361" s="1125">
        <f t="shared" si="393"/>
        <v>1</v>
      </c>
      <c r="AS361" s="1125">
        <f t="shared" si="394"/>
        <v>0</v>
      </c>
      <c r="AT361" s="1125">
        <f t="shared" si="395"/>
        <v>0</v>
      </c>
      <c r="AU361" s="1125">
        <f t="shared" si="396"/>
        <v>1</v>
      </c>
      <c r="AV361" s="1125">
        <f t="shared" si="397"/>
        <v>1</v>
      </c>
      <c r="AW361" s="1125">
        <f t="shared" si="398"/>
        <v>1</v>
      </c>
      <c r="AX361" s="1125">
        <f t="shared" si="399"/>
        <v>1</v>
      </c>
      <c r="AY361" s="1125">
        <f t="shared" si="400"/>
        <v>0</v>
      </c>
      <c r="AZ361" s="1125">
        <f t="shared" si="401"/>
        <v>0</v>
      </c>
      <c r="BA361" s="1125">
        <f t="shared" si="402"/>
        <v>0</v>
      </c>
      <c r="BB361" s="1125">
        <f t="shared" si="403"/>
        <v>0</v>
      </c>
      <c r="BC361" s="1125">
        <f t="shared" si="404"/>
        <v>0</v>
      </c>
      <c r="BD361" s="1125">
        <f t="shared" si="405"/>
        <v>0</v>
      </c>
      <c r="BE361" s="1125">
        <f t="shared" si="406"/>
        <v>1</v>
      </c>
      <c r="BF361" s="1125">
        <f t="shared" si="407"/>
        <v>1</v>
      </c>
      <c r="BG361" s="1125">
        <f t="shared" si="408"/>
        <v>0</v>
      </c>
      <c r="BH361" s="1125">
        <f t="shared" si="409"/>
        <v>0</v>
      </c>
      <c r="BI361" s="1125">
        <f t="shared" si="410"/>
        <v>0</v>
      </c>
      <c r="BJ361" s="1125">
        <f t="shared" si="411"/>
        <v>0</v>
      </c>
      <c r="BK361" s="1125">
        <f t="shared" si="412"/>
        <v>1</v>
      </c>
      <c r="BL361" s="1125">
        <f t="shared" si="413"/>
        <v>1</v>
      </c>
      <c r="BM361" s="1125">
        <f t="shared" si="414"/>
        <v>1</v>
      </c>
      <c r="BN361" s="1125">
        <f t="shared" si="415"/>
        <v>1</v>
      </c>
      <c r="BO361" s="1125">
        <f t="shared" si="416"/>
        <v>1</v>
      </c>
      <c r="BP361" s="1125">
        <f t="shared" si="417"/>
        <v>1</v>
      </c>
      <c r="BQ361" s="1125">
        <f t="shared" si="418"/>
        <v>1</v>
      </c>
      <c r="BR361" s="1125">
        <f t="shared" si="419"/>
        <v>0</v>
      </c>
      <c r="BS361" s="1125">
        <f t="shared" si="420"/>
        <v>1</v>
      </c>
      <c r="BT361" s="1125">
        <f t="shared" si="421"/>
        <v>1</v>
      </c>
      <c r="BU361" s="1125">
        <f t="shared" si="422"/>
        <v>1</v>
      </c>
      <c r="BV361" s="1125">
        <f t="shared" si="423"/>
        <v>1</v>
      </c>
      <c r="BW361" s="1125">
        <f t="shared" si="424"/>
        <v>0</v>
      </c>
      <c r="BX361" s="1125">
        <f t="shared" si="425"/>
        <v>0</v>
      </c>
      <c r="BY361" s="1125">
        <f t="shared" si="426"/>
        <v>0</v>
      </c>
      <c r="BZ361" s="1125">
        <f t="shared" si="427"/>
        <v>0</v>
      </c>
      <c r="CA361" s="1125">
        <f t="shared" si="428"/>
        <v>0</v>
      </c>
      <c r="CB361" s="1125">
        <f t="shared" si="429"/>
        <v>1</v>
      </c>
      <c r="CC361" s="1125">
        <f t="shared" si="430"/>
        <v>1</v>
      </c>
      <c r="CD361" s="1125">
        <f t="shared" si="431"/>
        <v>1</v>
      </c>
      <c r="CE361" s="1125">
        <f t="shared" si="432"/>
        <v>1</v>
      </c>
      <c r="CF361" s="1125">
        <f t="shared" si="433"/>
        <v>0</v>
      </c>
      <c r="CG361" s="1125">
        <f t="shared" si="434"/>
        <v>0</v>
      </c>
      <c r="CH361" s="1125">
        <f t="shared" si="435"/>
        <v>0</v>
      </c>
      <c r="CI361" s="1125">
        <f t="shared" si="436"/>
        <v>0.85</v>
      </c>
      <c r="CJ361" s="1125">
        <f t="shared" si="437"/>
        <v>0.85</v>
      </c>
      <c r="CK361" s="1125">
        <f t="shared" si="438"/>
        <v>0.85</v>
      </c>
      <c r="CL361" s="1125">
        <f t="shared" si="439"/>
        <v>0.85</v>
      </c>
      <c r="CM361" s="1125">
        <f t="shared" si="440"/>
        <v>0.85</v>
      </c>
      <c r="CN361" s="1125">
        <f t="shared" si="441"/>
        <v>0.85</v>
      </c>
      <c r="CO361" s="1125">
        <f t="shared" si="442"/>
        <v>0.85</v>
      </c>
      <c r="CP361" s="1125">
        <f t="shared" si="443"/>
        <v>0.7</v>
      </c>
      <c r="CQ361" s="1125">
        <f t="shared" si="444"/>
        <v>0.85</v>
      </c>
      <c r="CR361" s="1125">
        <f t="shared" si="445"/>
        <v>0.85</v>
      </c>
      <c r="CS361" s="1125">
        <f t="shared" si="446"/>
        <v>0.85</v>
      </c>
      <c r="CT361" s="1125">
        <f t="shared" si="447"/>
        <v>0.85</v>
      </c>
      <c r="CU361" s="1125">
        <v>1</v>
      </c>
      <c r="CV361" s="1125"/>
      <c r="CW361" s="1125">
        <f t="shared" si="448"/>
        <v>122</v>
      </c>
      <c r="CX361" s="1125">
        <f t="shared" si="449"/>
        <v>243</v>
      </c>
      <c r="CY361" s="1136" t="s">
        <v>4889</v>
      </c>
      <c r="CZ361" s="1129" t="s">
        <v>4896</v>
      </c>
      <c r="DA361" s="1129"/>
      <c r="DB361" s="1129"/>
      <c r="DC361" s="1125" t="s">
        <v>5377</v>
      </c>
      <c r="DD361" s="1125" t="s">
        <v>1108</v>
      </c>
      <c r="DE361" s="1120" t="str">
        <f t="shared" si="450"/>
        <v/>
      </c>
      <c r="DF361" s="1133">
        <v>0</v>
      </c>
      <c r="DG361" s="1125">
        <v>0</v>
      </c>
    </row>
    <row r="362" spans="1:111">
      <c r="A362" s="1120" t="s">
        <v>3507</v>
      </c>
      <c r="B362" s="1125" t="s">
        <v>5826</v>
      </c>
      <c r="C362" s="1125" t="s">
        <v>5827</v>
      </c>
      <c r="D362" s="1125" t="s">
        <v>536</v>
      </c>
      <c r="E362" s="1125">
        <v>4658</v>
      </c>
      <c r="F362" s="1125">
        <v>-104.63</v>
      </c>
      <c r="G362" s="1125">
        <v>40.43</v>
      </c>
      <c r="H362" s="1125">
        <v>-7</v>
      </c>
      <c r="I362" s="1126">
        <v>1.0399986267089836</v>
      </c>
      <c r="J362" s="1126">
        <v>92.120002746582031</v>
      </c>
      <c r="K362" s="1127">
        <v>62.060001373291016</v>
      </c>
      <c r="L362" s="1125">
        <v>6816.6</v>
      </c>
      <c r="M362" s="1125">
        <v>505.8</v>
      </c>
      <c r="N362" s="1128">
        <v>27.139999914169312</v>
      </c>
      <c r="O362" s="1128">
        <v>28.939999914169313</v>
      </c>
      <c r="P362" s="1128">
        <v>37.76000008583069</v>
      </c>
      <c r="Q362" s="1128">
        <v>41</v>
      </c>
      <c r="R362" s="1128">
        <v>57.019999313354489</v>
      </c>
      <c r="S362" s="1128">
        <v>66.560001373291016</v>
      </c>
      <c r="T362" s="1128">
        <v>67.280000686645508</v>
      </c>
      <c r="U362" s="1128">
        <v>69.260001373291018</v>
      </c>
      <c r="V362" s="1128">
        <v>62.239998626708989</v>
      </c>
      <c r="W362" s="1128">
        <v>46.040000343322752</v>
      </c>
      <c r="X362" s="1128">
        <v>32.180000002682206</v>
      </c>
      <c r="Y362" s="1128">
        <v>28.76000008583069</v>
      </c>
      <c r="Z362" s="1128">
        <v>47.125424804254756</v>
      </c>
      <c r="AA362" s="1128">
        <f t="shared" si="376"/>
        <v>45.375633888067767</v>
      </c>
      <c r="AB362" s="1128">
        <f t="shared" si="377"/>
        <v>44.047935423994431</v>
      </c>
      <c r="AC362" s="1128">
        <f t="shared" si="378"/>
        <v>45.086424455231686</v>
      </c>
      <c r="AD362" s="1128">
        <f t="shared" si="379"/>
        <v>48.220402812187146</v>
      </c>
      <c r="AE362" s="1128">
        <f t="shared" si="380"/>
        <v>52.632950740051967</v>
      </c>
      <c r="AF362" s="1128">
        <f t="shared" si="381"/>
        <v>57.173869622006308</v>
      </c>
      <c r="AG362" s="1128">
        <f t="shared" si="382"/>
        <v>60.659498973790576</v>
      </c>
      <c r="AH362" s="1128">
        <f t="shared" si="383"/>
        <v>62.18125578968796</v>
      </c>
      <c r="AI362" s="1128">
        <f t="shared" si="384"/>
        <v>61.342470704652413</v>
      </c>
      <c r="AJ362" s="1128">
        <f t="shared" si="385"/>
        <v>58.361785977167877</v>
      </c>
      <c r="AK362" s="1128">
        <f t="shared" si="386"/>
        <v>54.016163015195247</v>
      </c>
      <c r="AL362" s="1128">
        <f t="shared" si="387"/>
        <v>49.438355411849649</v>
      </c>
      <c r="AM362" s="1125">
        <f t="shared" si="388"/>
        <v>1</v>
      </c>
      <c r="AN362" s="1125">
        <f t="shared" si="389"/>
        <v>1</v>
      </c>
      <c r="AO362" s="1125">
        <f t="shared" si="390"/>
        <v>1</v>
      </c>
      <c r="AP362" s="1125">
        <f t="shared" si="391"/>
        <v>1</v>
      </c>
      <c r="AQ362" s="1125">
        <f t="shared" si="392"/>
        <v>1</v>
      </c>
      <c r="AR362" s="1125">
        <f t="shared" si="393"/>
        <v>0</v>
      </c>
      <c r="AS362" s="1125">
        <f t="shared" si="394"/>
        <v>0</v>
      </c>
      <c r="AT362" s="1125">
        <f t="shared" si="395"/>
        <v>0</v>
      </c>
      <c r="AU362" s="1125">
        <f t="shared" si="396"/>
        <v>1</v>
      </c>
      <c r="AV362" s="1125">
        <f t="shared" si="397"/>
        <v>1</v>
      </c>
      <c r="AW362" s="1125">
        <f t="shared" si="398"/>
        <v>1</v>
      </c>
      <c r="AX362" s="1125">
        <f t="shared" si="399"/>
        <v>1</v>
      </c>
      <c r="AY362" s="1125">
        <f t="shared" si="400"/>
        <v>0</v>
      </c>
      <c r="AZ362" s="1125">
        <f t="shared" si="401"/>
        <v>0</v>
      </c>
      <c r="BA362" s="1125">
        <f t="shared" si="402"/>
        <v>0</v>
      </c>
      <c r="BB362" s="1125">
        <f t="shared" si="403"/>
        <v>0</v>
      </c>
      <c r="BC362" s="1125">
        <f t="shared" si="404"/>
        <v>0</v>
      </c>
      <c r="BD362" s="1125">
        <f t="shared" si="405"/>
        <v>1</v>
      </c>
      <c r="BE362" s="1125">
        <f t="shared" si="406"/>
        <v>1</v>
      </c>
      <c r="BF362" s="1125">
        <f t="shared" si="407"/>
        <v>1</v>
      </c>
      <c r="BG362" s="1125">
        <f t="shared" si="408"/>
        <v>0</v>
      </c>
      <c r="BH362" s="1125">
        <f t="shared" si="409"/>
        <v>0</v>
      </c>
      <c r="BI362" s="1125">
        <f t="shared" si="410"/>
        <v>0</v>
      </c>
      <c r="BJ362" s="1125">
        <f t="shared" si="411"/>
        <v>0</v>
      </c>
      <c r="BK362" s="1125">
        <f t="shared" si="412"/>
        <v>1</v>
      </c>
      <c r="BL362" s="1125">
        <f t="shared" si="413"/>
        <v>1</v>
      </c>
      <c r="BM362" s="1125">
        <f t="shared" si="414"/>
        <v>1</v>
      </c>
      <c r="BN362" s="1125">
        <f t="shared" si="415"/>
        <v>1</v>
      </c>
      <c r="BO362" s="1125">
        <f t="shared" si="416"/>
        <v>1</v>
      </c>
      <c r="BP362" s="1125">
        <f t="shared" si="417"/>
        <v>1</v>
      </c>
      <c r="BQ362" s="1125">
        <f t="shared" si="418"/>
        <v>0</v>
      </c>
      <c r="BR362" s="1125">
        <f t="shared" si="419"/>
        <v>0</v>
      </c>
      <c r="BS362" s="1125">
        <f t="shared" si="420"/>
        <v>1</v>
      </c>
      <c r="BT362" s="1125">
        <f t="shared" si="421"/>
        <v>1</v>
      </c>
      <c r="BU362" s="1125">
        <f t="shared" si="422"/>
        <v>1</v>
      </c>
      <c r="BV362" s="1125">
        <f t="shared" si="423"/>
        <v>1</v>
      </c>
      <c r="BW362" s="1125">
        <f t="shared" si="424"/>
        <v>0</v>
      </c>
      <c r="BX362" s="1125">
        <f t="shared" si="425"/>
        <v>0</v>
      </c>
      <c r="BY362" s="1125">
        <f t="shared" si="426"/>
        <v>0</v>
      </c>
      <c r="BZ362" s="1125">
        <f t="shared" si="427"/>
        <v>0</v>
      </c>
      <c r="CA362" s="1125">
        <f t="shared" si="428"/>
        <v>1</v>
      </c>
      <c r="CB362" s="1125">
        <f t="shared" si="429"/>
        <v>1</v>
      </c>
      <c r="CC362" s="1125">
        <f t="shared" si="430"/>
        <v>1</v>
      </c>
      <c r="CD362" s="1125">
        <f t="shared" si="431"/>
        <v>1</v>
      </c>
      <c r="CE362" s="1125">
        <f t="shared" si="432"/>
        <v>1</v>
      </c>
      <c r="CF362" s="1125">
        <f t="shared" si="433"/>
        <v>0</v>
      </c>
      <c r="CG362" s="1125">
        <f t="shared" si="434"/>
        <v>0</v>
      </c>
      <c r="CH362" s="1125">
        <f t="shared" si="435"/>
        <v>0</v>
      </c>
      <c r="CI362" s="1125">
        <f t="shared" si="436"/>
        <v>0.85</v>
      </c>
      <c r="CJ362" s="1125">
        <f t="shared" si="437"/>
        <v>0.85</v>
      </c>
      <c r="CK362" s="1125">
        <f t="shared" si="438"/>
        <v>0.85</v>
      </c>
      <c r="CL362" s="1125">
        <f t="shared" si="439"/>
        <v>0.85</v>
      </c>
      <c r="CM362" s="1125">
        <f t="shared" si="440"/>
        <v>0.85</v>
      </c>
      <c r="CN362" s="1125">
        <f t="shared" si="441"/>
        <v>0.85</v>
      </c>
      <c r="CO362" s="1125">
        <f t="shared" si="442"/>
        <v>0.7</v>
      </c>
      <c r="CP362" s="1125">
        <f t="shared" si="443"/>
        <v>0.7</v>
      </c>
      <c r="CQ362" s="1125">
        <f t="shared" si="444"/>
        <v>0.85</v>
      </c>
      <c r="CR362" s="1125">
        <f t="shared" si="445"/>
        <v>0.85</v>
      </c>
      <c r="CS362" s="1125">
        <f t="shared" si="446"/>
        <v>0.85</v>
      </c>
      <c r="CT362" s="1125">
        <f t="shared" si="447"/>
        <v>0.85</v>
      </c>
      <c r="CU362" s="1125">
        <v>1</v>
      </c>
      <c r="CV362" s="1125"/>
      <c r="CW362" s="1125">
        <f t="shared" si="448"/>
        <v>153</v>
      </c>
      <c r="CX362" s="1125">
        <f t="shared" si="449"/>
        <v>212</v>
      </c>
      <c r="CY362" s="1136" t="s">
        <v>4889</v>
      </c>
      <c r="CZ362" s="1129" t="s">
        <v>4890</v>
      </c>
      <c r="DA362" s="1129"/>
      <c r="DB362" s="1129"/>
      <c r="DC362" s="1125" t="s">
        <v>5951</v>
      </c>
      <c r="DD362" s="1125" t="s">
        <v>536</v>
      </c>
      <c r="DE362" s="1120" t="str">
        <f t="shared" si="450"/>
        <v/>
      </c>
      <c r="DF362" s="1133">
        <v>1</v>
      </c>
      <c r="DG362" s="1120">
        <v>0</v>
      </c>
    </row>
    <row r="363" spans="1:111">
      <c r="A363" s="1125" t="s">
        <v>3509</v>
      </c>
      <c r="B363" s="1120" t="s">
        <v>4612</v>
      </c>
      <c r="C363" s="1120" t="s">
        <v>4613</v>
      </c>
      <c r="D363" s="1120" t="s">
        <v>1278</v>
      </c>
      <c r="E363" s="1120">
        <v>686</v>
      </c>
      <c r="F363" s="1120">
        <v>-88.13</v>
      </c>
      <c r="G363" s="1120">
        <v>44.48</v>
      </c>
      <c r="H363" s="1120">
        <v>-6</v>
      </c>
      <c r="I363" s="1121">
        <v>-4.1800006866455091</v>
      </c>
      <c r="J363" s="1121">
        <v>85.280000686645508</v>
      </c>
      <c r="K363" s="1122">
        <v>71.960001373291021</v>
      </c>
      <c r="L363" s="1120">
        <v>7549.2</v>
      </c>
      <c r="M363" s="1120">
        <v>559.80000000000007</v>
      </c>
      <c r="N363" s="1123">
        <v>13.640000343322754</v>
      </c>
      <c r="O363" s="1123">
        <v>20.840000343322753</v>
      </c>
      <c r="P363" s="1123">
        <v>32.180000002682206</v>
      </c>
      <c r="Q363" s="1123">
        <v>44.420000171661378</v>
      </c>
      <c r="R363" s="1123">
        <v>58.280000686645508</v>
      </c>
      <c r="S363" s="1123">
        <v>68.180000686645513</v>
      </c>
      <c r="T363" s="1123">
        <v>71.060001373291016</v>
      </c>
      <c r="U363" s="1123">
        <v>67.819999313354487</v>
      </c>
      <c r="V363" s="1123">
        <v>60.8</v>
      </c>
      <c r="W363" s="1123">
        <v>47.119999313354491</v>
      </c>
      <c r="X363" s="1123">
        <v>33.980000042915343</v>
      </c>
      <c r="Y363" s="1123">
        <v>23.359999656677246</v>
      </c>
      <c r="Z363" s="1123">
        <v>45.266246734298257</v>
      </c>
      <c r="AA363" s="1123">
        <f t="shared" si="376"/>
        <v>41.359615173088571</v>
      </c>
      <c r="AB363" s="1123">
        <f t="shared" si="377"/>
        <v>39.443155377721759</v>
      </c>
      <c r="AC363" s="1123">
        <f t="shared" si="378"/>
        <v>40.608566543799547</v>
      </c>
      <c r="AD363" s="1123">
        <f t="shared" si="379"/>
        <v>44.552066291354052</v>
      </c>
      <c r="AE363" s="1123">
        <f t="shared" si="380"/>
        <v>50.245720640014561</v>
      </c>
      <c r="AF363" s="1123">
        <f t="shared" si="381"/>
        <v>56.205390841933273</v>
      </c>
      <c r="AG363" s="1123">
        <f t="shared" si="382"/>
        <v>60.877597017682255</v>
      </c>
      <c r="AH363" s="1123">
        <f t="shared" si="383"/>
        <v>63.04445662667591</v>
      </c>
      <c r="AI363" s="1123">
        <f t="shared" si="384"/>
        <v>62.141144319512705</v>
      </c>
      <c r="AJ363" s="1123">
        <f t="shared" si="385"/>
        <v>58.403122369518741</v>
      </c>
      <c r="AK363" s="1123">
        <f t="shared" si="386"/>
        <v>52.804763802621864</v>
      </c>
      <c r="AL363" s="1123">
        <f t="shared" si="387"/>
        <v>46.805367052600751</v>
      </c>
      <c r="AM363" s="1120">
        <f t="shared" si="388"/>
        <v>1</v>
      </c>
      <c r="AN363" s="1120">
        <f t="shared" si="389"/>
        <v>1</v>
      </c>
      <c r="AO363" s="1120">
        <f t="shared" si="390"/>
        <v>1</v>
      </c>
      <c r="AP363" s="1120">
        <f t="shared" si="391"/>
        <v>1</v>
      </c>
      <c r="AQ363" s="1120">
        <f t="shared" si="392"/>
        <v>1</v>
      </c>
      <c r="AR363" s="1120">
        <f t="shared" si="393"/>
        <v>0</v>
      </c>
      <c r="AS363" s="1120">
        <f t="shared" si="394"/>
        <v>0</v>
      </c>
      <c r="AT363" s="1120">
        <f t="shared" si="395"/>
        <v>0</v>
      </c>
      <c r="AU363" s="1120">
        <f t="shared" si="396"/>
        <v>1</v>
      </c>
      <c r="AV363" s="1120">
        <f t="shared" si="397"/>
        <v>1</v>
      </c>
      <c r="AW363" s="1120">
        <f t="shared" si="398"/>
        <v>1</v>
      </c>
      <c r="AX363" s="1120">
        <f t="shared" si="399"/>
        <v>1</v>
      </c>
      <c r="AY363" s="1120">
        <f t="shared" si="400"/>
        <v>0</v>
      </c>
      <c r="AZ363" s="1120">
        <f t="shared" si="401"/>
        <v>0</v>
      </c>
      <c r="BA363" s="1120">
        <f t="shared" si="402"/>
        <v>0</v>
      </c>
      <c r="BB363" s="1120">
        <f t="shared" si="403"/>
        <v>0</v>
      </c>
      <c r="BC363" s="1120">
        <f t="shared" si="404"/>
        <v>0</v>
      </c>
      <c r="BD363" s="1120">
        <f t="shared" si="405"/>
        <v>1</v>
      </c>
      <c r="BE363" s="1120">
        <f t="shared" si="406"/>
        <v>1</v>
      </c>
      <c r="BF363" s="1120">
        <f t="shared" si="407"/>
        <v>1</v>
      </c>
      <c r="BG363" s="1120">
        <f t="shared" si="408"/>
        <v>0</v>
      </c>
      <c r="BH363" s="1120">
        <f t="shared" si="409"/>
        <v>0</v>
      </c>
      <c r="BI363" s="1120">
        <f t="shared" si="410"/>
        <v>0</v>
      </c>
      <c r="BJ363" s="1120">
        <f t="shared" si="411"/>
        <v>0</v>
      </c>
      <c r="BK363" s="1120">
        <f t="shared" si="412"/>
        <v>1</v>
      </c>
      <c r="BL363" s="1120">
        <f t="shared" si="413"/>
        <v>1</v>
      </c>
      <c r="BM363" s="1120">
        <f t="shared" si="414"/>
        <v>1</v>
      </c>
      <c r="BN363" s="1120">
        <f t="shared" si="415"/>
        <v>1</v>
      </c>
      <c r="BO363" s="1120">
        <f t="shared" si="416"/>
        <v>1</v>
      </c>
      <c r="BP363" s="1120">
        <f t="shared" si="417"/>
        <v>1</v>
      </c>
      <c r="BQ363" s="1120">
        <f t="shared" si="418"/>
        <v>0</v>
      </c>
      <c r="BR363" s="1120">
        <f t="shared" si="419"/>
        <v>0</v>
      </c>
      <c r="BS363" s="1120">
        <f t="shared" si="420"/>
        <v>1</v>
      </c>
      <c r="BT363" s="1120">
        <f t="shared" si="421"/>
        <v>1</v>
      </c>
      <c r="BU363" s="1120">
        <f t="shared" si="422"/>
        <v>1</v>
      </c>
      <c r="BV363" s="1120">
        <f t="shared" si="423"/>
        <v>1</v>
      </c>
      <c r="BW363" s="1120">
        <f t="shared" si="424"/>
        <v>0</v>
      </c>
      <c r="BX363" s="1120">
        <f t="shared" si="425"/>
        <v>0</v>
      </c>
      <c r="BY363" s="1120">
        <f t="shared" si="426"/>
        <v>0</v>
      </c>
      <c r="BZ363" s="1120">
        <f t="shared" si="427"/>
        <v>0</v>
      </c>
      <c r="CA363" s="1120">
        <f t="shared" si="428"/>
        <v>1</v>
      </c>
      <c r="CB363" s="1120">
        <f t="shared" si="429"/>
        <v>1</v>
      </c>
      <c r="CC363" s="1120">
        <f t="shared" si="430"/>
        <v>1</v>
      </c>
      <c r="CD363" s="1120">
        <f t="shared" si="431"/>
        <v>1</v>
      </c>
      <c r="CE363" s="1120">
        <f t="shared" si="432"/>
        <v>1</v>
      </c>
      <c r="CF363" s="1120">
        <f t="shared" si="433"/>
        <v>0</v>
      </c>
      <c r="CG363" s="1120">
        <f t="shared" si="434"/>
        <v>0</v>
      </c>
      <c r="CH363" s="1120">
        <f t="shared" si="435"/>
        <v>0</v>
      </c>
      <c r="CI363" s="1120">
        <f t="shared" si="436"/>
        <v>0.85</v>
      </c>
      <c r="CJ363" s="1120">
        <f t="shared" si="437"/>
        <v>0.85</v>
      </c>
      <c r="CK363" s="1120">
        <f t="shared" si="438"/>
        <v>0.85</v>
      </c>
      <c r="CL363" s="1120">
        <f t="shared" si="439"/>
        <v>0.85</v>
      </c>
      <c r="CM363" s="1120">
        <f t="shared" si="440"/>
        <v>0.85</v>
      </c>
      <c r="CN363" s="1120">
        <f t="shared" si="441"/>
        <v>0.85</v>
      </c>
      <c r="CO363" s="1120">
        <f t="shared" si="442"/>
        <v>0.7</v>
      </c>
      <c r="CP363" s="1120">
        <f t="shared" si="443"/>
        <v>0.7</v>
      </c>
      <c r="CQ363" s="1120">
        <f t="shared" si="444"/>
        <v>0.85</v>
      </c>
      <c r="CR363" s="1120">
        <f t="shared" si="445"/>
        <v>0.85</v>
      </c>
      <c r="CS363" s="1120">
        <f t="shared" si="446"/>
        <v>0.85</v>
      </c>
      <c r="CT363" s="1120">
        <f t="shared" si="447"/>
        <v>0.85</v>
      </c>
      <c r="CU363" s="1120">
        <v>1</v>
      </c>
      <c r="CV363" s="1120"/>
      <c r="CW363" s="1120">
        <f t="shared" si="448"/>
        <v>153</v>
      </c>
      <c r="CX363" s="1120">
        <f t="shared" si="449"/>
        <v>212</v>
      </c>
      <c r="CY363" s="1136" t="s">
        <v>4889</v>
      </c>
      <c r="CZ363" s="1129" t="s">
        <v>4899</v>
      </c>
      <c r="DA363" s="1129"/>
      <c r="DB363" s="1129"/>
      <c r="DC363" s="1125" t="s">
        <v>5675</v>
      </c>
      <c r="DD363" s="1125" t="s">
        <v>1278</v>
      </c>
      <c r="DE363" s="1120" t="str">
        <f t="shared" si="450"/>
        <v/>
      </c>
      <c r="DF363" s="1133">
        <v>1</v>
      </c>
      <c r="DG363" s="1125">
        <v>0</v>
      </c>
    </row>
    <row r="364" spans="1:111">
      <c r="A364" s="1120" t="s">
        <v>3529</v>
      </c>
      <c r="B364" s="1125" t="s">
        <v>3946</v>
      </c>
      <c r="C364" s="1125" t="s">
        <v>3947</v>
      </c>
      <c r="D364" s="1125" t="s">
        <v>426</v>
      </c>
      <c r="E364" s="1125">
        <v>895</v>
      </c>
      <c r="F364" s="1125">
        <v>-79.95</v>
      </c>
      <c r="G364" s="1125">
        <v>36.1</v>
      </c>
      <c r="H364" s="1125">
        <v>-5</v>
      </c>
      <c r="I364" s="1126">
        <v>21.740000343322755</v>
      </c>
      <c r="J364" s="1126">
        <v>89.960001373291021</v>
      </c>
      <c r="K364" s="1127">
        <v>73.939998626708984</v>
      </c>
      <c r="L364" s="1125">
        <v>3747.6</v>
      </c>
      <c r="M364" s="1125">
        <v>1395</v>
      </c>
      <c r="N364" s="1128">
        <v>32.540000021457672</v>
      </c>
      <c r="O364" s="1128">
        <v>41</v>
      </c>
      <c r="P364" s="1128">
        <v>52.519999313354489</v>
      </c>
      <c r="Q364" s="1128">
        <v>58.459999656677248</v>
      </c>
      <c r="R364" s="1128">
        <v>66.2</v>
      </c>
      <c r="S364" s="1128">
        <v>74.480000686645511</v>
      </c>
      <c r="T364" s="1128">
        <v>77.719999313354492</v>
      </c>
      <c r="U364" s="1128">
        <v>76.639998626708987</v>
      </c>
      <c r="V364" s="1128">
        <v>68.180000686645513</v>
      </c>
      <c r="W364" s="1128">
        <v>55.580000686645505</v>
      </c>
      <c r="X364" s="1128">
        <v>51.440000343322751</v>
      </c>
      <c r="Y364" s="1128">
        <v>39.559999656677249</v>
      </c>
      <c r="Z364" s="1128">
        <v>57.940712239350361</v>
      </c>
      <c r="AA364" s="1128">
        <f t="shared" si="376"/>
        <v>52.546986133943761</v>
      </c>
      <c r="AB364" s="1128">
        <f t="shared" si="377"/>
        <v>51.899451263933997</v>
      </c>
      <c r="AC364" s="1128">
        <f t="shared" si="378"/>
        <v>54.390656628615034</v>
      </c>
      <c r="AD364" s="1128">
        <f t="shared" si="379"/>
        <v>59.371231159046026</v>
      </c>
      <c r="AE364" s="1128">
        <f t="shared" si="380"/>
        <v>65.54291135089332</v>
      </c>
      <c r="AF364" s="1128">
        <f t="shared" si="381"/>
        <v>71.296953653681257</v>
      </c>
      <c r="AG364" s="1128">
        <f t="shared" si="382"/>
        <v>75.133478268712167</v>
      </c>
      <c r="AH364" s="1128">
        <f t="shared" si="383"/>
        <v>76.052435932444325</v>
      </c>
      <c r="AI364" s="1128">
        <f t="shared" si="384"/>
        <v>73.814286168259656</v>
      </c>
      <c r="AJ364" s="1128">
        <f t="shared" si="385"/>
        <v>69.002437203124799</v>
      </c>
      <c r="AK364" s="1128">
        <f t="shared" si="386"/>
        <v>62.871171622639302</v>
      </c>
      <c r="AL364" s="1128">
        <f t="shared" si="387"/>
        <v>57.018698286019351</v>
      </c>
      <c r="AM364" s="1125">
        <f t="shared" si="388"/>
        <v>1</v>
      </c>
      <c r="AN364" s="1125">
        <f t="shared" si="389"/>
        <v>1</v>
      </c>
      <c r="AO364" s="1125">
        <f t="shared" si="390"/>
        <v>1</v>
      </c>
      <c r="AP364" s="1125">
        <f t="shared" si="391"/>
        <v>1</v>
      </c>
      <c r="AQ364" s="1125">
        <f t="shared" si="392"/>
        <v>0</v>
      </c>
      <c r="AR364" s="1125">
        <f t="shared" si="393"/>
        <v>0</v>
      </c>
      <c r="AS364" s="1125">
        <f t="shared" si="394"/>
        <v>0</v>
      </c>
      <c r="AT364" s="1125">
        <f t="shared" si="395"/>
        <v>0</v>
      </c>
      <c r="AU364" s="1125">
        <f t="shared" si="396"/>
        <v>0</v>
      </c>
      <c r="AV364" s="1125">
        <f t="shared" si="397"/>
        <v>1</v>
      </c>
      <c r="AW364" s="1125">
        <f t="shared" si="398"/>
        <v>1</v>
      </c>
      <c r="AX364" s="1125">
        <f t="shared" si="399"/>
        <v>1</v>
      </c>
      <c r="AY364" s="1125">
        <f t="shared" si="400"/>
        <v>0</v>
      </c>
      <c r="AZ364" s="1125">
        <f t="shared" si="401"/>
        <v>0</v>
      </c>
      <c r="BA364" s="1125">
        <f t="shared" si="402"/>
        <v>0</v>
      </c>
      <c r="BB364" s="1125">
        <f t="shared" si="403"/>
        <v>0</v>
      </c>
      <c r="BC364" s="1125">
        <f t="shared" si="404"/>
        <v>1</v>
      </c>
      <c r="BD364" s="1125">
        <f t="shared" si="405"/>
        <v>1</v>
      </c>
      <c r="BE364" s="1125">
        <f t="shared" si="406"/>
        <v>1</v>
      </c>
      <c r="BF364" s="1125">
        <f t="shared" si="407"/>
        <v>1</v>
      </c>
      <c r="BG364" s="1125">
        <f t="shared" si="408"/>
        <v>1</v>
      </c>
      <c r="BH364" s="1125">
        <f t="shared" si="409"/>
        <v>0</v>
      </c>
      <c r="BI364" s="1125">
        <f t="shared" si="410"/>
        <v>0</v>
      </c>
      <c r="BJ364" s="1125">
        <f t="shared" si="411"/>
        <v>0</v>
      </c>
      <c r="BK364" s="1125">
        <f t="shared" si="412"/>
        <v>1</v>
      </c>
      <c r="BL364" s="1125">
        <f t="shared" si="413"/>
        <v>1</v>
      </c>
      <c r="BM364" s="1125">
        <f t="shared" si="414"/>
        <v>1</v>
      </c>
      <c r="BN364" s="1125">
        <f t="shared" si="415"/>
        <v>1</v>
      </c>
      <c r="BO364" s="1125">
        <f t="shared" si="416"/>
        <v>1</v>
      </c>
      <c r="BP364" s="1125">
        <f t="shared" si="417"/>
        <v>0</v>
      </c>
      <c r="BQ364" s="1125">
        <f t="shared" si="418"/>
        <v>0</v>
      </c>
      <c r="BR364" s="1125">
        <f t="shared" si="419"/>
        <v>0</v>
      </c>
      <c r="BS364" s="1125">
        <f t="shared" si="420"/>
        <v>0</v>
      </c>
      <c r="BT364" s="1125">
        <f t="shared" si="421"/>
        <v>1</v>
      </c>
      <c r="BU364" s="1125">
        <f t="shared" si="422"/>
        <v>1</v>
      </c>
      <c r="BV364" s="1125">
        <f t="shared" si="423"/>
        <v>1</v>
      </c>
      <c r="BW364" s="1125">
        <f t="shared" si="424"/>
        <v>0</v>
      </c>
      <c r="BX364" s="1125">
        <f t="shared" si="425"/>
        <v>0</v>
      </c>
      <c r="BY364" s="1125">
        <f t="shared" si="426"/>
        <v>0</v>
      </c>
      <c r="BZ364" s="1125">
        <f t="shared" si="427"/>
        <v>1</v>
      </c>
      <c r="CA364" s="1125">
        <f t="shared" si="428"/>
        <v>1</v>
      </c>
      <c r="CB364" s="1125">
        <f t="shared" si="429"/>
        <v>1</v>
      </c>
      <c r="CC364" s="1125">
        <f t="shared" si="430"/>
        <v>1</v>
      </c>
      <c r="CD364" s="1125">
        <f t="shared" si="431"/>
        <v>1</v>
      </c>
      <c r="CE364" s="1125">
        <f t="shared" si="432"/>
        <v>1</v>
      </c>
      <c r="CF364" s="1125">
        <f t="shared" si="433"/>
        <v>1</v>
      </c>
      <c r="CG364" s="1125">
        <f t="shared" si="434"/>
        <v>0</v>
      </c>
      <c r="CH364" s="1125">
        <f t="shared" si="435"/>
        <v>0</v>
      </c>
      <c r="CI364" s="1125">
        <f t="shared" si="436"/>
        <v>0.85</v>
      </c>
      <c r="CJ364" s="1125">
        <f t="shared" si="437"/>
        <v>0.85</v>
      </c>
      <c r="CK364" s="1125">
        <f t="shared" si="438"/>
        <v>0.85</v>
      </c>
      <c r="CL364" s="1125">
        <f t="shared" si="439"/>
        <v>0.85</v>
      </c>
      <c r="CM364" s="1125">
        <f t="shared" si="440"/>
        <v>0.85</v>
      </c>
      <c r="CN364" s="1125">
        <f t="shared" si="441"/>
        <v>0.7</v>
      </c>
      <c r="CO364" s="1125">
        <f t="shared" si="442"/>
        <v>0.7</v>
      </c>
      <c r="CP364" s="1125">
        <f t="shared" si="443"/>
        <v>0.7</v>
      </c>
      <c r="CQ364" s="1125">
        <f t="shared" si="444"/>
        <v>0.7</v>
      </c>
      <c r="CR364" s="1125">
        <f t="shared" si="445"/>
        <v>0.85</v>
      </c>
      <c r="CS364" s="1125">
        <f t="shared" si="446"/>
        <v>0.85</v>
      </c>
      <c r="CT364" s="1125">
        <f t="shared" si="447"/>
        <v>0.85</v>
      </c>
      <c r="CU364" s="1125">
        <v>1</v>
      </c>
      <c r="CV364" s="1125"/>
      <c r="CW364" s="1125">
        <f t="shared" si="448"/>
        <v>214</v>
      </c>
      <c r="CX364" s="1125">
        <f t="shared" si="449"/>
        <v>151</v>
      </c>
      <c r="CY364" s="1136" t="s">
        <v>4881</v>
      </c>
      <c r="CZ364" s="1129" t="s">
        <v>4885</v>
      </c>
      <c r="DA364" s="1129"/>
      <c r="DB364" s="1129"/>
      <c r="DC364" s="1125" t="s">
        <v>5391</v>
      </c>
      <c r="DD364" s="1125" t="s">
        <v>426</v>
      </c>
      <c r="DE364" s="1120" t="str">
        <f t="shared" si="450"/>
        <v/>
      </c>
      <c r="DF364" s="1133">
        <v>1</v>
      </c>
      <c r="DG364" s="1120">
        <v>0</v>
      </c>
    </row>
    <row r="365" spans="1:111">
      <c r="A365" s="1125" t="s">
        <v>1985</v>
      </c>
      <c r="B365" s="1125" t="s">
        <v>4306</v>
      </c>
      <c r="C365" s="1125" t="s">
        <v>4307</v>
      </c>
      <c r="D365" s="1125" t="s">
        <v>512</v>
      </c>
      <c r="E365" s="1125">
        <v>1046</v>
      </c>
      <c r="F365" s="1125">
        <v>-82.35</v>
      </c>
      <c r="G365" s="1125">
        <v>34.85</v>
      </c>
      <c r="H365" s="1125">
        <v>-5</v>
      </c>
      <c r="I365" s="1126">
        <v>10.040000343322752</v>
      </c>
      <c r="J365" s="1126">
        <v>93.2</v>
      </c>
      <c r="K365" s="1127">
        <v>74.119999313354498</v>
      </c>
      <c r="L365" s="1125">
        <v>3538.8</v>
      </c>
      <c r="M365" s="1125">
        <v>1423.8</v>
      </c>
      <c r="N365" s="1128">
        <v>37.220000171661376</v>
      </c>
      <c r="O365" s="1128">
        <v>41.179999828338623</v>
      </c>
      <c r="P365" s="1128">
        <v>47.480000686645511</v>
      </c>
      <c r="Q365" s="1128">
        <v>57.919999313354495</v>
      </c>
      <c r="R365" s="1128">
        <v>65.3</v>
      </c>
      <c r="S365" s="1128">
        <v>74.83999862670899</v>
      </c>
      <c r="T365" s="1128">
        <v>79.880000686645502</v>
      </c>
      <c r="U365" s="1128">
        <v>75.380000686645502</v>
      </c>
      <c r="V365" s="1128">
        <v>69.619999313354498</v>
      </c>
      <c r="W365" s="1128">
        <v>59.359999656677246</v>
      </c>
      <c r="X365" s="1128">
        <v>53.959999656677248</v>
      </c>
      <c r="Y365" s="1128">
        <v>40.279999828338624</v>
      </c>
      <c r="Z365" s="1128">
        <v>58.616821796469495</v>
      </c>
      <c r="AA365" s="1128">
        <f t="shared" si="376"/>
        <v>53.676438653964276</v>
      </c>
      <c r="AB365" s="1128">
        <f t="shared" si="377"/>
        <v>53.126225882304709</v>
      </c>
      <c r="AC365" s="1128">
        <f t="shared" si="378"/>
        <v>55.571214011115259</v>
      </c>
      <c r="AD365" s="1128">
        <f t="shared" si="379"/>
        <v>60.374079206213878</v>
      </c>
      <c r="AE365" s="1128">
        <f t="shared" si="380"/>
        <v>66.282880640105049</v>
      </c>
      <c r="AF365" s="1128">
        <f t="shared" si="381"/>
        <v>71.757398161658671</v>
      </c>
      <c r="AG365" s="1128">
        <f t="shared" si="382"/>
        <v>75.370614414013076</v>
      </c>
      <c r="AH365" s="1128">
        <f t="shared" si="383"/>
        <v>76.180688899644167</v>
      </c>
      <c r="AI365" s="1128">
        <f t="shared" si="384"/>
        <v>73.976463220246529</v>
      </c>
      <c r="AJ365" s="1128">
        <f t="shared" si="385"/>
        <v>69.332502767301051</v>
      </c>
      <c r="AK365" s="1128">
        <f t="shared" si="386"/>
        <v>63.45932739846485</v>
      </c>
      <c r="AL365" s="1128">
        <f t="shared" si="387"/>
        <v>57.887870781997165</v>
      </c>
      <c r="AM365" s="1125">
        <f t="shared" si="388"/>
        <v>1</v>
      </c>
      <c r="AN365" s="1125">
        <f t="shared" si="389"/>
        <v>1</v>
      </c>
      <c r="AO365" s="1125">
        <f t="shared" si="390"/>
        <v>1</v>
      </c>
      <c r="AP365" s="1125">
        <f t="shared" si="391"/>
        <v>1</v>
      </c>
      <c r="AQ365" s="1125">
        <f t="shared" si="392"/>
        <v>1</v>
      </c>
      <c r="AR365" s="1125">
        <f t="shared" si="393"/>
        <v>0</v>
      </c>
      <c r="AS365" s="1125">
        <f t="shared" si="394"/>
        <v>0</v>
      </c>
      <c r="AT365" s="1125">
        <f t="shared" si="395"/>
        <v>0</v>
      </c>
      <c r="AU365" s="1125">
        <f t="shared" si="396"/>
        <v>0</v>
      </c>
      <c r="AV365" s="1125">
        <f t="shared" si="397"/>
        <v>1</v>
      </c>
      <c r="AW365" s="1125">
        <f t="shared" si="398"/>
        <v>1</v>
      </c>
      <c r="AX365" s="1125">
        <f t="shared" si="399"/>
        <v>1</v>
      </c>
      <c r="AY365" s="1125">
        <f t="shared" si="400"/>
        <v>0</v>
      </c>
      <c r="AZ365" s="1125">
        <f t="shared" si="401"/>
        <v>0</v>
      </c>
      <c r="BA365" s="1125">
        <f t="shared" si="402"/>
        <v>0</v>
      </c>
      <c r="BB365" s="1125">
        <f t="shared" si="403"/>
        <v>0</v>
      </c>
      <c r="BC365" s="1125">
        <f t="shared" si="404"/>
        <v>0</v>
      </c>
      <c r="BD365" s="1125">
        <f t="shared" si="405"/>
        <v>1</v>
      </c>
      <c r="BE365" s="1125">
        <f t="shared" si="406"/>
        <v>1</v>
      </c>
      <c r="BF365" s="1125">
        <f t="shared" si="407"/>
        <v>1</v>
      </c>
      <c r="BG365" s="1125">
        <f t="shared" si="408"/>
        <v>1</v>
      </c>
      <c r="BH365" s="1125">
        <f t="shared" si="409"/>
        <v>0</v>
      </c>
      <c r="BI365" s="1125">
        <f t="shared" si="410"/>
        <v>0</v>
      </c>
      <c r="BJ365" s="1125">
        <f t="shared" si="411"/>
        <v>0</v>
      </c>
      <c r="BK365" s="1125">
        <f t="shared" si="412"/>
        <v>1</v>
      </c>
      <c r="BL365" s="1125">
        <f t="shared" si="413"/>
        <v>1</v>
      </c>
      <c r="BM365" s="1125">
        <f t="shared" si="414"/>
        <v>1</v>
      </c>
      <c r="BN365" s="1125">
        <f t="shared" si="415"/>
        <v>1</v>
      </c>
      <c r="BO365" s="1125">
        <f t="shared" si="416"/>
        <v>1</v>
      </c>
      <c r="BP365" s="1125">
        <f t="shared" si="417"/>
        <v>1</v>
      </c>
      <c r="BQ365" s="1125">
        <f t="shared" si="418"/>
        <v>0</v>
      </c>
      <c r="BR365" s="1125">
        <f t="shared" si="419"/>
        <v>0</v>
      </c>
      <c r="BS365" s="1125">
        <f t="shared" si="420"/>
        <v>0</v>
      </c>
      <c r="BT365" s="1125">
        <f t="shared" si="421"/>
        <v>1</v>
      </c>
      <c r="BU365" s="1125">
        <f t="shared" si="422"/>
        <v>1</v>
      </c>
      <c r="BV365" s="1125">
        <f t="shared" si="423"/>
        <v>1</v>
      </c>
      <c r="BW365" s="1125">
        <f t="shared" si="424"/>
        <v>0</v>
      </c>
      <c r="BX365" s="1125">
        <f t="shared" si="425"/>
        <v>0</v>
      </c>
      <c r="BY365" s="1125">
        <f t="shared" si="426"/>
        <v>0</v>
      </c>
      <c r="BZ365" s="1125">
        <f t="shared" si="427"/>
        <v>0</v>
      </c>
      <c r="CA365" s="1125">
        <f t="shared" si="428"/>
        <v>1</v>
      </c>
      <c r="CB365" s="1125">
        <f t="shared" si="429"/>
        <v>1</v>
      </c>
      <c r="CC365" s="1125">
        <f t="shared" si="430"/>
        <v>1</v>
      </c>
      <c r="CD365" s="1125">
        <f t="shared" si="431"/>
        <v>1</v>
      </c>
      <c r="CE365" s="1125">
        <f t="shared" si="432"/>
        <v>1</v>
      </c>
      <c r="CF365" s="1125">
        <f t="shared" si="433"/>
        <v>1</v>
      </c>
      <c r="CG365" s="1125">
        <f t="shared" si="434"/>
        <v>0</v>
      </c>
      <c r="CH365" s="1125">
        <f t="shared" si="435"/>
        <v>0</v>
      </c>
      <c r="CI365" s="1125">
        <f t="shared" si="436"/>
        <v>0.85</v>
      </c>
      <c r="CJ365" s="1125">
        <f t="shared" si="437"/>
        <v>0.85</v>
      </c>
      <c r="CK365" s="1125">
        <f t="shared" si="438"/>
        <v>0.85</v>
      </c>
      <c r="CL365" s="1125">
        <f t="shared" si="439"/>
        <v>0.85</v>
      </c>
      <c r="CM365" s="1125">
        <f t="shared" si="440"/>
        <v>0.85</v>
      </c>
      <c r="CN365" s="1125">
        <f t="shared" si="441"/>
        <v>0.85</v>
      </c>
      <c r="CO365" s="1125">
        <f t="shared" si="442"/>
        <v>0.7</v>
      </c>
      <c r="CP365" s="1125">
        <f t="shared" si="443"/>
        <v>0.7</v>
      </c>
      <c r="CQ365" s="1125">
        <f t="shared" si="444"/>
        <v>0.7</v>
      </c>
      <c r="CR365" s="1125">
        <f t="shared" si="445"/>
        <v>0.85</v>
      </c>
      <c r="CS365" s="1125">
        <f t="shared" si="446"/>
        <v>0.85</v>
      </c>
      <c r="CT365" s="1125">
        <f t="shared" si="447"/>
        <v>0.85</v>
      </c>
      <c r="CU365" s="1125">
        <v>1</v>
      </c>
      <c r="CV365" s="1125"/>
      <c r="CW365" s="1125">
        <f t="shared" si="448"/>
        <v>184</v>
      </c>
      <c r="CX365" s="1125">
        <f t="shared" si="449"/>
        <v>181</v>
      </c>
      <c r="CY365" s="1136" t="s">
        <v>4881</v>
      </c>
      <c r="CZ365" s="1129" t="s">
        <v>4882</v>
      </c>
      <c r="DA365" s="1129"/>
      <c r="DB365" s="1129"/>
      <c r="DC365" s="1125" t="s">
        <v>5553</v>
      </c>
      <c r="DD365" s="1125" t="s">
        <v>512</v>
      </c>
      <c r="DE365" s="1120" t="str">
        <f t="shared" si="450"/>
        <v/>
      </c>
      <c r="DF365" s="1133">
        <v>0</v>
      </c>
      <c r="DG365" s="1125">
        <v>0</v>
      </c>
    </row>
    <row r="366" spans="1:111">
      <c r="A366" s="1120" t="s">
        <v>3513</v>
      </c>
      <c r="B366" s="1125" t="s">
        <v>4404</v>
      </c>
      <c r="C366" s="1125" t="s">
        <v>4405</v>
      </c>
      <c r="D366" s="1125" t="s">
        <v>228</v>
      </c>
      <c r="E366" s="1125">
        <v>535</v>
      </c>
      <c r="F366" s="1125">
        <v>-96.07</v>
      </c>
      <c r="G366" s="1125">
        <v>33.07</v>
      </c>
      <c r="H366" s="1125">
        <v>-6</v>
      </c>
      <c r="I366" s="1126">
        <v>18.5</v>
      </c>
      <c r="J366" s="1126">
        <v>98.060001373291016</v>
      </c>
      <c r="K366" s="1127">
        <v>76.460001373291021</v>
      </c>
      <c r="L366" s="1125">
        <v>2635.2000000000003</v>
      </c>
      <c r="M366" s="1125">
        <v>2478.6</v>
      </c>
      <c r="N366" s="1128">
        <v>41.720000171661376</v>
      </c>
      <c r="O366" s="1128">
        <v>51.440000343322751</v>
      </c>
      <c r="P366" s="1128">
        <v>50.359999656677246</v>
      </c>
      <c r="Q366" s="1128">
        <v>62.780000686645508</v>
      </c>
      <c r="R366" s="1128">
        <v>75.560001373291016</v>
      </c>
      <c r="S366" s="1128">
        <v>80.060001373291016</v>
      </c>
      <c r="T366" s="1128">
        <v>82.039998626708979</v>
      </c>
      <c r="U366" s="1128">
        <v>80.419999313354495</v>
      </c>
      <c r="V366" s="1128">
        <v>75.2</v>
      </c>
      <c r="W366" s="1128">
        <v>65.66000137329101</v>
      </c>
      <c r="X366" s="1128">
        <v>57.919999313354495</v>
      </c>
      <c r="Y366" s="1128">
        <v>44.059999656677249</v>
      </c>
      <c r="Z366" s="1128">
        <v>63.982301523652794</v>
      </c>
      <c r="AA366" s="1128">
        <f t="shared" si="376"/>
        <v>58.291457686125447</v>
      </c>
      <c r="AB366" s="1128">
        <f t="shared" si="377"/>
        <v>58.289577306680741</v>
      </c>
      <c r="AC366" s="1128">
        <f t="shared" si="378"/>
        <v>61.335585684724307</v>
      </c>
      <c r="AD366" s="1128">
        <f t="shared" si="379"/>
        <v>66.635493796109088</v>
      </c>
      <c r="AE366" s="1128">
        <f t="shared" si="380"/>
        <v>72.807798917546421</v>
      </c>
      <c r="AF366" s="1128">
        <f t="shared" si="381"/>
        <v>78.243594601032513</v>
      </c>
      <c r="AG366" s="1128">
        <f t="shared" si="382"/>
        <v>81.525956933519609</v>
      </c>
      <c r="AH366" s="1128">
        <f t="shared" si="383"/>
        <v>81.799287590310286</v>
      </c>
      <c r="AI366" s="1128">
        <f t="shared" si="384"/>
        <v>78.992338723559115</v>
      </c>
      <c r="AJ366" s="1128">
        <f t="shared" si="385"/>
        <v>73.836784811776184</v>
      </c>
      <c r="AK366" s="1128">
        <f t="shared" si="386"/>
        <v>67.676500431558409</v>
      </c>
      <c r="AL366" s="1128">
        <f t="shared" si="387"/>
        <v>62.117258639465476</v>
      </c>
      <c r="AM366" s="1125">
        <f t="shared" si="388"/>
        <v>1</v>
      </c>
      <c r="AN366" s="1125">
        <f t="shared" si="389"/>
        <v>1</v>
      </c>
      <c r="AO366" s="1125">
        <f t="shared" si="390"/>
        <v>1</v>
      </c>
      <c r="AP366" s="1125">
        <f t="shared" si="391"/>
        <v>1</v>
      </c>
      <c r="AQ366" s="1125">
        <f t="shared" si="392"/>
        <v>0</v>
      </c>
      <c r="AR366" s="1125">
        <f t="shared" si="393"/>
        <v>0</v>
      </c>
      <c r="AS366" s="1125">
        <f t="shared" si="394"/>
        <v>0</v>
      </c>
      <c r="AT366" s="1125">
        <f t="shared" si="395"/>
        <v>0</v>
      </c>
      <c r="AU366" s="1125">
        <f t="shared" si="396"/>
        <v>0</v>
      </c>
      <c r="AV366" s="1125">
        <f t="shared" si="397"/>
        <v>1</v>
      </c>
      <c r="AW366" s="1125">
        <f t="shared" si="398"/>
        <v>1</v>
      </c>
      <c r="AX366" s="1125">
        <f t="shared" si="399"/>
        <v>1</v>
      </c>
      <c r="AY366" s="1125">
        <f t="shared" si="400"/>
        <v>0</v>
      </c>
      <c r="AZ366" s="1125">
        <f t="shared" si="401"/>
        <v>0</v>
      </c>
      <c r="BA366" s="1125">
        <f t="shared" si="402"/>
        <v>0</v>
      </c>
      <c r="BB366" s="1125">
        <f t="shared" si="403"/>
        <v>0</v>
      </c>
      <c r="BC366" s="1125">
        <f t="shared" si="404"/>
        <v>1</v>
      </c>
      <c r="BD366" s="1125">
        <f t="shared" si="405"/>
        <v>1</v>
      </c>
      <c r="BE366" s="1125">
        <f t="shared" si="406"/>
        <v>1</v>
      </c>
      <c r="BF366" s="1125">
        <f t="shared" si="407"/>
        <v>1</v>
      </c>
      <c r="BG366" s="1125">
        <f t="shared" si="408"/>
        <v>1</v>
      </c>
      <c r="BH366" s="1125">
        <f t="shared" si="409"/>
        <v>0</v>
      </c>
      <c r="BI366" s="1125">
        <f t="shared" si="410"/>
        <v>0</v>
      </c>
      <c r="BJ366" s="1125">
        <f t="shared" si="411"/>
        <v>0</v>
      </c>
      <c r="BK366" s="1125">
        <f t="shared" si="412"/>
        <v>1</v>
      </c>
      <c r="BL366" s="1125">
        <f t="shared" si="413"/>
        <v>1</v>
      </c>
      <c r="BM366" s="1125">
        <f t="shared" si="414"/>
        <v>1</v>
      </c>
      <c r="BN366" s="1125">
        <f t="shared" si="415"/>
        <v>1</v>
      </c>
      <c r="BO366" s="1125">
        <f t="shared" si="416"/>
        <v>1</v>
      </c>
      <c r="BP366" s="1125">
        <f t="shared" si="417"/>
        <v>0</v>
      </c>
      <c r="BQ366" s="1125">
        <f t="shared" si="418"/>
        <v>0</v>
      </c>
      <c r="BR366" s="1125">
        <f t="shared" si="419"/>
        <v>0</v>
      </c>
      <c r="BS366" s="1125">
        <f t="shared" si="420"/>
        <v>0</v>
      </c>
      <c r="BT366" s="1125">
        <f t="shared" si="421"/>
        <v>1</v>
      </c>
      <c r="BU366" s="1125">
        <f t="shared" si="422"/>
        <v>1</v>
      </c>
      <c r="BV366" s="1125">
        <f t="shared" si="423"/>
        <v>1</v>
      </c>
      <c r="BW366" s="1125">
        <f t="shared" si="424"/>
        <v>0</v>
      </c>
      <c r="BX366" s="1125">
        <f t="shared" si="425"/>
        <v>0</v>
      </c>
      <c r="BY366" s="1125">
        <f t="shared" si="426"/>
        <v>0</v>
      </c>
      <c r="BZ366" s="1125">
        <f t="shared" si="427"/>
        <v>1</v>
      </c>
      <c r="CA366" s="1125">
        <f t="shared" si="428"/>
        <v>1</v>
      </c>
      <c r="CB366" s="1125">
        <f t="shared" si="429"/>
        <v>1</v>
      </c>
      <c r="CC366" s="1125">
        <f t="shared" si="430"/>
        <v>1</v>
      </c>
      <c r="CD366" s="1125">
        <f t="shared" si="431"/>
        <v>1</v>
      </c>
      <c r="CE366" s="1125">
        <f t="shared" si="432"/>
        <v>1</v>
      </c>
      <c r="CF366" s="1125">
        <f t="shared" si="433"/>
        <v>1</v>
      </c>
      <c r="CG366" s="1125">
        <f t="shared" si="434"/>
        <v>0</v>
      </c>
      <c r="CH366" s="1125">
        <f t="shared" si="435"/>
        <v>0</v>
      </c>
      <c r="CI366" s="1125">
        <f t="shared" si="436"/>
        <v>0.85</v>
      </c>
      <c r="CJ366" s="1125">
        <f t="shared" si="437"/>
        <v>0.85</v>
      </c>
      <c r="CK366" s="1125">
        <f t="shared" si="438"/>
        <v>0.85</v>
      </c>
      <c r="CL366" s="1125">
        <f t="shared" si="439"/>
        <v>0.85</v>
      </c>
      <c r="CM366" s="1125">
        <f t="shared" si="440"/>
        <v>0.85</v>
      </c>
      <c r="CN366" s="1125">
        <f t="shared" si="441"/>
        <v>0.7</v>
      </c>
      <c r="CO366" s="1125">
        <f t="shared" si="442"/>
        <v>0.7</v>
      </c>
      <c r="CP366" s="1125">
        <f t="shared" si="443"/>
        <v>0.7</v>
      </c>
      <c r="CQ366" s="1125">
        <f t="shared" si="444"/>
        <v>0.7</v>
      </c>
      <c r="CR366" s="1125">
        <f t="shared" si="445"/>
        <v>0.85</v>
      </c>
      <c r="CS366" s="1125">
        <f t="shared" si="446"/>
        <v>0.85</v>
      </c>
      <c r="CT366" s="1125">
        <f t="shared" si="447"/>
        <v>0.85</v>
      </c>
      <c r="CU366" s="1125">
        <v>1</v>
      </c>
      <c r="CV366" s="1125"/>
      <c r="CW366" s="1125">
        <f t="shared" si="448"/>
        <v>214</v>
      </c>
      <c r="CX366" s="1125">
        <f t="shared" si="449"/>
        <v>151</v>
      </c>
      <c r="CY366" s="1136" t="s">
        <v>4883</v>
      </c>
      <c r="CZ366" s="1129" t="s">
        <v>4882</v>
      </c>
      <c r="DA366" s="1129"/>
      <c r="DB366" s="1129"/>
      <c r="DC366" s="1125" t="s">
        <v>5999</v>
      </c>
      <c r="DD366" s="1125" t="s">
        <v>228</v>
      </c>
      <c r="DE366" s="1120" t="str">
        <f t="shared" si="450"/>
        <v/>
      </c>
      <c r="DF366" s="1133">
        <v>0</v>
      </c>
      <c r="DG366" s="1120">
        <v>0</v>
      </c>
    </row>
    <row r="367" spans="1:111">
      <c r="A367" s="1125" t="s">
        <v>3515</v>
      </c>
      <c r="B367" s="1120" t="s">
        <v>3876</v>
      </c>
      <c r="C367" s="1120" t="s">
        <v>3877</v>
      </c>
      <c r="D367" s="1120" t="s">
        <v>460</v>
      </c>
      <c r="E367" s="1120">
        <v>138</v>
      </c>
      <c r="F367" s="1120">
        <v>-90.98</v>
      </c>
      <c r="G367" s="1120">
        <v>33.479999999999997</v>
      </c>
      <c r="H367" s="1120">
        <v>-6</v>
      </c>
      <c r="I367" s="1121">
        <v>25.7</v>
      </c>
      <c r="J367" s="1121">
        <v>98.779997253417974</v>
      </c>
      <c r="K367" s="1122">
        <v>77.719999313354492</v>
      </c>
      <c r="L367" s="1120">
        <v>2341.8000000000002</v>
      </c>
      <c r="M367" s="1120">
        <v>2514.6</v>
      </c>
      <c r="N367" s="1123">
        <v>46.580000686645505</v>
      </c>
      <c r="O367" s="1123">
        <v>52.880000686645509</v>
      </c>
      <c r="P367" s="1123">
        <v>56.480000686645511</v>
      </c>
      <c r="Q367" s="1123">
        <v>65.3</v>
      </c>
      <c r="R367" s="1123">
        <v>74.3</v>
      </c>
      <c r="S367" s="1123">
        <v>78.980000686645511</v>
      </c>
      <c r="T367" s="1123">
        <v>83.119999313354498</v>
      </c>
      <c r="U367" s="1123">
        <v>82.219999313354492</v>
      </c>
      <c r="V367" s="1123">
        <v>75.019999313354489</v>
      </c>
      <c r="W367" s="1123">
        <v>65.119999313354498</v>
      </c>
      <c r="X367" s="1123">
        <v>50.180000686645506</v>
      </c>
      <c r="Y367" s="1123">
        <v>47.480000686645511</v>
      </c>
      <c r="Z367" s="1123">
        <v>64.874904218699839</v>
      </c>
      <c r="AA367" s="1123">
        <f t="shared" si="376"/>
        <v>60.080022714008521</v>
      </c>
      <c r="AB367" s="1123">
        <f t="shared" si="377"/>
        <v>60.165513027459468</v>
      </c>
      <c r="AC367" s="1123">
        <f t="shared" si="378"/>
        <v>63.042571191621093</v>
      </c>
      <c r="AD367" s="1123">
        <f t="shared" si="379"/>
        <v>67.961247659196289</v>
      </c>
      <c r="AE367" s="1123">
        <f t="shared" si="380"/>
        <v>73.63941360981282</v>
      </c>
      <c r="AF367" s="1123">
        <f t="shared" si="381"/>
        <v>78.596967585256465</v>
      </c>
      <c r="AG367" s="1123">
        <f t="shared" si="382"/>
        <v>81.541646743608524</v>
      </c>
      <c r="AH367" s="1123">
        <f t="shared" si="383"/>
        <v>81.7058750833651</v>
      </c>
      <c r="AI367" s="1123">
        <f t="shared" si="384"/>
        <v>79.04684395693333</v>
      </c>
      <c r="AJ367" s="1123">
        <f t="shared" si="385"/>
        <v>74.25767080432766</v>
      </c>
      <c r="AK367" s="1123">
        <f t="shared" si="386"/>
        <v>68.586727411167047</v>
      </c>
      <c r="AL367" s="1123">
        <f t="shared" si="387"/>
        <v>63.512232564761824</v>
      </c>
      <c r="AM367" s="1120">
        <f t="shared" si="388"/>
        <v>1</v>
      </c>
      <c r="AN367" s="1120">
        <f t="shared" si="389"/>
        <v>1</v>
      </c>
      <c r="AO367" s="1120">
        <f t="shared" si="390"/>
        <v>1</v>
      </c>
      <c r="AP367" s="1120">
        <f t="shared" si="391"/>
        <v>1</v>
      </c>
      <c r="AQ367" s="1120">
        <f t="shared" si="392"/>
        <v>0</v>
      </c>
      <c r="AR367" s="1120">
        <f t="shared" si="393"/>
        <v>0</v>
      </c>
      <c r="AS367" s="1120">
        <f t="shared" si="394"/>
        <v>0</v>
      </c>
      <c r="AT367" s="1120">
        <f t="shared" si="395"/>
        <v>0</v>
      </c>
      <c r="AU367" s="1120">
        <f t="shared" si="396"/>
        <v>0</v>
      </c>
      <c r="AV367" s="1120">
        <f t="shared" si="397"/>
        <v>1</v>
      </c>
      <c r="AW367" s="1120">
        <f t="shared" si="398"/>
        <v>1</v>
      </c>
      <c r="AX367" s="1120">
        <f t="shared" si="399"/>
        <v>1</v>
      </c>
      <c r="AY367" s="1120">
        <f t="shared" si="400"/>
        <v>0</v>
      </c>
      <c r="AZ367" s="1120">
        <f t="shared" si="401"/>
        <v>0</v>
      </c>
      <c r="BA367" s="1120">
        <f t="shared" si="402"/>
        <v>0</v>
      </c>
      <c r="BB367" s="1120">
        <f t="shared" si="403"/>
        <v>0</v>
      </c>
      <c r="BC367" s="1120">
        <f t="shared" si="404"/>
        <v>1</v>
      </c>
      <c r="BD367" s="1120">
        <f t="shared" si="405"/>
        <v>1</v>
      </c>
      <c r="BE367" s="1120">
        <f t="shared" si="406"/>
        <v>1</v>
      </c>
      <c r="BF367" s="1120">
        <f t="shared" si="407"/>
        <v>1</v>
      </c>
      <c r="BG367" s="1120">
        <f t="shared" si="408"/>
        <v>1</v>
      </c>
      <c r="BH367" s="1120">
        <f t="shared" si="409"/>
        <v>0</v>
      </c>
      <c r="BI367" s="1120">
        <f t="shared" si="410"/>
        <v>0</v>
      </c>
      <c r="BJ367" s="1120">
        <f t="shared" si="411"/>
        <v>0</v>
      </c>
      <c r="BK367" s="1120">
        <f t="shared" si="412"/>
        <v>1</v>
      </c>
      <c r="BL367" s="1120">
        <f t="shared" si="413"/>
        <v>1</v>
      </c>
      <c r="BM367" s="1120">
        <f t="shared" si="414"/>
        <v>1</v>
      </c>
      <c r="BN367" s="1120">
        <f t="shared" si="415"/>
        <v>1</v>
      </c>
      <c r="BO367" s="1120">
        <f t="shared" si="416"/>
        <v>1</v>
      </c>
      <c r="BP367" s="1120">
        <f t="shared" si="417"/>
        <v>0</v>
      </c>
      <c r="BQ367" s="1120">
        <f t="shared" si="418"/>
        <v>0</v>
      </c>
      <c r="BR367" s="1120">
        <f t="shared" si="419"/>
        <v>0</v>
      </c>
      <c r="BS367" s="1120">
        <f t="shared" si="420"/>
        <v>0</v>
      </c>
      <c r="BT367" s="1120">
        <f t="shared" si="421"/>
        <v>1</v>
      </c>
      <c r="BU367" s="1120">
        <f t="shared" si="422"/>
        <v>1</v>
      </c>
      <c r="BV367" s="1120">
        <f t="shared" si="423"/>
        <v>1</v>
      </c>
      <c r="BW367" s="1120">
        <f t="shared" si="424"/>
        <v>0</v>
      </c>
      <c r="BX367" s="1120">
        <f t="shared" si="425"/>
        <v>0</v>
      </c>
      <c r="BY367" s="1120">
        <f t="shared" si="426"/>
        <v>0</v>
      </c>
      <c r="BZ367" s="1120">
        <f t="shared" si="427"/>
        <v>1</v>
      </c>
      <c r="CA367" s="1120">
        <f t="shared" si="428"/>
        <v>1</v>
      </c>
      <c r="CB367" s="1120">
        <f t="shared" si="429"/>
        <v>1</v>
      </c>
      <c r="CC367" s="1120">
        <f t="shared" si="430"/>
        <v>1</v>
      </c>
      <c r="CD367" s="1120">
        <f t="shared" si="431"/>
        <v>1</v>
      </c>
      <c r="CE367" s="1120">
        <f t="shared" si="432"/>
        <v>1</v>
      </c>
      <c r="CF367" s="1120">
        <f t="shared" si="433"/>
        <v>1</v>
      </c>
      <c r="CG367" s="1120">
        <f t="shared" si="434"/>
        <v>0</v>
      </c>
      <c r="CH367" s="1120">
        <f t="shared" si="435"/>
        <v>0</v>
      </c>
      <c r="CI367" s="1120">
        <f t="shared" si="436"/>
        <v>0.85</v>
      </c>
      <c r="CJ367" s="1120">
        <f t="shared" si="437"/>
        <v>0.85</v>
      </c>
      <c r="CK367" s="1120">
        <f t="shared" si="438"/>
        <v>0.85</v>
      </c>
      <c r="CL367" s="1120">
        <f t="shared" si="439"/>
        <v>0.85</v>
      </c>
      <c r="CM367" s="1120">
        <f t="shared" si="440"/>
        <v>0.85</v>
      </c>
      <c r="CN367" s="1120">
        <f t="shared" si="441"/>
        <v>0.7</v>
      </c>
      <c r="CO367" s="1120">
        <f t="shared" si="442"/>
        <v>0.7</v>
      </c>
      <c r="CP367" s="1120">
        <f t="shared" si="443"/>
        <v>0.7</v>
      </c>
      <c r="CQ367" s="1120">
        <f t="shared" si="444"/>
        <v>0.7</v>
      </c>
      <c r="CR367" s="1120">
        <f t="shared" si="445"/>
        <v>0.85</v>
      </c>
      <c r="CS367" s="1120">
        <f t="shared" si="446"/>
        <v>0.85</v>
      </c>
      <c r="CT367" s="1120">
        <f t="shared" si="447"/>
        <v>0.85</v>
      </c>
      <c r="CU367" s="1120">
        <v>1</v>
      </c>
      <c r="CV367" s="1120"/>
      <c r="CW367" s="1120">
        <f t="shared" si="448"/>
        <v>214</v>
      </c>
      <c r="CX367" s="1120">
        <f t="shared" si="449"/>
        <v>151</v>
      </c>
      <c r="CY367" s="1135" t="s">
        <v>4881</v>
      </c>
      <c r="CZ367" s="1124" t="s">
        <v>4882</v>
      </c>
      <c r="DA367" s="1124"/>
      <c r="DB367" s="1124"/>
      <c r="DC367" s="1120" t="s">
        <v>5363</v>
      </c>
      <c r="DD367" s="1120" t="s">
        <v>460</v>
      </c>
      <c r="DE367" s="1120" t="str">
        <f t="shared" si="450"/>
        <v/>
      </c>
      <c r="DF367" s="1133">
        <v>0</v>
      </c>
      <c r="DG367" s="1125">
        <v>0</v>
      </c>
    </row>
    <row r="368" spans="1:111">
      <c r="A368" s="1120" t="s">
        <v>5844</v>
      </c>
      <c r="B368" s="1125" t="s">
        <v>3878</v>
      </c>
      <c r="C368" s="1125" t="s">
        <v>3879</v>
      </c>
      <c r="D368" s="1125" t="s">
        <v>460</v>
      </c>
      <c r="E368" s="1125">
        <v>154</v>
      </c>
      <c r="F368" s="1125">
        <v>-90.08</v>
      </c>
      <c r="G368" s="1125">
        <v>33.5</v>
      </c>
      <c r="H368" s="1125">
        <v>-6</v>
      </c>
      <c r="I368" s="1126">
        <v>24.620000171661378</v>
      </c>
      <c r="J368" s="1126">
        <v>93.920002746582028</v>
      </c>
      <c r="K368" s="1127">
        <v>77.360001373291013</v>
      </c>
      <c r="L368" s="1125">
        <v>2448</v>
      </c>
      <c r="M368" s="1125">
        <v>2161.8000000000002</v>
      </c>
      <c r="N368" s="1128">
        <v>45.679999828338623</v>
      </c>
      <c r="O368" s="1128">
        <v>51.980000686645511</v>
      </c>
      <c r="P368" s="1128">
        <v>51.619999313354491</v>
      </c>
      <c r="Q368" s="1128">
        <v>65.480000686645511</v>
      </c>
      <c r="R368" s="1128">
        <v>69.8</v>
      </c>
      <c r="S368" s="1128">
        <v>77.900000000000006</v>
      </c>
      <c r="T368" s="1128">
        <v>80.060001373291016</v>
      </c>
      <c r="U368" s="1128">
        <v>81.139998626708987</v>
      </c>
      <c r="V368" s="1128">
        <v>73.939998626708984</v>
      </c>
      <c r="W368" s="1128">
        <v>62.6</v>
      </c>
      <c r="X368" s="1128">
        <v>57.919999313354495</v>
      </c>
      <c r="Y368" s="1128">
        <v>44.6</v>
      </c>
      <c r="Z368" s="1128">
        <v>63.597643702520081</v>
      </c>
      <c r="AA368" s="1128">
        <f t="shared" si="376"/>
        <v>59.08941087778571</v>
      </c>
      <c r="AB368" s="1128">
        <f t="shared" si="377"/>
        <v>59.050918836889352</v>
      </c>
      <c r="AC368" s="1128">
        <f t="shared" si="378"/>
        <v>61.761593162169568</v>
      </c>
      <c r="AD368" s="1128">
        <f t="shared" si="379"/>
        <v>66.514854817986262</v>
      </c>
      <c r="AE368" s="1128">
        <f t="shared" si="380"/>
        <v>72.071692903771449</v>
      </c>
      <c r="AF368" s="1128">
        <f t="shared" si="381"/>
        <v>76.983631938998201</v>
      </c>
      <c r="AG368" s="1128">
        <f t="shared" si="382"/>
        <v>79.970299318862857</v>
      </c>
      <c r="AH368" s="1128">
        <f t="shared" si="383"/>
        <v>80.253174164866181</v>
      </c>
      <c r="AI368" s="1128">
        <f t="shared" si="384"/>
        <v>77.758520789164081</v>
      </c>
      <c r="AJ368" s="1128">
        <f t="shared" si="385"/>
        <v>73.136609037905501</v>
      </c>
      <c r="AK368" s="1128">
        <f t="shared" si="386"/>
        <v>67.592211434872084</v>
      </c>
      <c r="AL368" s="1128">
        <f t="shared" si="387"/>
        <v>62.570560657047828</v>
      </c>
      <c r="AM368" s="1125">
        <f t="shared" si="388"/>
        <v>1</v>
      </c>
      <c r="AN368" s="1125">
        <f t="shared" si="389"/>
        <v>1</v>
      </c>
      <c r="AO368" s="1125">
        <f t="shared" si="390"/>
        <v>1</v>
      </c>
      <c r="AP368" s="1125">
        <f t="shared" si="391"/>
        <v>1</v>
      </c>
      <c r="AQ368" s="1125">
        <f t="shared" si="392"/>
        <v>0</v>
      </c>
      <c r="AR368" s="1125">
        <f t="shared" si="393"/>
        <v>0</v>
      </c>
      <c r="AS368" s="1125">
        <f t="shared" si="394"/>
        <v>0</v>
      </c>
      <c r="AT368" s="1125">
        <f t="shared" si="395"/>
        <v>0</v>
      </c>
      <c r="AU368" s="1125">
        <f t="shared" si="396"/>
        <v>0</v>
      </c>
      <c r="AV368" s="1125">
        <f t="shared" si="397"/>
        <v>1</v>
      </c>
      <c r="AW368" s="1125">
        <f t="shared" si="398"/>
        <v>1</v>
      </c>
      <c r="AX368" s="1125">
        <f t="shared" si="399"/>
        <v>1</v>
      </c>
      <c r="AY368" s="1125">
        <f t="shared" si="400"/>
        <v>0</v>
      </c>
      <c r="AZ368" s="1125">
        <f t="shared" si="401"/>
        <v>0</v>
      </c>
      <c r="BA368" s="1125">
        <f t="shared" si="402"/>
        <v>0</v>
      </c>
      <c r="BB368" s="1125">
        <f t="shared" si="403"/>
        <v>0</v>
      </c>
      <c r="BC368" s="1125">
        <f t="shared" si="404"/>
        <v>1</v>
      </c>
      <c r="BD368" s="1125">
        <f t="shared" si="405"/>
        <v>1</v>
      </c>
      <c r="BE368" s="1125">
        <f t="shared" si="406"/>
        <v>1</v>
      </c>
      <c r="BF368" s="1125">
        <f t="shared" si="407"/>
        <v>1</v>
      </c>
      <c r="BG368" s="1125">
        <f t="shared" si="408"/>
        <v>1</v>
      </c>
      <c r="BH368" s="1125">
        <f t="shared" si="409"/>
        <v>0</v>
      </c>
      <c r="BI368" s="1125">
        <f t="shared" si="410"/>
        <v>0</v>
      </c>
      <c r="BJ368" s="1125">
        <f t="shared" si="411"/>
        <v>0</v>
      </c>
      <c r="BK368" s="1125">
        <f t="shared" si="412"/>
        <v>1</v>
      </c>
      <c r="BL368" s="1125">
        <f t="shared" si="413"/>
        <v>1</v>
      </c>
      <c r="BM368" s="1125">
        <f t="shared" si="414"/>
        <v>1</v>
      </c>
      <c r="BN368" s="1125">
        <f t="shared" si="415"/>
        <v>1</v>
      </c>
      <c r="BO368" s="1125">
        <f t="shared" si="416"/>
        <v>1</v>
      </c>
      <c r="BP368" s="1125">
        <f t="shared" si="417"/>
        <v>0</v>
      </c>
      <c r="BQ368" s="1125">
        <f t="shared" si="418"/>
        <v>0</v>
      </c>
      <c r="BR368" s="1125">
        <f t="shared" si="419"/>
        <v>0</v>
      </c>
      <c r="BS368" s="1125">
        <f t="shared" si="420"/>
        <v>0</v>
      </c>
      <c r="BT368" s="1125">
        <f t="shared" si="421"/>
        <v>1</v>
      </c>
      <c r="BU368" s="1125">
        <f t="shared" si="422"/>
        <v>1</v>
      </c>
      <c r="BV368" s="1125">
        <f t="shared" si="423"/>
        <v>1</v>
      </c>
      <c r="BW368" s="1125">
        <f t="shared" si="424"/>
        <v>0</v>
      </c>
      <c r="BX368" s="1125">
        <f t="shared" si="425"/>
        <v>0</v>
      </c>
      <c r="BY368" s="1125">
        <f t="shared" si="426"/>
        <v>0</v>
      </c>
      <c r="BZ368" s="1125">
        <f t="shared" si="427"/>
        <v>1</v>
      </c>
      <c r="CA368" s="1125">
        <f t="shared" si="428"/>
        <v>1</v>
      </c>
      <c r="CB368" s="1125">
        <f t="shared" si="429"/>
        <v>1</v>
      </c>
      <c r="CC368" s="1125">
        <f t="shared" si="430"/>
        <v>1</v>
      </c>
      <c r="CD368" s="1125">
        <f t="shared" si="431"/>
        <v>1</v>
      </c>
      <c r="CE368" s="1125">
        <f t="shared" si="432"/>
        <v>1</v>
      </c>
      <c r="CF368" s="1125">
        <f t="shared" si="433"/>
        <v>1</v>
      </c>
      <c r="CG368" s="1125">
        <f t="shared" si="434"/>
        <v>0</v>
      </c>
      <c r="CH368" s="1125">
        <f t="shared" si="435"/>
        <v>0</v>
      </c>
      <c r="CI368" s="1125">
        <f t="shared" si="436"/>
        <v>0.85</v>
      </c>
      <c r="CJ368" s="1125">
        <f t="shared" si="437"/>
        <v>0.85</v>
      </c>
      <c r="CK368" s="1125">
        <f t="shared" si="438"/>
        <v>0.85</v>
      </c>
      <c r="CL368" s="1125">
        <f t="shared" si="439"/>
        <v>0.85</v>
      </c>
      <c r="CM368" s="1125">
        <f t="shared" si="440"/>
        <v>0.85</v>
      </c>
      <c r="CN368" s="1125">
        <f t="shared" si="441"/>
        <v>0.7</v>
      </c>
      <c r="CO368" s="1125">
        <f t="shared" si="442"/>
        <v>0.7</v>
      </c>
      <c r="CP368" s="1125">
        <f t="shared" si="443"/>
        <v>0.7</v>
      </c>
      <c r="CQ368" s="1125">
        <f t="shared" si="444"/>
        <v>0.7</v>
      </c>
      <c r="CR368" s="1125">
        <f t="shared" si="445"/>
        <v>0.85</v>
      </c>
      <c r="CS368" s="1125">
        <f t="shared" si="446"/>
        <v>0.85</v>
      </c>
      <c r="CT368" s="1125">
        <f t="shared" si="447"/>
        <v>0.85</v>
      </c>
      <c r="CU368" s="1125">
        <v>1</v>
      </c>
      <c r="CV368" s="1125"/>
      <c r="CW368" s="1125">
        <f t="shared" si="448"/>
        <v>214</v>
      </c>
      <c r="CX368" s="1125">
        <f t="shared" si="449"/>
        <v>151</v>
      </c>
      <c r="CY368" s="1136" t="s">
        <v>4881</v>
      </c>
      <c r="CZ368" s="1129" t="s">
        <v>4882</v>
      </c>
      <c r="DA368" s="1129"/>
      <c r="DB368" s="1129"/>
      <c r="DC368" s="1125" t="s">
        <v>5364</v>
      </c>
      <c r="DD368" s="1125" t="s">
        <v>460</v>
      </c>
      <c r="DE368" s="1120" t="str">
        <f t="shared" si="450"/>
        <v/>
      </c>
      <c r="DF368" s="1133">
        <v>0</v>
      </c>
      <c r="DG368" s="1120">
        <v>0</v>
      </c>
    </row>
    <row r="369" spans="1:111">
      <c r="A369" s="1125" t="s">
        <v>3517</v>
      </c>
      <c r="B369" s="1120" t="s">
        <v>4308</v>
      </c>
      <c r="C369" s="1120" t="s">
        <v>4309</v>
      </c>
      <c r="D369" s="1120" t="s">
        <v>512</v>
      </c>
      <c r="E369" s="1120">
        <v>958</v>
      </c>
      <c r="F369" s="1120">
        <v>-82.22</v>
      </c>
      <c r="G369" s="1120">
        <v>34.9</v>
      </c>
      <c r="H369" s="1120">
        <v>-5</v>
      </c>
      <c r="I369" s="1121">
        <v>24.8</v>
      </c>
      <c r="J369" s="1121">
        <v>91.4</v>
      </c>
      <c r="K369" s="1122">
        <v>73.939998626708984</v>
      </c>
      <c r="L369" s="1120">
        <v>3128.4</v>
      </c>
      <c r="M369" s="1120">
        <v>1569.6000000000001</v>
      </c>
      <c r="N369" s="1123">
        <v>38.660000085830688</v>
      </c>
      <c r="O369" s="1123">
        <v>45.140000343322754</v>
      </c>
      <c r="P369" s="1123">
        <v>52.880000686645509</v>
      </c>
      <c r="Q369" s="1123">
        <v>60.8</v>
      </c>
      <c r="R369" s="1123">
        <v>67.280000686645508</v>
      </c>
      <c r="S369" s="1123">
        <v>74.480000686645511</v>
      </c>
      <c r="T369" s="1123">
        <v>79.519999313354489</v>
      </c>
      <c r="U369" s="1123">
        <v>77.719999313354492</v>
      </c>
      <c r="V369" s="1123">
        <v>70.33999862670899</v>
      </c>
      <c r="W369" s="1123">
        <v>59.540000343322752</v>
      </c>
      <c r="X369" s="1123">
        <v>50.719999313354492</v>
      </c>
      <c r="Y369" s="1123">
        <v>43.52000017166138</v>
      </c>
      <c r="Z369" s="1123">
        <v>60.128328731615248</v>
      </c>
      <c r="AA369" s="1123">
        <f t="shared" si="376"/>
        <v>55.260728745319014</v>
      </c>
      <c r="AB369" s="1123">
        <f t="shared" si="377"/>
        <v>54.870945145655</v>
      </c>
      <c r="AC369" s="1123">
        <f t="shared" si="378"/>
        <v>57.415572059203832</v>
      </c>
      <c r="AD369" s="1123">
        <f t="shared" si="379"/>
        <v>62.231313267061267</v>
      </c>
      <c r="AE369" s="1123">
        <f t="shared" si="380"/>
        <v>68.062871610580856</v>
      </c>
      <c r="AF369" s="1123">
        <f t="shared" si="381"/>
        <v>73.390161540489885</v>
      </c>
      <c r="AG369" s="1123">
        <f t="shared" si="382"/>
        <v>76.824542840534718</v>
      </c>
      <c r="AH369" s="1123">
        <f t="shared" si="383"/>
        <v>77.470791099440817</v>
      </c>
      <c r="AI369" s="1123">
        <f t="shared" si="384"/>
        <v>75.160451749537145</v>
      </c>
      <c r="AJ369" s="1123">
        <f t="shared" si="385"/>
        <v>70.495750345783222</v>
      </c>
      <c r="AK369" s="1123">
        <f t="shared" si="386"/>
        <v>64.692613194292065</v>
      </c>
      <c r="AL369" s="1123">
        <f t="shared" si="387"/>
        <v>59.263717422650345</v>
      </c>
      <c r="AM369" s="1120">
        <f t="shared" si="388"/>
        <v>1</v>
      </c>
      <c r="AN369" s="1120">
        <f t="shared" si="389"/>
        <v>1</v>
      </c>
      <c r="AO369" s="1120">
        <f t="shared" si="390"/>
        <v>1</v>
      </c>
      <c r="AP369" s="1120">
        <f t="shared" si="391"/>
        <v>1</v>
      </c>
      <c r="AQ369" s="1120">
        <f t="shared" si="392"/>
        <v>0</v>
      </c>
      <c r="AR369" s="1120">
        <f t="shared" si="393"/>
        <v>0</v>
      </c>
      <c r="AS369" s="1120">
        <f t="shared" si="394"/>
        <v>0</v>
      </c>
      <c r="AT369" s="1120">
        <f t="shared" si="395"/>
        <v>0</v>
      </c>
      <c r="AU369" s="1120">
        <f t="shared" si="396"/>
        <v>0</v>
      </c>
      <c r="AV369" s="1120">
        <f t="shared" si="397"/>
        <v>1</v>
      </c>
      <c r="AW369" s="1120">
        <f t="shared" si="398"/>
        <v>1</v>
      </c>
      <c r="AX369" s="1120">
        <f t="shared" si="399"/>
        <v>1</v>
      </c>
      <c r="AY369" s="1120">
        <f t="shared" si="400"/>
        <v>0</v>
      </c>
      <c r="AZ369" s="1120">
        <f t="shared" si="401"/>
        <v>0</v>
      </c>
      <c r="BA369" s="1120">
        <f t="shared" si="402"/>
        <v>0</v>
      </c>
      <c r="BB369" s="1120">
        <f t="shared" si="403"/>
        <v>0</v>
      </c>
      <c r="BC369" s="1120">
        <f t="shared" si="404"/>
        <v>1</v>
      </c>
      <c r="BD369" s="1120">
        <f t="shared" si="405"/>
        <v>1</v>
      </c>
      <c r="BE369" s="1120">
        <f t="shared" si="406"/>
        <v>1</v>
      </c>
      <c r="BF369" s="1120">
        <f t="shared" si="407"/>
        <v>1</v>
      </c>
      <c r="BG369" s="1120">
        <f t="shared" si="408"/>
        <v>1</v>
      </c>
      <c r="BH369" s="1120">
        <f t="shared" si="409"/>
        <v>0</v>
      </c>
      <c r="BI369" s="1120">
        <f t="shared" si="410"/>
        <v>0</v>
      </c>
      <c r="BJ369" s="1120">
        <f t="shared" si="411"/>
        <v>0</v>
      </c>
      <c r="BK369" s="1120">
        <f t="shared" si="412"/>
        <v>1</v>
      </c>
      <c r="BL369" s="1120">
        <f t="shared" si="413"/>
        <v>1</v>
      </c>
      <c r="BM369" s="1120">
        <f t="shared" si="414"/>
        <v>1</v>
      </c>
      <c r="BN369" s="1120">
        <f t="shared" si="415"/>
        <v>1</v>
      </c>
      <c r="BO369" s="1120">
        <f t="shared" si="416"/>
        <v>1</v>
      </c>
      <c r="BP369" s="1120">
        <f t="shared" si="417"/>
        <v>0</v>
      </c>
      <c r="BQ369" s="1120">
        <f t="shared" si="418"/>
        <v>0</v>
      </c>
      <c r="BR369" s="1120">
        <f t="shared" si="419"/>
        <v>0</v>
      </c>
      <c r="BS369" s="1120">
        <f t="shared" si="420"/>
        <v>0</v>
      </c>
      <c r="BT369" s="1120">
        <f t="shared" si="421"/>
        <v>1</v>
      </c>
      <c r="BU369" s="1120">
        <f t="shared" si="422"/>
        <v>1</v>
      </c>
      <c r="BV369" s="1120">
        <f t="shared" si="423"/>
        <v>1</v>
      </c>
      <c r="BW369" s="1120">
        <f t="shared" si="424"/>
        <v>0</v>
      </c>
      <c r="BX369" s="1120">
        <f t="shared" si="425"/>
        <v>0</v>
      </c>
      <c r="BY369" s="1120">
        <f t="shared" si="426"/>
        <v>0</v>
      </c>
      <c r="BZ369" s="1120">
        <f t="shared" si="427"/>
        <v>1</v>
      </c>
      <c r="CA369" s="1120">
        <f t="shared" si="428"/>
        <v>1</v>
      </c>
      <c r="CB369" s="1120">
        <f t="shared" si="429"/>
        <v>1</v>
      </c>
      <c r="CC369" s="1120">
        <f t="shared" si="430"/>
        <v>1</v>
      </c>
      <c r="CD369" s="1120">
        <f t="shared" si="431"/>
        <v>1</v>
      </c>
      <c r="CE369" s="1120">
        <f t="shared" si="432"/>
        <v>1</v>
      </c>
      <c r="CF369" s="1120">
        <f t="shared" si="433"/>
        <v>1</v>
      </c>
      <c r="CG369" s="1120">
        <f t="shared" si="434"/>
        <v>0</v>
      </c>
      <c r="CH369" s="1120">
        <f t="shared" si="435"/>
        <v>0</v>
      </c>
      <c r="CI369" s="1120">
        <f t="shared" si="436"/>
        <v>0.85</v>
      </c>
      <c r="CJ369" s="1120">
        <f t="shared" si="437"/>
        <v>0.85</v>
      </c>
      <c r="CK369" s="1120">
        <f t="shared" si="438"/>
        <v>0.85</v>
      </c>
      <c r="CL369" s="1120">
        <f t="shared" si="439"/>
        <v>0.85</v>
      </c>
      <c r="CM369" s="1120">
        <f t="shared" si="440"/>
        <v>0.85</v>
      </c>
      <c r="CN369" s="1120">
        <f t="shared" si="441"/>
        <v>0.7</v>
      </c>
      <c r="CO369" s="1120">
        <f t="shared" si="442"/>
        <v>0.7</v>
      </c>
      <c r="CP369" s="1120">
        <f t="shared" si="443"/>
        <v>0.7</v>
      </c>
      <c r="CQ369" s="1120">
        <f t="shared" si="444"/>
        <v>0.7</v>
      </c>
      <c r="CR369" s="1120">
        <f t="shared" si="445"/>
        <v>0.85</v>
      </c>
      <c r="CS369" s="1120">
        <f t="shared" si="446"/>
        <v>0.85</v>
      </c>
      <c r="CT369" s="1120">
        <f t="shared" si="447"/>
        <v>0.85</v>
      </c>
      <c r="CU369" s="1120">
        <v>1</v>
      </c>
      <c r="CV369" s="1120"/>
      <c r="CW369" s="1120">
        <f t="shared" si="448"/>
        <v>214</v>
      </c>
      <c r="CX369" s="1120">
        <f t="shared" si="449"/>
        <v>151</v>
      </c>
      <c r="CY369" s="1135" t="s">
        <v>4881</v>
      </c>
      <c r="CZ369" s="1124" t="s">
        <v>4882</v>
      </c>
      <c r="DA369" s="1124"/>
      <c r="DB369" s="1124"/>
      <c r="DC369" s="1120" t="s">
        <v>6050</v>
      </c>
      <c r="DD369" s="1120" t="s">
        <v>512</v>
      </c>
      <c r="DE369" s="1120" t="b">
        <f t="shared" si="450"/>
        <v>0</v>
      </c>
      <c r="DF369" s="1133">
        <v>0</v>
      </c>
      <c r="DG369" s="1125">
        <v>0</v>
      </c>
    </row>
    <row r="370" spans="1:111">
      <c r="A370" s="1120" t="s">
        <v>3519</v>
      </c>
      <c r="B370" s="1120" t="s">
        <v>3537</v>
      </c>
      <c r="C370" s="1120" t="s">
        <v>3538</v>
      </c>
      <c r="D370" s="1120" t="s">
        <v>283</v>
      </c>
      <c r="E370" s="1120">
        <v>830</v>
      </c>
      <c r="F370" s="1120">
        <v>-86.15</v>
      </c>
      <c r="G370" s="1120">
        <v>40.65</v>
      </c>
      <c r="H370" s="1120">
        <v>-5</v>
      </c>
      <c r="I370" s="1121">
        <v>3.380000686645507</v>
      </c>
      <c r="J370" s="1121">
        <v>89.419999313354495</v>
      </c>
      <c r="K370" s="1122">
        <v>74.83999862670899</v>
      </c>
      <c r="L370" s="1120">
        <v>5844.6</v>
      </c>
      <c r="M370" s="1120">
        <v>883.80000000000007</v>
      </c>
      <c r="N370" s="1123">
        <v>28.76000008583069</v>
      </c>
      <c r="O370" s="1123">
        <v>29.119999957084655</v>
      </c>
      <c r="P370" s="1123">
        <v>36.679999828338623</v>
      </c>
      <c r="Q370" s="1123">
        <v>47.119999313354491</v>
      </c>
      <c r="R370" s="1123">
        <v>59.359999656677246</v>
      </c>
      <c r="S370" s="1123">
        <v>72.5</v>
      </c>
      <c r="T370" s="1123">
        <v>75.019999313354489</v>
      </c>
      <c r="U370" s="1123">
        <v>68.719999313354492</v>
      </c>
      <c r="V370" s="1123">
        <v>62.780000686645508</v>
      </c>
      <c r="W370" s="1123">
        <v>53.419999313354495</v>
      </c>
      <c r="X370" s="1123">
        <v>38.839999914169312</v>
      </c>
      <c r="Y370" s="1123">
        <v>35.779999828338624</v>
      </c>
      <c r="Z370" s="1123">
        <v>50.801369626685364</v>
      </c>
      <c r="AA370" s="1123">
        <f t="shared" si="376"/>
        <v>47.225981262960687</v>
      </c>
      <c r="AB370" s="1123">
        <f t="shared" si="377"/>
        <v>45.981413974428222</v>
      </c>
      <c r="AC370" s="1123">
        <f t="shared" si="378"/>
        <v>47.55723486722038</v>
      </c>
      <c r="AD370" s="1123">
        <f t="shared" si="379"/>
        <v>51.54268194149585</v>
      </c>
      <c r="AE370" s="1123">
        <f t="shared" si="380"/>
        <v>56.898886999746217</v>
      </c>
      <c r="AF370" s="1123">
        <f t="shared" si="381"/>
        <v>62.229672651920069</v>
      </c>
      <c r="AG370" s="1123">
        <f t="shared" si="382"/>
        <v>66.14548746788472</v>
      </c>
      <c r="AH370" s="1123">
        <f t="shared" si="383"/>
        <v>67.625613971326089</v>
      </c>
      <c r="AI370" s="1123">
        <f t="shared" si="384"/>
        <v>66.284234379682289</v>
      </c>
      <c r="AJ370" s="1123">
        <f t="shared" si="385"/>
        <v>62.470999954800519</v>
      </c>
      <c r="AK370" s="1123">
        <f t="shared" si="386"/>
        <v>57.179889013247461</v>
      </c>
      <c r="AL370" s="1123">
        <f t="shared" si="387"/>
        <v>51.790111160426683</v>
      </c>
      <c r="AM370" s="1120">
        <f t="shared" si="388"/>
        <v>1</v>
      </c>
      <c r="AN370" s="1120">
        <f t="shared" si="389"/>
        <v>1</v>
      </c>
      <c r="AO370" s="1120">
        <f t="shared" si="390"/>
        <v>1</v>
      </c>
      <c r="AP370" s="1120">
        <f t="shared" si="391"/>
        <v>1</v>
      </c>
      <c r="AQ370" s="1120">
        <f t="shared" si="392"/>
        <v>1</v>
      </c>
      <c r="AR370" s="1120">
        <f t="shared" si="393"/>
        <v>0</v>
      </c>
      <c r="AS370" s="1120">
        <f t="shared" si="394"/>
        <v>0</v>
      </c>
      <c r="AT370" s="1120">
        <f t="shared" si="395"/>
        <v>0</v>
      </c>
      <c r="AU370" s="1120">
        <f t="shared" si="396"/>
        <v>1</v>
      </c>
      <c r="AV370" s="1120">
        <f t="shared" si="397"/>
        <v>1</v>
      </c>
      <c r="AW370" s="1120">
        <f t="shared" si="398"/>
        <v>1</v>
      </c>
      <c r="AX370" s="1120">
        <f t="shared" si="399"/>
        <v>1</v>
      </c>
      <c r="AY370" s="1120">
        <f t="shared" si="400"/>
        <v>0</v>
      </c>
      <c r="AZ370" s="1120">
        <f t="shared" si="401"/>
        <v>0</v>
      </c>
      <c r="BA370" s="1120">
        <f t="shared" si="402"/>
        <v>0</v>
      </c>
      <c r="BB370" s="1120">
        <f t="shared" si="403"/>
        <v>0</v>
      </c>
      <c r="BC370" s="1120">
        <f t="shared" si="404"/>
        <v>0</v>
      </c>
      <c r="BD370" s="1120">
        <f t="shared" si="405"/>
        <v>1</v>
      </c>
      <c r="BE370" s="1120">
        <f t="shared" si="406"/>
        <v>1</v>
      </c>
      <c r="BF370" s="1120">
        <f t="shared" si="407"/>
        <v>1</v>
      </c>
      <c r="BG370" s="1120">
        <f t="shared" si="408"/>
        <v>0</v>
      </c>
      <c r="BH370" s="1120">
        <f t="shared" si="409"/>
        <v>0</v>
      </c>
      <c r="BI370" s="1120">
        <f t="shared" si="410"/>
        <v>0</v>
      </c>
      <c r="BJ370" s="1120">
        <f t="shared" si="411"/>
        <v>0</v>
      </c>
      <c r="BK370" s="1120">
        <f t="shared" si="412"/>
        <v>1</v>
      </c>
      <c r="BL370" s="1120">
        <f t="shared" si="413"/>
        <v>1</v>
      </c>
      <c r="BM370" s="1120">
        <f t="shared" si="414"/>
        <v>1</v>
      </c>
      <c r="BN370" s="1120">
        <f t="shared" si="415"/>
        <v>1</v>
      </c>
      <c r="BO370" s="1120">
        <f t="shared" si="416"/>
        <v>1</v>
      </c>
      <c r="BP370" s="1120">
        <f t="shared" si="417"/>
        <v>1</v>
      </c>
      <c r="BQ370" s="1120">
        <f t="shared" si="418"/>
        <v>0</v>
      </c>
      <c r="BR370" s="1120">
        <f t="shared" si="419"/>
        <v>0</v>
      </c>
      <c r="BS370" s="1120">
        <f t="shared" si="420"/>
        <v>1</v>
      </c>
      <c r="BT370" s="1120">
        <f t="shared" si="421"/>
        <v>1</v>
      </c>
      <c r="BU370" s="1120">
        <f t="shared" si="422"/>
        <v>1</v>
      </c>
      <c r="BV370" s="1120">
        <f t="shared" si="423"/>
        <v>1</v>
      </c>
      <c r="BW370" s="1120">
        <f t="shared" si="424"/>
        <v>0</v>
      </c>
      <c r="BX370" s="1120">
        <f t="shared" si="425"/>
        <v>0</v>
      </c>
      <c r="BY370" s="1120">
        <f t="shared" si="426"/>
        <v>0</v>
      </c>
      <c r="BZ370" s="1120">
        <f t="shared" si="427"/>
        <v>0</v>
      </c>
      <c r="CA370" s="1120">
        <f t="shared" si="428"/>
        <v>1</v>
      </c>
      <c r="CB370" s="1120">
        <f t="shared" si="429"/>
        <v>1</v>
      </c>
      <c r="CC370" s="1120">
        <f t="shared" si="430"/>
        <v>1</v>
      </c>
      <c r="CD370" s="1120">
        <f t="shared" si="431"/>
        <v>1</v>
      </c>
      <c r="CE370" s="1120">
        <f t="shared" si="432"/>
        <v>1</v>
      </c>
      <c r="CF370" s="1120">
        <f t="shared" si="433"/>
        <v>0</v>
      </c>
      <c r="CG370" s="1120">
        <f t="shared" si="434"/>
        <v>0</v>
      </c>
      <c r="CH370" s="1120">
        <f t="shared" si="435"/>
        <v>0</v>
      </c>
      <c r="CI370" s="1120">
        <f t="shared" si="436"/>
        <v>0.85</v>
      </c>
      <c r="CJ370" s="1120">
        <f t="shared" si="437"/>
        <v>0.85</v>
      </c>
      <c r="CK370" s="1120">
        <f t="shared" si="438"/>
        <v>0.85</v>
      </c>
      <c r="CL370" s="1120">
        <f t="shared" si="439"/>
        <v>0.85</v>
      </c>
      <c r="CM370" s="1120">
        <f t="shared" si="440"/>
        <v>0.85</v>
      </c>
      <c r="CN370" s="1120">
        <f t="shared" si="441"/>
        <v>0.85</v>
      </c>
      <c r="CO370" s="1120">
        <f t="shared" si="442"/>
        <v>0.7</v>
      </c>
      <c r="CP370" s="1120">
        <f t="shared" si="443"/>
        <v>0.7</v>
      </c>
      <c r="CQ370" s="1120">
        <f t="shared" si="444"/>
        <v>0.85</v>
      </c>
      <c r="CR370" s="1120">
        <f t="shared" si="445"/>
        <v>0.85</v>
      </c>
      <c r="CS370" s="1120">
        <f t="shared" si="446"/>
        <v>0.85</v>
      </c>
      <c r="CT370" s="1120">
        <f t="shared" si="447"/>
        <v>0.85</v>
      </c>
      <c r="CU370" s="1120">
        <v>1</v>
      </c>
      <c r="CV370" s="1120"/>
      <c r="CW370" s="1120">
        <f t="shared" si="448"/>
        <v>153</v>
      </c>
      <c r="CX370" s="1120">
        <f t="shared" si="449"/>
        <v>212</v>
      </c>
      <c r="CY370" s="1135" t="s">
        <v>4889</v>
      </c>
      <c r="CZ370" s="1124" t="s">
        <v>4897</v>
      </c>
      <c r="DA370" s="1124"/>
      <c r="DB370" s="1124"/>
      <c r="DC370" s="1120" t="s">
        <v>5219</v>
      </c>
      <c r="DD370" s="1120" t="s">
        <v>283</v>
      </c>
      <c r="DE370" s="1120" t="str">
        <f t="shared" si="450"/>
        <v/>
      </c>
      <c r="DF370" s="1133">
        <v>0</v>
      </c>
      <c r="DG370" s="1120">
        <v>0</v>
      </c>
    </row>
    <row r="371" spans="1:111">
      <c r="A371" s="1125" t="s">
        <v>3521</v>
      </c>
      <c r="B371" s="1120" t="s">
        <v>3252</v>
      </c>
      <c r="C371" s="1120" t="s">
        <v>3253</v>
      </c>
      <c r="D371" s="1120" t="s">
        <v>620</v>
      </c>
      <c r="E371" s="1120">
        <v>10</v>
      </c>
      <c r="F371" s="1120">
        <v>-72.05</v>
      </c>
      <c r="G371" s="1120">
        <v>41.33</v>
      </c>
      <c r="H371" s="1120">
        <v>-5</v>
      </c>
      <c r="I371" s="1121">
        <v>8.7800006866455078</v>
      </c>
      <c r="J371" s="1121">
        <v>83.3</v>
      </c>
      <c r="K371" s="1122">
        <v>73.580000686645505</v>
      </c>
      <c r="L371" s="1120">
        <v>5419.8</v>
      </c>
      <c r="M371" s="1120">
        <v>462.6</v>
      </c>
      <c r="N371" s="1123">
        <v>28.4</v>
      </c>
      <c r="O371" s="1123">
        <v>34.519999957084657</v>
      </c>
      <c r="P371" s="1123">
        <v>40.640000343322754</v>
      </c>
      <c r="Q371" s="1123">
        <v>46.220000171661376</v>
      </c>
      <c r="R371" s="1123">
        <v>56.840000343322757</v>
      </c>
      <c r="S371" s="1123">
        <v>64.939998626708984</v>
      </c>
      <c r="T371" s="1123">
        <v>66.560001373291016</v>
      </c>
      <c r="U371" s="1123">
        <v>70.519999313354489</v>
      </c>
      <c r="V371" s="1123">
        <v>63.86000137329102</v>
      </c>
      <c r="W371" s="1123">
        <v>54.680000686645506</v>
      </c>
      <c r="X371" s="1123">
        <v>43.879999828338626</v>
      </c>
      <c r="Y371" s="1123">
        <v>37.579999828338622</v>
      </c>
      <c r="Z371" s="1123">
        <v>50.809260431054518</v>
      </c>
      <c r="AA371" s="1123">
        <f t="shared" si="376"/>
        <v>48.088719161670205</v>
      </c>
      <c r="AB371" s="1123">
        <f t="shared" si="377"/>
        <v>46.956008231102729</v>
      </c>
      <c r="AC371" s="1123">
        <f t="shared" si="378"/>
        <v>48.391699329665343</v>
      </c>
      <c r="AD371" s="1123">
        <f t="shared" si="379"/>
        <v>52.021557447848167</v>
      </c>
      <c r="AE371" s="1123">
        <f t="shared" si="380"/>
        <v>56.89940412934002</v>
      </c>
      <c r="AF371" s="1123">
        <f t="shared" si="381"/>
        <v>61.75375346671732</v>
      </c>
      <c r="AG371" s="1123">
        <f t="shared" si="382"/>
        <v>65.319244497404966</v>
      </c>
      <c r="AH371" s="1123">
        <f t="shared" si="383"/>
        <v>66.666477038374239</v>
      </c>
      <c r="AI371" s="1123">
        <f t="shared" si="384"/>
        <v>65.444274166339611</v>
      </c>
      <c r="AJ371" s="1123">
        <f t="shared" si="385"/>
        <v>61.971221894613286</v>
      </c>
      <c r="AK371" s="1123">
        <f t="shared" si="386"/>
        <v>57.152624819176303</v>
      </c>
      <c r="AL371" s="1123">
        <f t="shared" si="387"/>
        <v>52.244524524569982</v>
      </c>
      <c r="AM371" s="1120">
        <f t="shared" si="388"/>
        <v>1</v>
      </c>
      <c r="AN371" s="1120">
        <f t="shared" si="389"/>
        <v>1</v>
      </c>
      <c r="AO371" s="1120">
        <f t="shared" si="390"/>
        <v>1</v>
      </c>
      <c r="AP371" s="1120">
        <f t="shared" si="391"/>
        <v>1</v>
      </c>
      <c r="AQ371" s="1120">
        <f t="shared" si="392"/>
        <v>1</v>
      </c>
      <c r="AR371" s="1120">
        <f t="shared" si="393"/>
        <v>1</v>
      </c>
      <c r="AS371" s="1120">
        <f t="shared" si="394"/>
        <v>0</v>
      </c>
      <c r="AT371" s="1120">
        <f t="shared" si="395"/>
        <v>0</v>
      </c>
      <c r="AU371" s="1120">
        <f t="shared" si="396"/>
        <v>1</v>
      </c>
      <c r="AV371" s="1120">
        <f t="shared" si="397"/>
        <v>1</v>
      </c>
      <c r="AW371" s="1120">
        <f t="shared" si="398"/>
        <v>1</v>
      </c>
      <c r="AX371" s="1120">
        <f t="shared" si="399"/>
        <v>1</v>
      </c>
      <c r="AY371" s="1120">
        <f t="shared" si="400"/>
        <v>0</v>
      </c>
      <c r="AZ371" s="1120">
        <f t="shared" si="401"/>
        <v>0</v>
      </c>
      <c r="BA371" s="1120">
        <f t="shared" si="402"/>
        <v>0</v>
      </c>
      <c r="BB371" s="1120">
        <f t="shared" si="403"/>
        <v>0</v>
      </c>
      <c r="BC371" s="1120">
        <f t="shared" si="404"/>
        <v>0</v>
      </c>
      <c r="BD371" s="1120">
        <f t="shared" si="405"/>
        <v>0</v>
      </c>
      <c r="BE371" s="1120">
        <f t="shared" si="406"/>
        <v>1</v>
      </c>
      <c r="BF371" s="1120">
        <f t="shared" si="407"/>
        <v>1</v>
      </c>
      <c r="BG371" s="1120">
        <f t="shared" si="408"/>
        <v>0</v>
      </c>
      <c r="BH371" s="1120">
        <f t="shared" si="409"/>
        <v>0</v>
      </c>
      <c r="BI371" s="1120">
        <f t="shared" si="410"/>
        <v>0</v>
      </c>
      <c r="BJ371" s="1120">
        <f t="shared" si="411"/>
        <v>0</v>
      </c>
      <c r="BK371" s="1120">
        <f t="shared" si="412"/>
        <v>1</v>
      </c>
      <c r="BL371" s="1120">
        <f t="shared" si="413"/>
        <v>1</v>
      </c>
      <c r="BM371" s="1120">
        <f t="shared" si="414"/>
        <v>1</v>
      </c>
      <c r="BN371" s="1120">
        <f t="shared" si="415"/>
        <v>1</v>
      </c>
      <c r="BO371" s="1120">
        <f t="shared" si="416"/>
        <v>1</v>
      </c>
      <c r="BP371" s="1120">
        <f t="shared" si="417"/>
        <v>1</v>
      </c>
      <c r="BQ371" s="1120">
        <f t="shared" si="418"/>
        <v>1</v>
      </c>
      <c r="BR371" s="1120">
        <f t="shared" si="419"/>
        <v>0</v>
      </c>
      <c r="BS371" s="1120">
        <f t="shared" si="420"/>
        <v>1</v>
      </c>
      <c r="BT371" s="1120">
        <f t="shared" si="421"/>
        <v>1</v>
      </c>
      <c r="BU371" s="1120">
        <f t="shared" si="422"/>
        <v>1</v>
      </c>
      <c r="BV371" s="1120">
        <f t="shared" si="423"/>
        <v>1</v>
      </c>
      <c r="BW371" s="1120">
        <f t="shared" si="424"/>
        <v>0</v>
      </c>
      <c r="BX371" s="1120">
        <f t="shared" si="425"/>
        <v>0</v>
      </c>
      <c r="BY371" s="1120">
        <f t="shared" si="426"/>
        <v>0</v>
      </c>
      <c r="BZ371" s="1120">
        <f t="shared" si="427"/>
        <v>0</v>
      </c>
      <c r="CA371" s="1120">
        <f t="shared" si="428"/>
        <v>0</v>
      </c>
      <c r="CB371" s="1120">
        <f t="shared" si="429"/>
        <v>1</v>
      </c>
      <c r="CC371" s="1120">
        <f t="shared" si="430"/>
        <v>1</v>
      </c>
      <c r="CD371" s="1120">
        <f t="shared" si="431"/>
        <v>1</v>
      </c>
      <c r="CE371" s="1120">
        <f t="shared" si="432"/>
        <v>1</v>
      </c>
      <c r="CF371" s="1120">
        <f t="shared" si="433"/>
        <v>0</v>
      </c>
      <c r="CG371" s="1120">
        <f t="shared" si="434"/>
        <v>0</v>
      </c>
      <c r="CH371" s="1120">
        <f t="shared" si="435"/>
        <v>0</v>
      </c>
      <c r="CI371" s="1120">
        <f t="shared" si="436"/>
        <v>0.85</v>
      </c>
      <c r="CJ371" s="1120">
        <f t="shared" si="437"/>
        <v>0.85</v>
      </c>
      <c r="CK371" s="1120">
        <f t="shared" si="438"/>
        <v>0.85</v>
      </c>
      <c r="CL371" s="1120">
        <f t="shared" si="439"/>
        <v>0.85</v>
      </c>
      <c r="CM371" s="1120">
        <f t="shared" si="440"/>
        <v>0.85</v>
      </c>
      <c r="CN371" s="1120">
        <f t="shared" si="441"/>
        <v>0.85</v>
      </c>
      <c r="CO371" s="1120">
        <f t="shared" si="442"/>
        <v>0.85</v>
      </c>
      <c r="CP371" s="1120">
        <f t="shared" si="443"/>
        <v>0.7</v>
      </c>
      <c r="CQ371" s="1120">
        <f t="shared" si="444"/>
        <v>0.85</v>
      </c>
      <c r="CR371" s="1120">
        <f t="shared" si="445"/>
        <v>0.85</v>
      </c>
      <c r="CS371" s="1120">
        <f t="shared" si="446"/>
        <v>0.85</v>
      </c>
      <c r="CT371" s="1120">
        <f t="shared" si="447"/>
        <v>0.85</v>
      </c>
      <c r="CU371" s="1120">
        <v>1</v>
      </c>
      <c r="CV371" s="1120"/>
      <c r="CW371" s="1120">
        <f t="shared" si="448"/>
        <v>122</v>
      </c>
      <c r="CX371" s="1120">
        <f t="shared" si="449"/>
        <v>243</v>
      </c>
      <c r="CY371" s="1135" t="s">
        <v>4889</v>
      </c>
      <c r="CZ371" s="1124" t="s">
        <v>4897</v>
      </c>
      <c r="DA371" s="1124"/>
      <c r="DB371" s="1124"/>
      <c r="DC371" s="1120" t="s">
        <v>5085</v>
      </c>
      <c r="DD371" s="1120" t="s">
        <v>620</v>
      </c>
      <c r="DE371" s="1120" t="str">
        <f t="shared" si="450"/>
        <v/>
      </c>
      <c r="DF371" s="1133">
        <v>0</v>
      </c>
      <c r="DG371" s="1125">
        <v>0</v>
      </c>
    </row>
    <row r="372" spans="1:111">
      <c r="A372" s="1120" t="s">
        <v>3505</v>
      </c>
      <c r="B372" s="1120" t="s">
        <v>3880</v>
      </c>
      <c r="C372" s="1120" t="s">
        <v>3881</v>
      </c>
      <c r="D372" s="1120" t="s">
        <v>460</v>
      </c>
      <c r="E372" s="1120">
        <v>30</v>
      </c>
      <c r="F372" s="1120">
        <v>-89.07</v>
      </c>
      <c r="G372" s="1120">
        <v>30.4</v>
      </c>
      <c r="H372" s="1120">
        <v>-6</v>
      </c>
      <c r="I372" s="1121">
        <v>27.679999828338623</v>
      </c>
      <c r="J372" s="1121">
        <v>93.560001373291016</v>
      </c>
      <c r="K372" s="1122">
        <v>78.980000686645511</v>
      </c>
      <c r="L372" s="1120">
        <v>1513.8</v>
      </c>
      <c r="M372" s="1120">
        <v>2629.8</v>
      </c>
      <c r="N372" s="1123">
        <v>55.4</v>
      </c>
      <c r="O372" s="1123">
        <v>56.3</v>
      </c>
      <c r="P372" s="1123">
        <v>58.819999313354494</v>
      </c>
      <c r="Q372" s="1123">
        <v>65.119999313354498</v>
      </c>
      <c r="R372" s="1123">
        <v>75.019999313354489</v>
      </c>
      <c r="S372" s="1123">
        <v>80.239998626708982</v>
      </c>
      <c r="T372" s="1123">
        <v>80.599999999999994</v>
      </c>
      <c r="U372" s="1123">
        <v>81.860001373291013</v>
      </c>
      <c r="V372" s="1123">
        <v>78.980000686645511</v>
      </c>
      <c r="W372" s="1123">
        <v>69.080000686645505</v>
      </c>
      <c r="X372" s="1123">
        <v>55.4</v>
      </c>
      <c r="Y372" s="1123">
        <v>51.980000686645511</v>
      </c>
      <c r="Z372" s="1123">
        <v>67.463452058556967</v>
      </c>
      <c r="AA372" s="1123">
        <f t="shared" si="376"/>
        <v>64.168254124911215</v>
      </c>
      <c r="AB372" s="1123">
        <f t="shared" si="377"/>
        <v>64.456605681399068</v>
      </c>
      <c r="AC372" s="1123">
        <f t="shared" si="378"/>
        <v>67.092730545797224</v>
      </c>
      <c r="AD372" s="1123">
        <f t="shared" si="379"/>
        <v>71.38948214828649</v>
      </c>
      <c r="AE372" s="1123">
        <f t="shared" si="380"/>
        <v>76.22684596873151</v>
      </c>
      <c r="AF372" s="1123">
        <f t="shared" si="381"/>
        <v>80.343888581300334</v>
      </c>
      <c r="AG372" s="1123">
        <f t="shared" si="382"/>
        <v>82.66743938347976</v>
      </c>
      <c r="AH372" s="1123">
        <f t="shared" si="383"/>
        <v>82.591829051679994</v>
      </c>
      <c r="AI372" s="1123">
        <f t="shared" si="384"/>
        <v>80.136766584075133</v>
      </c>
      <c r="AJ372" s="1123">
        <f t="shared" si="385"/>
        <v>75.942201846504204</v>
      </c>
      <c r="AK372" s="1123">
        <f t="shared" si="386"/>
        <v>71.101512778014339</v>
      </c>
      <c r="AL372" s="1123">
        <f t="shared" si="387"/>
        <v>66.876499581583985</v>
      </c>
      <c r="AM372" s="1120">
        <f t="shared" si="388"/>
        <v>1</v>
      </c>
      <c r="AN372" s="1120">
        <f t="shared" si="389"/>
        <v>1</v>
      </c>
      <c r="AO372" s="1120">
        <f t="shared" si="390"/>
        <v>1</v>
      </c>
      <c r="AP372" s="1120">
        <f t="shared" si="391"/>
        <v>1</v>
      </c>
      <c r="AQ372" s="1120">
        <f t="shared" si="392"/>
        <v>0</v>
      </c>
      <c r="AR372" s="1120">
        <f t="shared" si="393"/>
        <v>0</v>
      </c>
      <c r="AS372" s="1120">
        <f t="shared" si="394"/>
        <v>0</v>
      </c>
      <c r="AT372" s="1120">
        <f t="shared" si="395"/>
        <v>0</v>
      </c>
      <c r="AU372" s="1120">
        <f t="shared" si="396"/>
        <v>0</v>
      </c>
      <c r="AV372" s="1120">
        <f t="shared" si="397"/>
        <v>0</v>
      </c>
      <c r="AW372" s="1120">
        <f t="shared" si="398"/>
        <v>1</v>
      </c>
      <c r="AX372" s="1120">
        <f t="shared" si="399"/>
        <v>1</v>
      </c>
      <c r="AY372" s="1120">
        <f t="shared" si="400"/>
        <v>0</v>
      </c>
      <c r="AZ372" s="1120">
        <f t="shared" si="401"/>
        <v>0</v>
      </c>
      <c r="BA372" s="1120">
        <f t="shared" si="402"/>
        <v>0</v>
      </c>
      <c r="BB372" s="1120">
        <f t="shared" si="403"/>
        <v>0</v>
      </c>
      <c r="BC372" s="1120">
        <f t="shared" si="404"/>
        <v>1</v>
      </c>
      <c r="BD372" s="1120">
        <f t="shared" si="405"/>
        <v>1</v>
      </c>
      <c r="BE372" s="1120">
        <f t="shared" si="406"/>
        <v>1</v>
      </c>
      <c r="BF372" s="1120">
        <f t="shared" si="407"/>
        <v>1</v>
      </c>
      <c r="BG372" s="1120">
        <f t="shared" si="408"/>
        <v>1</v>
      </c>
      <c r="BH372" s="1120">
        <f t="shared" si="409"/>
        <v>1</v>
      </c>
      <c r="BI372" s="1120">
        <f t="shared" si="410"/>
        <v>0</v>
      </c>
      <c r="BJ372" s="1120">
        <f t="shared" si="411"/>
        <v>0</v>
      </c>
      <c r="BK372" s="1120">
        <f t="shared" si="412"/>
        <v>1</v>
      </c>
      <c r="BL372" s="1120">
        <f t="shared" si="413"/>
        <v>1</v>
      </c>
      <c r="BM372" s="1120">
        <f t="shared" si="414"/>
        <v>1</v>
      </c>
      <c r="BN372" s="1120">
        <f t="shared" si="415"/>
        <v>1</v>
      </c>
      <c r="BO372" s="1120">
        <f t="shared" si="416"/>
        <v>1</v>
      </c>
      <c r="BP372" s="1120">
        <f t="shared" si="417"/>
        <v>0</v>
      </c>
      <c r="BQ372" s="1120">
        <f t="shared" si="418"/>
        <v>0</v>
      </c>
      <c r="BR372" s="1120">
        <f t="shared" si="419"/>
        <v>0</v>
      </c>
      <c r="BS372" s="1120">
        <f t="shared" si="420"/>
        <v>0</v>
      </c>
      <c r="BT372" s="1120">
        <f t="shared" si="421"/>
        <v>0</v>
      </c>
      <c r="BU372" s="1120">
        <f t="shared" si="422"/>
        <v>1</v>
      </c>
      <c r="BV372" s="1120">
        <f t="shared" si="423"/>
        <v>1</v>
      </c>
      <c r="BW372" s="1120">
        <f t="shared" si="424"/>
        <v>0</v>
      </c>
      <c r="BX372" s="1120">
        <f t="shared" si="425"/>
        <v>0</v>
      </c>
      <c r="BY372" s="1120">
        <f t="shared" si="426"/>
        <v>0</v>
      </c>
      <c r="BZ372" s="1120">
        <f t="shared" si="427"/>
        <v>1</v>
      </c>
      <c r="CA372" s="1120">
        <f t="shared" si="428"/>
        <v>1</v>
      </c>
      <c r="CB372" s="1120">
        <f t="shared" si="429"/>
        <v>1</v>
      </c>
      <c r="CC372" s="1120">
        <f t="shared" si="430"/>
        <v>1</v>
      </c>
      <c r="CD372" s="1120">
        <f t="shared" si="431"/>
        <v>1</v>
      </c>
      <c r="CE372" s="1120">
        <f t="shared" si="432"/>
        <v>1</v>
      </c>
      <c r="CF372" s="1120">
        <f t="shared" si="433"/>
        <v>1</v>
      </c>
      <c r="CG372" s="1120">
        <f t="shared" si="434"/>
        <v>1</v>
      </c>
      <c r="CH372" s="1120">
        <f t="shared" si="435"/>
        <v>0</v>
      </c>
      <c r="CI372" s="1120">
        <f t="shared" si="436"/>
        <v>0.85</v>
      </c>
      <c r="CJ372" s="1120">
        <f t="shared" si="437"/>
        <v>0.85</v>
      </c>
      <c r="CK372" s="1120">
        <f t="shared" si="438"/>
        <v>0.85</v>
      </c>
      <c r="CL372" s="1120">
        <f t="shared" si="439"/>
        <v>0.85</v>
      </c>
      <c r="CM372" s="1120">
        <f t="shared" si="440"/>
        <v>0.85</v>
      </c>
      <c r="CN372" s="1120">
        <f t="shared" si="441"/>
        <v>0.7</v>
      </c>
      <c r="CO372" s="1120">
        <f t="shared" si="442"/>
        <v>0.7</v>
      </c>
      <c r="CP372" s="1120">
        <f t="shared" si="443"/>
        <v>0.7</v>
      </c>
      <c r="CQ372" s="1120">
        <f t="shared" si="444"/>
        <v>0.7</v>
      </c>
      <c r="CR372" s="1120">
        <f t="shared" si="445"/>
        <v>0.7</v>
      </c>
      <c r="CS372" s="1120">
        <f t="shared" si="446"/>
        <v>0.85</v>
      </c>
      <c r="CT372" s="1120">
        <f t="shared" si="447"/>
        <v>0.85</v>
      </c>
      <c r="CU372" s="1120">
        <v>1</v>
      </c>
      <c r="CV372" s="1120"/>
      <c r="CW372" s="1120">
        <f t="shared" si="448"/>
        <v>244</v>
      </c>
      <c r="CX372" s="1120">
        <f t="shared" si="449"/>
        <v>121</v>
      </c>
      <c r="CY372" s="1135" t="s">
        <v>4881</v>
      </c>
      <c r="CZ372" s="1124" t="s">
        <v>4884</v>
      </c>
      <c r="DA372" s="1124"/>
      <c r="DB372" s="1124"/>
      <c r="DC372" s="1120" t="s">
        <v>5365</v>
      </c>
      <c r="DD372" s="1120" t="s">
        <v>460</v>
      </c>
      <c r="DE372" s="1120" t="str">
        <f t="shared" si="450"/>
        <v/>
      </c>
      <c r="DF372" s="1133">
        <v>0</v>
      </c>
      <c r="DG372" s="1120">
        <v>0</v>
      </c>
    </row>
    <row r="373" spans="1:111">
      <c r="A373" s="1125" t="s">
        <v>3523</v>
      </c>
      <c r="B373" s="1120" t="s">
        <v>2942</v>
      </c>
      <c r="C373" s="1120" t="s">
        <v>2943</v>
      </c>
      <c r="D373" s="1120" t="s">
        <v>953</v>
      </c>
      <c r="E373" s="1120">
        <v>1568</v>
      </c>
      <c r="F373" s="1120">
        <v>-145.44999999999999</v>
      </c>
      <c r="G373" s="1120">
        <v>62.15</v>
      </c>
      <c r="H373" s="1120">
        <v>-9</v>
      </c>
      <c r="I373" s="1121">
        <v>-32.439998626708984</v>
      </c>
      <c r="J373" s="1121">
        <v>73.760001373291018</v>
      </c>
      <c r="K373" s="1122">
        <v>56.119999313354491</v>
      </c>
      <c r="L373" s="1120">
        <v>13071.6</v>
      </c>
      <c r="M373" s="1120">
        <v>3.6</v>
      </c>
      <c r="N373" s="1123">
        <v>-5.9800006866455089</v>
      </c>
      <c r="O373" s="1123">
        <v>6.7999999999999989</v>
      </c>
      <c r="P373" s="1123">
        <v>15.259999656677246</v>
      </c>
      <c r="Q373" s="1123">
        <v>33.619999957084659</v>
      </c>
      <c r="R373" s="1123">
        <v>46.4</v>
      </c>
      <c r="S373" s="1123">
        <v>55.219999313354492</v>
      </c>
      <c r="T373" s="1123">
        <v>55.4</v>
      </c>
      <c r="U373" s="1123">
        <v>51.080000686645505</v>
      </c>
      <c r="V373" s="1123">
        <v>43.52000017166138</v>
      </c>
      <c r="W373" s="1123">
        <v>28.580000042915344</v>
      </c>
      <c r="X373" s="1123">
        <v>8.0599996566772454</v>
      </c>
      <c r="Y373" s="1123">
        <v>4.0999999999999996</v>
      </c>
      <c r="Z373" s="1123">
        <v>28.611068393563571</v>
      </c>
      <c r="AA373" s="1123">
        <f t="shared" si="376"/>
        <v>32</v>
      </c>
      <c r="AB373" s="1123">
        <f t="shared" si="377"/>
        <v>32</v>
      </c>
      <c r="AC373" s="1123">
        <f t="shared" si="378"/>
        <v>32</v>
      </c>
      <c r="AD373" s="1123">
        <f t="shared" si="379"/>
        <v>32</v>
      </c>
      <c r="AE373" s="1123">
        <f t="shared" si="380"/>
        <v>32</v>
      </c>
      <c r="AF373" s="1123">
        <f t="shared" si="381"/>
        <v>35.690518883814669</v>
      </c>
      <c r="AG373" s="1123">
        <f t="shared" si="382"/>
        <v>39.240076139931148</v>
      </c>
      <c r="AH373" s="1123">
        <f t="shared" si="383"/>
        <v>41.583011191788252</v>
      </c>
      <c r="AI373" s="1123">
        <f t="shared" si="384"/>
        <v>42.108601912397361</v>
      </c>
      <c r="AJ373" s="1123">
        <f t="shared" si="385"/>
        <v>40.679844980833536</v>
      </c>
      <c r="AK373" s="1123">
        <f t="shared" si="386"/>
        <v>37.669167909119679</v>
      </c>
      <c r="AL373" s="1123">
        <f t="shared" si="387"/>
        <v>33.861350071936073</v>
      </c>
      <c r="AM373" s="1120">
        <f t="shared" si="388"/>
        <v>1</v>
      </c>
      <c r="AN373" s="1120">
        <f t="shared" si="389"/>
        <v>1</v>
      </c>
      <c r="AO373" s="1120">
        <f t="shared" si="390"/>
        <v>1</v>
      </c>
      <c r="AP373" s="1120">
        <f t="shared" si="391"/>
        <v>1</v>
      </c>
      <c r="AQ373" s="1120">
        <f t="shared" si="392"/>
        <v>1</v>
      </c>
      <c r="AR373" s="1120">
        <f t="shared" si="393"/>
        <v>1</v>
      </c>
      <c r="AS373" s="1120">
        <f t="shared" si="394"/>
        <v>1</v>
      </c>
      <c r="AT373" s="1120">
        <f t="shared" si="395"/>
        <v>1</v>
      </c>
      <c r="AU373" s="1120">
        <f t="shared" si="396"/>
        <v>1</v>
      </c>
      <c r="AV373" s="1120">
        <f t="shared" si="397"/>
        <v>1</v>
      </c>
      <c r="AW373" s="1120">
        <f t="shared" si="398"/>
        <v>1</v>
      </c>
      <c r="AX373" s="1120">
        <f t="shared" si="399"/>
        <v>1</v>
      </c>
      <c r="AY373" s="1120">
        <f t="shared" si="400"/>
        <v>0</v>
      </c>
      <c r="AZ373" s="1120">
        <f t="shared" si="401"/>
        <v>0</v>
      </c>
      <c r="BA373" s="1120">
        <f t="shared" si="402"/>
        <v>0</v>
      </c>
      <c r="BB373" s="1120">
        <f t="shared" si="403"/>
        <v>0</v>
      </c>
      <c r="BC373" s="1120">
        <f t="shared" si="404"/>
        <v>0</v>
      </c>
      <c r="BD373" s="1120">
        <f t="shared" si="405"/>
        <v>0</v>
      </c>
      <c r="BE373" s="1120">
        <f t="shared" si="406"/>
        <v>1</v>
      </c>
      <c r="BF373" s="1120">
        <f t="shared" si="407"/>
        <v>1</v>
      </c>
      <c r="BG373" s="1120">
        <f t="shared" si="408"/>
        <v>0</v>
      </c>
      <c r="BH373" s="1120">
        <f t="shared" si="409"/>
        <v>0</v>
      </c>
      <c r="BI373" s="1120">
        <f t="shared" si="410"/>
        <v>0</v>
      </c>
      <c r="BJ373" s="1120">
        <f t="shared" si="411"/>
        <v>0</v>
      </c>
      <c r="BK373" s="1120">
        <f t="shared" si="412"/>
        <v>1</v>
      </c>
      <c r="BL373" s="1120">
        <f t="shared" si="413"/>
        <v>1</v>
      </c>
      <c r="BM373" s="1120">
        <f t="shared" si="414"/>
        <v>1</v>
      </c>
      <c r="BN373" s="1120">
        <f t="shared" si="415"/>
        <v>1</v>
      </c>
      <c r="BO373" s="1120">
        <f t="shared" si="416"/>
        <v>1</v>
      </c>
      <c r="BP373" s="1120">
        <f t="shared" si="417"/>
        <v>1</v>
      </c>
      <c r="BQ373" s="1120">
        <f t="shared" si="418"/>
        <v>1</v>
      </c>
      <c r="BR373" s="1120">
        <f t="shared" si="419"/>
        <v>1</v>
      </c>
      <c r="BS373" s="1120">
        <f t="shared" si="420"/>
        <v>1</v>
      </c>
      <c r="BT373" s="1120">
        <f t="shared" si="421"/>
        <v>1</v>
      </c>
      <c r="BU373" s="1120">
        <f t="shared" si="422"/>
        <v>1</v>
      </c>
      <c r="BV373" s="1120">
        <f t="shared" si="423"/>
        <v>1</v>
      </c>
      <c r="BW373" s="1120">
        <f t="shared" si="424"/>
        <v>0</v>
      </c>
      <c r="BX373" s="1120">
        <f t="shared" si="425"/>
        <v>0</v>
      </c>
      <c r="BY373" s="1120">
        <f t="shared" si="426"/>
        <v>0</v>
      </c>
      <c r="BZ373" s="1120">
        <f t="shared" si="427"/>
        <v>0</v>
      </c>
      <c r="CA373" s="1120">
        <f t="shared" si="428"/>
        <v>0</v>
      </c>
      <c r="CB373" s="1120">
        <f t="shared" si="429"/>
        <v>0</v>
      </c>
      <c r="CC373" s="1120">
        <f t="shared" si="430"/>
        <v>1</v>
      </c>
      <c r="CD373" s="1120">
        <f t="shared" si="431"/>
        <v>1</v>
      </c>
      <c r="CE373" s="1120">
        <f t="shared" si="432"/>
        <v>0</v>
      </c>
      <c r="CF373" s="1120">
        <f t="shared" si="433"/>
        <v>0</v>
      </c>
      <c r="CG373" s="1120">
        <f t="shared" si="434"/>
        <v>0</v>
      </c>
      <c r="CH373" s="1120">
        <f t="shared" si="435"/>
        <v>0</v>
      </c>
      <c r="CI373" s="1120">
        <f t="shared" si="436"/>
        <v>0.85</v>
      </c>
      <c r="CJ373" s="1120">
        <f t="shared" si="437"/>
        <v>0.85</v>
      </c>
      <c r="CK373" s="1120">
        <f t="shared" si="438"/>
        <v>0.85</v>
      </c>
      <c r="CL373" s="1120">
        <f t="shared" si="439"/>
        <v>0.85</v>
      </c>
      <c r="CM373" s="1120">
        <f t="shared" si="440"/>
        <v>0.85</v>
      </c>
      <c r="CN373" s="1120">
        <f t="shared" si="441"/>
        <v>0.85</v>
      </c>
      <c r="CO373" s="1120">
        <f t="shared" si="442"/>
        <v>0.85</v>
      </c>
      <c r="CP373" s="1120">
        <f t="shared" si="443"/>
        <v>0.85</v>
      </c>
      <c r="CQ373" s="1120">
        <f t="shared" si="444"/>
        <v>0.85</v>
      </c>
      <c r="CR373" s="1120">
        <f t="shared" si="445"/>
        <v>0.85</v>
      </c>
      <c r="CS373" s="1120">
        <f t="shared" si="446"/>
        <v>0.85</v>
      </c>
      <c r="CT373" s="1120">
        <f t="shared" si="447"/>
        <v>0.85</v>
      </c>
      <c r="CU373" s="1120">
        <v>1</v>
      </c>
      <c r="CV373" s="1120"/>
      <c r="CW373" s="1120">
        <f t="shared" si="448"/>
        <v>62</v>
      </c>
      <c r="CX373" s="1120">
        <f t="shared" si="449"/>
        <v>303</v>
      </c>
      <c r="CY373" s="1135" t="s">
        <v>4879</v>
      </c>
      <c r="CZ373" s="1124">
        <v>7</v>
      </c>
      <c r="DA373" s="1124"/>
      <c r="DB373" s="1124"/>
      <c r="DC373" s="1120" t="s">
        <v>4927</v>
      </c>
      <c r="DD373" s="1120" t="s">
        <v>953</v>
      </c>
      <c r="DE373" s="1120" t="str">
        <f t="shared" si="450"/>
        <v/>
      </c>
      <c r="DF373" s="1120">
        <v>0</v>
      </c>
      <c r="DG373" s="1125">
        <v>0</v>
      </c>
    </row>
    <row r="374" spans="1:111">
      <c r="A374" s="1120" t="s">
        <v>3525</v>
      </c>
      <c r="B374" s="1120" t="s">
        <v>5828</v>
      </c>
      <c r="C374" s="1120" t="s">
        <v>5829</v>
      </c>
      <c r="D374" s="1120" t="s">
        <v>536</v>
      </c>
      <c r="E374" s="1120">
        <v>7672</v>
      </c>
      <c r="F374" s="1120">
        <v>-106.93</v>
      </c>
      <c r="G374" s="1120">
        <v>38.53</v>
      </c>
      <c r="H374" s="1120">
        <v>-7</v>
      </c>
      <c r="I374" s="1121">
        <v>-11.019999313354493</v>
      </c>
      <c r="J374" s="1121">
        <v>80.780000686645508</v>
      </c>
      <c r="K374" s="1122">
        <v>52.340000343322757</v>
      </c>
      <c r="L374" s="1120">
        <v>9095.4</v>
      </c>
      <c r="M374" s="1120">
        <v>21.6</v>
      </c>
      <c r="N374" s="1123">
        <v>15.619999313354493</v>
      </c>
      <c r="O374" s="1123">
        <v>21.920000171661378</v>
      </c>
      <c r="P374" s="1123">
        <v>35.060000085830687</v>
      </c>
      <c r="Q374" s="1123">
        <v>39.559999656677249</v>
      </c>
      <c r="R374" s="1123">
        <v>50</v>
      </c>
      <c r="S374" s="1123">
        <v>59.180000686645506</v>
      </c>
      <c r="T374" s="1123">
        <v>62.060001373291016</v>
      </c>
      <c r="U374" s="1123">
        <v>59.9</v>
      </c>
      <c r="V374" s="1123">
        <v>50.359999656677246</v>
      </c>
      <c r="W374" s="1123">
        <v>41.540000343322752</v>
      </c>
      <c r="X374" s="1123">
        <v>27.5</v>
      </c>
      <c r="Y374" s="1123">
        <v>10.759999656677246</v>
      </c>
      <c r="Z374" s="1123">
        <v>39.547671311652827</v>
      </c>
      <c r="AA374" s="1123">
        <f t="shared" si="376"/>
        <v>38.451667016361327</v>
      </c>
      <c r="AB374" s="1123">
        <f t="shared" si="377"/>
        <v>36.550057399581753</v>
      </c>
      <c r="AC374" s="1123">
        <f t="shared" si="378"/>
        <v>36.993814506411013</v>
      </c>
      <c r="AD374" s="1123">
        <f t="shared" si="379"/>
        <v>39.667266208450044</v>
      </c>
      <c r="AE374" s="1123">
        <f t="shared" si="380"/>
        <v>43.873536120424561</v>
      </c>
      <c r="AF374" s="1123">
        <f t="shared" si="381"/>
        <v>48.516195169196955</v>
      </c>
      <c r="AG374" s="1123">
        <f t="shared" si="382"/>
        <v>52.385062728163099</v>
      </c>
      <c r="AH374" s="1123">
        <f t="shared" si="383"/>
        <v>54.471658847024671</v>
      </c>
      <c r="AI374" s="1123">
        <f t="shared" si="384"/>
        <v>54.232080091980869</v>
      </c>
      <c r="AJ374" s="1123">
        <f t="shared" si="385"/>
        <v>51.728776357554231</v>
      </c>
      <c r="AK374" s="1123">
        <f t="shared" si="386"/>
        <v>47.614272339201328</v>
      </c>
      <c r="AL374" s="1123">
        <f t="shared" si="387"/>
        <v>42.961076915732072</v>
      </c>
      <c r="AM374" s="1120">
        <f t="shared" si="388"/>
        <v>1</v>
      </c>
      <c r="AN374" s="1120">
        <f t="shared" si="389"/>
        <v>1</v>
      </c>
      <c r="AO374" s="1120">
        <f t="shared" si="390"/>
        <v>1</v>
      </c>
      <c r="AP374" s="1120">
        <f t="shared" si="391"/>
        <v>1</v>
      </c>
      <c r="AQ374" s="1120">
        <f t="shared" si="392"/>
        <v>1</v>
      </c>
      <c r="AR374" s="1120">
        <f t="shared" si="393"/>
        <v>1</v>
      </c>
      <c r="AS374" s="1120">
        <f t="shared" si="394"/>
        <v>1</v>
      </c>
      <c r="AT374" s="1120">
        <f t="shared" si="395"/>
        <v>1</v>
      </c>
      <c r="AU374" s="1120">
        <f t="shared" si="396"/>
        <v>1</v>
      </c>
      <c r="AV374" s="1120">
        <f t="shared" si="397"/>
        <v>1</v>
      </c>
      <c r="AW374" s="1120">
        <f t="shared" si="398"/>
        <v>1</v>
      </c>
      <c r="AX374" s="1120">
        <f t="shared" si="399"/>
        <v>1</v>
      </c>
      <c r="AY374" s="1120">
        <f t="shared" si="400"/>
        <v>0</v>
      </c>
      <c r="AZ374" s="1120">
        <f t="shared" si="401"/>
        <v>0</v>
      </c>
      <c r="BA374" s="1120">
        <f t="shared" si="402"/>
        <v>0</v>
      </c>
      <c r="BB374" s="1120">
        <f t="shared" si="403"/>
        <v>0</v>
      </c>
      <c r="BC374" s="1120">
        <f t="shared" si="404"/>
        <v>0</v>
      </c>
      <c r="BD374" s="1120">
        <f t="shared" si="405"/>
        <v>0</v>
      </c>
      <c r="BE374" s="1120">
        <f t="shared" si="406"/>
        <v>1</v>
      </c>
      <c r="BF374" s="1120">
        <f t="shared" si="407"/>
        <v>1</v>
      </c>
      <c r="BG374" s="1120">
        <f t="shared" si="408"/>
        <v>0</v>
      </c>
      <c r="BH374" s="1120">
        <f t="shared" si="409"/>
        <v>0</v>
      </c>
      <c r="BI374" s="1120">
        <f t="shared" si="410"/>
        <v>0</v>
      </c>
      <c r="BJ374" s="1120">
        <f t="shared" si="411"/>
        <v>0</v>
      </c>
      <c r="BK374" s="1120">
        <f t="shared" si="412"/>
        <v>1</v>
      </c>
      <c r="BL374" s="1120">
        <f t="shared" si="413"/>
        <v>1</v>
      </c>
      <c r="BM374" s="1120">
        <f t="shared" si="414"/>
        <v>1</v>
      </c>
      <c r="BN374" s="1120">
        <f t="shared" si="415"/>
        <v>1</v>
      </c>
      <c r="BO374" s="1120">
        <f t="shared" si="416"/>
        <v>1</v>
      </c>
      <c r="BP374" s="1120">
        <f t="shared" si="417"/>
        <v>1</v>
      </c>
      <c r="BQ374" s="1120">
        <f t="shared" si="418"/>
        <v>1</v>
      </c>
      <c r="BR374" s="1120">
        <f t="shared" si="419"/>
        <v>1</v>
      </c>
      <c r="BS374" s="1120">
        <f t="shared" si="420"/>
        <v>1</v>
      </c>
      <c r="BT374" s="1120">
        <f t="shared" si="421"/>
        <v>1</v>
      </c>
      <c r="BU374" s="1120">
        <f t="shared" si="422"/>
        <v>1</v>
      </c>
      <c r="BV374" s="1120">
        <f t="shared" si="423"/>
        <v>1</v>
      </c>
      <c r="BW374" s="1120">
        <f t="shared" si="424"/>
        <v>0</v>
      </c>
      <c r="BX374" s="1120">
        <f t="shared" si="425"/>
        <v>0</v>
      </c>
      <c r="BY374" s="1120">
        <f t="shared" si="426"/>
        <v>0</v>
      </c>
      <c r="BZ374" s="1120">
        <f t="shared" si="427"/>
        <v>0</v>
      </c>
      <c r="CA374" s="1120">
        <f t="shared" si="428"/>
        <v>0</v>
      </c>
      <c r="CB374" s="1120">
        <f t="shared" si="429"/>
        <v>0</v>
      </c>
      <c r="CC374" s="1120">
        <f t="shared" si="430"/>
        <v>1</v>
      </c>
      <c r="CD374" s="1120">
        <f t="shared" si="431"/>
        <v>1</v>
      </c>
      <c r="CE374" s="1120">
        <f t="shared" si="432"/>
        <v>0</v>
      </c>
      <c r="CF374" s="1120">
        <f t="shared" si="433"/>
        <v>0</v>
      </c>
      <c r="CG374" s="1120">
        <f t="shared" si="434"/>
        <v>0</v>
      </c>
      <c r="CH374" s="1120">
        <f t="shared" si="435"/>
        <v>0</v>
      </c>
      <c r="CI374" s="1120">
        <f t="shared" si="436"/>
        <v>0.85</v>
      </c>
      <c r="CJ374" s="1120">
        <f t="shared" si="437"/>
        <v>0.85</v>
      </c>
      <c r="CK374" s="1120">
        <f t="shared" si="438"/>
        <v>0.85</v>
      </c>
      <c r="CL374" s="1120">
        <f t="shared" si="439"/>
        <v>0.85</v>
      </c>
      <c r="CM374" s="1120">
        <f t="shared" si="440"/>
        <v>0.85</v>
      </c>
      <c r="CN374" s="1120">
        <f t="shared" si="441"/>
        <v>0.85</v>
      </c>
      <c r="CO374" s="1120">
        <f t="shared" si="442"/>
        <v>0.85</v>
      </c>
      <c r="CP374" s="1120">
        <f t="shared" si="443"/>
        <v>0.85</v>
      </c>
      <c r="CQ374" s="1120">
        <f t="shared" si="444"/>
        <v>0.85</v>
      </c>
      <c r="CR374" s="1120">
        <f t="shared" si="445"/>
        <v>0.85</v>
      </c>
      <c r="CS374" s="1120">
        <f t="shared" si="446"/>
        <v>0.85</v>
      </c>
      <c r="CT374" s="1120">
        <f t="shared" si="447"/>
        <v>0.85</v>
      </c>
      <c r="CU374" s="1120">
        <v>1</v>
      </c>
      <c r="CV374" s="1120"/>
      <c r="CW374" s="1120">
        <f t="shared" si="448"/>
        <v>62</v>
      </c>
      <c r="CX374" s="1120">
        <f t="shared" si="449"/>
        <v>303</v>
      </c>
      <c r="CY374" s="1135" t="s">
        <v>4879</v>
      </c>
      <c r="CZ374" s="1124">
        <v>7</v>
      </c>
      <c r="DA374" s="1124"/>
      <c r="DB374" s="1124"/>
      <c r="DC374" s="1120" t="s">
        <v>5724</v>
      </c>
      <c r="DD374" s="1120" t="s">
        <v>536</v>
      </c>
      <c r="DE374" s="1120" t="b">
        <f t="shared" si="450"/>
        <v>0</v>
      </c>
      <c r="DF374" s="1133">
        <v>0</v>
      </c>
      <c r="DG374" s="1120">
        <v>0</v>
      </c>
    </row>
    <row r="375" spans="1:111">
      <c r="A375" s="1125" t="s">
        <v>3527</v>
      </c>
      <c r="B375" s="1125" t="s">
        <v>1181</v>
      </c>
      <c r="C375" s="1125" t="s">
        <v>1182</v>
      </c>
      <c r="D375" s="1125" t="s">
        <v>953</v>
      </c>
      <c r="E375" s="1125">
        <v>39</v>
      </c>
      <c r="F375" s="1125">
        <v>-135.69999999999999</v>
      </c>
      <c r="G375" s="1125">
        <v>58.42</v>
      </c>
      <c r="H375" s="1125">
        <v>-9</v>
      </c>
      <c r="I375" s="1126">
        <v>-9.219999313354494</v>
      </c>
      <c r="J375" s="1126">
        <v>68.180000686645513</v>
      </c>
      <c r="K375" s="1127">
        <v>54.859999656677246</v>
      </c>
      <c r="L375" s="1125">
        <v>8683.2000000000007</v>
      </c>
      <c r="M375" s="1125">
        <v>0</v>
      </c>
      <c r="N375" s="1128">
        <v>30.919999957084656</v>
      </c>
      <c r="O375" s="1128">
        <v>32.180000002682206</v>
      </c>
      <c r="P375" s="1128">
        <v>34.160000085830688</v>
      </c>
      <c r="Q375" s="1128">
        <v>41.720000171661376</v>
      </c>
      <c r="R375" s="1128">
        <v>46.220000171661376</v>
      </c>
      <c r="S375" s="1128">
        <v>50.359999656677246</v>
      </c>
      <c r="T375" s="1128">
        <v>53.240000343322755</v>
      </c>
      <c r="U375" s="1128">
        <v>53.059999656677249</v>
      </c>
      <c r="V375" s="1128">
        <v>47.119999313354491</v>
      </c>
      <c r="W375" s="1128">
        <v>42.620000171661374</v>
      </c>
      <c r="X375" s="1128">
        <v>29.660000085830688</v>
      </c>
      <c r="Y375" s="1128">
        <v>25.160000085830688</v>
      </c>
      <c r="Z375" s="1128">
        <v>40.585260250780678</v>
      </c>
      <c r="AA375" s="1128">
        <f t="shared" si="376"/>
        <v>42.530804184538383</v>
      </c>
      <c r="AB375" s="1128">
        <f t="shared" si="377"/>
        <v>41.502451508901331</v>
      </c>
      <c r="AC375" s="1128">
        <f t="shared" si="378"/>
        <v>41.799011260288829</v>
      </c>
      <c r="AD375" s="1128">
        <f t="shared" si="379"/>
        <v>43.343180569377616</v>
      </c>
      <c r="AE375" s="1128">
        <f t="shared" si="380"/>
        <v>45.732447909384334</v>
      </c>
      <c r="AF375" s="1128">
        <f t="shared" si="381"/>
        <v>48.344013928412004</v>
      </c>
      <c r="AG375" s="1128">
        <f t="shared" si="382"/>
        <v>50.497133698150485</v>
      </c>
      <c r="AH375" s="1128">
        <f t="shared" si="383"/>
        <v>51.630563370037436</v>
      </c>
      <c r="AI375" s="1128">
        <f t="shared" si="384"/>
        <v>51.44885703341555</v>
      </c>
      <c r="AJ375" s="1128">
        <f t="shared" si="385"/>
        <v>49.999379245104741</v>
      </c>
      <c r="AK375" s="1128">
        <f t="shared" si="386"/>
        <v>47.659958727757079</v>
      </c>
      <c r="AL375" s="1128">
        <f t="shared" si="387"/>
        <v>45.040401490780667</v>
      </c>
      <c r="AM375" s="1125">
        <f t="shared" si="388"/>
        <v>1</v>
      </c>
      <c r="AN375" s="1125">
        <f t="shared" si="389"/>
        <v>1</v>
      </c>
      <c r="AO375" s="1125">
        <f t="shared" si="390"/>
        <v>1</v>
      </c>
      <c r="AP375" s="1125">
        <f t="shared" si="391"/>
        <v>1</v>
      </c>
      <c r="AQ375" s="1125">
        <f t="shared" si="392"/>
        <v>1</v>
      </c>
      <c r="AR375" s="1125">
        <f t="shared" si="393"/>
        <v>1</v>
      </c>
      <c r="AS375" s="1125">
        <f t="shared" si="394"/>
        <v>1</v>
      </c>
      <c r="AT375" s="1125">
        <f t="shared" si="395"/>
        <v>1</v>
      </c>
      <c r="AU375" s="1125">
        <f t="shared" si="396"/>
        <v>1</v>
      </c>
      <c r="AV375" s="1125">
        <f t="shared" si="397"/>
        <v>1</v>
      </c>
      <c r="AW375" s="1125">
        <f t="shared" si="398"/>
        <v>1</v>
      </c>
      <c r="AX375" s="1125">
        <f t="shared" si="399"/>
        <v>1</v>
      </c>
      <c r="AY375" s="1125">
        <f t="shared" si="400"/>
        <v>0</v>
      </c>
      <c r="AZ375" s="1125">
        <f t="shared" si="401"/>
        <v>0</v>
      </c>
      <c r="BA375" s="1125">
        <f t="shared" si="402"/>
        <v>0</v>
      </c>
      <c r="BB375" s="1125">
        <f t="shared" si="403"/>
        <v>0</v>
      </c>
      <c r="BC375" s="1125">
        <f t="shared" si="404"/>
        <v>0</v>
      </c>
      <c r="BD375" s="1125">
        <f t="shared" si="405"/>
        <v>0</v>
      </c>
      <c r="BE375" s="1125">
        <f t="shared" si="406"/>
        <v>1</v>
      </c>
      <c r="BF375" s="1125">
        <f t="shared" si="407"/>
        <v>1</v>
      </c>
      <c r="BG375" s="1125">
        <f t="shared" si="408"/>
        <v>0</v>
      </c>
      <c r="BH375" s="1125">
        <f t="shared" si="409"/>
        <v>0</v>
      </c>
      <c r="BI375" s="1125">
        <f t="shared" si="410"/>
        <v>0</v>
      </c>
      <c r="BJ375" s="1125">
        <f t="shared" si="411"/>
        <v>0</v>
      </c>
      <c r="BK375" s="1125">
        <f t="shared" si="412"/>
        <v>1</v>
      </c>
      <c r="BL375" s="1125">
        <f t="shared" si="413"/>
        <v>1</v>
      </c>
      <c r="BM375" s="1125">
        <f t="shared" si="414"/>
        <v>1</v>
      </c>
      <c r="BN375" s="1125">
        <f t="shared" si="415"/>
        <v>1</v>
      </c>
      <c r="BO375" s="1125">
        <f t="shared" si="416"/>
        <v>1</v>
      </c>
      <c r="BP375" s="1125">
        <f t="shared" si="417"/>
        <v>1</v>
      </c>
      <c r="BQ375" s="1125">
        <f t="shared" si="418"/>
        <v>1</v>
      </c>
      <c r="BR375" s="1125">
        <f t="shared" si="419"/>
        <v>1</v>
      </c>
      <c r="BS375" s="1125">
        <f t="shared" si="420"/>
        <v>1</v>
      </c>
      <c r="BT375" s="1125">
        <f t="shared" si="421"/>
        <v>1</v>
      </c>
      <c r="BU375" s="1125">
        <f t="shared" si="422"/>
        <v>1</v>
      </c>
      <c r="BV375" s="1125">
        <f t="shared" si="423"/>
        <v>1</v>
      </c>
      <c r="BW375" s="1125">
        <f t="shared" si="424"/>
        <v>0</v>
      </c>
      <c r="BX375" s="1125">
        <f t="shared" si="425"/>
        <v>0</v>
      </c>
      <c r="BY375" s="1125">
        <f t="shared" si="426"/>
        <v>0</v>
      </c>
      <c r="BZ375" s="1125">
        <f t="shared" si="427"/>
        <v>0</v>
      </c>
      <c r="CA375" s="1125">
        <f t="shared" si="428"/>
        <v>0</v>
      </c>
      <c r="CB375" s="1125">
        <f t="shared" si="429"/>
        <v>0</v>
      </c>
      <c r="CC375" s="1125">
        <f t="shared" si="430"/>
        <v>1</v>
      </c>
      <c r="CD375" s="1125">
        <f t="shared" si="431"/>
        <v>1</v>
      </c>
      <c r="CE375" s="1125">
        <f t="shared" si="432"/>
        <v>0</v>
      </c>
      <c r="CF375" s="1125">
        <f t="shared" si="433"/>
        <v>0</v>
      </c>
      <c r="CG375" s="1125">
        <f t="shared" si="434"/>
        <v>0</v>
      </c>
      <c r="CH375" s="1125">
        <f t="shared" si="435"/>
        <v>0</v>
      </c>
      <c r="CI375" s="1125">
        <f t="shared" si="436"/>
        <v>0.85</v>
      </c>
      <c r="CJ375" s="1125">
        <f t="shared" si="437"/>
        <v>0.85</v>
      </c>
      <c r="CK375" s="1125">
        <f t="shared" si="438"/>
        <v>0.85</v>
      </c>
      <c r="CL375" s="1125">
        <f t="shared" si="439"/>
        <v>0.85</v>
      </c>
      <c r="CM375" s="1125">
        <f t="shared" si="440"/>
        <v>0.85</v>
      </c>
      <c r="CN375" s="1125">
        <f t="shared" si="441"/>
        <v>0.85</v>
      </c>
      <c r="CO375" s="1125">
        <f t="shared" si="442"/>
        <v>0.85</v>
      </c>
      <c r="CP375" s="1125">
        <f t="shared" si="443"/>
        <v>0.85</v>
      </c>
      <c r="CQ375" s="1125">
        <f t="shared" si="444"/>
        <v>0.85</v>
      </c>
      <c r="CR375" s="1125">
        <f t="shared" si="445"/>
        <v>0.85</v>
      </c>
      <c r="CS375" s="1125">
        <f t="shared" si="446"/>
        <v>0.85</v>
      </c>
      <c r="CT375" s="1125">
        <f t="shared" si="447"/>
        <v>0.85</v>
      </c>
      <c r="CU375" s="1125">
        <v>1</v>
      </c>
      <c r="CV375" s="1125"/>
      <c r="CW375" s="1125">
        <f t="shared" si="448"/>
        <v>62</v>
      </c>
      <c r="CX375" s="1125">
        <f t="shared" si="449"/>
        <v>303</v>
      </c>
      <c r="CY375" s="1136" t="s">
        <v>4879</v>
      </c>
      <c r="CZ375" s="1129">
        <v>7</v>
      </c>
      <c r="DA375" s="1129"/>
      <c r="DB375" s="1129"/>
      <c r="DC375" s="1125" t="s">
        <v>4928</v>
      </c>
      <c r="DD375" s="1125" t="s">
        <v>953</v>
      </c>
      <c r="DE375" s="1125" t="str">
        <f t="shared" si="450"/>
        <v/>
      </c>
      <c r="DF375" s="1125">
        <v>1</v>
      </c>
      <c r="DG375" s="1125">
        <v>0</v>
      </c>
    </row>
    <row r="376" spans="1:111">
      <c r="A376" s="1120" t="s">
        <v>3511</v>
      </c>
      <c r="B376" s="1120" t="s">
        <v>3679</v>
      </c>
      <c r="C376" s="1120" t="s">
        <v>3680</v>
      </c>
      <c r="D376" s="1120" t="s">
        <v>590</v>
      </c>
      <c r="E376" s="1120">
        <v>722</v>
      </c>
      <c r="F376" s="1120">
        <v>-77.73</v>
      </c>
      <c r="G376" s="1120">
        <v>39.700000000000003</v>
      </c>
      <c r="H376" s="1120">
        <v>-5</v>
      </c>
      <c r="I376" s="1121">
        <v>10.040000343322752</v>
      </c>
      <c r="J376" s="1121">
        <v>93.2</v>
      </c>
      <c r="K376" s="1122">
        <v>73.580000686645505</v>
      </c>
      <c r="L376" s="1120">
        <v>4714.2</v>
      </c>
      <c r="M376" s="1120">
        <v>1139.4000000000001</v>
      </c>
      <c r="N376" s="1123">
        <v>31.459999978542328</v>
      </c>
      <c r="O376" s="1123">
        <v>36.860000085830691</v>
      </c>
      <c r="P376" s="1123">
        <v>44.059999656677249</v>
      </c>
      <c r="Q376" s="1123">
        <v>54.859999656677246</v>
      </c>
      <c r="R376" s="1123">
        <v>61.160001373291017</v>
      </c>
      <c r="S376" s="1123">
        <v>71.060001373291016</v>
      </c>
      <c r="T376" s="1123">
        <v>78.080000686645505</v>
      </c>
      <c r="U376" s="1123">
        <v>72.5</v>
      </c>
      <c r="V376" s="1123">
        <v>63.5</v>
      </c>
      <c r="W376" s="1123">
        <v>59.359999656677246</v>
      </c>
      <c r="X376" s="1123">
        <v>50.540000343322752</v>
      </c>
      <c r="Y376" s="1123">
        <v>30.740000021457671</v>
      </c>
      <c r="Z376" s="1123">
        <v>54.600109825134275</v>
      </c>
      <c r="AA376" s="1123">
        <f t="shared" si="376"/>
        <v>49.663495549428433</v>
      </c>
      <c r="AB376" s="1123">
        <f t="shared" si="377"/>
        <v>48.678639397780636</v>
      </c>
      <c r="AC376" s="1123">
        <f t="shared" si="378"/>
        <v>50.801298228442867</v>
      </c>
      <c r="AD376" s="1123">
        <f t="shared" si="379"/>
        <v>55.478168306040274</v>
      </c>
      <c r="AE376" s="1123">
        <f t="shared" si="380"/>
        <v>61.490151372097586</v>
      </c>
      <c r="AF376" s="1123">
        <f t="shared" si="381"/>
        <v>67.270131392983487</v>
      </c>
      <c r="AG376" s="1123">
        <f t="shared" si="382"/>
        <v>71.31146750406576</v>
      </c>
      <c r="AH376" s="1123">
        <f t="shared" si="383"/>
        <v>72.560723169116173</v>
      </c>
      <c r="AI376" s="1123">
        <f t="shared" si="384"/>
        <v>70.692260647426792</v>
      </c>
      <c r="AJ376" s="1123">
        <f t="shared" si="385"/>
        <v>66.193123489154999</v>
      </c>
      <c r="AK376" s="1123">
        <f t="shared" si="386"/>
        <v>60.236081128406667</v>
      </c>
      <c r="AL376" s="1123">
        <f t="shared" si="387"/>
        <v>54.37392845731241</v>
      </c>
      <c r="AM376" s="1120">
        <f t="shared" si="388"/>
        <v>1</v>
      </c>
      <c r="AN376" s="1120">
        <f t="shared" si="389"/>
        <v>1</v>
      </c>
      <c r="AO376" s="1120">
        <f t="shared" si="390"/>
        <v>1</v>
      </c>
      <c r="AP376" s="1120">
        <f t="shared" si="391"/>
        <v>1</v>
      </c>
      <c r="AQ376" s="1120">
        <f t="shared" si="392"/>
        <v>1</v>
      </c>
      <c r="AR376" s="1120">
        <f t="shared" si="393"/>
        <v>0</v>
      </c>
      <c r="AS376" s="1120">
        <f t="shared" si="394"/>
        <v>0</v>
      </c>
      <c r="AT376" s="1120">
        <f t="shared" si="395"/>
        <v>0</v>
      </c>
      <c r="AU376" s="1120">
        <f t="shared" si="396"/>
        <v>1</v>
      </c>
      <c r="AV376" s="1120">
        <f t="shared" si="397"/>
        <v>1</v>
      </c>
      <c r="AW376" s="1120">
        <f t="shared" si="398"/>
        <v>1</v>
      </c>
      <c r="AX376" s="1120">
        <f t="shared" si="399"/>
        <v>1</v>
      </c>
      <c r="AY376" s="1120">
        <f t="shared" si="400"/>
        <v>0</v>
      </c>
      <c r="AZ376" s="1120">
        <f t="shared" si="401"/>
        <v>0</v>
      </c>
      <c r="BA376" s="1120">
        <f t="shared" si="402"/>
        <v>0</v>
      </c>
      <c r="BB376" s="1120">
        <f t="shared" si="403"/>
        <v>0</v>
      </c>
      <c r="BC376" s="1120">
        <f t="shared" si="404"/>
        <v>0</v>
      </c>
      <c r="BD376" s="1120">
        <f t="shared" si="405"/>
        <v>1</v>
      </c>
      <c r="BE376" s="1120">
        <f t="shared" si="406"/>
        <v>1</v>
      </c>
      <c r="BF376" s="1120">
        <f t="shared" si="407"/>
        <v>1</v>
      </c>
      <c r="BG376" s="1120">
        <f t="shared" si="408"/>
        <v>0</v>
      </c>
      <c r="BH376" s="1120">
        <f t="shared" si="409"/>
        <v>0</v>
      </c>
      <c r="BI376" s="1120">
        <f t="shared" si="410"/>
        <v>0</v>
      </c>
      <c r="BJ376" s="1120">
        <f t="shared" si="411"/>
        <v>0</v>
      </c>
      <c r="BK376" s="1120">
        <f t="shared" si="412"/>
        <v>1</v>
      </c>
      <c r="BL376" s="1120">
        <f t="shared" si="413"/>
        <v>1</v>
      </c>
      <c r="BM376" s="1120">
        <f t="shared" si="414"/>
        <v>1</v>
      </c>
      <c r="BN376" s="1120">
        <f t="shared" si="415"/>
        <v>1</v>
      </c>
      <c r="BO376" s="1120">
        <f t="shared" si="416"/>
        <v>1</v>
      </c>
      <c r="BP376" s="1120">
        <f t="shared" si="417"/>
        <v>1</v>
      </c>
      <c r="BQ376" s="1120">
        <f t="shared" si="418"/>
        <v>0</v>
      </c>
      <c r="BR376" s="1120">
        <f t="shared" si="419"/>
        <v>0</v>
      </c>
      <c r="BS376" s="1120">
        <f t="shared" si="420"/>
        <v>1</v>
      </c>
      <c r="BT376" s="1120">
        <f t="shared" si="421"/>
        <v>1</v>
      </c>
      <c r="BU376" s="1120">
        <f t="shared" si="422"/>
        <v>1</v>
      </c>
      <c r="BV376" s="1120">
        <f t="shared" si="423"/>
        <v>1</v>
      </c>
      <c r="BW376" s="1120">
        <f t="shared" si="424"/>
        <v>0</v>
      </c>
      <c r="BX376" s="1120">
        <f t="shared" si="425"/>
        <v>0</v>
      </c>
      <c r="BY376" s="1120">
        <f t="shared" si="426"/>
        <v>0</v>
      </c>
      <c r="BZ376" s="1120">
        <f t="shared" si="427"/>
        <v>0</v>
      </c>
      <c r="CA376" s="1120">
        <f t="shared" si="428"/>
        <v>1</v>
      </c>
      <c r="CB376" s="1120">
        <f t="shared" si="429"/>
        <v>1</v>
      </c>
      <c r="CC376" s="1120">
        <f t="shared" si="430"/>
        <v>1</v>
      </c>
      <c r="CD376" s="1120">
        <f t="shared" si="431"/>
        <v>1</v>
      </c>
      <c r="CE376" s="1120">
        <f t="shared" si="432"/>
        <v>1</v>
      </c>
      <c r="CF376" s="1120">
        <f t="shared" si="433"/>
        <v>0</v>
      </c>
      <c r="CG376" s="1120">
        <f t="shared" si="434"/>
        <v>0</v>
      </c>
      <c r="CH376" s="1120">
        <f t="shared" si="435"/>
        <v>0</v>
      </c>
      <c r="CI376" s="1120">
        <f t="shared" si="436"/>
        <v>0.85</v>
      </c>
      <c r="CJ376" s="1120">
        <f t="shared" si="437"/>
        <v>0.85</v>
      </c>
      <c r="CK376" s="1120">
        <f t="shared" si="438"/>
        <v>0.85</v>
      </c>
      <c r="CL376" s="1120">
        <f t="shared" si="439"/>
        <v>0.85</v>
      </c>
      <c r="CM376" s="1120">
        <f t="shared" si="440"/>
        <v>0.85</v>
      </c>
      <c r="CN376" s="1120">
        <f t="shared" si="441"/>
        <v>0.85</v>
      </c>
      <c r="CO376" s="1120">
        <f t="shared" si="442"/>
        <v>0.7</v>
      </c>
      <c r="CP376" s="1120">
        <f t="shared" si="443"/>
        <v>0.7</v>
      </c>
      <c r="CQ376" s="1120">
        <f t="shared" si="444"/>
        <v>0.85</v>
      </c>
      <c r="CR376" s="1120">
        <f t="shared" si="445"/>
        <v>0.85</v>
      </c>
      <c r="CS376" s="1120">
        <f t="shared" si="446"/>
        <v>0.85</v>
      </c>
      <c r="CT376" s="1120">
        <f t="shared" si="447"/>
        <v>0.85</v>
      </c>
      <c r="CU376" s="1120">
        <v>1</v>
      </c>
      <c r="CV376" s="1120"/>
      <c r="CW376" s="1120">
        <f t="shared" si="448"/>
        <v>153</v>
      </c>
      <c r="CX376" s="1120">
        <f t="shared" si="449"/>
        <v>212</v>
      </c>
      <c r="CY376" s="1135" t="s">
        <v>4881</v>
      </c>
      <c r="CZ376" s="1124" t="s">
        <v>4885</v>
      </c>
      <c r="DA376" s="1124"/>
      <c r="DB376" s="1124"/>
      <c r="DC376" s="1120" t="s">
        <v>5280</v>
      </c>
      <c r="DD376" s="1120" t="s">
        <v>590</v>
      </c>
      <c r="DE376" s="1120" t="str">
        <f t="shared" si="450"/>
        <v/>
      </c>
      <c r="DF376" s="1133">
        <v>1</v>
      </c>
      <c r="DG376" s="1120">
        <v>0</v>
      </c>
    </row>
    <row r="377" spans="1:111">
      <c r="A377" s="1125" t="s">
        <v>3531</v>
      </c>
      <c r="B377" s="1125" t="s">
        <v>3481</v>
      </c>
      <c r="C377" s="1125" t="s">
        <v>3482</v>
      </c>
      <c r="D377" s="1125" t="s">
        <v>249</v>
      </c>
      <c r="E377" s="1125">
        <v>5314</v>
      </c>
      <c r="F377" s="1125">
        <v>-114.3</v>
      </c>
      <c r="G377" s="1125">
        <v>43.5</v>
      </c>
      <c r="H377" s="1125">
        <v>-7</v>
      </c>
      <c r="I377" s="1126">
        <v>-0.21999931335449299</v>
      </c>
      <c r="J377" s="1126">
        <v>97.879997253417969</v>
      </c>
      <c r="K377" s="1127">
        <v>55.580000686645505</v>
      </c>
      <c r="L377" s="1125">
        <v>7216.2</v>
      </c>
      <c r="M377" s="1125">
        <v>738</v>
      </c>
      <c r="N377" s="1128">
        <v>30.740000021457671</v>
      </c>
      <c r="O377" s="1128">
        <v>32.720000010728839</v>
      </c>
      <c r="P377" s="1128">
        <v>37.220000171661376</v>
      </c>
      <c r="Q377" s="1128">
        <v>37.039999914169314</v>
      </c>
      <c r="R377" s="1128">
        <v>52.880000686645509</v>
      </c>
      <c r="S377" s="1128">
        <v>62.6</v>
      </c>
      <c r="T377" s="1128">
        <v>76.099999999999994</v>
      </c>
      <c r="U377" s="1128">
        <v>72.139998626708987</v>
      </c>
      <c r="V377" s="1128">
        <v>58.459999656677248</v>
      </c>
      <c r="W377" s="1128">
        <v>44.779999828338624</v>
      </c>
      <c r="X377" s="1128">
        <v>33.080000042915344</v>
      </c>
      <c r="Y377" s="1128">
        <v>21.2</v>
      </c>
      <c r="Z377" s="1128">
        <v>46.68060265230806</v>
      </c>
      <c r="AA377" s="1128">
        <f t="shared" si="376"/>
        <v>42.730626392150064</v>
      </c>
      <c r="AB377" s="1128">
        <f t="shared" si="377"/>
        <v>40.974108566413832</v>
      </c>
      <c r="AC377" s="1128">
        <f t="shared" si="378"/>
        <v>42.269068826700533</v>
      </c>
      <c r="AD377" s="1128">
        <f t="shared" si="379"/>
        <v>46.277955825224765</v>
      </c>
      <c r="AE377" s="1128">
        <f t="shared" si="380"/>
        <v>51.955791387002506</v>
      </c>
      <c r="AF377" s="1128">
        <f t="shared" si="381"/>
        <v>57.822560174761854</v>
      </c>
      <c r="AG377" s="1128">
        <f t="shared" si="382"/>
        <v>62.348998494329614</v>
      </c>
      <c r="AH377" s="1128">
        <f t="shared" si="383"/>
        <v>64.355220443184507</v>
      </c>
      <c r="AI377" s="1128">
        <f t="shared" si="384"/>
        <v>63.318273353541436</v>
      </c>
      <c r="AJ377" s="1128">
        <f t="shared" si="385"/>
        <v>59.508453464154208</v>
      </c>
      <c r="AK377" s="1128">
        <f t="shared" si="386"/>
        <v>53.918849040293281</v>
      </c>
      <c r="AL377" s="1128">
        <f t="shared" si="387"/>
        <v>48.006476613449564</v>
      </c>
      <c r="AM377" s="1125">
        <f t="shared" si="388"/>
        <v>1</v>
      </c>
      <c r="AN377" s="1125">
        <f t="shared" si="389"/>
        <v>1</v>
      </c>
      <c r="AO377" s="1125">
        <f t="shared" si="390"/>
        <v>1</v>
      </c>
      <c r="AP377" s="1125">
        <f t="shared" si="391"/>
        <v>1</v>
      </c>
      <c r="AQ377" s="1125">
        <f t="shared" si="392"/>
        <v>1</v>
      </c>
      <c r="AR377" s="1125">
        <f t="shared" si="393"/>
        <v>1</v>
      </c>
      <c r="AS377" s="1125">
        <f t="shared" si="394"/>
        <v>0</v>
      </c>
      <c r="AT377" s="1125">
        <f t="shared" si="395"/>
        <v>0</v>
      </c>
      <c r="AU377" s="1125">
        <f t="shared" si="396"/>
        <v>1</v>
      </c>
      <c r="AV377" s="1125">
        <f t="shared" si="397"/>
        <v>1</v>
      </c>
      <c r="AW377" s="1125">
        <f t="shared" si="398"/>
        <v>1</v>
      </c>
      <c r="AX377" s="1125">
        <f t="shared" si="399"/>
        <v>1</v>
      </c>
      <c r="AY377" s="1125">
        <f t="shared" si="400"/>
        <v>0</v>
      </c>
      <c r="AZ377" s="1125">
        <f t="shared" si="401"/>
        <v>0</v>
      </c>
      <c r="BA377" s="1125">
        <f t="shared" si="402"/>
        <v>0</v>
      </c>
      <c r="BB377" s="1125">
        <f t="shared" si="403"/>
        <v>0</v>
      </c>
      <c r="BC377" s="1125">
        <f t="shared" si="404"/>
        <v>0</v>
      </c>
      <c r="BD377" s="1125">
        <f t="shared" si="405"/>
        <v>0</v>
      </c>
      <c r="BE377" s="1125">
        <f t="shared" si="406"/>
        <v>1</v>
      </c>
      <c r="BF377" s="1125">
        <f t="shared" si="407"/>
        <v>1</v>
      </c>
      <c r="BG377" s="1125">
        <f t="shared" si="408"/>
        <v>0</v>
      </c>
      <c r="BH377" s="1125">
        <f t="shared" si="409"/>
        <v>0</v>
      </c>
      <c r="BI377" s="1125">
        <f t="shared" si="410"/>
        <v>0</v>
      </c>
      <c r="BJ377" s="1125">
        <f t="shared" si="411"/>
        <v>0</v>
      </c>
      <c r="BK377" s="1125">
        <f t="shared" si="412"/>
        <v>1</v>
      </c>
      <c r="BL377" s="1125">
        <f t="shared" si="413"/>
        <v>1</v>
      </c>
      <c r="BM377" s="1125">
        <f t="shared" si="414"/>
        <v>1</v>
      </c>
      <c r="BN377" s="1125">
        <f t="shared" si="415"/>
        <v>1</v>
      </c>
      <c r="BO377" s="1125">
        <f t="shared" si="416"/>
        <v>1</v>
      </c>
      <c r="BP377" s="1125">
        <f t="shared" si="417"/>
        <v>1</v>
      </c>
      <c r="BQ377" s="1125">
        <f t="shared" si="418"/>
        <v>1</v>
      </c>
      <c r="BR377" s="1125">
        <f t="shared" si="419"/>
        <v>0</v>
      </c>
      <c r="BS377" s="1125">
        <f t="shared" si="420"/>
        <v>1</v>
      </c>
      <c r="BT377" s="1125">
        <f t="shared" si="421"/>
        <v>1</v>
      </c>
      <c r="BU377" s="1125">
        <f t="shared" si="422"/>
        <v>1</v>
      </c>
      <c r="BV377" s="1125">
        <f t="shared" si="423"/>
        <v>1</v>
      </c>
      <c r="BW377" s="1125">
        <f t="shared" si="424"/>
        <v>0</v>
      </c>
      <c r="BX377" s="1125">
        <f t="shared" si="425"/>
        <v>0</v>
      </c>
      <c r="BY377" s="1125">
        <f t="shared" si="426"/>
        <v>0</v>
      </c>
      <c r="BZ377" s="1125">
        <f t="shared" si="427"/>
        <v>0</v>
      </c>
      <c r="CA377" s="1125">
        <f t="shared" si="428"/>
        <v>0</v>
      </c>
      <c r="CB377" s="1125">
        <f t="shared" si="429"/>
        <v>1</v>
      </c>
      <c r="CC377" s="1125">
        <f t="shared" si="430"/>
        <v>1</v>
      </c>
      <c r="CD377" s="1125">
        <f t="shared" si="431"/>
        <v>1</v>
      </c>
      <c r="CE377" s="1125">
        <f t="shared" si="432"/>
        <v>1</v>
      </c>
      <c r="CF377" s="1125">
        <f t="shared" si="433"/>
        <v>0</v>
      </c>
      <c r="CG377" s="1125">
        <f t="shared" si="434"/>
        <v>0</v>
      </c>
      <c r="CH377" s="1125">
        <f t="shared" si="435"/>
        <v>0</v>
      </c>
      <c r="CI377" s="1125">
        <f t="shared" si="436"/>
        <v>0.85</v>
      </c>
      <c r="CJ377" s="1125">
        <f t="shared" si="437"/>
        <v>0.85</v>
      </c>
      <c r="CK377" s="1125">
        <f t="shared" si="438"/>
        <v>0.85</v>
      </c>
      <c r="CL377" s="1125">
        <f t="shared" si="439"/>
        <v>0.85</v>
      </c>
      <c r="CM377" s="1125">
        <f t="shared" si="440"/>
        <v>0.85</v>
      </c>
      <c r="CN377" s="1125">
        <f t="shared" si="441"/>
        <v>0.85</v>
      </c>
      <c r="CO377" s="1125">
        <f t="shared" si="442"/>
        <v>0.85</v>
      </c>
      <c r="CP377" s="1125">
        <f t="shared" si="443"/>
        <v>0.7</v>
      </c>
      <c r="CQ377" s="1125">
        <f t="shared" si="444"/>
        <v>0.85</v>
      </c>
      <c r="CR377" s="1125">
        <f t="shared" si="445"/>
        <v>0.85</v>
      </c>
      <c r="CS377" s="1125">
        <f t="shared" si="446"/>
        <v>0.85</v>
      </c>
      <c r="CT377" s="1125">
        <f t="shared" si="447"/>
        <v>0.85</v>
      </c>
      <c r="CU377" s="1125">
        <v>1</v>
      </c>
      <c r="CV377" s="1125"/>
      <c r="CW377" s="1125">
        <f t="shared" si="448"/>
        <v>122</v>
      </c>
      <c r="CX377" s="1125">
        <f t="shared" si="449"/>
        <v>243</v>
      </c>
      <c r="CY377" s="1136" t="s">
        <v>4889</v>
      </c>
      <c r="CZ377" s="1129" t="s">
        <v>4896</v>
      </c>
      <c r="DA377" s="1129"/>
      <c r="DB377" s="1129"/>
      <c r="DC377" s="1125" t="s">
        <v>5961</v>
      </c>
      <c r="DD377" s="1125" t="s">
        <v>249</v>
      </c>
      <c r="DE377" s="1120" t="str">
        <f t="shared" si="450"/>
        <v/>
      </c>
      <c r="DF377" s="1133">
        <v>0</v>
      </c>
      <c r="DG377" s="1125">
        <v>0</v>
      </c>
    </row>
    <row r="378" spans="1:111">
      <c r="A378" s="1120" t="s">
        <v>3533</v>
      </c>
      <c r="B378" s="1120" t="s">
        <v>1053</v>
      </c>
      <c r="C378" s="1120" t="s">
        <v>1054</v>
      </c>
      <c r="D378" s="1120" t="s">
        <v>934</v>
      </c>
      <c r="E378" s="1120">
        <v>820</v>
      </c>
      <c r="F378" s="1120">
        <v>-96.95</v>
      </c>
      <c r="G378" s="1120">
        <v>48.78</v>
      </c>
      <c r="H378" s="1120">
        <v>-6</v>
      </c>
      <c r="I378" s="1121">
        <v>-19.839998626708987</v>
      </c>
      <c r="J378" s="1121">
        <v>84.560001373291016</v>
      </c>
      <c r="K378" s="1122">
        <v>68.900000000000006</v>
      </c>
      <c r="L378" s="1120">
        <v>9127.8000000000011</v>
      </c>
      <c r="M378" s="1120">
        <v>538.20000000000005</v>
      </c>
      <c r="N378" s="1123">
        <v>5.8999999999999995</v>
      </c>
      <c r="O378" s="1123">
        <v>5.1800006866455073</v>
      </c>
      <c r="P378" s="1123">
        <v>24.440000343322755</v>
      </c>
      <c r="Q378" s="1123">
        <v>49.459999656677248</v>
      </c>
      <c r="R378" s="1123">
        <v>56.659999656677243</v>
      </c>
      <c r="S378" s="1123">
        <v>66.739998626708982</v>
      </c>
      <c r="T378" s="1123">
        <v>68.539998626708979</v>
      </c>
      <c r="U378" s="1123">
        <v>70.7</v>
      </c>
      <c r="V378" s="1123">
        <v>56.659999656677243</v>
      </c>
      <c r="W378" s="1123">
        <v>44.240000343322755</v>
      </c>
      <c r="X378" s="1123">
        <v>21.2</v>
      </c>
      <c r="Y378" s="1123">
        <v>18.140000343322754</v>
      </c>
      <c r="Z378" s="1123">
        <v>40.860438181210874</v>
      </c>
      <c r="AA378" s="1123">
        <f t="shared" si="376"/>
        <v>37.293882082291219</v>
      </c>
      <c r="AB378" s="1123">
        <f t="shared" si="377"/>
        <v>34.903228814057279</v>
      </c>
      <c r="AC378" s="1123">
        <f t="shared" si="378"/>
        <v>35.629406433545959</v>
      </c>
      <c r="AD378" s="1123">
        <f t="shared" si="379"/>
        <v>39.283125553501684</v>
      </c>
      <c r="AE378" s="1123">
        <f t="shared" si="380"/>
        <v>44.911987979791995</v>
      </c>
      <c r="AF378" s="1123">
        <f t="shared" si="381"/>
        <v>51.048743977608638</v>
      </c>
      <c r="AG378" s="1123">
        <f t="shared" si="382"/>
        <v>56.093753525848157</v>
      </c>
      <c r="AH378" s="1123">
        <f t="shared" si="383"/>
        <v>58.731957139811435</v>
      </c>
      <c r="AI378" s="1123">
        <f t="shared" si="384"/>
        <v>58.27566639157061</v>
      </c>
      <c r="AJ378" s="1123">
        <f t="shared" si="385"/>
        <v>54.84382049630792</v>
      </c>
      <c r="AK378" s="1123">
        <f t="shared" si="386"/>
        <v>49.330982972969693</v>
      </c>
      <c r="AL378" s="1123">
        <f t="shared" si="387"/>
        <v>43.17415987741186</v>
      </c>
      <c r="AM378" s="1120">
        <f t="shared" si="388"/>
        <v>1</v>
      </c>
      <c r="AN378" s="1120">
        <f t="shared" si="389"/>
        <v>1</v>
      </c>
      <c r="AO378" s="1120">
        <f t="shared" si="390"/>
        <v>1</v>
      </c>
      <c r="AP378" s="1120">
        <f t="shared" si="391"/>
        <v>1</v>
      </c>
      <c r="AQ378" s="1120">
        <f t="shared" si="392"/>
        <v>1</v>
      </c>
      <c r="AR378" s="1120">
        <f t="shared" si="393"/>
        <v>0</v>
      </c>
      <c r="AS378" s="1120">
        <f t="shared" si="394"/>
        <v>0</v>
      </c>
      <c r="AT378" s="1120">
        <f t="shared" si="395"/>
        <v>0</v>
      </c>
      <c r="AU378" s="1120">
        <f t="shared" si="396"/>
        <v>1</v>
      </c>
      <c r="AV378" s="1120">
        <f t="shared" si="397"/>
        <v>1</v>
      </c>
      <c r="AW378" s="1120">
        <f t="shared" si="398"/>
        <v>1</v>
      </c>
      <c r="AX378" s="1120">
        <f t="shared" si="399"/>
        <v>1</v>
      </c>
      <c r="AY378" s="1120">
        <f t="shared" si="400"/>
        <v>0</v>
      </c>
      <c r="AZ378" s="1120">
        <f t="shared" si="401"/>
        <v>0</v>
      </c>
      <c r="BA378" s="1120">
        <f t="shared" si="402"/>
        <v>0</v>
      </c>
      <c r="BB378" s="1120">
        <f t="shared" si="403"/>
        <v>0</v>
      </c>
      <c r="BC378" s="1120">
        <f t="shared" si="404"/>
        <v>0</v>
      </c>
      <c r="BD378" s="1120">
        <f t="shared" si="405"/>
        <v>1</v>
      </c>
      <c r="BE378" s="1120">
        <f t="shared" si="406"/>
        <v>1</v>
      </c>
      <c r="BF378" s="1120">
        <f t="shared" si="407"/>
        <v>1</v>
      </c>
      <c r="BG378" s="1120">
        <f t="shared" si="408"/>
        <v>0</v>
      </c>
      <c r="BH378" s="1120">
        <f t="shared" si="409"/>
        <v>0</v>
      </c>
      <c r="BI378" s="1120">
        <f t="shared" si="410"/>
        <v>0</v>
      </c>
      <c r="BJ378" s="1120">
        <f t="shared" si="411"/>
        <v>0</v>
      </c>
      <c r="BK378" s="1120">
        <f t="shared" si="412"/>
        <v>1</v>
      </c>
      <c r="BL378" s="1120">
        <f t="shared" si="413"/>
        <v>1</v>
      </c>
      <c r="BM378" s="1120">
        <f t="shared" si="414"/>
        <v>1</v>
      </c>
      <c r="BN378" s="1120">
        <f t="shared" si="415"/>
        <v>1</v>
      </c>
      <c r="BO378" s="1120">
        <f t="shared" si="416"/>
        <v>1</v>
      </c>
      <c r="BP378" s="1120">
        <f t="shared" si="417"/>
        <v>1</v>
      </c>
      <c r="BQ378" s="1120">
        <f t="shared" si="418"/>
        <v>0</v>
      </c>
      <c r="BR378" s="1120">
        <f t="shared" si="419"/>
        <v>0</v>
      </c>
      <c r="BS378" s="1120">
        <f t="shared" si="420"/>
        <v>1</v>
      </c>
      <c r="BT378" s="1120">
        <f t="shared" si="421"/>
        <v>1</v>
      </c>
      <c r="BU378" s="1120">
        <f t="shared" si="422"/>
        <v>1</v>
      </c>
      <c r="BV378" s="1120">
        <f t="shared" si="423"/>
        <v>1</v>
      </c>
      <c r="BW378" s="1120">
        <f t="shared" si="424"/>
        <v>0</v>
      </c>
      <c r="BX378" s="1120">
        <f t="shared" si="425"/>
        <v>0</v>
      </c>
      <c r="BY378" s="1120">
        <f t="shared" si="426"/>
        <v>0</v>
      </c>
      <c r="BZ378" s="1120">
        <f t="shared" si="427"/>
        <v>0</v>
      </c>
      <c r="CA378" s="1120">
        <f t="shared" si="428"/>
        <v>1</v>
      </c>
      <c r="CB378" s="1120">
        <f t="shared" si="429"/>
        <v>1</v>
      </c>
      <c r="CC378" s="1120">
        <f t="shared" si="430"/>
        <v>1</v>
      </c>
      <c r="CD378" s="1120">
        <f t="shared" si="431"/>
        <v>1</v>
      </c>
      <c r="CE378" s="1120">
        <f t="shared" si="432"/>
        <v>1</v>
      </c>
      <c r="CF378" s="1120">
        <f t="shared" si="433"/>
        <v>0</v>
      </c>
      <c r="CG378" s="1120">
        <f t="shared" si="434"/>
        <v>0</v>
      </c>
      <c r="CH378" s="1120">
        <f t="shared" si="435"/>
        <v>0</v>
      </c>
      <c r="CI378" s="1120">
        <f t="shared" si="436"/>
        <v>0.85</v>
      </c>
      <c r="CJ378" s="1120">
        <f t="shared" si="437"/>
        <v>0.85</v>
      </c>
      <c r="CK378" s="1120">
        <f t="shared" si="438"/>
        <v>0.85</v>
      </c>
      <c r="CL378" s="1120">
        <f t="shared" si="439"/>
        <v>0.85</v>
      </c>
      <c r="CM378" s="1120">
        <f t="shared" si="440"/>
        <v>0.85</v>
      </c>
      <c r="CN378" s="1120">
        <f t="shared" si="441"/>
        <v>0.85</v>
      </c>
      <c r="CO378" s="1120">
        <f t="shared" si="442"/>
        <v>0.7</v>
      </c>
      <c r="CP378" s="1120">
        <f t="shared" si="443"/>
        <v>0.7</v>
      </c>
      <c r="CQ378" s="1120">
        <f t="shared" si="444"/>
        <v>0.85</v>
      </c>
      <c r="CR378" s="1120">
        <f t="shared" si="445"/>
        <v>0.85</v>
      </c>
      <c r="CS378" s="1120">
        <f t="shared" si="446"/>
        <v>0.85</v>
      </c>
      <c r="CT378" s="1120">
        <f t="shared" si="447"/>
        <v>0.85</v>
      </c>
      <c r="CU378" s="1120">
        <v>1</v>
      </c>
      <c r="CV378" s="1120"/>
      <c r="CW378" s="1120">
        <f t="shared" si="448"/>
        <v>153</v>
      </c>
      <c r="CX378" s="1120">
        <f t="shared" si="449"/>
        <v>212</v>
      </c>
      <c r="CY378" s="1135" t="s">
        <v>4879</v>
      </c>
      <c r="CZ378" s="1124">
        <v>7</v>
      </c>
      <c r="DA378" s="1124"/>
      <c r="DB378" s="1124"/>
      <c r="DC378" s="1120" t="s">
        <v>5332</v>
      </c>
      <c r="DD378" s="1120" t="s">
        <v>934</v>
      </c>
      <c r="DE378" s="1120" t="str">
        <f t="shared" si="450"/>
        <v/>
      </c>
      <c r="DF378" s="1133">
        <v>1</v>
      </c>
      <c r="DG378" s="1120">
        <v>0</v>
      </c>
    </row>
    <row r="379" spans="1:111">
      <c r="A379" s="1125" t="s">
        <v>3535</v>
      </c>
      <c r="B379" s="1120" t="s">
        <v>3729</v>
      </c>
      <c r="C379" s="1120" t="s">
        <v>3730</v>
      </c>
      <c r="D379" s="1120" t="s">
        <v>540</v>
      </c>
      <c r="E379" s="1120">
        <v>1073</v>
      </c>
      <c r="F379" s="1120">
        <v>-88.5</v>
      </c>
      <c r="G379" s="1120">
        <v>47.17</v>
      </c>
      <c r="H379" s="1120">
        <v>-5</v>
      </c>
      <c r="I379" s="1121">
        <v>-0.76000137329101647</v>
      </c>
      <c r="J379" s="1121">
        <v>81.319999313354487</v>
      </c>
      <c r="K379" s="1122">
        <v>68.180000686645513</v>
      </c>
      <c r="L379" s="1120">
        <v>8766</v>
      </c>
      <c r="M379" s="1120">
        <v>257.40000000000003</v>
      </c>
      <c r="N379" s="1123">
        <v>10.399999999999999</v>
      </c>
      <c r="O379" s="1123">
        <v>15.080000686645507</v>
      </c>
      <c r="P379" s="1123">
        <v>33.259999978542325</v>
      </c>
      <c r="Q379" s="1123">
        <v>39.200000000000003</v>
      </c>
      <c r="R379" s="1123">
        <v>49.819999313354494</v>
      </c>
      <c r="S379" s="1123">
        <v>59.9</v>
      </c>
      <c r="T379" s="1123">
        <v>66.2</v>
      </c>
      <c r="U379" s="1123">
        <v>64.580000686645505</v>
      </c>
      <c r="V379" s="1123">
        <v>59</v>
      </c>
      <c r="W379" s="1123">
        <v>39.02000017166138</v>
      </c>
      <c r="X379" s="1123">
        <v>32.9</v>
      </c>
      <c r="Y379" s="1123">
        <v>21.920000171661378</v>
      </c>
      <c r="Z379" s="1123">
        <v>41.077917888229841</v>
      </c>
      <c r="AA379" s="1123">
        <f t="shared" si="376"/>
        <v>38.858938019652072</v>
      </c>
      <c r="AB379" s="1123">
        <f t="shared" si="377"/>
        <v>36.829163944346021</v>
      </c>
      <c r="AC379" s="1123">
        <f t="shared" si="378"/>
        <v>37.470885522592297</v>
      </c>
      <c r="AD379" s="1123">
        <f t="shared" si="379"/>
        <v>40.616828135792154</v>
      </c>
      <c r="AE379" s="1123">
        <f t="shared" si="380"/>
        <v>45.446953361371897</v>
      </c>
      <c r="AF379" s="1123">
        <f t="shared" si="381"/>
        <v>50.702214624801314</v>
      </c>
      <c r="AG379" s="1123">
        <f t="shared" si="382"/>
        <v>55.012747091740039</v>
      </c>
      <c r="AH379" s="1123">
        <f t="shared" si="383"/>
        <v>57.254944047364432</v>
      </c>
      <c r="AI379" s="1123">
        <f t="shared" si="384"/>
        <v>56.844342301890002</v>
      </c>
      <c r="AJ379" s="1123">
        <f t="shared" si="385"/>
        <v>53.887971527839078</v>
      </c>
      <c r="AK379" s="1123">
        <f t="shared" si="386"/>
        <v>49.156455326520742</v>
      </c>
      <c r="AL379" s="1123">
        <f t="shared" si="387"/>
        <v>43.883136310680371</v>
      </c>
      <c r="AM379" s="1120">
        <f t="shared" si="388"/>
        <v>1</v>
      </c>
      <c r="AN379" s="1120">
        <f t="shared" si="389"/>
        <v>1</v>
      </c>
      <c r="AO379" s="1120">
        <f t="shared" si="390"/>
        <v>1</v>
      </c>
      <c r="AP379" s="1120">
        <f t="shared" si="391"/>
        <v>1</v>
      </c>
      <c r="AQ379" s="1120">
        <f t="shared" si="392"/>
        <v>1</v>
      </c>
      <c r="AR379" s="1120">
        <f t="shared" si="393"/>
        <v>1</v>
      </c>
      <c r="AS379" s="1120">
        <f t="shared" si="394"/>
        <v>0</v>
      </c>
      <c r="AT379" s="1120">
        <f t="shared" si="395"/>
        <v>1</v>
      </c>
      <c r="AU379" s="1120">
        <f t="shared" si="396"/>
        <v>1</v>
      </c>
      <c r="AV379" s="1120">
        <f t="shared" si="397"/>
        <v>1</v>
      </c>
      <c r="AW379" s="1120">
        <f t="shared" si="398"/>
        <v>1</v>
      </c>
      <c r="AX379" s="1120">
        <f t="shared" si="399"/>
        <v>1</v>
      </c>
      <c r="AY379" s="1120">
        <f t="shared" si="400"/>
        <v>0</v>
      </c>
      <c r="AZ379" s="1120">
        <f t="shared" si="401"/>
        <v>0</v>
      </c>
      <c r="BA379" s="1120">
        <f t="shared" si="402"/>
        <v>0</v>
      </c>
      <c r="BB379" s="1120">
        <f t="shared" si="403"/>
        <v>0</v>
      </c>
      <c r="BC379" s="1120">
        <f t="shared" si="404"/>
        <v>0</v>
      </c>
      <c r="BD379" s="1120">
        <f t="shared" si="405"/>
        <v>0</v>
      </c>
      <c r="BE379" s="1120">
        <f t="shared" si="406"/>
        <v>1</v>
      </c>
      <c r="BF379" s="1120">
        <f t="shared" si="407"/>
        <v>1</v>
      </c>
      <c r="BG379" s="1120">
        <f t="shared" si="408"/>
        <v>0</v>
      </c>
      <c r="BH379" s="1120">
        <f t="shared" si="409"/>
        <v>0</v>
      </c>
      <c r="BI379" s="1120">
        <f t="shared" si="410"/>
        <v>0</v>
      </c>
      <c r="BJ379" s="1120">
        <f t="shared" si="411"/>
        <v>0</v>
      </c>
      <c r="BK379" s="1120">
        <f t="shared" si="412"/>
        <v>1</v>
      </c>
      <c r="BL379" s="1120">
        <f t="shared" si="413"/>
        <v>1</v>
      </c>
      <c r="BM379" s="1120">
        <f t="shared" si="414"/>
        <v>1</v>
      </c>
      <c r="BN379" s="1120">
        <f t="shared" si="415"/>
        <v>1</v>
      </c>
      <c r="BO379" s="1120">
        <f t="shared" si="416"/>
        <v>1</v>
      </c>
      <c r="BP379" s="1120">
        <f t="shared" si="417"/>
        <v>1</v>
      </c>
      <c r="BQ379" s="1120">
        <f t="shared" si="418"/>
        <v>1</v>
      </c>
      <c r="BR379" s="1120">
        <f t="shared" si="419"/>
        <v>1</v>
      </c>
      <c r="BS379" s="1120">
        <f t="shared" si="420"/>
        <v>1</v>
      </c>
      <c r="BT379" s="1120">
        <f t="shared" si="421"/>
        <v>1</v>
      </c>
      <c r="BU379" s="1120">
        <f t="shared" si="422"/>
        <v>1</v>
      </c>
      <c r="BV379" s="1120">
        <f t="shared" si="423"/>
        <v>1</v>
      </c>
      <c r="BW379" s="1120">
        <f t="shared" si="424"/>
        <v>0</v>
      </c>
      <c r="BX379" s="1120">
        <f t="shared" si="425"/>
        <v>0</v>
      </c>
      <c r="BY379" s="1120">
        <f t="shared" si="426"/>
        <v>0</v>
      </c>
      <c r="BZ379" s="1120">
        <f t="shared" si="427"/>
        <v>0</v>
      </c>
      <c r="CA379" s="1120">
        <f t="shared" si="428"/>
        <v>0</v>
      </c>
      <c r="CB379" s="1120">
        <f t="shared" si="429"/>
        <v>1</v>
      </c>
      <c r="CC379" s="1120">
        <f t="shared" si="430"/>
        <v>1</v>
      </c>
      <c r="CD379" s="1120">
        <f t="shared" si="431"/>
        <v>1</v>
      </c>
      <c r="CE379" s="1120">
        <f t="shared" si="432"/>
        <v>0</v>
      </c>
      <c r="CF379" s="1120">
        <f t="shared" si="433"/>
        <v>0</v>
      </c>
      <c r="CG379" s="1120">
        <f t="shared" si="434"/>
        <v>0</v>
      </c>
      <c r="CH379" s="1120">
        <f t="shared" si="435"/>
        <v>0</v>
      </c>
      <c r="CI379" s="1120">
        <f t="shared" si="436"/>
        <v>0.85</v>
      </c>
      <c r="CJ379" s="1120">
        <f t="shared" si="437"/>
        <v>0.85</v>
      </c>
      <c r="CK379" s="1120">
        <f t="shared" si="438"/>
        <v>0.85</v>
      </c>
      <c r="CL379" s="1120">
        <f t="shared" si="439"/>
        <v>0.85</v>
      </c>
      <c r="CM379" s="1120">
        <f t="shared" si="440"/>
        <v>0.85</v>
      </c>
      <c r="CN379" s="1120">
        <f t="shared" si="441"/>
        <v>0.85</v>
      </c>
      <c r="CO379" s="1120">
        <f t="shared" si="442"/>
        <v>0.85</v>
      </c>
      <c r="CP379" s="1120">
        <f t="shared" si="443"/>
        <v>0.85</v>
      </c>
      <c r="CQ379" s="1120">
        <f t="shared" si="444"/>
        <v>0.85</v>
      </c>
      <c r="CR379" s="1120">
        <f t="shared" si="445"/>
        <v>0.85</v>
      </c>
      <c r="CS379" s="1120">
        <f t="shared" si="446"/>
        <v>0.85</v>
      </c>
      <c r="CT379" s="1120">
        <f t="shared" si="447"/>
        <v>0.85</v>
      </c>
      <c r="CU379" s="1120">
        <v>1</v>
      </c>
      <c r="CV379" s="1120"/>
      <c r="CW379" s="1120">
        <f t="shared" si="448"/>
        <v>92</v>
      </c>
      <c r="CX379" s="1120">
        <f t="shared" si="449"/>
        <v>273</v>
      </c>
      <c r="CY379" s="1135" t="s">
        <v>4879</v>
      </c>
      <c r="CZ379" s="1124">
        <v>7</v>
      </c>
      <c r="DA379" s="1124"/>
      <c r="DB379" s="1124"/>
      <c r="DC379" s="1120" t="s">
        <v>5305</v>
      </c>
      <c r="DD379" s="1120" t="s">
        <v>540</v>
      </c>
      <c r="DE379" s="1120" t="str">
        <f t="shared" si="450"/>
        <v/>
      </c>
      <c r="DF379" s="1133">
        <v>0</v>
      </c>
      <c r="DG379" s="1125">
        <v>0</v>
      </c>
    </row>
    <row r="380" spans="1:111">
      <c r="A380" s="1120" t="s">
        <v>3537</v>
      </c>
      <c r="B380" s="1120" t="s">
        <v>116</v>
      </c>
      <c r="C380" s="1120" t="s">
        <v>117</v>
      </c>
      <c r="D380" s="1120" t="s">
        <v>238</v>
      </c>
      <c r="E380" s="1120">
        <v>731</v>
      </c>
      <c r="F380" s="1120">
        <v>-119.6</v>
      </c>
      <c r="G380" s="1120">
        <v>46.57</v>
      </c>
      <c r="H380" s="1120">
        <v>-8</v>
      </c>
      <c r="I380" s="1121">
        <v>12.559999656677245</v>
      </c>
      <c r="J380" s="1121">
        <v>96.8</v>
      </c>
      <c r="K380" s="1122">
        <v>65.480000686645511</v>
      </c>
      <c r="L380" s="1120">
        <v>5509.8</v>
      </c>
      <c r="M380" s="1120">
        <v>1128.6000000000001</v>
      </c>
      <c r="N380" s="1123">
        <v>29.839999914169312</v>
      </c>
      <c r="O380" s="1123">
        <v>32.720000010728839</v>
      </c>
      <c r="P380" s="1123">
        <v>45.679999828338623</v>
      </c>
      <c r="Q380" s="1123">
        <v>52.340000343322757</v>
      </c>
      <c r="R380" s="1123">
        <v>58.459999656677248</v>
      </c>
      <c r="S380" s="1123">
        <v>67.639998626708987</v>
      </c>
      <c r="T380" s="1123">
        <v>78.439998626708984</v>
      </c>
      <c r="U380" s="1123">
        <v>77.360001373291013</v>
      </c>
      <c r="V380" s="1123">
        <v>65.66000137329101</v>
      </c>
      <c r="W380" s="1123">
        <v>50.719999313354492</v>
      </c>
      <c r="X380" s="1123">
        <v>40.820000171661377</v>
      </c>
      <c r="Y380" s="1123">
        <v>27.679999828338623</v>
      </c>
      <c r="Z380" s="1123">
        <v>52.393260193197698</v>
      </c>
      <c r="AA380" s="1123">
        <f t="shared" si="376"/>
        <v>47.376188312548024</v>
      </c>
      <c r="AB380" s="1123">
        <f t="shared" si="377"/>
        <v>46.131985709734067</v>
      </c>
      <c r="AC380" s="1123">
        <f t="shared" si="378"/>
        <v>48.083873252994223</v>
      </c>
      <c r="AD380" s="1123">
        <f t="shared" si="379"/>
        <v>52.723061374680199</v>
      </c>
      <c r="AE380" s="1123">
        <f t="shared" si="380"/>
        <v>58.840274198821533</v>
      </c>
      <c r="AF380" s="1123">
        <f t="shared" si="381"/>
        <v>64.840965933702662</v>
      </c>
      <c r="AG380" s="1123">
        <f t="shared" si="382"/>
        <v>69.160963805168052</v>
      </c>
      <c r="AH380" s="1123">
        <f t="shared" si="383"/>
        <v>70.67419379483789</v>
      </c>
      <c r="AI380" s="1123">
        <f t="shared" si="384"/>
        <v>68.9862091863247</v>
      </c>
      <c r="AJ380" s="1123">
        <f t="shared" si="385"/>
        <v>64.537009180467678</v>
      </c>
      <c r="AK380" s="1123">
        <f t="shared" si="386"/>
        <v>58.486346323040962</v>
      </c>
      <c r="AL380" s="1123">
        <f t="shared" si="387"/>
        <v>52.411419131369911</v>
      </c>
      <c r="AM380" s="1120">
        <f t="shared" si="388"/>
        <v>1</v>
      </c>
      <c r="AN380" s="1120">
        <f t="shared" si="389"/>
        <v>1</v>
      </c>
      <c r="AO380" s="1120">
        <f t="shared" si="390"/>
        <v>1</v>
      </c>
      <c r="AP380" s="1120">
        <f t="shared" si="391"/>
        <v>1</v>
      </c>
      <c r="AQ380" s="1120">
        <f t="shared" si="392"/>
        <v>1</v>
      </c>
      <c r="AR380" s="1120">
        <f t="shared" si="393"/>
        <v>0</v>
      </c>
      <c r="AS380" s="1120">
        <f t="shared" si="394"/>
        <v>0</v>
      </c>
      <c r="AT380" s="1120">
        <f t="shared" si="395"/>
        <v>0</v>
      </c>
      <c r="AU380" s="1120">
        <f t="shared" si="396"/>
        <v>1</v>
      </c>
      <c r="AV380" s="1120">
        <f t="shared" si="397"/>
        <v>1</v>
      </c>
      <c r="AW380" s="1120">
        <f t="shared" si="398"/>
        <v>1</v>
      </c>
      <c r="AX380" s="1120">
        <f t="shared" si="399"/>
        <v>1</v>
      </c>
      <c r="AY380" s="1120">
        <f t="shared" si="400"/>
        <v>0</v>
      </c>
      <c r="AZ380" s="1120">
        <f t="shared" si="401"/>
        <v>0</v>
      </c>
      <c r="BA380" s="1120">
        <f t="shared" si="402"/>
        <v>0</v>
      </c>
      <c r="BB380" s="1120">
        <f t="shared" si="403"/>
        <v>0</v>
      </c>
      <c r="BC380" s="1120">
        <f t="shared" si="404"/>
        <v>0</v>
      </c>
      <c r="BD380" s="1120">
        <f t="shared" si="405"/>
        <v>1</v>
      </c>
      <c r="BE380" s="1120">
        <f t="shared" si="406"/>
        <v>1</v>
      </c>
      <c r="BF380" s="1120">
        <f t="shared" si="407"/>
        <v>1</v>
      </c>
      <c r="BG380" s="1120">
        <f t="shared" si="408"/>
        <v>0</v>
      </c>
      <c r="BH380" s="1120">
        <f t="shared" si="409"/>
        <v>0</v>
      </c>
      <c r="BI380" s="1120">
        <f t="shared" si="410"/>
        <v>0</v>
      </c>
      <c r="BJ380" s="1120">
        <f t="shared" si="411"/>
        <v>0</v>
      </c>
      <c r="BK380" s="1120">
        <f t="shared" si="412"/>
        <v>1</v>
      </c>
      <c r="BL380" s="1120">
        <f t="shared" si="413"/>
        <v>1</v>
      </c>
      <c r="BM380" s="1120">
        <f t="shared" si="414"/>
        <v>1</v>
      </c>
      <c r="BN380" s="1120">
        <f t="shared" si="415"/>
        <v>1</v>
      </c>
      <c r="BO380" s="1120">
        <f t="shared" si="416"/>
        <v>1</v>
      </c>
      <c r="BP380" s="1120">
        <f t="shared" si="417"/>
        <v>1</v>
      </c>
      <c r="BQ380" s="1120">
        <f t="shared" si="418"/>
        <v>0</v>
      </c>
      <c r="BR380" s="1120">
        <f t="shared" si="419"/>
        <v>0</v>
      </c>
      <c r="BS380" s="1120">
        <f t="shared" si="420"/>
        <v>1</v>
      </c>
      <c r="BT380" s="1120">
        <f t="shared" si="421"/>
        <v>1</v>
      </c>
      <c r="BU380" s="1120">
        <f t="shared" si="422"/>
        <v>1</v>
      </c>
      <c r="BV380" s="1120">
        <f t="shared" si="423"/>
        <v>1</v>
      </c>
      <c r="BW380" s="1120">
        <f t="shared" si="424"/>
        <v>0</v>
      </c>
      <c r="BX380" s="1120">
        <f t="shared" si="425"/>
        <v>0</v>
      </c>
      <c r="BY380" s="1120">
        <f t="shared" si="426"/>
        <v>0</v>
      </c>
      <c r="BZ380" s="1120">
        <f t="shared" si="427"/>
        <v>0</v>
      </c>
      <c r="CA380" s="1120">
        <f t="shared" si="428"/>
        <v>1</v>
      </c>
      <c r="CB380" s="1120">
        <f t="shared" si="429"/>
        <v>1</v>
      </c>
      <c r="CC380" s="1120">
        <f t="shared" si="430"/>
        <v>1</v>
      </c>
      <c r="CD380" s="1120">
        <f t="shared" si="431"/>
        <v>1</v>
      </c>
      <c r="CE380" s="1120">
        <f t="shared" si="432"/>
        <v>1</v>
      </c>
      <c r="CF380" s="1120">
        <f t="shared" si="433"/>
        <v>0</v>
      </c>
      <c r="CG380" s="1120">
        <f t="shared" si="434"/>
        <v>0</v>
      </c>
      <c r="CH380" s="1120">
        <f t="shared" si="435"/>
        <v>0</v>
      </c>
      <c r="CI380" s="1120">
        <f t="shared" si="436"/>
        <v>0.85</v>
      </c>
      <c r="CJ380" s="1120">
        <f t="shared" si="437"/>
        <v>0.85</v>
      </c>
      <c r="CK380" s="1120">
        <f t="shared" si="438"/>
        <v>0.85</v>
      </c>
      <c r="CL380" s="1120">
        <f t="shared" si="439"/>
        <v>0.85</v>
      </c>
      <c r="CM380" s="1120">
        <f t="shared" si="440"/>
        <v>0.85</v>
      </c>
      <c r="CN380" s="1120">
        <f t="shared" si="441"/>
        <v>0.85</v>
      </c>
      <c r="CO380" s="1120">
        <f t="shared" si="442"/>
        <v>0.7</v>
      </c>
      <c r="CP380" s="1120">
        <f t="shared" si="443"/>
        <v>0.7</v>
      </c>
      <c r="CQ380" s="1120">
        <f t="shared" si="444"/>
        <v>0.85</v>
      </c>
      <c r="CR380" s="1120">
        <f t="shared" si="445"/>
        <v>0.85</v>
      </c>
      <c r="CS380" s="1120">
        <f t="shared" si="446"/>
        <v>0.85</v>
      </c>
      <c r="CT380" s="1120">
        <f t="shared" si="447"/>
        <v>0.85</v>
      </c>
      <c r="CU380" s="1120">
        <v>1</v>
      </c>
      <c r="CV380" s="1120"/>
      <c r="CW380" s="1120">
        <f t="shared" si="448"/>
        <v>153</v>
      </c>
      <c r="CX380" s="1120">
        <f t="shared" si="449"/>
        <v>212</v>
      </c>
      <c r="CY380" s="1136" t="s">
        <v>4889</v>
      </c>
      <c r="CZ380" s="1129" t="s">
        <v>4890</v>
      </c>
      <c r="DA380" s="1129"/>
      <c r="DB380" s="1129"/>
      <c r="DC380" s="1125" t="s">
        <v>5656</v>
      </c>
      <c r="DD380" s="1125" t="s">
        <v>238</v>
      </c>
      <c r="DE380" s="1120" t="str">
        <f t="shared" si="450"/>
        <v/>
      </c>
      <c r="DF380" s="1133">
        <v>0</v>
      </c>
      <c r="DG380" s="1120">
        <v>0</v>
      </c>
    </row>
    <row r="381" spans="1:111">
      <c r="A381" s="1125" t="s">
        <v>3539</v>
      </c>
      <c r="B381" s="1120" t="s">
        <v>4470</v>
      </c>
      <c r="C381" s="1120" t="s">
        <v>4471</v>
      </c>
      <c r="D381" s="1120" t="s">
        <v>905</v>
      </c>
      <c r="E381" s="1120">
        <v>4307</v>
      </c>
      <c r="F381" s="1120">
        <v>-110.72</v>
      </c>
      <c r="G381" s="1120">
        <v>38.369999999999997</v>
      </c>
      <c r="H381" s="1120">
        <v>-7</v>
      </c>
      <c r="I381" s="1121">
        <v>6.6199993133544917</v>
      </c>
      <c r="J381" s="1121">
        <v>107.77999725341797</v>
      </c>
      <c r="K381" s="1122">
        <v>62.239998626708989</v>
      </c>
      <c r="L381" s="1120">
        <v>5207.4000000000005</v>
      </c>
      <c r="M381" s="1120">
        <v>1621.8</v>
      </c>
      <c r="N381" s="1123">
        <v>34.160000085830688</v>
      </c>
      <c r="O381" s="1123">
        <v>33.259999978542325</v>
      </c>
      <c r="P381" s="1123">
        <v>47.119999313354491</v>
      </c>
      <c r="Q381" s="1123">
        <v>49.640000343322754</v>
      </c>
      <c r="R381" s="1123">
        <v>62.780000686645508</v>
      </c>
      <c r="S381" s="1123">
        <v>76.099999999999994</v>
      </c>
      <c r="T381" s="1123">
        <v>85.819999313354487</v>
      </c>
      <c r="U381" s="1123">
        <v>77.900000000000006</v>
      </c>
      <c r="V381" s="1123">
        <v>67.280000686645508</v>
      </c>
      <c r="W381" s="1123">
        <v>49.640000343322754</v>
      </c>
      <c r="X381" s="1123">
        <v>37.4</v>
      </c>
      <c r="Y381" s="1123">
        <v>32.180000002682206</v>
      </c>
      <c r="Z381" s="1123">
        <v>54.579397321641444</v>
      </c>
      <c r="AA381" s="1123">
        <f t="shared" si="376"/>
        <v>48.194384898631419</v>
      </c>
      <c r="AB381" s="1123">
        <f t="shared" si="377"/>
        <v>47.076484698725864</v>
      </c>
      <c r="AC381" s="1123">
        <f t="shared" si="378"/>
        <v>49.478326760165487</v>
      </c>
      <c r="AD381" s="1123">
        <f t="shared" si="379"/>
        <v>54.773833936129492</v>
      </c>
      <c r="AE381" s="1123">
        <f t="shared" si="380"/>
        <v>61.582650674967084</v>
      </c>
      <c r="AF381" s="1123">
        <f t="shared" si="381"/>
        <v>68.129953966658192</v>
      </c>
      <c r="AG381" s="1123">
        <f t="shared" si="382"/>
        <v>72.709088311225671</v>
      </c>
      <c r="AH381" s="1123">
        <f t="shared" si="383"/>
        <v>74.12643177516172</v>
      </c>
      <c r="AI381" s="1123">
        <f t="shared" si="384"/>
        <v>72.012531942667479</v>
      </c>
      <c r="AJ381" s="1123">
        <f t="shared" si="385"/>
        <v>66.918409381265079</v>
      </c>
      <c r="AK381" s="1123">
        <f t="shared" si="386"/>
        <v>60.171925639388959</v>
      </c>
      <c r="AL381" s="1123">
        <f t="shared" si="387"/>
        <v>53.531655670820662</v>
      </c>
      <c r="AM381" s="1120">
        <f t="shared" si="388"/>
        <v>1</v>
      </c>
      <c r="AN381" s="1120">
        <f t="shared" si="389"/>
        <v>1</v>
      </c>
      <c r="AO381" s="1120">
        <f t="shared" si="390"/>
        <v>1</v>
      </c>
      <c r="AP381" s="1120">
        <f t="shared" si="391"/>
        <v>1</v>
      </c>
      <c r="AQ381" s="1120">
        <f t="shared" si="392"/>
        <v>1</v>
      </c>
      <c r="AR381" s="1120">
        <f t="shared" si="393"/>
        <v>0</v>
      </c>
      <c r="AS381" s="1120">
        <f t="shared" si="394"/>
        <v>0</v>
      </c>
      <c r="AT381" s="1120">
        <f t="shared" si="395"/>
        <v>0</v>
      </c>
      <c r="AU381" s="1120">
        <f t="shared" si="396"/>
        <v>0</v>
      </c>
      <c r="AV381" s="1120">
        <f t="shared" si="397"/>
        <v>1</v>
      </c>
      <c r="AW381" s="1120">
        <f t="shared" si="398"/>
        <v>1</v>
      </c>
      <c r="AX381" s="1120">
        <f t="shared" si="399"/>
        <v>1</v>
      </c>
      <c r="AY381" s="1120">
        <f t="shared" si="400"/>
        <v>0</v>
      </c>
      <c r="AZ381" s="1120">
        <f t="shared" si="401"/>
        <v>0</v>
      </c>
      <c r="BA381" s="1120">
        <f t="shared" si="402"/>
        <v>0</v>
      </c>
      <c r="BB381" s="1120">
        <f t="shared" si="403"/>
        <v>0</v>
      </c>
      <c r="BC381" s="1120">
        <f t="shared" si="404"/>
        <v>0</v>
      </c>
      <c r="BD381" s="1120">
        <f t="shared" si="405"/>
        <v>1</v>
      </c>
      <c r="BE381" s="1120">
        <f t="shared" si="406"/>
        <v>1</v>
      </c>
      <c r="BF381" s="1120">
        <f t="shared" si="407"/>
        <v>1</v>
      </c>
      <c r="BG381" s="1120">
        <f t="shared" si="408"/>
        <v>1</v>
      </c>
      <c r="BH381" s="1120">
        <f t="shared" si="409"/>
        <v>0</v>
      </c>
      <c r="BI381" s="1120">
        <f t="shared" si="410"/>
        <v>0</v>
      </c>
      <c r="BJ381" s="1120">
        <f t="shared" si="411"/>
        <v>0</v>
      </c>
      <c r="BK381" s="1120">
        <f t="shared" si="412"/>
        <v>1</v>
      </c>
      <c r="BL381" s="1120">
        <f t="shared" si="413"/>
        <v>1</v>
      </c>
      <c r="BM381" s="1120">
        <f t="shared" si="414"/>
        <v>1</v>
      </c>
      <c r="BN381" s="1120">
        <f t="shared" si="415"/>
        <v>1</v>
      </c>
      <c r="BO381" s="1120">
        <f t="shared" si="416"/>
        <v>1</v>
      </c>
      <c r="BP381" s="1120">
        <f t="shared" si="417"/>
        <v>1</v>
      </c>
      <c r="BQ381" s="1120">
        <f t="shared" si="418"/>
        <v>0</v>
      </c>
      <c r="BR381" s="1120">
        <f t="shared" si="419"/>
        <v>0</v>
      </c>
      <c r="BS381" s="1120">
        <f t="shared" si="420"/>
        <v>0</v>
      </c>
      <c r="BT381" s="1120">
        <f t="shared" si="421"/>
        <v>1</v>
      </c>
      <c r="BU381" s="1120">
        <f t="shared" si="422"/>
        <v>1</v>
      </c>
      <c r="BV381" s="1120">
        <f t="shared" si="423"/>
        <v>1</v>
      </c>
      <c r="BW381" s="1120">
        <f t="shared" si="424"/>
        <v>0</v>
      </c>
      <c r="BX381" s="1120">
        <f t="shared" si="425"/>
        <v>0</v>
      </c>
      <c r="BY381" s="1120">
        <f t="shared" si="426"/>
        <v>0</v>
      </c>
      <c r="BZ381" s="1120">
        <f t="shared" si="427"/>
        <v>0</v>
      </c>
      <c r="CA381" s="1120">
        <f t="shared" si="428"/>
        <v>1</v>
      </c>
      <c r="CB381" s="1120">
        <f t="shared" si="429"/>
        <v>1</v>
      </c>
      <c r="CC381" s="1120">
        <f t="shared" si="430"/>
        <v>1</v>
      </c>
      <c r="CD381" s="1120">
        <f t="shared" si="431"/>
        <v>1</v>
      </c>
      <c r="CE381" s="1120">
        <f t="shared" si="432"/>
        <v>1</v>
      </c>
      <c r="CF381" s="1120">
        <f t="shared" si="433"/>
        <v>1</v>
      </c>
      <c r="CG381" s="1120">
        <f t="shared" si="434"/>
        <v>0</v>
      </c>
      <c r="CH381" s="1120">
        <f t="shared" si="435"/>
        <v>0</v>
      </c>
      <c r="CI381" s="1120">
        <f t="shared" si="436"/>
        <v>0.85</v>
      </c>
      <c r="CJ381" s="1120">
        <f t="shared" si="437"/>
        <v>0.85</v>
      </c>
      <c r="CK381" s="1120">
        <f t="shared" si="438"/>
        <v>0.85</v>
      </c>
      <c r="CL381" s="1120">
        <f t="shared" si="439"/>
        <v>0.85</v>
      </c>
      <c r="CM381" s="1120">
        <f t="shared" si="440"/>
        <v>0.85</v>
      </c>
      <c r="CN381" s="1120">
        <f t="shared" si="441"/>
        <v>0.85</v>
      </c>
      <c r="CO381" s="1120">
        <f t="shared" si="442"/>
        <v>0.7</v>
      </c>
      <c r="CP381" s="1120">
        <f t="shared" si="443"/>
        <v>0.7</v>
      </c>
      <c r="CQ381" s="1120">
        <f t="shared" si="444"/>
        <v>0.7</v>
      </c>
      <c r="CR381" s="1120">
        <f t="shared" si="445"/>
        <v>0.85</v>
      </c>
      <c r="CS381" s="1120">
        <f t="shared" si="446"/>
        <v>0.85</v>
      </c>
      <c r="CT381" s="1120">
        <f t="shared" si="447"/>
        <v>0.85</v>
      </c>
      <c r="CU381" s="1120">
        <v>1</v>
      </c>
      <c r="CV381" s="1120"/>
      <c r="CW381" s="1120">
        <f t="shared" si="448"/>
        <v>184</v>
      </c>
      <c r="CX381" s="1120">
        <f t="shared" si="449"/>
        <v>181</v>
      </c>
      <c r="CY381" s="1135" t="s">
        <v>4889</v>
      </c>
      <c r="CZ381" s="1124" t="s">
        <v>4890</v>
      </c>
      <c r="DA381" s="1124"/>
      <c r="DB381" s="1124"/>
      <c r="DC381" s="1120" t="s">
        <v>5621</v>
      </c>
      <c r="DD381" s="1120" t="s">
        <v>905</v>
      </c>
      <c r="DE381" s="1120" t="str">
        <f t="shared" si="450"/>
        <v/>
      </c>
      <c r="DF381" s="1133">
        <v>0</v>
      </c>
      <c r="DG381" s="1125">
        <v>0</v>
      </c>
    </row>
    <row r="382" spans="1:111">
      <c r="A382" s="1120" t="s">
        <v>3541</v>
      </c>
      <c r="B382" s="1120" t="s">
        <v>4406</v>
      </c>
      <c r="C382" s="1120" t="s">
        <v>4407</v>
      </c>
      <c r="D382" s="1120" t="s">
        <v>228</v>
      </c>
      <c r="E382" s="1120">
        <v>33</v>
      </c>
      <c r="F382" s="1120">
        <v>-97.65</v>
      </c>
      <c r="G382" s="1120">
        <v>26.23</v>
      </c>
      <c r="H382" s="1120">
        <v>-6</v>
      </c>
      <c r="I382" s="1121">
        <v>40.820000171661377</v>
      </c>
      <c r="J382" s="1121">
        <v>97.160001373291024</v>
      </c>
      <c r="K382" s="1122">
        <v>77.719999313354492</v>
      </c>
      <c r="L382" s="1120">
        <v>498.6</v>
      </c>
      <c r="M382" s="1120">
        <v>3744</v>
      </c>
      <c r="N382" s="1123">
        <v>64.219999313354492</v>
      </c>
      <c r="O382" s="1123">
        <v>60.259999656677245</v>
      </c>
      <c r="P382" s="1123">
        <v>67.460001373291021</v>
      </c>
      <c r="Q382" s="1123">
        <v>69.439998626708984</v>
      </c>
      <c r="R382" s="1123">
        <v>78.980000686645511</v>
      </c>
      <c r="S382" s="1123">
        <v>82.760001373291018</v>
      </c>
      <c r="T382" s="1123">
        <v>85.819999313354487</v>
      </c>
      <c r="U382" s="1123">
        <v>83.119999313354498</v>
      </c>
      <c r="V382" s="1123">
        <v>80.419999313354495</v>
      </c>
      <c r="W382" s="1123">
        <v>74.83999862670899</v>
      </c>
      <c r="X382" s="1123">
        <v>66.919999313354495</v>
      </c>
      <c r="Y382" s="1123">
        <v>64.219999313354492</v>
      </c>
      <c r="Z382" s="1123">
        <v>73.292985987206023</v>
      </c>
      <c r="AA382" s="1123">
        <f t="shared" si="376"/>
        <v>70.480016900552258</v>
      </c>
      <c r="AB382" s="1123">
        <f t="shared" si="377"/>
        <v>71.199993889293765</v>
      </c>
      <c r="AC382" s="1123">
        <f t="shared" si="378"/>
        <v>74.029533985139466</v>
      </c>
      <c r="AD382" s="1123">
        <f t="shared" si="379"/>
        <v>78.231073957574424</v>
      </c>
      <c r="AE382" s="1123">
        <f t="shared" si="380"/>
        <v>82.709417665092587</v>
      </c>
      <c r="AF382" s="1123">
        <f t="shared" si="381"/>
        <v>86.297215806963791</v>
      </c>
      <c r="AG382" s="1123">
        <f t="shared" si="382"/>
        <v>88.059253507866345</v>
      </c>
      <c r="AH382" s="1123">
        <f t="shared" si="383"/>
        <v>87.536228487237082</v>
      </c>
      <c r="AI382" s="1123">
        <f t="shared" si="384"/>
        <v>84.864475276762562</v>
      </c>
      <c r="AJ382" s="1123">
        <f t="shared" si="385"/>
        <v>80.740427523716249</v>
      </c>
      <c r="AK382" s="1123">
        <f t="shared" si="386"/>
        <v>76.239081828429278</v>
      </c>
      <c r="AL382" s="1123">
        <f t="shared" si="387"/>
        <v>72.533783314215114</v>
      </c>
      <c r="AM382" s="1120">
        <f t="shared" si="388"/>
        <v>1</v>
      </c>
      <c r="AN382" s="1120">
        <f t="shared" si="389"/>
        <v>1</v>
      </c>
      <c r="AO382" s="1120">
        <f t="shared" si="390"/>
        <v>0</v>
      </c>
      <c r="AP382" s="1120">
        <f t="shared" si="391"/>
        <v>0</v>
      </c>
      <c r="AQ382" s="1120">
        <f t="shared" si="392"/>
        <v>0</v>
      </c>
      <c r="AR382" s="1120">
        <f t="shared" si="393"/>
        <v>0</v>
      </c>
      <c r="AS382" s="1120">
        <f t="shared" si="394"/>
        <v>0</v>
      </c>
      <c r="AT382" s="1120">
        <f t="shared" si="395"/>
        <v>0</v>
      </c>
      <c r="AU382" s="1120">
        <f t="shared" si="396"/>
        <v>0</v>
      </c>
      <c r="AV382" s="1120">
        <f t="shared" si="397"/>
        <v>0</v>
      </c>
      <c r="AW382" s="1120">
        <f t="shared" si="398"/>
        <v>0</v>
      </c>
      <c r="AX382" s="1120">
        <f t="shared" si="399"/>
        <v>1</v>
      </c>
      <c r="AY382" s="1120">
        <f t="shared" si="400"/>
        <v>0</v>
      </c>
      <c r="AZ382" s="1120">
        <f t="shared" si="401"/>
        <v>0</v>
      </c>
      <c r="BA382" s="1120">
        <f t="shared" si="402"/>
        <v>1</v>
      </c>
      <c r="BB382" s="1120">
        <f t="shared" si="403"/>
        <v>1</v>
      </c>
      <c r="BC382" s="1120">
        <f t="shared" si="404"/>
        <v>1</v>
      </c>
      <c r="BD382" s="1120">
        <f t="shared" si="405"/>
        <v>1</v>
      </c>
      <c r="BE382" s="1120">
        <f t="shared" si="406"/>
        <v>1</v>
      </c>
      <c r="BF382" s="1120">
        <f t="shared" si="407"/>
        <v>1</v>
      </c>
      <c r="BG382" s="1120">
        <f t="shared" si="408"/>
        <v>1</v>
      </c>
      <c r="BH382" s="1120">
        <f t="shared" si="409"/>
        <v>1</v>
      </c>
      <c r="BI382" s="1120">
        <f t="shared" si="410"/>
        <v>1</v>
      </c>
      <c r="BJ382" s="1120">
        <f t="shared" si="411"/>
        <v>0</v>
      </c>
      <c r="BK382" s="1120">
        <f t="shared" si="412"/>
        <v>1</v>
      </c>
      <c r="BL382" s="1120">
        <f t="shared" si="413"/>
        <v>1</v>
      </c>
      <c r="BM382" s="1120">
        <f t="shared" si="414"/>
        <v>1</v>
      </c>
      <c r="BN382" s="1120">
        <f t="shared" si="415"/>
        <v>0</v>
      </c>
      <c r="BO382" s="1120">
        <f t="shared" si="416"/>
        <v>0</v>
      </c>
      <c r="BP382" s="1120">
        <f t="shared" si="417"/>
        <v>0</v>
      </c>
      <c r="BQ382" s="1120">
        <f t="shared" si="418"/>
        <v>0</v>
      </c>
      <c r="BR382" s="1120">
        <f t="shared" si="419"/>
        <v>0</v>
      </c>
      <c r="BS382" s="1120">
        <f t="shared" si="420"/>
        <v>0</v>
      </c>
      <c r="BT382" s="1120">
        <f t="shared" si="421"/>
        <v>0</v>
      </c>
      <c r="BU382" s="1120">
        <f t="shared" si="422"/>
        <v>0</v>
      </c>
      <c r="BV382" s="1120">
        <f t="shared" si="423"/>
        <v>1</v>
      </c>
      <c r="BW382" s="1120">
        <f t="shared" si="424"/>
        <v>0</v>
      </c>
      <c r="BX382" s="1120">
        <f t="shared" si="425"/>
        <v>1</v>
      </c>
      <c r="BY382" s="1120">
        <f t="shared" si="426"/>
        <v>1</v>
      </c>
      <c r="BZ382" s="1120">
        <f t="shared" si="427"/>
        <v>1</v>
      </c>
      <c r="CA382" s="1120">
        <f t="shared" si="428"/>
        <v>1</v>
      </c>
      <c r="CB382" s="1120">
        <f t="shared" si="429"/>
        <v>1</v>
      </c>
      <c r="CC382" s="1120">
        <f t="shared" si="430"/>
        <v>1</v>
      </c>
      <c r="CD382" s="1120">
        <f t="shared" si="431"/>
        <v>1</v>
      </c>
      <c r="CE382" s="1120">
        <f t="shared" si="432"/>
        <v>1</v>
      </c>
      <c r="CF382" s="1120">
        <f t="shared" si="433"/>
        <v>1</v>
      </c>
      <c r="CG382" s="1120">
        <f t="shared" si="434"/>
        <v>1</v>
      </c>
      <c r="CH382" s="1120">
        <f t="shared" si="435"/>
        <v>1</v>
      </c>
      <c r="CI382" s="1120">
        <f t="shared" si="436"/>
        <v>0.85</v>
      </c>
      <c r="CJ382" s="1120">
        <f t="shared" si="437"/>
        <v>0.85</v>
      </c>
      <c r="CK382" s="1120">
        <f t="shared" si="438"/>
        <v>0.85</v>
      </c>
      <c r="CL382" s="1120">
        <f t="shared" si="439"/>
        <v>0.7</v>
      </c>
      <c r="CM382" s="1120">
        <f t="shared" si="440"/>
        <v>0.7</v>
      </c>
      <c r="CN382" s="1120">
        <f t="shared" si="441"/>
        <v>0.7</v>
      </c>
      <c r="CO382" s="1120">
        <f t="shared" si="442"/>
        <v>0.7</v>
      </c>
      <c r="CP382" s="1120">
        <f t="shared" si="443"/>
        <v>0.7</v>
      </c>
      <c r="CQ382" s="1120">
        <f t="shared" si="444"/>
        <v>0.7</v>
      </c>
      <c r="CR382" s="1120">
        <f t="shared" si="445"/>
        <v>0.7</v>
      </c>
      <c r="CS382" s="1120">
        <f t="shared" si="446"/>
        <v>0.7</v>
      </c>
      <c r="CT382" s="1120">
        <f t="shared" si="447"/>
        <v>0.85</v>
      </c>
      <c r="CU382" s="1120">
        <v>1</v>
      </c>
      <c r="CV382" s="1120"/>
      <c r="CW382" s="1120">
        <f t="shared" si="448"/>
        <v>334</v>
      </c>
      <c r="CX382" s="1120">
        <f t="shared" si="449"/>
        <v>31</v>
      </c>
      <c r="CY382" s="1135" t="s">
        <v>4883</v>
      </c>
      <c r="CZ382" s="1124" t="s">
        <v>4884</v>
      </c>
      <c r="DA382" s="1124"/>
      <c r="DB382" s="1124"/>
      <c r="DC382" s="1120" t="s">
        <v>5593</v>
      </c>
      <c r="DD382" s="1120" t="s">
        <v>228</v>
      </c>
      <c r="DE382" s="1120" t="str">
        <f t="shared" si="450"/>
        <v/>
      </c>
      <c r="DF382" s="1133">
        <v>0</v>
      </c>
      <c r="DG382" s="1120">
        <v>0</v>
      </c>
    </row>
    <row r="383" spans="1:111">
      <c r="A383" s="1125" t="s">
        <v>3543</v>
      </c>
      <c r="B383" s="1125" t="s">
        <v>4266</v>
      </c>
      <c r="C383" s="1125" t="s">
        <v>4267</v>
      </c>
      <c r="D383" s="1125" t="s">
        <v>539</v>
      </c>
      <c r="E383" s="1125">
        <v>341</v>
      </c>
      <c r="F383" s="1125">
        <v>-76.849999999999994</v>
      </c>
      <c r="G383" s="1125">
        <v>40.22</v>
      </c>
      <c r="H383" s="1125">
        <v>-5</v>
      </c>
      <c r="I383" s="1126">
        <v>13.280000686645508</v>
      </c>
      <c r="J383" s="1126">
        <v>89.6</v>
      </c>
      <c r="K383" s="1127">
        <v>72.5</v>
      </c>
      <c r="L383" s="1125">
        <v>5245.2</v>
      </c>
      <c r="M383" s="1125">
        <v>997.2</v>
      </c>
      <c r="N383" s="1128">
        <v>27.5</v>
      </c>
      <c r="O383" s="1128">
        <v>31.639999994635581</v>
      </c>
      <c r="P383" s="1128">
        <v>41.720000171661376</v>
      </c>
      <c r="Q383" s="1128">
        <v>54.680000686645506</v>
      </c>
      <c r="R383" s="1128">
        <v>61.519999313354496</v>
      </c>
      <c r="S383" s="1128">
        <v>71.419999313354495</v>
      </c>
      <c r="T383" s="1128">
        <v>75.2</v>
      </c>
      <c r="U383" s="1128">
        <v>72.319999313354487</v>
      </c>
      <c r="V383" s="1128">
        <v>65.480000686645511</v>
      </c>
      <c r="W383" s="1128">
        <v>54.680000686645506</v>
      </c>
      <c r="X383" s="1128">
        <v>43.7</v>
      </c>
      <c r="Y383" s="1128">
        <v>32</v>
      </c>
      <c r="Z383" s="1128">
        <v>52.760164395848363</v>
      </c>
      <c r="AA383" s="1128">
        <f t="shared" si="376"/>
        <v>48.296498996944372</v>
      </c>
      <c r="AB383" s="1128">
        <f t="shared" si="377"/>
        <v>47.155203711327374</v>
      </c>
      <c r="AC383" s="1128">
        <f t="shared" si="378"/>
        <v>49.03892026598831</v>
      </c>
      <c r="AD383" s="1128">
        <f t="shared" si="379"/>
        <v>53.456628912003971</v>
      </c>
      <c r="AE383" s="1128">
        <f t="shared" si="380"/>
        <v>59.256785811839435</v>
      </c>
      <c r="AF383" s="1128">
        <f t="shared" si="381"/>
        <v>64.927490686429138</v>
      </c>
      <c r="AG383" s="1128">
        <f t="shared" si="382"/>
        <v>68.990586922003956</v>
      </c>
      <c r="AH383" s="1128">
        <f t="shared" si="383"/>
        <v>70.386965870552984</v>
      </c>
      <c r="AI383" s="1128">
        <f t="shared" si="384"/>
        <v>68.75263984028598</v>
      </c>
      <c r="AJ383" s="1128">
        <f t="shared" si="385"/>
        <v>64.513621096718509</v>
      </c>
      <c r="AK383" s="1128">
        <f t="shared" si="386"/>
        <v>58.774875200617629</v>
      </c>
      <c r="AL383" s="1128">
        <f t="shared" si="387"/>
        <v>53.032294706553301</v>
      </c>
      <c r="AM383" s="1125">
        <f t="shared" si="388"/>
        <v>1</v>
      </c>
      <c r="AN383" s="1125">
        <f t="shared" si="389"/>
        <v>1</v>
      </c>
      <c r="AO383" s="1125">
        <f t="shared" si="390"/>
        <v>1</v>
      </c>
      <c r="AP383" s="1125">
        <f t="shared" si="391"/>
        <v>1</v>
      </c>
      <c r="AQ383" s="1125">
        <f t="shared" si="392"/>
        <v>1</v>
      </c>
      <c r="AR383" s="1125">
        <f t="shared" si="393"/>
        <v>0</v>
      </c>
      <c r="AS383" s="1125">
        <f t="shared" si="394"/>
        <v>0</v>
      </c>
      <c r="AT383" s="1125">
        <f t="shared" si="395"/>
        <v>0</v>
      </c>
      <c r="AU383" s="1125">
        <f t="shared" si="396"/>
        <v>1</v>
      </c>
      <c r="AV383" s="1125">
        <f t="shared" si="397"/>
        <v>1</v>
      </c>
      <c r="AW383" s="1125">
        <f t="shared" si="398"/>
        <v>1</v>
      </c>
      <c r="AX383" s="1125">
        <f t="shared" si="399"/>
        <v>1</v>
      </c>
      <c r="AY383" s="1125">
        <f t="shared" si="400"/>
        <v>0</v>
      </c>
      <c r="AZ383" s="1125">
        <f t="shared" si="401"/>
        <v>0</v>
      </c>
      <c r="BA383" s="1125">
        <f t="shared" si="402"/>
        <v>0</v>
      </c>
      <c r="BB383" s="1125">
        <f t="shared" si="403"/>
        <v>0</v>
      </c>
      <c r="BC383" s="1125">
        <f t="shared" si="404"/>
        <v>0</v>
      </c>
      <c r="BD383" s="1125">
        <f t="shared" si="405"/>
        <v>1</v>
      </c>
      <c r="BE383" s="1125">
        <f t="shared" si="406"/>
        <v>1</v>
      </c>
      <c r="BF383" s="1125">
        <f t="shared" si="407"/>
        <v>1</v>
      </c>
      <c r="BG383" s="1125">
        <f t="shared" si="408"/>
        <v>0</v>
      </c>
      <c r="BH383" s="1125">
        <f t="shared" si="409"/>
        <v>0</v>
      </c>
      <c r="BI383" s="1125">
        <f t="shared" si="410"/>
        <v>0</v>
      </c>
      <c r="BJ383" s="1125">
        <f t="shared" si="411"/>
        <v>0</v>
      </c>
      <c r="BK383" s="1125">
        <f t="shared" si="412"/>
        <v>1</v>
      </c>
      <c r="BL383" s="1125">
        <f t="shared" si="413"/>
        <v>1</v>
      </c>
      <c r="BM383" s="1125">
        <f t="shared" si="414"/>
        <v>1</v>
      </c>
      <c r="BN383" s="1125">
        <f t="shared" si="415"/>
        <v>1</v>
      </c>
      <c r="BO383" s="1125">
        <f t="shared" si="416"/>
        <v>1</v>
      </c>
      <c r="BP383" s="1125">
        <f t="shared" si="417"/>
        <v>1</v>
      </c>
      <c r="BQ383" s="1125">
        <f t="shared" si="418"/>
        <v>0</v>
      </c>
      <c r="BR383" s="1125">
        <f t="shared" si="419"/>
        <v>0</v>
      </c>
      <c r="BS383" s="1125">
        <f t="shared" si="420"/>
        <v>1</v>
      </c>
      <c r="BT383" s="1125">
        <f t="shared" si="421"/>
        <v>1</v>
      </c>
      <c r="BU383" s="1125">
        <f t="shared" si="422"/>
        <v>1</v>
      </c>
      <c r="BV383" s="1125">
        <f t="shared" si="423"/>
        <v>1</v>
      </c>
      <c r="BW383" s="1125">
        <f t="shared" si="424"/>
        <v>0</v>
      </c>
      <c r="BX383" s="1125">
        <f t="shared" si="425"/>
        <v>0</v>
      </c>
      <c r="BY383" s="1125">
        <f t="shared" si="426"/>
        <v>0</v>
      </c>
      <c r="BZ383" s="1125">
        <f t="shared" si="427"/>
        <v>0</v>
      </c>
      <c r="CA383" s="1125">
        <f t="shared" si="428"/>
        <v>1</v>
      </c>
      <c r="CB383" s="1125">
        <f t="shared" si="429"/>
        <v>1</v>
      </c>
      <c r="CC383" s="1125">
        <f t="shared" si="430"/>
        <v>1</v>
      </c>
      <c r="CD383" s="1125">
        <f t="shared" si="431"/>
        <v>1</v>
      </c>
      <c r="CE383" s="1125">
        <f t="shared" si="432"/>
        <v>1</v>
      </c>
      <c r="CF383" s="1125">
        <f t="shared" si="433"/>
        <v>0</v>
      </c>
      <c r="CG383" s="1125">
        <f t="shared" si="434"/>
        <v>0</v>
      </c>
      <c r="CH383" s="1125">
        <f t="shared" si="435"/>
        <v>0</v>
      </c>
      <c r="CI383" s="1125">
        <f t="shared" si="436"/>
        <v>0.85</v>
      </c>
      <c r="CJ383" s="1125">
        <f t="shared" si="437"/>
        <v>0.85</v>
      </c>
      <c r="CK383" s="1125">
        <f t="shared" si="438"/>
        <v>0.85</v>
      </c>
      <c r="CL383" s="1125">
        <f t="shared" si="439"/>
        <v>0.85</v>
      </c>
      <c r="CM383" s="1125">
        <f t="shared" si="440"/>
        <v>0.85</v>
      </c>
      <c r="CN383" s="1125">
        <f t="shared" si="441"/>
        <v>0.85</v>
      </c>
      <c r="CO383" s="1125">
        <f t="shared" si="442"/>
        <v>0.7</v>
      </c>
      <c r="CP383" s="1125">
        <f t="shared" si="443"/>
        <v>0.7</v>
      </c>
      <c r="CQ383" s="1125">
        <f t="shared" si="444"/>
        <v>0.85</v>
      </c>
      <c r="CR383" s="1125">
        <f t="shared" si="445"/>
        <v>0.85</v>
      </c>
      <c r="CS383" s="1125">
        <f t="shared" si="446"/>
        <v>0.85</v>
      </c>
      <c r="CT383" s="1125">
        <f t="shared" si="447"/>
        <v>0.85</v>
      </c>
      <c r="CU383" s="1125">
        <v>1</v>
      </c>
      <c r="CV383" s="1125"/>
      <c r="CW383" s="1125">
        <f t="shared" si="448"/>
        <v>153</v>
      </c>
      <c r="CX383" s="1125">
        <f t="shared" si="449"/>
        <v>212</v>
      </c>
      <c r="CY383" s="1136" t="s">
        <v>4881</v>
      </c>
      <c r="CZ383" s="1129" t="s">
        <v>4885</v>
      </c>
      <c r="DA383" s="1129"/>
      <c r="DB383" s="1129"/>
      <c r="DC383" s="1125" t="s">
        <v>5535</v>
      </c>
      <c r="DD383" s="1125" t="s">
        <v>539</v>
      </c>
      <c r="DE383" s="1120" t="str">
        <f t="shared" si="450"/>
        <v/>
      </c>
      <c r="DF383" s="1133">
        <v>0</v>
      </c>
      <c r="DG383" s="1125">
        <v>0</v>
      </c>
    </row>
    <row r="384" spans="1:111">
      <c r="A384" s="1120" t="s">
        <v>3545</v>
      </c>
      <c r="B384" s="1120" t="s">
        <v>3030</v>
      </c>
      <c r="C384" s="1120" t="s">
        <v>3031</v>
      </c>
      <c r="D384" s="1120" t="s">
        <v>1176</v>
      </c>
      <c r="E384" s="1120">
        <v>1374</v>
      </c>
      <c r="F384" s="1120">
        <v>-93.15</v>
      </c>
      <c r="G384" s="1120">
        <v>36.270000000000003</v>
      </c>
      <c r="H384" s="1120">
        <v>-6</v>
      </c>
      <c r="I384" s="1121">
        <v>15.799999999999999</v>
      </c>
      <c r="J384" s="1121">
        <v>91.4</v>
      </c>
      <c r="K384" s="1122">
        <v>73.939998626708984</v>
      </c>
      <c r="L384" s="1120">
        <v>3709.8</v>
      </c>
      <c r="M384" s="1120">
        <v>1625.4</v>
      </c>
      <c r="N384" s="1123">
        <v>38.299999999999997</v>
      </c>
      <c r="O384" s="1123">
        <v>36.5</v>
      </c>
      <c r="P384" s="1123">
        <v>51.259999656677245</v>
      </c>
      <c r="Q384" s="1123">
        <v>58.280000686645508</v>
      </c>
      <c r="R384" s="1123">
        <v>65.83999862670899</v>
      </c>
      <c r="S384" s="1123">
        <v>71.780000686645508</v>
      </c>
      <c r="T384" s="1123">
        <v>78.8</v>
      </c>
      <c r="U384" s="1123">
        <v>78.980000686645511</v>
      </c>
      <c r="V384" s="1123">
        <v>76.099999999999994</v>
      </c>
      <c r="W384" s="1123">
        <v>55.4</v>
      </c>
      <c r="X384" s="1123">
        <v>50.719999313354492</v>
      </c>
      <c r="Y384" s="1123">
        <v>40.640000343322754</v>
      </c>
      <c r="Z384" s="1123">
        <v>58.669095888529739</v>
      </c>
      <c r="AA384" s="1123">
        <f t="shared" si="376"/>
        <v>53.760862754238708</v>
      </c>
      <c r="AB384" s="1123">
        <f t="shared" si="377"/>
        <v>53.217757606379365</v>
      </c>
      <c r="AC384" s="1123">
        <f t="shared" si="378"/>
        <v>55.659620252227164</v>
      </c>
      <c r="AD384" s="1123">
        <f t="shared" si="379"/>
        <v>60.44994156289944</v>
      </c>
      <c r="AE384" s="1123">
        <f t="shared" si="380"/>
        <v>66.340050467683525</v>
      </c>
      <c r="AF384" s="1123">
        <f t="shared" si="381"/>
        <v>71.79459931122166</v>
      </c>
      <c r="AG384" s="1123">
        <f t="shared" si="382"/>
        <v>75.391775880303555</v>
      </c>
      <c r="AH384" s="1123">
        <f t="shared" si="383"/>
        <v>76.193920668029122</v>
      </c>
      <c r="AI384" s="1123">
        <f t="shared" si="384"/>
        <v>73.99194227405232</v>
      </c>
      <c r="AJ384" s="1123">
        <f t="shared" si="385"/>
        <v>69.35982030027742</v>
      </c>
      <c r="AK384" s="1123">
        <f t="shared" si="386"/>
        <v>63.504988722329216</v>
      </c>
      <c r="AL384" s="1123">
        <f t="shared" si="387"/>
        <v>57.953599616685636</v>
      </c>
      <c r="AM384" s="1120">
        <f t="shared" si="388"/>
        <v>1</v>
      </c>
      <c r="AN384" s="1120">
        <f t="shared" si="389"/>
        <v>1</v>
      </c>
      <c r="AO384" s="1120">
        <f t="shared" si="390"/>
        <v>1</v>
      </c>
      <c r="AP384" s="1120">
        <f t="shared" si="391"/>
        <v>1</v>
      </c>
      <c r="AQ384" s="1120">
        <f t="shared" si="392"/>
        <v>1</v>
      </c>
      <c r="AR384" s="1120">
        <f t="shared" si="393"/>
        <v>0</v>
      </c>
      <c r="AS384" s="1120">
        <f t="shared" si="394"/>
        <v>0</v>
      </c>
      <c r="AT384" s="1120">
        <f t="shared" si="395"/>
        <v>0</v>
      </c>
      <c r="AU384" s="1120">
        <f t="shared" si="396"/>
        <v>0</v>
      </c>
      <c r="AV384" s="1120">
        <f t="shared" si="397"/>
        <v>1</v>
      </c>
      <c r="AW384" s="1120">
        <f t="shared" si="398"/>
        <v>1</v>
      </c>
      <c r="AX384" s="1120">
        <f t="shared" si="399"/>
        <v>1</v>
      </c>
      <c r="AY384" s="1120">
        <f t="shared" si="400"/>
        <v>0</v>
      </c>
      <c r="AZ384" s="1120">
        <f t="shared" si="401"/>
        <v>0</v>
      </c>
      <c r="BA384" s="1120">
        <f t="shared" si="402"/>
        <v>0</v>
      </c>
      <c r="BB384" s="1120">
        <f t="shared" si="403"/>
        <v>0</v>
      </c>
      <c r="BC384" s="1120">
        <f t="shared" si="404"/>
        <v>0</v>
      </c>
      <c r="BD384" s="1120">
        <f t="shared" si="405"/>
        <v>1</v>
      </c>
      <c r="BE384" s="1120">
        <f t="shared" si="406"/>
        <v>1</v>
      </c>
      <c r="BF384" s="1120">
        <f t="shared" si="407"/>
        <v>1</v>
      </c>
      <c r="BG384" s="1120">
        <f t="shared" si="408"/>
        <v>1</v>
      </c>
      <c r="BH384" s="1120">
        <f t="shared" si="409"/>
        <v>0</v>
      </c>
      <c r="BI384" s="1120">
        <f t="shared" si="410"/>
        <v>0</v>
      </c>
      <c r="BJ384" s="1120">
        <f t="shared" si="411"/>
        <v>0</v>
      </c>
      <c r="BK384" s="1120">
        <f t="shared" si="412"/>
        <v>1</v>
      </c>
      <c r="BL384" s="1120">
        <f t="shared" si="413"/>
        <v>1</v>
      </c>
      <c r="BM384" s="1120">
        <f t="shared" si="414"/>
        <v>1</v>
      </c>
      <c r="BN384" s="1120">
        <f t="shared" si="415"/>
        <v>1</v>
      </c>
      <c r="BO384" s="1120">
        <f t="shared" si="416"/>
        <v>1</v>
      </c>
      <c r="BP384" s="1120">
        <f t="shared" si="417"/>
        <v>1</v>
      </c>
      <c r="BQ384" s="1120">
        <f t="shared" si="418"/>
        <v>0</v>
      </c>
      <c r="BR384" s="1120">
        <f t="shared" si="419"/>
        <v>0</v>
      </c>
      <c r="BS384" s="1120">
        <f t="shared" si="420"/>
        <v>0</v>
      </c>
      <c r="BT384" s="1120">
        <f t="shared" si="421"/>
        <v>1</v>
      </c>
      <c r="BU384" s="1120">
        <f t="shared" si="422"/>
        <v>1</v>
      </c>
      <c r="BV384" s="1120">
        <f t="shared" si="423"/>
        <v>1</v>
      </c>
      <c r="BW384" s="1120">
        <f t="shared" si="424"/>
        <v>0</v>
      </c>
      <c r="BX384" s="1120">
        <f t="shared" si="425"/>
        <v>0</v>
      </c>
      <c r="BY384" s="1120">
        <f t="shared" si="426"/>
        <v>0</v>
      </c>
      <c r="BZ384" s="1120">
        <f t="shared" si="427"/>
        <v>0</v>
      </c>
      <c r="CA384" s="1120">
        <f t="shared" si="428"/>
        <v>1</v>
      </c>
      <c r="CB384" s="1120">
        <f t="shared" si="429"/>
        <v>1</v>
      </c>
      <c r="CC384" s="1120">
        <f t="shared" si="430"/>
        <v>1</v>
      </c>
      <c r="CD384" s="1120">
        <f t="shared" si="431"/>
        <v>1</v>
      </c>
      <c r="CE384" s="1120">
        <f t="shared" si="432"/>
        <v>1</v>
      </c>
      <c r="CF384" s="1120">
        <f t="shared" si="433"/>
        <v>1</v>
      </c>
      <c r="CG384" s="1120">
        <f t="shared" si="434"/>
        <v>0</v>
      </c>
      <c r="CH384" s="1120">
        <f t="shared" si="435"/>
        <v>0</v>
      </c>
      <c r="CI384" s="1120">
        <f t="shared" si="436"/>
        <v>0.85</v>
      </c>
      <c r="CJ384" s="1120">
        <f t="shared" si="437"/>
        <v>0.85</v>
      </c>
      <c r="CK384" s="1120">
        <f t="shared" si="438"/>
        <v>0.85</v>
      </c>
      <c r="CL384" s="1120">
        <f t="shared" si="439"/>
        <v>0.85</v>
      </c>
      <c r="CM384" s="1120">
        <f t="shared" si="440"/>
        <v>0.85</v>
      </c>
      <c r="CN384" s="1120">
        <f t="shared" si="441"/>
        <v>0.85</v>
      </c>
      <c r="CO384" s="1120">
        <f t="shared" si="442"/>
        <v>0.7</v>
      </c>
      <c r="CP384" s="1120">
        <f t="shared" si="443"/>
        <v>0.7</v>
      </c>
      <c r="CQ384" s="1120">
        <f t="shared" si="444"/>
        <v>0.7</v>
      </c>
      <c r="CR384" s="1120">
        <f t="shared" si="445"/>
        <v>0.85</v>
      </c>
      <c r="CS384" s="1120">
        <f t="shared" si="446"/>
        <v>0.85</v>
      </c>
      <c r="CT384" s="1120">
        <f t="shared" si="447"/>
        <v>0.85</v>
      </c>
      <c r="CU384" s="1120">
        <v>1</v>
      </c>
      <c r="CV384" s="1120"/>
      <c r="CW384" s="1120">
        <f t="shared" si="448"/>
        <v>184</v>
      </c>
      <c r="CX384" s="1120">
        <f t="shared" si="449"/>
        <v>181</v>
      </c>
      <c r="CY384" s="1135" t="s">
        <v>4881</v>
      </c>
      <c r="CZ384" s="1124" t="s">
        <v>4885</v>
      </c>
      <c r="DA384" s="1124"/>
      <c r="DB384" s="1124"/>
      <c r="DC384" s="1120" t="s">
        <v>4987</v>
      </c>
      <c r="DD384" s="1120" t="s">
        <v>1176</v>
      </c>
      <c r="DE384" s="1120" t="str">
        <f t="shared" si="450"/>
        <v/>
      </c>
      <c r="DF384" s="1120">
        <v>0</v>
      </c>
      <c r="DG384" s="1120">
        <v>0</v>
      </c>
    </row>
    <row r="385" spans="1:111">
      <c r="A385" s="1125" t="s">
        <v>3547</v>
      </c>
      <c r="B385" s="1125" t="s">
        <v>4649</v>
      </c>
      <c r="C385" s="1125" t="s">
        <v>4650</v>
      </c>
      <c r="D385" s="1125" t="s">
        <v>513</v>
      </c>
      <c r="E385" s="1125">
        <v>1246</v>
      </c>
      <c r="F385" s="1125">
        <v>-80.23</v>
      </c>
      <c r="G385" s="1125">
        <v>39.28</v>
      </c>
      <c r="H385" s="1125">
        <v>-5</v>
      </c>
      <c r="I385" s="1126">
        <v>13.819999313354492</v>
      </c>
      <c r="J385" s="1126">
        <v>87.619999313354498</v>
      </c>
      <c r="K385" s="1127">
        <v>72.139998626708987</v>
      </c>
      <c r="L385" s="1125">
        <v>4901.4000000000005</v>
      </c>
      <c r="M385" s="1125">
        <v>901.80000000000007</v>
      </c>
      <c r="N385" s="1128">
        <v>33.799999999999997</v>
      </c>
      <c r="O385" s="1128">
        <v>37.579999828338622</v>
      </c>
      <c r="P385" s="1128">
        <v>46.220000171661376</v>
      </c>
      <c r="Q385" s="1128">
        <v>55.4</v>
      </c>
      <c r="R385" s="1128">
        <v>61.160001373291017</v>
      </c>
      <c r="S385" s="1128">
        <v>69.260001373291018</v>
      </c>
      <c r="T385" s="1128">
        <v>73.039998626708979</v>
      </c>
      <c r="U385" s="1128">
        <v>73.039998626708979</v>
      </c>
      <c r="V385" s="1128">
        <v>68.180000686645513</v>
      </c>
      <c r="W385" s="1128">
        <v>53.240000343322755</v>
      </c>
      <c r="X385" s="1128">
        <v>38.660000085830688</v>
      </c>
      <c r="Y385" s="1128">
        <v>30.740000021457671</v>
      </c>
      <c r="Z385" s="1128">
        <v>53.440219270203215</v>
      </c>
      <c r="AA385" s="1128">
        <f t="shared" si="376"/>
        <v>49.978950306169821</v>
      </c>
      <c r="AB385" s="1128">
        <f t="shared" si="377"/>
        <v>49.014124969091569</v>
      </c>
      <c r="AC385" s="1128">
        <f t="shared" si="378"/>
        <v>50.767021782574716</v>
      </c>
      <c r="AD385" s="1128">
        <f t="shared" si="379"/>
        <v>54.780721179227314</v>
      </c>
      <c r="AE385" s="1128">
        <f t="shared" si="380"/>
        <v>60.008990558331881</v>
      </c>
      <c r="AF385" s="1128">
        <f t="shared" si="381"/>
        <v>65.089000936154846</v>
      </c>
      <c r="AG385" s="1128">
        <f t="shared" si="382"/>
        <v>68.696569322387063</v>
      </c>
      <c r="AH385" s="1128">
        <f t="shared" si="383"/>
        <v>69.891327422845421</v>
      </c>
      <c r="AI385" s="1128">
        <f t="shared" si="384"/>
        <v>68.361843126865836</v>
      </c>
      <c r="AJ385" s="1128">
        <f t="shared" si="385"/>
        <v>64.506800086261819</v>
      </c>
      <c r="AK385" s="1128">
        <f t="shared" si="386"/>
        <v>59.331074677578343</v>
      </c>
      <c r="AL385" s="1128">
        <f t="shared" si="387"/>
        <v>54.183799488931626</v>
      </c>
      <c r="AM385" s="1125">
        <f t="shared" si="388"/>
        <v>1</v>
      </c>
      <c r="AN385" s="1125">
        <f t="shared" si="389"/>
        <v>1</v>
      </c>
      <c r="AO385" s="1125">
        <f t="shared" si="390"/>
        <v>1</v>
      </c>
      <c r="AP385" s="1125">
        <f t="shared" si="391"/>
        <v>1</v>
      </c>
      <c r="AQ385" s="1125">
        <f t="shared" si="392"/>
        <v>1</v>
      </c>
      <c r="AR385" s="1125">
        <f t="shared" si="393"/>
        <v>0</v>
      </c>
      <c r="AS385" s="1125">
        <f t="shared" si="394"/>
        <v>0</v>
      </c>
      <c r="AT385" s="1125">
        <f t="shared" si="395"/>
        <v>0</v>
      </c>
      <c r="AU385" s="1125">
        <f t="shared" si="396"/>
        <v>0</v>
      </c>
      <c r="AV385" s="1125">
        <f t="shared" si="397"/>
        <v>1</v>
      </c>
      <c r="AW385" s="1125">
        <f t="shared" si="398"/>
        <v>1</v>
      </c>
      <c r="AX385" s="1125">
        <f t="shared" si="399"/>
        <v>1</v>
      </c>
      <c r="AY385" s="1125">
        <f t="shared" si="400"/>
        <v>0</v>
      </c>
      <c r="AZ385" s="1125">
        <f t="shared" si="401"/>
        <v>0</v>
      </c>
      <c r="BA385" s="1125">
        <f t="shared" si="402"/>
        <v>0</v>
      </c>
      <c r="BB385" s="1125">
        <f t="shared" si="403"/>
        <v>0</v>
      </c>
      <c r="BC385" s="1125">
        <f t="shared" si="404"/>
        <v>0</v>
      </c>
      <c r="BD385" s="1125">
        <f t="shared" si="405"/>
        <v>1</v>
      </c>
      <c r="BE385" s="1125">
        <f t="shared" si="406"/>
        <v>1</v>
      </c>
      <c r="BF385" s="1125">
        <f t="shared" si="407"/>
        <v>1</v>
      </c>
      <c r="BG385" s="1125">
        <f t="shared" si="408"/>
        <v>1</v>
      </c>
      <c r="BH385" s="1125">
        <f t="shared" si="409"/>
        <v>0</v>
      </c>
      <c r="BI385" s="1125">
        <f t="shared" si="410"/>
        <v>0</v>
      </c>
      <c r="BJ385" s="1125">
        <f t="shared" si="411"/>
        <v>0</v>
      </c>
      <c r="BK385" s="1125">
        <f t="shared" si="412"/>
        <v>1</v>
      </c>
      <c r="BL385" s="1125">
        <f t="shared" si="413"/>
        <v>1</v>
      </c>
      <c r="BM385" s="1125">
        <f t="shared" si="414"/>
        <v>1</v>
      </c>
      <c r="BN385" s="1125">
        <f t="shared" si="415"/>
        <v>1</v>
      </c>
      <c r="BO385" s="1125">
        <f t="shared" si="416"/>
        <v>1</v>
      </c>
      <c r="BP385" s="1125">
        <f t="shared" si="417"/>
        <v>1</v>
      </c>
      <c r="BQ385" s="1125">
        <f t="shared" si="418"/>
        <v>0</v>
      </c>
      <c r="BR385" s="1125">
        <f t="shared" si="419"/>
        <v>0</v>
      </c>
      <c r="BS385" s="1125">
        <f t="shared" si="420"/>
        <v>0</v>
      </c>
      <c r="BT385" s="1125">
        <f t="shared" si="421"/>
        <v>1</v>
      </c>
      <c r="BU385" s="1125">
        <f t="shared" si="422"/>
        <v>1</v>
      </c>
      <c r="BV385" s="1125">
        <f t="shared" si="423"/>
        <v>1</v>
      </c>
      <c r="BW385" s="1125">
        <f t="shared" si="424"/>
        <v>0</v>
      </c>
      <c r="BX385" s="1125">
        <f t="shared" si="425"/>
        <v>0</v>
      </c>
      <c r="BY385" s="1125">
        <f t="shared" si="426"/>
        <v>0</v>
      </c>
      <c r="BZ385" s="1125">
        <f t="shared" si="427"/>
        <v>0</v>
      </c>
      <c r="CA385" s="1125">
        <f t="shared" si="428"/>
        <v>1</v>
      </c>
      <c r="CB385" s="1125">
        <f t="shared" si="429"/>
        <v>1</v>
      </c>
      <c r="CC385" s="1125">
        <f t="shared" si="430"/>
        <v>1</v>
      </c>
      <c r="CD385" s="1125">
        <f t="shared" si="431"/>
        <v>1</v>
      </c>
      <c r="CE385" s="1125">
        <f t="shared" si="432"/>
        <v>1</v>
      </c>
      <c r="CF385" s="1125">
        <f t="shared" si="433"/>
        <v>1</v>
      </c>
      <c r="CG385" s="1125">
        <f t="shared" si="434"/>
        <v>0</v>
      </c>
      <c r="CH385" s="1125">
        <f t="shared" si="435"/>
        <v>0</v>
      </c>
      <c r="CI385" s="1125">
        <f t="shared" si="436"/>
        <v>0.85</v>
      </c>
      <c r="CJ385" s="1125">
        <f t="shared" si="437"/>
        <v>0.85</v>
      </c>
      <c r="CK385" s="1125">
        <f t="shared" si="438"/>
        <v>0.85</v>
      </c>
      <c r="CL385" s="1125">
        <f t="shared" si="439"/>
        <v>0.85</v>
      </c>
      <c r="CM385" s="1125">
        <f t="shared" si="440"/>
        <v>0.85</v>
      </c>
      <c r="CN385" s="1125">
        <f t="shared" si="441"/>
        <v>0.85</v>
      </c>
      <c r="CO385" s="1125">
        <f t="shared" si="442"/>
        <v>0.7</v>
      </c>
      <c r="CP385" s="1125">
        <f t="shared" si="443"/>
        <v>0.7</v>
      </c>
      <c r="CQ385" s="1125">
        <f t="shared" si="444"/>
        <v>0.7</v>
      </c>
      <c r="CR385" s="1125">
        <f t="shared" si="445"/>
        <v>0.85</v>
      </c>
      <c r="CS385" s="1125">
        <f t="shared" si="446"/>
        <v>0.85</v>
      </c>
      <c r="CT385" s="1125">
        <f t="shared" si="447"/>
        <v>0.85</v>
      </c>
      <c r="CU385" s="1125">
        <v>1</v>
      </c>
      <c r="CV385" s="1125"/>
      <c r="CW385" s="1125">
        <f t="shared" si="448"/>
        <v>184</v>
      </c>
      <c r="CX385" s="1125">
        <f t="shared" si="449"/>
        <v>181</v>
      </c>
      <c r="CY385" s="1135" t="s">
        <v>4889</v>
      </c>
      <c r="CZ385" s="1124" t="s">
        <v>4897</v>
      </c>
      <c r="DA385" s="1124"/>
      <c r="DB385" s="1124"/>
      <c r="DC385" s="1120" t="s">
        <v>5690</v>
      </c>
      <c r="DD385" s="1120" t="s">
        <v>513</v>
      </c>
      <c r="DE385" s="1120" t="str">
        <f t="shared" si="450"/>
        <v/>
      </c>
      <c r="DF385" s="1133">
        <v>0</v>
      </c>
      <c r="DG385" s="1125">
        <v>0</v>
      </c>
    </row>
    <row r="386" spans="1:111">
      <c r="A386" s="1120" t="s">
        <v>3549</v>
      </c>
      <c r="B386" s="1125" t="s">
        <v>3254</v>
      </c>
      <c r="C386" s="1125" t="s">
        <v>3255</v>
      </c>
      <c r="D386" s="1125" t="s">
        <v>620</v>
      </c>
      <c r="E386" s="1125">
        <v>161</v>
      </c>
      <c r="F386" s="1125">
        <v>-72.680000000000007</v>
      </c>
      <c r="G386" s="1125">
        <v>41.93</v>
      </c>
      <c r="H386" s="1125">
        <v>-5</v>
      </c>
      <c r="I386" s="1126">
        <v>8.0599996566772454</v>
      </c>
      <c r="J386" s="1126">
        <v>88.33999862670899</v>
      </c>
      <c r="K386" s="1127">
        <v>71.780000686645508</v>
      </c>
      <c r="L386" s="1125">
        <v>5760</v>
      </c>
      <c r="M386" s="1125">
        <v>763.2</v>
      </c>
      <c r="N386" s="1128">
        <v>28.039999914169311</v>
      </c>
      <c r="O386" s="1128">
        <v>29.119999957084655</v>
      </c>
      <c r="P386" s="1128">
        <v>39.920000171661378</v>
      </c>
      <c r="Q386" s="1128">
        <v>50</v>
      </c>
      <c r="R386" s="1128">
        <v>60.440000343322751</v>
      </c>
      <c r="S386" s="1128">
        <v>67.280000686645508</v>
      </c>
      <c r="T386" s="1128">
        <v>74.119999313354498</v>
      </c>
      <c r="U386" s="1128">
        <v>70.7</v>
      </c>
      <c r="V386" s="1128">
        <v>63.139998626708987</v>
      </c>
      <c r="W386" s="1128">
        <v>51.8</v>
      </c>
      <c r="X386" s="1128">
        <v>43.52000017166138</v>
      </c>
      <c r="Y386" s="1128">
        <v>29.119999957084655</v>
      </c>
      <c r="Z386" s="1128">
        <v>50.717534175441692</v>
      </c>
      <c r="AA386" s="1128">
        <f t="shared" si="376"/>
        <v>47.20374314381781</v>
      </c>
      <c r="AB386" s="1128">
        <f t="shared" si="377"/>
        <v>45.958515764956417</v>
      </c>
      <c r="AC386" s="1128">
        <f t="shared" si="378"/>
        <v>47.517792336280479</v>
      </c>
      <c r="AD386" s="1128">
        <f t="shared" si="379"/>
        <v>51.475123390295067</v>
      </c>
      <c r="AE386" s="1128">
        <f t="shared" si="380"/>
        <v>56.798969603453763</v>
      </c>
      <c r="AF386" s="1128">
        <f t="shared" si="381"/>
        <v>62.101588417343166</v>
      </c>
      <c r="AG386" s="1128">
        <f t="shared" si="382"/>
        <v>66.000770522293578</v>
      </c>
      <c r="AH386" s="1128">
        <f t="shared" si="383"/>
        <v>67.480134014434597</v>
      </c>
      <c r="AI386" s="1128">
        <f t="shared" si="384"/>
        <v>66.154060001858142</v>
      </c>
      <c r="AJ386" s="1128">
        <f t="shared" si="385"/>
        <v>62.368210111361392</v>
      </c>
      <c r="AK386" s="1128">
        <f t="shared" si="386"/>
        <v>57.109424458615131</v>
      </c>
      <c r="AL386" s="1128">
        <f t="shared" si="387"/>
        <v>51.74848656434763</v>
      </c>
      <c r="AM386" s="1125">
        <f t="shared" si="388"/>
        <v>1</v>
      </c>
      <c r="AN386" s="1125">
        <f t="shared" si="389"/>
        <v>1</v>
      </c>
      <c r="AO386" s="1125">
        <f t="shared" si="390"/>
        <v>1</v>
      </c>
      <c r="AP386" s="1125">
        <f t="shared" si="391"/>
        <v>1</v>
      </c>
      <c r="AQ386" s="1125">
        <f t="shared" si="392"/>
        <v>1</v>
      </c>
      <c r="AR386" s="1125">
        <f t="shared" si="393"/>
        <v>0</v>
      </c>
      <c r="AS386" s="1125">
        <f t="shared" si="394"/>
        <v>0</v>
      </c>
      <c r="AT386" s="1125">
        <f t="shared" si="395"/>
        <v>0</v>
      </c>
      <c r="AU386" s="1125">
        <f t="shared" si="396"/>
        <v>1</v>
      </c>
      <c r="AV386" s="1125">
        <f t="shared" si="397"/>
        <v>1</v>
      </c>
      <c r="AW386" s="1125">
        <f t="shared" si="398"/>
        <v>1</v>
      </c>
      <c r="AX386" s="1125">
        <f t="shared" si="399"/>
        <v>1</v>
      </c>
      <c r="AY386" s="1125">
        <f t="shared" si="400"/>
        <v>0</v>
      </c>
      <c r="AZ386" s="1125">
        <f t="shared" si="401"/>
        <v>0</v>
      </c>
      <c r="BA386" s="1125">
        <f t="shared" si="402"/>
        <v>0</v>
      </c>
      <c r="BB386" s="1125">
        <f t="shared" si="403"/>
        <v>0</v>
      </c>
      <c r="BC386" s="1125">
        <f t="shared" si="404"/>
        <v>0</v>
      </c>
      <c r="BD386" s="1125">
        <f t="shared" si="405"/>
        <v>1</v>
      </c>
      <c r="BE386" s="1125">
        <f t="shared" si="406"/>
        <v>1</v>
      </c>
      <c r="BF386" s="1125">
        <f t="shared" si="407"/>
        <v>1</v>
      </c>
      <c r="BG386" s="1125">
        <f t="shared" si="408"/>
        <v>0</v>
      </c>
      <c r="BH386" s="1125">
        <f t="shared" si="409"/>
        <v>0</v>
      </c>
      <c r="BI386" s="1125">
        <f t="shared" si="410"/>
        <v>0</v>
      </c>
      <c r="BJ386" s="1125">
        <f t="shared" si="411"/>
        <v>0</v>
      </c>
      <c r="BK386" s="1125">
        <f t="shared" si="412"/>
        <v>1</v>
      </c>
      <c r="BL386" s="1125">
        <f t="shared" si="413"/>
        <v>1</v>
      </c>
      <c r="BM386" s="1125">
        <f t="shared" si="414"/>
        <v>1</v>
      </c>
      <c r="BN386" s="1125">
        <f t="shared" si="415"/>
        <v>1</v>
      </c>
      <c r="BO386" s="1125">
        <f t="shared" si="416"/>
        <v>1</v>
      </c>
      <c r="BP386" s="1125">
        <f t="shared" si="417"/>
        <v>1</v>
      </c>
      <c r="BQ386" s="1125">
        <f t="shared" si="418"/>
        <v>0</v>
      </c>
      <c r="BR386" s="1125">
        <f t="shared" si="419"/>
        <v>0</v>
      </c>
      <c r="BS386" s="1125">
        <f t="shared" si="420"/>
        <v>1</v>
      </c>
      <c r="BT386" s="1125">
        <f t="shared" si="421"/>
        <v>1</v>
      </c>
      <c r="BU386" s="1125">
        <f t="shared" si="422"/>
        <v>1</v>
      </c>
      <c r="BV386" s="1125">
        <f t="shared" si="423"/>
        <v>1</v>
      </c>
      <c r="BW386" s="1125">
        <f t="shared" si="424"/>
        <v>0</v>
      </c>
      <c r="BX386" s="1125">
        <f t="shared" si="425"/>
        <v>0</v>
      </c>
      <c r="BY386" s="1125">
        <f t="shared" si="426"/>
        <v>0</v>
      </c>
      <c r="BZ386" s="1125">
        <f t="shared" si="427"/>
        <v>0</v>
      </c>
      <c r="CA386" s="1125">
        <f t="shared" si="428"/>
        <v>1</v>
      </c>
      <c r="CB386" s="1125">
        <f t="shared" si="429"/>
        <v>1</v>
      </c>
      <c r="CC386" s="1125">
        <f t="shared" si="430"/>
        <v>1</v>
      </c>
      <c r="CD386" s="1125">
        <f t="shared" si="431"/>
        <v>1</v>
      </c>
      <c r="CE386" s="1125">
        <f t="shared" si="432"/>
        <v>1</v>
      </c>
      <c r="CF386" s="1125">
        <f t="shared" si="433"/>
        <v>0</v>
      </c>
      <c r="CG386" s="1125">
        <f t="shared" si="434"/>
        <v>0</v>
      </c>
      <c r="CH386" s="1125">
        <f t="shared" si="435"/>
        <v>0</v>
      </c>
      <c r="CI386" s="1125">
        <f t="shared" si="436"/>
        <v>0.85</v>
      </c>
      <c r="CJ386" s="1125">
        <f t="shared" si="437"/>
        <v>0.85</v>
      </c>
      <c r="CK386" s="1125">
        <f t="shared" si="438"/>
        <v>0.85</v>
      </c>
      <c r="CL386" s="1125">
        <f t="shared" si="439"/>
        <v>0.85</v>
      </c>
      <c r="CM386" s="1125">
        <f t="shared" si="440"/>
        <v>0.85</v>
      </c>
      <c r="CN386" s="1125">
        <f t="shared" si="441"/>
        <v>0.85</v>
      </c>
      <c r="CO386" s="1125">
        <f t="shared" si="442"/>
        <v>0.7</v>
      </c>
      <c r="CP386" s="1125">
        <f t="shared" si="443"/>
        <v>0.7</v>
      </c>
      <c r="CQ386" s="1125">
        <f t="shared" si="444"/>
        <v>0.85</v>
      </c>
      <c r="CR386" s="1125">
        <f t="shared" si="445"/>
        <v>0.85</v>
      </c>
      <c r="CS386" s="1125">
        <f t="shared" si="446"/>
        <v>0.85</v>
      </c>
      <c r="CT386" s="1125">
        <f t="shared" si="447"/>
        <v>0.85</v>
      </c>
      <c r="CU386" s="1125">
        <v>1</v>
      </c>
      <c r="CV386" s="1125"/>
      <c r="CW386" s="1125">
        <f t="shared" si="448"/>
        <v>153</v>
      </c>
      <c r="CX386" s="1125">
        <f t="shared" si="449"/>
        <v>212</v>
      </c>
      <c r="CY386" s="1136" t="s">
        <v>4889</v>
      </c>
      <c r="CZ386" s="1129" t="s">
        <v>4897</v>
      </c>
      <c r="DA386" s="1129"/>
      <c r="DB386" s="1129"/>
      <c r="DC386" s="1125" t="s">
        <v>5086</v>
      </c>
      <c r="DD386" s="1125" t="s">
        <v>620</v>
      </c>
      <c r="DE386" s="1120" t="str">
        <f t="shared" si="450"/>
        <v/>
      </c>
      <c r="DF386" s="1133">
        <v>0</v>
      </c>
      <c r="DG386" s="1120">
        <v>0</v>
      </c>
    </row>
    <row r="387" spans="1:111">
      <c r="A387" s="1125" t="s">
        <v>3551</v>
      </c>
      <c r="B387" s="1120" t="s">
        <v>3256</v>
      </c>
      <c r="C387" s="1120" t="s">
        <v>3257</v>
      </c>
      <c r="D387" s="1120" t="s">
        <v>620</v>
      </c>
      <c r="E387" s="1120">
        <v>20</v>
      </c>
      <c r="F387" s="1120">
        <v>-72.650000000000006</v>
      </c>
      <c r="G387" s="1120">
        <v>41.73</v>
      </c>
      <c r="H387" s="1120">
        <v>-5</v>
      </c>
      <c r="I387" s="1121">
        <v>10.580000686645507</v>
      </c>
      <c r="J387" s="1121">
        <v>87.8</v>
      </c>
      <c r="K387" s="1122">
        <v>72.680000686645513</v>
      </c>
      <c r="L387" s="1120">
        <v>5326.2</v>
      </c>
      <c r="M387" s="1120">
        <v>673.2</v>
      </c>
      <c r="N387" s="1123">
        <v>25.879999828338622</v>
      </c>
      <c r="O387" s="1123">
        <v>30.2</v>
      </c>
      <c r="P387" s="1123">
        <v>40.820000171661377</v>
      </c>
      <c r="Q387" s="1123">
        <v>50.719999313354492</v>
      </c>
      <c r="R387" s="1123">
        <v>60.080000686645505</v>
      </c>
      <c r="S387" s="1123">
        <v>68.719999313354492</v>
      </c>
      <c r="T387" s="1123">
        <v>70.33999862670899</v>
      </c>
      <c r="U387" s="1123">
        <v>69.619999313354498</v>
      </c>
      <c r="V387" s="1123">
        <v>64.400000000000006</v>
      </c>
      <c r="W387" s="1123">
        <v>52.7</v>
      </c>
      <c r="X387" s="1123">
        <v>47.480000686645511</v>
      </c>
      <c r="Y387" s="1123">
        <v>37.4</v>
      </c>
      <c r="Z387" s="1123">
        <v>51.63627379953045</v>
      </c>
      <c r="AA387" s="1123">
        <f t="shared" ref="AA387:AA450" si="451">MAX($Z387+6+(0.4+0.01*($Z387-44))*(MAX($N387:$Y387)-MIN($N387:$Y387))/2*SIN((0.986*((1*30-15)-15-(35-1*($Z387-44)))-90)*PI()/180),32)</f>
        <v>48.199297147271722</v>
      </c>
      <c r="AB387" s="1123">
        <f t="shared" ref="AB387:AB450" si="452">MAX($Z387+6+(0.4+0.01*($Z387-44))*(MAX($N387:$Y387)-MIN($N387:$Y387))/2*SIN((0.986*((2*30-15)-15-(35-1*($Z387-44)))-90)*PI()/180),32)</f>
        <v>47.05762630080639</v>
      </c>
      <c r="AC387" s="1123">
        <f t="shared" ref="AC387:AC450" si="453">MAX($Z387+6+(0.4+0.01*($Z387-44))*(MAX($N387:$Y387)-MIN($N387:$Y387))/2*SIN((0.986*((3*30-15)-15-(35-1*($Z387-44)))-90)*PI()/180),32)</f>
        <v>48.673442946776071</v>
      </c>
      <c r="AD387" s="1123">
        <f t="shared" ref="AD387:AD450" si="454">MAX($Z387+6+(0.4+0.01*($Z387-44))*(MAX($N387:$Y387)-MIN($N387:$Y387))/2*SIN((0.986*((4*30-15)-15-(35-1*($Z387-44)))-90)*PI()/180),32)</f>
        <v>52.625559575920519</v>
      </c>
      <c r="AE387" s="1123">
        <f t="shared" ref="AE387:AE450" si="455">MAX($Z387+6+(0.4+0.01*($Z387-44))*(MAX($N387:$Y387)-MIN($N387:$Y387))/2*SIN((0.986*((5*30-15)-15-(35-1*($Z387-44)))-90)*PI()/180),32)</f>
        <v>57.883796084892431</v>
      </c>
      <c r="AF387" s="1123">
        <f t="shared" ref="AF387:AF450" si="456">MAX($Z387+6+(0.4+0.01*($Z387-44))*(MAX($N387:$Y387)-MIN($N387:$Y387))/2*SIN((0.986*((6*30-15)-15-(35-1*($Z387-44)))-90)*PI()/180),32)</f>
        <v>63.077512095750862</v>
      </c>
      <c r="AG387" s="1123">
        <f t="shared" ref="AG387:AG450" si="457">MAX($Z387+6+(0.4+0.01*($Z387-44))*(MAX($N387:$Y387)-MIN($N387:$Y387))/2*SIN((0.986*((7*30-15)-15-(35-1*($Z387-44)))-90)*PI()/180),32)</f>
        <v>66.852885492679121</v>
      </c>
      <c r="AH387" s="1123">
        <f t="shared" ref="AH387:AH450" si="458">MAX($Z387+6+(0.4+0.01*($Z387-44))*(MAX($N387:$Y387)-MIN($N387:$Y387))/2*SIN((0.986*((8*30-15)-15-(35-1*($Z387-44)))-90)*PI()/180),32)</f>
        <v>68.22580701950271</v>
      </c>
      <c r="AI387" s="1123">
        <f t="shared" ref="AI387:AI450" si="459">MAX($Z387+6+(0.4+0.01*($Z387-44))*(MAX($N387:$Y387)-MIN($N387:$Y387))/2*SIN((0.986*((9*30-15)-15-(35-1*($Z387-44)))-90)*PI()/180),32)</f>
        <v>66.838403522893898</v>
      </c>
      <c r="AJ387" s="1123">
        <f t="shared" ref="AJ387:AJ450" si="460">MAX($Z387+6+(0.4+0.01*($Z387-44))*(MAX($N387:$Y387)-MIN($N387:$Y387))/2*SIN((0.986*((10*30-15)-15-(35-1*($Z387-44)))-90)*PI()/180),32)</f>
        <v>63.052323104778843</v>
      </c>
      <c r="AK387" s="1123">
        <f t="shared" ref="AK387:AK450" si="461">MAX($Z387+6+(0.4+0.01*($Z387-44))*(MAX($N387:$Y387)-MIN($N387:$Y387))/2*SIN((0.986*((11*30-15)-15-(35-1*($Z387-44)))-90)*PI()/180),32)</f>
        <v>57.854465971404565</v>
      </c>
      <c r="AL387" s="1123">
        <f t="shared" ref="AL387:AL450" si="462">MAX($Z387+6+(0.4+0.01*($Z387-44))*(MAX($N387:$Y387)-MIN($N387:$Y387))/2*SIN((0.986*((12*30-15)-15-(35-1*($Z387-44)))-90)*PI()/180),32)</f>
        <v>52.599733685988156</v>
      </c>
      <c r="AM387" s="1120">
        <f t="shared" ref="AM387:AM450" si="463">IF(AND(OR(LEFT(AM$1,3)="Jan",LEFT(AM$1,3)="Dec"),I387&lt;59),1,IF(N387&lt;66,1,0))</f>
        <v>1</v>
      </c>
      <c r="AN387" s="1120">
        <f t="shared" ref="AN387:AN450" si="464">IF(AND(OR(LEFT(AN$1,3)="Jan",LEFT(AN$1,3)="Dec"),J387&lt;59),1,IF(O387&lt;66,1,0))</f>
        <v>1</v>
      </c>
      <c r="AO387" s="1120">
        <f t="shared" ref="AO387:AO450" si="465">IF(AND(OR(LEFT(AO$1,3)="Jan",LEFT(AO$1,3)="Dec"),K387&lt;59),1,IF(P387&lt;66,1,0))</f>
        <v>1</v>
      </c>
      <c r="AP387" s="1120">
        <f t="shared" ref="AP387:AP450" si="466">IF(AND(OR(LEFT(AP$1,3)="Jan",LEFT(AP$1,3)="Dec"),L387&lt;59),1,IF(Q387&lt;66,1,0))</f>
        <v>1</v>
      </c>
      <c r="AQ387" s="1120">
        <f t="shared" ref="AQ387:AQ450" si="467">IF(AND(OR(LEFT(AQ$1,3)="Jan",LEFT(AQ$1,3)="Dec"),M387&lt;59),1,IF(R387&lt;66,1,0))</f>
        <v>1</v>
      </c>
      <c r="AR387" s="1120">
        <f t="shared" ref="AR387:AR450" si="468">IF(AND(OR(LEFT(AR$1,3)="Jan",LEFT(AR$1,3)="Dec"),N387&lt;59),1,IF(S387&lt;66,1,0))</f>
        <v>0</v>
      </c>
      <c r="AS387" s="1120">
        <f t="shared" ref="AS387:AS450" si="469">IF(AND(OR(LEFT(AS$1,3)="Jan",LEFT(AS$1,3)="Dec"),O387&lt;59),1,IF(T387&lt;66,1,0))</f>
        <v>0</v>
      </c>
      <c r="AT387" s="1120">
        <f t="shared" ref="AT387:AT450" si="470">IF(AND(OR(LEFT(AT$1,3)="Jan",LEFT(AT$1,3)="Dec"),P387&lt;59),1,IF(U387&lt;66,1,0))</f>
        <v>0</v>
      </c>
      <c r="AU387" s="1120">
        <f t="shared" ref="AU387:AU450" si="471">IF(AND(OR(LEFT(AU$1,3)="Jan",LEFT(AU$1,3)="Dec"),Q387&lt;59),1,IF(V387&lt;66,1,0))</f>
        <v>1</v>
      </c>
      <c r="AV387" s="1120">
        <f t="shared" ref="AV387:AV450" si="472">IF(AND(OR(LEFT(AV$1,3)="Jan",LEFT(AV$1,3)="Dec"),R387&lt;59),1,IF(W387&lt;66,1,0))</f>
        <v>1</v>
      </c>
      <c r="AW387" s="1120">
        <f t="shared" ref="AW387:AW450" si="473">IF(AND(OR(LEFT(AW$1,3)="Jan",LEFT(AW$1,3)="Dec"),S387&lt;59),1,IF(X387&lt;66,1,0))</f>
        <v>1</v>
      </c>
      <c r="AX387" s="1120">
        <f t="shared" ref="AX387:AX450" si="474">IF(AND(OR(LEFT(AX$1,3)="Jan",LEFT(AX$1,3)="Dec"),T387&lt;59),1,IF(Y387&lt;66,1,0))</f>
        <v>1</v>
      </c>
      <c r="AY387" s="1120">
        <f t="shared" ref="AY387:AY450" si="475">IF(OR(LEFT(AY$1,3)="Jul", LEFT(AY$1,3)="Aug"),1,IF(N387&gt;66,1,0))</f>
        <v>0</v>
      </c>
      <c r="AZ387" s="1120">
        <f t="shared" ref="AZ387:AZ450" si="476">IF(OR(LEFT(AZ$1,3)="Jul", LEFT(AZ$1,3)="Aug"),1,IF(O387&gt;66,1,0))</f>
        <v>0</v>
      </c>
      <c r="BA387" s="1120">
        <f t="shared" ref="BA387:BA450" si="477">IF(OR(LEFT(BA$1,3)="Jul", LEFT(BA$1,3)="Aug"),1,IF(P387&gt;66,1,0))</f>
        <v>0</v>
      </c>
      <c r="BB387" s="1120">
        <f t="shared" ref="BB387:BB450" si="478">IF(OR(LEFT(BB$1,3)="Jul", LEFT(BB$1,3)="Aug"),1,IF(Q387&gt;66,1,0))</f>
        <v>0</v>
      </c>
      <c r="BC387" s="1120">
        <f t="shared" ref="BC387:BC450" si="479">IF(OR(LEFT(BC$1,3)="Jul", LEFT(BC$1,3)="Aug"),1,IF(R387&gt;66,1,0))</f>
        <v>0</v>
      </c>
      <c r="BD387" s="1120">
        <f t="shared" ref="BD387:BD450" si="480">IF(OR(LEFT(BD$1,3)="Jul", LEFT(BD$1,3)="Aug"),1,IF(S387&gt;66,1,0))</f>
        <v>1</v>
      </c>
      <c r="BE387" s="1120">
        <f t="shared" ref="BE387:BE450" si="481">IF(OR(LEFT(BE$1,3)="Jul", LEFT(BE$1,3)="Aug"),1,IF(T387&gt;66,1,0))</f>
        <v>1</v>
      </c>
      <c r="BF387" s="1120">
        <f t="shared" ref="BF387:BF450" si="482">IF(OR(LEFT(BF$1,3)="Jul", LEFT(BF$1,3)="Aug"),1,IF(U387&gt;66,1,0))</f>
        <v>1</v>
      </c>
      <c r="BG387" s="1120">
        <f t="shared" ref="BG387:BG450" si="483">IF(OR(LEFT(BG$1,3)="Jul", LEFT(BG$1,3)="Aug"),1,IF(V387&gt;66,1,0))</f>
        <v>0</v>
      </c>
      <c r="BH387" s="1120">
        <f t="shared" ref="BH387:BH450" si="484">IF(OR(LEFT(BH$1,3)="Jul", LEFT(BH$1,3)="Aug"),1,IF(W387&gt;66,1,0))</f>
        <v>0</v>
      </c>
      <c r="BI387" s="1120">
        <f t="shared" ref="BI387:BI450" si="485">IF(OR(LEFT(BI$1,3)="Jul", LEFT(BI$1,3)="Aug"),1,IF(X387&gt;66,1,0))</f>
        <v>0</v>
      </c>
      <c r="BJ387" s="1120">
        <f t="shared" ref="BJ387:BJ450" si="486">IF(OR(LEFT(BJ$1,3)="Jul", LEFT(BJ$1,3)="Aug"),1,IF(Y387&gt;66,1,0))</f>
        <v>0</v>
      </c>
      <c r="BK387" s="1120">
        <f t="shared" ref="BK387:BK450" si="487">IF(AND(AY387=1,BJ387=0),1,AM387)</f>
        <v>1</v>
      </c>
      <c r="BL387" s="1120">
        <f t="shared" ref="BL387:BL450" si="488">IF(AND(AY387=0,AZ387=1),1,AN387)</f>
        <v>1</v>
      </c>
      <c r="BM387" s="1120">
        <f t="shared" ref="BM387:BM450" si="489">IF(AND(AZ387=0,BA387=1),1,AO387)</f>
        <v>1</v>
      </c>
      <c r="BN387" s="1120">
        <f t="shared" ref="BN387:BN450" si="490">IF(AND(BA387=0,BB387=1),1,AP387)</f>
        <v>1</v>
      </c>
      <c r="BO387" s="1120">
        <f t="shared" ref="BO387:BO450" si="491">IF(AND(BB387=0,BC387=1),1,AQ387)</f>
        <v>1</v>
      </c>
      <c r="BP387" s="1120">
        <f t="shared" ref="BP387:BP450" si="492">IF(AND(BC387=0,BD387=1),1,AR387)</f>
        <v>1</v>
      </c>
      <c r="BQ387" s="1120">
        <f t="shared" ref="BQ387:BQ450" si="493">IF(AND(BD387=0,BE387=1),1,AS387)</f>
        <v>0</v>
      </c>
      <c r="BR387" s="1120">
        <f t="shared" ref="BR387:BR450" si="494">IF(AND(BE387=0,BF387=1),1,AT387)</f>
        <v>0</v>
      </c>
      <c r="BS387" s="1120">
        <f t="shared" ref="BS387:BS450" si="495">IF(AND(BF387=0,BG387=1),1,AU387)</f>
        <v>1</v>
      </c>
      <c r="BT387" s="1120">
        <f t="shared" ref="BT387:BT450" si="496">IF(AND(BG387=0,BH387=1),1,AV387)</f>
        <v>1</v>
      </c>
      <c r="BU387" s="1120">
        <f t="shared" ref="BU387:BU450" si="497">IF(AND(BH387=0,BI387=1),1,AW387)</f>
        <v>1</v>
      </c>
      <c r="BV387" s="1120">
        <f t="shared" ref="BV387:BV450" si="498">IF(AND(BI387=0,BJ387=1),1,AX387)</f>
        <v>1</v>
      </c>
      <c r="BW387" s="1120">
        <f t="shared" ref="BW387:BW450" si="499">IF(OR(AND(AX387=0,AM387=1),AND(AM387=1,AN387=0)),1,AY387)</f>
        <v>0</v>
      </c>
      <c r="BX387" s="1120">
        <f t="shared" ref="BX387:BX450" si="500">IF(OR(AND(AM387=0,AN387=1),AND(AN387=1,AO387=0)),1,AZ387)</f>
        <v>0</v>
      </c>
      <c r="BY387" s="1120">
        <f t="shared" ref="BY387:BY450" si="501">IF(OR(AND(AN387=0,AO387=1),AND(AO387=1,AP387=0)),1,BA387)</f>
        <v>0</v>
      </c>
      <c r="BZ387" s="1120">
        <f t="shared" ref="BZ387:BZ450" si="502">IF(OR(AND(AO387=0,AP387=1),AND(AP387=1,AQ387=0)),1,BB387)</f>
        <v>0</v>
      </c>
      <c r="CA387" s="1120">
        <f t="shared" ref="CA387:CA450" si="503">IF(OR(AND(AP387=0,AQ387=1),AND(AQ387=1,AR387=0)),1,BC387)</f>
        <v>1</v>
      </c>
      <c r="CB387" s="1120">
        <f t="shared" ref="CB387:CB450" si="504">IF(OR(AND(AQ387=0,AR387=1),AND(AR387=1,AS387=0)),1,BD387)</f>
        <v>1</v>
      </c>
      <c r="CC387" s="1120">
        <f t="shared" ref="CC387:CC450" si="505">IF(OR(AND(AR387=0,AS387=1),AND(AS387=1,AT387=0)),1,BE387)</f>
        <v>1</v>
      </c>
      <c r="CD387" s="1120">
        <f t="shared" ref="CD387:CD450" si="506">IF(OR(AND(AS387=0,AT387=1),AND(AT387=1,AU387=0)),1,BF387)</f>
        <v>1</v>
      </c>
      <c r="CE387" s="1120">
        <f t="shared" ref="CE387:CE450" si="507">IF(OR(AND(AT387=0,AU387=1),AND(AU387=1,AV387=0)),1,BG387)</f>
        <v>1</v>
      </c>
      <c r="CF387" s="1120">
        <f t="shared" ref="CF387:CF450" si="508">IF(OR(AND(AU387=0,AV387=1),AND(AV387=1,AW387=0)),1,BH387)</f>
        <v>0</v>
      </c>
      <c r="CG387" s="1120">
        <f t="shared" ref="CG387:CG450" si="509">IF(OR(AND(AV387=0,AW387=1),AND(AW387=1,AX387=0)),1,BI387)</f>
        <v>0</v>
      </c>
      <c r="CH387" s="1120">
        <f t="shared" ref="CH387:CH450" si="510">IF(OR(AND(AW387=0,AX387=1),AND(AX387=1,AM387=0)),1,BJ387)</f>
        <v>0</v>
      </c>
      <c r="CI387" s="1120">
        <f t="shared" ref="CI387:CI450" si="511">IF(BK387=1,0.85,0.7)</f>
        <v>0.85</v>
      </c>
      <c r="CJ387" s="1120">
        <f t="shared" ref="CJ387:CJ450" si="512">IF(BL387=1,0.85,0.7)</f>
        <v>0.85</v>
      </c>
      <c r="CK387" s="1120">
        <f t="shared" ref="CK387:CK450" si="513">IF(BM387=1,0.85,0.7)</f>
        <v>0.85</v>
      </c>
      <c r="CL387" s="1120">
        <f t="shared" ref="CL387:CL450" si="514">IF(BN387=1,0.85,0.7)</f>
        <v>0.85</v>
      </c>
      <c r="CM387" s="1120">
        <f t="shared" ref="CM387:CM450" si="515">IF(BO387=1,0.85,0.7)</f>
        <v>0.85</v>
      </c>
      <c r="CN387" s="1120">
        <f t="shared" ref="CN387:CN450" si="516">IF(BP387=1,0.85,0.7)</f>
        <v>0.85</v>
      </c>
      <c r="CO387" s="1120">
        <f t="shared" ref="CO387:CO450" si="517">IF(BQ387=1,0.85,0.7)</f>
        <v>0.7</v>
      </c>
      <c r="CP387" s="1120">
        <f t="shared" ref="CP387:CP450" si="518">IF(BR387=1,0.85,0.7)</f>
        <v>0.7</v>
      </c>
      <c r="CQ387" s="1120">
        <f t="shared" ref="CQ387:CQ450" si="519">IF(BS387=1,0.85,0.7)</f>
        <v>0.85</v>
      </c>
      <c r="CR387" s="1120">
        <f t="shared" ref="CR387:CR450" si="520">IF(BT387=1,0.85,0.7)</f>
        <v>0.85</v>
      </c>
      <c r="CS387" s="1120">
        <f t="shared" ref="CS387:CS450" si="521">IF(BU387=1,0.85,0.7)</f>
        <v>0.85</v>
      </c>
      <c r="CT387" s="1120">
        <f t="shared" ref="CT387:CT450" si="522">IF(BV387=1,0.85,0.7)</f>
        <v>0.85</v>
      </c>
      <c r="CU387" s="1120">
        <v>1</v>
      </c>
      <c r="CV387" s="1120"/>
      <c r="CW387" s="1120">
        <f t="shared" ref="CW387:CW450" si="523">BW387*31+BX387*28+BY387*31+BZ387*30+CA387*31+CB387*30+CC387*31+CD387*31+CE387*30+CF387*31+CG387*30+CH387*31</f>
        <v>153</v>
      </c>
      <c r="CX387" s="1120">
        <f t="shared" ref="CX387:CX450" si="524">365-CW387</f>
        <v>212</v>
      </c>
      <c r="CY387" s="1135" t="s">
        <v>4889</v>
      </c>
      <c r="CZ387" s="1124" t="s">
        <v>4897</v>
      </c>
      <c r="DA387" s="1124"/>
      <c r="DB387" s="1124"/>
      <c r="DC387" s="1120" t="s">
        <v>5087</v>
      </c>
      <c r="DD387" s="1120" t="s">
        <v>620</v>
      </c>
      <c r="DE387" s="1120" t="str">
        <f t="shared" si="450"/>
        <v/>
      </c>
      <c r="DF387" s="1133">
        <v>0</v>
      </c>
      <c r="DG387" s="1125">
        <v>0</v>
      </c>
    </row>
    <row r="388" spans="1:111">
      <c r="A388" s="1120" t="s">
        <v>3553</v>
      </c>
      <c r="B388" s="1120" t="s">
        <v>4008</v>
      </c>
      <c r="C388" s="1120" t="s">
        <v>4009</v>
      </c>
      <c r="D388" s="1120" t="s">
        <v>771</v>
      </c>
      <c r="E388" s="1120">
        <v>1955</v>
      </c>
      <c r="F388" s="1120">
        <v>-98.43</v>
      </c>
      <c r="G388" s="1120">
        <v>40.6</v>
      </c>
      <c r="H388" s="1120">
        <v>-6</v>
      </c>
      <c r="I388" s="1121">
        <v>1.7600013732910149</v>
      </c>
      <c r="J388" s="1121">
        <v>92.83999862670899</v>
      </c>
      <c r="K388" s="1122">
        <v>73.219999313354492</v>
      </c>
      <c r="L388" s="1120">
        <v>6012</v>
      </c>
      <c r="M388" s="1120">
        <v>1155.6000000000001</v>
      </c>
      <c r="N388" s="1123">
        <v>25.160000085830688</v>
      </c>
      <c r="O388" s="1123">
        <v>22.279999828338624</v>
      </c>
      <c r="P388" s="1123">
        <v>39.559999656677249</v>
      </c>
      <c r="Q388" s="1123">
        <v>52.340000343322757</v>
      </c>
      <c r="R388" s="1123">
        <v>62.239998626708989</v>
      </c>
      <c r="S388" s="1123">
        <v>71.599999999999994</v>
      </c>
      <c r="T388" s="1123">
        <v>79.16000137329101</v>
      </c>
      <c r="U388" s="1123">
        <v>72.319999313354487</v>
      </c>
      <c r="V388" s="1123">
        <v>64.400000000000006</v>
      </c>
      <c r="W388" s="1123">
        <v>52.880000686645509</v>
      </c>
      <c r="X388" s="1123">
        <v>36.860000085830691</v>
      </c>
      <c r="Y388" s="1123">
        <v>32.180000002682206</v>
      </c>
      <c r="Z388" s="1123">
        <v>51.091342466216382</v>
      </c>
      <c r="AA388" s="1123">
        <f t="shared" si="451"/>
        <v>45.213739651996583</v>
      </c>
      <c r="AB388" s="1123">
        <f t="shared" si="452"/>
        <v>43.707236972214154</v>
      </c>
      <c r="AC388" s="1123">
        <f t="shared" si="453"/>
        <v>45.689507644752368</v>
      </c>
      <c r="AD388" s="1123">
        <f t="shared" si="454"/>
        <v>50.643842271098393</v>
      </c>
      <c r="AE388" s="1123">
        <f t="shared" si="455"/>
        <v>57.278817182287504</v>
      </c>
      <c r="AF388" s="1123">
        <f t="shared" si="456"/>
        <v>63.864923919659851</v>
      </c>
      <c r="AG388" s="1123">
        <f t="shared" si="457"/>
        <v>68.685392267142277</v>
      </c>
      <c r="AH388" s="1123">
        <f t="shared" si="458"/>
        <v>70.483692864297652</v>
      </c>
      <c r="AI388" s="1123">
        <f t="shared" si="459"/>
        <v>68.79107094782637</v>
      </c>
      <c r="AJ388" s="1123">
        <f t="shared" si="460"/>
        <v>64.048734504349952</v>
      </c>
      <c r="AK388" s="1123">
        <f t="shared" si="461"/>
        <v>57.492846609477304</v>
      </c>
      <c r="AL388" s="1123">
        <f t="shared" si="462"/>
        <v>50.832300472297547</v>
      </c>
      <c r="AM388" s="1120">
        <f t="shared" si="463"/>
        <v>1</v>
      </c>
      <c r="AN388" s="1120">
        <f t="shared" si="464"/>
        <v>1</v>
      </c>
      <c r="AO388" s="1120">
        <f t="shared" si="465"/>
        <v>1</v>
      </c>
      <c r="AP388" s="1120">
        <f t="shared" si="466"/>
        <v>1</v>
      </c>
      <c r="AQ388" s="1120">
        <f t="shared" si="467"/>
        <v>1</v>
      </c>
      <c r="AR388" s="1120">
        <f t="shared" si="468"/>
        <v>0</v>
      </c>
      <c r="AS388" s="1120">
        <f t="shared" si="469"/>
        <v>0</v>
      </c>
      <c r="AT388" s="1120">
        <f t="shared" si="470"/>
        <v>0</v>
      </c>
      <c r="AU388" s="1120">
        <f t="shared" si="471"/>
        <v>1</v>
      </c>
      <c r="AV388" s="1120">
        <f t="shared" si="472"/>
        <v>1</v>
      </c>
      <c r="AW388" s="1120">
        <f t="shared" si="473"/>
        <v>1</v>
      </c>
      <c r="AX388" s="1120">
        <f t="shared" si="474"/>
        <v>1</v>
      </c>
      <c r="AY388" s="1120">
        <f t="shared" si="475"/>
        <v>0</v>
      </c>
      <c r="AZ388" s="1120">
        <f t="shared" si="476"/>
        <v>0</v>
      </c>
      <c r="BA388" s="1120">
        <f t="shared" si="477"/>
        <v>0</v>
      </c>
      <c r="BB388" s="1120">
        <f t="shared" si="478"/>
        <v>0</v>
      </c>
      <c r="BC388" s="1120">
        <f t="shared" si="479"/>
        <v>0</v>
      </c>
      <c r="BD388" s="1120">
        <f t="shared" si="480"/>
        <v>1</v>
      </c>
      <c r="BE388" s="1120">
        <f t="shared" si="481"/>
        <v>1</v>
      </c>
      <c r="BF388" s="1120">
        <f t="shared" si="482"/>
        <v>1</v>
      </c>
      <c r="BG388" s="1120">
        <f t="shared" si="483"/>
        <v>0</v>
      </c>
      <c r="BH388" s="1120">
        <f t="shared" si="484"/>
        <v>0</v>
      </c>
      <c r="BI388" s="1120">
        <f t="shared" si="485"/>
        <v>0</v>
      </c>
      <c r="BJ388" s="1120">
        <f t="shared" si="486"/>
        <v>0</v>
      </c>
      <c r="BK388" s="1120">
        <f t="shared" si="487"/>
        <v>1</v>
      </c>
      <c r="BL388" s="1120">
        <f t="shared" si="488"/>
        <v>1</v>
      </c>
      <c r="BM388" s="1120">
        <f t="shared" si="489"/>
        <v>1</v>
      </c>
      <c r="BN388" s="1120">
        <f t="shared" si="490"/>
        <v>1</v>
      </c>
      <c r="BO388" s="1120">
        <f t="shared" si="491"/>
        <v>1</v>
      </c>
      <c r="BP388" s="1120">
        <f t="shared" si="492"/>
        <v>1</v>
      </c>
      <c r="BQ388" s="1120">
        <f t="shared" si="493"/>
        <v>0</v>
      </c>
      <c r="BR388" s="1120">
        <f t="shared" si="494"/>
        <v>0</v>
      </c>
      <c r="BS388" s="1120">
        <f t="shared" si="495"/>
        <v>1</v>
      </c>
      <c r="BT388" s="1120">
        <f t="shared" si="496"/>
        <v>1</v>
      </c>
      <c r="BU388" s="1120">
        <f t="shared" si="497"/>
        <v>1</v>
      </c>
      <c r="BV388" s="1120">
        <f t="shared" si="498"/>
        <v>1</v>
      </c>
      <c r="BW388" s="1120">
        <f t="shared" si="499"/>
        <v>0</v>
      </c>
      <c r="BX388" s="1120">
        <f t="shared" si="500"/>
        <v>0</v>
      </c>
      <c r="BY388" s="1120">
        <f t="shared" si="501"/>
        <v>0</v>
      </c>
      <c r="BZ388" s="1120">
        <f t="shared" si="502"/>
        <v>0</v>
      </c>
      <c r="CA388" s="1120">
        <f t="shared" si="503"/>
        <v>1</v>
      </c>
      <c r="CB388" s="1120">
        <f t="shared" si="504"/>
        <v>1</v>
      </c>
      <c r="CC388" s="1120">
        <f t="shared" si="505"/>
        <v>1</v>
      </c>
      <c r="CD388" s="1120">
        <f t="shared" si="506"/>
        <v>1</v>
      </c>
      <c r="CE388" s="1120">
        <f t="shared" si="507"/>
        <v>1</v>
      </c>
      <c r="CF388" s="1120">
        <f t="shared" si="508"/>
        <v>0</v>
      </c>
      <c r="CG388" s="1120">
        <f t="shared" si="509"/>
        <v>0</v>
      </c>
      <c r="CH388" s="1120">
        <f t="shared" si="510"/>
        <v>0</v>
      </c>
      <c r="CI388" s="1120">
        <f t="shared" si="511"/>
        <v>0.85</v>
      </c>
      <c r="CJ388" s="1120">
        <f t="shared" si="512"/>
        <v>0.85</v>
      </c>
      <c r="CK388" s="1120">
        <f t="shared" si="513"/>
        <v>0.85</v>
      </c>
      <c r="CL388" s="1120">
        <f t="shared" si="514"/>
        <v>0.85</v>
      </c>
      <c r="CM388" s="1120">
        <f t="shared" si="515"/>
        <v>0.85</v>
      </c>
      <c r="CN388" s="1120">
        <f t="shared" si="516"/>
        <v>0.85</v>
      </c>
      <c r="CO388" s="1120">
        <f t="shared" si="517"/>
        <v>0.7</v>
      </c>
      <c r="CP388" s="1120">
        <f t="shared" si="518"/>
        <v>0.7</v>
      </c>
      <c r="CQ388" s="1120">
        <f t="shared" si="519"/>
        <v>0.85</v>
      </c>
      <c r="CR388" s="1120">
        <f t="shared" si="520"/>
        <v>0.85</v>
      </c>
      <c r="CS388" s="1120">
        <f t="shared" si="521"/>
        <v>0.85</v>
      </c>
      <c r="CT388" s="1120">
        <f t="shared" si="522"/>
        <v>0.85</v>
      </c>
      <c r="CU388" s="1120">
        <v>1</v>
      </c>
      <c r="CV388" s="1120"/>
      <c r="CW388" s="1120">
        <f t="shared" si="523"/>
        <v>153</v>
      </c>
      <c r="CX388" s="1120">
        <f t="shared" si="524"/>
        <v>212</v>
      </c>
      <c r="CY388" s="1136" t="s">
        <v>4889</v>
      </c>
      <c r="CZ388" s="1129" t="s">
        <v>4897</v>
      </c>
      <c r="DA388" s="1129"/>
      <c r="DB388" s="1129"/>
      <c r="DC388" s="1125" t="s">
        <v>5420</v>
      </c>
      <c r="DD388" s="1125" t="s">
        <v>771</v>
      </c>
      <c r="DE388" s="1120" t="str">
        <f t="shared" si="450"/>
        <v/>
      </c>
      <c r="DF388" s="1133">
        <v>0</v>
      </c>
      <c r="DG388" s="1120">
        <v>0</v>
      </c>
    </row>
    <row r="389" spans="1:111">
      <c r="A389" s="1125" t="s">
        <v>3555</v>
      </c>
      <c r="B389" s="1125" t="s">
        <v>3882</v>
      </c>
      <c r="C389" s="1125" t="s">
        <v>3883</v>
      </c>
      <c r="D389" s="1125" t="s">
        <v>460</v>
      </c>
      <c r="E389" s="1125">
        <v>305</v>
      </c>
      <c r="F389" s="1125">
        <v>-89.33</v>
      </c>
      <c r="G389" s="1125">
        <v>31.47</v>
      </c>
      <c r="H389" s="1125">
        <v>-6</v>
      </c>
      <c r="I389" s="1126">
        <v>28.039999914169311</v>
      </c>
      <c r="J389" s="1126">
        <v>93.2</v>
      </c>
      <c r="K389" s="1127">
        <v>75.019999313354489</v>
      </c>
      <c r="L389" s="1125">
        <v>2271.6</v>
      </c>
      <c r="M389" s="1125">
        <v>1980</v>
      </c>
      <c r="N389" s="1128">
        <v>43.7</v>
      </c>
      <c r="O389" s="1128">
        <v>47.659999656677243</v>
      </c>
      <c r="P389" s="1128">
        <v>60.980000686645511</v>
      </c>
      <c r="Q389" s="1128">
        <v>65.66000137329101</v>
      </c>
      <c r="R389" s="1128">
        <v>74.66000137329101</v>
      </c>
      <c r="S389" s="1128">
        <v>76.819999313354487</v>
      </c>
      <c r="T389" s="1128">
        <v>78.439998626708984</v>
      </c>
      <c r="U389" s="1128">
        <v>76.460001373291021</v>
      </c>
      <c r="V389" s="1128">
        <v>74.83999862670899</v>
      </c>
      <c r="W389" s="1128">
        <v>59.9</v>
      </c>
      <c r="X389" s="1128">
        <v>55.759999656677245</v>
      </c>
      <c r="Y389" s="1128">
        <v>47.3</v>
      </c>
      <c r="Z389" s="1128">
        <v>63.593205543413553</v>
      </c>
      <c r="AA389" s="1128">
        <f t="shared" si="451"/>
        <v>59.603570798885769</v>
      </c>
      <c r="AB389" s="1128">
        <f t="shared" si="452"/>
        <v>59.566574011623068</v>
      </c>
      <c r="AC389" s="1128">
        <f t="shared" si="453"/>
        <v>62.143173248190593</v>
      </c>
      <c r="AD389" s="1128">
        <f t="shared" si="454"/>
        <v>66.661738210980872</v>
      </c>
      <c r="AE389" s="1128">
        <f t="shared" si="455"/>
        <v>71.94443530924876</v>
      </c>
      <c r="AF389" s="1128">
        <f t="shared" si="456"/>
        <v>76.614248135504226</v>
      </c>
      <c r="AG389" s="1128">
        <f t="shared" si="457"/>
        <v>79.45391801258981</v>
      </c>
      <c r="AH389" s="1128">
        <f t="shared" si="458"/>
        <v>79.723241226405705</v>
      </c>
      <c r="AI389" s="1128">
        <f t="shared" si="459"/>
        <v>77.352014530874456</v>
      </c>
      <c r="AJ389" s="1128">
        <f t="shared" si="460"/>
        <v>72.958334705895766</v>
      </c>
      <c r="AK389" s="1128">
        <f t="shared" si="461"/>
        <v>67.687482106505939</v>
      </c>
      <c r="AL389" s="1128">
        <f t="shared" si="462"/>
        <v>62.913385689033227</v>
      </c>
      <c r="AM389" s="1125">
        <f t="shared" si="463"/>
        <v>1</v>
      </c>
      <c r="AN389" s="1125">
        <f t="shared" si="464"/>
        <v>1</v>
      </c>
      <c r="AO389" s="1125">
        <f t="shared" si="465"/>
        <v>1</v>
      </c>
      <c r="AP389" s="1125">
        <f t="shared" si="466"/>
        <v>1</v>
      </c>
      <c r="AQ389" s="1125">
        <f t="shared" si="467"/>
        <v>0</v>
      </c>
      <c r="AR389" s="1125">
        <f t="shared" si="468"/>
        <v>0</v>
      </c>
      <c r="AS389" s="1125">
        <f t="shared" si="469"/>
        <v>0</v>
      </c>
      <c r="AT389" s="1125">
        <f t="shared" si="470"/>
        <v>0</v>
      </c>
      <c r="AU389" s="1125">
        <f t="shared" si="471"/>
        <v>0</v>
      </c>
      <c r="AV389" s="1125">
        <f t="shared" si="472"/>
        <v>1</v>
      </c>
      <c r="AW389" s="1125">
        <f t="shared" si="473"/>
        <v>1</v>
      </c>
      <c r="AX389" s="1125">
        <f t="shared" si="474"/>
        <v>1</v>
      </c>
      <c r="AY389" s="1125">
        <f t="shared" si="475"/>
        <v>0</v>
      </c>
      <c r="AZ389" s="1125">
        <f t="shared" si="476"/>
        <v>0</v>
      </c>
      <c r="BA389" s="1125">
        <f t="shared" si="477"/>
        <v>0</v>
      </c>
      <c r="BB389" s="1125">
        <f t="shared" si="478"/>
        <v>0</v>
      </c>
      <c r="BC389" s="1125">
        <f t="shared" si="479"/>
        <v>1</v>
      </c>
      <c r="BD389" s="1125">
        <f t="shared" si="480"/>
        <v>1</v>
      </c>
      <c r="BE389" s="1125">
        <f t="shared" si="481"/>
        <v>1</v>
      </c>
      <c r="BF389" s="1125">
        <f t="shared" si="482"/>
        <v>1</v>
      </c>
      <c r="BG389" s="1125">
        <f t="shared" si="483"/>
        <v>1</v>
      </c>
      <c r="BH389" s="1125">
        <f t="shared" si="484"/>
        <v>0</v>
      </c>
      <c r="BI389" s="1125">
        <f t="shared" si="485"/>
        <v>0</v>
      </c>
      <c r="BJ389" s="1125">
        <f t="shared" si="486"/>
        <v>0</v>
      </c>
      <c r="BK389" s="1125">
        <f t="shared" si="487"/>
        <v>1</v>
      </c>
      <c r="BL389" s="1125">
        <f t="shared" si="488"/>
        <v>1</v>
      </c>
      <c r="BM389" s="1125">
        <f t="shared" si="489"/>
        <v>1</v>
      </c>
      <c r="BN389" s="1125">
        <f t="shared" si="490"/>
        <v>1</v>
      </c>
      <c r="BO389" s="1125">
        <f t="shared" si="491"/>
        <v>1</v>
      </c>
      <c r="BP389" s="1125">
        <f t="shared" si="492"/>
        <v>0</v>
      </c>
      <c r="BQ389" s="1125">
        <f t="shared" si="493"/>
        <v>0</v>
      </c>
      <c r="BR389" s="1125">
        <f t="shared" si="494"/>
        <v>0</v>
      </c>
      <c r="BS389" s="1125">
        <f t="shared" si="495"/>
        <v>0</v>
      </c>
      <c r="BT389" s="1125">
        <f t="shared" si="496"/>
        <v>1</v>
      </c>
      <c r="BU389" s="1125">
        <f t="shared" si="497"/>
        <v>1</v>
      </c>
      <c r="BV389" s="1125">
        <f t="shared" si="498"/>
        <v>1</v>
      </c>
      <c r="BW389" s="1125">
        <f t="shared" si="499"/>
        <v>0</v>
      </c>
      <c r="BX389" s="1125">
        <f t="shared" si="500"/>
        <v>0</v>
      </c>
      <c r="BY389" s="1125">
        <f t="shared" si="501"/>
        <v>0</v>
      </c>
      <c r="BZ389" s="1125">
        <f t="shared" si="502"/>
        <v>1</v>
      </c>
      <c r="CA389" s="1125">
        <f t="shared" si="503"/>
        <v>1</v>
      </c>
      <c r="CB389" s="1125">
        <f t="shared" si="504"/>
        <v>1</v>
      </c>
      <c r="CC389" s="1125">
        <f t="shared" si="505"/>
        <v>1</v>
      </c>
      <c r="CD389" s="1125">
        <f t="shared" si="506"/>
        <v>1</v>
      </c>
      <c r="CE389" s="1125">
        <f t="shared" si="507"/>
        <v>1</v>
      </c>
      <c r="CF389" s="1125">
        <f t="shared" si="508"/>
        <v>1</v>
      </c>
      <c r="CG389" s="1125">
        <f t="shared" si="509"/>
        <v>0</v>
      </c>
      <c r="CH389" s="1125">
        <f t="shared" si="510"/>
        <v>0</v>
      </c>
      <c r="CI389" s="1125">
        <f t="shared" si="511"/>
        <v>0.85</v>
      </c>
      <c r="CJ389" s="1125">
        <f t="shared" si="512"/>
        <v>0.85</v>
      </c>
      <c r="CK389" s="1125">
        <f t="shared" si="513"/>
        <v>0.85</v>
      </c>
      <c r="CL389" s="1125">
        <f t="shared" si="514"/>
        <v>0.85</v>
      </c>
      <c r="CM389" s="1125">
        <f t="shared" si="515"/>
        <v>0.85</v>
      </c>
      <c r="CN389" s="1125">
        <f t="shared" si="516"/>
        <v>0.7</v>
      </c>
      <c r="CO389" s="1125">
        <f t="shared" si="517"/>
        <v>0.7</v>
      </c>
      <c r="CP389" s="1125">
        <f t="shared" si="518"/>
        <v>0.7</v>
      </c>
      <c r="CQ389" s="1125">
        <f t="shared" si="519"/>
        <v>0.7</v>
      </c>
      <c r="CR389" s="1125">
        <f t="shared" si="520"/>
        <v>0.85</v>
      </c>
      <c r="CS389" s="1125">
        <f t="shared" si="521"/>
        <v>0.85</v>
      </c>
      <c r="CT389" s="1125">
        <f t="shared" si="522"/>
        <v>0.85</v>
      </c>
      <c r="CU389" s="1125">
        <v>1</v>
      </c>
      <c r="CV389" s="1125"/>
      <c r="CW389" s="1125">
        <f t="shared" si="523"/>
        <v>214</v>
      </c>
      <c r="CX389" s="1125">
        <f t="shared" si="524"/>
        <v>151</v>
      </c>
      <c r="CY389" s="1136" t="s">
        <v>4883</v>
      </c>
      <c r="CZ389" s="1129" t="s">
        <v>4882</v>
      </c>
      <c r="DA389" s="1129"/>
      <c r="DB389" s="1129"/>
      <c r="DC389" s="1125" t="s">
        <v>5366</v>
      </c>
      <c r="DD389" s="1125" t="s">
        <v>460</v>
      </c>
      <c r="DE389" s="1120" t="str">
        <f t="shared" si="450"/>
        <v/>
      </c>
      <c r="DF389" s="1133">
        <v>0</v>
      </c>
      <c r="DG389" s="1125">
        <v>0</v>
      </c>
    </row>
    <row r="390" spans="1:111">
      <c r="A390" s="1120" t="s">
        <v>3557</v>
      </c>
      <c r="B390" s="1120" t="s">
        <v>3910</v>
      </c>
      <c r="C390" s="1120" t="s">
        <v>3911</v>
      </c>
      <c r="D390" s="1120" t="s">
        <v>1108</v>
      </c>
      <c r="E390" s="1120">
        <v>2585</v>
      </c>
      <c r="F390" s="1120">
        <v>-109.77</v>
      </c>
      <c r="G390" s="1120">
        <v>48.55</v>
      </c>
      <c r="H390" s="1120">
        <v>-7</v>
      </c>
      <c r="I390" s="1121">
        <v>-17.68000068664551</v>
      </c>
      <c r="J390" s="1121">
        <v>91.039998626708993</v>
      </c>
      <c r="K390" s="1122">
        <v>62.960001373291014</v>
      </c>
      <c r="L390" s="1120">
        <v>7950.6</v>
      </c>
      <c r="M390" s="1120">
        <v>536.4</v>
      </c>
      <c r="N390" s="1123">
        <v>20.659999656677247</v>
      </c>
      <c r="O390" s="1123">
        <v>18.679999828338623</v>
      </c>
      <c r="P390" s="1123">
        <v>22.1</v>
      </c>
      <c r="Q390" s="1123">
        <v>48.2</v>
      </c>
      <c r="R390" s="1123">
        <v>55.580000686645505</v>
      </c>
      <c r="S390" s="1123">
        <v>62.239998626708989</v>
      </c>
      <c r="T390" s="1123">
        <v>71.419999313354495</v>
      </c>
      <c r="U390" s="1123">
        <v>69.080000686645505</v>
      </c>
      <c r="V390" s="1123">
        <v>55.759999656677245</v>
      </c>
      <c r="W390" s="1123">
        <v>43.159999656677243</v>
      </c>
      <c r="X390" s="1123">
        <v>34.160000085830688</v>
      </c>
      <c r="Y390" s="1123">
        <v>26.23999991416931</v>
      </c>
      <c r="Z390" s="1123">
        <v>44.080219023586956</v>
      </c>
      <c r="AA390" s="1123">
        <f t="shared" si="451"/>
        <v>41.362689689421352</v>
      </c>
      <c r="AB390" s="1123">
        <f t="shared" si="452"/>
        <v>39.548922778954505</v>
      </c>
      <c r="AC390" s="1123">
        <f t="shared" si="453"/>
        <v>40.480300526838782</v>
      </c>
      <c r="AD390" s="1123">
        <f t="shared" si="454"/>
        <v>43.914044970122582</v>
      </c>
      <c r="AE390" s="1123">
        <f t="shared" si="455"/>
        <v>48.955097704060378</v>
      </c>
      <c r="AF390" s="1123">
        <f t="shared" si="456"/>
        <v>54.289430648577145</v>
      </c>
      <c r="AG390" s="1123">
        <f t="shared" si="457"/>
        <v>58.526567717125609</v>
      </c>
      <c r="AH390" s="1123">
        <f t="shared" si="458"/>
        <v>60.562033836529878</v>
      </c>
      <c r="AI390" s="1123">
        <f t="shared" si="459"/>
        <v>59.865253395284839</v>
      </c>
      <c r="AJ390" s="1123">
        <f t="shared" si="460"/>
        <v>56.617852953112646</v>
      </c>
      <c r="AK390" s="1123">
        <f t="shared" si="461"/>
        <v>51.666317479221121</v>
      </c>
      <c r="AL390" s="1123">
        <f t="shared" si="462"/>
        <v>46.301341000351478</v>
      </c>
      <c r="AM390" s="1120">
        <f t="shared" si="463"/>
        <v>1</v>
      </c>
      <c r="AN390" s="1120">
        <f t="shared" si="464"/>
        <v>1</v>
      </c>
      <c r="AO390" s="1120">
        <f t="shared" si="465"/>
        <v>1</v>
      </c>
      <c r="AP390" s="1120">
        <f t="shared" si="466"/>
        <v>1</v>
      </c>
      <c r="AQ390" s="1120">
        <f t="shared" si="467"/>
        <v>1</v>
      </c>
      <c r="AR390" s="1120">
        <f t="shared" si="468"/>
        <v>1</v>
      </c>
      <c r="AS390" s="1120">
        <f t="shared" si="469"/>
        <v>0</v>
      </c>
      <c r="AT390" s="1120">
        <f t="shared" si="470"/>
        <v>0</v>
      </c>
      <c r="AU390" s="1120">
        <f t="shared" si="471"/>
        <v>1</v>
      </c>
      <c r="AV390" s="1120">
        <f t="shared" si="472"/>
        <v>1</v>
      </c>
      <c r="AW390" s="1120">
        <f t="shared" si="473"/>
        <v>1</v>
      </c>
      <c r="AX390" s="1120">
        <f t="shared" si="474"/>
        <v>1</v>
      </c>
      <c r="AY390" s="1120">
        <f t="shared" si="475"/>
        <v>0</v>
      </c>
      <c r="AZ390" s="1120">
        <f t="shared" si="476"/>
        <v>0</v>
      </c>
      <c r="BA390" s="1120">
        <f t="shared" si="477"/>
        <v>0</v>
      </c>
      <c r="BB390" s="1120">
        <f t="shared" si="478"/>
        <v>0</v>
      </c>
      <c r="BC390" s="1120">
        <f t="shared" si="479"/>
        <v>0</v>
      </c>
      <c r="BD390" s="1120">
        <f t="shared" si="480"/>
        <v>0</v>
      </c>
      <c r="BE390" s="1120">
        <f t="shared" si="481"/>
        <v>1</v>
      </c>
      <c r="BF390" s="1120">
        <f t="shared" si="482"/>
        <v>1</v>
      </c>
      <c r="BG390" s="1120">
        <f t="shared" si="483"/>
        <v>0</v>
      </c>
      <c r="BH390" s="1120">
        <f t="shared" si="484"/>
        <v>0</v>
      </c>
      <c r="BI390" s="1120">
        <f t="shared" si="485"/>
        <v>0</v>
      </c>
      <c r="BJ390" s="1120">
        <f t="shared" si="486"/>
        <v>0</v>
      </c>
      <c r="BK390" s="1120">
        <f t="shared" si="487"/>
        <v>1</v>
      </c>
      <c r="BL390" s="1120">
        <f t="shared" si="488"/>
        <v>1</v>
      </c>
      <c r="BM390" s="1120">
        <f t="shared" si="489"/>
        <v>1</v>
      </c>
      <c r="BN390" s="1120">
        <f t="shared" si="490"/>
        <v>1</v>
      </c>
      <c r="BO390" s="1120">
        <f t="shared" si="491"/>
        <v>1</v>
      </c>
      <c r="BP390" s="1120">
        <f t="shared" si="492"/>
        <v>1</v>
      </c>
      <c r="BQ390" s="1120">
        <f t="shared" si="493"/>
        <v>1</v>
      </c>
      <c r="BR390" s="1120">
        <f t="shared" si="494"/>
        <v>0</v>
      </c>
      <c r="BS390" s="1120">
        <f t="shared" si="495"/>
        <v>1</v>
      </c>
      <c r="BT390" s="1120">
        <f t="shared" si="496"/>
        <v>1</v>
      </c>
      <c r="BU390" s="1120">
        <f t="shared" si="497"/>
        <v>1</v>
      </c>
      <c r="BV390" s="1120">
        <f t="shared" si="498"/>
        <v>1</v>
      </c>
      <c r="BW390" s="1120">
        <f t="shared" si="499"/>
        <v>0</v>
      </c>
      <c r="BX390" s="1120">
        <f t="shared" si="500"/>
        <v>0</v>
      </c>
      <c r="BY390" s="1120">
        <f t="shared" si="501"/>
        <v>0</v>
      </c>
      <c r="BZ390" s="1120">
        <f t="shared" si="502"/>
        <v>0</v>
      </c>
      <c r="CA390" s="1120">
        <f t="shared" si="503"/>
        <v>0</v>
      </c>
      <c r="CB390" s="1120">
        <f t="shared" si="504"/>
        <v>1</v>
      </c>
      <c r="CC390" s="1120">
        <f t="shared" si="505"/>
        <v>1</v>
      </c>
      <c r="CD390" s="1120">
        <f t="shared" si="506"/>
        <v>1</v>
      </c>
      <c r="CE390" s="1120">
        <f t="shared" si="507"/>
        <v>1</v>
      </c>
      <c r="CF390" s="1120">
        <f t="shared" si="508"/>
        <v>0</v>
      </c>
      <c r="CG390" s="1120">
        <f t="shared" si="509"/>
        <v>0</v>
      </c>
      <c r="CH390" s="1120">
        <f t="shared" si="510"/>
        <v>0</v>
      </c>
      <c r="CI390" s="1120">
        <f t="shared" si="511"/>
        <v>0.85</v>
      </c>
      <c r="CJ390" s="1120">
        <f t="shared" si="512"/>
        <v>0.85</v>
      </c>
      <c r="CK390" s="1120">
        <f t="shared" si="513"/>
        <v>0.85</v>
      </c>
      <c r="CL390" s="1120">
        <f t="shared" si="514"/>
        <v>0.85</v>
      </c>
      <c r="CM390" s="1120">
        <f t="shared" si="515"/>
        <v>0.85</v>
      </c>
      <c r="CN390" s="1120">
        <f t="shared" si="516"/>
        <v>0.85</v>
      </c>
      <c r="CO390" s="1120">
        <f t="shared" si="517"/>
        <v>0.85</v>
      </c>
      <c r="CP390" s="1120">
        <f t="shared" si="518"/>
        <v>0.7</v>
      </c>
      <c r="CQ390" s="1120">
        <f t="shared" si="519"/>
        <v>0.85</v>
      </c>
      <c r="CR390" s="1120">
        <f t="shared" si="520"/>
        <v>0.85</v>
      </c>
      <c r="CS390" s="1120">
        <f t="shared" si="521"/>
        <v>0.85</v>
      </c>
      <c r="CT390" s="1120">
        <f t="shared" si="522"/>
        <v>0.85</v>
      </c>
      <c r="CU390" s="1120">
        <v>1</v>
      </c>
      <c r="CV390" s="1120"/>
      <c r="CW390" s="1120">
        <f t="shared" si="523"/>
        <v>122</v>
      </c>
      <c r="CX390" s="1120">
        <f t="shared" si="524"/>
        <v>243</v>
      </c>
      <c r="CY390" s="1135" t="s">
        <v>4889</v>
      </c>
      <c r="CZ390" s="1124" t="s">
        <v>4896</v>
      </c>
      <c r="DA390" s="1124"/>
      <c r="DB390" s="1124"/>
      <c r="DC390" s="1120" t="s">
        <v>6038</v>
      </c>
      <c r="DD390" s="1120" t="s">
        <v>1108</v>
      </c>
      <c r="DE390" s="1120" t="str">
        <f t="shared" si="450"/>
        <v/>
      </c>
      <c r="DF390" s="1133">
        <v>0</v>
      </c>
      <c r="DG390" s="1120">
        <v>0</v>
      </c>
    </row>
    <row r="391" spans="1:111">
      <c r="A391" s="1125" t="s">
        <v>3559</v>
      </c>
      <c r="B391" s="1125" t="s">
        <v>5830</v>
      </c>
      <c r="C391" s="1125" t="s">
        <v>5831</v>
      </c>
      <c r="D391" s="1125" t="s">
        <v>536</v>
      </c>
      <c r="E391" s="1125">
        <v>6599</v>
      </c>
      <c r="F391" s="1125">
        <v>-107.22</v>
      </c>
      <c r="G391" s="1125">
        <v>40.479999999999997</v>
      </c>
      <c r="H391" s="1125">
        <v>-7</v>
      </c>
      <c r="I391" s="1126">
        <v>1.0399986267089836</v>
      </c>
      <c r="J391" s="1126">
        <v>84.2</v>
      </c>
      <c r="K391" s="1127">
        <v>55.040000343322752</v>
      </c>
      <c r="L391" s="1125">
        <v>8033.4000000000005</v>
      </c>
      <c r="M391" s="1125">
        <v>225</v>
      </c>
      <c r="N391" s="1128">
        <v>21.559999656677245</v>
      </c>
      <c r="O391" s="1128">
        <v>25.520000171661376</v>
      </c>
      <c r="P391" s="1128">
        <v>29.480000042915343</v>
      </c>
      <c r="Q391" s="1128">
        <v>42.440000343322751</v>
      </c>
      <c r="R391" s="1128">
        <v>51.080000686645505</v>
      </c>
      <c r="S391" s="1128">
        <v>57.919999313354495</v>
      </c>
      <c r="T391" s="1128">
        <v>69.260001373291018</v>
      </c>
      <c r="U391" s="1128">
        <v>65.119999313354498</v>
      </c>
      <c r="V391" s="1128">
        <v>57.380000686645509</v>
      </c>
      <c r="W391" s="1128">
        <v>41.720000171661376</v>
      </c>
      <c r="X391" s="1128">
        <v>32.180000002682206</v>
      </c>
      <c r="Y391" s="1128">
        <v>21.2</v>
      </c>
      <c r="Z391" s="1128">
        <v>42.997753571965923</v>
      </c>
      <c r="AA391" s="1128">
        <f t="shared" si="451"/>
        <v>41.368376888903072</v>
      </c>
      <c r="AB391" s="1128">
        <f t="shared" si="452"/>
        <v>39.676540581964964</v>
      </c>
      <c r="AC391" s="1128">
        <f t="shared" si="453"/>
        <v>40.414422085110857</v>
      </c>
      <c r="AD391" s="1128">
        <f t="shared" si="454"/>
        <v>43.389681213447609</v>
      </c>
      <c r="AE391" s="1128">
        <f t="shared" si="455"/>
        <v>47.826770825043212</v>
      </c>
      <c r="AF391" s="1128">
        <f t="shared" si="456"/>
        <v>52.569095135014571</v>
      </c>
      <c r="AG391" s="1128">
        <f t="shared" si="457"/>
        <v>56.380494230537892</v>
      </c>
      <c r="AH391" s="1128">
        <f t="shared" si="458"/>
        <v>58.267468201927045</v>
      </c>
      <c r="AI391" s="1128">
        <f t="shared" si="459"/>
        <v>57.738148204390335</v>
      </c>
      <c r="AJ391" s="1128">
        <f t="shared" si="460"/>
        <v>54.93050965235377</v>
      </c>
      <c r="AK391" s="1128">
        <f t="shared" si="461"/>
        <v>50.576406801425463</v>
      </c>
      <c r="AL391" s="1128">
        <f t="shared" si="462"/>
        <v>45.81080365845586</v>
      </c>
      <c r="AM391" s="1125">
        <f t="shared" si="463"/>
        <v>1</v>
      </c>
      <c r="AN391" s="1125">
        <f t="shared" si="464"/>
        <v>1</v>
      </c>
      <c r="AO391" s="1125">
        <f t="shared" si="465"/>
        <v>1</v>
      </c>
      <c r="AP391" s="1125">
        <f t="shared" si="466"/>
        <v>1</v>
      </c>
      <c r="AQ391" s="1125">
        <f t="shared" si="467"/>
        <v>1</v>
      </c>
      <c r="AR391" s="1125">
        <f t="shared" si="468"/>
        <v>1</v>
      </c>
      <c r="AS391" s="1125">
        <f t="shared" si="469"/>
        <v>0</v>
      </c>
      <c r="AT391" s="1125">
        <f t="shared" si="470"/>
        <v>1</v>
      </c>
      <c r="AU391" s="1125">
        <f t="shared" si="471"/>
        <v>1</v>
      </c>
      <c r="AV391" s="1125">
        <f t="shared" si="472"/>
        <v>1</v>
      </c>
      <c r="AW391" s="1125">
        <f t="shared" si="473"/>
        <v>1</v>
      </c>
      <c r="AX391" s="1125">
        <f t="shared" si="474"/>
        <v>1</v>
      </c>
      <c r="AY391" s="1125">
        <f t="shared" si="475"/>
        <v>0</v>
      </c>
      <c r="AZ391" s="1125">
        <f t="shared" si="476"/>
        <v>0</v>
      </c>
      <c r="BA391" s="1125">
        <f t="shared" si="477"/>
        <v>0</v>
      </c>
      <c r="BB391" s="1125">
        <f t="shared" si="478"/>
        <v>0</v>
      </c>
      <c r="BC391" s="1125">
        <f t="shared" si="479"/>
        <v>0</v>
      </c>
      <c r="BD391" s="1125">
        <f t="shared" si="480"/>
        <v>0</v>
      </c>
      <c r="BE391" s="1125">
        <f t="shared" si="481"/>
        <v>1</v>
      </c>
      <c r="BF391" s="1125">
        <f t="shared" si="482"/>
        <v>1</v>
      </c>
      <c r="BG391" s="1125">
        <f t="shared" si="483"/>
        <v>0</v>
      </c>
      <c r="BH391" s="1125">
        <f t="shared" si="484"/>
        <v>0</v>
      </c>
      <c r="BI391" s="1125">
        <f t="shared" si="485"/>
        <v>0</v>
      </c>
      <c r="BJ391" s="1125">
        <f t="shared" si="486"/>
        <v>0</v>
      </c>
      <c r="BK391" s="1125">
        <f t="shared" si="487"/>
        <v>1</v>
      </c>
      <c r="BL391" s="1125">
        <f t="shared" si="488"/>
        <v>1</v>
      </c>
      <c r="BM391" s="1125">
        <f t="shared" si="489"/>
        <v>1</v>
      </c>
      <c r="BN391" s="1125">
        <f t="shared" si="490"/>
        <v>1</v>
      </c>
      <c r="BO391" s="1125">
        <f t="shared" si="491"/>
        <v>1</v>
      </c>
      <c r="BP391" s="1125">
        <f t="shared" si="492"/>
        <v>1</v>
      </c>
      <c r="BQ391" s="1125">
        <f t="shared" si="493"/>
        <v>1</v>
      </c>
      <c r="BR391" s="1125">
        <f t="shared" si="494"/>
        <v>1</v>
      </c>
      <c r="BS391" s="1125">
        <f t="shared" si="495"/>
        <v>1</v>
      </c>
      <c r="BT391" s="1125">
        <f t="shared" si="496"/>
        <v>1</v>
      </c>
      <c r="BU391" s="1125">
        <f t="shared" si="497"/>
        <v>1</v>
      </c>
      <c r="BV391" s="1125">
        <f t="shared" si="498"/>
        <v>1</v>
      </c>
      <c r="BW391" s="1125">
        <f t="shared" si="499"/>
        <v>0</v>
      </c>
      <c r="BX391" s="1125">
        <f t="shared" si="500"/>
        <v>0</v>
      </c>
      <c r="BY391" s="1125">
        <f t="shared" si="501"/>
        <v>0</v>
      </c>
      <c r="BZ391" s="1125">
        <f t="shared" si="502"/>
        <v>0</v>
      </c>
      <c r="CA391" s="1125">
        <f t="shared" si="503"/>
        <v>0</v>
      </c>
      <c r="CB391" s="1125">
        <f t="shared" si="504"/>
        <v>1</v>
      </c>
      <c r="CC391" s="1125">
        <f t="shared" si="505"/>
        <v>1</v>
      </c>
      <c r="CD391" s="1125">
        <f t="shared" si="506"/>
        <v>1</v>
      </c>
      <c r="CE391" s="1125">
        <f t="shared" si="507"/>
        <v>0</v>
      </c>
      <c r="CF391" s="1125">
        <f t="shared" si="508"/>
        <v>0</v>
      </c>
      <c r="CG391" s="1125">
        <f t="shared" si="509"/>
        <v>0</v>
      </c>
      <c r="CH391" s="1125">
        <f t="shared" si="510"/>
        <v>0</v>
      </c>
      <c r="CI391" s="1125">
        <f t="shared" si="511"/>
        <v>0.85</v>
      </c>
      <c r="CJ391" s="1125">
        <f t="shared" si="512"/>
        <v>0.85</v>
      </c>
      <c r="CK391" s="1125">
        <f t="shared" si="513"/>
        <v>0.85</v>
      </c>
      <c r="CL391" s="1125">
        <f t="shared" si="514"/>
        <v>0.85</v>
      </c>
      <c r="CM391" s="1125">
        <f t="shared" si="515"/>
        <v>0.85</v>
      </c>
      <c r="CN391" s="1125">
        <f t="shared" si="516"/>
        <v>0.85</v>
      </c>
      <c r="CO391" s="1125">
        <f t="shared" si="517"/>
        <v>0.85</v>
      </c>
      <c r="CP391" s="1125">
        <f t="shared" si="518"/>
        <v>0.85</v>
      </c>
      <c r="CQ391" s="1125">
        <f t="shared" si="519"/>
        <v>0.85</v>
      </c>
      <c r="CR391" s="1125">
        <f t="shared" si="520"/>
        <v>0.85</v>
      </c>
      <c r="CS391" s="1125">
        <f t="shared" si="521"/>
        <v>0.85</v>
      </c>
      <c r="CT391" s="1125">
        <f t="shared" si="522"/>
        <v>0.85</v>
      </c>
      <c r="CU391" s="1125">
        <v>1</v>
      </c>
      <c r="CV391" s="1125"/>
      <c r="CW391" s="1125">
        <f t="shared" si="523"/>
        <v>92</v>
      </c>
      <c r="CX391" s="1125">
        <f t="shared" si="524"/>
        <v>273</v>
      </c>
      <c r="CY391" s="1136" t="s">
        <v>4879</v>
      </c>
      <c r="CZ391" s="1129">
        <v>7</v>
      </c>
      <c r="DA391" s="1129"/>
      <c r="DB391" s="1129"/>
      <c r="DC391" s="1125" t="s">
        <v>5952</v>
      </c>
      <c r="DD391" s="1125" t="s">
        <v>536</v>
      </c>
      <c r="DE391" s="1120" t="str">
        <f t="shared" si="450"/>
        <v/>
      </c>
      <c r="DF391" s="1133">
        <v>0</v>
      </c>
      <c r="DG391" s="1125">
        <v>0</v>
      </c>
    </row>
    <row r="392" spans="1:111">
      <c r="A392" s="1120" t="s">
        <v>3561</v>
      </c>
      <c r="B392" s="1120" t="s">
        <v>1183</v>
      </c>
      <c r="C392" s="1120" t="s">
        <v>1184</v>
      </c>
      <c r="D392" s="1120" t="s">
        <v>953</v>
      </c>
      <c r="E392" s="1120">
        <v>1000</v>
      </c>
      <c r="F392" s="1120">
        <v>-152.08000000000001</v>
      </c>
      <c r="G392" s="1120">
        <v>61.98</v>
      </c>
      <c r="H392" s="1120">
        <v>-9</v>
      </c>
      <c r="I392" s="1121">
        <v>-14.080000686645509</v>
      </c>
      <c r="J392" s="1121">
        <v>73.039998626708979</v>
      </c>
      <c r="K392" s="1122">
        <v>60.080000686645505</v>
      </c>
      <c r="L392" s="1120">
        <v>10081.800000000001</v>
      </c>
      <c r="M392" s="1120">
        <v>10.8</v>
      </c>
      <c r="N392" s="1123">
        <v>18.5</v>
      </c>
      <c r="O392" s="1123">
        <v>28.039999914169311</v>
      </c>
      <c r="P392" s="1123">
        <v>27.5</v>
      </c>
      <c r="Q392" s="1123">
        <v>32.360000005364419</v>
      </c>
      <c r="R392" s="1123">
        <v>40.459999656677248</v>
      </c>
      <c r="S392" s="1123">
        <v>53.959999656677248</v>
      </c>
      <c r="T392" s="1123">
        <v>56.840000343322757</v>
      </c>
      <c r="U392" s="1123">
        <v>56.3</v>
      </c>
      <c r="V392" s="1123">
        <v>45.679999828338623</v>
      </c>
      <c r="W392" s="1123">
        <v>28.4</v>
      </c>
      <c r="X392" s="1123">
        <v>29.660000085830688</v>
      </c>
      <c r="Y392" s="1123">
        <v>23.540000343322752</v>
      </c>
      <c r="Z392" s="1123">
        <v>36.801808206920754</v>
      </c>
      <c r="AA392" s="1123">
        <f t="shared" si="451"/>
        <v>38.100114516232019</v>
      </c>
      <c r="AB392" s="1123">
        <f t="shared" si="452"/>
        <v>36.651738041083689</v>
      </c>
      <c r="AC392" s="1123">
        <f t="shared" si="453"/>
        <v>36.806472130110883</v>
      </c>
      <c r="AD392" s="1123">
        <f t="shared" si="454"/>
        <v>38.523982958484154</v>
      </c>
      <c r="AE392" s="1123">
        <f t="shared" si="455"/>
        <v>41.356574861144992</v>
      </c>
      <c r="AF392" s="1123">
        <f t="shared" si="456"/>
        <v>44.565889107102294</v>
      </c>
      <c r="AG392" s="1123">
        <f t="shared" si="457"/>
        <v>47.315368481117716</v>
      </c>
      <c r="AH392" s="1123">
        <f t="shared" si="458"/>
        <v>48.888318813594431</v>
      </c>
      <c r="AI392" s="1123">
        <f t="shared" si="459"/>
        <v>48.874726360474021</v>
      </c>
      <c r="AJ392" s="1123">
        <f t="shared" si="460"/>
        <v>47.278134204128371</v>
      </c>
      <c r="AK392" s="1123">
        <f t="shared" si="461"/>
        <v>44.514718694338853</v>
      </c>
      <c r="AL392" s="1123">
        <f t="shared" si="462"/>
        <v>41.304806669254184</v>
      </c>
      <c r="AM392" s="1120">
        <f t="shared" si="463"/>
        <v>1</v>
      </c>
      <c r="AN392" s="1120">
        <f t="shared" si="464"/>
        <v>1</v>
      </c>
      <c r="AO392" s="1120">
        <f t="shared" si="465"/>
        <v>1</v>
      </c>
      <c r="AP392" s="1120">
        <f t="shared" si="466"/>
        <v>1</v>
      </c>
      <c r="AQ392" s="1120">
        <f t="shared" si="467"/>
        <v>1</v>
      </c>
      <c r="AR392" s="1120">
        <f t="shared" si="468"/>
        <v>1</v>
      </c>
      <c r="AS392" s="1120">
        <f t="shared" si="469"/>
        <v>1</v>
      </c>
      <c r="AT392" s="1120">
        <f t="shared" si="470"/>
        <v>1</v>
      </c>
      <c r="AU392" s="1120">
        <f t="shared" si="471"/>
        <v>1</v>
      </c>
      <c r="AV392" s="1120">
        <f t="shared" si="472"/>
        <v>1</v>
      </c>
      <c r="AW392" s="1120">
        <f t="shared" si="473"/>
        <v>1</v>
      </c>
      <c r="AX392" s="1120">
        <f t="shared" si="474"/>
        <v>1</v>
      </c>
      <c r="AY392" s="1120">
        <f t="shared" si="475"/>
        <v>0</v>
      </c>
      <c r="AZ392" s="1120">
        <f t="shared" si="476"/>
        <v>0</v>
      </c>
      <c r="BA392" s="1120">
        <f t="shared" si="477"/>
        <v>0</v>
      </c>
      <c r="BB392" s="1120">
        <f t="shared" si="478"/>
        <v>0</v>
      </c>
      <c r="BC392" s="1120">
        <f t="shared" si="479"/>
        <v>0</v>
      </c>
      <c r="BD392" s="1120">
        <f t="shared" si="480"/>
        <v>0</v>
      </c>
      <c r="BE392" s="1120">
        <f t="shared" si="481"/>
        <v>1</v>
      </c>
      <c r="BF392" s="1120">
        <f t="shared" si="482"/>
        <v>1</v>
      </c>
      <c r="BG392" s="1120">
        <f t="shared" si="483"/>
        <v>0</v>
      </c>
      <c r="BH392" s="1120">
        <f t="shared" si="484"/>
        <v>0</v>
      </c>
      <c r="BI392" s="1120">
        <f t="shared" si="485"/>
        <v>0</v>
      </c>
      <c r="BJ392" s="1120">
        <f t="shared" si="486"/>
        <v>0</v>
      </c>
      <c r="BK392" s="1120">
        <f t="shared" si="487"/>
        <v>1</v>
      </c>
      <c r="BL392" s="1120">
        <f t="shared" si="488"/>
        <v>1</v>
      </c>
      <c r="BM392" s="1120">
        <f t="shared" si="489"/>
        <v>1</v>
      </c>
      <c r="BN392" s="1120">
        <f t="shared" si="490"/>
        <v>1</v>
      </c>
      <c r="BO392" s="1120">
        <f t="shared" si="491"/>
        <v>1</v>
      </c>
      <c r="BP392" s="1120">
        <f t="shared" si="492"/>
        <v>1</v>
      </c>
      <c r="BQ392" s="1120">
        <f t="shared" si="493"/>
        <v>1</v>
      </c>
      <c r="BR392" s="1120">
        <f t="shared" si="494"/>
        <v>1</v>
      </c>
      <c r="BS392" s="1120">
        <f t="shared" si="495"/>
        <v>1</v>
      </c>
      <c r="BT392" s="1120">
        <f t="shared" si="496"/>
        <v>1</v>
      </c>
      <c r="BU392" s="1120">
        <f t="shared" si="497"/>
        <v>1</v>
      </c>
      <c r="BV392" s="1120">
        <f t="shared" si="498"/>
        <v>1</v>
      </c>
      <c r="BW392" s="1120">
        <f t="shared" si="499"/>
        <v>0</v>
      </c>
      <c r="BX392" s="1120">
        <f t="shared" si="500"/>
        <v>0</v>
      </c>
      <c r="BY392" s="1120">
        <f t="shared" si="501"/>
        <v>0</v>
      </c>
      <c r="BZ392" s="1120">
        <f t="shared" si="502"/>
        <v>0</v>
      </c>
      <c r="CA392" s="1120">
        <f t="shared" si="503"/>
        <v>0</v>
      </c>
      <c r="CB392" s="1120">
        <f t="shared" si="504"/>
        <v>0</v>
      </c>
      <c r="CC392" s="1120">
        <f t="shared" si="505"/>
        <v>1</v>
      </c>
      <c r="CD392" s="1120">
        <f t="shared" si="506"/>
        <v>1</v>
      </c>
      <c r="CE392" s="1120">
        <f t="shared" si="507"/>
        <v>0</v>
      </c>
      <c r="CF392" s="1120">
        <f t="shared" si="508"/>
        <v>0</v>
      </c>
      <c r="CG392" s="1120">
        <f t="shared" si="509"/>
        <v>0</v>
      </c>
      <c r="CH392" s="1120">
        <f t="shared" si="510"/>
        <v>0</v>
      </c>
      <c r="CI392" s="1120">
        <f t="shared" si="511"/>
        <v>0.85</v>
      </c>
      <c r="CJ392" s="1120">
        <f t="shared" si="512"/>
        <v>0.85</v>
      </c>
      <c r="CK392" s="1120">
        <f t="shared" si="513"/>
        <v>0.85</v>
      </c>
      <c r="CL392" s="1120">
        <f t="shared" si="514"/>
        <v>0.85</v>
      </c>
      <c r="CM392" s="1120">
        <f t="shared" si="515"/>
        <v>0.85</v>
      </c>
      <c r="CN392" s="1120">
        <f t="shared" si="516"/>
        <v>0.85</v>
      </c>
      <c r="CO392" s="1120">
        <f t="shared" si="517"/>
        <v>0.85</v>
      </c>
      <c r="CP392" s="1120">
        <f t="shared" si="518"/>
        <v>0.85</v>
      </c>
      <c r="CQ392" s="1120">
        <f t="shared" si="519"/>
        <v>0.85</v>
      </c>
      <c r="CR392" s="1120">
        <f t="shared" si="520"/>
        <v>0.85</v>
      </c>
      <c r="CS392" s="1120">
        <f t="shared" si="521"/>
        <v>0.85</v>
      </c>
      <c r="CT392" s="1120">
        <f t="shared" si="522"/>
        <v>0.85</v>
      </c>
      <c r="CU392" s="1120">
        <v>1</v>
      </c>
      <c r="CV392" s="1120"/>
      <c r="CW392" s="1120">
        <f t="shared" si="523"/>
        <v>62</v>
      </c>
      <c r="CX392" s="1120">
        <f t="shared" si="524"/>
        <v>303</v>
      </c>
      <c r="CY392" s="1135" t="s">
        <v>4879</v>
      </c>
      <c r="CZ392" s="1124">
        <v>7</v>
      </c>
      <c r="DA392" s="1124"/>
      <c r="DB392" s="1124"/>
      <c r="DC392" s="1120" t="s">
        <v>4929</v>
      </c>
      <c r="DD392" s="1120" t="s">
        <v>953</v>
      </c>
      <c r="DE392" s="1120" t="str">
        <f t="shared" si="450"/>
        <v/>
      </c>
      <c r="DF392" s="1120">
        <v>0</v>
      </c>
      <c r="DG392" s="1120">
        <v>0</v>
      </c>
    </row>
    <row r="393" spans="1:111">
      <c r="A393" s="1125" t="s">
        <v>3563</v>
      </c>
      <c r="B393" s="1125" t="s">
        <v>5848</v>
      </c>
      <c r="C393" s="1125" t="s">
        <v>5849</v>
      </c>
      <c r="D393" s="1125" t="s">
        <v>256</v>
      </c>
      <c r="E393" s="1125">
        <v>1998</v>
      </c>
      <c r="F393" s="1125">
        <v>-99.27</v>
      </c>
      <c r="G393" s="1125">
        <v>38.85</v>
      </c>
      <c r="H393" s="1125">
        <v>-6</v>
      </c>
      <c r="I393" s="1126">
        <v>7.3400003433227532</v>
      </c>
      <c r="J393" s="1126">
        <v>98.600000000000009</v>
      </c>
      <c r="K393" s="1127">
        <v>70.7</v>
      </c>
      <c r="L393" s="1125">
        <v>4960.8</v>
      </c>
      <c r="M393" s="1125">
        <v>1611</v>
      </c>
      <c r="N393" s="1128">
        <v>29.3</v>
      </c>
      <c r="O393" s="1128">
        <v>38.660000085830688</v>
      </c>
      <c r="P393" s="1128">
        <v>41.359999656677246</v>
      </c>
      <c r="Q393" s="1128">
        <v>52.519999313354489</v>
      </c>
      <c r="R393" s="1128">
        <v>60.980000686645511</v>
      </c>
      <c r="S393" s="1128">
        <v>73.039998626708979</v>
      </c>
      <c r="T393" s="1128">
        <v>83.480000686645511</v>
      </c>
      <c r="U393" s="1128">
        <v>78.260001373291018</v>
      </c>
      <c r="V393" s="1128">
        <v>71.419999313354495</v>
      </c>
      <c r="W393" s="1128">
        <v>55.4</v>
      </c>
      <c r="X393" s="1128">
        <v>44.6</v>
      </c>
      <c r="Y393" s="1128">
        <v>32.720000010728839</v>
      </c>
      <c r="Z393" s="1128">
        <v>55.222958889971039</v>
      </c>
      <c r="AA393" s="1128">
        <f t="shared" si="451"/>
        <v>48.492172133311684</v>
      </c>
      <c r="AB393" s="1128">
        <f t="shared" si="452"/>
        <v>47.426152539589616</v>
      </c>
      <c r="AC393" s="1128">
        <f t="shared" si="453"/>
        <v>49.956483136316137</v>
      </c>
      <c r="AD393" s="1128">
        <f t="shared" si="454"/>
        <v>55.423594259879657</v>
      </c>
      <c r="AE393" s="1128">
        <f t="shared" si="455"/>
        <v>62.402399145190678</v>
      </c>
      <c r="AF393" s="1128">
        <f t="shared" si="456"/>
        <v>69.073764752254192</v>
      </c>
      <c r="AG393" s="1128">
        <f t="shared" si="457"/>
        <v>73.698696826733098</v>
      </c>
      <c r="AH393" s="1128">
        <f t="shared" si="458"/>
        <v>75.071635551053788</v>
      </c>
      <c r="AI393" s="1128">
        <f t="shared" si="459"/>
        <v>72.834703289095927</v>
      </c>
      <c r="AJ393" s="1128">
        <f t="shared" si="460"/>
        <v>67.57099090710841</v>
      </c>
      <c r="AK393" s="1128">
        <f t="shared" si="461"/>
        <v>60.652566153719491</v>
      </c>
      <c r="AL393" s="1128">
        <f t="shared" si="462"/>
        <v>53.882823057052676</v>
      </c>
      <c r="AM393" s="1125">
        <f t="shared" si="463"/>
        <v>1</v>
      </c>
      <c r="AN393" s="1125">
        <f t="shared" si="464"/>
        <v>1</v>
      </c>
      <c r="AO393" s="1125">
        <f t="shared" si="465"/>
        <v>1</v>
      </c>
      <c r="AP393" s="1125">
        <f t="shared" si="466"/>
        <v>1</v>
      </c>
      <c r="AQ393" s="1125">
        <f t="shared" si="467"/>
        <v>1</v>
      </c>
      <c r="AR393" s="1125">
        <f t="shared" si="468"/>
        <v>0</v>
      </c>
      <c r="AS393" s="1125">
        <f t="shared" si="469"/>
        <v>0</v>
      </c>
      <c r="AT393" s="1125">
        <f t="shared" si="470"/>
        <v>0</v>
      </c>
      <c r="AU393" s="1125">
        <f t="shared" si="471"/>
        <v>0</v>
      </c>
      <c r="AV393" s="1125">
        <f t="shared" si="472"/>
        <v>1</v>
      </c>
      <c r="AW393" s="1125">
        <f t="shared" si="473"/>
        <v>1</v>
      </c>
      <c r="AX393" s="1125">
        <f t="shared" si="474"/>
        <v>1</v>
      </c>
      <c r="AY393" s="1125">
        <f t="shared" si="475"/>
        <v>0</v>
      </c>
      <c r="AZ393" s="1125">
        <f t="shared" si="476"/>
        <v>0</v>
      </c>
      <c r="BA393" s="1125">
        <f t="shared" si="477"/>
        <v>0</v>
      </c>
      <c r="BB393" s="1125">
        <f t="shared" si="478"/>
        <v>0</v>
      </c>
      <c r="BC393" s="1125">
        <f t="shared" si="479"/>
        <v>0</v>
      </c>
      <c r="BD393" s="1125">
        <f t="shared" si="480"/>
        <v>1</v>
      </c>
      <c r="BE393" s="1125">
        <f t="shared" si="481"/>
        <v>1</v>
      </c>
      <c r="BF393" s="1125">
        <f t="shared" si="482"/>
        <v>1</v>
      </c>
      <c r="BG393" s="1125">
        <f t="shared" si="483"/>
        <v>1</v>
      </c>
      <c r="BH393" s="1125">
        <f t="shared" si="484"/>
        <v>0</v>
      </c>
      <c r="BI393" s="1125">
        <f t="shared" si="485"/>
        <v>0</v>
      </c>
      <c r="BJ393" s="1125">
        <f t="shared" si="486"/>
        <v>0</v>
      </c>
      <c r="BK393" s="1125">
        <f t="shared" si="487"/>
        <v>1</v>
      </c>
      <c r="BL393" s="1125">
        <f t="shared" si="488"/>
        <v>1</v>
      </c>
      <c r="BM393" s="1125">
        <f t="shared" si="489"/>
        <v>1</v>
      </c>
      <c r="BN393" s="1125">
        <f t="shared" si="490"/>
        <v>1</v>
      </c>
      <c r="BO393" s="1125">
        <f t="shared" si="491"/>
        <v>1</v>
      </c>
      <c r="BP393" s="1125">
        <f t="shared" si="492"/>
        <v>1</v>
      </c>
      <c r="BQ393" s="1125">
        <f t="shared" si="493"/>
        <v>0</v>
      </c>
      <c r="BR393" s="1125">
        <f t="shared" si="494"/>
        <v>0</v>
      </c>
      <c r="BS393" s="1125">
        <f t="shared" si="495"/>
        <v>0</v>
      </c>
      <c r="BT393" s="1125">
        <f t="shared" si="496"/>
        <v>1</v>
      </c>
      <c r="BU393" s="1125">
        <f t="shared" si="497"/>
        <v>1</v>
      </c>
      <c r="BV393" s="1125">
        <f t="shared" si="498"/>
        <v>1</v>
      </c>
      <c r="BW393" s="1125">
        <f t="shared" si="499"/>
        <v>0</v>
      </c>
      <c r="BX393" s="1125">
        <f t="shared" si="500"/>
        <v>0</v>
      </c>
      <c r="BY393" s="1125">
        <f t="shared" si="501"/>
        <v>0</v>
      </c>
      <c r="BZ393" s="1125">
        <f t="shared" si="502"/>
        <v>0</v>
      </c>
      <c r="CA393" s="1125">
        <f t="shared" si="503"/>
        <v>1</v>
      </c>
      <c r="CB393" s="1125">
        <f t="shared" si="504"/>
        <v>1</v>
      </c>
      <c r="CC393" s="1125">
        <f t="shared" si="505"/>
        <v>1</v>
      </c>
      <c r="CD393" s="1125">
        <f t="shared" si="506"/>
        <v>1</v>
      </c>
      <c r="CE393" s="1125">
        <f t="shared" si="507"/>
        <v>1</v>
      </c>
      <c r="CF393" s="1125">
        <f t="shared" si="508"/>
        <v>1</v>
      </c>
      <c r="CG393" s="1125">
        <f t="shared" si="509"/>
        <v>0</v>
      </c>
      <c r="CH393" s="1125">
        <f t="shared" si="510"/>
        <v>0</v>
      </c>
      <c r="CI393" s="1125">
        <f t="shared" si="511"/>
        <v>0.85</v>
      </c>
      <c r="CJ393" s="1125">
        <f t="shared" si="512"/>
        <v>0.85</v>
      </c>
      <c r="CK393" s="1125">
        <f t="shared" si="513"/>
        <v>0.85</v>
      </c>
      <c r="CL393" s="1125">
        <f t="shared" si="514"/>
        <v>0.85</v>
      </c>
      <c r="CM393" s="1125">
        <f t="shared" si="515"/>
        <v>0.85</v>
      </c>
      <c r="CN393" s="1125">
        <f t="shared" si="516"/>
        <v>0.85</v>
      </c>
      <c r="CO393" s="1125">
        <f t="shared" si="517"/>
        <v>0.7</v>
      </c>
      <c r="CP393" s="1125">
        <f t="shared" si="518"/>
        <v>0.7</v>
      </c>
      <c r="CQ393" s="1125">
        <f t="shared" si="519"/>
        <v>0.7</v>
      </c>
      <c r="CR393" s="1125">
        <f t="shared" si="520"/>
        <v>0.85</v>
      </c>
      <c r="CS393" s="1125">
        <f t="shared" si="521"/>
        <v>0.85</v>
      </c>
      <c r="CT393" s="1125">
        <f t="shared" si="522"/>
        <v>0.85</v>
      </c>
      <c r="CU393" s="1125">
        <v>1</v>
      </c>
      <c r="CV393" s="1125"/>
      <c r="CW393" s="1125">
        <f t="shared" si="523"/>
        <v>184</v>
      </c>
      <c r="CX393" s="1125">
        <f t="shared" si="524"/>
        <v>181</v>
      </c>
      <c r="CY393" s="1136" t="s">
        <v>4889</v>
      </c>
      <c r="CZ393" s="1129" t="s">
        <v>4897</v>
      </c>
      <c r="DA393" s="1129"/>
      <c r="DB393" s="1129"/>
      <c r="DC393" s="1125" t="s">
        <v>5733</v>
      </c>
      <c r="DD393" s="1125" t="s">
        <v>256</v>
      </c>
      <c r="DE393" s="1120" t="str">
        <f t="shared" si="450"/>
        <v/>
      </c>
      <c r="DF393" s="1133">
        <v>1</v>
      </c>
      <c r="DG393" s="1125">
        <v>0</v>
      </c>
    </row>
    <row r="394" spans="1:111">
      <c r="A394" s="1120" t="s">
        <v>5846</v>
      </c>
      <c r="B394" s="1120" t="s">
        <v>3120</v>
      </c>
      <c r="C394" s="1120" t="s">
        <v>3121</v>
      </c>
      <c r="D394" s="1120" t="s">
        <v>954</v>
      </c>
      <c r="E394" s="1120">
        <v>46</v>
      </c>
      <c r="F394" s="1120">
        <v>-122.12</v>
      </c>
      <c r="G394" s="1120">
        <v>37.67</v>
      </c>
      <c r="H394" s="1120">
        <v>-8</v>
      </c>
      <c r="I394" s="1121">
        <v>39.200000000000003</v>
      </c>
      <c r="J394" s="1121">
        <v>82.219999313354492</v>
      </c>
      <c r="K394" s="1122">
        <v>64.760001373291018</v>
      </c>
      <c r="L394" s="1120">
        <v>2377.8000000000002</v>
      </c>
      <c r="M394" s="1120">
        <v>266.40000000000003</v>
      </c>
      <c r="N394" s="1123">
        <v>48.380000686645509</v>
      </c>
      <c r="O394" s="1123">
        <v>51.8</v>
      </c>
      <c r="P394" s="1123">
        <v>59.180000686645506</v>
      </c>
      <c r="Q394" s="1123">
        <v>55.940000343322751</v>
      </c>
      <c r="R394" s="1123">
        <v>60.080000686645505</v>
      </c>
      <c r="S394" s="1123">
        <v>62.060001373291016</v>
      </c>
      <c r="T394" s="1123">
        <v>63.86000137329102</v>
      </c>
      <c r="U394" s="1123">
        <v>66.560001373291016</v>
      </c>
      <c r="V394" s="1123">
        <v>65.119999313354498</v>
      </c>
      <c r="W394" s="1123">
        <v>62.239998626708989</v>
      </c>
      <c r="X394" s="1123">
        <v>56.659999656677243</v>
      </c>
      <c r="Y394" s="1123">
        <v>50.9</v>
      </c>
      <c r="Z394" s="1123">
        <v>58.605479800080602</v>
      </c>
      <c r="AA394" s="1123">
        <f t="shared" si="451"/>
        <v>59.944423514353467</v>
      </c>
      <c r="AB394" s="1123">
        <f t="shared" si="452"/>
        <v>59.709500830400977</v>
      </c>
      <c r="AC394" s="1123">
        <f t="shared" si="453"/>
        <v>60.750790514215232</v>
      </c>
      <c r="AD394" s="1123">
        <f t="shared" si="454"/>
        <v>62.796864362950295</v>
      </c>
      <c r="AE394" s="1123">
        <f t="shared" si="455"/>
        <v>65.314381696980931</v>
      </c>
      <c r="AF394" s="1123">
        <f t="shared" si="456"/>
        <v>67.647112827075574</v>
      </c>
      <c r="AG394" s="1123">
        <f t="shared" si="457"/>
        <v>69.186995435700197</v>
      </c>
      <c r="AH394" s="1123">
        <f t="shared" si="458"/>
        <v>69.532635390607496</v>
      </c>
      <c r="AI394" s="1123">
        <f t="shared" si="459"/>
        <v>68.593936311077925</v>
      </c>
      <c r="AJ394" s="1123">
        <f t="shared" si="460"/>
        <v>66.615584577981565</v>
      </c>
      <c r="AK394" s="1123">
        <f t="shared" si="461"/>
        <v>64.113268057873043</v>
      </c>
      <c r="AL394" s="1123">
        <f t="shared" si="462"/>
        <v>61.739254113583478</v>
      </c>
      <c r="AM394" s="1120">
        <f t="shared" si="463"/>
        <v>1</v>
      </c>
      <c r="AN394" s="1120">
        <f t="shared" si="464"/>
        <v>1</v>
      </c>
      <c r="AO394" s="1120">
        <f t="shared" si="465"/>
        <v>1</v>
      </c>
      <c r="AP394" s="1120">
        <f t="shared" si="466"/>
        <v>1</v>
      </c>
      <c r="AQ394" s="1120">
        <f t="shared" si="467"/>
        <v>1</v>
      </c>
      <c r="AR394" s="1120">
        <f t="shared" si="468"/>
        <v>1</v>
      </c>
      <c r="AS394" s="1120">
        <f t="shared" si="469"/>
        <v>1</v>
      </c>
      <c r="AT394" s="1120">
        <f t="shared" si="470"/>
        <v>0</v>
      </c>
      <c r="AU394" s="1120">
        <f t="shared" si="471"/>
        <v>1</v>
      </c>
      <c r="AV394" s="1120">
        <f t="shared" si="472"/>
        <v>1</v>
      </c>
      <c r="AW394" s="1120">
        <f t="shared" si="473"/>
        <v>1</v>
      </c>
      <c r="AX394" s="1120">
        <f t="shared" si="474"/>
        <v>1</v>
      </c>
      <c r="AY394" s="1120">
        <f t="shared" si="475"/>
        <v>0</v>
      </c>
      <c r="AZ394" s="1120">
        <f t="shared" si="476"/>
        <v>0</v>
      </c>
      <c r="BA394" s="1120">
        <f t="shared" si="477"/>
        <v>0</v>
      </c>
      <c r="BB394" s="1120">
        <f t="shared" si="478"/>
        <v>0</v>
      </c>
      <c r="BC394" s="1120">
        <f t="shared" si="479"/>
        <v>0</v>
      </c>
      <c r="BD394" s="1120">
        <f t="shared" si="480"/>
        <v>0</v>
      </c>
      <c r="BE394" s="1120">
        <f t="shared" si="481"/>
        <v>1</v>
      </c>
      <c r="BF394" s="1120">
        <f t="shared" si="482"/>
        <v>1</v>
      </c>
      <c r="BG394" s="1120">
        <f t="shared" si="483"/>
        <v>0</v>
      </c>
      <c r="BH394" s="1120">
        <f t="shared" si="484"/>
        <v>0</v>
      </c>
      <c r="BI394" s="1120">
        <f t="shared" si="485"/>
        <v>0</v>
      </c>
      <c r="BJ394" s="1120">
        <f t="shared" si="486"/>
        <v>0</v>
      </c>
      <c r="BK394" s="1120">
        <f t="shared" si="487"/>
        <v>1</v>
      </c>
      <c r="BL394" s="1120">
        <f t="shared" si="488"/>
        <v>1</v>
      </c>
      <c r="BM394" s="1120">
        <f t="shared" si="489"/>
        <v>1</v>
      </c>
      <c r="BN394" s="1120">
        <f t="shared" si="490"/>
        <v>1</v>
      </c>
      <c r="BO394" s="1120">
        <f t="shared" si="491"/>
        <v>1</v>
      </c>
      <c r="BP394" s="1120">
        <f t="shared" si="492"/>
        <v>1</v>
      </c>
      <c r="BQ394" s="1120">
        <f t="shared" si="493"/>
        <v>1</v>
      </c>
      <c r="BR394" s="1120">
        <f t="shared" si="494"/>
        <v>0</v>
      </c>
      <c r="BS394" s="1120">
        <f t="shared" si="495"/>
        <v>1</v>
      </c>
      <c r="BT394" s="1120">
        <f t="shared" si="496"/>
        <v>1</v>
      </c>
      <c r="BU394" s="1120">
        <f t="shared" si="497"/>
        <v>1</v>
      </c>
      <c r="BV394" s="1120">
        <f t="shared" si="498"/>
        <v>1</v>
      </c>
      <c r="BW394" s="1120">
        <f t="shared" si="499"/>
        <v>0</v>
      </c>
      <c r="BX394" s="1120">
        <f t="shared" si="500"/>
        <v>0</v>
      </c>
      <c r="BY394" s="1120">
        <f t="shared" si="501"/>
        <v>0</v>
      </c>
      <c r="BZ394" s="1120">
        <f t="shared" si="502"/>
        <v>0</v>
      </c>
      <c r="CA394" s="1120">
        <f t="shared" si="503"/>
        <v>0</v>
      </c>
      <c r="CB394" s="1120">
        <f t="shared" si="504"/>
        <v>0</v>
      </c>
      <c r="CC394" s="1120">
        <f t="shared" si="505"/>
        <v>1</v>
      </c>
      <c r="CD394" s="1120">
        <f t="shared" si="506"/>
        <v>1</v>
      </c>
      <c r="CE394" s="1120">
        <f t="shared" si="507"/>
        <v>1</v>
      </c>
      <c r="CF394" s="1120">
        <f t="shared" si="508"/>
        <v>0</v>
      </c>
      <c r="CG394" s="1120">
        <f t="shared" si="509"/>
        <v>0</v>
      </c>
      <c r="CH394" s="1120">
        <f t="shared" si="510"/>
        <v>0</v>
      </c>
      <c r="CI394" s="1120">
        <f t="shared" si="511"/>
        <v>0.85</v>
      </c>
      <c r="CJ394" s="1120">
        <f t="shared" si="512"/>
        <v>0.85</v>
      </c>
      <c r="CK394" s="1120">
        <f t="shared" si="513"/>
        <v>0.85</v>
      </c>
      <c r="CL394" s="1120">
        <f t="shared" si="514"/>
        <v>0.85</v>
      </c>
      <c r="CM394" s="1120">
        <f t="shared" si="515"/>
        <v>0.85</v>
      </c>
      <c r="CN394" s="1120">
        <f t="shared" si="516"/>
        <v>0.85</v>
      </c>
      <c r="CO394" s="1120">
        <f t="shared" si="517"/>
        <v>0.85</v>
      </c>
      <c r="CP394" s="1120">
        <f t="shared" si="518"/>
        <v>0.7</v>
      </c>
      <c r="CQ394" s="1120">
        <f t="shared" si="519"/>
        <v>0.85</v>
      </c>
      <c r="CR394" s="1120">
        <f t="shared" si="520"/>
        <v>0.85</v>
      </c>
      <c r="CS394" s="1120">
        <f t="shared" si="521"/>
        <v>0.85</v>
      </c>
      <c r="CT394" s="1120">
        <f t="shared" si="522"/>
        <v>0.85</v>
      </c>
      <c r="CU394" s="1120">
        <v>1</v>
      </c>
      <c r="CV394" s="1120"/>
      <c r="CW394" s="1120">
        <f t="shared" si="523"/>
        <v>92</v>
      </c>
      <c r="CX394" s="1120">
        <f t="shared" si="524"/>
        <v>273</v>
      </c>
      <c r="CY394" s="1136" t="s">
        <v>4893</v>
      </c>
      <c r="CZ394" s="1129" t="s">
        <v>4895</v>
      </c>
      <c r="DA394" s="1129"/>
      <c r="DB394" s="1129"/>
      <c r="DC394" s="1125" t="s">
        <v>5026</v>
      </c>
      <c r="DD394" s="1125" t="s">
        <v>954</v>
      </c>
      <c r="DE394" s="1120" t="str">
        <f t="shared" si="450"/>
        <v/>
      </c>
      <c r="DF394" s="1120">
        <v>0</v>
      </c>
      <c r="DG394" s="1120">
        <v>0</v>
      </c>
    </row>
    <row r="395" spans="1:111">
      <c r="A395" s="1125" t="s">
        <v>5848</v>
      </c>
      <c r="B395" s="1125" t="s">
        <v>2944</v>
      </c>
      <c r="C395" s="1125" t="s">
        <v>2945</v>
      </c>
      <c r="D395" s="1125" t="s">
        <v>953</v>
      </c>
      <c r="E395" s="1125">
        <v>1299</v>
      </c>
      <c r="F395" s="1125">
        <v>-149.02000000000001</v>
      </c>
      <c r="G395" s="1125">
        <v>63.88</v>
      </c>
      <c r="H395" s="1125">
        <v>-9</v>
      </c>
      <c r="I395" s="1126">
        <v>-27.579997253417972</v>
      </c>
      <c r="J395" s="1126">
        <v>74.66000137329101</v>
      </c>
      <c r="K395" s="1127">
        <v>55.4</v>
      </c>
      <c r="L395" s="1125">
        <v>10551.6</v>
      </c>
      <c r="M395" s="1125">
        <v>3.6</v>
      </c>
      <c r="N395" s="1128">
        <v>22.640000343322754</v>
      </c>
      <c r="O395" s="1128">
        <v>21.559999656677245</v>
      </c>
      <c r="P395" s="1128">
        <v>21.020000171661376</v>
      </c>
      <c r="Q395" s="1128">
        <v>33.799999999999997</v>
      </c>
      <c r="R395" s="1128">
        <v>42.440000343322751</v>
      </c>
      <c r="S395" s="1128">
        <v>56.3</v>
      </c>
      <c r="T395" s="1128">
        <v>58.819999313354494</v>
      </c>
      <c r="U395" s="1128">
        <v>50.359999656677246</v>
      </c>
      <c r="V395" s="1128">
        <v>38.839999914169312</v>
      </c>
      <c r="W395" s="1128">
        <v>34.160000085830688</v>
      </c>
      <c r="X395" s="1128">
        <v>28.76000008583069</v>
      </c>
      <c r="Y395" s="1128">
        <v>16.159999656677247</v>
      </c>
      <c r="Z395" s="1128">
        <v>35.474739663241664</v>
      </c>
      <c r="AA395" s="1128">
        <f t="shared" si="451"/>
        <v>36.55803650500669</v>
      </c>
      <c r="AB395" s="1128">
        <f t="shared" si="452"/>
        <v>34.942212221641171</v>
      </c>
      <c r="AC395" s="1128">
        <f t="shared" si="453"/>
        <v>35.029191885223923</v>
      </c>
      <c r="AD395" s="1128">
        <f t="shared" si="454"/>
        <v>36.796302906044922</v>
      </c>
      <c r="AE395" s="1128">
        <f t="shared" si="455"/>
        <v>39.782920564522037</v>
      </c>
      <c r="AF395" s="1128">
        <f t="shared" si="456"/>
        <v>43.210536942801916</v>
      </c>
      <c r="AG395" s="1128">
        <f t="shared" si="457"/>
        <v>46.185691010718642</v>
      </c>
      <c r="AH395" s="1128">
        <f t="shared" si="458"/>
        <v>47.9328630119577</v>
      </c>
      <c r="AI395" s="1128">
        <f t="shared" si="459"/>
        <v>47.9966256396606</v>
      </c>
      <c r="AJ395" s="1128">
        <f t="shared" si="460"/>
        <v>46.360358182304736</v>
      </c>
      <c r="AK395" s="1128">
        <f t="shared" si="461"/>
        <v>43.450578968294707</v>
      </c>
      <c r="AL395" s="1128">
        <f t="shared" si="462"/>
        <v>40.025766790817229</v>
      </c>
      <c r="AM395" s="1125">
        <f t="shared" si="463"/>
        <v>1</v>
      </c>
      <c r="AN395" s="1125">
        <f t="shared" si="464"/>
        <v>1</v>
      </c>
      <c r="AO395" s="1125">
        <f t="shared" si="465"/>
        <v>1</v>
      </c>
      <c r="AP395" s="1125">
        <f t="shared" si="466"/>
        <v>1</v>
      </c>
      <c r="AQ395" s="1125">
        <f t="shared" si="467"/>
        <v>1</v>
      </c>
      <c r="AR395" s="1125">
        <f t="shared" si="468"/>
        <v>1</v>
      </c>
      <c r="AS395" s="1125">
        <f t="shared" si="469"/>
        <v>1</v>
      </c>
      <c r="AT395" s="1125">
        <f t="shared" si="470"/>
        <v>1</v>
      </c>
      <c r="AU395" s="1125">
        <f t="shared" si="471"/>
        <v>1</v>
      </c>
      <c r="AV395" s="1125">
        <f t="shared" si="472"/>
        <v>1</v>
      </c>
      <c r="AW395" s="1125">
        <f t="shared" si="473"/>
        <v>1</v>
      </c>
      <c r="AX395" s="1125">
        <f t="shared" si="474"/>
        <v>1</v>
      </c>
      <c r="AY395" s="1125">
        <f t="shared" si="475"/>
        <v>0</v>
      </c>
      <c r="AZ395" s="1125">
        <f t="shared" si="476"/>
        <v>0</v>
      </c>
      <c r="BA395" s="1125">
        <f t="shared" si="477"/>
        <v>0</v>
      </c>
      <c r="BB395" s="1125">
        <f t="shared" si="478"/>
        <v>0</v>
      </c>
      <c r="BC395" s="1125">
        <f t="shared" si="479"/>
        <v>0</v>
      </c>
      <c r="BD395" s="1125">
        <f t="shared" si="480"/>
        <v>0</v>
      </c>
      <c r="BE395" s="1125">
        <f t="shared" si="481"/>
        <v>1</v>
      </c>
      <c r="BF395" s="1125">
        <f t="shared" si="482"/>
        <v>1</v>
      </c>
      <c r="BG395" s="1125">
        <f t="shared" si="483"/>
        <v>0</v>
      </c>
      <c r="BH395" s="1125">
        <f t="shared" si="484"/>
        <v>0</v>
      </c>
      <c r="BI395" s="1125">
        <f t="shared" si="485"/>
        <v>0</v>
      </c>
      <c r="BJ395" s="1125">
        <f t="shared" si="486"/>
        <v>0</v>
      </c>
      <c r="BK395" s="1125">
        <f t="shared" si="487"/>
        <v>1</v>
      </c>
      <c r="BL395" s="1125">
        <f t="shared" si="488"/>
        <v>1</v>
      </c>
      <c r="BM395" s="1125">
        <f t="shared" si="489"/>
        <v>1</v>
      </c>
      <c r="BN395" s="1125">
        <f t="shared" si="490"/>
        <v>1</v>
      </c>
      <c r="BO395" s="1125">
        <f t="shared" si="491"/>
        <v>1</v>
      </c>
      <c r="BP395" s="1125">
        <f t="shared" si="492"/>
        <v>1</v>
      </c>
      <c r="BQ395" s="1125">
        <f t="shared" si="493"/>
        <v>1</v>
      </c>
      <c r="BR395" s="1125">
        <f t="shared" si="494"/>
        <v>1</v>
      </c>
      <c r="BS395" s="1125">
        <f t="shared" si="495"/>
        <v>1</v>
      </c>
      <c r="BT395" s="1125">
        <f t="shared" si="496"/>
        <v>1</v>
      </c>
      <c r="BU395" s="1125">
        <f t="shared" si="497"/>
        <v>1</v>
      </c>
      <c r="BV395" s="1125">
        <f t="shared" si="498"/>
        <v>1</v>
      </c>
      <c r="BW395" s="1125">
        <f t="shared" si="499"/>
        <v>0</v>
      </c>
      <c r="BX395" s="1125">
        <f t="shared" si="500"/>
        <v>0</v>
      </c>
      <c r="BY395" s="1125">
        <f t="shared" si="501"/>
        <v>0</v>
      </c>
      <c r="BZ395" s="1125">
        <f t="shared" si="502"/>
        <v>0</v>
      </c>
      <c r="CA395" s="1125">
        <f t="shared" si="503"/>
        <v>0</v>
      </c>
      <c r="CB395" s="1125">
        <f t="shared" si="504"/>
        <v>0</v>
      </c>
      <c r="CC395" s="1125">
        <f t="shared" si="505"/>
        <v>1</v>
      </c>
      <c r="CD395" s="1125">
        <f t="shared" si="506"/>
        <v>1</v>
      </c>
      <c r="CE395" s="1125">
        <f t="shared" si="507"/>
        <v>0</v>
      </c>
      <c r="CF395" s="1125">
        <f t="shared" si="508"/>
        <v>0</v>
      </c>
      <c r="CG395" s="1125">
        <f t="shared" si="509"/>
        <v>0</v>
      </c>
      <c r="CH395" s="1125">
        <f t="shared" si="510"/>
        <v>0</v>
      </c>
      <c r="CI395" s="1125">
        <f t="shared" si="511"/>
        <v>0.85</v>
      </c>
      <c r="CJ395" s="1125">
        <f t="shared" si="512"/>
        <v>0.85</v>
      </c>
      <c r="CK395" s="1125">
        <f t="shared" si="513"/>
        <v>0.85</v>
      </c>
      <c r="CL395" s="1125">
        <f t="shared" si="514"/>
        <v>0.85</v>
      </c>
      <c r="CM395" s="1125">
        <f t="shared" si="515"/>
        <v>0.85</v>
      </c>
      <c r="CN395" s="1125">
        <f t="shared" si="516"/>
        <v>0.85</v>
      </c>
      <c r="CO395" s="1125">
        <f t="shared" si="517"/>
        <v>0.85</v>
      </c>
      <c r="CP395" s="1125">
        <f t="shared" si="518"/>
        <v>0.85</v>
      </c>
      <c r="CQ395" s="1125">
        <f t="shared" si="519"/>
        <v>0.85</v>
      </c>
      <c r="CR395" s="1125">
        <f t="shared" si="520"/>
        <v>0.85</v>
      </c>
      <c r="CS395" s="1125">
        <f t="shared" si="521"/>
        <v>0.85</v>
      </c>
      <c r="CT395" s="1125">
        <f t="shared" si="522"/>
        <v>0.85</v>
      </c>
      <c r="CU395" s="1125">
        <v>1</v>
      </c>
      <c r="CV395" s="1125"/>
      <c r="CW395" s="1125">
        <f t="shared" si="523"/>
        <v>62</v>
      </c>
      <c r="CX395" s="1125">
        <f t="shared" si="524"/>
        <v>303</v>
      </c>
      <c r="CY395" s="1136" t="s">
        <v>4879</v>
      </c>
      <c r="CZ395" s="1129">
        <v>7</v>
      </c>
      <c r="DA395" s="1129"/>
      <c r="DB395" s="1129"/>
      <c r="DC395" s="1125" t="s">
        <v>4930</v>
      </c>
      <c r="DD395" s="1125" t="s">
        <v>953</v>
      </c>
      <c r="DE395" s="1125" t="str">
        <f t="shared" si="450"/>
        <v/>
      </c>
      <c r="DF395" s="1125">
        <v>0</v>
      </c>
      <c r="DG395" s="1125">
        <v>0</v>
      </c>
    </row>
    <row r="396" spans="1:111">
      <c r="A396" s="1120" t="s">
        <v>3565</v>
      </c>
      <c r="B396" s="1125" t="s">
        <v>3912</v>
      </c>
      <c r="C396" s="1125" t="s">
        <v>3913</v>
      </c>
      <c r="D396" s="1125" t="s">
        <v>1108</v>
      </c>
      <c r="E396" s="1125">
        <v>3828</v>
      </c>
      <c r="F396" s="1125">
        <v>-111.97</v>
      </c>
      <c r="G396" s="1125">
        <v>46.6</v>
      </c>
      <c r="H396" s="1125">
        <v>-7</v>
      </c>
      <c r="I396" s="1126">
        <v>-8.1399986267089854</v>
      </c>
      <c r="J396" s="1126">
        <v>89.239998626708982</v>
      </c>
      <c r="K396" s="1127">
        <v>60.619999313354491</v>
      </c>
      <c r="L396" s="1125">
        <v>7473.6</v>
      </c>
      <c r="M396" s="1125">
        <v>352.8</v>
      </c>
      <c r="N396" s="1128">
        <v>23.540000343322752</v>
      </c>
      <c r="O396" s="1128">
        <v>25.339999914169312</v>
      </c>
      <c r="P396" s="1128">
        <v>35.779999828338624</v>
      </c>
      <c r="Q396" s="1128">
        <v>43.159999656677243</v>
      </c>
      <c r="R396" s="1128">
        <v>53.240000343322755</v>
      </c>
      <c r="S396" s="1128">
        <v>63.319999313354494</v>
      </c>
      <c r="T396" s="1128">
        <v>68.900000000000006</v>
      </c>
      <c r="U396" s="1128">
        <v>65.3</v>
      </c>
      <c r="V396" s="1128">
        <v>58.459999656677248</v>
      </c>
      <c r="W396" s="1128">
        <v>43.340000343322757</v>
      </c>
      <c r="X396" s="1128">
        <v>33.980000042915343</v>
      </c>
      <c r="Y396" s="1128">
        <v>23</v>
      </c>
      <c r="Z396" s="1128">
        <v>44.88553420354242</v>
      </c>
      <c r="AA396" s="1128">
        <f t="shared" si="451"/>
        <v>43.073385008226182</v>
      </c>
      <c r="AB396" s="1128">
        <f t="shared" si="452"/>
        <v>41.525815390601977</v>
      </c>
      <c r="AC396" s="1128">
        <f t="shared" si="453"/>
        <v>42.418000719203654</v>
      </c>
      <c r="AD396" s="1128">
        <f t="shared" si="454"/>
        <v>45.517379139139074</v>
      </c>
      <c r="AE396" s="1128">
        <f t="shared" si="455"/>
        <v>50.016049902384864</v>
      </c>
      <c r="AF396" s="1128">
        <f t="shared" si="456"/>
        <v>54.741365147886036</v>
      </c>
      <c r="AG396" s="1128">
        <f t="shared" si="457"/>
        <v>58.461598637590562</v>
      </c>
      <c r="AH396" s="1128">
        <f t="shared" si="458"/>
        <v>60.207014181873497</v>
      </c>
      <c r="AI396" s="1128">
        <f t="shared" si="459"/>
        <v>59.522642321449766</v>
      </c>
      <c r="AJ396" s="1128">
        <f t="shared" si="460"/>
        <v>56.586875128228442</v>
      </c>
      <c r="AK396" s="1128">
        <f t="shared" si="461"/>
        <v>52.164965562664541</v>
      </c>
      <c r="AL396" s="1128">
        <f t="shared" si="462"/>
        <v>47.409552496711399</v>
      </c>
      <c r="AM396" s="1125">
        <f t="shared" si="463"/>
        <v>1</v>
      </c>
      <c r="AN396" s="1125">
        <f t="shared" si="464"/>
        <v>1</v>
      </c>
      <c r="AO396" s="1125">
        <f t="shared" si="465"/>
        <v>1</v>
      </c>
      <c r="AP396" s="1125">
        <f t="shared" si="466"/>
        <v>1</v>
      </c>
      <c r="AQ396" s="1125">
        <f t="shared" si="467"/>
        <v>1</v>
      </c>
      <c r="AR396" s="1125">
        <f t="shared" si="468"/>
        <v>1</v>
      </c>
      <c r="AS396" s="1125">
        <f t="shared" si="469"/>
        <v>0</v>
      </c>
      <c r="AT396" s="1125">
        <f t="shared" si="470"/>
        <v>1</v>
      </c>
      <c r="AU396" s="1125">
        <f t="shared" si="471"/>
        <v>1</v>
      </c>
      <c r="AV396" s="1125">
        <f t="shared" si="472"/>
        <v>1</v>
      </c>
      <c r="AW396" s="1125">
        <f t="shared" si="473"/>
        <v>1</v>
      </c>
      <c r="AX396" s="1125">
        <f t="shared" si="474"/>
        <v>1</v>
      </c>
      <c r="AY396" s="1125">
        <f t="shared" si="475"/>
        <v>0</v>
      </c>
      <c r="AZ396" s="1125">
        <f t="shared" si="476"/>
        <v>0</v>
      </c>
      <c r="BA396" s="1125">
        <f t="shared" si="477"/>
        <v>0</v>
      </c>
      <c r="BB396" s="1125">
        <f t="shared" si="478"/>
        <v>0</v>
      </c>
      <c r="BC396" s="1125">
        <f t="shared" si="479"/>
        <v>0</v>
      </c>
      <c r="BD396" s="1125">
        <f t="shared" si="480"/>
        <v>0</v>
      </c>
      <c r="BE396" s="1125">
        <f t="shared" si="481"/>
        <v>1</v>
      </c>
      <c r="BF396" s="1125">
        <f t="shared" si="482"/>
        <v>1</v>
      </c>
      <c r="BG396" s="1125">
        <f t="shared" si="483"/>
        <v>0</v>
      </c>
      <c r="BH396" s="1125">
        <f t="shared" si="484"/>
        <v>0</v>
      </c>
      <c r="BI396" s="1125">
        <f t="shared" si="485"/>
        <v>0</v>
      </c>
      <c r="BJ396" s="1125">
        <f t="shared" si="486"/>
        <v>0</v>
      </c>
      <c r="BK396" s="1125">
        <f t="shared" si="487"/>
        <v>1</v>
      </c>
      <c r="BL396" s="1125">
        <f t="shared" si="488"/>
        <v>1</v>
      </c>
      <c r="BM396" s="1125">
        <f t="shared" si="489"/>
        <v>1</v>
      </c>
      <c r="BN396" s="1125">
        <f t="shared" si="490"/>
        <v>1</v>
      </c>
      <c r="BO396" s="1125">
        <f t="shared" si="491"/>
        <v>1</v>
      </c>
      <c r="BP396" s="1125">
        <f t="shared" si="492"/>
        <v>1</v>
      </c>
      <c r="BQ396" s="1125">
        <f t="shared" si="493"/>
        <v>1</v>
      </c>
      <c r="BR396" s="1125">
        <f t="shared" si="494"/>
        <v>1</v>
      </c>
      <c r="BS396" s="1125">
        <f t="shared" si="495"/>
        <v>1</v>
      </c>
      <c r="BT396" s="1125">
        <f t="shared" si="496"/>
        <v>1</v>
      </c>
      <c r="BU396" s="1125">
        <f t="shared" si="497"/>
        <v>1</v>
      </c>
      <c r="BV396" s="1125">
        <f t="shared" si="498"/>
        <v>1</v>
      </c>
      <c r="BW396" s="1125">
        <f t="shared" si="499"/>
        <v>0</v>
      </c>
      <c r="BX396" s="1125">
        <f t="shared" si="500"/>
        <v>0</v>
      </c>
      <c r="BY396" s="1125">
        <f t="shared" si="501"/>
        <v>0</v>
      </c>
      <c r="BZ396" s="1125">
        <f t="shared" si="502"/>
        <v>0</v>
      </c>
      <c r="CA396" s="1125">
        <f t="shared" si="503"/>
        <v>0</v>
      </c>
      <c r="CB396" s="1125">
        <f t="shared" si="504"/>
        <v>1</v>
      </c>
      <c r="CC396" s="1125">
        <f t="shared" si="505"/>
        <v>1</v>
      </c>
      <c r="CD396" s="1125">
        <f t="shared" si="506"/>
        <v>1</v>
      </c>
      <c r="CE396" s="1125">
        <f t="shared" si="507"/>
        <v>0</v>
      </c>
      <c r="CF396" s="1125">
        <f t="shared" si="508"/>
        <v>0</v>
      </c>
      <c r="CG396" s="1125">
        <f t="shared" si="509"/>
        <v>0</v>
      </c>
      <c r="CH396" s="1125">
        <f t="shared" si="510"/>
        <v>0</v>
      </c>
      <c r="CI396" s="1125">
        <f t="shared" si="511"/>
        <v>0.85</v>
      </c>
      <c r="CJ396" s="1125">
        <f t="shared" si="512"/>
        <v>0.85</v>
      </c>
      <c r="CK396" s="1125">
        <f t="shared" si="513"/>
        <v>0.85</v>
      </c>
      <c r="CL396" s="1125">
        <f t="shared" si="514"/>
        <v>0.85</v>
      </c>
      <c r="CM396" s="1125">
        <f t="shared" si="515"/>
        <v>0.85</v>
      </c>
      <c r="CN396" s="1125">
        <f t="shared" si="516"/>
        <v>0.85</v>
      </c>
      <c r="CO396" s="1125">
        <f t="shared" si="517"/>
        <v>0.85</v>
      </c>
      <c r="CP396" s="1125">
        <f t="shared" si="518"/>
        <v>0.85</v>
      </c>
      <c r="CQ396" s="1125">
        <f t="shared" si="519"/>
        <v>0.85</v>
      </c>
      <c r="CR396" s="1125">
        <f t="shared" si="520"/>
        <v>0.85</v>
      </c>
      <c r="CS396" s="1125">
        <f t="shared" si="521"/>
        <v>0.85</v>
      </c>
      <c r="CT396" s="1125">
        <f t="shared" si="522"/>
        <v>0.85</v>
      </c>
      <c r="CU396" s="1125">
        <v>1</v>
      </c>
      <c r="CV396" s="1125"/>
      <c r="CW396" s="1125">
        <f t="shared" si="523"/>
        <v>92</v>
      </c>
      <c r="CX396" s="1125">
        <f t="shared" si="524"/>
        <v>273</v>
      </c>
      <c r="CY396" s="1136" t="s">
        <v>4889</v>
      </c>
      <c r="CZ396" s="1129" t="s">
        <v>4896</v>
      </c>
      <c r="DA396" s="1129"/>
      <c r="DB396" s="1129"/>
      <c r="DC396" s="1125" t="s">
        <v>5378</v>
      </c>
      <c r="DD396" s="1125" t="s">
        <v>1108</v>
      </c>
      <c r="DE396" s="1120" t="str">
        <f t="shared" si="450"/>
        <v/>
      </c>
      <c r="DF396" s="1133">
        <v>0</v>
      </c>
      <c r="DG396" s="1120">
        <v>0</v>
      </c>
    </row>
    <row r="397" spans="1:111">
      <c r="A397" s="1125" t="s">
        <v>3567</v>
      </c>
      <c r="B397" s="1120" t="s">
        <v>3599</v>
      </c>
      <c r="C397" s="1120" t="s">
        <v>3600</v>
      </c>
      <c r="D397" s="1120" t="s">
        <v>1107</v>
      </c>
      <c r="E397" s="1120">
        <v>384</v>
      </c>
      <c r="F397" s="1120">
        <v>-87.68</v>
      </c>
      <c r="G397" s="1120">
        <v>37.82</v>
      </c>
      <c r="H397" s="1120">
        <v>-6</v>
      </c>
      <c r="I397" s="1121">
        <v>14.9</v>
      </c>
      <c r="J397" s="1121">
        <v>90.860001373291013</v>
      </c>
      <c r="K397" s="1122">
        <v>76.099999999999994</v>
      </c>
      <c r="L397" s="1120">
        <v>4807.8</v>
      </c>
      <c r="M397" s="1120">
        <v>1063.8</v>
      </c>
      <c r="N397" s="1123">
        <v>34.700000000000003</v>
      </c>
      <c r="O397" s="1123">
        <v>37.4</v>
      </c>
      <c r="P397" s="1123">
        <v>39.740000343322755</v>
      </c>
      <c r="Q397" s="1123">
        <v>52.7</v>
      </c>
      <c r="R397" s="1123">
        <v>65.480000686645511</v>
      </c>
      <c r="S397" s="1123">
        <v>70.519999313354489</v>
      </c>
      <c r="T397" s="1123">
        <v>75.380000686645502</v>
      </c>
      <c r="U397" s="1123">
        <v>71.599999999999994</v>
      </c>
      <c r="V397" s="1123">
        <v>67.639998626708987</v>
      </c>
      <c r="W397" s="1123">
        <v>55.4</v>
      </c>
      <c r="X397" s="1123">
        <v>41.179999828338623</v>
      </c>
      <c r="Y397" s="1123">
        <v>37.039999914169314</v>
      </c>
      <c r="Z397" s="1123">
        <v>54.158739681113254</v>
      </c>
      <c r="AA397" s="1123">
        <f t="shared" si="451"/>
        <v>50.874571696960807</v>
      </c>
      <c r="AB397" s="1123">
        <f t="shared" si="452"/>
        <v>49.996628914303734</v>
      </c>
      <c r="AC397" s="1123">
        <f t="shared" si="453"/>
        <v>51.767596905882812</v>
      </c>
      <c r="AD397" s="1123">
        <f t="shared" si="454"/>
        <v>55.725845573250098</v>
      </c>
      <c r="AE397" s="1123">
        <f t="shared" si="455"/>
        <v>60.839596402797923</v>
      </c>
      <c r="AF397" s="1123">
        <f t="shared" si="456"/>
        <v>65.775871435518965</v>
      </c>
      <c r="AG397" s="1123">
        <f t="shared" si="457"/>
        <v>69.247954513833591</v>
      </c>
      <c r="AH397" s="1123">
        <f t="shared" si="458"/>
        <v>70.350793676959242</v>
      </c>
      <c r="AI397" s="1123">
        <f t="shared" si="459"/>
        <v>68.79691690176125</v>
      </c>
      <c r="AJ397" s="1123">
        <f t="shared" si="460"/>
        <v>64.991366115660938</v>
      </c>
      <c r="AK397" s="1123">
        <f t="shared" si="461"/>
        <v>59.92611677636814</v>
      </c>
      <c r="AL397" s="1123">
        <f t="shared" si="462"/>
        <v>54.921504182024613</v>
      </c>
      <c r="AM397" s="1120">
        <f t="shared" si="463"/>
        <v>1</v>
      </c>
      <c r="AN397" s="1120">
        <f t="shared" si="464"/>
        <v>1</v>
      </c>
      <c r="AO397" s="1120">
        <f t="shared" si="465"/>
        <v>1</v>
      </c>
      <c r="AP397" s="1120">
        <f t="shared" si="466"/>
        <v>1</v>
      </c>
      <c r="AQ397" s="1120">
        <f t="shared" si="467"/>
        <v>1</v>
      </c>
      <c r="AR397" s="1120">
        <f t="shared" si="468"/>
        <v>0</v>
      </c>
      <c r="AS397" s="1120">
        <f t="shared" si="469"/>
        <v>0</v>
      </c>
      <c r="AT397" s="1120">
        <f t="shared" si="470"/>
        <v>0</v>
      </c>
      <c r="AU397" s="1120">
        <f t="shared" si="471"/>
        <v>0</v>
      </c>
      <c r="AV397" s="1120">
        <f t="shared" si="472"/>
        <v>1</v>
      </c>
      <c r="AW397" s="1120">
        <f t="shared" si="473"/>
        <v>1</v>
      </c>
      <c r="AX397" s="1120">
        <f t="shared" si="474"/>
        <v>1</v>
      </c>
      <c r="AY397" s="1120">
        <f t="shared" si="475"/>
        <v>0</v>
      </c>
      <c r="AZ397" s="1120">
        <f t="shared" si="476"/>
        <v>0</v>
      </c>
      <c r="BA397" s="1120">
        <f t="shared" si="477"/>
        <v>0</v>
      </c>
      <c r="BB397" s="1120">
        <f t="shared" si="478"/>
        <v>0</v>
      </c>
      <c r="BC397" s="1120">
        <f t="shared" si="479"/>
        <v>0</v>
      </c>
      <c r="BD397" s="1120">
        <f t="shared" si="480"/>
        <v>1</v>
      </c>
      <c r="BE397" s="1120">
        <f t="shared" si="481"/>
        <v>1</v>
      </c>
      <c r="BF397" s="1120">
        <f t="shared" si="482"/>
        <v>1</v>
      </c>
      <c r="BG397" s="1120">
        <f t="shared" si="483"/>
        <v>1</v>
      </c>
      <c r="BH397" s="1120">
        <f t="shared" si="484"/>
        <v>0</v>
      </c>
      <c r="BI397" s="1120">
        <f t="shared" si="485"/>
        <v>0</v>
      </c>
      <c r="BJ397" s="1120">
        <f t="shared" si="486"/>
        <v>0</v>
      </c>
      <c r="BK397" s="1120">
        <f t="shared" si="487"/>
        <v>1</v>
      </c>
      <c r="BL397" s="1120">
        <f t="shared" si="488"/>
        <v>1</v>
      </c>
      <c r="BM397" s="1120">
        <f t="shared" si="489"/>
        <v>1</v>
      </c>
      <c r="BN397" s="1120">
        <f t="shared" si="490"/>
        <v>1</v>
      </c>
      <c r="BO397" s="1120">
        <f t="shared" si="491"/>
        <v>1</v>
      </c>
      <c r="BP397" s="1120">
        <f t="shared" si="492"/>
        <v>1</v>
      </c>
      <c r="BQ397" s="1120">
        <f t="shared" si="493"/>
        <v>0</v>
      </c>
      <c r="BR397" s="1120">
        <f t="shared" si="494"/>
        <v>0</v>
      </c>
      <c r="BS397" s="1120">
        <f t="shared" si="495"/>
        <v>0</v>
      </c>
      <c r="BT397" s="1120">
        <f t="shared" si="496"/>
        <v>1</v>
      </c>
      <c r="BU397" s="1120">
        <f t="shared" si="497"/>
        <v>1</v>
      </c>
      <c r="BV397" s="1120">
        <f t="shared" si="498"/>
        <v>1</v>
      </c>
      <c r="BW397" s="1120">
        <f t="shared" si="499"/>
        <v>0</v>
      </c>
      <c r="BX397" s="1120">
        <f t="shared" si="500"/>
        <v>0</v>
      </c>
      <c r="BY397" s="1120">
        <f t="shared" si="501"/>
        <v>0</v>
      </c>
      <c r="BZ397" s="1120">
        <f t="shared" si="502"/>
        <v>0</v>
      </c>
      <c r="CA397" s="1120">
        <f t="shared" si="503"/>
        <v>1</v>
      </c>
      <c r="CB397" s="1120">
        <f t="shared" si="504"/>
        <v>1</v>
      </c>
      <c r="CC397" s="1120">
        <f t="shared" si="505"/>
        <v>1</v>
      </c>
      <c r="CD397" s="1120">
        <f t="shared" si="506"/>
        <v>1</v>
      </c>
      <c r="CE397" s="1120">
        <f t="shared" si="507"/>
        <v>1</v>
      </c>
      <c r="CF397" s="1120">
        <f t="shared" si="508"/>
        <v>1</v>
      </c>
      <c r="CG397" s="1120">
        <f t="shared" si="509"/>
        <v>0</v>
      </c>
      <c r="CH397" s="1120">
        <f t="shared" si="510"/>
        <v>0</v>
      </c>
      <c r="CI397" s="1120">
        <f t="shared" si="511"/>
        <v>0.85</v>
      </c>
      <c r="CJ397" s="1120">
        <f t="shared" si="512"/>
        <v>0.85</v>
      </c>
      <c r="CK397" s="1120">
        <f t="shared" si="513"/>
        <v>0.85</v>
      </c>
      <c r="CL397" s="1120">
        <f t="shared" si="514"/>
        <v>0.85</v>
      </c>
      <c r="CM397" s="1120">
        <f t="shared" si="515"/>
        <v>0.85</v>
      </c>
      <c r="CN397" s="1120">
        <f t="shared" si="516"/>
        <v>0.85</v>
      </c>
      <c r="CO397" s="1120">
        <f t="shared" si="517"/>
        <v>0.7</v>
      </c>
      <c r="CP397" s="1120">
        <f t="shared" si="518"/>
        <v>0.7</v>
      </c>
      <c r="CQ397" s="1120">
        <f t="shared" si="519"/>
        <v>0.7</v>
      </c>
      <c r="CR397" s="1120">
        <f t="shared" si="520"/>
        <v>0.85</v>
      </c>
      <c r="CS397" s="1120">
        <f t="shared" si="521"/>
        <v>0.85</v>
      </c>
      <c r="CT397" s="1120">
        <f t="shared" si="522"/>
        <v>0.85</v>
      </c>
      <c r="CU397" s="1120">
        <v>1</v>
      </c>
      <c r="CV397" s="1120"/>
      <c r="CW397" s="1120">
        <f t="shared" si="523"/>
        <v>184</v>
      </c>
      <c r="CX397" s="1120">
        <f t="shared" si="524"/>
        <v>181</v>
      </c>
      <c r="CY397" s="1135" t="s">
        <v>4881</v>
      </c>
      <c r="CZ397" s="1124" t="s">
        <v>4885</v>
      </c>
      <c r="DA397" s="1124"/>
      <c r="DB397" s="1124"/>
      <c r="DC397" s="1120" t="s">
        <v>5244</v>
      </c>
      <c r="DD397" s="1120" t="s">
        <v>1107</v>
      </c>
      <c r="DE397" s="1120" t="str">
        <f t="shared" si="450"/>
        <v/>
      </c>
      <c r="DF397" s="1133">
        <v>0</v>
      </c>
      <c r="DG397" s="1125">
        <v>0</v>
      </c>
    </row>
    <row r="398" spans="1:111">
      <c r="A398" s="1120" t="s">
        <v>3569</v>
      </c>
      <c r="B398" s="1125" t="s">
        <v>3801</v>
      </c>
      <c r="C398" s="1125" t="s">
        <v>3802</v>
      </c>
      <c r="D398" s="1125" t="s">
        <v>934</v>
      </c>
      <c r="E398" s="1125">
        <v>1348</v>
      </c>
      <c r="F398" s="1125">
        <v>-92.85</v>
      </c>
      <c r="G398" s="1125">
        <v>47.38</v>
      </c>
      <c r="H398" s="1125">
        <v>-6</v>
      </c>
      <c r="I398" s="1126">
        <v>-18.039998626708986</v>
      </c>
      <c r="J398" s="1126">
        <v>82.219999313354492</v>
      </c>
      <c r="K398" s="1127">
        <v>68</v>
      </c>
      <c r="L398" s="1125">
        <v>9603</v>
      </c>
      <c r="M398" s="1125">
        <v>270</v>
      </c>
      <c r="N398" s="1128">
        <v>3.9199993133544915</v>
      </c>
      <c r="O398" s="1128">
        <v>6.9800006866455071</v>
      </c>
      <c r="P398" s="1128">
        <v>26.23999991416931</v>
      </c>
      <c r="Q398" s="1128">
        <v>37.939999914169313</v>
      </c>
      <c r="R398" s="1128">
        <v>49.459999656677248</v>
      </c>
      <c r="S398" s="1128">
        <v>62.6</v>
      </c>
      <c r="T398" s="1128">
        <v>64.580000686645505</v>
      </c>
      <c r="U398" s="1128">
        <v>64.939998626708984</v>
      </c>
      <c r="V398" s="1128">
        <v>58.640000343322754</v>
      </c>
      <c r="W398" s="1128">
        <v>43.52000017166138</v>
      </c>
      <c r="X398" s="1128">
        <v>32.9</v>
      </c>
      <c r="Y398" s="1128">
        <v>12.019999313354491</v>
      </c>
      <c r="Z398" s="1128">
        <v>38.802520424960413</v>
      </c>
      <c r="AA398" s="1128">
        <f t="shared" si="451"/>
        <v>36.625121415096949</v>
      </c>
      <c r="AB398" s="1128">
        <f t="shared" si="452"/>
        <v>34.347352172693732</v>
      </c>
      <c r="AC398" s="1128">
        <f t="shared" si="453"/>
        <v>34.794883654263629</v>
      </c>
      <c r="AD398" s="1128">
        <f t="shared" si="454"/>
        <v>37.851059882466551</v>
      </c>
      <c r="AE398" s="1128">
        <f t="shared" si="455"/>
        <v>42.71924142632011</v>
      </c>
      <c r="AF398" s="1128">
        <f t="shared" si="456"/>
        <v>48.13046174547042</v>
      </c>
      <c r="AG398" s="1128">
        <f t="shared" si="457"/>
        <v>52.674202874301663</v>
      </c>
      <c r="AH398" s="1128">
        <f t="shared" si="458"/>
        <v>55.166068666413651</v>
      </c>
      <c r="AI398" s="1128">
        <f t="shared" si="459"/>
        <v>54.956515902278163</v>
      </c>
      <c r="AJ398" s="1128">
        <f t="shared" si="460"/>
        <v>52.100167739172953</v>
      </c>
      <c r="AK398" s="1128">
        <f t="shared" si="461"/>
        <v>47.341575343468989</v>
      </c>
      <c r="AL398" s="1128">
        <f t="shared" si="462"/>
        <v>41.921139155235082</v>
      </c>
      <c r="AM398" s="1125">
        <f t="shared" si="463"/>
        <v>1</v>
      </c>
      <c r="AN398" s="1125">
        <f t="shared" si="464"/>
        <v>1</v>
      </c>
      <c r="AO398" s="1125">
        <f t="shared" si="465"/>
        <v>1</v>
      </c>
      <c r="AP398" s="1125">
        <f t="shared" si="466"/>
        <v>1</v>
      </c>
      <c r="AQ398" s="1125">
        <f t="shared" si="467"/>
        <v>1</v>
      </c>
      <c r="AR398" s="1125">
        <f t="shared" si="468"/>
        <v>1</v>
      </c>
      <c r="AS398" s="1125">
        <f t="shared" si="469"/>
        <v>1</v>
      </c>
      <c r="AT398" s="1125">
        <f t="shared" si="470"/>
        <v>1</v>
      </c>
      <c r="AU398" s="1125">
        <f t="shared" si="471"/>
        <v>1</v>
      </c>
      <c r="AV398" s="1125">
        <f t="shared" si="472"/>
        <v>1</v>
      </c>
      <c r="AW398" s="1125">
        <f t="shared" si="473"/>
        <v>1</v>
      </c>
      <c r="AX398" s="1125">
        <f t="shared" si="474"/>
        <v>1</v>
      </c>
      <c r="AY398" s="1125">
        <f t="shared" si="475"/>
        <v>0</v>
      </c>
      <c r="AZ398" s="1125">
        <f t="shared" si="476"/>
        <v>0</v>
      </c>
      <c r="BA398" s="1125">
        <f t="shared" si="477"/>
        <v>0</v>
      </c>
      <c r="BB398" s="1125">
        <f t="shared" si="478"/>
        <v>0</v>
      </c>
      <c r="BC398" s="1125">
        <f t="shared" si="479"/>
        <v>0</v>
      </c>
      <c r="BD398" s="1125">
        <f t="shared" si="480"/>
        <v>0</v>
      </c>
      <c r="BE398" s="1125">
        <f t="shared" si="481"/>
        <v>1</v>
      </c>
      <c r="BF398" s="1125">
        <f t="shared" si="482"/>
        <v>1</v>
      </c>
      <c r="BG398" s="1125">
        <f t="shared" si="483"/>
        <v>0</v>
      </c>
      <c r="BH398" s="1125">
        <f t="shared" si="484"/>
        <v>0</v>
      </c>
      <c r="BI398" s="1125">
        <f t="shared" si="485"/>
        <v>0</v>
      </c>
      <c r="BJ398" s="1125">
        <f t="shared" si="486"/>
        <v>0</v>
      </c>
      <c r="BK398" s="1125">
        <f t="shared" si="487"/>
        <v>1</v>
      </c>
      <c r="BL398" s="1125">
        <f t="shared" si="488"/>
        <v>1</v>
      </c>
      <c r="BM398" s="1125">
        <f t="shared" si="489"/>
        <v>1</v>
      </c>
      <c r="BN398" s="1125">
        <f t="shared" si="490"/>
        <v>1</v>
      </c>
      <c r="BO398" s="1125">
        <f t="shared" si="491"/>
        <v>1</v>
      </c>
      <c r="BP398" s="1125">
        <f t="shared" si="492"/>
        <v>1</v>
      </c>
      <c r="BQ398" s="1125">
        <f t="shared" si="493"/>
        <v>1</v>
      </c>
      <c r="BR398" s="1125">
        <f t="shared" si="494"/>
        <v>1</v>
      </c>
      <c r="BS398" s="1125">
        <f t="shared" si="495"/>
        <v>1</v>
      </c>
      <c r="BT398" s="1125">
        <f t="shared" si="496"/>
        <v>1</v>
      </c>
      <c r="BU398" s="1125">
        <f t="shared" si="497"/>
        <v>1</v>
      </c>
      <c r="BV398" s="1125">
        <f t="shared" si="498"/>
        <v>1</v>
      </c>
      <c r="BW398" s="1125">
        <f t="shared" si="499"/>
        <v>0</v>
      </c>
      <c r="BX398" s="1125">
        <f t="shared" si="500"/>
        <v>0</v>
      </c>
      <c r="BY398" s="1125">
        <f t="shared" si="501"/>
        <v>0</v>
      </c>
      <c r="BZ398" s="1125">
        <f t="shared" si="502"/>
        <v>0</v>
      </c>
      <c r="CA398" s="1125">
        <f t="shared" si="503"/>
        <v>0</v>
      </c>
      <c r="CB398" s="1125">
        <f t="shared" si="504"/>
        <v>0</v>
      </c>
      <c r="CC398" s="1125">
        <f t="shared" si="505"/>
        <v>1</v>
      </c>
      <c r="CD398" s="1125">
        <f t="shared" si="506"/>
        <v>1</v>
      </c>
      <c r="CE398" s="1125">
        <f t="shared" si="507"/>
        <v>0</v>
      </c>
      <c r="CF398" s="1125">
        <f t="shared" si="508"/>
        <v>0</v>
      </c>
      <c r="CG398" s="1125">
        <f t="shared" si="509"/>
        <v>0</v>
      </c>
      <c r="CH398" s="1125">
        <f t="shared" si="510"/>
        <v>0</v>
      </c>
      <c r="CI398" s="1125">
        <f t="shared" si="511"/>
        <v>0.85</v>
      </c>
      <c r="CJ398" s="1125">
        <f t="shared" si="512"/>
        <v>0.85</v>
      </c>
      <c r="CK398" s="1125">
        <f t="shared" si="513"/>
        <v>0.85</v>
      </c>
      <c r="CL398" s="1125">
        <f t="shared" si="514"/>
        <v>0.85</v>
      </c>
      <c r="CM398" s="1125">
        <f t="shared" si="515"/>
        <v>0.85</v>
      </c>
      <c r="CN398" s="1125">
        <f t="shared" si="516"/>
        <v>0.85</v>
      </c>
      <c r="CO398" s="1125">
        <f t="shared" si="517"/>
        <v>0.85</v>
      </c>
      <c r="CP398" s="1125">
        <f t="shared" si="518"/>
        <v>0.85</v>
      </c>
      <c r="CQ398" s="1125">
        <f t="shared" si="519"/>
        <v>0.85</v>
      </c>
      <c r="CR398" s="1125">
        <f t="shared" si="520"/>
        <v>0.85</v>
      </c>
      <c r="CS398" s="1125">
        <f t="shared" si="521"/>
        <v>0.85</v>
      </c>
      <c r="CT398" s="1125">
        <f t="shared" si="522"/>
        <v>0.85</v>
      </c>
      <c r="CU398" s="1125">
        <v>1</v>
      </c>
      <c r="CV398" s="1125"/>
      <c r="CW398" s="1125">
        <f t="shared" si="523"/>
        <v>62</v>
      </c>
      <c r="CX398" s="1125">
        <f t="shared" si="524"/>
        <v>303</v>
      </c>
      <c r="CY398" s="1136" t="s">
        <v>4879</v>
      </c>
      <c r="CZ398" s="1129">
        <v>7</v>
      </c>
      <c r="DA398" s="1129"/>
      <c r="DB398" s="1129"/>
      <c r="DC398" s="1125" t="s">
        <v>6036</v>
      </c>
      <c r="DD398" s="1125" t="s">
        <v>934</v>
      </c>
      <c r="DE398" s="1120" t="str">
        <f t="shared" si="450"/>
        <v/>
      </c>
      <c r="DF398" s="1133">
        <v>0</v>
      </c>
      <c r="DG398" s="1120">
        <v>0</v>
      </c>
    </row>
    <row r="399" spans="1:111">
      <c r="A399" s="1125" t="s">
        <v>3571</v>
      </c>
      <c r="B399" s="1120" t="s">
        <v>3948</v>
      </c>
      <c r="C399" s="1120" t="s">
        <v>3949</v>
      </c>
      <c r="D399" s="1120" t="s">
        <v>426</v>
      </c>
      <c r="E399" s="1120">
        <v>1141</v>
      </c>
      <c r="F399" s="1120">
        <v>-81.38</v>
      </c>
      <c r="G399" s="1120">
        <v>35.729999999999997</v>
      </c>
      <c r="H399" s="1120">
        <v>-5</v>
      </c>
      <c r="I399" s="1121">
        <v>23.179999828338623</v>
      </c>
      <c r="J399" s="1121">
        <v>90.139998626708987</v>
      </c>
      <c r="K399" s="1122">
        <v>72.860001373291013</v>
      </c>
      <c r="L399" s="1120">
        <v>3330</v>
      </c>
      <c r="M399" s="1120">
        <v>1459.8</v>
      </c>
      <c r="N399" s="1123">
        <v>38.47999982833862</v>
      </c>
      <c r="O399" s="1123">
        <v>40.1</v>
      </c>
      <c r="P399" s="1123">
        <v>51.619999313354491</v>
      </c>
      <c r="Q399" s="1123">
        <v>61.339998626708983</v>
      </c>
      <c r="R399" s="1123">
        <v>68.539998626708979</v>
      </c>
      <c r="S399" s="1123">
        <v>74.480000686645511</v>
      </c>
      <c r="T399" s="1123">
        <v>76.639998626708987</v>
      </c>
      <c r="U399" s="1123">
        <v>76.819999313354487</v>
      </c>
      <c r="V399" s="1123">
        <v>67.099999999999994</v>
      </c>
      <c r="W399" s="1123">
        <v>60.080000686645505</v>
      </c>
      <c r="X399" s="1123">
        <v>51.259999656677245</v>
      </c>
      <c r="Y399" s="1123">
        <v>43.7</v>
      </c>
      <c r="Z399" s="1123">
        <v>59.288985910546288</v>
      </c>
      <c r="AA399" s="1123">
        <f t="shared" si="451"/>
        <v>55.294020865285276</v>
      </c>
      <c r="AB399" s="1123">
        <f t="shared" si="452"/>
        <v>54.855797757336504</v>
      </c>
      <c r="AC399" s="1123">
        <f t="shared" si="453"/>
        <v>57.137145921818075</v>
      </c>
      <c r="AD399" s="1123">
        <f t="shared" si="454"/>
        <v>61.543396803018489</v>
      </c>
      <c r="AE399" s="1123">
        <f t="shared" si="455"/>
        <v>66.925993206371373</v>
      </c>
      <c r="AF399" s="1123">
        <f t="shared" si="456"/>
        <v>71.881878431021406</v>
      </c>
      <c r="AG399" s="1123">
        <f t="shared" si="457"/>
        <v>75.119224620660461</v>
      </c>
      <c r="AH399" s="1123">
        <f t="shared" si="458"/>
        <v>75.794167601944224</v>
      </c>
      <c r="AI399" s="1123">
        <f t="shared" si="459"/>
        <v>73.730773085614885</v>
      </c>
      <c r="AJ399" s="1123">
        <f t="shared" si="460"/>
        <v>69.466896650225692</v>
      </c>
      <c r="AK399" s="1123">
        <f t="shared" si="461"/>
        <v>64.113983396985702</v>
      </c>
      <c r="AL399" s="1123">
        <f t="shared" si="462"/>
        <v>59.067352656242115</v>
      </c>
      <c r="AM399" s="1120">
        <f t="shared" si="463"/>
        <v>1</v>
      </c>
      <c r="AN399" s="1120">
        <f t="shared" si="464"/>
        <v>1</v>
      </c>
      <c r="AO399" s="1120">
        <f t="shared" si="465"/>
        <v>1</v>
      </c>
      <c r="AP399" s="1120">
        <f t="shared" si="466"/>
        <v>1</v>
      </c>
      <c r="AQ399" s="1120">
        <f t="shared" si="467"/>
        <v>0</v>
      </c>
      <c r="AR399" s="1120">
        <f t="shared" si="468"/>
        <v>0</v>
      </c>
      <c r="AS399" s="1120">
        <f t="shared" si="469"/>
        <v>0</v>
      </c>
      <c r="AT399" s="1120">
        <f t="shared" si="470"/>
        <v>0</v>
      </c>
      <c r="AU399" s="1120">
        <f t="shared" si="471"/>
        <v>0</v>
      </c>
      <c r="AV399" s="1120">
        <f t="shared" si="472"/>
        <v>1</v>
      </c>
      <c r="AW399" s="1120">
        <f t="shared" si="473"/>
        <v>1</v>
      </c>
      <c r="AX399" s="1120">
        <f t="shared" si="474"/>
        <v>1</v>
      </c>
      <c r="AY399" s="1120">
        <f t="shared" si="475"/>
        <v>0</v>
      </c>
      <c r="AZ399" s="1120">
        <f t="shared" si="476"/>
        <v>0</v>
      </c>
      <c r="BA399" s="1120">
        <f t="shared" si="477"/>
        <v>0</v>
      </c>
      <c r="BB399" s="1120">
        <f t="shared" si="478"/>
        <v>0</v>
      </c>
      <c r="BC399" s="1120">
        <f t="shared" si="479"/>
        <v>1</v>
      </c>
      <c r="BD399" s="1120">
        <f t="shared" si="480"/>
        <v>1</v>
      </c>
      <c r="BE399" s="1120">
        <f t="shared" si="481"/>
        <v>1</v>
      </c>
      <c r="BF399" s="1120">
        <f t="shared" si="482"/>
        <v>1</v>
      </c>
      <c r="BG399" s="1120">
        <f t="shared" si="483"/>
        <v>1</v>
      </c>
      <c r="BH399" s="1120">
        <f t="shared" si="484"/>
        <v>0</v>
      </c>
      <c r="BI399" s="1120">
        <f t="shared" si="485"/>
        <v>0</v>
      </c>
      <c r="BJ399" s="1120">
        <f t="shared" si="486"/>
        <v>0</v>
      </c>
      <c r="BK399" s="1120">
        <f t="shared" si="487"/>
        <v>1</v>
      </c>
      <c r="BL399" s="1120">
        <f t="shared" si="488"/>
        <v>1</v>
      </c>
      <c r="BM399" s="1120">
        <f t="shared" si="489"/>
        <v>1</v>
      </c>
      <c r="BN399" s="1120">
        <f t="shared" si="490"/>
        <v>1</v>
      </c>
      <c r="BO399" s="1120">
        <f t="shared" si="491"/>
        <v>1</v>
      </c>
      <c r="BP399" s="1120">
        <f t="shared" si="492"/>
        <v>0</v>
      </c>
      <c r="BQ399" s="1120">
        <f t="shared" si="493"/>
        <v>0</v>
      </c>
      <c r="BR399" s="1120">
        <f t="shared" si="494"/>
        <v>0</v>
      </c>
      <c r="BS399" s="1120">
        <f t="shared" si="495"/>
        <v>0</v>
      </c>
      <c r="BT399" s="1120">
        <f t="shared" si="496"/>
        <v>1</v>
      </c>
      <c r="BU399" s="1120">
        <f t="shared" si="497"/>
        <v>1</v>
      </c>
      <c r="BV399" s="1120">
        <f t="shared" si="498"/>
        <v>1</v>
      </c>
      <c r="BW399" s="1120">
        <f t="shared" si="499"/>
        <v>0</v>
      </c>
      <c r="BX399" s="1120">
        <f t="shared" si="500"/>
        <v>0</v>
      </c>
      <c r="BY399" s="1120">
        <f t="shared" si="501"/>
        <v>0</v>
      </c>
      <c r="BZ399" s="1120">
        <f t="shared" si="502"/>
        <v>1</v>
      </c>
      <c r="CA399" s="1120">
        <f t="shared" si="503"/>
        <v>1</v>
      </c>
      <c r="CB399" s="1120">
        <f t="shared" si="504"/>
        <v>1</v>
      </c>
      <c r="CC399" s="1120">
        <f t="shared" si="505"/>
        <v>1</v>
      </c>
      <c r="CD399" s="1120">
        <f t="shared" si="506"/>
        <v>1</v>
      </c>
      <c r="CE399" s="1120">
        <f t="shared" si="507"/>
        <v>1</v>
      </c>
      <c r="CF399" s="1120">
        <f t="shared" si="508"/>
        <v>1</v>
      </c>
      <c r="CG399" s="1120">
        <f t="shared" si="509"/>
        <v>0</v>
      </c>
      <c r="CH399" s="1120">
        <f t="shared" si="510"/>
        <v>0</v>
      </c>
      <c r="CI399" s="1120">
        <f t="shared" si="511"/>
        <v>0.85</v>
      </c>
      <c r="CJ399" s="1120">
        <f t="shared" si="512"/>
        <v>0.85</v>
      </c>
      <c r="CK399" s="1120">
        <f t="shared" si="513"/>
        <v>0.85</v>
      </c>
      <c r="CL399" s="1120">
        <f t="shared" si="514"/>
        <v>0.85</v>
      </c>
      <c r="CM399" s="1120">
        <f t="shared" si="515"/>
        <v>0.85</v>
      </c>
      <c r="CN399" s="1120">
        <f t="shared" si="516"/>
        <v>0.7</v>
      </c>
      <c r="CO399" s="1120">
        <f t="shared" si="517"/>
        <v>0.7</v>
      </c>
      <c r="CP399" s="1120">
        <f t="shared" si="518"/>
        <v>0.7</v>
      </c>
      <c r="CQ399" s="1120">
        <f t="shared" si="519"/>
        <v>0.7</v>
      </c>
      <c r="CR399" s="1120">
        <f t="shared" si="520"/>
        <v>0.85</v>
      </c>
      <c r="CS399" s="1120">
        <f t="shared" si="521"/>
        <v>0.85</v>
      </c>
      <c r="CT399" s="1120">
        <f t="shared" si="522"/>
        <v>0.85</v>
      </c>
      <c r="CU399" s="1120">
        <v>1</v>
      </c>
      <c r="CV399" s="1120"/>
      <c r="CW399" s="1120">
        <f t="shared" si="523"/>
        <v>214</v>
      </c>
      <c r="CX399" s="1120">
        <f t="shared" si="524"/>
        <v>151</v>
      </c>
      <c r="CY399" s="1135" t="s">
        <v>4881</v>
      </c>
      <c r="CZ399" s="1124" t="s">
        <v>4885</v>
      </c>
      <c r="DA399" s="1124"/>
      <c r="DB399" s="1124"/>
      <c r="DC399" s="1120" t="s">
        <v>5392</v>
      </c>
      <c r="DD399" s="1120" t="s">
        <v>426</v>
      </c>
      <c r="DE399" s="1120" t="str">
        <f t="shared" si="450"/>
        <v/>
      </c>
      <c r="DF399" s="1133">
        <v>0</v>
      </c>
      <c r="DG399" s="1125">
        <v>0</v>
      </c>
    </row>
    <row r="400" spans="1:111">
      <c r="A400" s="1120" t="s">
        <v>3587</v>
      </c>
      <c r="B400" s="1120" t="s">
        <v>3565</v>
      </c>
      <c r="C400" s="1120" t="s">
        <v>3566</v>
      </c>
      <c r="D400" s="1120" t="s">
        <v>256</v>
      </c>
      <c r="E400" s="1120">
        <v>2188</v>
      </c>
      <c r="F400" s="1120">
        <v>-99.83</v>
      </c>
      <c r="G400" s="1120">
        <v>39.380000000000003</v>
      </c>
      <c r="H400" s="1120">
        <v>-6</v>
      </c>
      <c r="I400" s="1121">
        <v>7.3400003433227532</v>
      </c>
      <c r="J400" s="1121">
        <v>98.960001373291021</v>
      </c>
      <c r="K400" s="1122">
        <v>70.880000686645502</v>
      </c>
      <c r="L400" s="1120">
        <v>5596.2</v>
      </c>
      <c r="M400" s="1120">
        <v>1231.2</v>
      </c>
      <c r="N400" s="1123">
        <v>30.559999978542329</v>
      </c>
      <c r="O400" s="1123">
        <v>25.7</v>
      </c>
      <c r="P400" s="1123">
        <v>35.779999828338624</v>
      </c>
      <c r="Q400" s="1123">
        <v>53.959999656677248</v>
      </c>
      <c r="R400" s="1123">
        <v>60.980000686645511</v>
      </c>
      <c r="S400" s="1123">
        <v>73.400000000000006</v>
      </c>
      <c r="T400" s="1123">
        <v>78.8</v>
      </c>
      <c r="U400" s="1123">
        <v>73.039998626708979</v>
      </c>
      <c r="V400" s="1123">
        <v>63.5</v>
      </c>
      <c r="W400" s="1123">
        <v>54.5</v>
      </c>
      <c r="X400" s="1123">
        <v>42.97999982833862</v>
      </c>
      <c r="Y400" s="1123">
        <v>34.339999914169312</v>
      </c>
      <c r="Z400" s="1123">
        <v>52.446027272923352</v>
      </c>
      <c r="AA400" s="1123">
        <f t="shared" si="451"/>
        <v>46.903351073692818</v>
      </c>
      <c r="AB400" s="1123">
        <f t="shared" si="452"/>
        <v>45.606217596412257</v>
      </c>
      <c r="AC400" s="1123">
        <f t="shared" si="453"/>
        <v>47.655978378770826</v>
      </c>
      <c r="AD400" s="1123">
        <f t="shared" si="454"/>
        <v>52.518331685076951</v>
      </c>
      <c r="AE400" s="1123">
        <f t="shared" si="455"/>
        <v>58.925830194909345</v>
      </c>
      <c r="AF400" s="1123">
        <f t="shared" si="456"/>
        <v>65.208260679139244</v>
      </c>
      <c r="AG400" s="1123">
        <f t="shared" si="457"/>
        <v>69.728010816867808</v>
      </c>
      <c r="AH400" s="1123">
        <f t="shared" si="458"/>
        <v>71.306938083238109</v>
      </c>
      <c r="AI400" s="1123">
        <f t="shared" si="459"/>
        <v>69.533470754265053</v>
      </c>
      <c r="AJ400" s="1123">
        <f t="shared" si="460"/>
        <v>64.869890419204253</v>
      </c>
      <c r="AK400" s="1123">
        <f t="shared" si="461"/>
        <v>58.53183116033771</v>
      </c>
      <c r="AL400" s="1123">
        <f t="shared" si="462"/>
        <v>52.171405795938689</v>
      </c>
      <c r="AM400" s="1120">
        <f t="shared" si="463"/>
        <v>1</v>
      </c>
      <c r="AN400" s="1120">
        <f t="shared" si="464"/>
        <v>1</v>
      </c>
      <c r="AO400" s="1120">
        <f t="shared" si="465"/>
        <v>1</v>
      </c>
      <c r="AP400" s="1120">
        <f t="shared" si="466"/>
        <v>1</v>
      </c>
      <c r="AQ400" s="1120">
        <f t="shared" si="467"/>
        <v>1</v>
      </c>
      <c r="AR400" s="1120">
        <f t="shared" si="468"/>
        <v>0</v>
      </c>
      <c r="AS400" s="1120">
        <f t="shared" si="469"/>
        <v>0</v>
      </c>
      <c r="AT400" s="1120">
        <f t="shared" si="470"/>
        <v>0</v>
      </c>
      <c r="AU400" s="1120">
        <f t="shared" si="471"/>
        <v>1</v>
      </c>
      <c r="AV400" s="1120">
        <f t="shared" si="472"/>
        <v>1</v>
      </c>
      <c r="AW400" s="1120">
        <f t="shared" si="473"/>
        <v>1</v>
      </c>
      <c r="AX400" s="1120">
        <f t="shared" si="474"/>
        <v>1</v>
      </c>
      <c r="AY400" s="1120">
        <f t="shared" si="475"/>
        <v>0</v>
      </c>
      <c r="AZ400" s="1120">
        <f t="shared" si="476"/>
        <v>0</v>
      </c>
      <c r="BA400" s="1120">
        <f t="shared" si="477"/>
        <v>0</v>
      </c>
      <c r="BB400" s="1120">
        <f t="shared" si="478"/>
        <v>0</v>
      </c>
      <c r="BC400" s="1120">
        <f t="shared" si="479"/>
        <v>0</v>
      </c>
      <c r="BD400" s="1120">
        <f t="shared" si="480"/>
        <v>1</v>
      </c>
      <c r="BE400" s="1120">
        <f t="shared" si="481"/>
        <v>1</v>
      </c>
      <c r="BF400" s="1120">
        <f t="shared" si="482"/>
        <v>1</v>
      </c>
      <c r="BG400" s="1120">
        <f t="shared" si="483"/>
        <v>0</v>
      </c>
      <c r="BH400" s="1120">
        <f t="shared" si="484"/>
        <v>0</v>
      </c>
      <c r="BI400" s="1120">
        <f t="shared" si="485"/>
        <v>0</v>
      </c>
      <c r="BJ400" s="1120">
        <f t="shared" si="486"/>
        <v>0</v>
      </c>
      <c r="BK400" s="1120">
        <f t="shared" si="487"/>
        <v>1</v>
      </c>
      <c r="BL400" s="1120">
        <f t="shared" si="488"/>
        <v>1</v>
      </c>
      <c r="BM400" s="1120">
        <f t="shared" si="489"/>
        <v>1</v>
      </c>
      <c r="BN400" s="1120">
        <f t="shared" si="490"/>
        <v>1</v>
      </c>
      <c r="BO400" s="1120">
        <f t="shared" si="491"/>
        <v>1</v>
      </c>
      <c r="BP400" s="1120">
        <f t="shared" si="492"/>
        <v>1</v>
      </c>
      <c r="BQ400" s="1120">
        <f t="shared" si="493"/>
        <v>0</v>
      </c>
      <c r="BR400" s="1120">
        <f t="shared" si="494"/>
        <v>0</v>
      </c>
      <c r="BS400" s="1120">
        <f t="shared" si="495"/>
        <v>1</v>
      </c>
      <c r="BT400" s="1120">
        <f t="shared" si="496"/>
        <v>1</v>
      </c>
      <c r="BU400" s="1120">
        <f t="shared" si="497"/>
        <v>1</v>
      </c>
      <c r="BV400" s="1120">
        <f t="shared" si="498"/>
        <v>1</v>
      </c>
      <c r="BW400" s="1120">
        <f t="shared" si="499"/>
        <v>0</v>
      </c>
      <c r="BX400" s="1120">
        <f t="shared" si="500"/>
        <v>0</v>
      </c>
      <c r="BY400" s="1120">
        <f t="shared" si="501"/>
        <v>0</v>
      </c>
      <c r="BZ400" s="1120">
        <f t="shared" si="502"/>
        <v>0</v>
      </c>
      <c r="CA400" s="1120">
        <f t="shared" si="503"/>
        <v>1</v>
      </c>
      <c r="CB400" s="1120">
        <f t="shared" si="504"/>
        <v>1</v>
      </c>
      <c r="CC400" s="1120">
        <f t="shared" si="505"/>
        <v>1</v>
      </c>
      <c r="CD400" s="1120">
        <f t="shared" si="506"/>
        <v>1</v>
      </c>
      <c r="CE400" s="1120">
        <f t="shared" si="507"/>
        <v>1</v>
      </c>
      <c r="CF400" s="1120">
        <f t="shared" si="508"/>
        <v>0</v>
      </c>
      <c r="CG400" s="1120">
        <f t="shared" si="509"/>
        <v>0</v>
      </c>
      <c r="CH400" s="1120">
        <f t="shared" si="510"/>
        <v>0</v>
      </c>
      <c r="CI400" s="1120">
        <f t="shared" si="511"/>
        <v>0.85</v>
      </c>
      <c r="CJ400" s="1120">
        <f t="shared" si="512"/>
        <v>0.85</v>
      </c>
      <c r="CK400" s="1120">
        <f t="shared" si="513"/>
        <v>0.85</v>
      </c>
      <c r="CL400" s="1120">
        <f t="shared" si="514"/>
        <v>0.85</v>
      </c>
      <c r="CM400" s="1120">
        <f t="shared" si="515"/>
        <v>0.85</v>
      </c>
      <c r="CN400" s="1120">
        <f t="shared" si="516"/>
        <v>0.85</v>
      </c>
      <c r="CO400" s="1120">
        <f t="shared" si="517"/>
        <v>0.7</v>
      </c>
      <c r="CP400" s="1120">
        <f t="shared" si="518"/>
        <v>0.7</v>
      </c>
      <c r="CQ400" s="1120">
        <f t="shared" si="519"/>
        <v>0.85</v>
      </c>
      <c r="CR400" s="1120">
        <f t="shared" si="520"/>
        <v>0.85</v>
      </c>
      <c r="CS400" s="1120">
        <f t="shared" si="521"/>
        <v>0.85</v>
      </c>
      <c r="CT400" s="1120">
        <f t="shared" si="522"/>
        <v>0.85</v>
      </c>
      <c r="CU400" s="1120">
        <v>1</v>
      </c>
      <c r="CV400" s="1120"/>
      <c r="CW400" s="1120">
        <f t="shared" si="523"/>
        <v>153</v>
      </c>
      <c r="CX400" s="1120">
        <f t="shared" si="524"/>
        <v>212</v>
      </c>
      <c r="CY400" s="1135" t="s">
        <v>4889</v>
      </c>
      <c r="CZ400" s="1124" t="s">
        <v>4897</v>
      </c>
      <c r="DA400" s="1124"/>
      <c r="DB400" s="1124"/>
      <c r="DC400" s="1120" t="s">
        <v>5231</v>
      </c>
      <c r="DD400" s="1120" t="s">
        <v>256</v>
      </c>
      <c r="DE400" s="1120" t="str">
        <f t="shared" si="450"/>
        <v/>
      </c>
      <c r="DF400" s="1133">
        <v>0</v>
      </c>
      <c r="DG400" s="1120">
        <v>0</v>
      </c>
    </row>
    <row r="401" spans="1:111">
      <c r="A401" s="1125" t="s">
        <v>5850</v>
      </c>
      <c r="B401" s="1120" t="s">
        <v>4502</v>
      </c>
      <c r="C401" s="1120" t="s">
        <v>4503</v>
      </c>
      <c r="D401" s="1120" t="s">
        <v>501</v>
      </c>
      <c r="E401" s="1120">
        <v>2736</v>
      </c>
      <c r="F401" s="1120">
        <v>-80.819999999999993</v>
      </c>
      <c r="G401" s="1120">
        <v>36.770000000000003</v>
      </c>
      <c r="H401" s="1120">
        <v>-5</v>
      </c>
      <c r="I401" s="1121">
        <v>15.980000686645507</v>
      </c>
      <c r="J401" s="1121">
        <v>83.119999313354498</v>
      </c>
      <c r="K401" s="1122">
        <v>70.880000686645502</v>
      </c>
      <c r="L401" s="1120">
        <v>5319</v>
      </c>
      <c r="M401" s="1120">
        <v>595.80000000000007</v>
      </c>
      <c r="N401" s="1123">
        <v>34.700000000000003</v>
      </c>
      <c r="O401" s="1123">
        <v>35.060000085830687</v>
      </c>
      <c r="P401" s="1123">
        <v>37.939999914169313</v>
      </c>
      <c r="Q401" s="1123">
        <v>50.540000343322752</v>
      </c>
      <c r="R401" s="1123">
        <v>57.019999313354489</v>
      </c>
      <c r="S401" s="1123">
        <v>65.83999862670899</v>
      </c>
      <c r="T401" s="1123">
        <v>71.060001373291016</v>
      </c>
      <c r="U401" s="1123">
        <v>72.5</v>
      </c>
      <c r="V401" s="1123">
        <v>60.980000686645511</v>
      </c>
      <c r="W401" s="1123">
        <v>54.859999656677246</v>
      </c>
      <c r="X401" s="1123">
        <v>38.47999982833862</v>
      </c>
      <c r="Y401" s="1123">
        <v>36.860000085830691</v>
      </c>
      <c r="Z401" s="1123">
        <v>51.424712322182849</v>
      </c>
      <c r="AA401" s="1123">
        <f t="shared" si="451"/>
        <v>49.451862929886133</v>
      </c>
      <c r="AB401" s="1123">
        <f t="shared" si="452"/>
        <v>48.469243631448258</v>
      </c>
      <c r="AC401" s="1123">
        <f t="shared" si="453"/>
        <v>49.82100525520034</v>
      </c>
      <c r="AD401" s="1123">
        <f t="shared" si="454"/>
        <v>53.154790302634225</v>
      </c>
      <c r="AE401" s="1123">
        <f t="shared" si="455"/>
        <v>57.601596325953579</v>
      </c>
      <c r="AF401" s="1123">
        <f t="shared" si="456"/>
        <v>62.002294807825081</v>
      </c>
      <c r="AG401" s="1123">
        <f t="shared" si="457"/>
        <v>65.209775872132525</v>
      </c>
      <c r="AH401" s="1123">
        <f t="shared" si="458"/>
        <v>66.387960150684762</v>
      </c>
      <c r="AI401" s="1123">
        <f t="shared" si="459"/>
        <v>65.229735754907864</v>
      </c>
      <c r="AJ401" s="1123">
        <f t="shared" si="460"/>
        <v>62.037011722339265</v>
      </c>
      <c r="AK401" s="1123">
        <f t="shared" si="461"/>
        <v>57.642020773434631</v>
      </c>
      <c r="AL401" s="1123">
        <f t="shared" si="462"/>
        <v>53.190385027886634</v>
      </c>
      <c r="AM401" s="1120">
        <f t="shared" si="463"/>
        <v>1</v>
      </c>
      <c r="AN401" s="1120">
        <f t="shared" si="464"/>
        <v>1</v>
      </c>
      <c r="AO401" s="1120">
        <f t="shared" si="465"/>
        <v>1</v>
      </c>
      <c r="AP401" s="1120">
        <f t="shared" si="466"/>
        <v>1</v>
      </c>
      <c r="AQ401" s="1120">
        <f t="shared" si="467"/>
        <v>1</v>
      </c>
      <c r="AR401" s="1120">
        <f t="shared" si="468"/>
        <v>1</v>
      </c>
      <c r="AS401" s="1120">
        <f t="shared" si="469"/>
        <v>0</v>
      </c>
      <c r="AT401" s="1120">
        <f t="shared" si="470"/>
        <v>0</v>
      </c>
      <c r="AU401" s="1120">
        <f t="shared" si="471"/>
        <v>1</v>
      </c>
      <c r="AV401" s="1120">
        <f t="shared" si="472"/>
        <v>1</v>
      </c>
      <c r="AW401" s="1120">
        <f t="shared" si="473"/>
        <v>1</v>
      </c>
      <c r="AX401" s="1120">
        <f t="shared" si="474"/>
        <v>1</v>
      </c>
      <c r="AY401" s="1120">
        <f t="shared" si="475"/>
        <v>0</v>
      </c>
      <c r="AZ401" s="1120">
        <f t="shared" si="476"/>
        <v>0</v>
      </c>
      <c r="BA401" s="1120">
        <f t="shared" si="477"/>
        <v>0</v>
      </c>
      <c r="BB401" s="1120">
        <f t="shared" si="478"/>
        <v>0</v>
      </c>
      <c r="BC401" s="1120">
        <f t="shared" si="479"/>
        <v>0</v>
      </c>
      <c r="BD401" s="1120">
        <f t="shared" si="480"/>
        <v>0</v>
      </c>
      <c r="BE401" s="1120">
        <f t="shared" si="481"/>
        <v>1</v>
      </c>
      <c r="BF401" s="1120">
        <f t="shared" si="482"/>
        <v>1</v>
      </c>
      <c r="BG401" s="1120">
        <f t="shared" si="483"/>
        <v>0</v>
      </c>
      <c r="BH401" s="1120">
        <f t="shared" si="484"/>
        <v>0</v>
      </c>
      <c r="BI401" s="1120">
        <f t="shared" si="485"/>
        <v>0</v>
      </c>
      <c r="BJ401" s="1120">
        <f t="shared" si="486"/>
        <v>0</v>
      </c>
      <c r="BK401" s="1120">
        <f t="shared" si="487"/>
        <v>1</v>
      </c>
      <c r="BL401" s="1120">
        <f t="shared" si="488"/>
        <v>1</v>
      </c>
      <c r="BM401" s="1120">
        <f t="shared" si="489"/>
        <v>1</v>
      </c>
      <c r="BN401" s="1120">
        <f t="shared" si="490"/>
        <v>1</v>
      </c>
      <c r="BO401" s="1120">
        <f t="shared" si="491"/>
        <v>1</v>
      </c>
      <c r="BP401" s="1120">
        <f t="shared" si="492"/>
        <v>1</v>
      </c>
      <c r="BQ401" s="1120">
        <f t="shared" si="493"/>
        <v>1</v>
      </c>
      <c r="BR401" s="1120">
        <f t="shared" si="494"/>
        <v>0</v>
      </c>
      <c r="BS401" s="1120">
        <f t="shared" si="495"/>
        <v>1</v>
      </c>
      <c r="BT401" s="1120">
        <f t="shared" si="496"/>
        <v>1</v>
      </c>
      <c r="BU401" s="1120">
        <f t="shared" si="497"/>
        <v>1</v>
      </c>
      <c r="BV401" s="1120">
        <f t="shared" si="498"/>
        <v>1</v>
      </c>
      <c r="BW401" s="1120">
        <f t="shared" si="499"/>
        <v>0</v>
      </c>
      <c r="BX401" s="1120">
        <f t="shared" si="500"/>
        <v>0</v>
      </c>
      <c r="BY401" s="1120">
        <f t="shared" si="501"/>
        <v>0</v>
      </c>
      <c r="BZ401" s="1120">
        <f t="shared" si="502"/>
        <v>0</v>
      </c>
      <c r="CA401" s="1120">
        <f t="shared" si="503"/>
        <v>0</v>
      </c>
      <c r="CB401" s="1120">
        <f t="shared" si="504"/>
        <v>1</v>
      </c>
      <c r="CC401" s="1120">
        <f t="shared" si="505"/>
        <v>1</v>
      </c>
      <c r="CD401" s="1120">
        <f t="shared" si="506"/>
        <v>1</v>
      </c>
      <c r="CE401" s="1120">
        <f t="shared" si="507"/>
        <v>1</v>
      </c>
      <c r="CF401" s="1120">
        <f t="shared" si="508"/>
        <v>0</v>
      </c>
      <c r="CG401" s="1120">
        <f t="shared" si="509"/>
        <v>0</v>
      </c>
      <c r="CH401" s="1120">
        <f t="shared" si="510"/>
        <v>0</v>
      </c>
      <c r="CI401" s="1120">
        <f t="shared" si="511"/>
        <v>0.85</v>
      </c>
      <c r="CJ401" s="1120">
        <f t="shared" si="512"/>
        <v>0.85</v>
      </c>
      <c r="CK401" s="1120">
        <f t="shared" si="513"/>
        <v>0.85</v>
      </c>
      <c r="CL401" s="1120">
        <f t="shared" si="514"/>
        <v>0.85</v>
      </c>
      <c r="CM401" s="1120">
        <f t="shared" si="515"/>
        <v>0.85</v>
      </c>
      <c r="CN401" s="1120">
        <f t="shared" si="516"/>
        <v>0.85</v>
      </c>
      <c r="CO401" s="1120">
        <f t="shared" si="517"/>
        <v>0.85</v>
      </c>
      <c r="CP401" s="1120">
        <f t="shared" si="518"/>
        <v>0.7</v>
      </c>
      <c r="CQ401" s="1120">
        <f t="shared" si="519"/>
        <v>0.85</v>
      </c>
      <c r="CR401" s="1120">
        <f t="shared" si="520"/>
        <v>0.85</v>
      </c>
      <c r="CS401" s="1120">
        <f t="shared" si="521"/>
        <v>0.85</v>
      </c>
      <c r="CT401" s="1120">
        <f t="shared" si="522"/>
        <v>0.85</v>
      </c>
      <c r="CU401" s="1120">
        <v>1</v>
      </c>
      <c r="CV401" s="1120"/>
      <c r="CW401" s="1120">
        <f t="shared" si="523"/>
        <v>122</v>
      </c>
      <c r="CX401" s="1120">
        <f t="shared" si="524"/>
        <v>243</v>
      </c>
      <c r="CY401" s="1135" t="s">
        <v>4881</v>
      </c>
      <c r="CZ401" s="1124" t="s">
        <v>4885</v>
      </c>
      <c r="DA401" s="1124"/>
      <c r="DB401" s="1124"/>
      <c r="DC401" s="1120" t="s">
        <v>5632</v>
      </c>
      <c r="DD401" s="1120" t="s">
        <v>501</v>
      </c>
      <c r="DE401" s="1120" t="str">
        <f t="shared" si="450"/>
        <v/>
      </c>
      <c r="DF401" s="1133">
        <v>0</v>
      </c>
      <c r="DG401" s="1125">
        <v>0</v>
      </c>
    </row>
    <row r="402" spans="1:111">
      <c r="A402" s="1120" t="s">
        <v>3575</v>
      </c>
      <c r="B402" s="1125" t="s">
        <v>3386</v>
      </c>
      <c r="C402" s="1125" t="s">
        <v>3387</v>
      </c>
      <c r="D402" s="1125" t="s">
        <v>122</v>
      </c>
      <c r="E402" s="1125">
        <v>30</v>
      </c>
      <c r="F402" s="1125">
        <v>-155.05000000000001</v>
      </c>
      <c r="G402" s="1125">
        <v>19.72</v>
      </c>
      <c r="H402" s="1125">
        <v>-10</v>
      </c>
      <c r="I402" s="1126">
        <v>62.780000686645508</v>
      </c>
      <c r="J402" s="1126">
        <v>84.560001373291016</v>
      </c>
      <c r="K402" s="1127">
        <v>73.939998626708984</v>
      </c>
      <c r="L402" s="1125">
        <v>0</v>
      </c>
      <c r="M402" s="1125">
        <v>95.4</v>
      </c>
      <c r="N402" s="1128">
        <v>71.060001373291016</v>
      </c>
      <c r="O402" s="1128">
        <v>71.419999313354495</v>
      </c>
      <c r="P402" s="1128">
        <v>71.419999313354495</v>
      </c>
      <c r="Q402" s="1128">
        <v>72.5</v>
      </c>
      <c r="R402" s="1128">
        <v>73.580000686645505</v>
      </c>
      <c r="S402" s="1128">
        <v>74.119999313354498</v>
      </c>
      <c r="T402" s="1128">
        <v>75.739998626708982</v>
      </c>
      <c r="U402" s="1128">
        <v>75.380000686645502</v>
      </c>
      <c r="V402" s="1128">
        <v>76.280000686645508</v>
      </c>
      <c r="W402" s="1128">
        <v>75.019999313354489</v>
      </c>
      <c r="X402" s="1128">
        <v>73.580000686645505</v>
      </c>
      <c r="Y402" s="1128">
        <v>72.139998626708987</v>
      </c>
      <c r="Z402" s="1128">
        <v>73.530684818633617</v>
      </c>
      <c r="AA402" s="1128">
        <f t="shared" si="451"/>
        <v>77.723966499752677</v>
      </c>
      <c r="AB402" s="1128">
        <f t="shared" si="452"/>
        <v>77.875248825958721</v>
      </c>
      <c r="AC402" s="1128">
        <f t="shared" si="453"/>
        <v>78.458046054696339</v>
      </c>
      <c r="AD402" s="1128">
        <f t="shared" si="454"/>
        <v>79.32044310711791</v>
      </c>
      <c r="AE402" s="1128">
        <f t="shared" si="455"/>
        <v>80.237642901568904</v>
      </c>
      <c r="AF402" s="1128">
        <f t="shared" si="456"/>
        <v>80.970563177148975</v>
      </c>
      <c r="AG402" s="1128">
        <f t="shared" si="457"/>
        <v>81.328156969384864</v>
      </c>
      <c r="AH402" s="1128">
        <f t="shared" si="458"/>
        <v>81.217211945643115</v>
      </c>
      <c r="AI402" s="1128">
        <f t="shared" si="459"/>
        <v>80.666647636076604</v>
      </c>
      <c r="AJ402" s="1128">
        <f t="shared" si="460"/>
        <v>79.81997711242667</v>
      </c>
      <c r="AK402" s="1128">
        <f t="shared" si="461"/>
        <v>78.897898094270374</v>
      </c>
      <c r="AL402" s="1128">
        <f t="shared" si="462"/>
        <v>78.140764687357972</v>
      </c>
      <c r="AM402" s="1125">
        <f t="shared" si="463"/>
        <v>0</v>
      </c>
      <c r="AN402" s="1125">
        <f t="shared" si="464"/>
        <v>0</v>
      </c>
      <c r="AO402" s="1125">
        <f t="shared" si="465"/>
        <v>0</v>
      </c>
      <c r="AP402" s="1125">
        <f t="shared" si="466"/>
        <v>0</v>
      </c>
      <c r="AQ402" s="1125">
        <f t="shared" si="467"/>
        <v>0</v>
      </c>
      <c r="AR402" s="1125">
        <f t="shared" si="468"/>
        <v>0</v>
      </c>
      <c r="AS402" s="1125">
        <f t="shared" si="469"/>
        <v>0</v>
      </c>
      <c r="AT402" s="1125">
        <f t="shared" si="470"/>
        <v>0</v>
      </c>
      <c r="AU402" s="1125">
        <f t="shared" si="471"/>
        <v>0</v>
      </c>
      <c r="AV402" s="1125">
        <f t="shared" si="472"/>
        <v>0</v>
      </c>
      <c r="AW402" s="1125">
        <f t="shared" si="473"/>
        <v>0</v>
      </c>
      <c r="AX402" s="1125">
        <f t="shared" si="474"/>
        <v>0</v>
      </c>
      <c r="AY402" s="1125">
        <f t="shared" si="475"/>
        <v>1</v>
      </c>
      <c r="AZ402" s="1125">
        <f t="shared" si="476"/>
        <v>1</v>
      </c>
      <c r="BA402" s="1125">
        <f t="shared" si="477"/>
        <v>1</v>
      </c>
      <c r="BB402" s="1125">
        <f t="shared" si="478"/>
        <v>1</v>
      </c>
      <c r="BC402" s="1125">
        <f t="shared" si="479"/>
        <v>1</v>
      </c>
      <c r="BD402" s="1125">
        <f t="shared" si="480"/>
        <v>1</v>
      </c>
      <c r="BE402" s="1125">
        <f t="shared" si="481"/>
        <v>1</v>
      </c>
      <c r="BF402" s="1125">
        <f t="shared" si="482"/>
        <v>1</v>
      </c>
      <c r="BG402" s="1125">
        <f t="shared" si="483"/>
        <v>1</v>
      </c>
      <c r="BH402" s="1125">
        <f t="shared" si="484"/>
        <v>1</v>
      </c>
      <c r="BI402" s="1125">
        <f t="shared" si="485"/>
        <v>1</v>
      </c>
      <c r="BJ402" s="1125">
        <f t="shared" si="486"/>
        <v>1</v>
      </c>
      <c r="BK402" s="1125">
        <f t="shared" si="487"/>
        <v>0</v>
      </c>
      <c r="BL402" s="1125">
        <f t="shared" si="488"/>
        <v>0</v>
      </c>
      <c r="BM402" s="1125">
        <f t="shared" si="489"/>
        <v>0</v>
      </c>
      <c r="BN402" s="1125">
        <f t="shared" si="490"/>
        <v>0</v>
      </c>
      <c r="BO402" s="1125">
        <f t="shared" si="491"/>
        <v>0</v>
      </c>
      <c r="BP402" s="1125">
        <f t="shared" si="492"/>
        <v>0</v>
      </c>
      <c r="BQ402" s="1125">
        <f t="shared" si="493"/>
        <v>0</v>
      </c>
      <c r="BR402" s="1125">
        <f t="shared" si="494"/>
        <v>0</v>
      </c>
      <c r="BS402" s="1125">
        <f t="shared" si="495"/>
        <v>0</v>
      </c>
      <c r="BT402" s="1125">
        <f t="shared" si="496"/>
        <v>0</v>
      </c>
      <c r="BU402" s="1125">
        <f t="shared" si="497"/>
        <v>0</v>
      </c>
      <c r="BV402" s="1125">
        <f t="shared" si="498"/>
        <v>0</v>
      </c>
      <c r="BW402" s="1125">
        <f t="shared" si="499"/>
        <v>1</v>
      </c>
      <c r="BX402" s="1125">
        <f t="shared" si="500"/>
        <v>1</v>
      </c>
      <c r="BY402" s="1125">
        <f t="shared" si="501"/>
        <v>1</v>
      </c>
      <c r="BZ402" s="1125">
        <f t="shared" si="502"/>
        <v>1</v>
      </c>
      <c r="CA402" s="1125">
        <f t="shared" si="503"/>
        <v>1</v>
      </c>
      <c r="CB402" s="1125">
        <f t="shared" si="504"/>
        <v>1</v>
      </c>
      <c r="CC402" s="1125">
        <f t="shared" si="505"/>
        <v>1</v>
      </c>
      <c r="CD402" s="1125">
        <f t="shared" si="506"/>
        <v>1</v>
      </c>
      <c r="CE402" s="1125">
        <f t="shared" si="507"/>
        <v>1</v>
      </c>
      <c r="CF402" s="1125">
        <f t="shared" si="508"/>
        <v>1</v>
      </c>
      <c r="CG402" s="1125">
        <f t="shared" si="509"/>
        <v>1</v>
      </c>
      <c r="CH402" s="1125">
        <f t="shared" si="510"/>
        <v>1</v>
      </c>
      <c r="CI402" s="1125">
        <f t="shared" si="511"/>
        <v>0.7</v>
      </c>
      <c r="CJ402" s="1125">
        <f t="shared" si="512"/>
        <v>0.7</v>
      </c>
      <c r="CK402" s="1125">
        <f t="shared" si="513"/>
        <v>0.7</v>
      </c>
      <c r="CL402" s="1125">
        <f t="shared" si="514"/>
        <v>0.7</v>
      </c>
      <c r="CM402" s="1125">
        <f t="shared" si="515"/>
        <v>0.7</v>
      </c>
      <c r="CN402" s="1125">
        <f t="shared" si="516"/>
        <v>0.7</v>
      </c>
      <c r="CO402" s="1125">
        <f t="shared" si="517"/>
        <v>0.7</v>
      </c>
      <c r="CP402" s="1125">
        <f t="shared" si="518"/>
        <v>0.7</v>
      </c>
      <c r="CQ402" s="1125">
        <f t="shared" si="519"/>
        <v>0.7</v>
      </c>
      <c r="CR402" s="1125">
        <f t="shared" si="520"/>
        <v>0.7</v>
      </c>
      <c r="CS402" s="1125">
        <f t="shared" si="521"/>
        <v>0.7</v>
      </c>
      <c r="CT402" s="1125">
        <f t="shared" si="522"/>
        <v>0.7</v>
      </c>
      <c r="CU402" s="1125">
        <v>1</v>
      </c>
      <c r="CV402" s="1125"/>
      <c r="CW402" s="1125">
        <f t="shared" si="523"/>
        <v>365</v>
      </c>
      <c r="CX402" s="1125">
        <f t="shared" si="524"/>
        <v>0</v>
      </c>
      <c r="CY402" s="1136" t="s">
        <v>4883</v>
      </c>
      <c r="CZ402" s="1129" t="s">
        <v>4898</v>
      </c>
      <c r="DA402" s="1129"/>
      <c r="DB402" s="1129"/>
      <c r="DC402" s="1125" t="s">
        <v>5148</v>
      </c>
      <c r="DD402" s="1125" t="s">
        <v>122</v>
      </c>
      <c r="DE402" s="1120" t="str">
        <f t="shared" si="450"/>
        <v/>
      </c>
      <c r="DF402" s="1133">
        <v>0</v>
      </c>
      <c r="DG402" s="1120">
        <v>0</v>
      </c>
    </row>
    <row r="403" spans="1:111">
      <c r="A403" s="1125" t="s">
        <v>3573</v>
      </c>
      <c r="B403" s="1125" t="s">
        <v>4200</v>
      </c>
      <c r="C403" s="1125" t="s">
        <v>4201</v>
      </c>
      <c r="D403" s="1125" t="s">
        <v>61</v>
      </c>
      <c r="E403" s="1125">
        <v>1568</v>
      </c>
      <c r="F403" s="1125">
        <v>-99.05</v>
      </c>
      <c r="G403" s="1125">
        <v>35</v>
      </c>
      <c r="H403" s="1125">
        <v>-6</v>
      </c>
      <c r="I403" s="1126">
        <v>18.5</v>
      </c>
      <c r="J403" s="1126">
        <v>99.5</v>
      </c>
      <c r="K403" s="1127">
        <v>72.319999313354487</v>
      </c>
      <c r="L403" s="1125">
        <v>3574.8</v>
      </c>
      <c r="M403" s="1125">
        <v>2439</v>
      </c>
      <c r="N403" s="1128">
        <v>35.960000085830686</v>
      </c>
      <c r="O403" s="1128">
        <v>38.299999999999997</v>
      </c>
      <c r="P403" s="1128">
        <v>54.140000343322754</v>
      </c>
      <c r="Q403" s="1128">
        <v>58.819999313354494</v>
      </c>
      <c r="R403" s="1128">
        <v>67.819999313354487</v>
      </c>
      <c r="S403" s="1128">
        <v>80.419999313354495</v>
      </c>
      <c r="T403" s="1128">
        <v>82.760001373291018</v>
      </c>
      <c r="U403" s="1128">
        <v>88.880000686645502</v>
      </c>
      <c r="V403" s="1128">
        <v>75.560001373291016</v>
      </c>
      <c r="W403" s="1128">
        <v>63.5</v>
      </c>
      <c r="X403" s="1128">
        <v>49.459999656677248</v>
      </c>
      <c r="Y403" s="1128">
        <v>37.939999914169313</v>
      </c>
      <c r="Z403" s="1128">
        <v>61.2635617614119</v>
      </c>
      <c r="AA403" s="1128">
        <f t="shared" si="451"/>
        <v>52.811957301521915</v>
      </c>
      <c r="AB403" s="1128">
        <f t="shared" si="452"/>
        <v>52.447799756902512</v>
      </c>
      <c r="AC403" s="1128">
        <f t="shared" si="453"/>
        <v>55.945598896562089</v>
      </c>
      <c r="AD403" s="1128">
        <f t="shared" si="454"/>
        <v>62.393599472032015</v>
      </c>
      <c r="AE403" s="1128">
        <f t="shared" si="455"/>
        <v>70.111030766619379</v>
      </c>
      <c r="AF403" s="1128">
        <f t="shared" si="456"/>
        <v>77.086225384173787</v>
      </c>
      <c r="AG403" s="1128">
        <f t="shared" si="457"/>
        <v>81.500991356626884</v>
      </c>
      <c r="AH403" s="1128">
        <f t="shared" si="458"/>
        <v>82.204551899655797</v>
      </c>
      <c r="AI403" s="1128">
        <f t="shared" si="459"/>
        <v>79.013513115523864</v>
      </c>
      <c r="AJ403" s="1128">
        <f t="shared" si="460"/>
        <v>72.759668438711259</v>
      </c>
      <c r="AK403" s="1128">
        <f t="shared" si="461"/>
        <v>65.073178858892916</v>
      </c>
      <c r="AL403" s="1128">
        <f t="shared" si="462"/>
        <v>57.957646337438412</v>
      </c>
      <c r="AM403" s="1125">
        <f t="shared" si="463"/>
        <v>1</v>
      </c>
      <c r="AN403" s="1125">
        <f t="shared" si="464"/>
        <v>1</v>
      </c>
      <c r="AO403" s="1125">
        <f t="shared" si="465"/>
        <v>1</v>
      </c>
      <c r="AP403" s="1125">
        <f t="shared" si="466"/>
        <v>1</v>
      </c>
      <c r="AQ403" s="1125">
        <f t="shared" si="467"/>
        <v>0</v>
      </c>
      <c r="AR403" s="1125">
        <f t="shared" si="468"/>
        <v>0</v>
      </c>
      <c r="AS403" s="1125">
        <f t="shared" si="469"/>
        <v>0</v>
      </c>
      <c r="AT403" s="1125">
        <f t="shared" si="470"/>
        <v>0</v>
      </c>
      <c r="AU403" s="1125">
        <f t="shared" si="471"/>
        <v>0</v>
      </c>
      <c r="AV403" s="1125">
        <f t="shared" si="472"/>
        <v>1</v>
      </c>
      <c r="AW403" s="1125">
        <f t="shared" si="473"/>
        <v>1</v>
      </c>
      <c r="AX403" s="1125">
        <f t="shared" si="474"/>
        <v>1</v>
      </c>
      <c r="AY403" s="1125">
        <f t="shared" si="475"/>
        <v>0</v>
      </c>
      <c r="AZ403" s="1125">
        <f t="shared" si="476"/>
        <v>0</v>
      </c>
      <c r="BA403" s="1125">
        <f t="shared" si="477"/>
        <v>0</v>
      </c>
      <c r="BB403" s="1125">
        <f t="shared" si="478"/>
        <v>0</v>
      </c>
      <c r="BC403" s="1125">
        <f t="shared" si="479"/>
        <v>1</v>
      </c>
      <c r="BD403" s="1125">
        <f t="shared" si="480"/>
        <v>1</v>
      </c>
      <c r="BE403" s="1125">
        <f t="shared" si="481"/>
        <v>1</v>
      </c>
      <c r="BF403" s="1125">
        <f t="shared" si="482"/>
        <v>1</v>
      </c>
      <c r="BG403" s="1125">
        <f t="shared" si="483"/>
        <v>1</v>
      </c>
      <c r="BH403" s="1125">
        <f t="shared" si="484"/>
        <v>0</v>
      </c>
      <c r="BI403" s="1125">
        <f t="shared" si="485"/>
        <v>0</v>
      </c>
      <c r="BJ403" s="1125">
        <f t="shared" si="486"/>
        <v>0</v>
      </c>
      <c r="BK403" s="1125">
        <f t="shared" si="487"/>
        <v>1</v>
      </c>
      <c r="BL403" s="1125">
        <f t="shared" si="488"/>
        <v>1</v>
      </c>
      <c r="BM403" s="1125">
        <f t="shared" si="489"/>
        <v>1</v>
      </c>
      <c r="BN403" s="1125">
        <f t="shared" si="490"/>
        <v>1</v>
      </c>
      <c r="BO403" s="1125">
        <f t="shared" si="491"/>
        <v>1</v>
      </c>
      <c r="BP403" s="1125">
        <f t="shared" si="492"/>
        <v>0</v>
      </c>
      <c r="BQ403" s="1125">
        <f t="shared" si="493"/>
        <v>0</v>
      </c>
      <c r="BR403" s="1125">
        <f t="shared" si="494"/>
        <v>0</v>
      </c>
      <c r="BS403" s="1125">
        <f t="shared" si="495"/>
        <v>0</v>
      </c>
      <c r="BT403" s="1125">
        <f t="shared" si="496"/>
        <v>1</v>
      </c>
      <c r="BU403" s="1125">
        <f t="shared" si="497"/>
        <v>1</v>
      </c>
      <c r="BV403" s="1125">
        <f t="shared" si="498"/>
        <v>1</v>
      </c>
      <c r="BW403" s="1125">
        <f t="shared" si="499"/>
        <v>0</v>
      </c>
      <c r="BX403" s="1125">
        <f t="shared" si="500"/>
        <v>0</v>
      </c>
      <c r="BY403" s="1125">
        <f t="shared" si="501"/>
        <v>0</v>
      </c>
      <c r="BZ403" s="1125">
        <f t="shared" si="502"/>
        <v>1</v>
      </c>
      <c r="CA403" s="1125">
        <f t="shared" si="503"/>
        <v>1</v>
      </c>
      <c r="CB403" s="1125">
        <f t="shared" si="504"/>
        <v>1</v>
      </c>
      <c r="CC403" s="1125">
        <f t="shared" si="505"/>
        <v>1</v>
      </c>
      <c r="CD403" s="1125">
        <f t="shared" si="506"/>
        <v>1</v>
      </c>
      <c r="CE403" s="1125">
        <f t="shared" si="507"/>
        <v>1</v>
      </c>
      <c r="CF403" s="1125">
        <f t="shared" si="508"/>
        <v>1</v>
      </c>
      <c r="CG403" s="1125">
        <f t="shared" si="509"/>
        <v>0</v>
      </c>
      <c r="CH403" s="1125">
        <f t="shared" si="510"/>
        <v>0</v>
      </c>
      <c r="CI403" s="1125">
        <f t="shared" si="511"/>
        <v>0.85</v>
      </c>
      <c r="CJ403" s="1125">
        <f t="shared" si="512"/>
        <v>0.85</v>
      </c>
      <c r="CK403" s="1125">
        <f t="shared" si="513"/>
        <v>0.85</v>
      </c>
      <c r="CL403" s="1125">
        <f t="shared" si="514"/>
        <v>0.85</v>
      </c>
      <c r="CM403" s="1125">
        <f t="shared" si="515"/>
        <v>0.85</v>
      </c>
      <c r="CN403" s="1125">
        <f t="shared" si="516"/>
        <v>0.7</v>
      </c>
      <c r="CO403" s="1125">
        <f t="shared" si="517"/>
        <v>0.7</v>
      </c>
      <c r="CP403" s="1125">
        <f t="shared" si="518"/>
        <v>0.7</v>
      </c>
      <c r="CQ403" s="1125">
        <f t="shared" si="519"/>
        <v>0.7</v>
      </c>
      <c r="CR403" s="1125">
        <f t="shared" si="520"/>
        <v>0.85</v>
      </c>
      <c r="CS403" s="1125">
        <f t="shared" si="521"/>
        <v>0.85</v>
      </c>
      <c r="CT403" s="1125">
        <f t="shared" si="522"/>
        <v>0.85</v>
      </c>
      <c r="CU403" s="1125">
        <v>1</v>
      </c>
      <c r="CV403" s="1125"/>
      <c r="CW403" s="1125">
        <f t="shared" si="523"/>
        <v>214</v>
      </c>
      <c r="CX403" s="1125">
        <f t="shared" si="524"/>
        <v>151</v>
      </c>
      <c r="CY403" s="1136" t="s">
        <v>4881</v>
      </c>
      <c r="CZ403" s="1129" t="s">
        <v>4882</v>
      </c>
      <c r="DA403" s="1129"/>
      <c r="DB403" s="1129"/>
      <c r="DC403" s="1125" t="s">
        <v>5504</v>
      </c>
      <c r="DD403" s="1125" t="s">
        <v>61</v>
      </c>
      <c r="DE403" s="1120" t="str">
        <f t="shared" si="450"/>
        <v/>
      </c>
      <c r="DF403" s="1133">
        <v>0</v>
      </c>
      <c r="DG403" s="1125">
        <v>0</v>
      </c>
    </row>
    <row r="404" spans="1:111">
      <c r="A404" s="1120" t="s">
        <v>3577</v>
      </c>
      <c r="B404" s="1120" t="s">
        <v>4082</v>
      </c>
      <c r="C404" s="1120" t="s">
        <v>4083</v>
      </c>
      <c r="D404" s="1120" t="s">
        <v>538</v>
      </c>
      <c r="E404" s="1120">
        <v>4093</v>
      </c>
      <c r="F404" s="1120">
        <v>-106.1</v>
      </c>
      <c r="G404" s="1120">
        <v>32.85</v>
      </c>
      <c r="H404" s="1120">
        <v>-7</v>
      </c>
      <c r="I404" s="1121">
        <v>22.459999656677248</v>
      </c>
      <c r="J404" s="1121">
        <v>96.620002746582031</v>
      </c>
      <c r="K404" s="1122">
        <v>62.960001373291014</v>
      </c>
      <c r="L404" s="1120">
        <v>3222</v>
      </c>
      <c r="M404" s="1120">
        <v>2059.2000000000003</v>
      </c>
      <c r="N404" s="1123">
        <v>41.179999828338623</v>
      </c>
      <c r="O404" s="1123">
        <v>48.740000343322755</v>
      </c>
      <c r="P404" s="1123">
        <v>51.980000686645511</v>
      </c>
      <c r="Q404" s="1123">
        <v>60.259999656677245</v>
      </c>
      <c r="R404" s="1123">
        <v>73.219999313354492</v>
      </c>
      <c r="S404" s="1123">
        <v>77</v>
      </c>
      <c r="T404" s="1123">
        <v>80.599999999999994</v>
      </c>
      <c r="U404" s="1123">
        <v>79.33999862670899</v>
      </c>
      <c r="V404" s="1123">
        <v>75.2</v>
      </c>
      <c r="W404" s="1123">
        <v>59</v>
      </c>
      <c r="X404" s="1123">
        <v>46.759999656677245</v>
      </c>
      <c r="Y404" s="1123">
        <v>40.279999828338624</v>
      </c>
      <c r="Z404" s="1123">
        <v>61.191561467941497</v>
      </c>
      <c r="AA404" s="1123">
        <f t="shared" si="451"/>
        <v>56.198961147829195</v>
      </c>
      <c r="AB404" s="1123">
        <f t="shared" si="452"/>
        <v>55.914571157326456</v>
      </c>
      <c r="AC404" s="1123">
        <f t="shared" si="453"/>
        <v>58.569702474966604</v>
      </c>
      <c r="AD404" s="1123">
        <f t="shared" si="454"/>
        <v>63.472254205994581</v>
      </c>
      <c r="AE404" s="1123">
        <f t="shared" si="455"/>
        <v>69.344300691108884</v>
      </c>
      <c r="AF404" s="1123">
        <f t="shared" si="456"/>
        <v>74.655202522988986</v>
      </c>
      <c r="AG404" s="1123">
        <f t="shared" si="457"/>
        <v>78.020591295680731</v>
      </c>
      <c r="AH404" s="1123">
        <f t="shared" si="458"/>
        <v>78.563226563371174</v>
      </c>
      <c r="AI404" s="1123">
        <f t="shared" si="459"/>
        <v>76.141662081274205</v>
      </c>
      <c r="AJ404" s="1123">
        <f t="shared" si="460"/>
        <v>71.387115949086649</v>
      </c>
      <c r="AK404" s="1123">
        <f t="shared" si="461"/>
        <v>65.538933885936942</v>
      </c>
      <c r="AL404" s="1123">
        <f t="shared" si="462"/>
        <v>60.121534669798677</v>
      </c>
      <c r="AM404" s="1120">
        <f t="shared" si="463"/>
        <v>1</v>
      </c>
      <c r="AN404" s="1120">
        <f t="shared" si="464"/>
        <v>1</v>
      </c>
      <c r="AO404" s="1120">
        <f t="shared" si="465"/>
        <v>1</v>
      </c>
      <c r="AP404" s="1120">
        <f t="shared" si="466"/>
        <v>1</v>
      </c>
      <c r="AQ404" s="1120">
        <f t="shared" si="467"/>
        <v>0</v>
      </c>
      <c r="AR404" s="1120">
        <f t="shared" si="468"/>
        <v>0</v>
      </c>
      <c r="AS404" s="1120">
        <f t="shared" si="469"/>
        <v>0</v>
      </c>
      <c r="AT404" s="1120">
        <f t="shared" si="470"/>
        <v>0</v>
      </c>
      <c r="AU404" s="1120">
        <f t="shared" si="471"/>
        <v>0</v>
      </c>
      <c r="AV404" s="1120">
        <f t="shared" si="472"/>
        <v>1</v>
      </c>
      <c r="AW404" s="1120">
        <f t="shared" si="473"/>
        <v>1</v>
      </c>
      <c r="AX404" s="1120">
        <f t="shared" si="474"/>
        <v>1</v>
      </c>
      <c r="AY404" s="1120">
        <f t="shared" si="475"/>
        <v>0</v>
      </c>
      <c r="AZ404" s="1120">
        <f t="shared" si="476"/>
        <v>0</v>
      </c>
      <c r="BA404" s="1120">
        <f t="shared" si="477"/>
        <v>0</v>
      </c>
      <c r="BB404" s="1120">
        <f t="shared" si="478"/>
        <v>0</v>
      </c>
      <c r="BC404" s="1120">
        <f t="shared" si="479"/>
        <v>1</v>
      </c>
      <c r="BD404" s="1120">
        <f t="shared" si="480"/>
        <v>1</v>
      </c>
      <c r="BE404" s="1120">
        <f t="shared" si="481"/>
        <v>1</v>
      </c>
      <c r="BF404" s="1120">
        <f t="shared" si="482"/>
        <v>1</v>
      </c>
      <c r="BG404" s="1120">
        <f t="shared" si="483"/>
        <v>1</v>
      </c>
      <c r="BH404" s="1120">
        <f t="shared" si="484"/>
        <v>0</v>
      </c>
      <c r="BI404" s="1120">
        <f t="shared" si="485"/>
        <v>0</v>
      </c>
      <c r="BJ404" s="1120">
        <f t="shared" si="486"/>
        <v>0</v>
      </c>
      <c r="BK404" s="1120">
        <f t="shared" si="487"/>
        <v>1</v>
      </c>
      <c r="BL404" s="1120">
        <f t="shared" si="488"/>
        <v>1</v>
      </c>
      <c r="BM404" s="1120">
        <f t="shared" si="489"/>
        <v>1</v>
      </c>
      <c r="BN404" s="1120">
        <f t="shared" si="490"/>
        <v>1</v>
      </c>
      <c r="BO404" s="1120">
        <f t="shared" si="491"/>
        <v>1</v>
      </c>
      <c r="BP404" s="1120">
        <f t="shared" si="492"/>
        <v>0</v>
      </c>
      <c r="BQ404" s="1120">
        <f t="shared" si="493"/>
        <v>0</v>
      </c>
      <c r="BR404" s="1120">
        <f t="shared" si="494"/>
        <v>0</v>
      </c>
      <c r="BS404" s="1120">
        <f t="shared" si="495"/>
        <v>0</v>
      </c>
      <c r="BT404" s="1120">
        <f t="shared" si="496"/>
        <v>1</v>
      </c>
      <c r="BU404" s="1120">
        <f t="shared" si="497"/>
        <v>1</v>
      </c>
      <c r="BV404" s="1120">
        <f t="shared" si="498"/>
        <v>1</v>
      </c>
      <c r="BW404" s="1120">
        <f t="shared" si="499"/>
        <v>0</v>
      </c>
      <c r="BX404" s="1120">
        <f t="shared" si="500"/>
        <v>0</v>
      </c>
      <c r="BY404" s="1120">
        <f t="shared" si="501"/>
        <v>0</v>
      </c>
      <c r="BZ404" s="1120">
        <f t="shared" si="502"/>
        <v>1</v>
      </c>
      <c r="CA404" s="1120">
        <f t="shared" si="503"/>
        <v>1</v>
      </c>
      <c r="CB404" s="1120">
        <f t="shared" si="504"/>
        <v>1</v>
      </c>
      <c r="CC404" s="1120">
        <f t="shared" si="505"/>
        <v>1</v>
      </c>
      <c r="CD404" s="1120">
        <f t="shared" si="506"/>
        <v>1</v>
      </c>
      <c r="CE404" s="1120">
        <f t="shared" si="507"/>
        <v>1</v>
      </c>
      <c r="CF404" s="1120">
        <f t="shared" si="508"/>
        <v>1</v>
      </c>
      <c r="CG404" s="1120">
        <f t="shared" si="509"/>
        <v>0</v>
      </c>
      <c r="CH404" s="1120">
        <f t="shared" si="510"/>
        <v>0</v>
      </c>
      <c r="CI404" s="1120">
        <f t="shared" si="511"/>
        <v>0.85</v>
      </c>
      <c r="CJ404" s="1120">
        <f t="shared" si="512"/>
        <v>0.85</v>
      </c>
      <c r="CK404" s="1120">
        <f t="shared" si="513"/>
        <v>0.85</v>
      </c>
      <c r="CL404" s="1120">
        <f t="shared" si="514"/>
        <v>0.85</v>
      </c>
      <c r="CM404" s="1120">
        <f t="shared" si="515"/>
        <v>0.85</v>
      </c>
      <c r="CN404" s="1120">
        <f t="shared" si="516"/>
        <v>0.7</v>
      </c>
      <c r="CO404" s="1120">
        <f t="shared" si="517"/>
        <v>0.7</v>
      </c>
      <c r="CP404" s="1120">
        <f t="shared" si="518"/>
        <v>0.7</v>
      </c>
      <c r="CQ404" s="1120">
        <f t="shared" si="519"/>
        <v>0.7</v>
      </c>
      <c r="CR404" s="1120">
        <f t="shared" si="520"/>
        <v>0.85</v>
      </c>
      <c r="CS404" s="1120">
        <f t="shared" si="521"/>
        <v>0.85</v>
      </c>
      <c r="CT404" s="1120">
        <f t="shared" si="522"/>
        <v>0.85</v>
      </c>
      <c r="CU404" s="1120">
        <v>1</v>
      </c>
      <c r="CV404" s="1120"/>
      <c r="CW404" s="1120">
        <f t="shared" si="523"/>
        <v>214</v>
      </c>
      <c r="CX404" s="1120">
        <f t="shared" si="524"/>
        <v>151</v>
      </c>
      <c r="CY404" s="1135" t="s">
        <v>4886</v>
      </c>
      <c r="CZ404" s="1124" t="s">
        <v>4888</v>
      </c>
      <c r="DA404" s="1124"/>
      <c r="DB404" s="1124"/>
      <c r="DC404" s="1120" t="s">
        <v>5452</v>
      </c>
      <c r="DD404" s="1120" t="s">
        <v>538</v>
      </c>
      <c r="DE404" s="1120" t="str">
        <f t="shared" ref="DE404:DE467" si="525">IF(AND(C404=DC404,D404=DD404),"",FALSE)</f>
        <v/>
      </c>
      <c r="DF404" s="1133">
        <v>0</v>
      </c>
      <c r="DG404" s="1120">
        <v>0</v>
      </c>
    </row>
    <row r="405" spans="1:111">
      <c r="A405" s="1125" t="s">
        <v>3579</v>
      </c>
      <c r="B405" s="1120" t="s">
        <v>2946</v>
      </c>
      <c r="C405" s="1120" t="s">
        <v>2947</v>
      </c>
      <c r="D405" s="1120" t="s">
        <v>953</v>
      </c>
      <c r="E405" s="1120">
        <v>89</v>
      </c>
      <c r="F405" s="1120">
        <v>-151.47999999999999</v>
      </c>
      <c r="G405" s="1120">
        <v>59.65</v>
      </c>
      <c r="H405" s="1120">
        <v>-9</v>
      </c>
      <c r="I405" s="1121">
        <v>4.2800006866455069</v>
      </c>
      <c r="J405" s="1121">
        <v>63.139998626708987</v>
      </c>
      <c r="K405" s="1122">
        <v>55.759999656677245</v>
      </c>
      <c r="L405" s="1120">
        <v>9345.6</v>
      </c>
      <c r="M405" s="1120">
        <v>0</v>
      </c>
      <c r="N405" s="1123">
        <v>25.339999914169312</v>
      </c>
      <c r="O405" s="1123">
        <v>23.359999656677246</v>
      </c>
      <c r="P405" s="1123">
        <v>28.580000042915344</v>
      </c>
      <c r="Q405" s="1123">
        <v>39.02000017166138</v>
      </c>
      <c r="R405" s="1123">
        <v>45.859999656677246</v>
      </c>
      <c r="S405" s="1123">
        <v>51.440000343322751</v>
      </c>
      <c r="T405" s="1123">
        <v>54.5</v>
      </c>
      <c r="U405" s="1123">
        <v>55.759999656677245</v>
      </c>
      <c r="V405" s="1123">
        <v>50</v>
      </c>
      <c r="W405" s="1123">
        <v>41.540000343322752</v>
      </c>
      <c r="X405" s="1123">
        <v>26.6</v>
      </c>
      <c r="Y405" s="1123">
        <v>22.640000343322754</v>
      </c>
      <c r="Z405" s="1123">
        <v>38.812876724674275</v>
      </c>
      <c r="AA405" s="1123">
        <f t="shared" si="451"/>
        <v>40.372430409683538</v>
      </c>
      <c r="AB405" s="1123">
        <f t="shared" si="452"/>
        <v>39.136227236731607</v>
      </c>
      <c r="AC405" s="1123">
        <f t="shared" si="453"/>
        <v>39.379730232628525</v>
      </c>
      <c r="AD405" s="1123">
        <f t="shared" si="454"/>
        <v>41.039466588999019</v>
      </c>
      <c r="AE405" s="1123">
        <f t="shared" si="455"/>
        <v>43.68280044724365</v>
      </c>
      <c r="AF405" s="1123">
        <f t="shared" si="456"/>
        <v>46.620706102203151</v>
      </c>
      <c r="AG405" s="1123">
        <f t="shared" si="457"/>
        <v>49.087373170415745</v>
      </c>
      <c r="AH405" s="1123">
        <f t="shared" si="458"/>
        <v>50.439826868061665</v>
      </c>
      <c r="AI405" s="1123">
        <f t="shared" si="459"/>
        <v>50.325529296907149</v>
      </c>
      <c r="AJ405" s="1123">
        <f t="shared" si="460"/>
        <v>48.774273880252501</v>
      </c>
      <c r="AK405" s="1123">
        <f t="shared" si="461"/>
        <v>46.190419248018351</v>
      </c>
      <c r="AL405" s="1123">
        <f t="shared" si="462"/>
        <v>43.247486928501694</v>
      </c>
      <c r="AM405" s="1120">
        <f t="shared" si="463"/>
        <v>1</v>
      </c>
      <c r="AN405" s="1120">
        <f t="shared" si="464"/>
        <v>1</v>
      </c>
      <c r="AO405" s="1120">
        <f t="shared" si="465"/>
        <v>1</v>
      </c>
      <c r="AP405" s="1120">
        <f t="shared" si="466"/>
        <v>1</v>
      </c>
      <c r="AQ405" s="1120">
        <f t="shared" si="467"/>
        <v>1</v>
      </c>
      <c r="AR405" s="1120">
        <f t="shared" si="468"/>
        <v>1</v>
      </c>
      <c r="AS405" s="1120">
        <f t="shared" si="469"/>
        <v>1</v>
      </c>
      <c r="AT405" s="1120">
        <f t="shared" si="470"/>
        <v>1</v>
      </c>
      <c r="AU405" s="1120">
        <f t="shared" si="471"/>
        <v>1</v>
      </c>
      <c r="AV405" s="1120">
        <f t="shared" si="472"/>
        <v>1</v>
      </c>
      <c r="AW405" s="1120">
        <f t="shared" si="473"/>
        <v>1</v>
      </c>
      <c r="AX405" s="1120">
        <f t="shared" si="474"/>
        <v>1</v>
      </c>
      <c r="AY405" s="1120">
        <f t="shared" si="475"/>
        <v>0</v>
      </c>
      <c r="AZ405" s="1120">
        <f t="shared" si="476"/>
        <v>0</v>
      </c>
      <c r="BA405" s="1120">
        <f t="shared" si="477"/>
        <v>0</v>
      </c>
      <c r="BB405" s="1120">
        <f t="shared" si="478"/>
        <v>0</v>
      </c>
      <c r="BC405" s="1120">
        <f t="shared" si="479"/>
        <v>0</v>
      </c>
      <c r="BD405" s="1120">
        <f t="shared" si="480"/>
        <v>0</v>
      </c>
      <c r="BE405" s="1120">
        <f t="shared" si="481"/>
        <v>1</v>
      </c>
      <c r="BF405" s="1120">
        <f t="shared" si="482"/>
        <v>1</v>
      </c>
      <c r="BG405" s="1120">
        <f t="shared" si="483"/>
        <v>0</v>
      </c>
      <c r="BH405" s="1120">
        <f t="shared" si="484"/>
        <v>0</v>
      </c>
      <c r="BI405" s="1120">
        <f t="shared" si="485"/>
        <v>0</v>
      </c>
      <c r="BJ405" s="1120">
        <f t="shared" si="486"/>
        <v>0</v>
      </c>
      <c r="BK405" s="1120">
        <f t="shared" si="487"/>
        <v>1</v>
      </c>
      <c r="BL405" s="1120">
        <f t="shared" si="488"/>
        <v>1</v>
      </c>
      <c r="BM405" s="1120">
        <f t="shared" si="489"/>
        <v>1</v>
      </c>
      <c r="BN405" s="1120">
        <f t="shared" si="490"/>
        <v>1</v>
      </c>
      <c r="BO405" s="1120">
        <f t="shared" si="491"/>
        <v>1</v>
      </c>
      <c r="BP405" s="1120">
        <f t="shared" si="492"/>
        <v>1</v>
      </c>
      <c r="BQ405" s="1120">
        <f t="shared" si="493"/>
        <v>1</v>
      </c>
      <c r="BR405" s="1120">
        <f t="shared" si="494"/>
        <v>1</v>
      </c>
      <c r="BS405" s="1120">
        <f t="shared" si="495"/>
        <v>1</v>
      </c>
      <c r="BT405" s="1120">
        <f t="shared" si="496"/>
        <v>1</v>
      </c>
      <c r="BU405" s="1120">
        <f t="shared" si="497"/>
        <v>1</v>
      </c>
      <c r="BV405" s="1120">
        <f t="shared" si="498"/>
        <v>1</v>
      </c>
      <c r="BW405" s="1120">
        <f t="shared" si="499"/>
        <v>0</v>
      </c>
      <c r="BX405" s="1120">
        <f t="shared" si="500"/>
        <v>0</v>
      </c>
      <c r="BY405" s="1120">
        <f t="shared" si="501"/>
        <v>0</v>
      </c>
      <c r="BZ405" s="1120">
        <f t="shared" si="502"/>
        <v>0</v>
      </c>
      <c r="CA405" s="1120">
        <f t="shared" si="503"/>
        <v>0</v>
      </c>
      <c r="CB405" s="1120">
        <f t="shared" si="504"/>
        <v>0</v>
      </c>
      <c r="CC405" s="1120">
        <f t="shared" si="505"/>
        <v>1</v>
      </c>
      <c r="CD405" s="1120">
        <f t="shared" si="506"/>
        <v>1</v>
      </c>
      <c r="CE405" s="1120">
        <f t="shared" si="507"/>
        <v>0</v>
      </c>
      <c r="CF405" s="1120">
        <f t="shared" si="508"/>
        <v>0</v>
      </c>
      <c r="CG405" s="1120">
        <f t="shared" si="509"/>
        <v>0</v>
      </c>
      <c r="CH405" s="1120">
        <f t="shared" si="510"/>
        <v>0</v>
      </c>
      <c r="CI405" s="1120">
        <f t="shared" si="511"/>
        <v>0.85</v>
      </c>
      <c r="CJ405" s="1120">
        <f t="shared" si="512"/>
        <v>0.85</v>
      </c>
      <c r="CK405" s="1120">
        <f t="shared" si="513"/>
        <v>0.85</v>
      </c>
      <c r="CL405" s="1120">
        <f t="shared" si="514"/>
        <v>0.85</v>
      </c>
      <c r="CM405" s="1120">
        <f t="shared" si="515"/>
        <v>0.85</v>
      </c>
      <c r="CN405" s="1120">
        <f t="shared" si="516"/>
        <v>0.85</v>
      </c>
      <c r="CO405" s="1120">
        <f t="shared" si="517"/>
        <v>0.85</v>
      </c>
      <c r="CP405" s="1120">
        <f t="shared" si="518"/>
        <v>0.85</v>
      </c>
      <c r="CQ405" s="1120">
        <f t="shared" si="519"/>
        <v>0.85</v>
      </c>
      <c r="CR405" s="1120">
        <f t="shared" si="520"/>
        <v>0.85</v>
      </c>
      <c r="CS405" s="1120">
        <f t="shared" si="521"/>
        <v>0.85</v>
      </c>
      <c r="CT405" s="1120">
        <f t="shared" si="522"/>
        <v>0.85</v>
      </c>
      <c r="CU405" s="1120">
        <v>1</v>
      </c>
      <c r="CV405" s="1120"/>
      <c r="CW405" s="1120">
        <f t="shared" si="523"/>
        <v>62</v>
      </c>
      <c r="CX405" s="1120">
        <f t="shared" si="524"/>
        <v>303</v>
      </c>
      <c r="CY405" s="1135" t="s">
        <v>4879</v>
      </c>
      <c r="CZ405" s="1124">
        <v>7</v>
      </c>
      <c r="DA405" s="1124"/>
      <c r="DB405" s="1124"/>
      <c r="DC405" s="1120" t="s">
        <v>4931</v>
      </c>
      <c r="DD405" s="1120" t="s">
        <v>953</v>
      </c>
      <c r="DE405" s="1120" t="str">
        <f t="shared" si="525"/>
        <v/>
      </c>
      <c r="DF405" s="1120">
        <v>0</v>
      </c>
      <c r="DG405" s="1125">
        <v>0</v>
      </c>
    </row>
    <row r="406" spans="1:111">
      <c r="A406" s="1120" t="s">
        <v>3581</v>
      </c>
      <c r="B406" s="1125" t="s">
        <v>3280</v>
      </c>
      <c r="C406" s="1125" t="s">
        <v>3281</v>
      </c>
      <c r="D406" s="1125" t="s">
        <v>594</v>
      </c>
      <c r="E406" s="1125">
        <v>16</v>
      </c>
      <c r="F406" s="1125">
        <v>-80.38</v>
      </c>
      <c r="G406" s="1125">
        <v>25.48</v>
      </c>
      <c r="H406" s="1125">
        <v>-5</v>
      </c>
      <c r="I406" s="1126">
        <v>50.359999656677246</v>
      </c>
      <c r="J406" s="1126">
        <v>90.320002746582034</v>
      </c>
      <c r="K406" s="1127">
        <v>78.980000686645511</v>
      </c>
      <c r="L406" s="1125">
        <v>289.8</v>
      </c>
      <c r="M406" s="1125">
        <v>4186.8</v>
      </c>
      <c r="N406" s="1128">
        <v>60.8</v>
      </c>
      <c r="O406" s="1128">
        <v>64.580000686645505</v>
      </c>
      <c r="P406" s="1128">
        <v>73.939998626708984</v>
      </c>
      <c r="Q406" s="1128">
        <v>71.780000686645508</v>
      </c>
      <c r="R406" s="1128">
        <v>80.780000686645508</v>
      </c>
      <c r="S406" s="1128">
        <v>81.319999313354487</v>
      </c>
      <c r="T406" s="1128">
        <v>83.480000686645511</v>
      </c>
      <c r="U406" s="1128">
        <v>82.219999313354492</v>
      </c>
      <c r="V406" s="1128">
        <v>81.319999313354487</v>
      </c>
      <c r="W406" s="1128">
        <v>78.8</v>
      </c>
      <c r="X406" s="1128">
        <v>72.860001373291013</v>
      </c>
      <c r="Y406" s="1128">
        <v>68.360001373291013</v>
      </c>
      <c r="Z406" s="1128">
        <v>75.086082359209456</v>
      </c>
      <c r="AA406" s="1128">
        <f t="shared" si="451"/>
        <v>73.043198658366691</v>
      </c>
      <c r="AB406" s="1128">
        <f t="shared" si="452"/>
        <v>73.823628796978113</v>
      </c>
      <c r="AC406" s="1128">
        <f t="shared" si="453"/>
        <v>76.49712937438224</v>
      </c>
      <c r="AD406" s="1128">
        <f t="shared" si="454"/>
        <v>80.366811265187692</v>
      </c>
      <c r="AE406" s="1128">
        <f t="shared" si="455"/>
        <v>84.423982250953003</v>
      </c>
      <c r="AF406" s="1128">
        <f t="shared" si="456"/>
        <v>87.61107819134098</v>
      </c>
      <c r="AG406" s="1128">
        <f t="shared" si="457"/>
        <v>89.09733341485439</v>
      </c>
      <c r="AH406" s="1128">
        <f t="shared" si="458"/>
        <v>88.495332593598164</v>
      </c>
      <c r="AI406" s="1128">
        <f t="shared" si="459"/>
        <v>85.961996518746204</v>
      </c>
      <c r="AJ406" s="1128">
        <f t="shared" si="460"/>
        <v>82.157678278099326</v>
      </c>
      <c r="AK406" s="1128">
        <f t="shared" si="461"/>
        <v>78.07403204740082</v>
      </c>
      <c r="AL406" s="1128">
        <f t="shared" si="462"/>
        <v>74.775523147575583</v>
      </c>
      <c r="AM406" s="1125">
        <f t="shared" si="463"/>
        <v>1</v>
      </c>
      <c r="AN406" s="1125">
        <f t="shared" si="464"/>
        <v>1</v>
      </c>
      <c r="AO406" s="1125">
        <f t="shared" si="465"/>
        <v>0</v>
      </c>
      <c r="AP406" s="1125">
        <f t="shared" si="466"/>
        <v>0</v>
      </c>
      <c r="AQ406" s="1125">
        <f t="shared" si="467"/>
        <v>0</v>
      </c>
      <c r="AR406" s="1125">
        <f t="shared" si="468"/>
        <v>0</v>
      </c>
      <c r="AS406" s="1125">
        <f t="shared" si="469"/>
        <v>0</v>
      </c>
      <c r="AT406" s="1125">
        <f t="shared" si="470"/>
        <v>0</v>
      </c>
      <c r="AU406" s="1125">
        <f t="shared" si="471"/>
        <v>0</v>
      </c>
      <c r="AV406" s="1125">
        <f t="shared" si="472"/>
        <v>0</v>
      </c>
      <c r="AW406" s="1125">
        <f t="shared" si="473"/>
        <v>0</v>
      </c>
      <c r="AX406" s="1125">
        <f t="shared" si="474"/>
        <v>0</v>
      </c>
      <c r="AY406" s="1125">
        <f t="shared" si="475"/>
        <v>0</v>
      </c>
      <c r="AZ406" s="1125">
        <f t="shared" si="476"/>
        <v>0</v>
      </c>
      <c r="BA406" s="1125">
        <f t="shared" si="477"/>
        <v>1</v>
      </c>
      <c r="BB406" s="1125">
        <f t="shared" si="478"/>
        <v>1</v>
      </c>
      <c r="BC406" s="1125">
        <f t="shared" si="479"/>
        <v>1</v>
      </c>
      <c r="BD406" s="1125">
        <f t="shared" si="480"/>
        <v>1</v>
      </c>
      <c r="BE406" s="1125">
        <f t="shared" si="481"/>
        <v>1</v>
      </c>
      <c r="BF406" s="1125">
        <f t="shared" si="482"/>
        <v>1</v>
      </c>
      <c r="BG406" s="1125">
        <f t="shared" si="483"/>
        <v>1</v>
      </c>
      <c r="BH406" s="1125">
        <f t="shared" si="484"/>
        <v>1</v>
      </c>
      <c r="BI406" s="1125">
        <f t="shared" si="485"/>
        <v>1</v>
      </c>
      <c r="BJ406" s="1125">
        <f t="shared" si="486"/>
        <v>1</v>
      </c>
      <c r="BK406" s="1125">
        <f t="shared" si="487"/>
        <v>1</v>
      </c>
      <c r="BL406" s="1125">
        <f t="shared" si="488"/>
        <v>1</v>
      </c>
      <c r="BM406" s="1125">
        <f t="shared" si="489"/>
        <v>1</v>
      </c>
      <c r="BN406" s="1125">
        <f t="shared" si="490"/>
        <v>0</v>
      </c>
      <c r="BO406" s="1125">
        <f t="shared" si="491"/>
        <v>0</v>
      </c>
      <c r="BP406" s="1125">
        <f t="shared" si="492"/>
        <v>0</v>
      </c>
      <c r="BQ406" s="1125">
        <f t="shared" si="493"/>
        <v>0</v>
      </c>
      <c r="BR406" s="1125">
        <f t="shared" si="494"/>
        <v>0</v>
      </c>
      <c r="BS406" s="1125">
        <f t="shared" si="495"/>
        <v>0</v>
      </c>
      <c r="BT406" s="1125">
        <f t="shared" si="496"/>
        <v>0</v>
      </c>
      <c r="BU406" s="1125">
        <f t="shared" si="497"/>
        <v>0</v>
      </c>
      <c r="BV406" s="1125">
        <f t="shared" si="498"/>
        <v>0</v>
      </c>
      <c r="BW406" s="1125">
        <f t="shared" si="499"/>
        <v>1</v>
      </c>
      <c r="BX406" s="1125">
        <f t="shared" si="500"/>
        <v>1</v>
      </c>
      <c r="BY406" s="1125">
        <f t="shared" si="501"/>
        <v>1</v>
      </c>
      <c r="BZ406" s="1125">
        <f t="shared" si="502"/>
        <v>1</v>
      </c>
      <c r="CA406" s="1125">
        <f t="shared" si="503"/>
        <v>1</v>
      </c>
      <c r="CB406" s="1125">
        <f t="shared" si="504"/>
        <v>1</v>
      </c>
      <c r="CC406" s="1125">
        <f t="shared" si="505"/>
        <v>1</v>
      </c>
      <c r="CD406" s="1125">
        <f t="shared" si="506"/>
        <v>1</v>
      </c>
      <c r="CE406" s="1125">
        <f t="shared" si="507"/>
        <v>1</v>
      </c>
      <c r="CF406" s="1125">
        <f t="shared" si="508"/>
        <v>1</v>
      </c>
      <c r="CG406" s="1125">
        <f t="shared" si="509"/>
        <v>1</v>
      </c>
      <c r="CH406" s="1125">
        <f t="shared" si="510"/>
        <v>1</v>
      </c>
      <c r="CI406" s="1125">
        <f t="shared" si="511"/>
        <v>0.85</v>
      </c>
      <c r="CJ406" s="1125">
        <f t="shared" si="512"/>
        <v>0.85</v>
      </c>
      <c r="CK406" s="1125">
        <f t="shared" si="513"/>
        <v>0.85</v>
      </c>
      <c r="CL406" s="1125">
        <f t="shared" si="514"/>
        <v>0.7</v>
      </c>
      <c r="CM406" s="1125">
        <f t="shared" si="515"/>
        <v>0.7</v>
      </c>
      <c r="CN406" s="1125">
        <f t="shared" si="516"/>
        <v>0.7</v>
      </c>
      <c r="CO406" s="1125">
        <f t="shared" si="517"/>
        <v>0.7</v>
      </c>
      <c r="CP406" s="1125">
        <f t="shared" si="518"/>
        <v>0.7</v>
      </c>
      <c r="CQ406" s="1125">
        <f t="shared" si="519"/>
        <v>0.7</v>
      </c>
      <c r="CR406" s="1125">
        <f t="shared" si="520"/>
        <v>0.7</v>
      </c>
      <c r="CS406" s="1125">
        <f t="shared" si="521"/>
        <v>0.7</v>
      </c>
      <c r="CT406" s="1125">
        <f t="shared" si="522"/>
        <v>0.7</v>
      </c>
      <c r="CU406" s="1125">
        <v>1</v>
      </c>
      <c r="CV406" s="1125"/>
      <c r="CW406" s="1125">
        <f t="shared" si="523"/>
        <v>365</v>
      </c>
      <c r="CX406" s="1125">
        <f t="shared" si="524"/>
        <v>0</v>
      </c>
      <c r="CY406" s="1135" t="s">
        <v>4883</v>
      </c>
      <c r="CZ406" s="1124" t="s">
        <v>4898</v>
      </c>
      <c r="DA406" s="1124"/>
      <c r="DB406" s="1124"/>
      <c r="DC406" s="1120" t="s">
        <v>5098</v>
      </c>
      <c r="DD406" s="1120" t="s">
        <v>594</v>
      </c>
      <c r="DE406" s="1120" t="str">
        <f t="shared" si="525"/>
        <v/>
      </c>
      <c r="DF406" s="1133">
        <v>0</v>
      </c>
      <c r="DG406" s="1120">
        <v>0</v>
      </c>
    </row>
    <row r="407" spans="1:111">
      <c r="A407" s="1125" t="s">
        <v>3583</v>
      </c>
      <c r="B407" s="1125" t="s">
        <v>4408</v>
      </c>
      <c r="C407" s="1125" t="s">
        <v>4409</v>
      </c>
      <c r="D407" s="1125" t="s">
        <v>228</v>
      </c>
      <c r="E407" s="1125">
        <v>918</v>
      </c>
      <c r="F407" s="1125">
        <v>-99.17</v>
      </c>
      <c r="G407" s="1125">
        <v>29.37</v>
      </c>
      <c r="H407" s="1125">
        <v>-6</v>
      </c>
      <c r="I407" s="1126">
        <v>30.019999957084657</v>
      </c>
      <c r="J407" s="1126">
        <v>97.33999862670899</v>
      </c>
      <c r="K407" s="1127">
        <v>73.400000000000006</v>
      </c>
      <c r="L407" s="1125">
        <v>1614.6000000000001</v>
      </c>
      <c r="M407" s="1125">
        <v>2829.6</v>
      </c>
      <c r="N407" s="1128">
        <v>49.1</v>
      </c>
      <c r="O407" s="1128">
        <v>54.5</v>
      </c>
      <c r="P407" s="1128">
        <v>62.060001373291016</v>
      </c>
      <c r="Q407" s="1128">
        <v>68</v>
      </c>
      <c r="R407" s="1128">
        <v>73.939998626708984</v>
      </c>
      <c r="S407" s="1128">
        <v>80.960001373291021</v>
      </c>
      <c r="T407" s="1128">
        <v>83.66000137329101</v>
      </c>
      <c r="U407" s="1128">
        <v>81.680000686645513</v>
      </c>
      <c r="V407" s="1128">
        <v>80.239998626708982</v>
      </c>
      <c r="W407" s="1128">
        <v>69.439998626708984</v>
      </c>
      <c r="X407" s="1128">
        <v>55.940000343322751</v>
      </c>
      <c r="Y407" s="1128">
        <v>52.7</v>
      </c>
      <c r="Z407" s="1128">
        <v>67.753917894755318</v>
      </c>
      <c r="AA407" s="1128">
        <f t="shared" si="451"/>
        <v>62.942912711469063</v>
      </c>
      <c r="AB407" s="1128">
        <f t="shared" si="452"/>
        <v>63.306015241044193</v>
      </c>
      <c r="AC407" s="1128">
        <f t="shared" si="453"/>
        <v>66.392524604362663</v>
      </c>
      <c r="AD407" s="1128">
        <f t="shared" si="454"/>
        <v>71.397894571326461</v>
      </c>
      <c r="AE407" s="1128">
        <f t="shared" si="455"/>
        <v>77.017398324960411</v>
      </c>
      <c r="AF407" s="1128">
        <f t="shared" si="456"/>
        <v>81.786225612705664</v>
      </c>
      <c r="AG407" s="1128">
        <f t="shared" si="457"/>
        <v>84.461308112158392</v>
      </c>
      <c r="AH407" s="1128">
        <f t="shared" si="458"/>
        <v>84.345344345567057</v>
      </c>
      <c r="AI407" s="1128">
        <f t="shared" si="459"/>
        <v>81.468562055749459</v>
      </c>
      <c r="AJ407" s="1128">
        <f t="shared" si="460"/>
        <v>76.580838879103553</v>
      </c>
      <c r="AK407" s="1128">
        <f t="shared" si="461"/>
        <v>70.956235183716245</v>
      </c>
      <c r="AL407" s="1128">
        <f t="shared" si="462"/>
        <v>66.060890600556874</v>
      </c>
      <c r="AM407" s="1125">
        <f t="shared" si="463"/>
        <v>1</v>
      </c>
      <c r="AN407" s="1125">
        <f t="shared" si="464"/>
        <v>1</v>
      </c>
      <c r="AO407" s="1125">
        <f t="shared" si="465"/>
        <v>1</v>
      </c>
      <c r="AP407" s="1125">
        <f t="shared" si="466"/>
        <v>0</v>
      </c>
      <c r="AQ407" s="1125">
        <f t="shared" si="467"/>
        <v>0</v>
      </c>
      <c r="AR407" s="1125">
        <f t="shared" si="468"/>
        <v>0</v>
      </c>
      <c r="AS407" s="1125">
        <f t="shared" si="469"/>
        <v>0</v>
      </c>
      <c r="AT407" s="1125">
        <f t="shared" si="470"/>
        <v>0</v>
      </c>
      <c r="AU407" s="1125">
        <f t="shared" si="471"/>
        <v>0</v>
      </c>
      <c r="AV407" s="1125">
        <f t="shared" si="472"/>
        <v>0</v>
      </c>
      <c r="AW407" s="1125">
        <f t="shared" si="473"/>
        <v>1</v>
      </c>
      <c r="AX407" s="1125">
        <f t="shared" si="474"/>
        <v>1</v>
      </c>
      <c r="AY407" s="1125">
        <f t="shared" si="475"/>
        <v>0</v>
      </c>
      <c r="AZ407" s="1125">
        <f t="shared" si="476"/>
        <v>0</v>
      </c>
      <c r="BA407" s="1125">
        <f t="shared" si="477"/>
        <v>0</v>
      </c>
      <c r="BB407" s="1125">
        <f t="shared" si="478"/>
        <v>1</v>
      </c>
      <c r="BC407" s="1125">
        <f t="shared" si="479"/>
        <v>1</v>
      </c>
      <c r="BD407" s="1125">
        <f t="shared" si="480"/>
        <v>1</v>
      </c>
      <c r="BE407" s="1125">
        <f t="shared" si="481"/>
        <v>1</v>
      </c>
      <c r="BF407" s="1125">
        <f t="shared" si="482"/>
        <v>1</v>
      </c>
      <c r="BG407" s="1125">
        <f t="shared" si="483"/>
        <v>1</v>
      </c>
      <c r="BH407" s="1125">
        <f t="shared" si="484"/>
        <v>1</v>
      </c>
      <c r="BI407" s="1125">
        <f t="shared" si="485"/>
        <v>0</v>
      </c>
      <c r="BJ407" s="1125">
        <f t="shared" si="486"/>
        <v>0</v>
      </c>
      <c r="BK407" s="1125">
        <f t="shared" si="487"/>
        <v>1</v>
      </c>
      <c r="BL407" s="1125">
        <f t="shared" si="488"/>
        <v>1</v>
      </c>
      <c r="BM407" s="1125">
        <f t="shared" si="489"/>
        <v>1</v>
      </c>
      <c r="BN407" s="1125">
        <f t="shared" si="490"/>
        <v>1</v>
      </c>
      <c r="BO407" s="1125">
        <f t="shared" si="491"/>
        <v>0</v>
      </c>
      <c r="BP407" s="1125">
        <f t="shared" si="492"/>
        <v>0</v>
      </c>
      <c r="BQ407" s="1125">
        <f t="shared" si="493"/>
        <v>0</v>
      </c>
      <c r="BR407" s="1125">
        <f t="shared" si="494"/>
        <v>0</v>
      </c>
      <c r="BS407" s="1125">
        <f t="shared" si="495"/>
        <v>0</v>
      </c>
      <c r="BT407" s="1125">
        <f t="shared" si="496"/>
        <v>0</v>
      </c>
      <c r="BU407" s="1125">
        <f t="shared" si="497"/>
        <v>1</v>
      </c>
      <c r="BV407" s="1125">
        <f t="shared" si="498"/>
        <v>1</v>
      </c>
      <c r="BW407" s="1125">
        <f t="shared" si="499"/>
        <v>0</v>
      </c>
      <c r="BX407" s="1125">
        <f t="shared" si="500"/>
        <v>0</v>
      </c>
      <c r="BY407" s="1125">
        <f t="shared" si="501"/>
        <v>1</v>
      </c>
      <c r="BZ407" s="1125">
        <f t="shared" si="502"/>
        <v>1</v>
      </c>
      <c r="CA407" s="1125">
        <f t="shared" si="503"/>
        <v>1</v>
      </c>
      <c r="CB407" s="1125">
        <f t="shared" si="504"/>
        <v>1</v>
      </c>
      <c r="CC407" s="1125">
        <f t="shared" si="505"/>
        <v>1</v>
      </c>
      <c r="CD407" s="1125">
        <f t="shared" si="506"/>
        <v>1</v>
      </c>
      <c r="CE407" s="1125">
        <f t="shared" si="507"/>
        <v>1</v>
      </c>
      <c r="CF407" s="1125">
        <f t="shared" si="508"/>
        <v>1</v>
      </c>
      <c r="CG407" s="1125">
        <f t="shared" si="509"/>
        <v>1</v>
      </c>
      <c r="CH407" s="1125">
        <f t="shared" si="510"/>
        <v>0</v>
      </c>
      <c r="CI407" s="1125">
        <f t="shared" si="511"/>
        <v>0.85</v>
      </c>
      <c r="CJ407" s="1125">
        <f t="shared" si="512"/>
        <v>0.85</v>
      </c>
      <c r="CK407" s="1125">
        <f t="shared" si="513"/>
        <v>0.85</v>
      </c>
      <c r="CL407" s="1125">
        <f t="shared" si="514"/>
        <v>0.85</v>
      </c>
      <c r="CM407" s="1125">
        <f t="shared" si="515"/>
        <v>0.7</v>
      </c>
      <c r="CN407" s="1125">
        <f t="shared" si="516"/>
        <v>0.7</v>
      </c>
      <c r="CO407" s="1125">
        <f t="shared" si="517"/>
        <v>0.7</v>
      </c>
      <c r="CP407" s="1125">
        <f t="shared" si="518"/>
        <v>0.7</v>
      </c>
      <c r="CQ407" s="1125">
        <f t="shared" si="519"/>
        <v>0.7</v>
      </c>
      <c r="CR407" s="1125">
        <f t="shared" si="520"/>
        <v>0.7</v>
      </c>
      <c r="CS407" s="1125">
        <f t="shared" si="521"/>
        <v>0.85</v>
      </c>
      <c r="CT407" s="1125">
        <f t="shared" si="522"/>
        <v>0.85</v>
      </c>
      <c r="CU407" s="1125">
        <v>1</v>
      </c>
      <c r="CV407" s="1125"/>
      <c r="CW407" s="1125">
        <f t="shared" si="523"/>
        <v>275</v>
      </c>
      <c r="CX407" s="1125">
        <f t="shared" si="524"/>
        <v>90</v>
      </c>
      <c r="CY407" s="1136" t="s">
        <v>4883</v>
      </c>
      <c r="CZ407" s="1129" t="s">
        <v>4887</v>
      </c>
      <c r="DA407" s="1129"/>
      <c r="DB407" s="1129"/>
      <c r="DC407" s="1125" t="s">
        <v>5594</v>
      </c>
      <c r="DD407" s="1125" t="s">
        <v>228</v>
      </c>
      <c r="DE407" s="1120" t="str">
        <f t="shared" si="525"/>
        <v/>
      </c>
      <c r="DF407" s="1133">
        <v>0</v>
      </c>
      <c r="DG407" s="1125">
        <v>0</v>
      </c>
    </row>
    <row r="408" spans="1:111">
      <c r="A408" s="1120" t="s">
        <v>3585</v>
      </c>
      <c r="B408" s="1120" t="s">
        <v>3388</v>
      </c>
      <c r="C408" s="1120" t="s">
        <v>3389</v>
      </c>
      <c r="D408" s="1120" t="s">
        <v>122</v>
      </c>
      <c r="E408" s="1120">
        <v>7</v>
      </c>
      <c r="F408" s="1120">
        <v>-157.93</v>
      </c>
      <c r="G408" s="1120">
        <v>21.32</v>
      </c>
      <c r="H408" s="1120">
        <v>-10</v>
      </c>
      <c r="I408" s="1121">
        <v>63.319999313354494</v>
      </c>
      <c r="J408" s="1121">
        <v>89.060001373291016</v>
      </c>
      <c r="K408" s="1122">
        <v>73.580000686645505</v>
      </c>
      <c r="L408" s="1120">
        <v>0</v>
      </c>
      <c r="M408" s="1120">
        <v>4543.2</v>
      </c>
      <c r="N408" s="1123">
        <v>72.5</v>
      </c>
      <c r="O408" s="1123">
        <v>73.039998626708979</v>
      </c>
      <c r="P408" s="1123">
        <v>73.760001373291018</v>
      </c>
      <c r="Q408" s="1123">
        <v>74.83999862670899</v>
      </c>
      <c r="R408" s="1123">
        <v>77.360001373291013</v>
      </c>
      <c r="S408" s="1123">
        <v>78.619999313354498</v>
      </c>
      <c r="T408" s="1123">
        <v>80.419999313354495</v>
      </c>
      <c r="U408" s="1123">
        <v>80.780000686645508</v>
      </c>
      <c r="V408" s="1123">
        <v>80.419999313354495</v>
      </c>
      <c r="W408" s="1123">
        <v>79.16000137329101</v>
      </c>
      <c r="X408" s="1123">
        <v>76.639998626708987</v>
      </c>
      <c r="Y408" s="1123">
        <v>74.66000137329101</v>
      </c>
      <c r="Z408" s="1123">
        <v>76.872767145862312</v>
      </c>
      <c r="AA408" s="1123">
        <f t="shared" si="451"/>
        <v>79.85785561253924</v>
      </c>
      <c r="AB408" s="1123">
        <f t="shared" si="452"/>
        <v>80.196290874103866</v>
      </c>
      <c r="AC408" s="1123">
        <f t="shared" si="453"/>
        <v>81.232390921650179</v>
      </c>
      <c r="AD408" s="1123">
        <f t="shared" si="454"/>
        <v>82.696080311000188</v>
      </c>
      <c r="AE408" s="1123">
        <f t="shared" si="455"/>
        <v>84.205825846683553</v>
      </c>
      <c r="AF408" s="1123">
        <f t="shared" si="456"/>
        <v>85.368089088941446</v>
      </c>
      <c r="AG408" s="1123">
        <f t="shared" si="457"/>
        <v>85.879908212660624</v>
      </c>
      <c r="AH408" s="1123">
        <f t="shared" si="458"/>
        <v>85.607869675872251</v>
      </c>
      <c r="AI408" s="1123">
        <f t="shared" si="459"/>
        <v>84.62288451543094</v>
      </c>
      <c r="AJ408" s="1123">
        <f t="shared" si="460"/>
        <v>83.181704292486529</v>
      </c>
      <c r="AK408" s="1123">
        <f t="shared" si="461"/>
        <v>81.659994841408974</v>
      </c>
      <c r="AL408" s="1123">
        <f t="shared" si="462"/>
        <v>80.454413180874113</v>
      </c>
      <c r="AM408" s="1120">
        <f t="shared" si="463"/>
        <v>0</v>
      </c>
      <c r="AN408" s="1120">
        <f t="shared" si="464"/>
        <v>0</v>
      </c>
      <c r="AO408" s="1120">
        <f t="shared" si="465"/>
        <v>0</v>
      </c>
      <c r="AP408" s="1120">
        <f t="shared" si="466"/>
        <v>0</v>
      </c>
      <c r="AQ408" s="1120">
        <f t="shared" si="467"/>
        <v>0</v>
      </c>
      <c r="AR408" s="1120">
        <f t="shared" si="468"/>
        <v>0</v>
      </c>
      <c r="AS408" s="1120">
        <f t="shared" si="469"/>
        <v>0</v>
      </c>
      <c r="AT408" s="1120">
        <f t="shared" si="470"/>
        <v>0</v>
      </c>
      <c r="AU408" s="1120">
        <f t="shared" si="471"/>
        <v>0</v>
      </c>
      <c r="AV408" s="1120">
        <f t="shared" si="472"/>
        <v>0</v>
      </c>
      <c r="AW408" s="1120">
        <f t="shared" si="473"/>
        <v>0</v>
      </c>
      <c r="AX408" s="1120">
        <f t="shared" si="474"/>
        <v>0</v>
      </c>
      <c r="AY408" s="1120">
        <f t="shared" si="475"/>
        <v>1</v>
      </c>
      <c r="AZ408" s="1120">
        <f t="shared" si="476"/>
        <v>1</v>
      </c>
      <c r="BA408" s="1120">
        <f t="shared" si="477"/>
        <v>1</v>
      </c>
      <c r="BB408" s="1120">
        <f t="shared" si="478"/>
        <v>1</v>
      </c>
      <c r="BC408" s="1120">
        <f t="shared" si="479"/>
        <v>1</v>
      </c>
      <c r="BD408" s="1120">
        <f t="shared" si="480"/>
        <v>1</v>
      </c>
      <c r="BE408" s="1120">
        <f t="shared" si="481"/>
        <v>1</v>
      </c>
      <c r="BF408" s="1120">
        <f t="shared" si="482"/>
        <v>1</v>
      </c>
      <c r="BG408" s="1120">
        <f t="shared" si="483"/>
        <v>1</v>
      </c>
      <c r="BH408" s="1120">
        <f t="shared" si="484"/>
        <v>1</v>
      </c>
      <c r="BI408" s="1120">
        <f t="shared" si="485"/>
        <v>1</v>
      </c>
      <c r="BJ408" s="1120">
        <f t="shared" si="486"/>
        <v>1</v>
      </c>
      <c r="BK408" s="1120">
        <f t="shared" si="487"/>
        <v>0</v>
      </c>
      <c r="BL408" s="1120">
        <f t="shared" si="488"/>
        <v>0</v>
      </c>
      <c r="BM408" s="1120">
        <f t="shared" si="489"/>
        <v>0</v>
      </c>
      <c r="BN408" s="1120">
        <f t="shared" si="490"/>
        <v>0</v>
      </c>
      <c r="BO408" s="1120">
        <f t="shared" si="491"/>
        <v>0</v>
      </c>
      <c r="BP408" s="1120">
        <f t="shared" si="492"/>
        <v>0</v>
      </c>
      <c r="BQ408" s="1120">
        <f t="shared" si="493"/>
        <v>0</v>
      </c>
      <c r="BR408" s="1120">
        <f t="shared" si="494"/>
        <v>0</v>
      </c>
      <c r="BS408" s="1120">
        <f t="shared" si="495"/>
        <v>0</v>
      </c>
      <c r="BT408" s="1120">
        <f t="shared" si="496"/>
        <v>0</v>
      </c>
      <c r="BU408" s="1120">
        <f t="shared" si="497"/>
        <v>0</v>
      </c>
      <c r="BV408" s="1120">
        <f t="shared" si="498"/>
        <v>0</v>
      </c>
      <c r="BW408" s="1120">
        <f t="shared" si="499"/>
        <v>1</v>
      </c>
      <c r="BX408" s="1120">
        <f t="shared" si="500"/>
        <v>1</v>
      </c>
      <c r="BY408" s="1120">
        <f t="shared" si="501"/>
        <v>1</v>
      </c>
      <c r="BZ408" s="1120">
        <f t="shared" si="502"/>
        <v>1</v>
      </c>
      <c r="CA408" s="1120">
        <f t="shared" si="503"/>
        <v>1</v>
      </c>
      <c r="CB408" s="1120">
        <f t="shared" si="504"/>
        <v>1</v>
      </c>
      <c r="CC408" s="1120">
        <f t="shared" si="505"/>
        <v>1</v>
      </c>
      <c r="CD408" s="1120">
        <f t="shared" si="506"/>
        <v>1</v>
      </c>
      <c r="CE408" s="1120">
        <f t="shared" si="507"/>
        <v>1</v>
      </c>
      <c r="CF408" s="1120">
        <f t="shared" si="508"/>
        <v>1</v>
      </c>
      <c r="CG408" s="1120">
        <f t="shared" si="509"/>
        <v>1</v>
      </c>
      <c r="CH408" s="1120">
        <f t="shared" si="510"/>
        <v>1</v>
      </c>
      <c r="CI408" s="1120">
        <f t="shared" si="511"/>
        <v>0.7</v>
      </c>
      <c r="CJ408" s="1120">
        <f t="shared" si="512"/>
        <v>0.7</v>
      </c>
      <c r="CK408" s="1120">
        <f t="shared" si="513"/>
        <v>0.7</v>
      </c>
      <c r="CL408" s="1120">
        <f t="shared" si="514"/>
        <v>0.7</v>
      </c>
      <c r="CM408" s="1120">
        <f t="shared" si="515"/>
        <v>0.7</v>
      </c>
      <c r="CN408" s="1120">
        <f t="shared" si="516"/>
        <v>0.7</v>
      </c>
      <c r="CO408" s="1120">
        <f t="shared" si="517"/>
        <v>0.7</v>
      </c>
      <c r="CP408" s="1120">
        <f t="shared" si="518"/>
        <v>0.7</v>
      </c>
      <c r="CQ408" s="1120">
        <f t="shared" si="519"/>
        <v>0.7</v>
      </c>
      <c r="CR408" s="1120">
        <f t="shared" si="520"/>
        <v>0.7</v>
      </c>
      <c r="CS408" s="1120">
        <f t="shared" si="521"/>
        <v>0.7</v>
      </c>
      <c r="CT408" s="1120">
        <f t="shared" si="522"/>
        <v>0.7</v>
      </c>
      <c r="CU408" s="1120">
        <v>1</v>
      </c>
      <c r="CV408" s="1120"/>
      <c r="CW408" s="1120">
        <f t="shared" si="523"/>
        <v>365</v>
      </c>
      <c r="CX408" s="1120">
        <f t="shared" si="524"/>
        <v>0</v>
      </c>
      <c r="CY408" s="1135" t="s">
        <v>4883</v>
      </c>
      <c r="CZ408" s="1124" t="s">
        <v>4898</v>
      </c>
      <c r="DA408" s="1124"/>
      <c r="DB408" s="1124"/>
      <c r="DC408" s="1120" t="s">
        <v>5149</v>
      </c>
      <c r="DD408" s="1120" t="s">
        <v>122</v>
      </c>
      <c r="DE408" s="1120" t="str">
        <f t="shared" si="525"/>
        <v/>
      </c>
      <c r="DF408" s="1133">
        <v>0</v>
      </c>
      <c r="DG408" s="1120">
        <v>0</v>
      </c>
    </row>
    <row r="409" spans="1:111">
      <c r="A409" s="1125" t="s">
        <v>3589</v>
      </c>
      <c r="B409" s="1125" t="s">
        <v>1185</v>
      </c>
      <c r="C409" s="1125" t="s">
        <v>1186</v>
      </c>
      <c r="D409" s="1125" t="s">
        <v>953</v>
      </c>
      <c r="E409" s="1125">
        <v>20</v>
      </c>
      <c r="F409" s="1125">
        <v>-135.44999999999999</v>
      </c>
      <c r="G409" s="1125">
        <v>58.08</v>
      </c>
      <c r="H409" s="1125">
        <v>-9</v>
      </c>
      <c r="I409" s="1126">
        <v>4.640000343322753</v>
      </c>
      <c r="J409" s="1126">
        <v>72.680000686645513</v>
      </c>
      <c r="K409" s="1127">
        <v>57.380000686645509</v>
      </c>
      <c r="L409" s="1125">
        <v>8530.2000000000007</v>
      </c>
      <c r="M409" s="1125">
        <v>0</v>
      </c>
      <c r="N409" s="1128">
        <v>28.220000171661376</v>
      </c>
      <c r="O409" s="1128">
        <v>29.3</v>
      </c>
      <c r="P409" s="1128">
        <v>31.459999978542328</v>
      </c>
      <c r="Q409" s="1128">
        <v>42.079999828338622</v>
      </c>
      <c r="R409" s="1128">
        <v>47.480000686645511</v>
      </c>
      <c r="S409" s="1128">
        <v>52.880000686645509</v>
      </c>
      <c r="T409" s="1128">
        <v>56.840000343322757</v>
      </c>
      <c r="U409" s="1128">
        <v>54.680000686645506</v>
      </c>
      <c r="V409" s="1128">
        <v>48.019999313354489</v>
      </c>
      <c r="W409" s="1128">
        <v>41</v>
      </c>
      <c r="X409" s="1128">
        <v>30.380000042915345</v>
      </c>
      <c r="Y409" s="1128">
        <v>28.939999914169313</v>
      </c>
      <c r="Z409" s="1128">
        <v>41.009370003693725</v>
      </c>
      <c r="AA409" s="1128">
        <f t="shared" si="451"/>
        <v>42.805418867527102</v>
      </c>
      <c r="AB409" s="1128">
        <f t="shared" si="452"/>
        <v>41.763321927687556</v>
      </c>
      <c r="AC409" s="1128">
        <f t="shared" si="453"/>
        <v>42.088688262906999</v>
      </c>
      <c r="AD409" s="1128">
        <f t="shared" si="454"/>
        <v>43.696706123863478</v>
      </c>
      <c r="AE409" s="1128">
        <f t="shared" si="455"/>
        <v>46.168220874793363</v>
      </c>
      <c r="AF409" s="1128">
        <f t="shared" si="456"/>
        <v>48.858994108671574</v>
      </c>
      <c r="AG409" s="1128">
        <f t="shared" si="457"/>
        <v>51.067634316017056</v>
      </c>
      <c r="AH409" s="1128">
        <f t="shared" si="458"/>
        <v>52.218425390609347</v>
      </c>
      <c r="AI409" s="1128">
        <f t="shared" si="459"/>
        <v>52.011395904628699</v>
      </c>
      <c r="AJ409" s="1128">
        <f t="shared" si="460"/>
        <v>50.500511284016909</v>
      </c>
      <c r="AK409" s="1128">
        <f t="shared" si="461"/>
        <v>48.079606888573238</v>
      </c>
      <c r="AL409" s="1128">
        <f t="shared" si="462"/>
        <v>45.379728756236098</v>
      </c>
      <c r="AM409" s="1125">
        <f t="shared" si="463"/>
        <v>1</v>
      </c>
      <c r="AN409" s="1125">
        <f t="shared" si="464"/>
        <v>1</v>
      </c>
      <c r="AO409" s="1125">
        <f t="shared" si="465"/>
        <v>1</v>
      </c>
      <c r="AP409" s="1125">
        <f t="shared" si="466"/>
        <v>1</v>
      </c>
      <c r="AQ409" s="1125">
        <f t="shared" si="467"/>
        <v>1</v>
      </c>
      <c r="AR409" s="1125">
        <f t="shared" si="468"/>
        <v>1</v>
      </c>
      <c r="AS409" s="1125">
        <f t="shared" si="469"/>
        <v>1</v>
      </c>
      <c r="AT409" s="1125">
        <f t="shared" si="470"/>
        <v>1</v>
      </c>
      <c r="AU409" s="1125">
        <f t="shared" si="471"/>
        <v>1</v>
      </c>
      <c r="AV409" s="1125">
        <f t="shared" si="472"/>
        <v>1</v>
      </c>
      <c r="AW409" s="1125">
        <f t="shared" si="473"/>
        <v>1</v>
      </c>
      <c r="AX409" s="1125">
        <f t="shared" si="474"/>
        <v>1</v>
      </c>
      <c r="AY409" s="1125">
        <f t="shared" si="475"/>
        <v>0</v>
      </c>
      <c r="AZ409" s="1125">
        <f t="shared" si="476"/>
        <v>0</v>
      </c>
      <c r="BA409" s="1125">
        <f t="shared" si="477"/>
        <v>0</v>
      </c>
      <c r="BB409" s="1125">
        <f t="shared" si="478"/>
        <v>0</v>
      </c>
      <c r="BC409" s="1125">
        <f t="shared" si="479"/>
        <v>0</v>
      </c>
      <c r="BD409" s="1125">
        <f t="shared" si="480"/>
        <v>0</v>
      </c>
      <c r="BE409" s="1125">
        <f t="shared" si="481"/>
        <v>1</v>
      </c>
      <c r="BF409" s="1125">
        <f t="shared" si="482"/>
        <v>1</v>
      </c>
      <c r="BG409" s="1125">
        <f t="shared" si="483"/>
        <v>0</v>
      </c>
      <c r="BH409" s="1125">
        <f t="shared" si="484"/>
        <v>0</v>
      </c>
      <c r="BI409" s="1125">
        <f t="shared" si="485"/>
        <v>0</v>
      </c>
      <c r="BJ409" s="1125">
        <f t="shared" si="486"/>
        <v>0</v>
      </c>
      <c r="BK409" s="1125">
        <f t="shared" si="487"/>
        <v>1</v>
      </c>
      <c r="BL409" s="1125">
        <f t="shared" si="488"/>
        <v>1</v>
      </c>
      <c r="BM409" s="1125">
        <f t="shared" si="489"/>
        <v>1</v>
      </c>
      <c r="BN409" s="1125">
        <f t="shared" si="490"/>
        <v>1</v>
      </c>
      <c r="BO409" s="1125">
        <f t="shared" si="491"/>
        <v>1</v>
      </c>
      <c r="BP409" s="1125">
        <f t="shared" si="492"/>
        <v>1</v>
      </c>
      <c r="BQ409" s="1125">
        <f t="shared" si="493"/>
        <v>1</v>
      </c>
      <c r="BR409" s="1125">
        <f t="shared" si="494"/>
        <v>1</v>
      </c>
      <c r="BS409" s="1125">
        <f t="shared" si="495"/>
        <v>1</v>
      </c>
      <c r="BT409" s="1125">
        <f t="shared" si="496"/>
        <v>1</v>
      </c>
      <c r="BU409" s="1125">
        <f t="shared" si="497"/>
        <v>1</v>
      </c>
      <c r="BV409" s="1125">
        <f t="shared" si="498"/>
        <v>1</v>
      </c>
      <c r="BW409" s="1125">
        <f t="shared" si="499"/>
        <v>0</v>
      </c>
      <c r="BX409" s="1125">
        <f t="shared" si="500"/>
        <v>0</v>
      </c>
      <c r="BY409" s="1125">
        <f t="shared" si="501"/>
        <v>0</v>
      </c>
      <c r="BZ409" s="1125">
        <f t="shared" si="502"/>
        <v>0</v>
      </c>
      <c r="CA409" s="1125">
        <f t="shared" si="503"/>
        <v>0</v>
      </c>
      <c r="CB409" s="1125">
        <f t="shared" si="504"/>
        <v>0</v>
      </c>
      <c r="CC409" s="1125">
        <f t="shared" si="505"/>
        <v>1</v>
      </c>
      <c r="CD409" s="1125">
        <f t="shared" si="506"/>
        <v>1</v>
      </c>
      <c r="CE409" s="1125">
        <f t="shared" si="507"/>
        <v>0</v>
      </c>
      <c r="CF409" s="1125">
        <f t="shared" si="508"/>
        <v>0</v>
      </c>
      <c r="CG409" s="1125">
        <f t="shared" si="509"/>
        <v>0</v>
      </c>
      <c r="CH409" s="1125">
        <f t="shared" si="510"/>
        <v>0</v>
      </c>
      <c r="CI409" s="1125">
        <f t="shared" si="511"/>
        <v>0.85</v>
      </c>
      <c r="CJ409" s="1125">
        <f t="shared" si="512"/>
        <v>0.85</v>
      </c>
      <c r="CK409" s="1125">
        <f t="shared" si="513"/>
        <v>0.85</v>
      </c>
      <c r="CL409" s="1125">
        <f t="shared" si="514"/>
        <v>0.85</v>
      </c>
      <c r="CM409" s="1125">
        <f t="shared" si="515"/>
        <v>0.85</v>
      </c>
      <c r="CN409" s="1125">
        <f t="shared" si="516"/>
        <v>0.85</v>
      </c>
      <c r="CO409" s="1125">
        <f t="shared" si="517"/>
        <v>0.85</v>
      </c>
      <c r="CP409" s="1125">
        <f t="shared" si="518"/>
        <v>0.85</v>
      </c>
      <c r="CQ409" s="1125">
        <f t="shared" si="519"/>
        <v>0.85</v>
      </c>
      <c r="CR409" s="1125">
        <f t="shared" si="520"/>
        <v>0.85</v>
      </c>
      <c r="CS409" s="1125">
        <f t="shared" si="521"/>
        <v>0.85</v>
      </c>
      <c r="CT409" s="1125">
        <f t="shared" si="522"/>
        <v>0.85</v>
      </c>
      <c r="CU409" s="1125">
        <v>1</v>
      </c>
      <c r="CV409" s="1125"/>
      <c r="CW409" s="1125">
        <f t="shared" si="523"/>
        <v>62</v>
      </c>
      <c r="CX409" s="1125">
        <f t="shared" si="524"/>
        <v>303</v>
      </c>
      <c r="CY409" s="1136" t="s">
        <v>4879</v>
      </c>
      <c r="CZ409" s="1129">
        <v>7</v>
      </c>
      <c r="DA409" s="1129"/>
      <c r="DB409" s="1129"/>
      <c r="DC409" s="1125" t="s">
        <v>4932</v>
      </c>
      <c r="DD409" s="1125" t="s">
        <v>953</v>
      </c>
      <c r="DE409" s="1125" t="str">
        <f t="shared" si="525"/>
        <v/>
      </c>
      <c r="DF409" s="1125">
        <v>0</v>
      </c>
      <c r="DG409" s="1125">
        <v>0</v>
      </c>
    </row>
    <row r="410" spans="1:111">
      <c r="A410" s="1120" t="s">
        <v>3591</v>
      </c>
      <c r="B410" s="1120" t="s">
        <v>1187</v>
      </c>
      <c r="C410" s="1120" t="s">
        <v>1188</v>
      </c>
      <c r="D410" s="1120" t="s">
        <v>953</v>
      </c>
      <c r="E410" s="1120">
        <v>20</v>
      </c>
      <c r="F410" s="1120">
        <v>-166.15</v>
      </c>
      <c r="G410" s="1120">
        <v>61.52</v>
      </c>
      <c r="H410" s="1120">
        <v>-9</v>
      </c>
      <c r="I410" s="1121">
        <v>-13.360001373291016</v>
      </c>
      <c r="J410" s="1121">
        <v>60.8</v>
      </c>
      <c r="K410" s="1122">
        <v>55.580000686645505</v>
      </c>
      <c r="L410" s="1120">
        <v>11698.2</v>
      </c>
      <c r="M410" s="1120">
        <v>0</v>
      </c>
      <c r="N410" s="1123">
        <v>18.140000343322754</v>
      </c>
      <c r="O410" s="1123">
        <v>13.640000343322754</v>
      </c>
      <c r="P410" s="1123">
        <v>23.359999656677246</v>
      </c>
      <c r="Q410" s="1123">
        <v>26.420000171661378</v>
      </c>
      <c r="R410" s="1123">
        <v>37.4</v>
      </c>
      <c r="S410" s="1123">
        <v>42.97999982833862</v>
      </c>
      <c r="T410" s="1123">
        <v>50</v>
      </c>
      <c r="U410" s="1123">
        <v>48.919999313354495</v>
      </c>
      <c r="V410" s="1123">
        <v>43.340000343322757</v>
      </c>
      <c r="W410" s="1123">
        <v>33.259999978542325</v>
      </c>
      <c r="X410" s="1123">
        <v>28.76000008583069</v>
      </c>
      <c r="Y410" s="1123">
        <v>20.479999828338624</v>
      </c>
      <c r="Z410" s="1123">
        <v>32.343232863602573</v>
      </c>
      <c r="AA410" s="1123">
        <f t="shared" si="451"/>
        <v>34.764028545093709</v>
      </c>
      <c r="AB410" s="1123">
        <f t="shared" si="452"/>
        <v>33.400679083240156</v>
      </c>
      <c r="AC410" s="1123">
        <f t="shared" si="453"/>
        <v>33.325682431297388</v>
      </c>
      <c r="AD410" s="1123">
        <f t="shared" si="454"/>
        <v>34.558587622327664</v>
      </c>
      <c r="AE410" s="1123">
        <f t="shared" si="455"/>
        <v>36.77801891864484</v>
      </c>
      <c r="AF410" s="1123">
        <f t="shared" si="456"/>
        <v>39.405447350392272</v>
      </c>
      <c r="AG410" s="1123">
        <f t="shared" si="457"/>
        <v>41.755993206937234</v>
      </c>
      <c r="AH410" s="1123">
        <f t="shared" si="458"/>
        <v>43.216950487763171</v>
      </c>
      <c r="AI410" s="1123">
        <f t="shared" si="459"/>
        <v>43.407498163589608</v>
      </c>
      <c r="AJ410" s="1123">
        <f t="shared" si="460"/>
        <v>42.277967046283827</v>
      </c>
      <c r="AK410" s="1123">
        <f t="shared" si="461"/>
        <v>40.122786828172977</v>
      </c>
      <c r="AL410" s="1123">
        <f t="shared" si="462"/>
        <v>37.503738445440149</v>
      </c>
      <c r="AM410" s="1120">
        <f t="shared" si="463"/>
        <v>1</v>
      </c>
      <c r="AN410" s="1120">
        <f t="shared" si="464"/>
        <v>1</v>
      </c>
      <c r="AO410" s="1120">
        <f t="shared" si="465"/>
        <v>1</v>
      </c>
      <c r="AP410" s="1120">
        <f t="shared" si="466"/>
        <v>1</v>
      </c>
      <c r="AQ410" s="1120">
        <f t="shared" si="467"/>
        <v>1</v>
      </c>
      <c r="AR410" s="1120">
        <f t="shared" si="468"/>
        <v>1</v>
      </c>
      <c r="AS410" s="1120">
        <f t="shared" si="469"/>
        <v>1</v>
      </c>
      <c r="AT410" s="1120">
        <f t="shared" si="470"/>
        <v>1</v>
      </c>
      <c r="AU410" s="1120">
        <f t="shared" si="471"/>
        <v>1</v>
      </c>
      <c r="AV410" s="1120">
        <f t="shared" si="472"/>
        <v>1</v>
      </c>
      <c r="AW410" s="1120">
        <f t="shared" si="473"/>
        <v>1</v>
      </c>
      <c r="AX410" s="1120">
        <f t="shared" si="474"/>
        <v>1</v>
      </c>
      <c r="AY410" s="1120">
        <f t="shared" si="475"/>
        <v>0</v>
      </c>
      <c r="AZ410" s="1120">
        <f t="shared" si="476"/>
        <v>0</v>
      </c>
      <c r="BA410" s="1120">
        <f t="shared" si="477"/>
        <v>0</v>
      </c>
      <c r="BB410" s="1120">
        <f t="shared" si="478"/>
        <v>0</v>
      </c>
      <c r="BC410" s="1120">
        <f t="shared" si="479"/>
        <v>0</v>
      </c>
      <c r="BD410" s="1120">
        <f t="shared" si="480"/>
        <v>0</v>
      </c>
      <c r="BE410" s="1120">
        <f t="shared" si="481"/>
        <v>1</v>
      </c>
      <c r="BF410" s="1120">
        <f t="shared" si="482"/>
        <v>1</v>
      </c>
      <c r="BG410" s="1120">
        <f t="shared" si="483"/>
        <v>0</v>
      </c>
      <c r="BH410" s="1120">
        <f t="shared" si="484"/>
        <v>0</v>
      </c>
      <c r="BI410" s="1120">
        <f t="shared" si="485"/>
        <v>0</v>
      </c>
      <c r="BJ410" s="1120">
        <f t="shared" si="486"/>
        <v>0</v>
      </c>
      <c r="BK410" s="1120">
        <f t="shared" si="487"/>
        <v>1</v>
      </c>
      <c r="BL410" s="1120">
        <f t="shared" si="488"/>
        <v>1</v>
      </c>
      <c r="BM410" s="1120">
        <f t="shared" si="489"/>
        <v>1</v>
      </c>
      <c r="BN410" s="1120">
        <f t="shared" si="490"/>
        <v>1</v>
      </c>
      <c r="BO410" s="1120">
        <f t="shared" si="491"/>
        <v>1</v>
      </c>
      <c r="BP410" s="1120">
        <f t="shared" si="492"/>
        <v>1</v>
      </c>
      <c r="BQ410" s="1120">
        <f t="shared" si="493"/>
        <v>1</v>
      </c>
      <c r="BR410" s="1120">
        <f t="shared" si="494"/>
        <v>1</v>
      </c>
      <c r="BS410" s="1120">
        <f t="shared" si="495"/>
        <v>1</v>
      </c>
      <c r="BT410" s="1120">
        <f t="shared" si="496"/>
        <v>1</v>
      </c>
      <c r="BU410" s="1120">
        <f t="shared" si="497"/>
        <v>1</v>
      </c>
      <c r="BV410" s="1120">
        <f t="shared" si="498"/>
        <v>1</v>
      </c>
      <c r="BW410" s="1120">
        <f t="shared" si="499"/>
        <v>0</v>
      </c>
      <c r="BX410" s="1120">
        <f t="shared" si="500"/>
        <v>0</v>
      </c>
      <c r="BY410" s="1120">
        <f t="shared" si="501"/>
        <v>0</v>
      </c>
      <c r="BZ410" s="1120">
        <f t="shared" si="502"/>
        <v>0</v>
      </c>
      <c r="CA410" s="1120">
        <f t="shared" si="503"/>
        <v>0</v>
      </c>
      <c r="CB410" s="1120">
        <f t="shared" si="504"/>
        <v>0</v>
      </c>
      <c r="CC410" s="1120">
        <f t="shared" si="505"/>
        <v>1</v>
      </c>
      <c r="CD410" s="1120">
        <f t="shared" si="506"/>
        <v>1</v>
      </c>
      <c r="CE410" s="1120">
        <f t="shared" si="507"/>
        <v>0</v>
      </c>
      <c r="CF410" s="1120">
        <f t="shared" si="508"/>
        <v>0</v>
      </c>
      <c r="CG410" s="1120">
        <f t="shared" si="509"/>
        <v>0</v>
      </c>
      <c r="CH410" s="1120">
        <f t="shared" si="510"/>
        <v>0</v>
      </c>
      <c r="CI410" s="1120">
        <f t="shared" si="511"/>
        <v>0.85</v>
      </c>
      <c r="CJ410" s="1120">
        <f t="shared" si="512"/>
        <v>0.85</v>
      </c>
      <c r="CK410" s="1120">
        <f t="shared" si="513"/>
        <v>0.85</v>
      </c>
      <c r="CL410" s="1120">
        <f t="shared" si="514"/>
        <v>0.85</v>
      </c>
      <c r="CM410" s="1120">
        <f t="shared" si="515"/>
        <v>0.85</v>
      </c>
      <c r="CN410" s="1120">
        <f t="shared" si="516"/>
        <v>0.85</v>
      </c>
      <c r="CO410" s="1120">
        <f t="shared" si="517"/>
        <v>0.85</v>
      </c>
      <c r="CP410" s="1120">
        <f t="shared" si="518"/>
        <v>0.85</v>
      </c>
      <c r="CQ410" s="1120">
        <f t="shared" si="519"/>
        <v>0.85</v>
      </c>
      <c r="CR410" s="1120">
        <f t="shared" si="520"/>
        <v>0.85</v>
      </c>
      <c r="CS410" s="1120">
        <f t="shared" si="521"/>
        <v>0.85</v>
      </c>
      <c r="CT410" s="1120">
        <f t="shared" si="522"/>
        <v>0.85</v>
      </c>
      <c r="CU410" s="1120">
        <v>1</v>
      </c>
      <c r="CV410" s="1120"/>
      <c r="CW410" s="1120">
        <f t="shared" si="523"/>
        <v>62</v>
      </c>
      <c r="CX410" s="1120">
        <f t="shared" si="524"/>
        <v>303</v>
      </c>
      <c r="CY410" s="1135" t="s">
        <v>4880</v>
      </c>
      <c r="CZ410" s="1124">
        <v>8</v>
      </c>
      <c r="DA410" s="1124"/>
      <c r="DB410" s="1124"/>
      <c r="DC410" s="1120" t="s">
        <v>4933</v>
      </c>
      <c r="DD410" s="1120" t="s">
        <v>953</v>
      </c>
      <c r="DE410" s="1120" t="str">
        <f t="shared" si="525"/>
        <v/>
      </c>
      <c r="DF410" s="1120">
        <v>1</v>
      </c>
      <c r="DG410" s="1120">
        <v>0</v>
      </c>
    </row>
    <row r="411" spans="1:111">
      <c r="A411" s="1125" t="s">
        <v>3593</v>
      </c>
      <c r="B411" s="1125" t="s">
        <v>4562</v>
      </c>
      <c r="C411" s="1125" t="s">
        <v>4563</v>
      </c>
      <c r="D411" s="1125" t="s">
        <v>238</v>
      </c>
      <c r="E411" s="1125">
        <v>13</v>
      </c>
      <c r="F411" s="1125">
        <v>-123.93</v>
      </c>
      <c r="G411" s="1125">
        <v>46.98</v>
      </c>
      <c r="H411" s="1125">
        <v>-8</v>
      </c>
      <c r="I411" s="1126">
        <v>30.919999957084656</v>
      </c>
      <c r="J411" s="1126">
        <v>72.5</v>
      </c>
      <c r="K411" s="1127">
        <v>61.880000686645509</v>
      </c>
      <c r="L411" s="1125">
        <v>5050.8</v>
      </c>
      <c r="M411" s="1125">
        <v>21.6</v>
      </c>
      <c r="N411" s="1128">
        <v>41.9</v>
      </c>
      <c r="O411" s="1128">
        <v>42.620000171661374</v>
      </c>
      <c r="P411" s="1128">
        <v>44.779999828338624</v>
      </c>
      <c r="Q411" s="1128">
        <v>51.080000686645505</v>
      </c>
      <c r="R411" s="1128">
        <v>50.540000343322752</v>
      </c>
      <c r="S411" s="1128">
        <v>57.2</v>
      </c>
      <c r="T411" s="1128">
        <v>59.719999313354492</v>
      </c>
      <c r="U411" s="1128">
        <v>60.080000686645505</v>
      </c>
      <c r="V411" s="1128">
        <v>57.559999656677249</v>
      </c>
      <c r="W411" s="1128">
        <v>52.340000343322757</v>
      </c>
      <c r="X411" s="1128">
        <v>45.140000343322754</v>
      </c>
      <c r="Y411" s="1128">
        <v>43.879999828338626</v>
      </c>
      <c r="Z411" s="1128">
        <v>50.611506948079146</v>
      </c>
      <c r="AA411" s="1128">
        <f t="shared" si="451"/>
        <v>52.870159704786076</v>
      </c>
      <c r="AB411" s="1128">
        <f t="shared" si="452"/>
        <v>52.376149998000088</v>
      </c>
      <c r="AC411" s="1128">
        <f t="shared" si="453"/>
        <v>52.986151349078483</v>
      </c>
      <c r="AD411" s="1128">
        <f t="shared" si="454"/>
        <v>54.541157505457306</v>
      </c>
      <c r="AE411" s="1128">
        <f t="shared" si="455"/>
        <v>56.635832149106179</v>
      </c>
      <c r="AF411" s="1128">
        <f t="shared" si="456"/>
        <v>58.724166054244655</v>
      </c>
      <c r="AG411" s="1128">
        <f t="shared" si="457"/>
        <v>60.261802806298775</v>
      </c>
      <c r="AH411" s="1128">
        <f t="shared" si="458"/>
        <v>60.847933690146021</v>
      </c>
      <c r="AI411" s="1128">
        <f t="shared" si="459"/>
        <v>60.329774658361266</v>
      </c>
      <c r="AJ411" s="1128">
        <f t="shared" si="460"/>
        <v>58.842391847651598</v>
      </c>
      <c r="AK411" s="1128">
        <f t="shared" si="461"/>
        <v>56.773494508891424</v>
      </c>
      <c r="AL411" s="1128">
        <f t="shared" si="462"/>
        <v>54.662372616101663</v>
      </c>
      <c r="AM411" s="1125">
        <f t="shared" si="463"/>
        <v>1</v>
      </c>
      <c r="AN411" s="1125">
        <f t="shared" si="464"/>
        <v>1</v>
      </c>
      <c r="AO411" s="1125">
        <f t="shared" si="465"/>
        <v>1</v>
      </c>
      <c r="AP411" s="1125">
        <f t="shared" si="466"/>
        <v>1</v>
      </c>
      <c r="AQ411" s="1125">
        <f t="shared" si="467"/>
        <v>1</v>
      </c>
      <c r="AR411" s="1125">
        <f t="shared" si="468"/>
        <v>1</v>
      </c>
      <c r="AS411" s="1125">
        <f t="shared" si="469"/>
        <v>1</v>
      </c>
      <c r="AT411" s="1125">
        <f t="shared" si="470"/>
        <v>1</v>
      </c>
      <c r="AU411" s="1125">
        <f t="shared" si="471"/>
        <v>1</v>
      </c>
      <c r="AV411" s="1125">
        <f t="shared" si="472"/>
        <v>1</v>
      </c>
      <c r="AW411" s="1125">
        <f t="shared" si="473"/>
        <v>1</v>
      </c>
      <c r="AX411" s="1125">
        <f t="shared" si="474"/>
        <v>1</v>
      </c>
      <c r="AY411" s="1125">
        <f t="shared" si="475"/>
        <v>0</v>
      </c>
      <c r="AZ411" s="1125">
        <f t="shared" si="476"/>
        <v>0</v>
      </c>
      <c r="BA411" s="1125">
        <f t="shared" si="477"/>
        <v>0</v>
      </c>
      <c r="BB411" s="1125">
        <f t="shared" si="478"/>
        <v>0</v>
      </c>
      <c r="BC411" s="1125">
        <f t="shared" si="479"/>
        <v>0</v>
      </c>
      <c r="BD411" s="1125">
        <f t="shared" si="480"/>
        <v>0</v>
      </c>
      <c r="BE411" s="1125">
        <f t="shared" si="481"/>
        <v>1</v>
      </c>
      <c r="BF411" s="1125">
        <f t="shared" si="482"/>
        <v>1</v>
      </c>
      <c r="BG411" s="1125">
        <f t="shared" si="483"/>
        <v>0</v>
      </c>
      <c r="BH411" s="1125">
        <f t="shared" si="484"/>
        <v>0</v>
      </c>
      <c r="BI411" s="1125">
        <f t="shared" si="485"/>
        <v>0</v>
      </c>
      <c r="BJ411" s="1125">
        <f t="shared" si="486"/>
        <v>0</v>
      </c>
      <c r="BK411" s="1125">
        <f t="shared" si="487"/>
        <v>1</v>
      </c>
      <c r="BL411" s="1125">
        <f t="shared" si="488"/>
        <v>1</v>
      </c>
      <c r="BM411" s="1125">
        <f t="shared" si="489"/>
        <v>1</v>
      </c>
      <c r="BN411" s="1125">
        <f t="shared" si="490"/>
        <v>1</v>
      </c>
      <c r="BO411" s="1125">
        <f t="shared" si="491"/>
        <v>1</v>
      </c>
      <c r="BP411" s="1125">
        <f t="shared" si="492"/>
        <v>1</v>
      </c>
      <c r="BQ411" s="1125">
        <f t="shared" si="493"/>
        <v>1</v>
      </c>
      <c r="BR411" s="1125">
        <f t="shared" si="494"/>
        <v>1</v>
      </c>
      <c r="BS411" s="1125">
        <f t="shared" si="495"/>
        <v>1</v>
      </c>
      <c r="BT411" s="1125">
        <f t="shared" si="496"/>
        <v>1</v>
      </c>
      <c r="BU411" s="1125">
        <f t="shared" si="497"/>
        <v>1</v>
      </c>
      <c r="BV411" s="1125">
        <f t="shared" si="498"/>
        <v>1</v>
      </c>
      <c r="BW411" s="1125">
        <f t="shared" si="499"/>
        <v>0</v>
      </c>
      <c r="BX411" s="1125">
        <f t="shared" si="500"/>
        <v>0</v>
      </c>
      <c r="BY411" s="1125">
        <f t="shared" si="501"/>
        <v>0</v>
      </c>
      <c r="BZ411" s="1125">
        <f t="shared" si="502"/>
        <v>0</v>
      </c>
      <c r="CA411" s="1125">
        <f t="shared" si="503"/>
        <v>0</v>
      </c>
      <c r="CB411" s="1125">
        <f t="shared" si="504"/>
        <v>0</v>
      </c>
      <c r="CC411" s="1125">
        <f t="shared" si="505"/>
        <v>1</v>
      </c>
      <c r="CD411" s="1125">
        <f t="shared" si="506"/>
        <v>1</v>
      </c>
      <c r="CE411" s="1125">
        <f t="shared" si="507"/>
        <v>0</v>
      </c>
      <c r="CF411" s="1125">
        <f t="shared" si="508"/>
        <v>0</v>
      </c>
      <c r="CG411" s="1125">
        <f t="shared" si="509"/>
        <v>0</v>
      </c>
      <c r="CH411" s="1125">
        <f t="shared" si="510"/>
        <v>0</v>
      </c>
      <c r="CI411" s="1125">
        <f t="shared" si="511"/>
        <v>0.85</v>
      </c>
      <c r="CJ411" s="1125">
        <f t="shared" si="512"/>
        <v>0.85</v>
      </c>
      <c r="CK411" s="1125">
        <f t="shared" si="513"/>
        <v>0.85</v>
      </c>
      <c r="CL411" s="1125">
        <f t="shared" si="514"/>
        <v>0.85</v>
      </c>
      <c r="CM411" s="1125">
        <f t="shared" si="515"/>
        <v>0.85</v>
      </c>
      <c r="CN411" s="1125">
        <f t="shared" si="516"/>
        <v>0.85</v>
      </c>
      <c r="CO411" s="1125">
        <f t="shared" si="517"/>
        <v>0.85</v>
      </c>
      <c r="CP411" s="1125">
        <f t="shared" si="518"/>
        <v>0.85</v>
      </c>
      <c r="CQ411" s="1125">
        <f t="shared" si="519"/>
        <v>0.85</v>
      </c>
      <c r="CR411" s="1125">
        <f t="shared" si="520"/>
        <v>0.85</v>
      </c>
      <c r="CS411" s="1125">
        <f t="shared" si="521"/>
        <v>0.85</v>
      </c>
      <c r="CT411" s="1125">
        <f t="shared" si="522"/>
        <v>0.85</v>
      </c>
      <c r="CU411" s="1125">
        <v>1</v>
      </c>
      <c r="CV411" s="1125"/>
      <c r="CW411" s="1125">
        <f t="shared" si="523"/>
        <v>62</v>
      </c>
      <c r="CX411" s="1125">
        <f t="shared" si="524"/>
        <v>303</v>
      </c>
      <c r="CY411" s="1135" t="s">
        <v>4893</v>
      </c>
      <c r="CZ411" s="1124" t="s">
        <v>4894</v>
      </c>
      <c r="DA411" s="1124"/>
      <c r="DB411" s="1124"/>
      <c r="DC411" s="1120" t="s">
        <v>5657</v>
      </c>
      <c r="DD411" s="1120" t="s">
        <v>238</v>
      </c>
      <c r="DE411" s="1120" t="str">
        <f t="shared" si="525"/>
        <v/>
      </c>
      <c r="DF411" s="1133">
        <v>0</v>
      </c>
      <c r="DG411" s="1125">
        <v>0</v>
      </c>
    </row>
    <row r="412" spans="1:111">
      <c r="A412" s="1120" t="s">
        <v>3595</v>
      </c>
      <c r="B412" s="1125" t="s">
        <v>4504</v>
      </c>
      <c r="C412" s="1125" t="s">
        <v>4505</v>
      </c>
      <c r="D412" s="1125" t="s">
        <v>501</v>
      </c>
      <c r="E412" s="1125">
        <v>3792</v>
      </c>
      <c r="F412" s="1125">
        <v>-79.83</v>
      </c>
      <c r="G412" s="1125">
        <v>37.950000000000003</v>
      </c>
      <c r="H412" s="1125">
        <v>-5</v>
      </c>
      <c r="I412" s="1126">
        <v>6.9800006866455071</v>
      </c>
      <c r="J412" s="1126">
        <v>80.960001373291021</v>
      </c>
      <c r="K412" s="1127">
        <v>67.099999999999994</v>
      </c>
      <c r="L412" s="1125">
        <v>6426</v>
      </c>
      <c r="M412" s="1125">
        <v>239.4</v>
      </c>
      <c r="N412" s="1128">
        <v>30.380000042915345</v>
      </c>
      <c r="O412" s="1128">
        <v>30.019999957084657</v>
      </c>
      <c r="P412" s="1128">
        <v>37.220000171661376</v>
      </c>
      <c r="Q412" s="1128">
        <v>47.659999656677243</v>
      </c>
      <c r="R412" s="1128">
        <v>50.359999656677246</v>
      </c>
      <c r="S412" s="1128">
        <v>62.060001373291016</v>
      </c>
      <c r="T412" s="1128">
        <v>65.66000137329101</v>
      </c>
      <c r="U412" s="1128">
        <v>67.460001373291021</v>
      </c>
      <c r="V412" s="1128">
        <v>58.280000686645508</v>
      </c>
      <c r="W412" s="1128">
        <v>51.8</v>
      </c>
      <c r="X412" s="1128">
        <v>36.679999828338623</v>
      </c>
      <c r="Y412" s="1128">
        <v>30.740000021457671</v>
      </c>
      <c r="Z412" s="1128">
        <v>47.46076747113711</v>
      </c>
      <c r="AA412" s="1128">
        <f t="shared" si="451"/>
        <v>46.494131873910696</v>
      </c>
      <c r="AB412" s="1128">
        <f t="shared" si="452"/>
        <v>45.327765564587239</v>
      </c>
      <c r="AC412" s="1128">
        <f t="shared" si="453"/>
        <v>46.281391535559194</v>
      </c>
      <c r="AD412" s="1128">
        <f t="shared" si="454"/>
        <v>49.106432481671675</v>
      </c>
      <c r="AE412" s="1128">
        <f t="shared" si="455"/>
        <v>53.066497945121668</v>
      </c>
      <c r="AF412" s="1128">
        <f t="shared" si="456"/>
        <v>57.129335836404906</v>
      </c>
      <c r="AG412" s="1128">
        <f t="shared" si="457"/>
        <v>60.235904848931305</v>
      </c>
      <c r="AH412" s="1128">
        <f t="shared" si="458"/>
        <v>61.576429895908248</v>
      </c>
      <c r="AI412" s="1128">
        <f t="shared" si="459"/>
        <v>60.801482465724909</v>
      </c>
      <c r="AJ412" s="1128">
        <f t="shared" si="460"/>
        <v>58.113064548359958</v>
      </c>
      <c r="AK412" s="1128">
        <f t="shared" si="461"/>
        <v>54.211953703748762</v>
      </c>
      <c r="AL412" s="1128">
        <f t="shared" si="462"/>
        <v>50.115034591477084</v>
      </c>
      <c r="AM412" s="1125">
        <f t="shared" si="463"/>
        <v>1</v>
      </c>
      <c r="AN412" s="1125">
        <f t="shared" si="464"/>
        <v>1</v>
      </c>
      <c r="AO412" s="1125">
        <f t="shared" si="465"/>
        <v>1</v>
      </c>
      <c r="AP412" s="1125">
        <f t="shared" si="466"/>
        <v>1</v>
      </c>
      <c r="AQ412" s="1125">
        <f t="shared" si="467"/>
        <v>1</v>
      </c>
      <c r="AR412" s="1125">
        <f t="shared" si="468"/>
        <v>1</v>
      </c>
      <c r="AS412" s="1125">
        <f t="shared" si="469"/>
        <v>1</v>
      </c>
      <c r="AT412" s="1125">
        <f t="shared" si="470"/>
        <v>0</v>
      </c>
      <c r="AU412" s="1125">
        <f t="shared" si="471"/>
        <v>1</v>
      </c>
      <c r="AV412" s="1125">
        <f t="shared" si="472"/>
        <v>1</v>
      </c>
      <c r="AW412" s="1125">
        <f t="shared" si="473"/>
        <v>1</v>
      </c>
      <c r="AX412" s="1125">
        <f t="shared" si="474"/>
        <v>1</v>
      </c>
      <c r="AY412" s="1125">
        <f t="shared" si="475"/>
        <v>0</v>
      </c>
      <c r="AZ412" s="1125">
        <f t="shared" si="476"/>
        <v>0</v>
      </c>
      <c r="BA412" s="1125">
        <f t="shared" si="477"/>
        <v>0</v>
      </c>
      <c r="BB412" s="1125">
        <f t="shared" si="478"/>
        <v>0</v>
      </c>
      <c r="BC412" s="1125">
        <f t="shared" si="479"/>
        <v>0</v>
      </c>
      <c r="BD412" s="1125">
        <f t="shared" si="480"/>
        <v>0</v>
      </c>
      <c r="BE412" s="1125">
        <f t="shared" si="481"/>
        <v>1</v>
      </c>
      <c r="BF412" s="1125">
        <f t="shared" si="482"/>
        <v>1</v>
      </c>
      <c r="BG412" s="1125">
        <f t="shared" si="483"/>
        <v>0</v>
      </c>
      <c r="BH412" s="1125">
        <f t="shared" si="484"/>
        <v>0</v>
      </c>
      <c r="BI412" s="1125">
        <f t="shared" si="485"/>
        <v>0</v>
      </c>
      <c r="BJ412" s="1125">
        <f t="shared" si="486"/>
        <v>0</v>
      </c>
      <c r="BK412" s="1125">
        <f t="shared" si="487"/>
        <v>1</v>
      </c>
      <c r="BL412" s="1125">
        <f t="shared" si="488"/>
        <v>1</v>
      </c>
      <c r="BM412" s="1125">
        <f t="shared" si="489"/>
        <v>1</v>
      </c>
      <c r="BN412" s="1125">
        <f t="shared" si="490"/>
        <v>1</v>
      </c>
      <c r="BO412" s="1125">
        <f t="shared" si="491"/>
        <v>1</v>
      </c>
      <c r="BP412" s="1125">
        <f t="shared" si="492"/>
        <v>1</v>
      </c>
      <c r="BQ412" s="1125">
        <f t="shared" si="493"/>
        <v>1</v>
      </c>
      <c r="BR412" s="1125">
        <f t="shared" si="494"/>
        <v>0</v>
      </c>
      <c r="BS412" s="1125">
        <f t="shared" si="495"/>
        <v>1</v>
      </c>
      <c r="BT412" s="1125">
        <f t="shared" si="496"/>
        <v>1</v>
      </c>
      <c r="BU412" s="1125">
        <f t="shared" si="497"/>
        <v>1</v>
      </c>
      <c r="BV412" s="1125">
        <f t="shared" si="498"/>
        <v>1</v>
      </c>
      <c r="BW412" s="1125">
        <f t="shared" si="499"/>
        <v>0</v>
      </c>
      <c r="BX412" s="1125">
        <f t="shared" si="500"/>
        <v>0</v>
      </c>
      <c r="BY412" s="1125">
        <f t="shared" si="501"/>
        <v>0</v>
      </c>
      <c r="BZ412" s="1125">
        <f t="shared" si="502"/>
        <v>0</v>
      </c>
      <c r="CA412" s="1125">
        <f t="shared" si="503"/>
        <v>0</v>
      </c>
      <c r="CB412" s="1125">
        <f t="shared" si="504"/>
        <v>0</v>
      </c>
      <c r="CC412" s="1125">
        <f t="shared" si="505"/>
        <v>1</v>
      </c>
      <c r="CD412" s="1125">
        <f t="shared" si="506"/>
        <v>1</v>
      </c>
      <c r="CE412" s="1125">
        <f t="shared" si="507"/>
        <v>1</v>
      </c>
      <c r="CF412" s="1125">
        <f t="shared" si="508"/>
        <v>0</v>
      </c>
      <c r="CG412" s="1125">
        <f t="shared" si="509"/>
        <v>0</v>
      </c>
      <c r="CH412" s="1125">
        <f t="shared" si="510"/>
        <v>0</v>
      </c>
      <c r="CI412" s="1125">
        <f t="shared" si="511"/>
        <v>0.85</v>
      </c>
      <c r="CJ412" s="1125">
        <f t="shared" si="512"/>
        <v>0.85</v>
      </c>
      <c r="CK412" s="1125">
        <f t="shared" si="513"/>
        <v>0.85</v>
      </c>
      <c r="CL412" s="1125">
        <f t="shared" si="514"/>
        <v>0.85</v>
      </c>
      <c r="CM412" s="1125">
        <f t="shared" si="515"/>
        <v>0.85</v>
      </c>
      <c r="CN412" s="1125">
        <f t="shared" si="516"/>
        <v>0.85</v>
      </c>
      <c r="CO412" s="1125">
        <f t="shared" si="517"/>
        <v>0.85</v>
      </c>
      <c r="CP412" s="1125">
        <f t="shared" si="518"/>
        <v>0.7</v>
      </c>
      <c r="CQ412" s="1125">
        <f t="shared" si="519"/>
        <v>0.85</v>
      </c>
      <c r="CR412" s="1125">
        <f t="shared" si="520"/>
        <v>0.85</v>
      </c>
      <c r="CS412" s="1125">
        <f t="shared" si="521"/>
        <v>0.85</v>
      </c>
      <c r="CT412" s="1125">
        <f t="shared" si="522"/>
        <v>0.85</v>
      </c>
      <c r="CU412" s="1125">
        <v>1</v>
      </c>
      <c r="CV412" s="1125"/>
      <c r="CW412" s="1125">
        <f t="shared" si="523"/>
        <v>92</v>
      </c>
      <c r="CX412" s="1125">
        <f t="shared" si="524"/>
        <v>273</v>
      </c>
      <c r="CY412" s="1136" t="s">
        <v>4881</v>
      </c>
      <c r="CZ412" s="1129" t="s">
        <v>4885</v>
      </c>
      <c r="DA412" s="1129"/>
      <c r="DB412" s="1129"/>
      <c r="DC412" s="1125" t="s">
        <v>6008</v>
      </c>
      <c r="DD412" s="1125" t="s">
        <v>501</v>
      </c>
      <c r="DE412" s="1120" t="str">
        <f t="shared" si="525"/>
        <v/>
      </c>
      <c r="DF412" s="1133">
        <v>1</v>
      </c>
      <c r="DG412" s="1120">
        <v>0</v>
      </c>
    </row>
    <row r="413" spans="1:111">
      <c r="A413" s="1125" t="s">
        <v>3597</v>
      </c>
      <c r="B413" s="1125" t="s">
        <v>3731</v>
      </c>
      <c r="C413" s="1125" t="s">
        <v>3732</v>
      </c>
      <c r="D413" s="1125" t="s">
        <v>540</v>
      </c>
      <c r="E413" s="1125">
        <v>1151</v>
      </c>
      <c r="F413" s="1125">
        <v>-84.68</v>
      </c>
      <c r="G413" s="1125">
        <v>44.37</v>
      </c>
      <c r="H413" s="1125">
        <v>-5</v>
      </c>
      <c r="I413" s="1126">
        <v>-0.76000137329101647</v>
      </c>
      <c r="J413" s="1126">
        <v>84.019999313354489</v>
      </c>
      <c r="K413" s="1127">
        <v>69.439998626708984</v>
      </c>
      <c r="L413" s="1125">
        <v>7741.8</v>
      </c>
      <c r="M413" s="1125">
        <v>396</v>
      </c>
      <c r="N413" s="1128">
        <v>16.519999313354493</v>
      </c>
      <c r="O413" s="1128">
        <v>18.320000171661377</v>
      </c>
      <c r="P413" s="1128">
        <v>32</v>
      </c>
      <c r="Q413" s="1128">
        <v>43.159999656677243</v>
      </c>
      <c r="R413" s="1128">
        <v>57.2</v>
      </c>
      <c r="S413" s="1128">
        <v>63.139998626708987</v>
      </c>
      <c r="T413" s="1128">
        <v>69.260001373291018</v>
      </c>
      <c r="U413" s="1128">
        <v>66.919999313354495</v>
      </c>
      <c r="V413" s="1128">
        <v>58.1</v>
      </c>
      <c r="W413" s="1128">
        <v>45.320000171661377</v>
      </c>
      <c r="X413" s="1128">
        <v>34.160000085830688</v>
      </c>
      <c r="Y413" s="1128">
        <v>25.160000085830688</v>
      </c>
      <c r="Z413" s="1128">
        <v>44.256273873603504</v>
      </c>
      <c r="AA413" s="1128">
        <f t="shared" si="451"/>
        <v>41.48230713346674</v>
      </c>
      <c r="AB413" s="1128">
        <f t="shared" si="452"/>
        <v>39.676046552812693</v>
      </c>
      <c r="AC413" s="1128">
        <f t="shared" si="453"/>
        <v>40.627685269561155</v>
      </c>
      <c r="AD413" s="1128">
        <f t="shared" si="454"/>
        <v>44.089163986995096</v>
      </c>
      <c r="AE413" s="1128">
        <f t="shared" si="455"/>
        <v>49.158194934413643</v>
      </c>
      <c r="AF413" s="1128">
        <f t="shared" si="456"/>
        <v>54.513457079240716</v>
      </c>
      <c r="AG413" s="1128">
        <f t="shared" si="457"/>
        <v>58.759018816339392</v>
      </c>
      <c r="AH413" s="1128">
        <f t="shared" si="458"/>
        <v>60.788209052848103</v>
      </c>
      <c r="AI413" s="1128">
        <f t="shared" si="459"/>
        <v>60.072088082852758</v>
      </c>
      <c r="AJ413" s="1128">
        <f t="shared" si="460"/>
        <v>56.797323872940851</v>
      </c>
      <c r="AK413" s="1128">
        <f t="shared" si="461"/>
        <v>51.817534180069948</v>
      </c>
      <c r="AL413" s="1128">
        <f t="shared" si="462"/>
        <v>46.430777928568979</v>
      </c>
      <c r="AM413" s="1125">
        <f t="shared" si="463"/>
        <v>1</v>
      </c>
      <c r="AN413" s="1125">
        <f t="shared" si="464"/>
        <v>1</v>
      </c>
      <c r="AO413" s="1125">
        <f t="shared" si="465"/>
        <v>1</v>
      </c>
      <c r="AP413" s="1125">
        <f t="shared" si="466"/>
        <v>1</v>
      </c>
      <c r="AQ413" s="1125">
        <f t="shared" si="467"/>
        <v>1</v>
      </c>
      <c r="AR413" s="1125">
        <f t="shared" si="468"/>
        <v>1</v>
      </c>
      <c r="AS413" s="1125">
        <f t="shared" si="469"/>
        <v>0</v>
      </c>
      <c r="AT413" s="1125">
        <f t="shared" si="470"/>
        <v>0</v>
      </c>
      <c r="AU413" s="1125">
        <f t="shared" si="471"/>
        <v>1</v>
      </c>
      <c r="AV413" s="1125">
        <f t="shared" si="472"/>
        <v>1</v>
      </c>
      <c r="AW413" s="1125">
        <f t="shared" si="473"/>
        <v>1</v>
      </c>
      <c r="AX413" s="1125">
        <f t="shared" si="474"/>
        <v>1</v>
      </c>
      <c r="AY413" s="1125">
        <f t="shared" si="475"/>
        <v>0</v>
      </c>
      <c r="AZ413" s="1125">
        <f t="shared" si="476"/>
        <v>0</v>
      </c>
      <c r="BA413" s="1125">
        <f t="shared" si="477"/>
        <v>0</v>
      </c>
      <c r="BB413" s="1125">
        <f t="shared" si="478"/>
        <v>0</v>
      </c>
      <c r="BC413" s="1125">
        <f t="shared" si="479"/>
        <v>0</v>
      </c>
      <c r="BD413" s="1125">
        <f t="shared" si="480"/>
        <v>0</v>
      </c>
      <c r="BE413" s="1125">
        <f t="shared" si="481"/>
        <v>1</v>
      </c>
      <c r="BF413" s="1125">
        <f t="shared" si="482"/>
        <v>1</v>
      </c>
      <c r="BG413" s="1125">
        <f t="shared" si="483"/>
        <v>0</v>
      </c>
      <c r="BH413" s="1125">
        <f t="shared" si="484"/>
        <v>0</v>
      </c>
      <c r="BI413" s="1125">
        <f t="shared" si="485"/>
        <v>0</v>
      </c>
      <c r="BJ413" s="1125">
        <f t="shared" si="486"/>
        <v>0</v>
      </c>
      <c r="BK413" s="1125">
        <f t="shared" si="487"/>
        <v>1</v>
      </c>
      <c r="BL413" s="1125">
        <f t="shared" si="488"/>
        <v>1</v>
      </c>
      <c r="BM413" s="1125">
        <f t="shared" si="489"/>
        <v>1</v>
      </c>
      <c r="BN413" s="1125">
        <f t="shared" si="490"/>
        <v>1</v>
      </c>
      <c r="BO413" s="1125">
        <f t="shared" si="491"/>
        <v>1</v>
      </c>
      <c r="BP413" s="1125">
        <f t="shared" si="492"/>
        <v>1</v>
      </c>
      <c r="BQ413" s="1125">
        <f t="shared" si="493"/>
        <v>1</v>
      </c>
      <c r="BR413" s="1125">
        <f t="shared" si="494"/>
        <v>0</v>
      </c>
      <c r="BS413" s="1125">
        <f t="shared" si="495"/>
        <v>1</v>
      </c>
      <c r="BT413" s="1125">
        <f t="shared" si="496"/>
        <v>1</v>
      </c>
      <c r="BU413" s="1125">
        <f t="shared" si="497"/>
        <v>1</v>
      </c>
      <c r="BV413" s="1125">
        <f t="shared" si="498"/>
        <v>1</v>
      </c>
      <c r="BW413" s="1125">
        <f t="shared" si="499"/>
        <v>0</v>
      </c>
      <c r="BX413" s="1125">
        <f t="shared" si="500"/>
        <v>0</v>
      </c>
      <c r="BY413" s="1125">
        <f t="shared" si="501"/>
        <v>0</v>
      </c>
      <c r="BZ413" s="1125">
        <f t="shared" si="502"/>
        <v>0</v>
      </c>
      <c r="CA413" s="1125">
        <f t="shared" si="503"/>
        <v>0</v>
      </c>
      <c r="CB413" s="1125">
        <f t="shared" si="504"/>
        <v>1</v>
      </c>
      <c r="CC413" s="1125">
        <f t="shared" si="505"/>
        <v>1</v>
      </c>
      <c r="CD413" s="1125">
        <f t="shared" si="506"/>
        <v>1</v>
      </c>
      <c r="CE413" s="1125">
        <f t="shared" si="507"/>
        <v>1</v>
      </c>
      <c r="CF413" s="1125">
        <f t="shared" si="508"/>
        <v>0</v>
      </c>
      <c r="CG413" s="1125">
        <f t="shared" si="509"/>
        <v>0</v>
      </c>
      <c r="CH413" s="1125">
        <f t="shared" si="510"/>
        <v>0</v>
      </c>
      <c r="CI413" s="1125">
        <f t="shared" si="511"/>
        <v>0.85</v>
      </c>
      <c r="CJ413" s="1125">
        <f t="shared" si="512"/>
        <v>0.85</v>
      </c>
      <c r="CK413" s="1125">
        <f t="shared" si="513"/>
        <v>0.85</v>
      </c>
      <c r="CL413" s="1125">
        <f t="shared" si="514"/>
        <v>0.85</v>
      </c>
      <c r="CM413" s="1125">
        <f t="shared" si="515"/>
        <v>0.85</v>
      </c>
      <c r="CN413" s="1125">
        <f t="shared" si="516"/>
        <v>0.85</v>
      </c>
      <c r="CO413" s="1125">
        <f t="shared" si="517"/>
        <v>0.85</v>
      </c>
      <c r="CP413" s="1125">
        <f t="shared" si="518"/>
        <v>0.7</v>
      </c>
      <c r="CQ413" s="1125">
        <f t="shared" si="519"/>
        <v>0.85</v>
      </c>
      <c r="CR413" s="1125">
        <f t="shared" si="520"/>
        <v>0.85</v>
      </c>
      <c r="CS413" s="1125">
        <f t="shared" si="521"/>
        <v>0.85</v>
      </c>
      <c r="CT413" s="1125">
        <f t="shared" si="522"/>
        <v>0.85</v>
      </c>
      <c r="CU413" s="1125">
        <v>1</v>
      </c>
      <c r="CV413" s="1125"/>
      <c r="CW413" s="1125">
        <f t="shared" si="523"/>
        <v>122</v>
      </c>
      <c r="CX413" s="1125">
        <f t="shared" si="524"/>
        <v>243</v>
      </c>
      <c r="CY413" s="1136" t="s">
        <v>4889</v>
      </c>
      <c r="CZ413" s="1129" t="s">
        <v>4899</v>
      </c>
      <c r="DA413" s="1129"/>
      <c r="DB413" s="1129"/>
      <c r="DC413" s="1125" t="s">
        <v>5306</v>
      </c>
      <c r="DD413" s="1125" t="s">
        <v>540</v>
      </c>
      <c r="DE413" s="1120" t="str">
        <f t="shared" si="525"/>
        <v/>
      </c>
      <c r="DF413" s="1133">
        <v>0</v>
      </c>
      <c r="DG413" s="1125">
        <v>0</v>
      </c>
    </row>
    <row r="414" spans="1:111">
      <c r="A414" s="1120" t="s">
        <v>3599</v>
      </c>
      <c r="B414" s="1120" t="s">
        <v>3697</v>
      </c>
      <c r="C414" s="1120" t="s">
        <v>3698</v>
      </c>
      <c r="D414" s="1120" t="s">
        <v>903</v>
      </c>
      <c r="E414" s="1120">
        <v>492</v>
      </c>
      <c r="F414" s="1120">
        <v>-67.8</v>
      </c>
      <c r="G414" s="1120">
        <v>46.12</v>
      </c>
      <c r="H414" s="1120">
        <v>-5</v>
      </c>
      <c r="I414" s="1121">
        <v>-10.660001373291017</v>
      </c>
      <c r="J414" s="1121">
        <v>82.4</v>
      </c>
      <c r="K414" s="1122">
        <v>67.460001373291021</v>
      </c>
      <c r="L414" s="1120">
        <v>8816.4</v>
      </c>
      <c r="M414" s="1120">
        <v>225</v>
      </c>
      <c r="N414" s="1123">
        <v>8.2400003433227536</v>
      </c>
      <c r="O414" s="1123">
        <v>16.340000343322753</v>
      </c>
      <c r="P414" s="1123">
        <v>23.9</v>
      </c>
      <c r="Q414" s="1123">
        <v>39.200000000000003</v>
      </c>
      <c r="R414" s="1123">
        <v>56.840000343322757</v>
      </c>
      <c r="S414" s="1123">
        <v>62.6</v>
      </c>
      <c r="T414" s="1123">
        <v>64.760001373291018</v>
      </c>
      <c r="U414" s="1123">
        <v>63.139998626708987</v>
      </c>
      <c r="V414" s="1123">
        <v>58.640000343322754</v>
      </c>
      <c r="W414" s="1123">
        <v>47.119999313354491</v>
      </c>
      <c r="X414" s="1123">
        <v>30.380000042915345</v>
      </c>
      <c r="Y414" s="1123">
        <v>17.600000000000001</v>
      </c>
      <c r="Z414" s="1123">
        <v>40.854027455342958</v>
      </c>
      <c r="AA414" s="1123">
        <f t="shared" si="451"/>
        <v>38.603694949688794</v>
      </c>
      <c r="AB414" s="1123">
        <f t="shared" si="452"/>
        <v>36.541246014180508</v>
      </c>
      <c r="AC414" s="1123">
        <f t="shared" si="453"/>
        <v>37.166982486083832</v>
      </c>
      <c r="AD414" s="1123">
        <f t="shared" si="454"/>
        <v>40.317796511106252</v>
      </c>
      <c r="AE414" s="1123">
        <f t="shared" si="455"/>
        <v>45.172379858111775</v>
      </c>
      <c r="AF414" s="1123">
        <f t="shared" si="456"/>
        <v>50.465310566309526</v>
      </c>
      <c r="AG414" s="1123">
        <f t="shared" si="457"/>
        <v>54.81690468007654</v>
      </c>
      <c r="AH414" s="1123">
        <f t="shared" si="458"/>
        <v>57.092852133564264</v>
      </c>
      <c r="AI414" s="1123">
        <f t="shared" si="459"/>
        <v>56.699892149609198</v>
      </c>
      <c r="AJ414" s="1123">
        <f t="shared" si="460"/>
        <v>53.740455803725887</v>
      </c>
      <c r="AK414" s="1123">
        <f t="shared" si="461"/>
        <v>48.985965785763412</v>
      </c>
      <c r="AL414" s="1123">
        <f t="shared" si="462"/>
        <v>43.675753187812674</v>
      </c>
      <c r="AM414" s="1120">
        <f t="shared" si="463"/>
        <v>1</v>
      </c>
      <c r="AN414" s="1120">
        <f t="shared" si="464"/>
        <v>1</v>
      </c>
      <c r="AO414" s="1120">
        <f t="shared" si="465"/>
        <v>1</v>
      </c>
      <c r="AP414" s="1120">
        <f t="shared" si="466"/>
        <v>1</v>
      </c>
      <c r="AQ414" s="1120">
        <f t="shared" si="467"/>
        <v>1</v>
      </c>
      <c r="AR414" s="1120">
        <f t="shared" si="468"/>
        <v>1</v>
      </c>
      <c r="AS414" s="1120">
        <f t="shared" si="469"/>
        <v>1</v>
      </c>
      <c r="AT414" s="1120">
        <f t="shared" si="470"/>
        <v>1</v>
      </c>
      <c r="AU414" s="1120">
        <f t="shared" si="471"/>
        <v>1</v>
      </c>
      <c r="AV414" s="1120">
        <f t="shared" si="472"/>
        <v>1</v>
      </c>
      <c r="AW414" s="1120">
        <f t="shared" si="473"/>
        <v>1</v>
      </c>
      <c r="AX414" s="1120">
        <f t="shared" si="474"/>
        <v>1</v>
      </c>
      <c r="AY414" s="1120">
        <f t="shared" si="475"/>
        <v>0</v>
      </c>
      <c r="AZ414" s="1120">
        <f t="shared" si="476"/>
        <v>0</v>
      </c>
      <c r="BA414" s="1120">
        <f t="shared" si="477"/>
        <v>0</v>
      </c>
      <c r="BB414" s="1120">
        <f t="shared" si="478"/>
        <v>0</v>
      </c>
      <c r="BC414" s="1120">
        <f t="shared" si="479"/>
        <v>0</v>
      </c>
      <c r="BD414" s="1120">
        <f t="shared" si="480"/>
        <v>0</v>
      </c>
      <c r="BE414" s="1120">
        <f t="shared" si="481"/>
        <v>1</v>
      </c>
      <c r="BF414" s="1120">
        <f t="shared" si="482"/>
        <v>1</v>
      </c>
      <c r="BG414" s="1120">
        <f t="shared" si="483"/>
        <v>0</v>
      </c>
      <c r="BH414" s="1120">
        <f t="shared" si="484"/>
        <v>0</v>
      </c>
      <c r="BI414" s="1120">
        <f t="shared" si="485"/>
        <v>0</v>
      </c>
      <c r="BJ414" s="1120">
        <f t="shared" si="486"/>
        <v>0</v>
      </c>
      <c r="BK414" s="1120">
        <f t="shared" si="487"/>
        <v>1</v>
      </c>
      <c r="BL414" s="1120">
        <f t="shared" si="488"/>
        <v>1</v>
      </c>
      <c r="BM414" s="1120">
        <f t="shared" si="489"/>
        <v>1</v>
      </c>
      <c r="BN414" s="1120">
        <f t="shared" si="490"/>
        <v>1</v>
      </c>
      <c r="BO414" s="1120">
        <f t="shared" si="491"/>
        <v>1</v>
      </c>
      <c r="BP414" s="1120">
        <f t="shared" si="492"/>
        <v>1</v>
      </c>
      <c r="BQ414" s="1120">
        <f t="shared" si="493"/>
        <v>1</v>
      </c>
      <c r="BR414" s="1120">
        <f t="shared" si="494"/>
        <v>1</v>
      </c>
      <c r="BS414" s="1120">
        <f t="shared" si="495"/>
        <v>1</v>
      </c>
      <c r="BT414" s="1120">
        <f t="shared" si="496"/>
        <v>1</v>
      </c>
      <c r="BU414" s="1120">
        <f t="shared" si="497"/>
        <v>1</v>
      </c>
      <c r="BV414" s="1120">
        <f t="shared" si="498"/>
        <v>1</v>
      </c>
      <c r="BW414" s="1120">
        <f t="shared" si="499"/>
        <v>0</v>
      </c>
      <c r="BX414" s="1120">
        <f t="shared" si="500"/>
        <v>0</v>
      </c>
      <c r="BY414" s="1120">
        <f t="shared" si="501"/>
        <v>0</v>
      </c>
      <c r="BZ414" s="1120">
        <f t="shared" si="502"/>
        <v>0</v>
      </c>
      <c r="CA414" s="1120">
        <f t="shared" si="503"/>
        <v>0</v>
      </c>
      <c r="CB414" s="1120">
        <f t="shared" si="504"/>
        <v>0</v>
      </c>
      <c r="CC414" s="1120">
        <f t="shared" si="505"/>
        <v>1</v>
      </c>
      <c r="CD414" s="1120">
        <f t="shared" si="506"/>
        <v>1</v>
      </c>
      <c r="CE414" s="1120">
        <f t="shared" si="507"/>
        <v>0</v>
      </c>
      <c r="CF414" s="1120">
        <f t="shared" si="508"/>
        <v>0</v>
      </c>
      <c r="CG414" s="1120">
        <f t="shared" si="509"/>
        <v>0</v>
      </c>
      <c r="CH414" s="1120">
        <f t="shared" si="510"/>
        <v>0</v>
      </c>
      <c r="CI414" s="1120">
        <f t="shared" si="511"/>
        <v>0.85</v>
      </c>
      <c r="CJ414" s="1120">
        <f t="shared" si="512"/>
        <v>0.85</v>
      </c>
      <c r="CK414" s="1120">
        <f t="shared" si="513"/>
        <v>0.85</v>
      </c>
      <c r="CL414" s="1120">
        <f t="shared" si="514"/>
        <v>0.85</v>
      </c>
      <c r="CM414" s="1120">
        <f t="shared" si="515"/>
        <v>0.85</v>
      </c>
      <c r="CN414" s="1120">
        <f t="shared" si="516"/>
        <v>0.85</v>
      </c>
      <c r="CO414" s="1120">
        <f t="shared" si="517"/>
        <v>0.85</v>
      </c>
      <c r="CP414" s="1120">
        <f t="shared" si="518"/>
        <v>0.85</v>
      </c>
      <c r="CQ414" s="1120">
        <f t="shared" si="519"/>
        <v>0.85</v>
      </c>
      <c r="CR414" s="1120">
        <f t="shared" si="520"/>
        <v>0.85</v>
      </c>
      <c r="CS414" s="1120">
        <f t="shared" si="521"/>
        <v>0.85</v>
      </c>
      <c r="CT414" s="1120">
        <f t="shared" si="522"/>
        <v>0.85</v>
      </c>
      <c r="CU414" s="1120">
        <v>1</v>
      </c>
      <c r="CV414" s="1120"/>
      <c r="CW414" s="1120">
        <f t="shared" si="523"/>
        <v>62</v>
      </c>
      <c r="CX414" s="1120">
        <f t="shared" si="524"/>
        <v>303</v>
      </c>
      <c r="CY414" s="1136" t="s">
        <v>4879</v>
      </c>
      <c r="CZ414" s="1129">
        <v>7</v>
      </c>
      <c r="DA414" s="1129"/>
      <c r="DB414" s="1129"/>
      <c r="DC414" s="1125" t="s">
        <v>5289</v>
      </c>
      <c r="DD414" s="1125" t="s">
        <v>903</v>
      </c>
      <c r="DE414" s="1120" t="str">
        <f t="shared" si="525"/>
        <v/>
      </c>
      <c r="DF414" s="1133">
        <v>1</v>
      </c>
      <c r="DG414" s="1120">
        <v>0</v>
      </c>
    </row>
    <row r="415" spans="1:111">
      <c r="A415" s="1125" t="s">
        <v>3601</v>
      </c>
      <c r="B415" s="1125" t="s">
        <v>3625</v>
      </c>
      <c r="C415" s="1125" t="s">
        <v>3626</v>
      </c>
      <c r="D415" s="1125" t="s">
        <v>591</v>
      </c>
      <c r="E415" s="1125">
        <v>10</v>
      </c>
      <c r="F415" s="1125">
        <v>-90.67</v>
      </c>
      <c r="G415" s="1125">
        <v>29.57</v>
      </c>
      <c r="H415" s="1125">
        <v>-6</v>
      </c>
      <c r="I415" s="1126">
        <v>23</v>
      </c>
      <c r="J415" s="1126">
        <v>92.120002746582031</v>
      </c>
      <c r="K415" s="1127">
        <v>78.080000686645505</v>
      </c>
      <c r="L415" s="1125">
        <v>1555.2</v>
      </c>
      <c r="M415" s="1125">
        <v>2793.6</v>
      </c>
      <c r="N415" s="1128">
        <v>49.280000686645508</v>
      </c>
      <c r="O415" s="1128">
        <v>57.380000686645509</v>
      </c>
      <c r="P415" s="1128">
        <v>58.640000343322754</v>
      </c>
      <c r="Q415" s="1128">
        <v>67.280000686645508</v>
      </c>
      <c r="R415" s="1128">
        <v>77.180000686645513</v>
      </c>
      <c r="S415" s="1128">
        <v>79.33999862670899</v>
      </c>
      <c r="T415" s="1128">
        <v>80.599999999999994</v>
      </c>
      <c r="U415" s="1128">
        <v>79.33999862670899</v>
      </c>
      <c r="V415" s="1128">
        <v>76.819999313354487</v>
      </c>
      <c r="W415" s="1128">
        <v>69.260001373291018</v>
      </c>
      <c r="X415" s="1128">
        <v>62.6</v>
      </c>
      <c r="Y415" s="1128">
        <v>55.219999313354492</v>
      </c>
      <c r="Z415" s="1128">
        <v>67.788931534127016</v>
      </c>
      <c r="AA415" s="1128">
        <f t="shared" si="451"/>
        <v>63.984922070595275</v>
      </c>
      <c r="AB415" s="1128">
        <f t="shared" si="452"/>
        <v>64.317231023109841</v>
      </c>
      <c r="AC415" s="1128">
        <f t="shared" si="453"/>
        <v>67.118484677144181</v>
      </c>
      <c r="AD415" s="1128">
        <f t="shared" si="454"/>
        <v>71.658493099148728</v>
      </c>
      <c r="AE415" s="1128">
        <f t="shared" si="455"/>
        <v>76.753833130280441</v>
      </c>
      <c r="AF415" s="1128">
        <f t="shared" si="456"/>
        <v>81.076325869858124</v>
      </c>
      <c r="AG415" s="1128">
        <f t="shared" si="457"/>
        <v>83.499246973681423</v>
      </c>
      <c r="AH415" s="1128">
        <f t="shared" si="458"/>
        <v>83.391024717694364</v>
      </c>
      <c r="AI415" s="1128">
        <f t="shared" si="459"/>
        <v>80.779868900675424</v>
      </c>
      <c r="AJ415" s="1128">
        <f t="shared" si="460"/>
        <v>76.346417525459742</v>
      </c>
      <c r="AK415" s="1128">
        <f t="shared" si="461"/>
        <v>71.246318014551079</v>
      </c>
      <c r="AL415" s="1128">
        <f t="shared" si="462"/>
        <v>66.808989900380269</v>
      </c>
      <c r="AM415" s="1125">
        <f t="shared" si="463"/>
        <v>1</v>
      </c>
      <c r="AN415" s="1125">
        <f t="shared" si="464"/>
        <v>1</v>
      </c>
      <c r="AO415" s="1125">
        <f t="shared" si="465"/>
        <v>1</v>
      </c>
      <c r="AP415" s="1125">
        <f t="shared" si="466"/>
        <v>0</v>
      </c>
      <c r="AQ415" s="1125">
        <f t="shared" si="467"/>
        <v>0</v>
      </c>
      <c r="AR415" s="1125">
        <f t="shared" si="468"/>
        <v>0</v>
      </c>
      <c r="AS415" s="1125">
        <f t="shared" si="469"/>
        <v>0</v>
      </c>
      <c r="AT415" s="1125">
        <f t="shared" si="470"/>
        <v>0</v>
      </c>
      <c r="AU415" s="1125">
        <f t="shared" si="471"/>
        <v>0</v>
      </c>
      <c r="AV415" s="1125">
        <f t="shared" si="472"/>
        <v>0</v>
      </c>
      <c r="AW415" s="1125">
        <f t="shared" si="473"/>
        <v>1</v>
      </c>
      <c r="AX415" s="1125">
        <f t="shared" si="474"/>
        <v>1</v>
      </c>
      <c r="AY415" s="1125">
        <f t="shared" si="475"/>
        <v>0</v>
      </c>
      <c r="AZ415" s="1125">
        <f t="shared" si="476"/>
        <v>0</v>
      </c>
      <c r="BA415" s="1125">
        <f t="shared" si="477"/>
        <v>0</v>
      </c>
      <c r="BB415" s="1125">
        <f t="shared" si="478"/>
        <v>1</v>
      </c>
      <c r="BC415" s="1125">
        <f t="shared" si="479"/>
        <v>1</v>
      </c>
      <c r="BD415" s="1125">
        <f t="shared" si="480"/>
        <v>1</v>
      </c>
      <c r="BE415" s="1125">
        <f t="shared" si="481"/>
        <v>1</v>
      </c>
      <c r="BF415" s="1125">
        <f t="shared" si="482"/>
        <v>1</v>
      </c>
      <c r="BG415" s="1125">
        <f t="shared" si="483"/>
        <v>1</v>
      </c>
      <c r="BH415" s="1125">
        <f t="shared" si="484"/>
        <v>1</v>
      </c>
      <c r="BI415" s="1125">
        <f t="shared" si="485"/>
        <v>0</v>
      </c>
      <c r="BJ415" s="1125">
        <f t="shared" si="486"/>
        <v>0</v>
      </c>
      <c r="BK415" s="1125">
        <f t="shared" si="487"/>
        <v>1</v>
      </c>
      <c r="BL415" s="1125">
        <f t="shared" si="488"/>
        <v>1</v>
      </c>
      <c r="BM415" s="1125">
        <f t="shared" si="489"/>
        <v>1</v>
      </c>
      <c r="BN415" s="1125">
        <f t="shared" si="490"/>
        <v>1</v>
      </c>
      <c r="BO415" s="1125">
        <f t="shared" si="491"/>
        <v>0</v>
      </c>
      <c r="BP415" s="1125">
        <f t="shared" si="492"/>
        <v>0</v>
      </c>
      <c r="BQ415" s="1125">
        <f t="shared" si="493"/>
        <v>0</v>
      </c>
      <c r="BR415" s="1125">
        <f t="shared" si="494"/>
        <v>0</v>
      </c>
      <c r="BS415" s="1125">
        <f t="shared" si="495"/>
        <v>0</v>
      </c>
      <c r="BT415" s="1125">
        <f t="shared" si="496"/>
        <v>0</v>
      </c>
      <c r="BU415" s="1125">
        <f t="shared" si="497"/>
        <v>1</v>
      </c>
      <c r="BV415" s="1125">
        <f t="shared" si="498"/>
        <v>1</v>
      </c>
      <c r="BW415" s="1125">
        <f t="shared" si="499"/>
        <v>0</v>
      </c>
      <c r="BX415" s="1125">
        <f t="shared" si="500"/>
        <v>0</v>
      </c>
      <c r="BY415" s="1125">
        <f t="shared" si="501"/>
        <v>1</v>
      </c>
      <c r="BZ415" s="1125">
        <f t="shared" si="502"/>
        <v>1</v>
      </c>
      <c r="CA415" s="1125">
        <f t="shared" si="503"/>
        <v>1</v>
      </c>
      <c r="CB415" s="1125">
        <f t="shared" si="504"/>
        <v>1</v>
      </c>
      <c r="CC415" s="1125">
        <f t="shared" si="505"/>
        <v>1</v>
      </c>
      <c r="CD415" s="1125">
        <f t="shared" si="506"/>
        <v>1</v>
      </c>
      <c r="CE415" s="1125">
        <f t="shared" si="507"/>
        <v>1</v>
      </c>
      <c r="CF415" s="1125">
        <f t="shared" si="508"/>
        <v>1</v>
      </c>
      <c r="CG415" s="1125">
        <f t="shared" si="509"/>
        <v>1</v>
      </c>
      <c r="CH415" s="1125">
        <f t="shared" si="510"/>
        <v>0</v>
      </c>
      <c r="CI415" s="1125">
        <f t="shared" si="511"/>
        <v>0.85</v>
      </c>
      <c r="CJ415" s="1125">
        <f t="shared" si="512"/>
        <v>0.85</v>
      </c>
      <c r="CK415" s="1125">
        <f t="shared" si="513"/>
        <v>0.85</v>
      </c>
      <c r="CL415" s="1125">
        <f t="shared" si="514"/>
        <v>0.85</v>
      </c>
      <c r="CM415" s="1125">
        <f t="shared" si="515"/>
        <v>0.7</v>
      </c>
      <c r="CN415" s="1125">
        <f t="shared" si="516"/>
        <v>0.7</v>
      </c>
      <c r="CO415" s="1125">
        <f t="shared" si="517"/>
        <v>0.7</v>
      </c>
      <c r="CP415" s="1125">
        <f t="shared" si="518"/>
        <v>0.7</v>
      </c>
      <c r="CQ415" s="1125">
        <f t="shared" si="519"/>
        <v>0.7</v>
      </c>
      <c r="CR415" s="1125">
        <f t="shared" si="520"/>
        <v>0.7</v>
      </c>
      <c r="CS415" s="1125">
        <f t="shared" si="521"/>
        <v>0.85</v>
      </c>
      <c r="CT415" s="1125">
        <f t="shared" si="522"/>
        <v>0.85</v>
      </c>
      <c r="CU415" s="1125">
        <v>1</v>
      </c>
      <c r="CV415" s="1125"/>
      <c r="CW415" s="1125">
        <f t="shared" si="523"/>
        <v>275</v>
      </c>
      <c r="CX415" s="1125">
        <f t="shared" si="524"/>
        <v>90</v>
      </c>
      <c r="CY415" s="1136" t="s">
        <v>4883</v>
      </c>
      <c r="CZ415" s="1129" t="s">
        <v>4884</v>
      </c>
      <c r="DA415" s="1129"/>
      <c r="DB415" s="1129"/>
      <c r="DC415" s="1125" t="s">
        <v>6033</v>
      </c>
      <c r="DD415" s="1125" t="s">
        <v>591</v>
      </c>
      <c r="DE415" s="1120" t="str">
        <f t="shared" si="525"/>
        <v/>
      </c>
      <c r="DF415" s="1133">
        <v>0</v>
      </c>
      <c r="DG415" s="1125">
        <v>0</v>
      </c>
    </row>
    <row r="416" spans="1:111">
      <c r="A416" s="1120" t="s">
        <v>3603</v>
      </c>
      <c r="B416" s="1120" t="s">
        <v>4410</v>
      </c>
      <c r="C416" s="1120" t="s">
        <v>4411</v>
      </c>
      <c r="D416" s="1120" t="s">
        <v>228</v>
      </c>
      <c r="E416" s="1120">
        <v>95</v>
      </c>
      <c r="F416" s="1120">
        <v>-95.37</v>
      </c>
      <c r="G416" s="1120">
        <v>30</v>
      </c>
      <c r="H416" s="1120">
        <v>-6</v>
      </c>
      <c r="I416" s="1121">
        <v>32.9</v>
      </c>
      <c r="J416" s="1121">
        <v>95</v>
      </c>
      <c r="K416" s="1122">
        <v>76.639998626708987</v>
      </c>
      <c r="L416" s="1120">
        <v>1393.2</v>
      </c>
      <c r="M416" s="1120">
        <v>2943</v>
      </c>
      <c r="N416" s="1123">
        <v>50.9</v>
      </c>
      <c r="O416" s="1123">
        <v>55.040000343322752</v>
      </c>
      <c r="P416" s="1123">
        <v>61.160001373291017</v>
      </c>
      <c r="Q416" s="1123">
        <v>68.900000000000006</v>
      </c>
      <c r="R416" s="1123">
        <v>75.2</v>
      </c>
      <c r="S416" s="1123">
        <v>80.599999999999994</v>
      </c>
      <c r="T416" s="1123">
        <v>82.939998626708984</v>
      </c>
      <c r="U416" s="1123">
        <v>82.760001373291018</v>
      </c>
      <c r="V416" s="1123">
        <v>79.519999313354489</v>
      </c>
      <c r="W416" s="1123">
        <v>68.539998626708979</v>
      </c>
      <c r="X416" s="1123">
        <v>62.780000686645508</v>
      </c>
      <c r="Y416" s="1123">
        <v>54.5</v>
      </c>
      <c r="Z416" s="1123">
        <v>68.633205505789149</v>
      </c>
      <c r="AA416" s="1123">
        <f t="shared" si="451"/>
        <v>64.443302751781175</v>
      </c>
      <c r="AB416" s="1123">
        <f t="shared" si="452"/>
        <v>64.864354509177929</v>
      </c>
      <c r="AC416" s="1123">
        <f t="shared" si="453"/>
        <v>67.831807821392132</v>
      </c>
      <c r="AD416" s="1123">
        <f t="shared" si="454"/>
        <v>72.572150252755392</v>
      </c>
      <c r="AE416" s="1123">
        <f t="shared" si="455"/>
        <v>77.849738497644779</v>
      </c>
      <c r="AF416" s="1123">
        <f t="shared" si="456"/>
        <v>82.288887849933161</v>
      </c>
      <c r="AG416" s="1123">
        <f t="shared" si="457"/>
        <v>84.732465621584339</v>
      </c>
      <c r="AH416" s="1123">
        <f t="shared" si="458"/>
        <v>84.543515609744105</v>
      </c>
      <c r="AI416" s="1123">
        <f t="shared" si="459"/>
        <v>81.771290546806441</v>
      </c>
      <c r="AJ416" s="1123">
        <f t="shared" si="460"/>
        <v>77.138413616707425</v>
      </c>
      <c r="AK416" s="1123">
        <f t="shared" si="461"/>
        <v>71.852515586071959</v>
      </c>
      <c r="AL416" s="1123">
        <f t="shared" si="462"/>
        <v>67.291447234739564</v>
      </c>
      <c r="AM416" s="1120">
        <f t="shared" si="463"/>
        <v>1</v>
      </c>
      <c r="AN416" s="1120">
        <f t="shared" si="464"/>
        <v>1</v>
      </c>
      <c r="AO416" s="1120">
        <f t="shared" si="465"/>
        <v>1</v>
      </c>
      <c r="AP416" s="1120">
        <f t="shared" si="466"/>
        <v>0</v>
      </c>
      <c r="AQ416" s="1120">
        <f t="shared" si="467"/>
        <v>0</v>
      </c>
      <c r="AR416" s="1120">
        <f t="shared" si="468"/>
        <v>0</v>
      </c>
      <c r="AS416" s="1120">
        <f t="shared" si="469"/>
        <v>0</v>
      </c>
      <c r="AT416" s="1120">
        <f t="shared" si="470"/>
        <v>0</v>
      </c>
      <c r="AU416" s="1120">
        <f t="shared" si="471"/>
        <v>0</v>
      </c>
      <c r="AV416" s="1120">
        <f t="shared" si="472"/>
        <v>0</v>
      </c>
      <c r="AW416" s="1120">
        <f t="shared" si="473"/>
        <v>1</v>
      </c>
      <c r="AX416" s="1120">
        <f t="shared" si="474"/>
        <v>1</v>
      </c>
      <c r="AY416" s="1120">
        <f t="shared" si="475"/>
        <v>0</v>
      </c>
      <c r="AZ416" s="1120">
        <f t="shared" si="476"/>
        <v>0</v>
      </c>
      <c r="BA416" s="1120">
        <f t="shared" si="477"/>
        <v>0</v>
      </c>
      <c r="BB416" s="1120">
        <f t="shared" si="478"/>
        <v>1</v>
      </c>
      <c r="BC416" s="1120">
        <f t="shared" si="479"/>
        <v>1</v>
      </c>
      <c r="BD416" s="1120">
        <f t="shared" si="480"/>
        <v>1</v>
      </c>
      <c r="BE416" s="1120">
        <f t="shared" si="481"/>
        <v>1</v>
      </c>
      <c r="BF416" s="1120">
        <f t="shared" si="482"/>
        <v>1</v>
      </c>
      <c r="BG416" s="1120">
        <f t="shared" si="483"/>
        <v>1</v>
      </c>
      <c r="BH416" s="1120">
        <f t="shared" si="484"/>
        <v>1</v>
      </c>
      <c r="BI416" s="1120">
        <f t="shared" si="485"/>
        <v>0</v>
      </c>
      <c r="BJ416" s="1120">
        <f t="shared" si="486"/>
        <v>0</v>
      </c>
      <c r="BK416" s="1120">
        <f t="shared" si="487"/>
        <v>1</v>
      </c>
      <c r="BL416" s="1120">
        <f t="shared" si="488"/>
        <v>1</v>
      </c>
      <c r="BM416" s="1120">
        <f t="shared" si="489"/>
        <v>1</v>
      </c>
      <c r="BN416" s="1120">
        <f t="shared" si="490"/>
        <v>1</v>
      </c>
      <c r="BO416" s="1120">
        <f t="shared" si="491"/>
        <v>0</v>
      </c>
      <c r="BP416" s="1120">
        <f t="shared" si="492"/>
        <v>0</v>
      </c>
      <c r="BQ416" s="1120">
        <f t="shared" si="493"/>
        <v>0</v>
      </c>
      <c r="BR416" s="1120">
        <f t="shared" si="494"/>
        <v>0</v>
      </c>
      <c r="BS416" s="1120">
        <f t="shared" si="495"/>
        <v>0</v>
      </c>
      <c r="BT416" s="1120">
        <f t="shared" si="496"/>
        <v>0</v>
      </c>
      <c r="BU416" s="1120">
        <f t="shared" si="497"/>
        <v>1</v>
      </c>
      <c r="BV416" s="1120">
        <f t="shared" si="498"/>
        <v>1</v>
      </c>
      <c r="BW416" s="1120">
        <f t="shared" si="499"/>
        <v>0</v>
      </c>
      <c r="BX416" s="1120">
        <f t="shared" si="500"/>
        <v>0</v>
      </c>
      <c r="BY416" s="1120">
        <f t="shared" si="501"/>
        <v>1</v>
      </c>
      <c r="BZ416" s="1120">
        <f t="shared" si="502"/>
        <v>1</v>
      </c>
      <c r="CA416" s="1120">
        <f t="shared" si="503"/>
        <v>1</v>
      </c>
      <c r="CB416" s="1120">
        <f t="shared" si="504"/>
        <v>1</v>
      </c>
      <c r="CC416" s="1120">
        <f t="shared" si="505"/>
        <v>1</v>
      </c>
      <c r="CD416" s="1120">
        <f t="shared" si="506"/>
        <v>1</v>
      </c>
      <c r="CE416" s="1120">
        <f t="shared" si="507"/>
        <v>1</v>
      </c>
      <c r="CF416" s="1120">
        <f t="shared" si="508"/>
        <v>1</v>
      </c>
      <c r="CG416" s="1120">
        <f t="shared" si="509"/>
        <v>1</v>
      </c>
      <c r="CH416" s="1120">
        <f t="shared" si="510"/>
        <v>0</v>
      </c>
      <c r="CI416" s="1120">
        <f t="shared" si="511"/>
        <v>0.85</v>
      </c>
      <c r="CJ416" s="1120">
        <f t="shared" si="512"/>
        <v>0.85</v>
      </c>
      <c r="CK416" s="1120">
        <f t="shared" si="513"/>
        <v>0.85</v>
      </c>
      <c r="CL416" s="1120">
        <f t="shared" si="514"/>
        <v>0.85</v>
      </c>
      <c r="CM416" s="1120">
        <f t="shared" si="515"/>
        <v>0.7</v>
      </c>
      <c r="CN416" s="1120">
        <f t="shared" si="516"/>
        <v>0.7</v>
      </c>
      <c r="CO416" s="1120">
        <f t="shared" si="517"/>
        <v>0.7</v>
      </c>
      <c r="CP416" s="1120">
        <f t="shared" si="518"/>
        <v>0.7</v>
      </c>
      <c r="CQ416" s="1120">
        <f t="shared" si="519"/>
        <v>0.7</v>
      </c>
      <c r="CR416" s="1120">
        <f t="shared" si="520"/>
        <v>0.7</v>
      </c>
      <c r="CS416" s="1120">
        <f t="shared" si="521"/>
        <v>0.85</v>
      </c>
      <c r="CT416" s="1120">
        <f t="shared" si="522"/>
        <v>0.85</v>
      </c>
      <c r="CU416" s="1120">
        <v>1</v>
      </c>
      <c r="CV416" s="1120"/>
      <c r="CW416" s="1120">
        <f t="shared" si="523"/>
        <v>275</v>
      </c>
      <c r="CX416" s="1120">
        <f t="shared" si="524"/>
        <v>90</v>
      </c>
      <c r="CY416" s="1135" t="s">
        <v>4883</v>
      </c>
      <c r="CZ416" s="1124" t="s">
        <v>4884</v>
      </c>
      <c r="DA416" s="1124"/>
      <c r="DB416" s="1124"/>
      <c r="DC416" s="1120" t="s">
        <v>5595</v>
      </c>
      <c r="DD416" s="1120" t="s">
        <v>228</v>
      </c>
      <c r="DE416" s="1120" t="str">
        <f t="shared" si="525"/>
        <v/>
      </c>
      <c r="DF416" s="1133">
        <v>0</v>
      </c>
      <c r="DG416" s="1120">
        <v>0</v>
      </c>
    </row>
    <row r="417" spans="1:111">
      <c r="A417" s="1125" t="s">
        <v>3605</v>
      </c>
      <c r="B417" s="1125" t="s">
        <v>4412</v>
      </c>
      <c r="C417" s="1125" t="s">
        <v>4413</v>
      </c>
      <c r="D417" s="1125" t="s">
        <v>228</v>
      </c>
      <c r="E417" s="1125">
        <v>151</v>
      </c>
      <c r="F417" s="1125">
        <v>-95.55</v>
      </c>
      <c r="G417" s="1125">
        <v>30.07</v>
      </c>
      <c r="H417" s="1125">
        <v>-6</v>
      </c>
      <c r="I417" s="1126">
        <v>33.980000042915343</v>
      </c>
      <c r="J417" s="1126">
        <v>95.360001373291013</v>
      </c>
      <c r="K417" s="1127">
        <v>76.639998626708987</v>
      </c>
      <c r="L417" s="1125">
        <v>1357.2</v>
      </c>
      <c r="M417" s="1125">
        <v>3042</v>
      </c>
      <c r="N417" s="1128">
        <v>53.780000686645508</v>
      </c>
      <c r="O417" s="1128">
        <v>58.819999313354494</v>
      </c>
      <c r="P417" s="1128">
        <v>61.339998626708983</v>
      </c>
      <c r="Q417" s="1128">
        <v>71.239998626708982</v>
      </c>
      <c r="R417" s="1128">
        <v>75.2</v>
      </c>
      <c r="S417" s="1128">
        <v>80.599999999999994</v>
      </c>
      <c r="T417" s="1128">
        <v>82.039998626708979</v>
      </c>
      <c r="U417" s="1128">
        <v>80.239998626708982</v>
      </c>
      <c r="V417" s="1128">
        <v>79.519999313354489</v>
      </c>
      <c r="W417" s="1128">
        <v>75.019999313354489</v>
      </c>
      <c r="X417" s="1128">
        <v>56.480000686645511</v>
      </c>
      <c r="Y417" s="1128">
        <v>53.419999313354495</v>
      </c>
      <c r="Z417" s="1128">
        <v>69.025752850885254</v>
      </c>
      <c r="AA417" s="1128">
        <f t="shared" si="451"/>
        <v>65.857308380628666</v>
      </c>
      <c r="AB417" s="1128">
        <f t="shared" si="452"/>
        <v>66.267683061756131</v>
      </c>
      <c r="AC417" s="1128">
        <f t="shared" si="453"/>
        <v>68.960983599360944</v>
      </c>
      <c r="AD417" s="1128">
        <f t="shared" si="454"/>
        <v>73.235159703298777</v>
      </c>
      <c r="AE417" s="1128">
        <f t="shared" si="455"/>
        <v>77.976081505030692</v>
      </c>
      <c r="AF417" s="1128">
        <f t="shared" si="456"/>
        <v>81.947954677118787</v>
      </c>
      <c r="AG417" s="1128">
        <f t="shared" si="457"/>
        <v>84.115449268839967</v>
      </c>
      <c r="AH417" s="1128">
        <f t="shared" si="458"/>
        <v>83.913574412759374</v>
      </c>
      <c r="AI417" s="1128">
        <f t="shared" si="459"/>
        <v>81.394951901100114</v>
      </c>
      <c r="AJ417" s="1128">
        <f t="shared" si="460"/>
        <v>77.216099504673934</v>
      </c>
      <c r="AK417" s="1128">
        <f t="shared" si="461"/>
        <v>72.466299498674076</v>
      </c>
      <c r="AL417" s="1128">
        <f t="shared" si="462"/>
        <v>68.383660451298127</v>
      </c>
      <c r="AM417" s="1125">
        <f t="shared" si="463"/>
        <v>1</v>
      </c>
      <c r="AN417" s="1125">
        <f t="shared" si="464"/>
        <v>1</v>
      </c>
      <c r="AO417" s="1125">
        <f t="shared" si="465"/>
        <v>1</v>
      </c>
      <c r="AP417" s="1125">
        <f t="shared" si="466"/>
        <v>0</v>
      </c>
      <c r="AQ417" s="1125">
        <f t="shared" si="467"/>
        <v>0</v>
      </c>
      <c r="AR417" s="1125">
        <f t="shared" si="468"/>
        <v>0</v>
      </c>
      <c r="AS417" s="1125">
        <f t="shared" si="469"/>
        <v>0</v>
      </c>
      <c r="AT417" s="1125">
        <f t="shared" si="470"/>
        <v>0</v>
      </c>
      <c r="AU417" s="1125">
        <f t="shared" si="471"/>
        <v>0</v>
      </c>
      <c r="AV417" s="1125">
        <f t="shared" si="472"/>
        <v>0</v>
      </c>
      <c r="AW417" s="1125">
        <f t="shared" si="473"/>
        <v>1</v>
      </c>
      <c r="AX417" s="1125">
        <f t="shared" si="474"/>
        <v>1</v>
      </c>
      <c r="AY417" s="1125">
        <f t="shared" si="475"/>
        <v>0</v>
      </c>
      <c r="AZ417" s="1125">
        <f t="shared" si="476"/>
        <v>0</v>
      </c>
      <c r="BA417" s="1125">
        <f t="shared" si="477"/>
        <v>0</v>
      </c>
      <c r="BB417" s="1125">
        <f t="shared" si="478"/>
        <v>1</v>
      </c>
      <c r="BC417" s="1125">
        <f t="shared" si="479"/>
        <v>1</v>
      </c>
      <c r="BD417" s="1125">
        <f t="shared" si="480"/>
        <v>1</v>
      </c>
      <c r="BE417" s="1125">
        <f t="shared" si="481"/>
        <v>1</v>
      </c>
      <c r="BF417" s="1125">
        <f t="shared" si="482"/>
        <v>1</v>
      </c>
      <c r="BG417" s="1125">
        <f t="shared" si="483"/>
        <v>1</v>
      </c>
      <c r="BH417" s="1125">
        <f t="shared" si="484"/>
        <v>1</v>
      </c>
      <c r="BI417" s="1125">
        <f t="shared" si="485"/>
        <v>0</v>
      </c>
      <c r="BJ417" s="1125">
        <f t="shared" si="486"/>
        <v>0</v>
      </c>
      <c r="BK417" s="1125">
        <f t="shared" si="487"/>
        <v>1</v>
      </c>
      <c r="BL417" s="1125">
        <f t="shared" si="488"/>
        <v>1</v>
      </c>
      <c r="BM417" s="1125">
        <f t="shared" si="489"/>
        <v>1</v>
      </c>
      <c r="BN417" s="1125">
        <f t="shared" si="490"/>
        <v>1</v>
      </c>
      <c r="BO417" s="1125">
        <f t="shared" si="491"/>
        <v>0</v>
      </c>
      <c r="BP417" s="1125">
        <f t="shared" si="492"/>
        <v>0</v>
      </c>
      <c r="BQ417" s="1125">
        <f t="shared" si="493"/>
        <v>0</v>
      </c>
      <c r="BR417" s="1125">
        <f t="shared" si="494"/>
        <v>0</v>
      </c>
      <c r="BS417" s="1125">
        <f t="shared" si="495"/>
        <v>0</v>
      </c>
      <c r="BT417" s="1125">
        <f t="shared" si="496"/>
        <v>0</v>
      </c>
      <c r="BU417" s="1125">
        <f t="shared" si="497"/>
        <v>1</v>
      </c>
      <c r="BV417" s="1125">
        <f t="shared" si="498"/>
        <v>1</v>
      </c>
      <c r="BW417" s="1125">
        <f t="shared" si="499"/>
        <v>0</v>
      </c>
      <c r="BX417" s="1125">
        <f t="shared" si="500"/>
        <v>0</v>
      </c>
      <c r="BY417" s="1125">
        <f t="shared" si="501"/>
        <v>1</v>
      </c>
      <c r="BZ417" s="1125">
        <f t="shared" si="502"/>
        <v>1</v>
      </c>
      <c r="CA417" s="1125">
        <f t="shared" si="503"/>
        <v>1</v>
      </c>
      <c r="CB417" s="1125">
        <f t="shared" si="504"/>
        <v>1</v>
      </c>
      <c r="CC417" s="1125">
        <f t="shared" si="505"/>
        <v>1</v>
      </c>
      <c r="CD417" s="1125">
        <f t="shared" si="506"/>
        <v>1</v>
      </c>
      <c r="CE417" s="1125">
        <f t="shared" si="507"/>
        <v>1</v>
      </c>
      <c r="CF417" s="1125">
        <f t="shared" si="508"/>
        <v>1</v>
      </c>
      <c r="CG417" s="1125">
        <f t="shared" si="509"/>
        <v>1</v>
      </c>
      <c r="CH417" s="1125">
        <f t="shared" si="510"/>
        <v>0</v>
      </c>
      <c r="CI417" s="1125">
        <f t="shared" si="511"/>
        <v>0.85</v>
      </c>
      <c r="CJ417" s="1125">
        <f t="shared" si="512"/>
        <v>0.85</v>
      </c>
      <c r="CK417" s="1125">
        <f t="shared" si="513"/>
        <v>0.85</v>
      </c>
      <c r="CL417" s="1125">
        <f t="shared" si="514"/>
        <v>0.85</v>
      </c>
      <c r="CM417" s="1125">
        <f t="shared" si="515"/>
        <v>0.7</v>
      </c>
      <c r="CN417" s="1125">
        <f t="shared" si="516"/>
        <v>0.7</v>
      </c>
      <c r="CO417" s="1125">
        <f t="shared" si="517"/>
        <v>0.7</v>
      </c>
      <c r="CP417" s="1125">
        <f t="shared" si="518"/>
        <v>0.7</v>
      </c>
      <c r="CQ417" s="1125">
        <f t="shared" si="519"/>
        <v>0.7</v>
      </c>
      <c r="CR417" s="1125">
        <f t="shared" si="520"/>
        <v>0.7</v>
      </c>
      <c r="CS417" s="1125">
        <f t="shared" si="521"/>
        <v>0.85</v>
      </c>
      <c r="CT417" s="1125">
        <f t="shared" si="522"/>
        <v>0.85</v>
      </c>
      <c r="CU417" s="1125">
        <v>1</v>
      </c>
      <c r="CV417" s="1125"/>
      <c r="CW417" s="1125">
        <f t="shared" si="523"/>
        <v>275</v>
      </c>
      <c r="CX417" s="1125">
        <f t="shared" si="524"/>
        <v>90</v>
      </c>
      <c r="CY417" s="1135" t="s">
        <v>4883</v>
      </c>
      <c r="CZ417" s="1124" t="s">
        <v>4884</v>
      </c>
      <c r="DA417" s="1124"/>
      <c r="DB417" s="1124"/>
      <c r="DC417" s="1120" t="s">
        <v>6000</v>
      </c>
      <c r="DD417" s="1120" t="s">
        <v>228</v>
      </c>
      <c r="DE417" s="1120" t="b">
        <f t="shared" si="525"/>
        <v>0</v>
      </c>
      <c r="DF417" s="1133">
        <v>0</v>
      </c>
      <c r="DG417" s="1125">
        <v>0</v>
      </c>
    </row>
    <row r="418" spans="1:111">
      <c r="A418" s="1120" t="s">
        <v>3607</v>
      </c>
      <c r="B418" s="1120" t="s">
        <v>4414</v>
      </c>
      <c r="C418" s="1120" t="s">
        <v>4415</v>
      </c>
      <c r="D418" s="1120" t="s">
        <v>228</v>
      </c>
      <c r="E418" s="1120">
        <v>20</v>
      </c>
      <c r="F418" s="1120">
        <v>-95.09</v>
      </c>
      <c r="G418" s="1120">
        <v>29.57</v>
      </c>
      <c r="H418" s="1120">
        <v>-6</v>
      </c>
      <c r="I418" s="1121">
        <v>36.139999914169309</v>
      </c>
      <c r="J418" s="1121">
        <v>94.460001373291021</v>
      </c>
      <c r="K418" s="1122">
        <v>78.439998626708984</v>
      </c>
      <c r="L418" s="1120">
        <v>1342.8</v>
      </c>
      <c r="M418" s="1120">
        <v>2962.8</v>
      </c>
      <c r="N418" s="1123">
        <v>52.7</v>
      </c>
      <c r="O418" s="1123">
        <v>57.919999313354495</v>
      </c>
      <c r="P418" s="1123">
        <v>57.380000686645509</v>
      </c>
      <c r="Q418" s="1123">
        <v>66.919999313354495</v>
      </c>
      <c r="R418" s="1123">
        <v>75.919999313354495</v>
      </c>
      <c r="S418" s="1123">
        <v>79.7</v>
      </c>
      <c r="T418" s="1123">
        <v>82.760001373291018</v>
      </c>
      <c r="U418" s="1123">
        <v>81.5</v>
      </c>
      <c r="V418" s="1123">
        <v>77.900000000000006</v>
      </c>
      <c r="W418" s="1123">
        <v>71.960001373291021</v>
      </c>
      <c r="X418" s="1123">
        <v>65.3</v>
      </c>
      <c r="Y418" s="1123">
        <v>55.4</v>
      </c>
      <c r="Z418" s="1123">
        <v>68.828986425530417</v>
      </c>
      <c r="AA418" s="1123">
        <f t="shared" si="451"/>
        <v>65.234065844413394</v>
      </c>
      <c r="AB418" s="1123">
        <f t="shared" si="452"/>
        <v>65.646999442833035</v>
      </c>
      <c r="AC418" s="1123">
        <f t="shared" si="453"/>
        <v>68.453359446995293</v>
      </c>
      <c r="AD418" s="1123">
        <f t="shared" si="454"/>
        <v>72.921624874498505</v>
      </c>
      <c r="AE418" s="1123">
        <f t="shared" si="455"/>
        <v>77.887073483609427</v>
      </c>
      <c r="AF418" s="1123">
        <f t="shared" si="456"/>
        <v>82.055384574483966</v>
      </c>
      <c r="AG418" s="1123">
        <f t="shared" si="457"/>
        <v>84.340023625667385</v>
      </c>
      <c r="AH418" s="1123">
        <f t="shared" si="458"/>
        <v>84.145464261115237</v>
      </c>
      <c r="AI418" s="1123">
        <f t="shared" si="459"/>
        <v>81.52242137744858</v>
      </c>
      <c r="AJ418" s="1123">
        <f t="shared" si="460"/>
        <v>77.15463152460957</v>
      </c>
      <c r="AK418" s="1123">
        <f t="shared" si="461"/>
        <v>72.180626437419733</v>
      </c>
      <c r="AL418" s="1123">
        <f t="shared" si="462"/>
        <v>67.896957193593764</v>
      </c>
      <c r="AM418" s="1120">
        <f t="shared" si="463"/>
        <v>1</v>
      </c>
      <c r="AN418" s="1120">
        <f t="shared" si="464"/>
        <v>1</v>
      </c>
      <c r="AO418" s="1120">
        <f t="shared" si="465"/>
        <v>1</v>
      </c>
      <c r="AP418" s="1120">
        <f t="shared" si="466"/>
        <v>0</v>
      </c>
      <c r="AQ418" s="1120">
        <f t="shared" si="467"/>
        <v>0</v>
      </c>
      <c r="AR418" s="1120">
        <f t="shared" si="468"/>
        <v>0</v>
      </c>
      <c r="AS418" s="1120">
        <f t="shared" si="469"/>
        <v>0</v>
      </c>
      <c r="AT418" s="1120">
        <f t="shared" si="470"/>
        <v>0</v>
      </c>
      <c r="AU418" s="1120">
        <f t="shared" si="471"/>
        <v>0</v>
      </c>
      <c r="AV418" s="1120">
        <f t="shared" si="472"/>
        <v>0</v>
      </c>
      <c r="AW418" s="1120">
        <f t="shared" si="473"/>
        <v>1</v>
      </c>
      <c r="AX418" s="1120">
        <f t="shared" si="474"/>
        <v>1</v>
      </c>
      <c r="AY418" s="1120">
        <f t="shared" si="475"/>
        <v>0</v>
      </c>
      <c r="AZ418" s="1120">
        <f t="shared" si="476"/>
        <v>0</v>
      </c>
      <c r="BA418" s="1120">
        <f t="shared" si="477"/>
        <v>0</v>
      </c>
      <c r="BB418" s="1120">
        <f t="shared" si="478"/>
        <v>1</v>
      </c>
      <c r="BC418" s="1120">
        <f t="shared" si="479"/>
        <v>1</v>
      </c>
      <c r="BD418" s="1120">
        <f t="shared" si="480"/>
        <v>1</v>
      </c>
      <c r="BE418" s="1120">
        <f t="shared" si="481"/>
        <v>1</v>
      </c>
      <c r="BF418" s="1120">
        <f t="shared" si="482"/>
        <v>1</v>
      </c>
      <c r="BG418" s="1120">
        <f t="shared" si="483"/>
        <v>1</v>
      </c>
      <c r="BH418" s="1120">
        <f t="shared" si="484"/>
        <v>1</v>
      </c>
      <c r="BI418" s="1120">
        <f t="shared" si="485"/>
        <v>0</v>
      </c>
      <c r="BJ418" s="1120">
        <f t="shared" si="486"/>
        <v>0</v>
      </c>
      <c r="BK418" s="1120">
        <f t="shared" si="487"/>
        <v>1</v>
      </c>
      <c r="BL418" s="1120">
        <f t="shared" si="488"/>
        <v>1</v>
      </c>
      <c r="BM418" s="1120">
        <f t="shared" si="489"/>
        <v>1</v>
      </c>
      <c r="BN418" s="1120">
        <f t="shared" si="490"/>
        <v>1</v>
      </c>
      <c r="BO418" s="1120">
        <f t="shared" si="491"/>
        <v>0</v>
      </c>
      <c r="BP418" s="1120">
        <f t="shared" si="492"/>
        <v>0</v>
      </c>
      <c r="BQ418" s="1120">
        <f t="shared" si="493"/>
        <v>0</v>
      </c>
      <c r="BR418" s="1120">
        <f t="shared" si="494"/>
        <v>0</v>
      </c>
      <c r="BS418" s="1120">
        <f t="shared" si="495"/>
        <v>0</v>
      </c>
      <c r="BT418" s="1120">
        <f t="shared" si="496"/>
        <v>0</v>
      </c>
      <c r="BU418" s="1120">
        <f t="shared" si="497"/>
        <v>1</v>
      </c>
      <c r="BV418" s="1120">
        <f t="shared" si="498"/>
        <v>1</v>
      </c>
      <c r="BW418" s="1120">
        <f t="shared" si="499"/>
        <v>0</v>
      </c>
      <c r="BX418" s="1120">
        <f t="shared" si="500"/>
        <v>0</v>
      </c>
      <c r="BY418" s="1120">
        <f t="shared" si="501"/>
        <v>1</v>
      </c>
      <c r="BZ418" s="1120">
        <f t="shared" si="502"/>
        <v>1</v>
      </c>
      <c r="CA418" s="1120">
        <f t="shared" si="503"/>
        <v>1</v>
      </c>
      <c r="CB418" s="1120">
        <f t="shared" si="504"/>
        <v>1</v>
      </c>
      <c r="CC418" s="1120">
        <f t="shared" si="505"/>
        <v>1</v>
      </c>
      <c r="CD418" s="1120">
        <f t="shared" si="506"/>
        <v>1</v>
      </c>
      <c r="CE418" s="1120">
        <f t="shared" si="507"/>
        <v>1</v>
      </c>
      <c r="CF418" s="1120">
        <f t="shared" si="508"/>
        <v>1</v>
      </c>
      <c r="CG418" s="1120">
        <f t="shared" si="509"/>
        <v>1</v>
      </c>
      <c r="CH418" s="1120">
        <f t="shared" si="510"/>
        <v>0</v>
      </c>
      <c r="CI418" s="1120">
        <f t="shared" si="511"/>
        <v>0.85</v>
      </c>
      <c r="CJ418" s="1120">
        <f t="shared" si="512"/>
        <v>0.85</v>
      </c>
      <c r="CK418" s="1120">
        <f t="shared" si="513"/>
        <v>0.85</v>
      </c>
      <c r="CL418" s="1120">
        <f t="shared" si="514"/>
        <v>0.85</v>
      </c>
      <c r="CM418" s="1120">
        <f t="shared" si="515"/>
        <v>0.7</v>
      </c>
      <c r="CN418" s="1120">
        <f t="shared" si="516"/>
        <v>0.7</v>
      </c>
      <c r="CO418" s="1120">
        <f t="shared" si="517"/>
        <v>0.7</v>
      </c>
      <c r="CP418" s="1120">
        <f t="shared" si="518"/>
        <v>0.7</v>
      </c>
      <c r="CQ418" s="1120">
        <f t="shared" si="519"/>
        <v>0.7</v>
      </c>
      <c r="CR418" s="1120">
        <f t="shared" si="520"/>
        <v>0.7</v>
      </c>
      <c r="CS418" s="1120">
        <f t="shared" si="521"/>
        <v>0.85</v>
      </c>
      <c r="CT418" s="1120">
        <f t="shared" si="522"/>
        <v>0.85</v>
      </c>
      <c r="CU418" s="1120">
        <v>1</v>
      </c>
      <c r="CV418" s="1120"/>
      <c r="CW418" s="1120">
        <f t="shared" si="523"/>
        <v>275</v>
      </c>
      <c r="CX418" s="1120">
        <f t="shared" si="524"/>
        <v>90</v>
      </c>
      <c r="CY418" s="1136" t="s">
        <v>4883</v>
      </c>
      <c r="CZ418" s="1129" t="s">
        <v>4884</v>
      </c>
      <c r="DA418" s="1129"/>
      <c r="DB418" s="1129"/>
      <c r="DC418" s="1125" t="s">
        <v>6001</v>
      </c>
      <c r="DD418" s="1125" t="s">
        <v>228</v>
      </c>
      <c r="DE418" s="1120" t="b">
        <f t="shared" si="525"/>
        <v>0</v>
      </c>
      <c r="DF418" s="1133">
        <v>0</v>
      </c>
      <c r="DG418" s="1120">
        <v>0</v>
      </c>
    </row>
    <row r="419" spans="1:111">
      <c r="A419" s="1125" t="s">
        <v>3609</v>
      </c>
      <c r="B419" s="1125" t="s">
        <v>4416</v>
      </c>
      <c r="C419" s="1125" t="s">
        <v>4417</v>
      </c>
      <c r="D419" s="1125" t="s">
        <v>228</v>
      </c>
      <c r="E419" s="1125">
        <v>43</v>
      </c>
      <c r="F419" s="1125">
        <v>-95.28</v>
      </c>
      <c r="G419" s="1125">
        <v>29.65</v>
      </c>
      <c r="H419" s="1125">
        <v>-6</v>
      </c>
      <c r="I419" s="1126">
        <v>35.779999828338624</v>
      </c>
      <c r="J419" s="1126">
        <v>93.379997253417969</v>
      </c>
      <c r="K419" s="1127">
        <v>77.539998626708979</v>
      </c>
      <c r="L419" s="1125">
        <v>928.80000000000007</v>
      </c>
      <c r="M419" s="1125">
        <v>2953.8</v>
      </c>
      <c r="N419" s="1128">
        <v>59.719999313354492</v>
      </c>
      <c r="O419" s="1128">
        <v>60.619999313354491</v>
      </c>
      <c r="P419" s="1128">
        <v>61.7</v>
      </c>
      <c r="Q419" s="1128">
        <v>68.900000000000006</v>
      </c>
      <c r="R419" s="1128">
        <v>75.019999313354489</v>
      </c>
      <c r="S419" s="1128">
        <v>80.599999999999994</v>
      </c>
      <c r="T419" s="1128">
        <v>83.119999313354498</v>
      </c>
      <c r="U419" s="1128">
        <v>82.219999313354492</v>
      </c>
      <c r="V419" s="1128">
        <v>77.180000686645513</v>
      </c>
      <c r="W419" s="1128">
        <v>71.780000686645508</v>
      </c>
      <c r="X419" s="1128">
        <v>61.519999313354496</v>
      </c>
      <c r="Y419" s="1128">
        <v>56.3</v>
      </c>
      <c r="Z419" s="1128">
        <v>69.942520320317513</v>
      </c>
      <c r="AA419" s="1128">
        <f t="shared" si="451"/>
        <v>67.206831872750854</v>
      </c>
      <c r="AB419" s="1128">
        <f t="shared" si="452"/>
        <v>67.667728709747223</v>
      </c>
      <c r="AC419" s="1128">
        <f t="shared" si="453"/>
        <v>70.285577498437419</v>
      </c>
      <c r="AD419" s="1128">
        <f t="shared" si="454"/>
        <v>74.377995609778338</v>
      </c>
      <c r="AE419" s="1128">
        <f t="shared" si="455"/>
        <v>78.878231196976898</v>
      </c>
      <c r="AF419" s="1128">
        <f t="shared" si="456"/>
        <v>82.613228503500153</v>
      </c>
      <c r="AG419" s="1128">
        <f t="shared" si="457"/>
        <v>84.60940292335205</v>
      </c>
      <c r="AH419" s="1128">
        <f t="shared" si="458"/>
        <v>84.346420832019234</v>
      </c>
      <c r="AI419" s="1128">
        <f t="shared" si="459"/>
        <v>81.892832564284319</v>
      </c>
      <c r="AJ419" s="1128">
        <f t="shared" si="460"/>
        <v>77.888203713072116</v>
      </c>
      <c r="AK419" s="1128">
        <f t="shared" si="461"/>
        <v>73.376402501649736</v>
      </c>
      <c r="AL419" s="1128">
        <f t="shared" si="462"/>
        <v>69.533499444735725</v>
      </c>
      <c r="AM419" s="1125">
        <f t="shared" si="463"/>
        <v>1</v>
      </c>
      <c r="AN419" s="1125">
        <f t="shared" si="464"/>
        <v>1</v>
      </c>
      <c r="AO419" s="1125">
        <f t="shared" si="465"/>
        <v>1</v>
      </c>
      <c r="AP419" s="1125">
        <f t="shared" si="466"/>
        <v>0</v>
      </c>
      <c r="AQ419" s="1125">
        <f t="shared" si="467"/>
        <v>0</v>
      </c>
      <c r="AR419" s="1125">
        <f t="shared" si="468"/>
        <v>0</v>
      </c>
      <c r="AS419" s="1125">
        <f t="shared" si="469"/>
        <v>0</v>
      </c>
      <c r="AT419" s="1125">
        <f t="shared" si="470"/>
        <v>0</v>
      </c>
      <c r="AU419" s="1125">
        <f t="shared" si="471"/>
        <v>0</v>
      </c>
      <c r="AV419" s="1125">
        <f t="shared" si="472"/>
        <v>0</v>
      </c>
      <c r="AW419" s="1125">
        <f t="shared" si="473"/>
        <v>1</v>
      </c>
      <c r="AX419" s="1125">
        <f t="shared" si="474"/>
        <v>1</v>
      </c>
      <c r="AY419" s="1125">
        <f t="shared" si="475"/>
        <v>0</v>
      </c>
      <c r="AZ419" s="1125">
        <f t="shared" si="476"/>
        <v>0</v>
      </c>
      <c r="BA419" s="1125">
        <f t="shared" si="477"/>
        <v>0</v>
      </c>
      <c r="BB419" s="1125">
        <f t="shared" si="478"/>
        <v>1</v>
      </c>
      <c r="BC419" s="1125">
        <f t="shared" si="479"/>
        <v>1</v>
      </c>
      <c r="BD419" s="1125">
        <f t="shared" si="480"/>
        <v>1</v>
      </c>
      <c r="BE419" s="1125">
        <f t="shared" si="481"/>
        <v>1</v>
      </c>
      <c r="BF419" s="1125">
        <f t="shared" si="482"/>
        <v>1</v>
      </c>
      <c r="BG419" s="1125">
        <f t="shared" si="483"/>
        <v>1</v>
      </c>
      <c r="BH419" s="1125">
        <f t="shared" si="484"/>
        <v>1</v>
      </c>
      <c r="BI419" s="1125">
        <f t="shared" si="485"/>
        <v>0</v>
      </c>
      <c r="BJ419" s="1125">
        <f t="shared" si="486"/>
        <v>0</v>
      </c>
      <c r="BK419" s="1125">
        <f t="shared" si="487"/>
        <v>1</v>
      </c>
      <c r="BL419" s="1125">
        <f t="shared" si="488"/>
        <v>1</v>
      </c>
      <c r="BM419" s="1125">
        <f t="shared" si="489"/>
        <v>1</v>
      </c>
      <c r="BN419" s="1125">
        <f t="shared" si="490"/>
        <v>1</v>
      </c>
      <c r="BO419" s="1125">
        <f t="shared" si="491"/>
        <v>0</v>
      </c>
      <c r="BP419" s="1125">
        <f t="shared" si="492"/>
        <v>0</v>
      </c>
      <c r="BQ419" s="1125">
        <f t="shared" si="493"/>
        <v>0</v>
      </c>
      <c r="BR419" s="1125">
        <f t="shared" si="494"/>
        <v>0</v>
      </c>
      <c r="BS419" s="1125">
        <f t="shared" si="495"/>
        <v>0</v>
      </c>
      <c r="BT419" s="1125">
        <f t="shared" si="496"/>
        <v>0</v>
      </c>
      <c r="BU419" s="1125">
        <f t="shared" si="497"/>
        <v>1</v>
      </c>
      <c r="BV419" s="1125">
        <f t="shared" si="498"/>
        <v>1</v>
      </c>
      <c r="BW419" s="1125">
        <f t="shared" si="499"/>
        <v>0</v>
      </c>
      <c r="BX419" s="1125">
        <f t="shared" si="500"/>
        <v>0</v>
      </c>
      <c r="BY419" s="1125">
        <f t="shared" si="501"/>
        <v>1</v>
      </c>
      <c r="BZ419" s="1125">
        <f t="shared" si="502"/>
        <v>1</v>
      </c>
      <c r="CA419" s="1125">
        <f t="shared" si="503"/>
        <v>1</v>
      </c>
      <c r="CB419" s="1125">
        <f t="shared" si="504"/>
        <v>1</v>
      </c>
      <c r="CC419" s="1125">
        <f t="shared" si="505"/>
        <v>1</v>
      </c>
      <c r="CD419" s="1125">
        <f t="shared" si="506"/>
        <v>1</v>
      </c>
      <c r="CE419" s="1125">
        <f t="shared" si="507"/>
        <v>1</v>
      </c>
      <c r="CF419" s="1125">
        <f t="shared" si="508"/>
        <v>1</v>
      </c>
      <c r="CG419" s="1125">
        <f t="shared" si="509"/>
        <v>1</v>
      </c>
      <c r="CH419" s="1125">
        <f t="shared" si="510"/>
        <v>0</v>
      </c>
      <c r="CI419" s="1125">
        <f t="shared" si="511"/>
        <v>0.85</v>
      </c>
      <c r="CJ419" s="1125">
        <f t="shared" si="512"/>
        <v>0.85</v>
      </c>
      <c r="CK419" s="1125">
        <f t="shared" si="513"/>
        <v>0.85</v>
      </c>
      <c r="CL419" s="1125">
        <f t="shared" si="514"/>
        <v>0.85</v>
      </c>
      <c r="CM419" s="1125">
        <f t="shared" si="515"/>
        <v>0.7</v>
      </c>
      <c r="CN419" s="1125">
        <f t="shared" si="516"/>
        <v>0.7</v>
      </c>
      <c r="CO419" s="1125">
        <f t="shared" si="517"/>
        <v>0.7</v>
      </c>
      <c r="CP419" s="1125">
        <f t="shared" si="518"/>
        <v>0.7</v>
      </c>
      <c r="CQ419" s="1125">
        <f t="shared" si="519"/>
        <v>0.7</v>
      </c>
      <c r="CR419" s="1125">
        <f t="shared" si="520"/>
        <v>0.7</v>
      </c>
      <c r="CS419" s="1125">
        <f t="shared" si="521"/>
        <v>0.85</v>
      </c>
      <c r="CT419" s="1125">
        <f t="shared" si="522"/>
        <v>0.85</v>
      </c>
      <c r="CU419" s="1125">
        <v>1</v>
      </c>
      <c r="CV419" s="1125"/>
      <c r="CW419" s="1125">
        <f t="shared" si="523"/>
        <v>275</v>
      </c>
      <c r="CX419" s="1125">
        <f t="shared" si="524"/>
        <v>90</v>
      </c>
      <c r="CY419" s="1136" t="s">
        <v>4883</v>
      </c>
      <c r="CZ419" s="1129" t="s">
        <v>4884</v>
      </c>
      <c r="DA419" s="1129"/>
      <c r="DB419" s="1129"/>
      <c r="DC419" s="1125" t="s">
        <v>5596</v>
      </c>
      <c r="DD419" s="1125" t="s">
        <v>228</v>
      </c>
      <c r="DE419" s="1120" t="str">
        <f t="shared" si="525"/>
        <v/>
      </c>
      <c r="DF419" s="1133">
        <v>0</v>
      </c>
      <c r="DG419" s="1125">
        <v>0</v>
      </c>
    </row>
    <row r="420" spans="1:111">
      <c r="A420" s="1120" t="s">
        <v>3611</v>
      </c>
      <c r="B420" s="1120" t="s">
        <v>3733</v>
      </c>
      <c r="C420" s="1120" t="s">
        <v>3734</v>
      </c>
      <c r="D420" s="1120" t="s">
        <v>540</v>
      </c>
      <c r="E420" s="1120">
        <v>961</v>
      </c>
      <c r="F420" s="1120">
        <v>-83.98</v>
      </c>
      <c r="G420" s="1120">
        <v>42.63</v>
      </c>
      <c r="H420" s="1120">
        <v>-5</v>
      </c>
      <c r="I420" s="1121">
        <v>6.6199993133544917</v>
      </c>
      <c r="J420" s="1121">
        <v>87.980000686645511</v>
      </c>
      <c r="K420" s="1122">
        <v>71.960001373291021</v>
      </c>
      <c r="L420" s="1120">
        <v>6100.2</v>
      </c>
      <c r="M420" s="1120">
        <v>968.4</v>
      </c>
      <c r="N420" s="1123">
        <v>21.920000171661378</v>
      </c>
      <c r="O420" s="1123">
        <v>26.23999991416931</v>
      </c>
      <c r="P420" s="1123">
        <v>42.97999982833862</v>
      </c>
      <c r="Q420" s="1123">
        <v>50</v>
      </c>
      <c r="R420" s="1123">
        <v>54.680000686645506</v>
      </c>
      <c r="S420" s="1123">
        <v>72.680000686645513</v>
      </c>
      <c r="T420" s="1123">
        <v>75.560001373291016</v>
      </c>
      <c r="U420" s="1123">
        <v>71.960001373291021</v>
      </c>
      <c r="V420" s="1123">
        <v>61.339998626708983</v>
      </c>
      <c r="W420" s="1123">
        <v>51.080000686645505</v>
      </c>
      <c r="X420" s="1123">
        <v>42.440000343322751</v>
      </c>
      <c r="Y420" s="1123">
        <v>31.639999994635581</v>
      </c>
      <c r="Z420" s="1123">
        <v>50.33682223245706</v>
      </c>
      <c r="AA420" s="1123">
        <f t="shared" si="451"/>
        <v>45.390742114283633</v>
      </c>
      <c r="AB420" s="1123">
        <f t="shared" si="452"/>
        <v>43.91257468526296</v>
      </c>
      <c r="AC420" s="1123">
        <f t="shared" si="453"/>
        <v>45.67297884286868</v>
      </c>
      <c r="AD420" s="1123">
        <f t="shared" si="454"/>
        <v>50.213078114771619</v>
      </c>
      <c r="AE420" s="1123">
        <f t="shared" si="455"/>
        <v>56.349425660702671</v>
      </c>
      <c r="AF420" s="1123">
        <f t="shared" si="456"/>
        <v>62.482487928836797</v>
      </c>
      <c r="AG420" s="1123">
        <f t="shared" si="457"/>
        <v>67.01358772563438</v>
      </c>
      <c r="AH420" s="1123">
        <f t="shared" si="458"/>
        <v>68.761624062698658</v>
      </c>
      <c r="AI420" s="1123">
        <f t="shared" si="459"/>
        <v>67.270944330718436</v>
      </c>
      <c r="AJ420" s="1123">
        <f t="shared" si="460"/>
        <v>62.930117173904414</v>
      </c>
      <c r="AK420" s="1123">
        <f t="shared" si="461"/>
        <v>56.870646084851501</v>
      </c>
      <c r="AL420" s="1123">
        <f t="shared" si="462"/>
        <v>50.672025582197406</v>
      </c>
      <c r="AM420" s="1120">
        <f t="shared" si="463"/>
        <v>1</v>
      </c>
      <c r="AN420" s="1120">
        <f t="shared" si="464"/>
        <v>1</v>
      </c>
      <c r="AO420" s="1120">
        <f t="shared" si="465"/>
        <v>1</v>
      </c>
      <c r="AP420" s="1120">
        <f t="shared" si="466"/>
        <v>1</v>
      </c>
      <c r="AQ420" s="1120">
        <f t="shared" si="467"/>
        <v>1</v>
      </c>
      <c r="AR420" s="1120">
        <f t="shared" si="468"/>
        <v>0</v>
      </c>
      <c r="AS420" s="1120">
        <f t="shared" si="469"/>
        <v>0</v>
      </c>
      <c r="AT420" s="1120">
        <f t="shared" si="470"/>
        <v>0</v>
      </c>
      <c r="AU420" s="1120">
        <f t="shared" si="471"/>
        <v>1</v>
      </c>
      <c r="AV420" s="1120">
        <f t="shared" si="472"/>
        <v>1</v>
      </c>
      <c r="AW420" s="1120">
        <f t="shared" si="473"/>
        <v>1</v>
      </c>
      <c r="AX420" s="1120">
        <f t="shared" si="474"/>
        <v>1</v>
      </c>
      <c r="AY420" s="1120">
        <f t="shared" si="475"/>
        <v>0</v>
      </c>
      <c r="AZ420" s="1120">
        <f t="shared" si="476"/>
        <v>0</v>
      </c>
      <c r="BA420" s="1120">
        <f t="shared" si="477"/>
        <v>0</v>
      </c>
      <c r="BB420" s="1120">
        <f t="shared" si="478"/>
        <v>0</v>
      </c>
      <c r="BC420" s="1120">
        <f t="shared" si="479"/>
        <v>0</v>
      </c>
      <c r="BD420" s="1120">
        <f t="shared" si="480"/>
        <v>1</v>
      </c>
      <c r="BE420" s="1120">
        <f t="shared" si="481"/>
        <v>1</v>
      </c>
      <c r="BF420" s="1120">
        <f t="shared" si="482"/>
        <v>1</v>
      </c>
      <c r="BG420" s="1120">
        <f t="shared" si="483"/>
        <v>0</v>
      </c>
      <c r="BH420" s="1120">
        <f t="shared" si="484"/>
        <v>0</v>
      </c>
      <c r="BI420" s="1120">
        <f t="shared" si="485"/>
        <v>0</v>
      </c>
      <c r="BJ420" s="1120">
        <f t="shared" si="486"/>
        <v>0</v>
      </c>
      <c r="BK420" s="1120">
        <f t="shared" si="487"/>
        <v>1</v>
      </c>
      <c r="BL420" s="1120">
        <f t="shared" si="488"/>
        <v>1</v>
      </c>
      <c r="BM420" s="1120">
        <f t="shared" si="489"/>
        <v>1</v>
      </c>
      <c r="BN420" s="1120">
        <f t="shared" si="490"/>
        <v>1</v>
      </c>
      <c r="BO420" s="1120">
        <f t="shared" si="491"/>
        <v>1</v>
      </c>
      <c r="BP420" s="1120">
        <f t="shared" si="492"/>
        <v>1</v>
      </c>
      <c r="BQ420" s="1120">
        <f t="shared" si="493"/>
        <v>0</v>
      </c>
      <c r="BR420" s="1120">
        <f t="shared" si="494"/>
        <v>0</v>
      </c>
      <c r="BS420" s="1120">
        <f t="shared" si="495"/>
        <v>1</v>
      </c>
      <c r="BT420" s="1120">
        <f t="shared" si="496"/>
        <v>1</v>
      </c>
      <c r="BU420" s="1120">
        <f t="shared" si="497"/>
        <v>1</v>
      </c>
      <c r="BV420" s="1120">
        <f t="shared" si="498"/>
        <v>1</v>
      </c>
      <c r="BW420" s="1120">
        <f t="shared" si="499"/>
        <v>0</v>
      </c>
      <c r="BX420" s="1120">
        <f t="shared" si="500"/>
        <v>0</v>
      </c>
      <c r="BY420" s="1120">
        <f t="shared" si="501"/>
        <v>0</v>
      </c>
      <c r="BZ420" s="1120">
        <f t="shared" si="502"/>
        <v>0</v>
      </c>
      <c r="CA420" s="1120">
        <f t="shared" si="503"/>
        <v>1</v>
      </c>
      <c r="CB420" s="1120">
        <f t="shared" si="504"/>
        <v>1</v>
      </c>
      <c r="CC420" s="1120">
        <f t="shared" si="505"/>
        <v>1</v>
      </c>
      <c r="CD420" s="1120">
        <f t="shared" si="506"/>
        <v>1</v>
      </c>
      <c r="CE420" s="1120">
        <f t="shared" si="507"/>
        <v>1</v>
      </c>
      <c r="CF420" s="1120">
        <f t="shared" si="508"/>
        <v>0</v>
      </c>
      <c r="CG420" s="1120">
        <f t="shared" si="509"/>
        <v>0</v>
      </c>
      <c r="CH420" s="1120">
        <f t="shared" si="510"/>
        <v>0</v>
      </c>
      <c r="CI420" s="1120">
        <f t="shared" si="511"/>
        <v>0.85</v>
      </c>
      <c r="CJ420" s="1120">
        <f t="shared" si="512"/>
        <v>0.85</v>
      </c>
      <c r="CK420" s="1120">
        <f t="shared" si="513"/>
        <v>0.85</v>
      </c>
      <c r="CL420" s="1120">
        <f t="shared" si="514"/>
        <v>0.85</v>
      </c>
      <c r="CM420" s="1120">
        <f t="shared" si="515"/>
        <v>0.85</v>
      </c>
      <c r="CN420" s="1120">
        <f t="shared" si="516"/>
        <v>0.85</v>
      </c>
      <c r="CO420" s="1120">
        <f t="shared" si="517"/>
        <v>0.7</v>
      </c>
      <c r="CP420" s="1120">
        <f t="shared" si="518"/>
        <v>0.7</v>
      </c>
      <c r="CQ420" s="1120">
        <f t="shared" si="519"/>
        <v>0.85</v>
      </c>
      <c r="CR420" s="1120">
        <f t="shared" si="520"/>
        <v>0.85</v>
      </c>
      <c r="CS420" s="1120">
        <f t="shared" si="521"/>
        <v>0.85</v>
      </c>
      <c r="CT420" s="1120">
        <f t="shared" si="522"/>
        <v>0.85</v>
      </c>
      <c r="CU420" s="1120">
        <v>1</v>
      </c>
      <c r="CV420" s="1120"/>
      <c r="CW420" s="1120">
        <f t="shared" si="523"/>
        <v>153</v>
      </c>
      <c r="CX420" s="1120">
        <f t="shared" si="524"/>
        <v>212</v>
      </c>
      <c r="CY420" s="1135" t="s">
        <v>4889</v>
      </c>
      <c r="CZ420" s="1124" t="s">
        <v>4897</v>
      </c>
      <c r="DA420" s="1124"/>
      <c r="DB420" s="1124"/>
      <c r="DC420" s="1120" t="s">
        <v>5307</v>
      </c>
      <c r="DD420" s="1120" t="s">
        <v>540</v>
      </c>
      <c r="DE420" s="1120" t="str">
        <f t="shared" si="525"/>
        <v/>
      </c>
      <c r="DF420" s="1133">
        <v>0</v>
      </c>
      <c r="DG420" s="1120">
        <v>0</v>
      </c>
    </row>
    <row r="421" spans="1:111">
      <c r="A421" s="1125" t="s">
        <v>3613</v>
      </c>
      <c r="B421" s="1120" t="s">
        <v>3374</v>
      </c>
      <c r="C421" s="1120" t="s">
        <v>3375</v>
      </c>
      <c r="D421" s="1120" t="s">
        <v>428</v>
      </c>
      <c r="E421" s="1120">
        <v>43</v>
      </c>
      <c r="F421" s="1120">
        <v>-81.150000000000006</v>
      </c>
      <c r="G421" s="1120">
        <v>32</v>
      </c>
      <c r="H421" s="1120">
        <v>-5</v>
      </c>
      <c r="I421" s="1121">
        <v>31.81999999731779</v>
      </c>
      <c r="J421" s="1121">
        <v>93.379997253417969</v>
      </c>
      <c r="K421" s="1122">
        <v>77</v>
      </c>
      <c r="L421" s="1120">
        <v>2176.2000000000003</v>
      </c>
      <c r="M421" s="1120">
        <v>2331</v>
      </c>
      <c r="N421" s="1123">
        <v>46.940000343322751</v>
      </c>
      <c r="O421" s="1123">
        <v>53.240000343322755</v>
      </c>
      <c r="P421" s="1123">
        <v>55.580000686645505</v>
      </c>
      <c r="Q421" s="1123">
        <v>62.960001373291014</v>
      </c>
      <c r="R421" s="1123">
        <v>75.2</v>
      </c>
      <c r="S421" s="1123">
        <v>78.439998626708984</v>
      </c>
      <c r="T421" s="1123">
        <v>81.319999313354487</v>
      </c>
      <c r="U421" s="1123">
        <v>79.7</v>
      </c>
      <c r="V421" s="1123">
        <v>76.099999999999994</v>
      </c>
      <c r="W421" s="1123">
        <v>66.2</v>
      </c>
      <c r="X421" s="1123">
        <v>57.019999313354489</v>
      </c>
      <c r="Y421" s="1123">
        <v>44.6</v>
      </c>
      <c r="Z421" s="1123">
        <v>64.827561642895006</v>
      </c>
      <c r="AA421" s="1123">
        <f t="shared" si="451"/>
        <v>59.990133315789222</v>
      </c>
      <c r="AB421" s="1123">
        <f t="shared" si="452"/>
        <v>60.071333073608493</v>
      </c>
      <c r="AC421" s="1123">
        <f t="shared" si="453"/>
        <v>62.956309566512019</v>
      </c>
      <c r="AD421" s="1123">
        <f t="shared" si="454"/>
        <v>67.89304921279097</v>
      </c>
      <c r="AE421" s="1123">
        <f t="shared" si="455"/>
        <v>73.59471474618195</v>
      </c>
      <c r="AF421" s="1123">
        <f t="shared" si="456"/>
        <v>78.575079180081076</v>
      </c>
      <c r="AG421" s="1123">
        <f t="shared" si="457"/>
        <v>81.535933775053408</v>
      </c>
      <c r="AH421" s="1123">
        <f t="shared" si="458"/>
        <v>81.705486152768955</v>
      </c>
      <c r="AI421" s="1123">
        <f t="shared" si="459"/>
        <v>79.039539873094924</v>
      </c>
      <c r="AJ421" s="1123">
        <f t="shared" si="460"/>
        <v>74.233014917304104</v>
      </c>
      <c r="AK421" s="1123">
        <f t="shared" si="461"/>
        <v>68.538806085915041</v>
      </c>
      <c r="AL421" s="1123">
        <f t="shared" si="462"/>
        <v>63.441196661243588</v>
      </c>
      <c r="AM421" s="1120">
        <f t="shared" si="463"/>
        <v>1</v>
      </c>
      <c r="AN421" s="1120">
        <f t="shared" si="464"/>
        <v>1</v>
      </c>
      <c r="AO421" s="1120">
        <f t="shared" si="465"/>
        <v>1</v>
      </c>
      <c r="AP421" s="1120">
        <f t="shared" si="466"/>
        <v>1</v>
      </c>
      <c r="AQ421" s="1120">
        <f t="shared" si="467"/>
        <v>0</v>
      </c>
      <c r="AR421" s="1120">
        <f t="shared" si="468"/>
        <v>0</v>
      </c>
      <c r="AS421" s="1120">
        <f t="shared" si="469"/>
        <v>0</v>
      </c>
      <c r="AT421" s="1120">
        <f t="shared" si="470"/>
        <v>0</v>
      </c>
      <c r="AU421" s="1120">
        <f t="shared" si="471"/>
        <v>0</v>
      </c>
      <c r="AV421" s="1120">
        <f t="shared" si="472"/>
        <v>0</v>
      </c>
      <c r="AW421" s="1120">
        <f t="shared" si="473"/>
        <v>1</v>
      </c>
      <c r="AX421" s="1120">
        <f t="shared" si="474"/>
        <v>1</v>
      </c>
      <c r="AY421" s="1120">
        <f t="shared" si="475"/>
        <v>0</v>
      </c>
      <c r="AZ421" s="1120">
        <f t="shared" si="476"/>
        <v>0</v>
      </c>
      <c r="BA421" s="1120">
        <f t="shared" si="477"/>
        <v>0</v>
      </c>
      <c r="BB421" s="1120">
        <f t="shared" si="478"/>
        <v>0</v>
      </c>
      <c r="BC421" s="1120">
        <f t="shared" si="479"/>
        <v>1</v>
      </c>
      <c r="BD421" s="1120">
        <f t="shared" si="480"/>
        <v>1</v>
      </c>
      <c r="BE421" s="1120">
        <f t="shared" si="481"/>
        <v>1</v>
      </c>
      <c r="BF421" s="1120">
        <f t="shared" si="482"/>
        <v>1</v>
      </c>
      <c r="BG421" s="1120">
        <f t="shared" si="483"/>
        <v>1</v>
      </c>
      <c r="BH421" s="1120">
        <f t="shared" si="484"/>
        <v>1</v>
      </c>
      <c r="BI421" s="1120">
        <f t="shared" si="485"/>
        <v>0</v>
      </c>
      <c r="BJ421" s="1120">
        <f t="shared" si="486"/>
        <v>0</v>
      </c>
      <c r="BK421" s="1120">
        <f t="shared" si="487"/>
        <v>1</v>
      </c>
      <c r="BL421" s="1120">
        <f t="shared" si="488"/>
        <v>1</v>
      </c>
      <c r="BM421" s="1120">
        <f t="shared" si="489"/>
        <v>1</v>
      </c>
      <c r="BN421" s="1120">
        <f t="shared" si="490"/>
        <v>1</v>
      </c>
      <c r="BO421" s="1120">
        <f t="shared" si="491"/>
        <v>1</v>
      </c>
      <c r="BP421" s="1120">
        <f t="shared" si="492"/>
        <v>0</v>
      </c>
      <c r="BQ421" s="1120">
        <f t="shared" si="493"/>
        <v>0</v>
      </c>
      <c r="BR421" s="1120">
        <f t="shared" si="494"/>
        <v>0</v>
      </c>
      <c r="BS421" s="1120">
        <f t="shared" si="495"/>
        <v>0</v>
      </c>
      <c r="BT421" s="1120">
        <f t="shared" si="496"/>
        <v>0</v>
      </c>
      <c r="BU421" s="1120">
        <f t="shared" si="497"/>
        <v>1</v>
      </c>
      <c r="BV421" s="1120">
        <f t="shared" si="498"/>
        <v>1</v>
      </c>
      <c r="BW421" s="1120">
        <f t="shared" si="499"/>
        <v>0</v>
      </c>
      <c r="BX421" s="1120">
        <f t="shared" si="500"/>
        <v>0</v>
      </c>
      <c r="BY421" s="1120">
        <f t="shared" si="501"/>
        <v>0</v>
      </c>
      <c r="BZ421" s="1120">
        <f t="shared" si="502"/>
        <v>1</v>
      </c>
      <c r="CA421" s="1120">
        <f t="shared" si="503"/>
        <v>1</v>
      </c>
      <c r="CB421" s="1120">
        <f t="shared" si="504"/>
        <v>1</v>
      </c>
      <c r="CC421" s="1120">
        <f t="shared" si="505"/>
        <v>1</v>
      </c>
      <c r="CD421" s="1120">
        <f t="shared" si="506"/>
        <v>1</v>
      </c>
      <c r="CE421" s="1120">
        <f t="shared" si="507"/>
        <v>1</v>
      </c>
      <c r="CF421" s="1120">
        <f t="shared" si="508"/>
        <v>1</v>
      </c>
      <c r="CG421" s="1120">
        <f t="shared" si="509"/>
        <v>1</v>
      </c>
      <c r="CH421" s="1120">
        <f t="shared" si="510"/>
        <v>0</v>
      </c>
      <c r="CI421" s="1120">
        <f t="shared" si="511"/>
        <v>0.85</v>
      </c>
      <c r="CJ421" s="1120">
        <f t="shared" si="512"/>
        <v>0.85</v>
      </c>
      <c r="CK421" s="1120">
        <f t="shared" si="513"/>
        <v>0.85</v>
      </c>
      <c r="CL421" s="1120">
        <f t="shared" si="514"/>
        <v>0.85</v>
      </c>
      <c r="CM421" s="1120">
        <f t="shared" si="515"/>
        <v>0.85</v>
      </c>
      <c r="CN421" s="1120">
        <f t="shared" si="516"/>
        <v>0.7</v>
      </c>
      <c r="CO421" s="1120">
        <f t="shared" si="517"/>
        <v>0.7</v>
      </c>
      <c r="CP421" s="1120">
        <f t="shared" si="518"/>
        <v>0.7</v>
      </c>
      <c r="CQ421" s="1120">
        <f t="shared" si="519"/>
        <v>0.7</v>
      </c>
      <c r="CR421" s="1120">
        <f t="shared" si="520"/>
        <v>0.7</v>
      </c>
      <c r="CS421" s="1120">
        <f t="shared" si="521"/>
        <v>0.85</v>
      </c>
      <c r="CT421" s="1120">
        <f t="shared" si="522"/>
        <v>0.85</v>
      </c>
      <c r="CU421" s="1120">
        <v>1</v>
      </c>
      <c r="CV421" s="1120"/>
      <c r="CW421" s="1120">
        <f t="shared" si="523"/>
        <v>244</v>
      </c>
      <c r="CX421" s="1120">
        <f t="shared" si="524"/>
        <v>121</v>
      </c>
      <c r="CY421" s="1136" t="s">
        <v>4883</v>
      </c>
      <c r="CZ421" s="1129" t="s">
        <v>4884</v>
      </c>
      <c r="DA421" s="1129"/>
      <c r="DB421" s="1129"/>
      <c r="DC421" s="1125" t="s">
        <v>5141</v>
      </c>
      <c r="DD421" s="1125" t="s">
        <v>428</v>
      </c>
      <c r="DE421" s="1120" t="str">
        <f t="shared" si="525"/>
        <v/>
      </c>
      <c r="DF421" s="1133">
        <v>0</v>
      </c>
      <c r="DG421" s="1125">
        <v>0</v>
      </c>
    </row>
    <row r="422" spans="1:111">
      <c r="A422" s="1120" t="s">
        <v>3617</v>
      </c>
      <c r="B422" s="1125" t="s">
        <v>3539</v>
      </c>
      <c r="C422" s="1125" t="s">
        <v>3540</v>
      </c>
      <c r="D422" s="1125" t="s">
        <v>283</v>
      </c>
      <c r="E422" s="1125">
        <v>528</v>
      </c>
      <c r="F422" s="1125">
        <v>-86.95</v>
      </c>
      <c r="G422" s="1125">
        <v>38.25</v>
      </c>
      <c r="H422" s="1125">
        <v>-5</v>
      </c>
      <c r="I422" s="1126">
        <v>13.819999313354492</v>
      </c>
      <c r="J422" s="1126">
        <v>89.960001373291021</v>
      </c>
      <c r="K422" s="1127">
        <v>76.099999999999994</v>
      </c>
      <c r="L422" s="1125">
        <v>4057.2000000000003</v>
      </c>
      <c r="M422" s="1125">
        <v>1486.8</v>
      </c>
      <c r="N422" s="1128">
        <v>40.279999828338624</v>
      </c>
      <c r="O422" s="1128">
        <v>38.299999999999997</v>
      </c>
      <c r="P422" s="1128">
        <v>49.280000686645508</v>
      </c>
      <c r="Q422" s="1128">
        <v>50.9</v>
      </c>
      <c r="R422" s="1128">
        <v>66.560001373291016</v>
      </c>
      <c r="S422" s="1128">
        <v>75.2</v>
      </c>
      <c r="T422" s="1128">
        <v>75.380000686645502</v>
      </c>
      <c r="U422" s="1128">
        <v>77</v>
      </c>
      <c r="V422" s="1128">
        <v>71.599999999999994</v>
      </c>
      <c r="W422" s="1128">
        <v>59.719999313354492</v>
      </c>
      <c r="X422" s="1128">
        <v>45.679999828338623</v>
      </c>
      <c r="Y422" s="1128">
        <v>37.039999914169314</v>
      </c>
      <c r="Z422" s="1128">
        <v>57.361260412947772</v>
      </c>
      <c r="AA422" s="1128">
        <f t="shared" si="451"/>
        <v>53.430381596232962</v>
      </c>
      <c r="AB422" s="1128">
        <f t="shared" si="452"/>
        <v>52.809858387082649</v>
      </c>
      <c r="AC422" s="1128">
        <f t="shared" si="453"/>
        <v>54.939720718001226</v>
      </c>
      <c r="AD422" s="1128">
        <f t="shared" si="454"/>
        <v>59.26478715026272</v>
      </c>
      <c r="AE422" s="1128">
        <f t="shared" si="455"/>
        <v>64.657662467006944</v>
      </c>
      <c r="AF422" s="1128">
        <f t="shared" si="456"/>
        <v>69.712610610200258</v>
      </c>
      <c r="AG422" s="1128">
        <f t="shared" si="457"/>
        <v>73.111981447210439</v>
      </c>
      <c r="AH422" s="1128">
        <f t="shared" si="458"/>
        <v>73.969676583480492</v>
      </c>
      <c r="AI422" s="1128">
        <f t="shared" si="459"/>
        <v>72.062124564259506</v>
      </c>
      <c r="AJ422" s="1128">
        <f t="shared" si="460"/>
        <v>67.886558219623822</v>
      </c>
      <c r="AK422" s="1128">
        <f t="shared" si="461"/>
        <v>62.531403264727913</v>
      </c>
      <c r="AL422" s="1128">
        <f t="shared" si="462"/>
        <v>57.392563364001276</v>
      </c>
      <c r="AM422" s="1125">
        <f t="shared" si="463"/>
        <v>1</v>
      </c>
      <c r="AN422" s="1125">
        <f t="shared" si="464"/>
        <v>1</v>
      </c>
      <c r="AO422" s="1125">
        <f t="shared" si="465"/>
        <v>1</v>
      </c>
      <c r="AP422" s="1125">
        <f t="shared" si="466"/>
        <v>1</v>
      </c>
      <c r="AQ422" s="1125">
        <f t="shared" si="467"/>
        <v>0</v>
      </c>
      <c r="AR422" s="1125">
        <f t="shared" si="468"/>
        <v>0</v>
      </c>
      <c r="AS422" s="1125">
        <f t="shared" si="469"/>
        <v>0</v>
      </c>
      <c r="AT422" s="1125">
        <f t="shared" si="470"/>
        <v>0</v>
      </c>
      <c r="AU422" s="1125">
        <f t="shared" si="471"/>
        <v>0</v>
      </c>
      <c r="AV422" s="1125">
        <f t="shared" si="472"/>
        <v>1</v>
      </c>
      <c r="AW422" s="1125">
        <f t="shared" si="473"/>
        <v>1</v>
      </c>
      <c r="AX422" s="1125">
        <f t="shared" si="474"/>
        <v>1</v>
      </c>
      <c r="AY422" s="1125">
        <f t="shared" si="475"/>
        <v>0</v>
      </c>
      <c r="AZ422" s="1125">
        <f t="shared" si="476"/>
        <v>0</v>
      </c>
      <c r="BA422" s="1125">
        <f t="shared" si="477"/>
        <v>0</v>
      </c>
      <c r="BB422" s="1125">
        <f t="shared" si="478"/>
        <v>0</v>
      </c>
      <c r="BC422" s="1125">
        <f t="shared" si="479"/>
        <v>1</v>
      </c>
      <c r="BD422" s="1125">
        <f t="shared" si="480"/>
        <v>1</v>
      </c>
      <c r="BE422" s="1125">
        <f t="shared" si="481"/>
        <v>1</v>
      </c>
      <c r="BF422" s="1125">
        <f t="shared" si="482"/>
        <v>1</v>
      </c>
      <c r="BG422" s="1125">
        <f t="shared" si="483"/>
        <v>1</v>
      </c>
      <c r="BH422" s="1125">
        <f t="shared" si="484"/>
        <v>0</v>
      </c>
      <c r="BI422" s="1125">
        <f t="shared" si="485"/>
        <v>0</v>
      </c>
      <c r="BJ422" s="1125">
        <f t="shared" si="486"/>
        <v>0</v>
      </c>
      <c r="BK422" s="1125">
        <f t="shared" si="487"/>
        <v>1</v>
      </c>
      <c r="BL422" s="1125">
        <f t="shared" si="488"/>
        <v>1</v>
      </c>
      <c r="BM422" s="1125">
        <f t="shared" si="489"/>
        <v>1</v>
      </c>
      <c r="BN422" s="1125">
        <f t="shared" si="490"/>
        <v>1</v>
      </c>
      <c r="BO422" s="1125">
        <f t="shared" si="491"/>
        <v>1</v>
      </c>
      <c r="BP422" s="1125">
        <f t="shared" si="492"/>
        <v>0</v>
      </c>
      <c r="BQ422" s="1125">
        <f t="shared" si="493"/>
        <v>0</v>
      </c>
      <c r="BR422" s="1125">
        <f t="shared" si="494"/>
        <v>0</v>
      </c>
      <c r="BS422" s="1125">
        <f t="shared" si="495"/>
        <v>0</v>
      </c>
      <c r="BT422" s="1125">
        <f t="shared" si="496"/>
        <v>1</v>
      </c>
      <c r="BU422" s="1125">
        <f t="shared" si="497"/>
        <v>1</v>
      </c>
      <c r="BV422" s="1125">
        <f t="shared" si="498"/>
        <v>1</v>
      </c>
      <c r="BW422" s="1125">
        <f t="shared" si="499"/>
        <v>0</v>
      </c>
      <c r="BX422" s="1125">
        <f t="shared" si="500"/>
        <v>0</v>
      </c>
      <c r="BY422" s="1125">
        <f t="shared" si="501"/>
        <v>0</v>
      </c>
      <c r="BZ422" s="1125">
        <f t="shared" si="502"/>
        <v>1</v>
      </c>
      <c r="CA422" s="1125">
        <f t="shared" si="503"/>
        <v>1</v>
      </c>
      <c r="CB422" s="1125">
        <f t="shared" si="504"/>
        <v>1</v>
      </c>
      <c r="CC422" s="1125">
        <f t="shared" si="505"/>
        <v>1</v>
      </c>
      <c r="CD422" s="1125">
        <f t="shared" si="506"/>
        <v>1</v>
      </c>
      <c r="CE422" s="1125">
        <f t="shared" si="507"/>
        <v>1</v>
      </c>
      <c r="CF422" s="1125">
        <f t="shared" si="508"/>
        <v>1</v>
      </c>
      <c r="CG422" s="1125">
        <f t="shared" si="509"/>
        <v>0</v>
      </c>
      <c r="CH422" s="1125">
        <f t="shared" si="510"/>
        <v>0</v>
      </c>
      <c r="CI422" s="1125">
        <f t="shared" si="511"/>
        <v>0.85</v>
      </c>
      <c r="CJ422" s="1125">
        <f t="shared" si="512"/>
        <v>0.85</v>
      </c>
      <c r="CK422" s="1125">
        <f t="shared" si="513"/>
        <v>0.85</v>
      </c>
      <c r="CL422" s="1125">
        <f t="shared" si="514"/>
        <v>0.85</v>
      </c>
      <c r="CM422" s="1125">
        <f t="shared" si="515"/>
        <v>0.85</v>
      </c>
      <c r="CN422" s="1125">
        <f t="shared" si="516"/>
        <v>0.7</v>
      </c>
      <c r="CO422" s="1125">
        <f t="shared" si="517"/>
        <v>0.7</v>
      </c>
      <c r="CP422" s="1125">
        <f t="shared" si="518"/>
        <v>0.7</v>
      </c>
      <c r="CQ422" s="1125">
        <f t="shared" si="519"/>
        <v>0.7</v>
      </c>
      <c r="CR422" s="1125">
        <f t="shared" si="520"/>
        <v>0.85</v>
      </c>
      <c r="CS422" s="1125">
        <f t="shared" si="521"/>
        <v>0.85</v>
      </c>
      <c r="CT422" s="1125">
        <f t="shared" si="522"/>
        <v>0.85</v>
      </c>
      <c r="CU422" s="1125">
        <v>1</v>
      </c>
      <c r="CV422" s="1125"/>
      <c r="CW422" s="1125">
        <f t="shared" si="523"/>
        <v>214</v>
      </c>
      <c r="CX422" s="1125">
        <f t="shared" si="524"/>
        <v>151</v>
      </c>
      <c r="CY422" s="1136" t="s">
        <v>4881</v>
      </c>
      <c r="CZ422" s="1129" t="s">
        <v>4885</v>
      </c>
      <c r="DA422" s="1129"/>
      <c r="DB422" s="1129"/>
      <c r="DC422" s="1125" t="s">
        <v>5220</v>
      </c>
      <c r="DD422" s="1125" t="s">
        <v>283</v>
      </c>
      <c r="DE422" s="1120" t="str">
        <f t="shared" si="525"/>
        <v/>
      </c>
      <c r="DF422" s="1133">
        <v>0</v>
      </c>
      <c r="DG422" s="1120">
        <v>0</v>
      </c>
    </row>
    <row r="423" spans="1:111">
      <c r="A423" s="1125" t="s">
        <v>3619</v>
      </c>
      <c r="B423" s="1120" t="s">
        <v>4653</v>
      </c>
      <c r="C423" s="1120" t="s">
        <v>4654</v>
      </c>
      <c r="D423" s="1120" t="s">
        <v>513</v>
      </c>
      <c r="E423" s="1120">
        <v>830</v>
      </c>
      <c r="F423" s="1120">
        <v>-82.55</v>
      </c>
      <c r="G423" s="1120">
        <v>38.380000000000003</v>
      </c>
      <c r="H423" s="1120">
        <v>-5</v>
      </c>
      <c r="I423" s="1121">
        <v>14.540000343322754</v>
      </c>
      <c r="J423" s="1121">
        <v>89.419999313354495</v>
      </c>
      <c r="K423" s="1122">
        <v>73.400000000000006</v>
      </c>
      <c r="L423" s="1120">
        <v>4469.4000000000005</v>
      </c>
      <c r="M423" s="1120">
        <v>1128.6000000000001</v>
      </c>
      <c r="N423" s="1123">
        <v>32.9</v>
      </c>
      <c r="O423" s="1123">
        <v>34.700000000000003</v>
      </c>
      <c r="P423" s="1123">
        <v>47.659999656677243</v>
      </c>
      <c r="Q423" s="1123">
        <v>55.580000686645505</v>
      </c>
      <c r="R423" s="1123">
        <v>64.400000000000006</v>
      </c>
      <c r="S423" s="1123">
        <v>72.139998626708987</v>
      </c>
      <c r="T423" s="1123">
        <v>75.919999313354495</v>
      </c>
      <c r="U423" s="1123">
        <v>73.219999313354492</v>
      </c>
      <c r="V423" s="1123">
        <v>66.2</v>
      </c>
      <c r="W423" s="1123">
        <v>55.4</v>
      </c>
      <c r="X423" s="1123">
        <v>46.580000686645505</v>
      </c>
      <c r="Y423" s="1123">
        <v>36.679999828338623</v>
      </c>
      <c r="Z423" s="1123">
        <v>55.227890250584849</v>
      </c>
      <c r="AA423" s="1123">
        <f t="shared" si="451"/>
        <v>51.118046908953119</v>
      </c>
      <c r="AB423" s="1123">
        <f t="shared" si="452"/>
        <v>50.271996634489199</v>
      </c>
      <c r="AC423" s="1123">
        <f t="shared" si="453"/>
        <v>52.281768866491845</v>
      </c>
      <c r="AD423" s="1123">
        <f t="shared" si="454"/>
        <v>56.623485501161959</v>
      </c>
      <c r="AE423" s="1123">
        <f t="shared" si="455"/>
        <v>62.165411189794163</v>
      </c>
      <c r="AF423" s="1123">
        <f t="shared" si="456"/>
        <v>67.46295759798646</v>
      </c>
      <c r="AG423" s="1123">
        <f t="shared" si="457"/>
        <v>71.13523761678222</v>
      </c>
      <c r="AH423" s="1123">
        <f t="shared" si="458"/>
        <v>72.225014867734245</v>
      </c>
      <c r="AI423" s="1123">
        <f t="shared" si="459"/>
        <v>70.448222116406086</v>
      </c>
      <c r="AJ423" s="1123">
        <f t="shared" si="460"/>
        <v>66.268007774636544</v>
      </c>
      <c r="AK423" s="1123">
        <f t="shared" si="461"/>
        <v>60.774009129660826</v>
      </c>
      <c r="AL423" s="1123">
        <f t="shared" si="462"/>
        <v>55.398321593373744</v>
      </c>
      <c r="AM423" s="1120">
        <f t="shared" si="463"/>
        <v>1</v>
      </c>
      <c r="AN423" s="1120">
        <f t="shared" si="464"/>
        <v>1</v>
      </c>
      <c r="AO423" s="1120">
        <f t="shared" si="465"/>
        <v>1</v>
      </c>
      <c r="AP423" s="1120">
        <f t="shared" si="466"/>
        <v>1</v>
      </c>
      <c r="AQ423" s="1120">
        <f t="shared" si="467"/>
        <v>1</v>
      </c>
      <c r="AR423" s="1120">
        <f t="shared" si="468"/>
        <v>0</v>
      </c>
      <c r="AS423" s="1120">
        <f t="shared" si="469"/>
        <v>0</v>
      </c>
      <c r="AT423" s="1120">
        <f t="shared" si="470"/>
        <v>0</v>
      </c>
      <c r="AU423" s="1120">
        <f t="shared" si="471"/>
        <v>0</v>
      </c>
      <c r="AV423" s="1120">
        <f t="shared" si="472"/>
        <v>1</v>
      </c>
      <c r="AW423" s="1120">
        <f t="shared" si="473"/>
        <v>1</v>
      </c>
      <c r="AX423" s="1120">
        <f t="shared" si="474"/>
        <v>1</v>
      </c>
      <c r="AY423" s="1120">
        <f t="shared" si="475"/>
        <v>0</v>
      </c>
      <c r="AZ423" s="1120">
        <f t="shared" si="476"/>
        <v>0</v>
      </c>
      <c r="BA423" s="1120">
        <f t="shared" si="477"/>
        <v>0</v>
      </c>
      <c r="BB423" s="1120">
        <f t="shared" si="478"/>
        <v>0</v>
      </c>
      <c r="BC423" s="1120">
        <f t="shared" si="479"/>
        <v>0</v>
      </c>
      <c r="BD423" s="1120">
        <f t="shared" si="480"/>
        <v>1</v>
      </c>
      <c r="BE423" s="1120">
        <f t="shared" si="481"/>
        <v>1</v>
      </c>
      <c r="BF423" s="1120">
        <f t="shared" si="482"/>
        <v>1</v>
      </c>
      <c r="BG423" s="1120">
        <f t="shared" si="483"/>
        <v>1</v>
      </c>
      <c r="BH423" s="1120">
        <f t="shared" si="484"/>
        <v>0</v>
      </c>
      <c r="BI423" s="1120">
        <f t="shared" si="485"/>
        <v>0</v>
      </c>
      <c r="BJ423" s="1120">
        <f t="shared" si="486"/>
        <v>0</v>
      </c>
      <c r="BK423" s="1120">
        <f t="shared" si="487"/>
        <v>1</v>
      </c>
      <c r="BL423" s="1120">
        <f t="shared" si="488"/>
        <v>1</v>
      </c>
      <c r="BM423" s="1120">
        <f t="shared" si="489"/>
        <v>1</v>
      </c>
      <c r="BN423" s="1120">
        <f t="shared" si="490"/>
        <v>1</v>
      </c>
      <c r="BO423" s="1120">
        <f t="shared" si="491"/>
        <v>1</v>
      </c>
      <c r="BP423" s="1120">
        <f t="shared" si="492"/>
        <v>1</v>
      </c>
      <c r="BQ423" s="1120">
        <f t="shared" si="493"/>
        <v>0</v>
      </c>
      <c r="BR423" s="1120">
        <f t="shared" si="494"/>
        <v>0</v>
      </c>
      <c r="BS423" s="1120">
        <f t="shared" si="495"/>
        <v>0</v>
      </c>
      <c r="BT423" s="1120">
        <f t="shared" si="496"/>
        <v>1</v>
      </c>
      <c r="BU423" s="1120">
        <f t="shared" si="497"/>
        <v>1</v>
      </c>
      <c r="BV423" s="1120">
        <f t="shared" si="498"/>
        <v>1</v>
      </c>
      <c r="BW423" s="1120">
        <f t="shared" si="499"/>
        <v>0</v>
      </c>
      <c r="BX423" s="1120">
        <f t="shared" si="500"/>
        <v>0</v>
      </c>
      <c r="BY423" s="1120">
        <f t="shared" si="501"/>
        <v>0</v>
      </c>
      <c r="BZ423" s="1120">
        <f t="shared" si="502"/>
        <v>0</v>
      </c>
      <c r="CA423" s="1120">
        <f t="shared" si="503"/>
        <v>1</v>
      </c>
      <c r="CB423" s="1120">
        <f t="shared" si="504"/>
        <v>1</v>
      </c>
      <c r="CC423" s="1120">
        <f t="shared" si="505"/>
        <v>1</v>
      </c>
      <c r="CD423" s="1120">
        <f t="shared" si="506"/>
        <v>1</v>
      </c>
      <c r="CE423" s="1120">
        <f t="shared" si="507"/>
        <v>1</v>
      </c>
      <c r="CF423" s="1120">
        <f t="shared" si="508"/>
        <v>1</v>
      </c>
      <c r="CG423" s="1120">
        <f t="shared" si="509"/>
        <v>0</v>
      </c>
      <c r="CH423" s="1120">
        <f t="shared" si="510"/>
        <v>0</v>
      </c>
      <c r="CI423" s="1120">
        <f t="shared" si="511"/>
        <v>0.85</v>
      </c>
      <c r="CJ423" s="1120">
        <f t="shared" si="512"/>
        <v>0.85</v>
      </c>
      <c r="CK423" s="1120">
        <f t="shared" si="513"/>
        <v>0.85</v>
      </c>
      <c r="CL423" s="1120">
        <f t="shared" si="514"/>
        <v>0.85</v>
      </c>
      <c r="CM423" s="1120">
        <f t="shared" si="515"/>
        <v>0.85</v>
      </c>
      <c r="CN423" s="1120">
        <f t="shared" si="516"/>
        <v>0.85</v>
      </c>
      <c r="CO423" s="1120">
        <f t="shared" si="517"/>
        <v>0.7</v>
      </c>
      <c r="CP423" s="1120">
        <f t="shared" si="518"/>
        <v>0.7</v>
      </c>
      <c r="CQ423" s="1120">
        <f t="shared" si="519"/>
        <v>0.7</v>
      </c>
      <c r="CR423" s="1120">
        <f t="shared" si="520"/>
        <v>0.85</v>
      </c>
      <c r="CS423" s="1120">
        <f t="shared" si="521"/>
        <v>0.85</v>
      </c>
      <c r="CT423" s="1120">
        <f t="shared" si="522"/>
        <v>0.85</v>
      </c>
      <c r="CU423" s="1120">
        <v>1</v>
      </c>
      <c r="CV423" s="1120"/>
      <c r="CW423" s="1120">
        <f t="shared" si="523"/>
        <v>184</v>
      </c>
      <c r="CX423" s="1120">
        <f t="shared" si="524"/>
        <v>181</v>
      </c>
      <c r="CY423" s="1136" t="s">
        <v>4881</v>
      </c>
      <c r="CZ423" s="1129" t="s">
        <v>4885</v>
      </c>
      <c r="DA423" s="1129"/>
      <c r="DB423" s="1129"/>
      <c r="DC423" s="1125" t="s">
        <v>6056</v>
      </c>
      <c r="DD423" s="1125" t="s">
        <v>513</v>
      </c>
      <c r="DE423" s="1120" t="str">
        <f t="shared" si="525"/>
        <v/>
      </c>
      <c r="DF423" s="1133">
        <v>0</v>
      </c>
      <c r="DG423" s="1125">
        <v>0</v>
      </c>
    </row>
    <row r="424" spans="1:111">
      <c r="A424" s="1120" t="s">
        <v>3621</v>
      </c>
      <c r="B424" s="1120" t="s">
        <v>3008</v>
      </c>
      <c r="C424" s="1120" t="s">
        <v>3009</v>
      </c>
      <c r="D424" s="1120" t="s">
        <v>247</v>
      </c>
      <c r="E424" s="1120">
        <v>623</v>
      </c>
      <c r="F424" s="1120">
        <v>-86.78</v>
      </c>
      <c r="G424" s="1120">
        <v>34.65</v>
      </c>
      <c r="H424" s="1120">
        <v>-6</v>
      </c>
      <c r="I424" s="1121">
        <v>21.559999656677245</v>
      </c>
      <c r="J424" s="1121">
        <v>92.120002746582031</v>
      </c>
      <c r="K424" s="1122">
        <v>74.66000137329101</v>
      </c>
      <c r="L424" s="1120">
        <v>3322.8</v>
      </c>
      <c r="M424" s="1120">
        <v>1706.4</v>
      </c>
      <c r="N424" s="1123">
        <v>36.5</v>
      </c>
      <c r="O424" s="1123">
        <v>42.8</v>
      </c>
      <c r="P424" s="1123">
        <v>52.340000343322757</v>
      </c>
      <c r="Q424" s="1123">
        <v>59.719999313354492</v>
      </c>
      <c r="R424" s="1123">
        <v>69.080000686645505</v>
      </c>
      <c r="S424" s="1123">
        <v>77.539998626708979</v>
      </c>
      <c r="T424" s="1123">
        <v>78.619999313354498</v>
      </c>
      <c r="U424" s="1123">
        <v>76.639998626708987</v>
      </c>
      <c r="V424" s="1123">
        <v>72.139998626708987</v>
      </c>
      <c r="W424" s="1123">
        <v>58.1</v>
      </c>
      <c r="X424" s="1123">
        <v>53.419999313354495</v>
      </c>
      <c r="Y424" s="1123">
        <v>41.720000171661376</v>
      </c>
      <c r="Z424" s="1123">
        <v>59.961643424099442</v>
      </c>
      <c r="AA424" s="1123">
        <f t="shared" si="451"/>
        <v>54.803021128185833</v>
      </c>
      <c r="AB424" s="1123">
        <f t="shared" si="452"/>
        <v>54.38519092661172</v>
      </c>
      <c r="AC424" s="1123">
        <f t="shared" si="453"/>
        <v>56.984941467040841</v>
      </c>
      <c r="AD424" s="1123">
        <f t="shared" si="454"/>
        <v>61.924607707741806</v>
      </c>
      <c r="AE424" s="1123">
        <f t="shared" si="455"/>
        <v>67.916589520514947</v>
      </c>
      <c r="AF424" s="1123">
        <f t="shared" si="456"/>
        <v>73.398984506626107</v>
      </c>
      <c r="AG424" s="1123">
        <f t="shared" si="457"/>
        <v>76.942721926681301</v>
      </c>
      <c r="AH424" s="1123">
        <f t="shared" si="458"/>
        <v>77.624072011496466</v>
      </c>
      <c r="AI424" s="1123">
        <f t="shared" si="459"/>
        <v>75.265430361541874</v>
      </c>
      <c r="AJ424" s="1123">
        <f t="shared" si="460"/>
        <v>70.48161327064625</v>
      </c>
      <c r="AK424" s="1123">
        <f t="shared" si="461"/>
        <v>64.519596384404437</v>
      </c>
      <c r="AL424" s="1123">
        <f t="shared" si="462"/>
        <v>58.933471281676688</v>
      </c>
      <c r="AM424" s="1120">
        <f t="shared" si="463"/>
        <v>1</v>
      </c>
      <c r="AN424" s="1120">
        <f t="shared" si="464"/>
        <v>1</v>
      </c>
      <c r="AO424" s="1120">
        <f t="shared" si="465"/>
        <v>1</v>
      </c>
      <c r="AP424" s="1120">
        <f t="shared" si="466"/>
        <v>1</v>
      </c>
      <c r="AQ424" s="1120">
        <f t="shared" si="467"/>
        <v>0</v>
      </c>
      <c r="AR424" s="1120">
        <f t="shared" si="468"/>
        <v>0</v>
      </c>
      <c r="AS424" s="1120">
        <f t="shared" si="469"/>
        <v>0</v>
      </c>
      <c r="AT424" s="1120">
        <f t="shared" si="470"/>
        <v>0</v>
      </c>
      <c r="AU424" s="1120">
        <f t="shared" si="471"/>
        <v>0</v>
      </c>
      <c r="AV424" s="1120">
        <f t="shared" si="472"/>
        <v>1</v>
      </c>
      <c r="AW424" s="1120">
        <f t="shared" si="473"/>
        <v>1</v>
      </c>
      <c r="AX424" s="1120">
        <f t="shared" si="474"/>
        <v>1</v>
      </c>
      <c r="AY424" s="1120">
        <f t="shared" si="475"/>
        <v>0</v>
      </c>
      <c r="AZ424" s="1120">
        <f t="shared" si="476"/>
        <v>0</v>
      </c>
      <c r="BA424" s="1120">
        <f t="shared" si="477"/>
        <v>0</v>
      </c>
      <c r="BB424" s="1120">
        <f t="shared" si="478"/>
        <v>0</v>
      </c>
      <c r="BC424" s="1120">
        <f t="shared" si="479"/>
        <v>1</v>
      </c>
      <c r="BD424" s="1120">
        <f t="shared" si="480"/>
        <v>1</v>
      </c>
      <c r="BE424" s="1120">
        <f t="shared" si="481"/>
        <v>1</v>
      </c>
      <c r="BF424" s="1120">
        <f t="shared" si="482"/>
        <v>1</v>
      </c>
      <c r="BG424" s="1120">
        <f t="shared" si="483"/>
        <v>1</v>
      </c>
      <c r="BH424" s="1120">
        <f t="shared" si="484"/>
        <v>0</v>
      </c>
      <c r="BI424" s="1120">
        <f t="shared" si="485"/>
        <v>0</v>
      </c>
      <c r="BJ424" s="1120">
        <f t="shared" si="486"/>
        <v>0</v>
      </c>
      <c r="BK424" s="1120">
        <f t="shared" si="487"/>
        <v>1</v>
      </c>
      <c r="BL424" s="1120">
        <f t="shared" si="488"/>
        <v>1</v>
      </c>
      <c r="BM424" s="1120">
        <f t="shared" si="489"/>
        <v>1</v>
      </c>
      <c r="BN424" s="1120">
        <f t="shared" si="490"/>
        <v>1</v>
      </c>
      <c r="BO424" s="1120">
        <f t="shared" si="491"/>
        <v>1</v>
      </c>
      <c r="BP424" s="1120">
        <f t="shared" si="492"/>
        <v>0</v>
      </c>
      <c r="BQ424" s="1120">
        <f t="shared" si="493"/>
        <v>0</v>
      </c>
      <c r="BR424" s="1120">
        <f t="shared" si="494"/>
        <v>0</v>
      </c>
      <c r="BS424" s="1120">
        <f t="shared" si="495"/>
        <v>0</v>
      </c>
      <c r="BT424" s="1120">
        <f t="shared" si="496"/>
        <v>1</v>
      </c>
      <c r="BU424" s="1120">
        <f t="shared" si="497"/>
        <v>1</v>
      </c>
      <c r="BV424" s="1120">
        <f t="shared" si="498"/>
        <v>1</v>
      </c>
      <c r="BW424" s="1120">
        <f t="shared" si="499"/>
        <v>0</v>
      </c>
      <c r="BX424" s="1120">
        <f t="shared" si="500"/>
        <v>0</v>
      </c>
      <c r="BY424" s="1120">
        <f t="shared" si="501"/>
        <v>0</v>
      </c>
      <c r="BZ424" s="1120">
        <f t="shared" si="502"/>
        <v>1</v>
      </c>
      <c r="CA424" s="1120">
        <f t="shared" si="503"/>
        <v>1</v>
      </c>
      <c r="CB424" s="1120">
        <f t="shared" si="504"/>
        <v>1</v>
      </c>
      <c r="CC424" s="1120">
        <f t="shared" si="505"/>
        <v>1</v>
      </c>
      <c r="CD424" s="1120">
        <f t="shared" si="506"/>
        <v>1</v>
      </c>
      <c r="CE424" s="1120">
        <f t="shared" si="507"/>
        <v>1</v>
      </c>
      <c r="CF424" s="1120">
        <f t="shared" si="508"/>
        <v>1</v>
      </c>
      <c r="CG424" s="1120">
        <f t="shared" si="509"/>
        <v>0</v>
      </c>
      <c r="CH424" s="1120">
        <f t="shared" si="510"/>
        <v>0</v>
      </c>
      <c r="CI424" s="1120">
        <f t="shared" si="511"/>
        <v>0.85</v>
      </c>
      <c r="CJ424" s="1120">
        <f t="shared" si="512"/>
        <v>0.85</v>
      </c>
      <c r="CK424" s="1120">
        <f t="shared" si="513"/>
        <v>0.85</v>
      </c>
      <c r="CL424" s="1120">
        <f t="shared" si="514"/>
        <v>0.85</v>
      </c>
      <c r="CM424" s="1120">
        <f t="shared" si="515"/>
        <v>0.85</v>
      </c>
      <c r="CN424" s="1120">
        <f t="shared" si="516"/>
        <v>0.7</v>
      </c>
      <c r="CO424" s="1120">
        <f t="shared" si="517"/>
        <v>0.7</v>
      </c>
      <c r="CP424" s="1120">
        <f t="shared" si="518"/>
        <v>0.7</v>
      </c>
      <c r="CQ424" s="1120">
        <f t="shared" si="519"/>
        <v>0.7</v>
      </c>
      <c r="CR424" s="1120">
        <f t="shared" si="520"/>
        <v>0.85</v>
      </c>
      <c r="CS424" s="1120">
        <f t="shared" si="521"/>
        <v>0.85</v>
      </c>
      <c r="CT424" s="1120">
        <f t="shared" si="522"/>
        <v>0.85</v>
      </c>
      <c r="CU424" s="1120">
        <v>1</v>
      </c>
      <c r="CV424" s="1120"/>
      <c r="CW424" s="1120">
        <f t="shared" si="523"/>
        <v>214</v>
      </c>
      <c r="CX424" s="1120">
        <f t="shared" si="524"/>
        <v>151</v>
      </c>
      <c r="CY424" s="1135" t="s">
        <v>4881</v>
      </c>
      <c r="CZ424" s="1124" t="s">
        <v>4882</v>
      </c>
      <c r="DA424" s="1124"/>
      <c r="DB424" s="1124"/>
      <c r="DC424" s="1120" t="s">
        <v>5938</v>
      </c>
      <c r="DD424" s="1120" t="s">
        <v>247</v>
      </c>
      <c r="DE424" s="1120" t="str">
        <f t="shared" si="525"/>
        <v/>
      </c>
      <c r="DF424" s="1120">
        <v>1</v>
      </c>
      <c r="DG424" s="1120">
        <v>0</v>
      </c>
    </row>
    <row r="425" spans="1:111">
      <c r="A425" s="1125" t="s">
        <v>3615</v>
      </c>
      <c r="B425" s="1120" t="s">
        <v>4322</v>
      </c>
      <c r="C425" s="1120" t="s">
        <v>4323</v>
      </c>
      <c r="D425" s="1120" t="s">
        <v>1147</v>
      </c>
      <c r="E425" s="1120">
        <v>1279</v>
      </c>
      <c r="F425" s="1120">
        <v>-98.22</v>
      </c>
      <c r="G425" s="1120">
        <v>44.4</v>
      </c>
      <c r="H425" s="1120">
        <v>-6</v>
      </c>
      <c r="I425" s="1121">
        <v>-9.5800006866455085</v>
      </c>
      <c r="J425" s="1121">
        <v>90.860001373291013</v>
      </c>
      <c r="K425" s="1122">
        <v>72.680000686645513</v>
      </c>
      <c r="L425" s="1120">
        <v>7945.2</v>
      </c>
      <c r="M425" s="1120">
        <v>694.80000000000007</v>
      </c>
      <c r="N425" s="1123">
        <v>15.619999313354493</v>
      </c>
      <c r="O425" s="1123">
        <v>19.040000343322752</v>
      </c>
      <c r="P425" s="1123">
        <v>26.420000171661378</v>
      </c>
      <c r="Q425" s="1123">
        <v>46.040000343322752</v>
      </c>
      <c r="R425" s="1123">
        <v>57.380000686645509</v>
      </c>
      <c r="S425" s="1123">
        <v>69.439998626708984</v>
      </c>
      <c r="T425" s="1123">
        <v>73.760001373291018</v>
      </c>
      <c r="U425" s="1123">
        <v>68.180000686645513</v>
      </c>
      <c r="V425" s="1123">
        <v>60.980000686645511</v>
      </c>
      <c r="W425" s="1123">
        <v>48.2</v>
      </c>
      <c r="X425" s="1123">
        <v>30.740000021457671</v>
      </c>
      <c r="Y425" s="1123">
        <v>16.880000686645506</v>
      </c>
      <c r="Z425" s="1123">
        <v>44.517150932664741</v>
      </c>
      <c r="AA425" s="1123">
        <f t="shared" si="451"/>
        <v>40.752477937746697</v>
      </c>
      <c r="AB425" s="1123">
        <f t="shared" si="452"/>
        <v>38.773845966431779</v>
      </c>
      <c r="AC425" s="1123">
        <f t="shared" si="453"/>
        <v>39.856287404372921</v>
      </c>
      <c r="AD425" s="1123">
        <f t="shared" si="454"/>
        <v>43.717647209843271</v>
      </c>
      <c r="AE425" s="1123">
        <f t="shared" si="455"/>
        <v>49.351402444191187</v>
      </c>
      <c r="AF425" s="1123">
        <f t="shared" si="456"/>
        <v>55.28902798678773</v>
      </c>
      <c r="AG425" s="1123">
        <f t="shared" si="457"/>
        <v>59.982790238375763</v>
      </c>
      <c r="AH425" s="1123">
        <f t="shared" si="458"/>
        <v>62.209187735013074</v>
      </c>
      <c r="AI425" s="1123">
        <f t="shared" si="459"/>
        <v>61.387875659377173</v>
      </c>
      <c r="AJ425" s="1123">
        <f t="shared" si="460"/>
        <v>57.732941660784761</v>
      </c>
      <c r="AK425" s="1123">
        <f t="shared" si="461"/>
        <v>52.197100610206796</v>
      </c>
      <c r="AL425" s="1123">
        <f t="shared" si="462"/>
        <v>46.223354787369317</v>
      </c>
      <c r="AM425" s="1120">
        <f t="shared" si="463"/>
        <v>1</v>
      </c>
      <c r="AN425" s="1120">
        <f t="shared" si="464"/>
        <v>1</v>
      </c>
      <c r="AO425" s="1120">
        <f t="shared" si="465"/>
        <v>1</v>
      </c>
      <c r="AP425" s="1120">
        <f t="shared" si="466"/>
        <v>1</v>
      </c>
      <c r="AQ425" s="1120">
        <f t="shared" si="467"/>
        <v>1</v>
      </c>
      <c r="AR425" s="1120">
        <f t="shared" si="468"/>
        <v>0</v>
      </c>
      <c r="AS425" s="1120">
        <f t="shared" si="469"/>
        <v>0</v>
      </c>
      <c r="AT425" s="1120">
        <f t="shared" si="470"/>
        <v>0</v>
      </c>
      <c r="AU425" s="1120">
        <f t="shared" si="471"/>
        <v>1</v>
      </c>
      <c r="AV425" s="1120">
        <f t="shared" si="472"/>
        <v>1</v>
      </c>
      <c r="AW425" s="1120">
        <f t="shared" si="473"/>
        <v>1</v>
      </c>
      <c r="AX425" s="1120">
        <f t="shared" si="474"/>
        <v>1</v>
      </c>
      <c r="AY425" s="1120">
        <f t="shared" si="475"/>
        <v>0</v>
      </c>
      <c r="AZ425" s="1120">
        <f t="shared" si="476"/>
        <v>0</v>
      </c>
      <c r="BA425" s="1120">
        <f t="shared" si="477"/>
        <v>0</v>
      </c>
      <c r="BB425" s="1120">
        <f t="shared" si="478"/>
        <v>0</v>
      </c>
      <c r="BC425" s="1120">
        <f t="shared" si="479"/>
        <v>0</v>
      </c>
      <c r="BD425" s="1120">
        <f t="shared" si="480"/>
        <v>1</v>
      </c>
      <c r="BE425" s="1120">
        <f t="shared" si="481"/>
        <v>1</v>
      </c>
      <c r="BF425" s="1120">
        <f t="shared" si="482"/>
        <v>1</v>
      </c>
      <c r="BG425" s="1120">
        <f t="shared" si="483"/>
        <v>0</v>
      </c>
      <c r="BH425" s="1120">
        <f t="shared" si="484"/>
        <v>0</v>
      </c>
      <c r="BI425" s="1120">
        <f t="shared" si="485"/>
        <v>0</v>
      </c>
      <c r="BJ425" s="1120">
        <f t="shared" si="486"/>
        <v>0</v>
      </c>
      <c r="BK425" s="1120">
        <f t="shared" si="487"/>
        <v>1</v>
      </c>
      <c r="BL425" s="1120">
        <f t="shared" si="488"/>
        <v>1</v>
      </c>
      <c r="BM425" s="1120">
        <f t="shared" si="489"/>
        <v>1</v>
      </c>
      <c r="BN425" s="1120">
        <f t="shared" si="490"/>
        <v>1</v>
      </c>
      <c r="BO425" s="1120">
        <f t="shared" si="491"/>
        <v>1</v>
      </c>
      <c r="BP425" s="1120">
        <f t="shared" si="492"/>
        <v>1</v>
      </c>
      <c r="BQ425" s="1120">
        <f t="shared" si="493"/>
        <v>0</v>
      </c>
      <c r="BR425" s="1120">
        <f t="shared" si="494"/>
        <v>0</v>
      </c>
      <c r="BS425" s="1120">
        <f t="shared" si="495"/>
        <v>1</v>
      </c>
      <c r="BT425" s="1120">
        <f t="shared" si="496"/>
        <v>1</v>
      </c>
      <c r="BU425" s="1120">
        <f t="shared" si="497"/>
        <v>1</v>
      </c>
      <c r="BV425" s="1120">
        <f t="shared" si="498"/>
        <v>1</v>
      </c>
      <c r="BW425" s="1120">
        <f t="shared" si="499"/>
        <v>0</v>
      </c>
      <c r="BX425" s="1120">
        <f t="shared" si="500"/>
        <v>0</v>
      </c>
      <c r="BY425" s="1120">
        <f t="shared" si="501"/>
        <v>0</v>
      </c>
      <c r="BZ425" s="1120">
        <f t="shared" si="502"/>
        <v>0</v>
      </c>
      <c r="CA425" s="1120">
        <f t="shared" si="503"/>
        <v>1</v>
      </c>
      <c r="CB425" s="1120">
        <f t="shared" si="504"/>
        <v>1</v>
      </c>
      <c r="CC425" s="1120">
        <f t="shared" si="505"/>
        <v>1</v>
      </c>
      <c r="CD425" s="1120">
        <f t="shared" si="506"/>
        <v>1</v>
      </c>
      <c r="CE425" s="1120">
        <f t="shared" si="507"/>
        <v>1</v>
      </c>
      <c r="CF425" s="1120">
        <f t="shared" si="508"/>
        <v>0</v>
      </c>
      <c r="CG425" s="1120">
        <f t="shared" si="509"/>
        <v>0</v>
      </c>
      <c r="CH425" s="1120">
        <f t="shared" si="510"/>
        <v>0</v>
      </c>
      <c r="CI425" s="1120">
        <f t="shared" si="511"/>
        <v>0.85</v>
      </c>
      <c r="CJ425" s="1120">
        <f t="shared" si="512"/>
        <v>0.85</v>
      </c>
      <c r="CK425" s="1120">
        <f t="shared" si="513"/>
        <v>0.85</v>
      </c>
      <c r="CL425" s="1120">
        <f t="shared" si="514"/>
        <v>0.85</v>
      </c>
      <c r="CM425" s="1120">
        <f t="shared" si="515"/>
        <v>0.85</v>
      </c>
      <c r="CN425" s="1120">
        <f t="shared" si="516"/>
        <v>0.85</v>
      </c>
      <c r="CO425" s="1120">
        <f t="shared" si="517"/>
        <v>0.7</v>
      </c>
      <c r="CP425" s="1120">
        <f t="shared" si="518"/>
        <v>0.7</v>
      </c>
      <c r="CQ425" s="1120">
        <f t="shared" si="519"/>
        <v>0.85</v>
      </c>
      <c r="CR425" s="1120">
        <f t="shared" si="520"/>
        <v>0.85</v>
      </c>
      <c r="CS425" s="1120">
        <f t="shared" si="521"/>
        <v>0.85</v>
      </c>
      <c r="CT425" s="1120">
        <f t="shared" si="522"/>
        <v>0.85</v>
      </c>
      <c r="CU425" s="1120">
        <v>1</v>
      </c>
      <c r="CV425" s="1120"/>
      <c r="CW425" s="1120">
        <f t="shared" si="523"/>
        <v>153</v>
      </c>
      <c r="CX425" s="1120">
        <f t="shared" si="524"/>
        <v>212</v>
      </c>
      <c r="CY425" s="1135" t="s">
        <v>4889</v>
      </c>
      <c r="CZ425" s="1124" t="s">
        <v>4899</v>
      </c>
      <c r="DA425" s="1124"/>
      <c r="DB425" s="1124"/>
      <c r="DC425" s="1120" t="s">
        <v>5559</v>
      </c>
      <c r="DD425" s="1120" t="s">
        <v>1147</v>
      </c>
      <c r="DE425" s="1120" t="str">
        <f t="shared" si="525"/>
        <v/>
      </c>
      <c r="DF425" s="1133">
        <v>0</v>
      </c>
      <c r="DG425" s="1125">
        <v>0</v>
      </c>
    </row>
    <row r="426" spans="1:111">
      <c r="A426" s="1120" t="s">
        <v>3623</v>
      </c>
      <c r="B426" s="1125" t="s">
        <v>1189</v>
      </c>
      <c r="C426" s="1125" t="s">
        <v>1190</v>
      </c>
      <c r="D426" s="1125" t="s">
        <v>953</v>
      </c>
      <c r="E426" s="1125">
        <v>180</v>
      </c>
      <c r="F426" s="1125">
        <v>-156.38</v>
      </c>
      <c r="G426" s="1125">
        <v>65.7</v>
      </c>
      <c r="H426" s="1125">
        <v>-9</v>
      </c>
      <c r="I426" s="1126">
        <v>-47.379997253417969</v>
      </c>
      <c r="J426" s="1126">
        <v>74.119999313354498</v>
      </c>
      <c r="K426" s="1127">
        <v>53.780000686645508</v>
      </c>
      <c r="L426" s="1125">
        <v>13235.4</v>
      </c>
      <c r="M426" s="1125">
        <v>7.2</v>
      </c>
      <c r="N426" s="1128">
        <v>-10.3</v>
      </c>
      <c r="O426" s="1128">
        <v>12.380000686645507</v>
      </c>
      <c r="P426" s="1128">
        <v>18.320000171661377</v>
      </c>
      <c r="Q426" s="1128">
        <v>28.4</v>
      </c>
      <c r="R426" s="1128">
        <v>44.059999656677249</v>
      </c>
      <c r="S426" s="1128">
        <v>54.319999313354494</v>
      </c>
      <c r="T426" s="1128">
        <v>55.580000686645505</v>
      </c>
      <c r="U426" s="1128">
        <v>49.1</v>
      </c>
      <c r="V426" s="1128">
        <v>38.120000171661374</v>
      </c>
      <c r="W426" s="1128">
        <v>30.919999957084656</v>
      </c>
      <c r="X426" s="1128">
        <v>7.8800006866455075</v>
      </c>
      <c r="Y426" s="1128">
        <v>8.0599996566772454</v>
      </c>
      <c r="Z426" s="1128">
        <v>28.153917885937101</v>
      </c>
      <c r="AA426" s="1128">
        <f t="shared" si="451"/>
        <v>32</v>
      </c>
      <c r="AB426" s="1128">
        <f t="shared" si="452"/>
        <v>32</v>
      </c>
      <c r="AC426" s="1128">
        <f t="shared" si="453"/>
        <v>32</v>
      </c>
      <c r="AD426" s="1128">
        <f t="shared" si="454"/>
        <v>32</v>
      </c>
      <c r="AE426" s="1128">
        <f t="shared" si="455"/>
        <v>32</v>
      </c>
      <c r="AF426" s="1128">
        <f t="shared" si="456"/>
        <v>35.229001306189751</v>
      </c>
      <c r="AG426" s="1128">
        <f t="shared" si="457"/>
        <v>38.980397333276471</v>
      </c>
      <c r="AH426" s="1128">
        <f t="shared" si="458"/>
        <v>41.473697114114493</v>
      </c>
      <c r="AI426" s="1128">
        <f t="shared" si="459"/>
        <v>42.058983637915702</v>
      </c>
      <c r="AJ426" s="1128">
        <f t="shared" si="460"/>
        <v>40.583692952712973</v>
      </c>
      <c r="AK426" s="1128">
        <f t="shared" si="461"/>
        <v>37.43238231052203</v>
      </c>
      <c r="AL426" s="1128">
        <f t="shared" si="462"/>
        <v>33.426489393396942</v>
      </c>
      <c r="AM426" s="1125">
        <f t="shared" si="463"/>
        <v>1</v>
      </c>
      <c r="AN426" s="1125">
        <f t="shared" si="464"/>
        <v>1</v>
      </c>
      <c r="AO426" s="1125">
        <f t="shared" si="465"/>
        <v>1</v>
      </c>
      <c r="AP426" s="1125">
        <f t="shared" si="466"/>
        <v>1</v>
      </c>
      <c r="AQ426" s="1125">
        <f t="shared" si="467"/>
        <v>1</v>
      </c>
      <c r="AR426" s="1125">
        <f t="shared" si="468"/>
        <v>1</v>
      </c>
      <c r="AS426" s="1125">
        <f t="shared" si="469"/>
        <v>1</v>
      </c>
      <c r="AT426" s="1125">
        <f t="shared" si="470"/>
        <v>1</v>
      </c>
      <c r="AU426" s="1125">
        <f t="shared" si="471"/>
        <v>1</v>
      </c>
      <c r="AV426" s="1125">
        <f t="shared" si="472"/>
        <v>1</v>
      </c>
      <c r="AW426" s="1125">
        <f t="shared" si="473"/>
        <v>1</v>
      </c>
      <c r="AX426" s="1125">
        <f t="shared" si="474"/>
        <v>1</v>
      </c>
      <c r="AY426" s="1125">
        <f t="shared" si="475"/>
        <v>0</v>
      </c>
      <c r="AZ426" s="1125">
        <f t="shared" si="476"/>
        <v>0</v>
      </c>
      <c r="BA426" s="1125">
        <f t="shared" si="477"/>
        <v>0</v>
      </c>
      <c r="BB426" s="1125">
        <f t="shared" si="478"/>
        <v>0</v>
      </c>
      <c r="BC426" s="1125">
        <f t="shared" si="479"/>
        <v>0</v>
      </c>
      <c r="BD426" s="1125">
        <f t="shared" si="480"/>
        <v>0</v>
      </c>
      <c r="BE426" s="1125">
        <f t="shared" si="481"/>
        <v>1</v>
      </c>
      <c r="BF426" s="1125">
        <f t="shared" si="482"/>
        <v>1</v>
      </c>
      <c r="BG426" s="1125">
        <f t="shared" si="483"/>
        <v>0</v>
      </c>
      <c r="BH426" s="1125">
        <f t="shared" si="484"/>
        <v>0</v>
      </c>
      <c r="BI426" s="1125">
        <f t="shared" si="485"/>
        <v>0</v>
      </c>
      <c r="BJ426" s="1125">
        <f t="shared" si="486"/>
        <v>0</v>
      </c>
      <c r="BK426" s="1125">
        <f t="shared" si="487"/>
        <v>1</v>
      </c>
      <c r="BL426" s="1125">
        <f t="shared" si="488"/>
        <v>1</v>
      </c>
      <c r="BM426" s="1125">
        <f t="shared" si="489"/>
        <v>1</v>
      </c>
      <c r="BN426" s="1125">
        <f t="shared" si="490"/>
        <v>1</v>
      </c>
      <c r="BO426" s="1125">
        <f t="shared" si="491"/>
        <v>1</v>
      </c>
      <c r="BP426" s="1125">
        <f t="shared" si="492"/>
        <v>1</v>
      </c>
      <c r="BQ426" s="1125">
        <f t="shared" si="493"/>
        <v>1</v>
      </c>
      <c r="BR426" s="1125">
        <f t="shared" si="494"/>
        <v>1</v>
      </c>
      <c r="BS426" s="1125">
        <f t="shared" si="495"/>
        <v>1</v>
      </c>
      <c r="BT426" s="1125">
        <f t="shared" si="496"/>
        <v>1</v>
      </c>
      <c r="BU426" s="1125">
        <f t="shared" si="497"/>
        <v>1</v>
      </c>
      <c r="BV426" s="1125">
        <f t="shared" si="498"/>
        <v>1</v>
      </c>
      <c r="BW426" s="1125">
        <f t="shared" si="499"/>
        <v>0</v>
      </c>
      <c r="BX426" s="1125">
        <f t="shared" si="500"/>
        <v>0</v>
      </c>
      <c r="BY426" s="1125">
        <f t="shared" si="501"/>
        <v>0</v>
      </c>
      <c r="BZ426" s="1125">
        <f t="shared" si="502"/>
        <v>0</v>
      </c>
      <c r="CA426" s="1125">
        <f t="shared" si="503"/>
        <v>0</v>
      </c>
      <c r="CB426" s="1125">
        <f t="shared" si="504"/>
        <v>0</v>
      </c>
      <c r="CC426" s="1125">
        <f t="shared" si="505"/>
        <v>1</v>
      </c>
      <c r="CD426" s="1125">
        <f t="shared" si="506"/>
        <v>1</v>
      </c>
      <c r="CE426" s="1125">
        <f t="shared" si="507"/>
        <v>0</v>
      </c>
      <c r="CF426" s="1125">
        <f t="shared" si="508"/>
        <v>0</v>
      </c>
      <c r="CG426" s="1125">
        <f t="shared" si="509"/>
        <v>0</v>
      </c>
      <c r="CH426" s="1125">
        <f t="shared" si="510"/>
        <v>0</v>
      </c>
      <c r="CI426" s="1125">
        <f t="shared" si="511"/>
        <v>0.85</v>
      </c>
      <c r="CJ426" s="1125">
        <f t="shared" si="512"/>
        <v>0.85</v>
      </c>
      <c r="CK426" s="1125">
        <f t="shared" si="513"/>
        <v>0.85</v>
      </c>
      <c r="CL426" s="1125">
        <f t="shared" si="514"/>
        <v>0.85</v>
      </c>
      <c r="CM426" s="1125">
        <f t="shared" si="515"/>
        <v>0.85</v>
      </c>
      <c r="CN426" s="1125">
        <f t="shared" si="516"/>
        <v>0.85</v>
      </c>
      <c r="CO426" s="1125">
        <f t="shared" si="517"/>
        <v>0.85</v>
      </c>
      <c r="CP426" s="1125">
        <f t="shared" si="518"/>
        <v>0.85</v>
      </c>
      <c r="CQ426" s="1125">
        <f t="shared" si="519"/>
        <v>0.85</v>
      </c>
      <c r="CR426" s="1125">
        <f t="shared" si="520"/>
        <v>0.85</v>
      </c>
      <c r="CS426" s="1125">
        <f t="shared" si="521"/>
        <v>0.85</v>
      </c>
      <c r="CT426" s="1125">
        <f t="shared" si="522"/>
        <v>0.85</v>
      </c>
      <c r="CU426" s="1125">
        <v>1</v>
      </c>
      <c r="CV426" s="1125"/>
      <c r="CW426" s="1125">
        <f t="shared" si="523"/>
        <v>62</v>
      </c>
      <c r="CX426" s="1125">
        <f t="shared" si="524"/>
        <v>303</v>
      </c>
      <c r="CY426" s="1136" t="s">
        <v>4880</v>
      </c>
      <c r="CZ426" s="1129">
        <v>8</v>
      </c>
      <c r="DA426" s="1129"/>
      <c r="DB426" s="1129"/>
      <c r="DC426" s="1125" t="s">
        <v>4934</v>
      </c>
      <c r="DD426" s="1125" t="s">
        <v>953</v>
      </c>
      <c r="DE426" s="1125" t="str">
        <f t="shared" si="525"/>
        <v/>
      </c>
      <c r="DF426" s="1125">
        <v>0</v>
      </c>
      <c r="DG426" s="1120">
        <v>0</v>
      </c>
    </row>
    <row r="427" spans="1:111">
      <c r="A427" s="1125" t="s">
        <v>3625</v>
      </c>
      <c r="B427" s="1120" t="s">
        <v>5876</v>
      </c>
      <c r="C427" s="1120" t="s">
        <v>5877</v>
      </c>
      <c r="D427" s="1120" t="s">
        <v>934</v>
      </c>
      <c r="E427" s="1120">
        <v>1059</v>
      </c>
      <c r="F427" s="1120">
        <v>-94.38</v>
      </c>
      <c r="G427" s="1120">
        <v>44.87</v>
      </c>
      <c r="H427" s="1120">
        <v>-6</v>
      </c>
      <c r="I427" s="1121">
        <v>-9.7600013732910167</v>
      </c>
      <c r="J427" s="1121">
        <v>87.439998626708984</v>
      </c>
      <c r="K427" s="1122">
        <v>72.139998626708987</v>
      </c>
      <c r="L427" s="1120">
        <v>8101.8</v>
      </c>
      <c r="M427" s="1120">
        <v>684</v>
      </c>
      <c r="N427" s="1123">
        <v>17.779999828338624</v>
      </c>
      <c r="O427" s="1123">
        <v>13.819999313354492</v>
      </c>
      <c r="P427" s="1123">
        <v>23.720000171661376</v>
      </c>
      <c r="Q427" s="1123">
        <v>47.480000686645511</v>
      </c>
      <c r="R427" s="1123">
        <v>53.780000686645508</v>
      </c>
      <c r="S427" s="1123">
        <v>64.039998626708979</v>
      </c>
      <c r="T427" s="1123">
        <v>75.380000686645502</v>
      </c>
      <c r="U427" s="1123">
        <v>68.539998626708979</v>
      </c>
      <c r="V427" s="1123">
        <v>63.86000137329102</v>
      </c>
      <c r="W427" s="1123">
        <v>40.640000343322754</v>
      </c>
      <c r="X427" s="1123">
        <v>30.740000021457671</v>
      </c>
      <c r="Y427" s="1123">
        <v>27.139999914169312</v>
      </c>
      <c r="Z427" s="1123">
        <v>44.073808246573357</v>
      </c>
      <c r="AA427" s="1123">
        <f t="shared" si="451"/>
        <v>39.900795271164242</v>
      </c>
      <c r="AB427" s="1123">
        <f t="shared" si="452"/>
        <v>37.783386386081297</v>
      </c>
      <c r="AC427" s="1123">
        <f t="shared" si="453"/>
        <v>38.869665360069604</v>
      </c>
      <c r="AD427" s="1123">
        <f t="shared" si="454"/>
        <v>42.876476838493396</v>
      </c>
      <c r="AE427" s="1123">
        <f t="shared" si="455"/>
        <v>48.759383662667581</v>
      </c>
      <c r="AF427" s="1123">
        <f t="shared" si="456"/>
        <v>54.98491551053278</v>
      </c>
      <c r="AG427" s="1123">
        <f t="shared" si="457"/>
        <v>59.930291567593137</v>
      </c>
      <c r="AH427" s="1123">
        <f t="shared" si="458"/>
        <v>62.306423354023941</v>
      </c>
      <c r="AI427" s="1123">
        <f t="shared" si="459"/>
        <v>61.493935502392787</v>
      </c>
      <c r="AJ427" s="1123">
        <f t="shared" si="460"/>
        <v>57.704615492044134</v>
      </c>
      <c r="AK427" s="1123">
        <f t="shared" si="461"/>
        <v>51.926207978864312</v>
      </c>
      <c r="AL427" s="1123">
        <f t="shared" si="462"/>
        <v>45.664943929118898</v>
      </c>
      <c r="AM427" s="1120">
        <f t="shared" si="463"/>
        <v>1</v>
      </c>
      <c r="AN427" s="1120">
        <f t="shared" si="464"/>
        <v>1</v>
      </c>
      <c r="AO427" s="1120">
        <f t="shared" si="465"/>
        <v>1</v>
      </c>
      <c r="AP427" s="1120">
        <f t="shared" si="466"/>
        <v>1</v>
      </c>
      <c r="AQ427" s="1120">
        <f t="shared" si="467"/>
        <v>1</v>
      </c>
      <c r="AR427" s="1120">
        <f t="shared" si="468"/>
        <v>1</v>
      </c>
      <c r="AS427" s="1120">
        <f t="shared" si="469"/>
        <v>0</v>
      </c>
      <c r="AT427" s="1120">
        <f t="shared" si="470"/>
        <v>0</v>
      </c>
      <c r="AU427" s="1120">
        <f t="shared" si="471"/>
        <v>1</v>
      </c>
      <c r="AV427" s="1120">
        <f t="shared" si="472"/>
        <v>1</v>
      </c>
      <c r="AW427" s="1120">
        <f t="shared" si="473"/>
        <v>1</v>
      </c>
      <c r="AX427" s="1120">
        <f t="shared" si="474"/>
        <v>1</v>
      </c>
      <c r="AY427" s="1120">
        <f t="shared" si="475"/>
        <v>0</v>
      </c>
      <c r="AZ427" s="1120">
        <f t="shared" si="476"/>
        <v>0</v>
      </c>
      <c r="BA427" s="1120">
        <f t="shared" si="477"/>
        <v>0</v>
      </c>
      <c r="BB427" s="1120">
        <f t="shared" si="478"/>
        <v>0</v>
      </c>
      <c r="BC427" s="1120">
        <f t="shared" si="479"/>
        <v>0</v>
      </c>
      <c r="BD427" s="1120">
        <f t="shared" si="480"/>
        <v>0</v>
      </c>
      <c r="BE427" s="1120">
        <f t="shared" si="481"/>
        <v>1</v>
      </c>
      <c r="BF427" s="1120">
        <f t="shared" si="482"/>
        <v>1</v>
      </c>
      <c r="BG427" s="1120">
        <f t="shared" si="483"/>
        <v>0</v>
      </c>
      <c r="BH427" s="1120">
        <f t="shared" si="484"/>
        <v>0</v>
      </c>
      <c r="BI427" s="1120">
        <f t="shared" si="485"/>
        <v>0</v>
      </c>
      <c r="BJ427" s="1120">
        <f t="shared" si="486"/>
        <v>0</v>
      </c>
      <c r="BK427" s="1120">
        <f t="shared" si="487"/>
        <v>1</v>
      </c>
      <c r="BL427" s="1120">
        <f t="shared" si="488"/>
        <v>1</v>
      </c>
      <c r="BM427" s="1120">
        <f t="shared" si="489"/>
        <v>1</v>
      </c>
      <c r="BN427" s="1120">
        <f t="shared" si="490"/>
        <v>1</v>
      </c>
      <c r="BO427" s="1120">
        <f t="shared" si="491"/>
        <v>1</v>
      </c>
      <c r="BP427" s="1120">
        <f t="shared" si="492"/>
        <v>1</v>
      </c>
      <c r="BQ427" s="1120">
        <f t="shared" si="493"/>
        <v>1</v>
      </c>
      <c r="BR427" s="1120">
        <f t="shared" si="494"/>
        <v>0</v>
      </c>
      <c r="BS427" s="1120">
        <f t="shared" si="495"/>
        <v>1</v>
      </c>
      <c r="BT427" s="1120">
        <f t="shared" si="496"/>
        <v>1</v>
      </c>
      <c r="BU427" s="1120">
        <f t="shared" si="497"/>
        <v>1</v>
      </c>
      <c r="BV427" s="1120">
        <f t="shared" si="498"/>
        <v>1</v>
      </c>
      <c r="BW427" s="1120">
        <f t="shared" si="499"/>
        <v>0</v>
      </c>
      <c r="BX427" s="1120">
        <f t="shared" si="500"/>
        <v>0</v>
      </c>
      <c r="BY427" s="1120">
        <f t="shared" si="501"/>
        <v>0</v>
      </c>
      <c r="BZ427" s="1120">
        <f t="shared" si="502"/>
        <v>0</v>
      </c>
      <c r="CA427" s="1120">
        <f t="shared" si="503"/>
        <v>0</v>
      </c>
      <c r="CB427" s="1120">
        <f t="shared" si="504"/>
        <v>1</v>
      </c>
      <c r="CC427" s="1120">
        <f t="shared" si="505"/>
        <v>1</v>
      </c>
      <c r="CD427" s="1120">
        <f t="shared" si="506"/>
        <v>1</v>
      </c>
      <c r="CE427" s="1120">
        <f t="shared" si="507"/>
        <v>1</v>
      </c>
      <c r="CF427" s="1120">
        <f t="shared" si="508"/>
        <v>0</v>
      </c>
      <c r="CG427" s="1120">
        <f t="shared" si="509"/>
        <v>0</v>
      </c>
      <c r="CH427" s="1120">
        <f t="shared" si="510"/>
        <v>0</v>
      </c>
      <c r="CI427" s="1120">
        <f t="shared" si="511"/>
        <v>0.85</v>
      </c>
      <c r="CJ427" s="1120">
        <f t="shared" si="512"/>
        <v>0.85</v>
      </c>
      <c r="CK427" s="1120">
        <f t="shared" si="513"/>
        <v>0.85</v>
      </c>
      <c r="CL427" s="1120">
        <f t="shared" si="514"/>
        <v>0.85</v>
      </c>
      <c r="CM427" s="1120">
        <f t="shared" si="515"/>
        <v>0.85</v>
      </c>
      <c r="CN427" s="1120">
        <f t="shared" si="516"/>
        <v>0.85</v>
      </c>
      <c r="CO427" s="1120">
        <f t="shared" si="517"/>
        <v>0.85</v>
      </c>
      <c r="CP427" s="1120">
        <f t="shared" si="518"/>
        <v>0.7</v>
      </c>
      <c r="CQ427" s="1120">
        <f t="shared" si="519"/>
        <v>0.85</v>
      </c>
      <c r="CR427" s="1120">
        <f t="shared" si="520"/>
        <v>0.85</v>
      </c>
      <c r="CS427" s="1120">
        <f t="shared" si="521"/>
        <v>0.85</v>
      </c>
      <c r="CT427" s="1120">
        <f t="shared" si="522"/>
        <v>0.85</v>
      </c>
      <c r="CU427" s="1120">
        <v>1</v>
      </c>
      <c r="CV427" s="1120"/>
      <c r="CW427" s="1120">
        <f t="shared" si="523"/>
        <v>122</v>
      </c>
      <c r="CX427" s="1120">
        <f t="shared" si="524"/>
        <v>243</v>
      </c>
      <c r="CY427" s="1135" t="s">
        <v>4889</v>
      </c>
      <c r="CZ427" s="1124" t="s">
        <v>4899</v>
      </c>
      <c r="DA427" s="1124"/>
      <c r="DB427" s="1124"/>
      <c r="DC427" s="1120" t="s">
        <v>5754</v>
      </c>
      <c r="DD427" s="1120" t="s">
        <v>934</v>
      </c>
      <c r="DE427" s="1120" t="str">
        <f t="shared" si="525"/>
        <v/>
      </c>
      <c r="DF427" s="1133">
        <v>1</v>
      </c>
      <c r="DG427" s="1125">
        <v>0</v>
      </c>
    </row>
    <row r="428" spans="1:111">
      <c r="A428" s="1120" t="s">
        <v>3627</v>
      </c>
      <c r="B428" s="1125" t="s">
        <v>3567</v>
      </c>
      <c r="C428" s="1125" t="s">
        <v>3568</v>
      </c>
      <c r="D428" s="1125" t="s">
        <v>256</v>
      </c>
      <c r="E428" s="1125">
        <v>1519</v>
      </c>
      <c r="F428" s="1125">
        <v>-97.87</v>
      </c>
      <c r="G428" s="1125">
        <v>38.07</v>
      </c>
      <c r="H428" s="1125">
        <v>-6</v>
      </c>
      <c r="I428" s="1126">
        <v>1.2199993133544915</v>
      </c>
      <c r="J428" s="1126">
        <v>98.779997253417974</v>
      </c>
      <c r="K428" s="1127">
        <v>73.580000686645505</v>
      </c>
      <c r="L428" s="1125">
        <v>4462.2</v>
      </c>
      <c r="M428" s="1125">
        <v>1593</v>
      </c>
      <c r="N428" s="1128">
        <v>28.4</v>
      </c>
      <c r="O428" s="1128">
        <v>39.559999656677249</v>
      </c>
      <c r="P428" s="1128">
        <v>49.1</v>
      </c>
      <c r="Q428" s="1128">
        <v>54.5</v>
      </c>
      <c r="R428" s="1128">
        <v>67.639998626708987</v>
      </c>
      <c r="S428" s="1128">
        <v>76.460001373291021</v>
      </c>
      <c r="T428" s="1128">
        <v>77.900000000000006</v>
      </c>
      <c r="U428" s="1128">
        <v>78.439998626708984</v>
      </c>
      <c r="V428" s="1128">
        <v>67.099999999999994</v>
      </c>
      <c r="W428" s="1128">
        <v>58.819999313354494</v>
      </c>
      <c r="X428" s="1128">
        <v>49.819999313354494</v>
      </c>
      <c r="Y428" s="1128">
        <v>30.019999957084657</v>
      </c>
      <c r="Z428" s="1128">
        <v>56.55890384445452</v>
      </c>
      <c r="AA428" s="1128">
        <f t="shared" si="451"/>
        <v>50.377158340398033</v>
      </c>
      <c r="AB428" s="1128">
        <f t="shared" si="452"/>
        <v>49.519767299106306</v>
      </c>
      <c r="AC428" s="1128">
        <f t="shared" si="453"/>
        <v>52.061228137536133</v>
      </c>
      <c r="AD428" s="1128">
        <f t="shared" si="454"/>
        <v>57.339069923053735</v>
      </c>
      <c r="AE428" s="1128">
        <f t="shared" si="455"/>
        <v>63.977541860260089</v>
      </c>
      <c r="AF428" s="1128">
        <f t="shared" si="456"/>
        <v>70.246223936773148</v>
      </c>
      <c r="AG428" s="1128">
        <f t="shared" si="457"/>
        <v>74.511087566034817</v>
      </c>
      <c r="AH428" s="1128">
        <f t="shared" si="458"/>
        <v>75.660430319540083</v>
      </c>
      <c r="AI428" s="1128">
        <f t="shared" si="459"/>
        <v>73.39465829667985</v>
      </c>
      <c r="AJ428" s="1128">
        <f t="shared" si="460"/>
        <v>68.304379891816396</v>
      </c>
      <c r="AK428" s="1128">
        <f t="shared" si="461"/>
        <v>61.716454614742084</v>
      </c>
      <c r="AL428" s="1128">
        <f t="shared" si="462"/>
        <v>55.348126711927932</v>
      </c>
      <c r="AM428" s="1125">
        <f t="shared" si="463"/>
        <v>1</v>
      </c>
      <c r="AN428" s="1125">
        <f t="shared" si="464"/>
        <v>1</v>
      </c>
      <c r="AO428" s="1125">
        <f t="shared" si="465"/>
        <v>1</v>
      </c>
      <c r="AP428" s="1125">
        <f t="shared" si="466"/>
        <v>1</v>
      </c>
      <c r="AQ428" s="1125">
        <f t="shared" si="467"/>
        <v>0</v>
      </c>
      <c r="AR428" s="1125">
        <f t="shared" si="468"/>
        <v>0</v>
      </c>
      <c r="AS428" s="1125">
        <f t="shared" si="469"/>
        <v>0</v>
      </c>
      <c r="AT428" s="1125">
        <f t="shared" si="470"/>
        <v>0</v>
      </c>
      <c r="AU428" s="1125">
        <f t="shared" si="471"/>
        <v>0</v>
      </c>
      <c r="AV428" s="1125">
        <f t="shared" si="472"/>
        <v>1</v>
      </c>
      <c r="AW428" s="1125">
        <f t="shared" si="473"/>
        <v>1</v>
      </c>
      <c r="AX428" s="1125">
        <f t="shared" si="474"/>
        <v>1</v>
      </c>
      <c r="AY428" s="1125">
        <f t="shared" si="475"/>
        <v>0</v>
      </c>
      <c r="AZ428" s="1125">
        <f t="shared" si="476"/>
        <v>0</v>
      </c>
      <c r="BA428" s="1125">
        <f t="shared" si="477"/>
        <v>0</v>
      </c>
      <c r="BB428" s="1125">
        <f t="shared" si="478"/>
        <v>0</v>
      </c>
      <c r="BC428" s="1125">
        <f t="shared" si="479"/>
        <v>1</v>
      </c>
      <c r="BD428" s="1125">
        <f t="shared" si="480"/>
        <v>1</v>
      </c>
      <c r="BE428" s="1125">
        <f t="shared" si="481"/>
        <v>1</v>
      </c>
      <c r="BF428" s="1125">
        <f t="shared" si="482"/>
        <v>1</v>
      </c>
      <c r="BG428" s="1125">
        <f t="shared" si="483"/>
        <v>1</v>
      </c>
      <c r="BH428" s="1125">
        <f t="shared" si="484"/>
        <v>0</v>
      </c>
      <c r="BI428" s="1125">
        <f t="shared" si="485"/>
        <v>0</v>
      </c>
      <c r="BJ428" s="1125">
        <f t="shared" si="486"/>
        <v>0</v>
      </c>
      <c r="BK428" s="1125">
        <f t="shared" si="487"/>
        <v>1</v>
      </c>
      <c r="BL428" s="1125">
        <f t="shared" si="488"/>
        <v>1</v>
      </c>
      <c r="BM428" s="1125">
        <f t="shared" si="489"/>
        <v>1</v>
      </c>
      <c r="BN428" s="1125">
        <f t="shared" si="490"/>
        <v>1</v>
      </c>
      <c r="BO428" s="1125">
        <f t="shared" si="491"/>
        <v>1</v>
      </c>
      <c r="BP428" s="1125">
        <f t="shared" si="492"/>
        <v>0</v>
      </c>
      <c r="BQ428" s="1125">
        <f t="shared" si="493"/>
        <v>0</v>
      </c>
      <c r="BR428" s="1125">
        <f t="shared" si="494"/>
        <v>0</v>
      </c>
      <c r="BS428" s="1125">
        <f t="shared" si="495"/>
        <v>0</v>
      </c>
      <c r="BT428" s="1125">
        <f t="shared" si="496"/>
        <v>1</v>
      </c>
      <c r="BU428" s="1125">
        <f t="shared" si="497"/>
        <v>1</v>
      </c>
      <c r="BV428" s="1125">
        <f t="shared" si="498"/>
        <v>1</v>
      </c>
      <c r="BW428" s="1125">
        <f t="shared" si="499"/>
        <v>0</v>
      </c>
      <c r="BX428" s="1125">
        <f t="shared" si="500"/>
        <v>0</v>
      </c>
      <c r="BY428" s="1125">
        <f t="shared" si="501"/>
        <v>0</v>
      </c>
      <c r="BZ428" s="1125">
        <f t="shared" si="502"/>
        <v>1</v>
      </c>
      <c r="CA428" s="1125">
        <f t="shared" si="503"/>
        <v>1</v>
      </c>
      <c r="CB428" s="1125">
        <f t="shared" si="504"/>
        <v>1</v>
      </c>
      <c r="CC428" s="1125">
        <f t="shared" si="505"/>
        <v>1</v>
      </c>
      <c r="CD428" s="1125">
        <f t="shared" si="506"/>
        <v>1</v>
      </c>
      <c r="CE428" s="1125">
        <f t="shared" si="507"/>
        <v>1</v>
      </c>
      <c r="CF428" s="1125">
        <f t="shared" si="508"/>
        <v>1</v>
      </c>
      <c r="CG428" s="1125">
        <f t="shared" si="509"/>
        <v>0</v>
      </c>
      <c r="CH428" s="1125">
        <f t="shared" si="510"/>
        <v>0</v>
      </c>
      <c r="CI428" s="1125">
        <f t="shared" si="511"/>
        <v>0.85</v>
      </c>
      <c r="CJ428" s="1125">
        <f t="shared" si="512"/>
        <v>0.85</v>
      </c>
      <c r="CK428" s="1125">
        <f t="shared" si="513"/>
        <v>0.85</v>
      </c>
      <c r="CL428" s="1125">
        <f t="shared" si="514"/>
        <v>0.85</v>
      </c>
      <c r="CM428" s="1125">
        <f t="shared" si="515"/>
        <v>0.85</v>
      </c>
      <c r="CN428" s="1125">
        <f t="shared" si="516"/>
        <v>0.7</v>
      </c>
      <c r="CO428" s="1125">
        <f t="shared" si="517"/>
        <v>0.7</v>
      </c>
      <c r="CP428" s="1125">
        <f t="shared" si="518"/>
        <v>0.7</v>
      </c>
      <c r="CQ428" s="1125">
        <f t="shared" si="519"/>
        <v>0.7</v>
      </c>
      <c r="CR428" s="1125">
        <f t="shared" si="520"/>
        <v>0.85</v>
      </c>
      <c r="CS428" s="1125">
        <f t="shared" si="521"/>
        <v>0.85</v>
      </c>
      <c r="CT428" s="1125">
        <f t="shared" si="522"/>
        <v>0.85</v>
      </c>
      <c r="CU428" s="1125">
        <v>1</v>
      </c>
      <c r="CV428" s="1125"/>
      <c r="CW428" s="1125">
        <f t="shared" si="523"/>
        <v>214</v>
      </c>
      <c r="CX428" s="1125">
        <f t="shared" si="524"/>
        <v>151</v>
      </c>
      <c r="CY428" s="1136" t="s">
        <v>4881</v>
      </c>
      <c r="CZ428" s="1129" t="s">
        <v>4885</v>
      </c>
      <c r="DA428" s="1129"/>
      <c r="DB428" s="1129"/>
      <c r="DC428" s="1125" t="s">
        <v>5232</v>
      </c>
      <c r="DD428" s="1125" t="s">
        <v>256</v>
      </c>
      <c r="DE428" s="1120" t="str">
        <f t="shared" si="525"/>
        <v/>
      </c>
      <c r="DF428" s="1133">
        <v>0</v>
      </c>
      <c r="DG428" s="1120">
        <v>0</v>
      </c>
    </row>
    <row r="429" spans="1:111">
      <c r="A429" s="1125" t="s">
        <v>3631</v>
      </c>
      <c r="B429" s="1120" t="s">
        <v>2948</v>
      </c>
      <c r="C429" s="1120" t="s">
        <v>2949</v>
      </c>
      <c r="D429" s="1120" t="s">
        <v>953</v>
      </c>
      <c r="E429" s="1120">
        <v>0</v>
      </c>
      <c r="F429" s="1120">
        <v>-132.83000000000001</v>
      </c>
      <c r="G429" s="1120">
        <v>55.2</v>
      </c>
      <c r="H429" s="1120">
        <v>-9</v>
      </c>
      <c r="I429" s="1121">
        <v>10.219999313354492</v>
      </c>
      <c r="J429" s="1121">
        <v>137.30000000000001</v>
      </c>
      <c r="K429" s="1122">
        <v>53.780000686645508</v>
      </c>
      <c r="L429" s="1120">
        <v>7198.2</v>
      </c>
      <c r="M429" s="1120">
        <v>1182.6000000000001</v>
      </c>
      <c r="N429" s="1123">
        <v>35.419999957084656</v>
      </c>
      <c r="O429" s="1123">
        <v>37.039999914169314</v>
      </c>
      <c r="P429" s="1123">
        <v>36.320000171661377</v>
      </c>
      <c r="Q429" s="1123">
        <v>42.259999656677245</v>
      </c>
      <c r="R429" s="1123">
        <v>46.580000686645505</v>
      </c>
      <c r="S429" s="1123">
        <v>51.619999313354491</v>
      </c>
      <c r="T429" s="1123">
        <v>100.03999862670899</v>
      </c>
      <c r="U429" s="1123">
        <v>56.3</v>
      </c>
      <c r="V429" s="1123">
        <v>45.859999656677246</v>
      </c>
      <c r="W429" s="1123">
        <v>45.5</v>
      </c>
      <c r="X429" s="1123">
        <v>40.279999828338624</v>
      </c>
      <c r="Y429" s="1123">
        <v>36.5</v>
      </c>
      <c r="Z429" s="1123">
        <v>47.929260093022698</v>
      </c>
      <c r="AA429" s="1123">
        <f t="shared" si="451"/>
        <v>41.716791027232361</v>
      </c>
      <c r="AB429" s="1123">
        <f t="shared" si="452"/>
        <v>39.738125939009336</v>
      </c>
      <c r="AC429" s="1123">
        <f t="shared" si="453"/>
        <v>41.458598660026958</v>
      </c>
      <c r="AD429" s="1123">
        <f t="shared" si="454"/>
        <v>46.429741462264801</v>
      </c>
      <c r="AE429" s="1123">
        <f t="shared" si="455"/>
        <v>53.355749366690098</v>
      </c>
      <c r="AF429" s="1123">
        <f t="shared" si="456"/>
        <v>60.431251680001807</v>
      </c>
      <c r="AG429" s="1123">
        <f t="shared" si="457"/>
        <v>65.811909687444057</v>
      </c>
      <c r="AH429" s="1123">
        <f t="shared" si="458"/>
        <v>68.095171960927232</v>
      </c>
      <c r="AI429" s="1123">
        <f t="shared" si="459"/>
        <v>66.685871002731218</v>
      </c>
      <c r="AJ429" s="1123">
        <f t="shared" si="460"/>
        <v>61.951362825594963</v>
      </c>
      <c r="AK429" s="1123">
        <f t="shared" si="461"/>
        <v>55.125769946868552</v>
      </c>
      <c r="AL429" s="1123">
        <f t="shared" si="462"/>
        <v>47.98828833596226</v>
      </c>
      <c r="AM429" s="1120">
        <f t="shared" si="463"/>
        <v>1</v>
      </c>
      <c r="AN429" s="1120">
        <f t="shared" si="464"/>
        <v>1</v>
      </c>
      <c r="AO429" s="1120">
        <f t="shared" si="465"/>
        <v>1</v>
      </c>
      <c r="AP429" s="1120">
        <f t="shared" si="466"/>
        <v>1</v>
      </c>
      <c r="AQ429" s="1120">
        <f t="shared" si="467"/>
        <v>1</v>
      </c>
      <c r="AR429" s="1120">
        <f t="shared" si="468"/>
        <v>1</v>
      </c>
      <c r="AS429" s="1120">
        <f t="shared" si="469"/>
        <v>0</v>
      </c>
      <c r="AT429" s="1120">
        <f t="shared" si="470"/>
        <v>1</v>
      </c>
      <c r="AU429" s="1120">
        <f t="shared" si="471"/>
        <v>1</v>
      </c>
      <c r="AV429" s="1120">
        <f t="shared" si="472"/>
        <v>1</v>
      </c>
      <c r="AW429" s="1120">
        <f t="shared" si="473"/>
        <v>1</v>
      </c>
      <c r="AX429" s="1120">
        <f t="shared" si="474"/>
        <v>1</v>
      </c>
      <c r="AY429" s="1120">
        <f t="shared" si="475"/>
        <v>0</v>
      </c>
      <c r="AZ429" s="1120">
        <f t="shared" si="476"/>
        <v>0</v>
      </c>
      <c r="BA429" s="1120">
        <f t="shared" si="477"/>
        <v>0</v>
      </c>
      <c r="BB429" s="1120">
        <f t="shared" si="478"/>
        <v>0</v>
      </c>
      <c r="BC429" s="1120">
        <f t="shared" si="479"/>
        <v>0</v>
      </c>
      <c r="BD429" s="1120">
        <f t="shared" si="480"/>
        <v>0</v>
      </c>
      <c r="BE429" s="1120">
        <f t="shared" si="481"/>
        <v>1</v>
      </c>
      <c r="BF429" s="1120">
        <f t="shared" si="482"/>
        <v>1</v>
      </c>
      <c r="BG429" s="1120">
        <f t="shared" si="483"/>
        <v>0</v>
      </c>
      <c r="BH429" s="1120">
        <f t="shared" si="484"/>
        <v>0</v>
      </c>
      <c r="BI429" s="1120">
        <f t="shared" si="485"/>
        <v>0</v>
      </c>
      <c r="BJ429" s="1120">
        <f t="shared" si="486"/>
        <v>0</v>
      </c>
      <c r="BK429" s="1120">
        <f t="shared" si="487"/>
        <v>1</v>
      </c>
      <c r="BL429" s="1120">
        <f t="shared" si="488"/>
        <v>1</v>
      </c>
      <c r="BM429" s="1120">
        <f t="shared" si="489"/>
        <v>1</v>
      </c>
      <c r="BN429" s="1120">
        <f t="shared" si="490"/>
        <v>1</v>
      </c>
      <c r="BO429" s="1120">
        <f t="shared" si="491"/>
        <v>1</v>
      </c>
      <c r="BP429" s="1120">
        <f t="shared" si="492"/>
        <v>1</v>
      </c>
      <c r="BQ429" s="1120">
        <f t="shared" si="493"/>
        <v>1</v>
      </c>
      <c r="BR429" s="1120">
        <f t="shared" si="494"/>
        <v>1</v>
      </c>
      <c r="BS429" s="1120">
        <f t="shared" si="495"/>
        <v>1</v>
      </c>
      <c r="BT429" s="1120">
        <f t="shared" si="496"/>
        <v>1</v>
      </c>
      <c r="BU429" s="1120">
        <f t="shared" si="497"/>
        <v>1</v>
      </c>
      <c r="BV429" s="1120">
        <f t="shared" si="498"/>
        <v>1</v>
      </c>
      <c r="BW429" s="1120">
        <f t="shared" si="499"/>
        <v>0</v>
      </c>
      <c r="BX429" s="1120">
        <f t="shared" si="500"/>
        <v>0</v>
      </c>
      <c r="BY429" s="1120">
        <f t="shared" si="501"/>
        <v>0</v>
      </c>
      <c r="BZ429" s="1120">
        <f t="shared" si="502"/>
        <v>0</v>
      </c>
      <c r="CA429" s="1120">
        <f t="shared" si="503"/>
        <v>0</v>
      </c>
      <c r="CB429" s="1120">
        <f t="shared" si="504"/>
        <v>1</v>
      </c>
      <c r="CC429" s="1120">
        <f t="shared" si="505"/>
        <v>1</v>
      </c>
      <c r="CD429" s="1120">
        <f t="shared" si="506"/>
        <v>1</v>
      </c>
      <c r="CE429" s="1120">
        <f t="shared" si="507"/>
        <v>0</v>
      </c>
      <c r="CF429" s="1120">
        <f t="shared" si="508"/>
        <v>0</v>
      </c>
      <c r="CG429" s="1120">
        <f t="shared" si="509"/>
        <v>0</v>
      </c>
      <c r="CH429" s="1120">
        <f t="shared" si="510"/>
        <v>0</v>
      </c>
      <c r="CI429" s="1120">
        <f t="shared" si="511"/>
        <v>0.85</v>
      </c>
      <c r="CJ429" s="1120">
        <f t="shared" si="512"/>
        <v>0.85</v>
      </c>
      <c r="CK429" s="1120">
        <f t="shared" si="513"/>
        <v>0.85</v>
      </c>
      <c r="CL429" s="1120">
        <f t="shared" si="514"/>
        <v>0.85</v>
      </c>
      <c r="CM429" s="1120">
        <f t="shared" si="515"/>
        <v>0.85</v>
      </c>
      <c r="CN429" s="1120">
        <f t="shared" si="516"/>
        <v>0.85</v>
      </c>
      <c r="CO429" s="1120">
        <f t="shared" si="517"/>
        <v>0.85</v>
      </c>
      <c r="CP429" s="1120">
        <f t="shared" si="518"/>
        <v>0.85</v>
      </c>
      <c r="CQ429" s="1120">
        <f t="shared" si="519"/>
        <v>0.85</v>
      </c>
      <c r="CR429" s="1120">
        <f t="shared" si="520"/>
        <v>0.85</v>
      </c>
      <c r="CS429" s="1120">
        <f t="shared" si="521"/>
        <v>0.85</v>
      </c>
      <c r="CT429" s="1120">
        <f t="shared" si="522"/>
        <v>0.85</v>
      </c>
      <c r="CU429" s="1120">
        <v>1</v>
      </c>
      <c r="CV429" s="1120"/>
      <c r="CW429" s="1120">
        <f t="shared" si="523"/>
        <v>92</v>
      </c>
      <c r="CX429" s="1120">
        <f t="shared" si="524"/>
        <v>273</v>
      </c>
      <c r="CY429" s="1135" t="s">
        <v>4879</v>
      </c>
      <c r="CZ429" s="1124">
        <v>7</v>
      </c>
      <c r="DA429" s="1124"/>
      <c r="DB429" s="1124"/>
      <c r="DC429" s="1120" t="s">
        <v>4935</v>
      </c>
      <c r="DD429" s="1120" t="s">
        <v>953</v>
      </c>
      <c r="DE429" s="1120" t="str">
        <f t="shared" si="525"/>
        <v/>
      </c>
      <c r="DF429" s="1120">
        <v>0</v>
      </c>
      <c r="DG429" s="1125">
        <v>0</v>
      </c>
    </row>
    <row r="430" spans="1:111">
      <c r="A430" s="1120" t="s">
        <v>3629</v>
      </c>
      <c r="B430" s="1120" t="s">
        <v>3483</v>
      </c>
      <c r="C430" s="1120" t="s">
        <v>3484</v>
      </c>
      <c r="D430" s="1120" t="s">
        <v>249</v>
      </c>
      <c r="E430" s="1120">
        <v>4726</v>
      </c>
      <c r="F430" s="1120">
        <v>-112.07</v>
      </c>
      <c r="G430" s="1120">
        <v>43.52</v>
      </c>
      <c r="H430" s="1120">
        <v>-7</v>
      </c>
      <c r="I430" s="1121">
        <v>-2.3800006866455088</v>
      </c>
      <c r="J430" s="1121">
        <v>89.419999313354495</v>
      </c>
      <c r="K430" s="1122">
        <v>60.8</v>
      </c>
      <c r="L430" s="1120">
        <v>7594.2</v>
      </c>
      <c r="M430" s="1120">
        <v>7.2</v>
      </c>
      <c r="N430" s="1123">
        <v>18.320000171661377</v>
      </c>
      <c r="O430" s="1123">
        <v>21.2</v>
      </c>
      <c r="P430" s="1123">
        <v>34.700000000000003</v>
      </c>
      <c r="Q430" s="1123">
        <v>46.580000686645505</v>
      </c>
      <c r="R430" s="1123">
        <v>54.140000343322754</v>
      </c>
      <c r="S430" s="1123">
        <v>61.519999313354496</v>
      </c>
      <c r="T430" s="1123">
        <v>69.080000686645505</v>
      </c>
      <c r="U430" s="1123">
        <v>66.2</v>
      </c>
      <c r="V430" s="1123">
        <v>56.659999656677243</v>
      </c>
      <c r="W430" s="1123">
        <v>44.420000171661378</v>
      </c>
      <c r="X430" s="1123">
        <v>32.360000005364419</v>
      </c>
      <c r="Y430" s="1123">
        <v>27.320000171661377</v>
      </c>
      <c r="Z430" s="1123">
        <v>44.511726130835001</v>
      </c>
      <c r="AA430" s="1123">
        <f t="shared" si="451"/>
        <v>41.988210185406736</v>
      </c>
      <c r="AB430" s="1123">
        <f t="shared" si="452"/>
        <v>40.260504397928813</v>
      </c>
      <c r="AC430" s="1123">
        <f t="shared" si="453"/>
        <v>41.204937531241697</v>
      </c>
      <c r="AD430" s="1123">
        <f t="shared" si="454"/>
        <v>44.575328534992231</v>
      </c>
      <c r="AE430" s="1123">
        <f t="shared" si="455"/>
        <v>49.493133054755297</v>
      </c>
      <c r="AF430" s="1123">
        <f t="shared" si="456"/>
        <v>54.676449556792981</v>
      </c>
      <c r="AG430" s="1123">
        <f t="shared" si="457"/>
        <v>58.774166717524004</v>
      </c>
      <c r="AH430" s="1123">
        <f t="shared" si="458"/>
        <v>60.71815141127091</v>
      </c>
      <c r="AI430" s="1123">
        <f t="shared" si="459"/>
        <v>60.001674069897618</v>
      </c>
      <c r="AJ430" s="1123">
        <f t="shared" si="460"/>
        <v>56.811495553683137</v>
      </c>
      <c r="AK430" s="1123">
        <f t="shared" si="461"/>
        <v>51.97918505501783</v>
      </c>
      <c r="AL430" s="1123">
        <f t="shared" si="462"/>
        <v>46.764358773537701</v>
      </c>
      <c r="AM430" s="1120">
        <f t="shared" si="463"/>
        <v>1</v>
      </c>
      <c r="AN430" s="1120">
        <f t="shared" si="464"/>
        <v>1</v>
      </c>
      <c r="AO430" s="1120">
        <f t="shared" si="465"/>
        <v>1</v>
      </c>
      <c r="AP430" s="1120">
        <f t="shared" si="466"/>
        <v>1</v>
      </c>
      <c r="AQ430" s="1120">
        <f t="shared" si="467"/>
        <v>1</v>
      </c>
      <c r="AR430" s="1120">
        <f t="shared" si="468"/>
        <v>1</v>
      </c>
      <c r="AS430" s="1120">
        <f t="shared" si="469"/>
        <v>0</v>
      </c>
      <c r="AT430" s="1120">
        <f t="shared" si="470"/>
        <v>0</v>
      </c>
      <c r="AU430" s="1120">
        <f t="shared" si="471"/>
        <v>1</v>
      </c>
      <c r="AV430" s="1120">
        <f t="shared" si="472"/>
        <v>1</v>
      </c>
      <c r="AW430" s="1120">
        <f t="shared" si="473"/>
        <v>1</v>
      </c>
      <c r="AX430" s="1120">
        <f t="shared" si="474"/>
        <v>1</v>
      </c>
      <c r="AY430" s="1120">
        <f t="shared" si="475"/>
        <v>0</v>
      </c>
      <c r="AZ430" s="1120">
        <f t="shared" si="476"/>
        <v>0</v>
      </c>
      <c r="BA430" s="1120">
        <f t="shared" si="477"/>
        <v>0</v>
      </c>
      <c r="BB430" s="1120">
        <f t="shared" si="478"/>
        <v>0</v>
      </c>
      <c r="BC430" s="1120">
        <f t="shared" si="479"/>
        <v>0</v>
      </c>
      <c r="BD430" s="1120">
        <f t="shared" si="480"/>
        <v>0</v>
      </c>
      <c r="BE430" s="1120">
        <f t="shared" si="481"/>
        <v>1</v>
      </c>
      <c r="BF430" s="1120">
        <f t="shared" si="482"/>
        <v>1</v>
      </c>
      <c r="BG430" s="1120">
        <f t="shared" si="483"/>
        <v>0</v>
      </c>
      <c r="BH430" s="1120">
        <f t="shared" si="484"/>
        <v>0</v>
      </c>
      <c r="BI430" s="1120">
        <f t="shared" si="485"/>
        <v>0</v>
      </c>
      <c r="BJ430" s="1120">
        <f t="shared" si="486"/>
        <v>0</v>
      </c>
      <c r="BK430" s="1120">
        <f t="shared" si="487"/>
        <v>1</v>
      </c>
      <c r="BL430" s="1120">
        <f t="shared" si="488"/>
        <v>1</v>
      </c>
      <c r="BM430" s="1120">
        <f t="shared" si="489"/>
        <v>1</v>
      </c>
      <c r="BN430" s="1120">
        <f t="shared" si="490"/>
        <v>1</v>
      </c>
      <c r="BO430" s="1120">
        <f t="shared" si="491"/>
        <v>1</v>
      </c>
      <c r="BP430" s="1120">
        <f t="shared" si="492"/>
        <v>1</v>
      </c>
      <c r="BQ430" s="1120">
        <f t="shared" si="493"/>
        <v>1</v>
      </c>
      <c r="BR430" s="1120">
        <f t="shared" si="494"/>
        <v>0</v>
      </c>
      <c r="BS430" s="1120">
        <f t="shared" si="495"/>
        <v>1</v>
      </c>
      <c r="BT430" s="1120">
        <f t="shared" si="496"/>
        <v>1</v>
      </c>
      <c r="BU430" s="1120">
        <f t="shared" si="497"/>
        <v>1</v>
      </c>
      <c r="BV430" s="1120">
        <f t="shared" si="498"/>
        <v>1</v>
      </c>
      <c r="BW430" s="1120">
        <f t="shared" si="499"/>
        <v>0</v>
      </c>
      <c r="BX430" s="1120">
        <f t="shared" si="500"/>
        <v>0</v>
      </c>
      <c r="BY430" s="1120">
        <f t="shared" si="501"/>
        <v>0</v>
      </c>
      <c r="BZ430" s="1120">
        <f t="shared" si="502"/>
        <v>0</v>
      </c>
      <c r="CA430" s="1120">
        <f t="shared" si="503"/>
        <v>0</v>
      </c>
      <c r="CB430" s="1120">
        <f t="shared" si="504"/>
        <v>1</v>
      </c>
      <c r="CC430" s="1120">
        <f t="shared" si="505"/>
        <v>1</v>
      </c>
      <c r="CD430" s="1120">
        <f t="shared" si="506"/>
        <v>1</v>
      </c>
      <c r="CE430" s="1120">
        <f t="shared" si="507"/>
        <v>1</v>
      </c>
      <c r="CF430" s="1120">
        <f t="shared" si="508"/>
        <v>0</v>
      </c>
      <c r="CG430" s="1120">
        <f t="shared" si="509"/>
        <v>0</v>
      </c>
      <c r="CH430" s="1120">
        <f t="shared" si="510"/>
        <v>0</v>
      </c>
      <c r="CI430" s="1120">
        <f t="shared" si="511"/>
        <v>0.85</v>
      </c>
      <c r="CJ430" s="1120">
        <f t="shared" si="512"/>
        <v>0.85</v>
      </c>
      <c r="CK430" s="1120">
        <f t="shared" si="513"/>
        <v>0.85</v>
      </c>
      <c r="CL430" s="1120">
        <f t="shared" si="514"/>
        <v>0.85</v>
      </c>
      <c r="CM430" s="1120">
        <f t="shared" si="515"/>
        <v>0.85</v>
      </c>
      <c r="CN430" s="1120">
        <f t="shared" si="516"/>
        <v>0.85</v>
      </c>
      <c r="CO430" s="1120">
        <f t="shared" si="517"/>
        <v>0.85</v>
      </c>
      <c r="CP430" s="1120">
        <f t="shared" si="518"/>
        <v>0.7</v>
      </c>
      <c r="CQ430" s="1120">
        <f t="shared" si="519"/>
        <v>0.85</v>
      </c>
      <c r="CR430" s="1120">
        <f t="shared" si="520"/>
        <v>0.85</v>
      </c>
      <c r="CS430" s="1120">
        <f t="shared" si="521"/>
        <v>0.85</v>
      </c>
      <c r="CT430" s="1120">
        <f t="shared" si="522"/>
        <v>0.85</v>
      </c>
      <c r="CU430" s="1120">
        <v>1</v>
      </c>
      <c r="CV430" s="1120"/>
      <c r="CW430" s="1120">
        <f t="shared" si="523"/>
        <v>122</v>
      </c>
      <c r="CX430" s="1120">
        <f t="shared" si="524"/>
        <v>243</v>
      </c>
      <c r="CY430" s="1135" t="s">
        <v>4889</v>
      </c>
      <c r="CZ430" s="1124" t="s">
        <v>4896</v>
      </c>
      <c r="DA430" s="1124"/>
      <c r="DB430" s="1124"/>
      <c r="DC430" s="1120" t="s">
        <v>5196</v>
      </c>
      <c r="DD430" s="1120" t="s">
        <v>249</v>
      </c>
      <c r="DE430" s="1120" t="str">
        <f t="shared" si="525"/>
        <v/>
      </c>
      <c r="DF430" s="1133">
        <v>0</v>
      </c>
      <c r="DG430" s="1120">
        <v>0</v>
      </c>
    </row>
    <row r="431" spans="1:111">
      <c r="A431" s="1125" t="s">
        <v>3633</v>
      </c>
      <c r="B431" s="1125" t="s">
        <v>2950</v>
      </c>
      <c r="C431" s="1125" t="s">
        <v>2951</v>
      </c>
      <c r="D431" s="1125" t="s">
        <v>953</v>
      </c>
      <c r="E431" s="1125">
        <v>187</v>
      </c>
      <c r="F431" s="1125">
        <v>-154.91999999999999</v>
      </c>
      <c r="G431" s="1125">
        <v>59.75</v>
      </c>
      <c r="H431" s="1125">
        <v>-9</v>
      </c>
      <c r="I431" s="1126">
        <v>-14.980000686645509</v>
      </c>
      <c r="J431" s="1126">
        <v>67.099999999999994</v>
      </c>
      <c r="K431" s="1127">
        <v>56.480000686645511</v>
      </c>
      <c r="L431" s="1125">
        <v>9532.8000000000011</v>
      </c>
      <c r="M431" s="1125">
        <v>7.2</v>
      </c>
      <c r="N431" s="1128">
        <v>30.740000021457671</v>
      </c>
      <c r="O431" s="1128">
        <v>31.279999989271165</v>
      </c>
      <c r="P431" s="1128">
        <v>31.1</v>
      </c>
      <c r="Q431" s="1128">
        <v>34.160000085830688</v>
      </c>
      <c r="R431" s="1128">
        <v>41.179999828338623</v>
      </c>
      <c r="S431" s="1128">
        <v>52.340000343322757</v>
      </c>
      <c r="T431" s="1128">
        <v>54.859999656677246</v>
      </c>
      <c r="U431" s="1128">
        <v>54.859999656677246</v>
      </c>
      <c r="V431" s="1128">
        <v>47.840000343322757</v>
      </c>
      <c r="W431" s="1128">
        <v>28.580000042915344</v>
      </c>
      <c r="X431" s="1128">
        <v>26.779999828338624</v>
      </c>
      <c r="Y431" s="1128">
        <v>25.339999914169312</v>
      </c>
      <c r="Z431" s="1128">
        <v>38.290136960140643</v>
      </c>
      <c r="AA431" s="1128">
        <f t="shared" si="451"/>
        <v>40.42097089376518</v>
      </c>
      <c r="AB431" s="1128">
        <f t="shared" si="452"/>
        <v>39.314630835988169</v>
      </c>
      <c r="AC431" s="1128">
        <f t="shared" si="453"/>
        <v>39.505233124341807</v>
      </c>
      <c r="AD431" s="1128">
        <f t="shared" si="454"/>
        <v>40.943094335096532</v>
      </c>
      <c r="AE431" s="1128">
        <f t="shared" si="455"/>
        <v>43.253413785557157</v>
      </c>
      <c r="AF431" s="1128">
        <f t="shared" si="456"/>
        <v>45.833971107860691</v>
      </c>
      <c r="AG431" s="1128">
        <f t="shared" si="457"/>
        <v>48.012104268356623</v>
      </c>
      <c r="AH431" s="1128">
        <f t="shared" si="458"/>
        <v>49.220049292713647</v>
      </c>
      <c r="AI431" s="1128">
        <f t="shared" si="459"/>
        <v>49.142936695336815</v>
      </c>
      <c r="AJ431" s="1128">
        <f t="shared" si="460"/>
        <v>47.80086706307349</v>
      </c>
      <c r="AK431" s="1128">
        <f t="shared" si="461"/>
        <v>45.54367152749218</v>
      </c>
      <c r="AL431" s="1128">
        <f t="shared" si="462"/>
        <v>42.95972288937827</v>
      </c>
      <c r="AM431" s="1125">
        <f t="shared" si="463"/>
        <v>1</v>
      </c>
      <c r="AN431" s="1125">
        <f t="shared" si="464"/>
        <v>1</v>
      </c>
      <c r="AO431" s="1125">
        <f t="shared" si="465"/>
        <v>1</v>
      </c>
      <c r="AP431" s="1125">
        <f t="shared" si="466"/>
        <v>1</v>
      </c>
      <c r="AQ431" s="1125">
        <f t="shared" si="467"/>
        <v>1</v>
      </c>
      <c r="AR431" s="1125">
        <f t="shared" si="468"/>
        <v>1</v>
      </c>
      <c r="AS431" s="1125">
        <f t="shared" si="469"/>
        <v>1</v>
      </c>
      <c r="AT431" s="1125">
        <f t="shared" si="470"/>
        <v>1</v>
      </c>
      <c r="AU431" s="1125">
        <f t="shared" si="471"/>
        <v>1</v>
      </c>
      <c r="AV431" s="1125">
        <f t="shared" si="472"/>
        <v>1</v>
      </c>
      <c r="AW431" s="1125">
        <f t="shared" si="473"/>
        <v>1</v>
      </c>
      <c r="AX431" s="1125">
        <f t="shared" si="474"/>
        <v>1</v>
      </c>
      <c r="AY431" s="1125">
        <f t="shared" si="475"/>
        <v>0</v>
      </c>
      <c r="AZ431" s="1125">
        <f t="shared" si="476"/>
        <v>0</v>
      </c>
      <c r="BA431" s="1125">
        <f t="shared" si="477"/>
        <v>0</v>
      </c>
      <c r="BB431" s="1125">
        <f t="shared" si="478"/>
        <v>0</v>
      </c>
      <c r="BC431" s="1125">
        <f t="shared" si="479"/>
        <v>0</v>
      </c>
      <c r="BD431" s="1125">
        <f t="shared" si="480"/>
        <v>0</v>
      </c>
      <c r="BE431" s="1125">
        <f t="shared" si="481"/>
        <v>1</v>
      </c>
      <c r="BF431" s="1125">
        <f t="shared" si="482"/>
        <v>1</v>
      </c>
      <c r="BG431" s="1125">
        <f t="shared" si="483"/>
        <v>0</v>
      </c>
      <c r="BH431" s="1125">
        <f t="shared" si="484"/>
        <v>0</v>
      </c>
      <c r="BI431" s="1125">
        <f t="shared" si="485"/>
        <v>0</v>
      </c>
      <c r="BJ431" s="1125">
        <f t="shared" si="486"/>
        <v>0</v>
      </c>
      <c r="BK431" s="1125">
        <f t="shared" si="487"/>
        <v>1</v>
      </c>
      <c r="BL431" s="1125">
        <f t="shared" si="488"/>
        <v>1</v>
      </c>
      <c r="BM431" s="1125">
        <f t="shared" si="489"/>
        <v>1</v>
      </c>
      <c r="BN431" s="1125">
        <f t="shared" si="490"/>
        <v>1</v>
      </c>
      <c r="BO431" s="1125">
        <f t="shared" si="491"/>
        <v>1</v>
      </c>
      <c r="BP431" s="1125">
        <f t="shared" si="492"/>
        <v>1</v>
      </c>
      <c r="BQ431" s="1125">
        <f t="shared" si="493"/>
        <v>1</v>
      </c>
      <c r="BR431" s="1125">
        <f t="shared" si="494"/>
        <v>1</v>
      </c>
      <c r="BS431" s="1125">
        <f t="shared" si="495"/>
        <v>1</v>
      </c>
      <c r="BT431" s="1125">
        <f t="shared" si="496"/>
        <v>1</v>
      </c>
      <c r="BU431" s="1125">
        <f t="shared" si="497"/>
        <v>1</v>
      </c>
      <c r="BV431" s="1125">
        <f t="shared" si="498"/>
        <v>1</v>
      </c>
      <c r="BW431" s="1125">
        <f t="shared" si="499"/>
        <v>0</v>
      </c>
      <c r="BX431" s="1125">
        <f t="shared" si="500"/>
        <v>0</v>
      </c>
      <c r="BY431" s="1125">
        <f t="shared" si="501"/>
        <v>0</v>
      </c>
      <c r="BZ431" s="1125">
        <f t="shared" si="502"/>
        <v>0</v>
      </c>
      <c r="CA431" s="1125">
        <f t="shared" si="503"/>
        <v>0</v>
      </c>
      <c r="CB431" s="1125">
        <f t="shared" si="504"/>
        <v>0</v>
      </c>
      <c r="CC431" s="1125">
        <f t="shared" si="505"/>
        <v>1</v>
      </c>
      <c r="CD431" s="1125">
        <f t="shared" si="506"/>
        <v>1</v>
      </c>
      <c r="CE431" s="1125">
        <f t="shared" si="507"/>
        <v>0</v>
      </c>
      <c r="CF431" s="1125">
        <f t="shared" si="508"/>
        <v>0</v>
      </c>
      <c r="CG431" s="1125">
        <f t="shared" si="509"/>
        <v>0</v>
      </c>
      <c r="CH431" s="1125">
        <f t="shared" si="510"/>
        <v>0</v>
      </c>
      <c r="CI431" s="1125">
        <f t="shared" si="511"/>
        <v>0.85</v>
      </c>
      <c r="CJ431" s="1125">
        <f t="shared" si="512"/>
        <v>0.85</v>
      </c>
      <c r="CK431" s="1125">
        <f t="shared" si="513"/>
        <v>0.85</v>
      </c>
      <c r="CL431" s="1125">
        <f t="shared" si="514"/>
        <v>0.85</v>
      </c>
      <c r="CM431" s="1125">
        <f t="shared" si="515"/>
        <v>0.85</v>
      </c>
      <c r="CN431" s="1125">
        <f t="shared" si="516"/>
        <v>0.85</v>
      </c>
      <c r="CO431" s="1125">
        <f t="shared" si="517"/>
        <v>0.85</v>
      </c>
      <c r="CP431" s="1125">
        <f t="shared" si="518"/>
        <v>0.85</v>
      </c>
      <c r="CQ431" s="1125">
        <f t="shared" si="519"/>
        <v>0.85</v>
      </c>
      <c r="CR431" s="1125">
        <f t="shared" si="520"/>
        <v>0.85</v>
      </c>
      <c r="CS431" s="1125">
        <f t="shared" si="521"/>
        <v>0.85</v>
      </c>
      <c r="CT431" s="1125">
        <f t="shared" si="522"/>
        <v>0.85</v>
      </c>
      <c r="CU431" s="1125">
        <v>1</v>
      </c>
      <c r="CV431" s="1125"/>
      <c r="CW431" s="1125">
        <f t="shared" si="523"/>
        <v>62</v>
      </c>
      <c r="CX431" s="1125">
        <f t="shared" si="524"/>
        <v>303</v>
      </c>
      <c r="CY431" s="1136" t="s">
        <v>4879</v>
      </c>
      <c r="CZ431" s="1129">
        <v>7</v>
      </c>
      <c r="DA431" s="1129"/>
      <c r="DB431" s="1129"/>
      <c r="DC431" s="1125" t="s">
        <v>4936</v>
      </c>
      <c r="DD431" s="1125" t="s">
        <v>953</v>
      </c>
      <c r="DE431" s="1125" t="str">
        <f t="shared" si="525"/>
        <v/>
      </c>
      <c r="DF431" s="1125">
        <v>1</v>
      </c>
      <c r="DG431" s="1125">
        <v>0</v>
      </c>
    </row>
    <row r="432" spans="1:111">
      <c r="A432" s="1120" t="s">
        <v>3635</v>
      </c>
      <c r="B432" s="1125" t="s">
        <v>4012</v>
      </c>
      <c r="C432" s="1125" t="s">
        <v>4013</v>
      </c>
      <c r="D432" s="1125" t="s">
        <v>771</v>
      </c>
      <c r="E432" s="1125">
        <v>3273</v>
      </c>
      <c r="F432" s="1125">
        <v>-101.62</v>
      </c>
      <c r="G432" s="1125">
        <v>40.520000000000003</v>
      </c>
      <c r="H432" s="1125">
        <v>-7</v>
      </c>
      <c r="I432" s="1126">
        <v>1.7600013732910149</v>
      </c>
      <c r="J432" s="1126">
        <v>98.779997253417974</v>
      </c>
      <c r="K432" s="1127">
        <v>69.980000686645511</v>
      </c>
      <c r="L432" s="1125">
        <v>5882.4000000000005</v>
      </c>
      <c r="M432" s="1125">
        <v>1015.2</v>
      </c>
      <c r="N432" s="1128">
        <v>30.559999978542329</v>
      </c>
      <c r="O432" s="1128">
        <v>34.700000000000003</v>
      </c>
      <c r="P432" s="1128">
        <v>32</v>
      </c>
      <c r="Q432" s="1128">
        <v>49.459999656677248</v>
      </c>
      <c r="R432" s="1128">
        <v>59</v>
      </c>
      <c r="S432" s="1128">
        <v>70.519999313354489</v>
      </c>
      <c r="T432" s="1128">
        <v>77.360001373291013</v>
      </c>
      <c r="U432" s="1128">
        <v>73.039998626708979</v>
      </c>
      <c r="V432" s="1128">
        <v>64.219999313354492</v>
      </c>
      <c r="W432" s="1128">
        <v>51.440000343322751</v>
      </c>
      <c r="X432" s="1128">
        <v>38.299999999999997</v>
      </c>
      <c r="Y432" s="1128">
        <v>31.1</v>
      </c>
      <c r="Z432" s="1128">
        <v>51.057808105423028</v>
      </c>
      <c r="AA432" s="1128">
        <f t="shared" si="451"/>
        <v>47.294993821679583</v>
      </c>
      <c r="AB432" s="1128">
        <f t="shared" si="452"/>
        <v>46.053184517039185</v>
      </c>
      <c r="AC432" s="1128">
        <f t="shared" si="453"/>
        <v>47.679899937093872</v>
      </c>
      <c r="AD432" s="1128">
        <f t="shared" si="454"/>
        <v>51.751111639162943</v>
      </c>
      <c r="AE432" s="1128">
        <f t="shared" si="455"/>
        <v>57.205595553830676</v>
      </c>
      <c r="AF432" s="1128">
        <f t="shared" si="456"/>
        <v>62.621556392597434</v>
      </c>
      <c r="AG432" s="1128">
        <f t="shared" si="457"/>
        <v>66.587240500355747</v>
      </c>
      <c r="AH432" s="1128">
        <f t="shared" si="458"/>
        <v>68.068931201376444</v>
      </c>
      <c r="AI432" s="1128">
        <f t="shared" si="459"/>
        <v>66.680402980893604</v>
      </c>
      <c r="AJ432" s="1128">
        <f t="shared" si="460"/>
        <v>62.783597117443662</v>
      </c>
      <c r="AK432" s="1128">
        <f t="shared" si="461"/>
        <v>57.394276110930953</v>
      </c>
      <c r="AL432" s="1128">
        <f t="shared" si="462"/>
        <v>51.917249533653703</v>
      </c>
      <c r="AM432" s="1125">
        <f t="shared" si="463"/>
        <v>1</v>
      </c>
      <c r="AN432" s="1125">
        <f t="shared" si="464"/>
        <v>1</v>
      </c>
      <c r="AO432" s="1125">
        <f t="shared" si="465"/>
        <v>1</v>
      </c>
      <c r="AP432" s="1125">
        <f t="shared" si="466"/>
        <v>1</v>
      </c>
      <c r="AQ432" s="1125">
        <f t="shared" si="467"/>
        <v>1</v>
      </c>
      <c r="AR432" s="1125">
        <f t="shared" si="468"/>
        <v>0</v>
      </c>
      <c r="AS432" s="1125">
        <f t="shared" si="469"/>
        <v>0</v>
      </c>
      <c r="AT432" s="1125">
        <f t="shared" si="470"/>
        <v>0</v>
      </c>
      <c r="AU432" s="1125">
        <f t="shared" si="471"/>
        <v>1</v>
      </c>
      <c r="AV432" s="1125">
        <f t="shared" si="472"/>
        <v>1</v>
      </c>
      <c r="AW432" s="1125">
        <f t="shared" si="473"/>
        <v>1</v>
      </c>
      <c r="AX432" s="1125">
        <f t="shared" si="474"/>
        <v>1</v>
      </c>
      <c r="AY432" s="1125">
        <f t="shared" si="475"/>
        <v>0</v>
      </c>
      <c r="AZ432" s="1125">
        <f t="shared" si="476"/>
        <v>0</v>
      </c>
      <c r="BA432" s="1125">
        <f t="shared" si="477"/>
        <v>0</v>
      </c>
      <c r="BB432" s="1125">
        <f t="shared" si="478"/>
        <v>0</v>
      </c>
      <c r="BC432" s="1125">
        <f t="shared" si="479"/>
        <v>0</v>
      </c>
      <c r="BD432" s="1125">
        <f t="shared" si="480"/>
        <v>1</v>
      </c>
      <c r="BE432" s="1125">
        <f t="shared" si="481"/>
        <v>1</v>
      </c>
      <c r="BF432" s="1125">
        <f t="shared" si="482"/>
        <v>1</v>
      </c>
      <c r="BG432" s="1125">
        <f t="shared" si="483"/>
        <v>0</v>
      </c>
      <c r="BH432" s="1125">
        <f t="shared" si="484"/>
        <v>0</v>
      </c>
      <c r="BI432" s="1125">
        <f t="shared" si="485"/>
        <v>0</v>
      </c>
      <c r="BJ432" s="1125">
        <f t="shared" si="486"/>
        <v>0</v>
      </c>
      <c r="BK432" s="1125">
        <f t="shared" si="487"/>
        <v>1</v>
      </c>
      <c r="BL432" s="1125">
        <f t="shared" si="488"/>
        <v>1</v>
      </c>
      <c r="BM432" s="1125">
        <f t="shared" si="489"/>
        <v>1</v>
      </c>
      <c r="BN432" s="1125">
        <f t="shared" si="490"/>
        <v>1</v>
      </c>
      <c r="BO432" s="1125">
        <f t="shared" si="491"/>
        <v>1</v>
      </c>
      <c r="BP432" s="1125">
        <f t="shared" si="492"/>
        <v>1</v>
      </c>
      <c r="BQ432" s="1125">
        <f t="shared" si="493"/>
        <v>0</v>
      </c>
      <c r="BR432" s="1125">
        <f t="shared" si="494"/>
        <v>0</v>
      </c>
      <c r="BS432" s="1125">
        <f t="shared" si="495"/>
        <v>1</v>
      </c>
      <c r="BT432" s="1125">
        <f t="shared" si="496"/>
        <v>1</v>
      </c>
      <c r="BU432" s="1125">
        <f t="shared" si="497"/>
        <v>1</v>
      </c>
      <c r="BV432" s="1125">
        <f t="shared" si="498"/>
        <v>1</v>
      </c>
      <c r="BW432" s="1125">
        <f t="shared" si="499"/>
        <v>0</v>
      </c>
      <c r="BX432" s="1125">
        <f t="shared" si="500"/>
        <v>0</v>
      </c>
      <c r="BY432" s="1125">
        <f t="shared" si="501"/>
        <v>0</v>
      </c>
      <c r="BZ432" s="1125">
        <f t="shared" si="502"/>
        <v>0</v>
      </c>
      <c r="CA432" s="1125">
        <f t="shared" si="503"/>
        <v>1</v>
      </c>
      <c r="CB432" s="1125">
        <f t="shared" si="504"/>
        <v>1</v>
      </c>
      <c r="CC432" s="1125">
        <f t="shared" si="505"/>
        <v>1</v>
      </c>
      <c r="CD432" s="1125">
        <f t="shared" si="506"/>
        <v>1</v>
      </c>
      <c r="CE432" s="1125">
        <f t="shared" si="507"/>
        <v>1</v>
      </c>
      <c r="CF432" s="1125">
        <f t="shared" si="508"/>
        <v>0</v>
      </c>
      <c r="CG432" s="1125">
        <f t="shared" si="509"/>
        <v>0</v>
      </c>
      <c r="CH432" s="1125">
        <f t="shared" si="510"/>
        <v>0</v>
      </c>
      <c r="CI432" s="1125">
        <f t="shared" si="511"/>
        <v>0.85</v>
      </c>
      <c r="CJ432" s="1125">
        <f t="shared" si="512"/>
        <v>0.85</v>
      </c>
      <c r="CK432" s="1125">
        <f t="shared" si="513"/>
        <v>0.85</v>
      </c>
      <c r="CL432" s="1125">
        <f t="shared" si="514"/>
        <v>0.85</v>
      </c>
      <c r="CM432" s="1125">
        <f t="shared" si="515"/>
        <v>0.85</v>
      </c>
      <c r="CN432" s="1125">
        <f t="shared" si="516"/>
        <v>0.85</v>
      </c>
      <c r="CO432" s="1125">
        <f t="shared" si="517"/>
        <v>0.7</v>
      </c>
      <c r="CP432" s="1125">
        <f t="shared" si="518"/>
        <v>0.7</v>
      </c>
      <c r="CQ432" s="1125">
        <f t="shared" si="519"/>
        <v>0.85</v>
      </c>
      <c r="CR432" s="1125">
        <f t="shared" si="520"/>
        <v>0.85</v>
      </c>
      <c r="CS432" s="1125">
        <f t="shared" si="521"/>
        <v>0.85</v>
      </c>
      <c r="CT432" s="1125">
        <f t="shared" si="522"/>
        <v>0.85</v>
      </c>
      <c r="CU432" s="1125">
        <v>1</v>
      </c>
      <c r="CV432" s="1125"/>
      <c r="CW432" s="1125">
        <f t="shared" si="523"/>
        <v>153</v>
      </c>
      <c r="CX432" s="1125">
        <f t="shared" si="524"/>
        <v>212</v>
      </c>
      <c r="CY432" s="1135" t="s">
        <v>4889</v>
      </c>
      <c r="CZ432" s="1124" t="s">
        <v>4897</v>
      </c>
      <c r="DA432" s="1124"/>
      <c r="DB432" s="1124"/>
      <c r="DC432" s="1120" t="s">
        <v>5421</v>
      </c>
      <c r="DD432" s="1120" t="s">
        <v>771</v>
      </c>
      <c r="DE432" s="1120" t="str">
        <f t="shared" si="525"/>
        <v/>
      </c>
      <c r="DF432" s="1133">
        <v>0</v>
      </c>
      <c r="DG432" s="1120">
        <v>0</v>
      </c>
    </row>
    <row r="433" spans="1:111">
      <c r="A433" s="1125" t="s">
        <v>3637</v>
      </c>
      <c r="B433" s="1125" t="s">
        <v>3122</v>
      </c>
      <c r="C433" s="1125" t="s">
        <v>3123</v>
      </c>
      <c r="D433" s="1125" t="s">
        <v>954</v>
      </c>
      <c r="E433" s="1125">
        <v>-56</v>
      </c>
      <c r="F433" s="1125">
        <v>-115.58</v>
      </c>
      <c r="G433" s="1125">
        <v>32.83</v>
      </c>
      <c r="H433" s="1125">
        <v>-8</v>
      </c>
      <c r="I433" s="1126">
        <v>37.4</v>
      </c>
      <c r="J433" s="1126">
        <v>108.86000137329101</v>
      </c>
      <c r="K433" s="1127">
        <v>73.400000000000006</v>
      </c>
      <c r="L433" s="1125">
        <v>858.6</v>
      </c>
      <c r="M433" s="1125">
        <v>4384.8</v>
      </c>
      <c r="N433" s="1128">
        <v>56.480000686645511</v>
      </c>
      <c r="O433" s="1128">
        <v>57.740000343322755</v>
      </c>
      <c r="P433" s="1128">
        <v>66.019999313354489</v>
      </c>
      <c r="Q433" s="1128">
        <v>73.580000686645505</v>
      </c>
      <c r="R433" s="1128">
        <v>80.239998626708982</v>
      </c>
      <c r="S433" s="1128">
        <v>89.239998626708982</v>
      </c>
      <c r="T433" s="1128">
        <v>92.3</v>
      </c>
      <c r="U433" s="1128">
        <v>91.4</v>
      </c>
      <c r="V433" s="1128">
        <v>88.7</v>
      </c>
      <c r="W433" s="1128">
        <v>73.219999313354492</v>
      </c>
      <c r="X433" s="1128">
        <v>63.86000137329102</v>
      </c>
      <c r="Y433" s="1128">
        <v>55.040000343322752</v>
      </c>
      <c r="Z433" s="1128">
        <v>74.06526021095172</v>
      </c>
      <c r="AA433" s="1128">
        <f t="shared" si="451"/>
        <v>67.059141741433422</v>
      </c>
      <c r="AB433" s="1128">
        <f t="shared" si="452"/>
        <v>68.207725701956434</v>
      </c>
      <c r="AC433" s="1128">
        <f t="shared" si="453"/>
        <v>72.447158762387033</v>
      </c>
      <c r="AD433" s="1128">
        <f t="shared" si="454"/>
        <v>78.672367363882969</v>
      </c>
      <c r="AE433" s="1128">
        <f t="shared" si="455"/>
        <v>85.260654951095887</v>
      </c>
      <c r="AF433" s="1128">
        <f t="shared" si="456"/>
        <v>90.494682835833785</v>
      </c>
      <c r="AG433" s="1128">
        <f t="shared" si="457"/>
        <v>93.010120991128503</v>
      </c>
      <c r="AH433" s="1128">
        <f t="shared" si="458"/>
        <v>92.151281697727114</v>
      </c>
      <c r="AI433" s="1128">
        <f t="shared" si="459"/>
        <v>88.142034652568839</v>
      </c>
      <c r="AJ433" s="1128">
        <f t="shared" si="460"/>
        <v>82.027451882341325</v>
      </c>
      <c r="AK433" s="1128">
        <f t="shared" si="461"/>
        <v>75.401393614677161</v>
      </c>
      <c r="AL433" s="1128">
        <f t="shared" si="462"/>
        <v>69.991044047691759</v>
      </c>
      <c r="AM433" s="1125">
        <f t="shared" si="463"/>
        <v>1</v>
      </c>
      <c r="AN433" s="1125">
        <f t="shared" si="464"/>
        <v>1</v>
      </c>
      <c r="AO433" s="1125">
        <f t="shared" si="465"/>
        <v>0</v>
      </c>
      <c r="AP433" s="1125">
        <f t="shared" si="466"/>
        <v>0</v>
      </c>
      <c r="AQ433" s="1125">
        <f t="shared" si="467"/>
        <v>0</v>
      </c>
      <c r="AR433" s="1125">
        <f t="shared" si="468"/>
        <v>0</v>
      </c>
      <c r="AS433" s="1125">
        <f t="shared" si="469"/>
        <v>0</v>
      </c>
      <c r="AT433" s="1125">
        <f t="shared" si="470"/>
        <v>0</v>
      </c>
      <c r="AU433" s="1125">
        <f t="shared" si="471"/>
        <v>0</v>
      </c>
      <c r="AV433" s="1125">
        <f t="shared" si="472"/>
        <v>0</v>
      </c>
      <c r="AW433" s="1125">
        <f t="shared" si="473"/>
        <v>1</v>
      </c>
      <c r="AX433" s="1125">
        <f t="shared" si="474"/>
        <v>1</v>
      </c>
      <c r="AY433" s="1125">
        <f t="shared" si="475"/>
        <v>0</v>
      </c>
      <c r="AZ433" s="1125">
        <f t="shared" si="476"/>
        <v>0</v>
      </c>
      <c r="BA433" s="1125">
        <f t="shared" si="477"/>
        <v>1</v>
      </c>
      <c r="BB433" s="1125">
        <f t="shared" si="478"/>
        <v>1</v>
      </c>
      <c r="BC433" s="1125">
        <f t="shared" si="479"/>
        <v>1</v>
      </c>
      <c r="BD433" s="1125">
        <f t="shared" si="480"/>
        <v>1</v>
      </c>
      <c r="BE433" s="1125">
        <f t="shared" si="481"/>
        <v>1</v>
      </c>
      <c r="BF433" s="1125">
        <f t="shared" si="482"/>
        <v>1</v>
      </c>
      <c r="BG433" s="1125">
        <f t="shared" si="483"/>
        <v>1</v>
      </c>
      <c r="BH433" s="1125">
        <f t="shared" si="484"/>
        <v>1</v>
      </c>
      <c r="BI433" s="1125">
        <f t="shared" si="485"/>
        <v>0</v>
      </c>
      <c r="BJ433" s="1125">
        <f t="shared" si="486"/>
        <v>0</v>
      </c>
      <c r="BK433" s="1125">
        <f t="shared" si="487"/>
        <v>1</v>
      </c>
      <c r="BL433" s="1125">
        <f t="shared" si="488"/>
        <v>1</v>
      </c>
      <c r="BM433" s="1125">
        <f t="shared" si="489"/>
        <v>1</v>
      </c>
      <c r="BN433" s="1125">
        <f t="shared" si="490"/>
        <v>0</v>
      </c>
      <c r="BO433" s="1125">
        <f t="shared" si="491"/>
        <v>0</v>
      </c>
      <c r="BP433" s="1125">
        <f t="shared" si="492"/>
        <v>0</v>
      </c>
      <c r="BQ433" s="1125">
        <f t="shared" si="493"/>
        <v>0</v>
      </c>
      <c r="BR433" s="1125">
        <f t="shared" si="494"/>
        <v>0</v>
      </c>
      <c r="BS433" s="1125">
        <f t="shared" si="495"/>
        <v>0</v>
      </c>
      <c r="BT433" s="1125">
        <f t="shared" si="496"/>
        <v>0</v>
      </c>
      <c r="BU433" s="1125">
        <f t="shared" si="497"/>
        <v>1</v>
      </c>
      <c r="BV433" s="1125">
        <f t="shared" si="498"/>
        <v>1</v>
      </c>
      <c r="BW433" s="1125">
        <f t="shared" si="499"/>
        <v>0</v>
      </c>
      <c r="BX433" s="1125">
        <f t="shared" si="500"/>
        <v>1</v>
      </c>
      <c r="BY433" s="1125">
        <f t="shared" si="501"/>
        <v>1</v>
      </c>
      <c r="BZ433" s="1125">
        <f t="shared" si="502"/>
        <v>1</v>
      </c>
      <c r="CA433" s="1125">
        <f t="shared" si="503"/>
        <v>1</v>
      </c>
      <c r="CB433" s="1125">
        <f t="shared" si="504"/>
        <v>1</v>
      </c>
      <c r="CC433" s="1125">
        <f t="shared" si="505"/>
        <v>1</v>
      </c>
      <c r="CD433" s="1125">
        <f t="shared" si="506"/>
        <v>1</v>
      </c>
      <c r="CE433" s="1125">
        <f t="shared" si="507"/>
        <v>1</v>
      </c>
      <c r="CF433" s="1125">
        <f t="shared" si="508"/>
        <v>1</v>
      </c>
      <c r="CG433" s="1125">
        <f t="shared" si="509"/>
        <v>1</v>
      </c>
      <c r="CH433" s="1125">
        <f t="shared" si="510"/>
        <v>0</v>
      </c>
      <c r="CI433" s="1125">
        <f t="shared" si="511"/>
        <v>0.85</v>
      </c>
      <c r="CJ433" s="1125">
        <f t="shared" si="512"/>
        <v>0.85</v>
      </c>
      <c r="CK433" s="1125">
        <f t="shared" si="513"/>
        <v>0.85</v>
      </c>
      <c r="CL433" s="1125">
        <f t="shared" si="514"/>
        <v>0.7</v>
      </c>
      <c r="CM433" s="1125">
        <f t="shared" si="515"/>
        <v>0.7</v>
      </c>
      <c r="CN433" s="1125">
        <f t="shared" si="516"/>
        <v>0.7</v>
      </c>
      <c r="CO433" s="1125">
        <f t="shared" si="517"/>
        <v>0.7</v>
      </c>
      <c r="CP433" s="1125">
        <f t="shared" si="518"/>
        <v>0.7</v>
      </c>
      <c r="CQ433" s="1125">
        <f t="shared" si="519"/>
        <v>0.7</v>
      </c>
      <c r="CR433" s="1125">
        <f t="shared" si="520"/>
        <v>0.7</v>
      </c>
      <c r="CS433" s="1125">
        <f t="shared" si="521"/>
        <v>0.85</v>
      </c>
      <c r="CT433" s="1125">
        <f t="shared" si="522"/>
        <v>0.85</v>
      </c>
      <c r="CU433" s="1125">
        <v>1</v>
      </c>
      <c r="CV433" s="1125"/>
      <c r="CW433" s="1125">
        <f t="shared" si="523"/>
        <v>303</v>
      </c>
      <c r="CX433" s="1125">
        <f t="shared" si="524"/>
        <v>62</v>
      </c>
      <c r="CY433" s="1135" t="s">
        <v>4886</v>
      </c>
      <c r="CZ433" s="1124" t="s">
        <v>4887</v>
      </c>
      <c r="DA433" s="1124"/>
      <c r="DB433" s="1124"/>
      <c r="DC433" s="1120" t="s">
        <v>5027</v>
      </c>
      <c r="DD433" s="1120" t="s">
        <v>954</v>
      </c>
      <c r="DE433" s="1120" t="str">
        <f t="shared" si="525"/>
        <v/>
      </c>
      <c r="DF433" s="1125">
        <v>1</v>
      </c>
      <c r="DG433" s="1125">
        <v>0</v>
      </c>
    </row>
    <row r="434" spans="1:111">
      <c r="A434" s="1120" t="s">
        <v>3641</v>
      </c>
      <c r="B434" s="1120" t="s">
        <v>3541</v>
      </c>
      <c r="C434" s="1120" t="s">
        <v>3542</v>
      </c>
      <c r="D434" s="1120" t="s">
        <v>283</v>
      </c>
      <c r="E434" s="1120">
        <v>790</v>
      </c>
      <c r="F434" s="1120">
        <v>-86.27</v>
      </c>
      <c r="G434" s="1120">
        <v>39.72</v>
      </c>
      <c r="H434" s="1120">
        <v>-5</v>
      </c>
      <c r="I434" s="1121">
        <v>6.4400003433227528</v>
      </c>
      <c r="J434" s="1121">
        <v>88.7</v>
      </c>
      <c r="K434" s="1122">
        <v>74.3</v>
      </c>
      <c r="L434" s="1120">
        <v>5677.2</v>
      </c>
      <c r="M434" s="1120">
        <v>1114.2</v>
      </c>
      <c r="N434" s="1123">
        <v>24.079999828338622</v>
      </c>
      <c r="O434" s="1123">
        <v>26.6</v>
      </c>
      <c r="P434" s="1123">
        <v>43.52000017166138</v>
      </c>
      <c r="Q434" s="1123">
        <v>52.7</v>
      </c>
      <c r="R434" s="1123">
        <v>64.400000000000006</v>
      </c>
      <c r="S434" s="1123">
        <v>72.680000686645513</v>
      </c>
      <c r="T434" s="1123">
        <v>76.280000686645508</v>
      </c>
      <c r="U434" s="1123">
        <v>73.580000686645505</v>
      </c>
      <c r="V434" s="1123">
        <v>64.760001373291018</v>
      </c>
      <c r="W434" s="1123">
        <v>52.880000686645509</v>
      </c>
      <c r="X434" s="1123">
        <v>41.179999828338623</v>
      </c>
      <c r="Y434" s="1123">
        <v>28.4</v>
      </c>
      <c r="Z434" s="1123">
        <v>51.895178412345992</v>
      </c>
      <c r="AA434" s="1123">
        <f t="shared" si="451"/>
        <v>46.729949303809718</v>
      </c>
      <c r="AB434" s="1123">
        <f t="shared" si="452"/>
        <v>45.410048780712621</v>
      </c>
      <c r="AC434" s="1123">
        <f t="shared" si="453"/>
        <v>47.344589697772335</v>
      </c>
      <c r="AD434" s="1123">
        <f t="shared" si="454"/>
        <v>52.029304152779311</v>
      </c>
      <c r="AE434" s="1123">
        <f t="shared" si="455"/>
        <v>58.243049129400937</v>
      </c>
      <c r="AF434" s="1123">
        <f t="shared" si="456"/>
        <v>64.366116242772165</v>
      </c>
      <c r="AG434" s="1123">
        <f t="shared" si="457"/>
        <v>68.802433690472355</v>
      </c>
      <c r="AH434" s="1123">
        <f t="shared" si="458"/>
        <v>70.395606964037142</v>
      </c>
      <c r="AI434" s="1123">
        <f t="shared" si="459"/>
        <v>68.730350898168567</v>
      </c>
      <c r="AJ434" s="1123">
        <f t="shared" si="460"/>
        <v>64.240740148808044</v>
      </c>
      <c r="AK434" s="1123">
        <f t="shared" si="461"/>
        <v>58.097060944772288</v>
      </c>
      <c r="AL434" s="1123">
        <f t="shared" si="462"/>
        <v>51.900757947555633</v>
      </c>
      <c r="AM434" s="1120">
        <f t="shared" si="463"/>
        <v>1</v>
      </c>
      <c r="AN434" s="1120">
        <f t="shared" si="464"/>
        <v>1</v>
      </c>
      <c r="AO434" s="1120">
        <f t="shared" si="465"/>
        <v>1</v>
      </c>
      <c r="AP434" s="1120">
        <f t="shared" si="466"/>
        <v>1</v>
      </c>
      <c r="AQ434" s="1120">
        <f t="shared" si="467"/>
        <v>1</v>
      </c>
      <c r="AR434" s="1120">
        <f t="shared" si="468"/>
        <v>0</v>
      </c>
      <c r="AS434" s="1120">
        <f t="shared" si="469"/>
        <v>0</v>
      </c>
      <c r="AT434" s="1120">
        <f t="shared" si="470"/>
        <v>0</v>
      </c>
      <c r="AU434" s="1120">
        <f t="shared" si="471"/>
        <v>1</v>
      </c>
      <c r="AV434" s="1120">
        <f t="shared" si="472"/>
        <v>1</v>
      </c>
      <c r="AW434" s="1120">
        <f t="shared" si="473"/>
        <v>1</v>
      </c>
      <c r="AX434" s="1120">
        <f t="shared" si="474"/>
        <v>1</v>
      </c>
      <c r="AY434" s="1120">
        <f t="shared" si="475"/>
        <v>0</v>
      </c>
      <c r="AZ434" s="1120">
        <f t="shared" si="476"/>
        <v>0</v>
      </c>
      <c r="BA434" s="1120">
        <f t="shared" si="477"/>
        <v>0</v>
      </c>
      <c r="BB434" s="1120">
        <f t="shared" si="478"/>
        <v>0</v>
      </c>
      <c r="BC434" s="1120">
        <f t="shared" si="479"/>
        <v>0</v>
      </c>
      <c r="BD434" s="1120">
        <f t="shared" si="480"/>
        <v>1</v>
      </c>
      <c r="BE434" s="1120">
        <f t="shared" si="481"/>
        <v>1</v>
      </c>
      <c r="BF434" s="1120">
        <f t="shared" si="482"/>
        <v>1</v>
      </c>
      <c r="BG434" s="1120">
        <f t="shared" si="483"/>
        <v>0</v>
      </c>
      <c r="BH434" s="1120">
        <f t="shared" si="484"/>
        <v>0</v>
      </c>
      <c r="BI434" s="1120">
        <f t="shared" si="485"/>
        <v>0</v>
      </c>
      <c r="BJ434" s="1120">
        <f t="shared" si="486"/>
        <v>0</v>
      </c>
      <c r="BK434" s="1120">
        <f t="shared" si="487"/>
        <v>1</v>
      </c>
      <c r="BL434" s="1120">
        <f t="shared" si="488"/>
        <v>1</v>
      </c>
      <c r="BM434" s="1120">
        <f t="shared" si="489"/>
        <v>1</v>
      </c>
      <c r="BN434" s="1120">
        <f t="shared" si="490"/>
        <v>1</v>
      </c>
      <c r="BO434" s="1120">
        <f t="shared" si="491"/>
        <v>1</v>
      </c>
      <c r="BP434" s="1120">
        <f t="shared" si="492"/>
        <v>1</v>
      </c>
      <c r="BQ434" s="1120">
        <f t="shared" si="493"/>
        <v>0</v>
      </c>
      <c r="BR434" s="1120">
        <f t="shared" si="494"/>
        <v>0</v>
      </c>
      <c r="BS434" s="1120">
        <f t="shared" si="495"/>
        <v>1</v>
      </c>
      <c r="BT434" s="1120">
        <f t="shared" si="496"/>
        <v>1</v>
      </c>
      <c r="BU434" s="1120">
        <f t="shared" si="497"/>
        <v>1</v>
      </c>
      <c r="BV434" s="1120">
        <f t="shared" si="498"/>
        <v>1</v>
      </c>
      <c r="BW434" s="1120">
        <f t="shared" si="499"/>
        <v>0</v>
      </c>
      <c r="BX434" s="1120">
        <f t="shared" si="500"/>
        <v>0</v>
      </c>
      <c r="BY434" s="1120">
        <f t="shared" si="501"/>
        <v>0</v>
      </c>
      <c r="BZ434" s="1120">
        <f t="shared" si="502"/>
        <v>0</v>
      </c>
      <c r="CA434" s="1120">
        <f t="shared" si="503"/>
        <v>1</v>
      </c>
      <c r="CB434" s="1120">
        <f t="shared" si="504"/>
        <v>1</v>
      </c>
      <c r="CC434" s="1120">
        <f t="shared" si="505"/>
        <v>1</v>
      </c>
      <c r="CD434" s="1120">
        <f t="shared" si="506"/>
        <v>1</v>
      </c>
      <c r="CE434" s="1120">
        <f t="shared" si="507"/>
        <v>1</v>
      </c>
      <c r="CF434" s="1120">
        <f t="shared" si="508"/>
        <v>0</v>
      </c>
      <c r="CG434" s="1120">
        <f t="shared" si="509"/>
        <v>0</v>
      </c>
      <c r="CH434" s="1120">
        <f t="shared" si="510"/>
        <v>0</v>
      </c>
      <c r="CI434" s="1120">
        <f t="shared" si="511"/>
        <v>0.85</v>
      </c>
      <c r="CJ434" s="1120">
        <f t="shared" si="512"/>
        <v>0.85</v>
      </c>
      <c r="CK434" s="1120">
        <f t="shared" si="513"/>
        <v>0.85</v>
      </c>
      <c r="CL434" s="1120">
        <f t="shared" si="514"/>
        <v>0.85</v>
      </c>
      <c r="CM434" s="1120">
        <f t="shared" si="515"/>
        <v>0.85</v>
      </c>
      <c r="CN434" s="1120">
        <f t="shared" si="516"/>
        <v>0.85</v>
      </c>
      <c r="CO434" s="1120">
        <f t="shared" si="517"/>
        <v>0.7</v>
      </c>
      <c r="CP434" s="1120">
        <f t="shared" si="518"/>
        <v>0.7</v>
      </c>
      <c r="CQ434" s="1120">
        <f t="shared" si="519"/>
        <v>0.85</v>
      </c>
      <c r="CR434" s="1120">
        <f t="shared" si="520"/>
        <v>0.85</v>
      </c>
      <c r="CS434" s="1120">
        <f t="shared" si="521"/>
        <v>0.85</v>
      </c>
      <c r="CT434" s="1120">
        <f t="shared" si="522"/>
        <v>0.85</v>
      </c>
      <c r="CU434" s="1120">
        <v>1</v>
      </c>
      <c r="CV434" s="1120"/>
      <c r="CW434" s="1120">
        <f t="shared" si="523"/>
        <v>153</v>
      </c>
      <c r="CX434" s="1120">
        <f t="shared" si="524"/>
        <v>212</v>
      </c>
      <c r="CY434" s="1135" t="s">
        <v>4889</v>
      </c>
      <c r="CZ434" s="1124" t="s">
        <v>4897</v>
      </c>
      <c r="DA434" s="1124"/>
      <c r="DB434" s="1124"/>
      <c r="DC434" s="1120" t="s">
        <v>5221</v>
      </c>
      <c r="DD434" s="1120" t="s">
        <v>283</v>
      </c>
      <c r="DE434" s="1120" t="str">
        <f t="shared" si="525"/>
        <v/>
      </c>
      <c r="DF434" s="1133">
        <v>1</v>
      </c>
      <c r="DG434" s="1120">
        <v>0</v>
      </c>
    </row>
    <row r="435" spans="1:111">
      <c r="A435" s="1125" t="s">
        <v>3639</v>
      </c>
      <c r="B435" s="1125" t="s">
        <v>3803</v>
      </c>
      <c r="C435" s="1125" t="s">
        <v>3804</v>
      </c>
      <c r="D435" s="1125" t="s">
        <v>934</v>
      </c>
      <c r="E435" s="1125">
        <v>1178</v>
      </c>
      <c r="F435" s="1125">
        <v>-93.4</v>
      </c>
      <c r="G435" s="1125">
        <v>48.57</v>
      </c>
      <c r="H435" s="1125">
        <v>-6</v>
      </c>
      <c r="I435" s="1126">
        <v>-20.919999313354495</v>
      </c>
      <c r="J435" s="1126">
        <v>82.760001373291018</v>
      </c>
      <c r="K435" s="1127">
        <v>67.639998626708987</v>
      </c>
      <c r="L435" s="1125">
        <v>9912.6</v>
      </c>
      <c r="M435" s="1125">
        <v>297</v>
      </c>
      <c r="N435" s="1128">
        <v>1.580000686645507</v>
      </c>
      <c r="O435" s="1128">
        <v>11.299999999999999</v>
      </c>
      <c r="P435" s="1128">
        <v>20.840000343322753</v>
      </c>
      <c r="Q435" s="1128">
        <v>39.200000000000003</v>
      </c>
      <c r="R435" s="1128">
        <v>56.119999313354491</v>
      </c>
      <c r="S435" s="1128">
        <v>64.400000000000006</v>
      </c>
      <c r="T435" s="1128">
        <v>67.460001373291021</v>
      </c>
      <c r="U435" s="1128">
        <v>64.219999313354492</v>
      </c>
      <c r="V435" s="1128">
        <v>54.140000343322754</v>
      </c>
      <c r="W435" s="1128">
        <v>41.720000171661376</v>
      </c>
      <c r="X435" s="1128">
        <v>28.4</v>
      </c>
      <c r="Y435" s="1128">
        <v>5.7199993133544913</v>
      </c>
      <c r="Z435" s="1128">
        <v>38.049479524011481</v>
      </c>
      <c r="AA435" s="1128">
        <f t="shared" si="451"/>
        <v>35.505252692309583</v>
      </c>
      <c r="AB435" s="1128">
        <f t="shared" si="452"/>
        <v>33.032143043773559</v>
      </c>
      <c r="AC435" s="1128">
        <f t="shared" si="453"/>
        <v>33.430871931105976</v>
      </c>
      <c r="AD435" s="1128">
        <f t="shared" si="454"/>
        <v>36.597504525225489</v>
      </c>
      <c r="AE435" s="1128">
        <f t="shared" si="455"/>
        <v>41.706609241189433</v>
      </c>
      <c r="AF435" s="1128">
        <f t="shared" si="456"/>
        <v>47.42641920109488</v>
      </c>
      <c r="AG435" s="1128">
        <f t="shared" si="457"/>
        <v>52.265977793952871</v>
      </c>
      <c r="AH435" s="1128">
        <f t="shared" si="458"/>
        <v>54.963779492679542</v>
      </c>
      <c r="AI435" s="1128">
        <f t="shared" si="459"/>
        <v>54.816600710119161</v>
      </c>
      <c r="AJ435" s="1128">
        <f t="shared" si="460"/>
        <v>51.862805864039785</v>
      </c>
      <c r="AK435" s="1128">
        <f t="shared" si="461"/>
        <v>46.872347100428449</v>
      </c>
      <c r="AL435" s="1128">
        <f t="shared" si="462"/>
        <v>41.146064401317886</v>
      </c>
      <c r="AM435" s="1125">
        <f t="shared" si="463"/>
        <v>1</v>
      </c>
      <c r="AN435" s="1125">
        <f t="shared" si="464"/>
        <v>1</v>
      </c>
      <c r="AO435" s="1125">
        <f t="shared" si="465"/>
        <v>1</v>
      </c>
      <c r="AP435" s="1125">
        <f t="shared" si="466"/>
        <v>1</v>
      </c>
      <c r="AQ435" s="1125">
        <f t="shared" si="467"/>
        <v>1</v>
      </c>
      <c r="AR435" s="1125">
        <f t="shared" si="468"/>
        <v>1</v>
      </c>
      <c r="AS435" s="1125">
        <f t="shared" si="469"/>
        <v>0</v>
      </c>
      <c r="AT435" s="1125">
        <f t="shared" si="470"/>
        <v>1</v>
      </c>
      <c r="AU435" s="1125">
        <f t="shared" si="471"/>
        <v>1</v>
      </c>
      <c r="AV435" s="1125">
        <f t="shared" si="472"/>
        <v>1</v>
      </c>
      <c r="AW435" s="1125">
        <f t="shared" si="473"/>
        <v>1</v>
      </c>
      <c r="AX435" s="1125">
        <f t="shared" si="474"/>
        <v>1</v>
      </c>
      <c r="AY435" s="1125">
        <f t="shared" si="475"/>
        <v>0</v>
      </c>
      <c r="AZ435" s="1125">
        <f t="shared" si="476"/>
        <v>0</v>
      </c>
      <c r="BA435" s="1125">
        <f t="shared" si="477"/>
        <v>0</v>
      </c>
      <c r="BB435" s="1125">
        <f t="shared" si="478"/>
        <v>0</v>
      </c>
      <c r="BC435" s="1125">
        <f t="shared" si="479"/>
        <v>0</v>
      </c>
      <c r="BD435" s="1125">
        <f t="shared" si="480"/>
        <v>0</v>
      </c>
      <c r="BE435" s="1125">
        <f t="shared" si="481"/>
        <v>1</v>
      </c>
      <c r="BF435" s="1125">
        <f t="shared" si="482"/>
        <v>1</v>
      </c>
      <c r="BG435" s="1125">
        <f t="shared" si="483"/>
        <v>0</v>
      </c>
      <c r="BH435" s="1125">
        <f t="shared" si="484"/>
        <v>0</v>
      </c>
      <c r="BI435" s="1125">
        <f t="shared" si="485"/>
        <v>0</v>
      </c>
      <c r="BJ435" s="1125">
        <f t="shared" si="486"/>
        <v>0</v>
      </c>
      <c r="BK435" s="1125">
        <f t="shared" si="487"/>
        <v>1</v>
      </c>
      <c r="BL435" s="1125">
        <f t="shared" si="488"/>
        <v>1</v>
      </c>
      <c r="BM435" s="1125">
        <f t="shared" si="489"/>
        <v>1</v>
      </c>
      <c r="BN435" s="1125">
        <f t="shared" si="490"/>
        <v>1</v>
      </c>
      <c r="BO435" s="1125">
        <f t="shared" si="491"/>
        <v>1</v>
      </c>
      <c r="BP435" s="1125">
        <f t="shared" si="492"/>
        <v>1</v>
      </c>
      <c r="BQ435" s="1125">
        <f t="shared" si="493"/>
        <v>1</v>
      </c>
      <c r="BR435" s="1125">
        <f t="shared" si="494"/>
        <v>1</v>
      </c>
      <c r="BS435" s="1125">
        <f t="shared" si="495"/>
        <v>1</v>
      </c>
      <c r="BT435" s="1125">
        <f t="shared" si="496"/>
        <v>1</v>
      </c>
      <c r="BU435" s="1125">
        <f t="shared" si="497"/>
        <v>1</v>
      </c>
      <c r="BV435" s="1125">
        <f t="shared" si="498"/>
        <v>1</v>
      </c>
      <c r="BW435" s="1125">
        <f t="shared" si="499"/>
        <v>0</v>
      </c>
      <c r="BX435" s="1125">
        <f t="shared" si="500"/>
        <v>0</v>
      </c>
      <c r="BY435" s="1125">
        <f t="shared" si="501"/>
        <v>0</v>
      </c>
      <c r="BZ435" s="1125">
        <f t="shared" si="502"/>
        <v>0</v>
      </c>
      <c r="CA435" s="1125">
        <f t="shared" si="503"/>
        <v>0</v>
      </c>
      <c r="CB435" s="1125">
        <f t="shared" si="504"/>
        <v>1</v>
      </c>
      <c r="CC435" s="1125">
        <f t="shared" si="505"/>
        <v>1</v>
      </c>
      <c r="CD435" s="1125">
        <f t="shared" si="506"/>
        <v>1</v>
      </c>
      <c r="CE435" s="1125">
        <f t="shared" si="507"/>
        <v>0</v>
      </c>
      <c r="CF435" s="1125">
        <f t="shared" si="508"/>
        <v>0</v>
      </c>
      <c r="CG435" s="1125">
        <f t="shared" si="509"/>
        <v>0</v>
      </c>
      <c r="CH435" s="1125">
        <f t="shared" si="510"/>
        <v>0</v>
      </c>
      <c r="CI435" s="1125">
        <f t="shared" si="511"/>
        <v>0.85</v>
      </c>
      <c r="CJ435" s="1125">
        <f t="shared" si="512"/>
        <v>0.85</v>
      </c>
      <c r="CK435" s="1125">
        <f t="shared" si="513"/>
        <v>0.85</v>
      </c>
      <c r="CL435" s="1125">
        <f t="shared" si="514"/>
        <v>0.85</v>
      </c>
      <c r="CM435" s="1125">
        <f t="shared" si="515"/>
        <v>0.85</v>
      </c>
      <c r="CN435" s="1125">
        <f t="shared" si="516"/>
        <v>0.85</v>
      </c>
      <c r="CO435" s="1125">
        <f t="shared" si="517"/>
        <v>0.85</v>
      </c>
      <c r="CP435" s="1125">
        <f t="shared" si="518"/>
        <v>0.85</v>
      </c>
      <c r="CQ435" s="1125">
        <f t="shared" si="519"/>
        <v>0.85</v>
      </c>
      <c r="CR435" s="1125">
        <f t="shared" si="520"/>
        <v>0.85</v>
      </c>
      <c r="CS435" s="1125">
        <f t="shared" si="521"/>
        <v>0.85</v>
      </c>
      <c r="CT435" s="1125">
        <f t="shared" si="522"/>
        <v>0.85</v>
      </c>
      <c r="CU435" s="1125">
        <v>1</v>
      </c>
      <c r="CV435" s="1125"/>
      <c r="CW435" s="1125">
        <f t="shared" si="523"/>
        <v>92</v>
      </c>
      <c r="CX435" s="1125">
        <f t="shared" si="524"/>
        <v>273</v>
      </c>
      <c r="CY435" s="1136" t="s">
        <v>4879</v>
      </c>
      <c r="CZ435" s="1129">
        <v>7</v>
      </c>
      <c r="DA435" s="1129"/>
      <c r="DB435" s="1129"/>
      <c r="DC435" s="1125" t="s">
        <v>5333</v>
      </c>
      <c r="DD435" s="1125" t="s">
        <v>934</v>
      </c>
      <c r="DE435" s="1120" t="str">
        <f t="shared" si="525"/>
        <v/>
      </c>
      <c r="DF435" s="1133">
        <v>1</v>
      </c>
      <c r="DG435" s="1125">
        <v>0</v>
      </c>
    </row>
    <row r="436" spans="1:111">
      <c r="A436" s="1120" t="s">
        <v>3643</v>
      </c>
      <c r="B436" s="1125" t="s">
        <v>3735</v>
      </c>
      <c r="C436" s="1125" t="s">
        <v>3736</v>
      </c>
      <c r="D436" s="1125" t="s">
        <v>540</v>
      </c>
      <c r="E436" s="1125">
        <v>1181</v>
      </c>
      <c r="F436" s="1125">
        <v>-88.12</v>
      </c>
      <c r="G436" s="1125">
        <v>45.82</v>
      </c>
      <c r="H436" s="1125">
        <v>-6</v>
      </c>
      <c r="I436" s="1126">
        <v>-6.1600013732910162</v>
      </c>
      <c r="J436" s="1126">
        <v>84.019999313354489</v>
      </c>
      <c r="K436" s="1127">
        <v>69.980000686645511</v>
      </c>
      <c r="L436" s="1125">
        <v>7977.6</v>
      </c>
      <c r="M436" s="1125">
        <v>511.2</v>
      </c>
      <c r="N436" s="1128">
        <v>12.380000686645507</v>
      </c>
      <c r="O436" s="1128">
        <v>22.820000171661377</v>
      </c>
      <c r="P436" s="1128">
        <v>34.880000042915341</v>
      </c>
      <c r="Q436" s="1128">
        <v>45.320000171661377</v>
      </c>
      <c r="R436" s="1128">
        <v>55.4</v>
      </c>
      <c r="S436" s="1128">
        <v>68</v>
      </c>
      <c r="T436" s="1128">
        <v>69.260001373291018</v>
      </c>
      <c r="U436" s="1128">
        <v>67.280000686645508</v>
      </c>
      <c r="V436" s="1128">
        <v>59.9</v>
      </c>
      <c r="W436" s="1128">
        <v>44.240000343322755</v>
      </c>
      <c r="X436" s="1128">
        <v>35.23999991416931</v>
      </c>
      <c r="Y436" s="1128">
        <v>11.480000686645507</v>
      </c>
      <c r="Z436" s="1128">
        <v>43.932274317218834</v>
      </c>
      <c r="AA436" s="1128">
        <f t="shared" si="451"/>
        <v>40.433561421081805</v>
      </c>
      <c r="AB436" s="1128">
        <f t="shared" si="452"/>
        <v>38.439683212801491</v>
      </c>
      <c r="AC436" s="1128">
        <f t="shared" si="453"/>
        <v>39.441525982077437</v>
      </c>
      <c r="AD436" s="1128">
        <f t="shared" si="454"/>
        <v>43.177943972233464</v>
      </c>
      <c r="AE436" s="1128">
        <f t="shared" si="455"/>
        <v>48.674982254191235</v>
      </c>
      <c r="AF436" s="1128">
        <f t="shared" si="456"/>
        <v>54.499753087834335</v>
      </c>
      <c r="AG436" s="1128">
        <f t="shared" si="457"/>
        <v>59.133940192938056</v>
      </c>
      <c r="AH436" s="1128">
        <f t="shared" si="458"/>
        <v>61.369571285572107</v>
      </c>
      <c r="AI436" s="1128">
        <f t="shared" si="459"/>
        <v>60.623894669323427</v>
      </c>
      <c r="AJ436" s="1128">
        <f t="shared" si="460"/>
        <v>57.091282445441728</v>
      </c>
      <c r="AK436" s="1128">
        <f t="shared" si="461"/>
        <v>51.692564429284012</v>
      </c>
      <c r="AL436" s="1128">
        <f t="shared" si="462"/>
        <v>45.834999668524752</v>
      </c>
      <c r="AM436" s="1125">
        <f t="shared" si="463"/>
        <v>1</v>
      </c>
      <c r="AN436" s="1125">
        <f t="shared" si="464"/>
        <v>1</v>
      </c>
      <c r="AO436" s="1125">
        <f t="shared" si="465"/>
        <v>1</v>
      </c>
      <c r="AP436" s="1125">
        <f t="shared" si="466"/>
        <v>1</v>
      </c>
      <c r="AQ436" s="1125">
        <f t="shared" si="467"/>
        <v>1</v>
      </c>
      <c r="AR436" s="1125">
        <f t="shared" si="468"/>
        <v>0</v>
      </c>
      <c r="AS436" s="1125">
        <f t="shared" si="469"/>
        <v>0</v>
      </c>
      <c r="AT436" s="1125">
        <f t="shared" si="470"/>
        <v>0</v>
      </c>
      <c r="AU436" s="1125">
        <f t="shared" si="471"/>
        <v>1</v>
      </c>
      <c r="AV436" s="1125">
        <f t="shared" si="472"/>
        <v>1</v>
      </c>
      <c r="AW436" s="1125">
        <f t="shared" si="473"/>
        <v>1</v>
      </c>
      <c r="AX436" s="1125">
        <f t="shared" si="474"/>
        <v>1</v>
      </c>
      <c r="AY436" s="1125">
        <f t="shared" si="475"/>
        <v>0</v>
      </c>
      <c r="AZ436" s="1125">
        <f t="shared" si="476"/>
        <v>0</v>
      </c>
      <c r="BA436" s="1125">
        <f t="shared" si="477"/>
        <v>0</v>
      </c>
      <c r="BB436" s="1125">
        <f t="shared" si="478"/>
        <v>0</v>
      </c>
      <c r="BC436" s="1125">
        <f t="shared" si="479"/>
        <v>0</v>
      </c>
      <c r="BD436" s="1125">
        <f t="shared" si="480"/>
        <v>1</v>
      </c>
      <c r="BE436" s="1125">
        <f t="shared" si="481"/>
        <v>1</v>
      </c>
      <c r="BF436" s="1125">
        <f t="shared" si="482"/>
        <v>1</v>
      </c>
      <c r="BG436" s="1125">
        <f t="shared" si="483"/>
        <v>0</v>
      </c>
      <c r="BH436" s="1125">
        <f t="shared" si="484"/>
        <v>0</v>
      </c>
      <c r="BI436" s="1125">
        <f t="shared" si="485"/>
        <v>0</v>
      </c>
      <c r="BJ436" s="1125">
        <f t="shared" si="486"/>
        <v>0</v>
      </c>
      <c r="BK436" s="1125">
        <f t="shared" si="487"/>
        <v>1</v>
      </c>
      <c r="BL436" s="1125">
        <f t="shared" si="488"/>
        <v>1</v>
      </c>
      <c r="BM436" s="1125">
        <f t="shared" si="489"/>
        <v>1</v>
      </c>
      <c r="BN436" s="1125">
        <f t="shared" si="490"/>
        <v>1</v>
      </c>
      <c r="BO436" s="1125">
        <f t="shared" si="491"/>
        <v>1</v>
      </c>
      <c r="BP436" s="1125">
        <f t="shared" si="492"/>
        <v>1</v>
      </c>
      <c r="BQ436" s="1125">
        <f t="shared" si="493"/>
        <v>0</v>
      </c>
      <c r="BR436" s="1125">
        <f t="shared" si="494"/>
        <v>0</v>
      </c>
      <c r="BS436" s="1125">
        <f t="shared" si="495"/>
        <v>1</v>
      </c>
      <c r="BT436" s="1125">
        <f t="shared" si="496"/>
        <v>1</v>
      </c>
      <c r="BU436" s="1125">
        <f t="shared" si="497"/>
        <v>1</v>
      </c>
      <c r="BV436" s="1125">
        <f t="shared" si="498"/>
        <v>1</v>
      </c>
      <c r="BW436" s="1125">
        <f t="shared" si="499"/>
        <v>0</v>
      </c>
      <c r="BX436" s="1125">
        <f t="shared" si="500"/>
        <v>0</v>
      </c>
      <c r="BY436" s="1125">
        <f t="shared" si="501"/>
        <v>0</v>
      </c>
      <c r="BZ436" s="1125">
        <f t="shared" si="502"/>
        <v>0</v>
      </c>
      <c r="CA436" s="1125">
        <f t="shared" si="503"/>
        <v>1</v>
      </c>
      <c r="CB436" s="1125">
        <f t="shared" si="504"/>
        <v>1</v>
      </c>
      <c r="CC436" s="1125">
        <f t="shared" si="505"/>
        <v>1</v>
      </c>
      <c r="CD436" s="1125">
        <f t="shared" si="506"/>
        <v>1</v>
      </c>
      <c r="CE436" s="1125">
        <f t="shared" si="507"/>
        <v>1</v>
      </c>
      <c r="CF436" s="1125">
        <f t="shared" si="508"/>
        <v>0</v>
      </c>
      <c r="CG436" s="1125">
        <f t="shared" si="509"/>
        <v>0</v>
      </c>
      <c r="CH436" s="1125">
        <f t="shared" si="510"/>
        <v>0</v>
      </c>
      <c r="CI436" s="1125">
        <f t="shared" si="511"/>
        <v>0.85</v>
      </c>
      <c r="CJ436" s="1125">
        <f t="shared" si="512"/>
        <v>0.85</v>
      </c>
      <c r="CK436" s="1125">
        <f t="shared" si="513"/>
        <v>0.85</v>
      </c>
      <c r="CL436" s="1125">
        <f t="shared" si="514"/>
        <v>0.85</v>
      </c>
      <c r="CM436" s="1125">
        <f t="shared" si="515"/>
        <v>0.85</v>
      </c>
      <c r="CN436" s="1125">
        <f t="shared" si="516"/>
        <v>0.85</v>
      </c>
      <c r="CO436" s="1125">
        <f t="shared" si="517"/>
        <v>0.7</v>
      </c>
      <c r="CP436" s="1125">
        <f t="shared" si="518"/>
        <v>0.7</v>
      </c>
      <c r="CQ436" s="1125">
        <f t="shared" si="519"/>
        <v>0.85</v>
      </c>
      <c r="CR436" s="1125">
        <f t="shared" si="520"/>
        <v>0.85</v>
      </c>
      <c r="CS436" s="1125">
        <f t="shared" si="521"/>
        <v>0.85</v>
      </c>
      <c r="CT436" s="1125">
        <f t="shared" si="522"/>
        <v>0.85</v>
      </c>
      <c r="CU436" s="1125">
        <v>1</v>
      </c>
      <c r="CV436" s="1125"/>
      <c r="CW436" s="1125">
        <f t="shared" si="523"/>
        <v>153</v>
      </c>
      <c r="CX436" s="1125">
        <f t="shared" si="524"/>
        <v>212</v>
      </c>
      <c r="CY436" s="1136" t="s">
        <v>4889</v>
      </c>
      <c r="CZ436" s="1129" t="s">
        <v>4899</v>
      </c>
      <c r="DA436" s="1129"/>
      <c r="DB436" s="1129"/>
      <c r="DC436" s="1125" t="s">
        <v>5975</v>
      </c>
      <c r="DD436" s="1125" t="s">
        <v>540</v>
      </c>
      <c r="DE436" s="1120" t="str">
        <f t="shared" si="525"/>
        <v/>
      </c>
      <c r="DF436" s="1133">
        <v>1</v>
      </c>
      <c r="DG436" s="1120">
        <v>0</v>
      </c>
    </row>
    <row r="437" spans="1:111">
      <c r="A437" s="1125" t="s">
        <v>927</v>
      </c>
      <c r="B437" s="1120" t="s">
        <v>5862</v>
      </c>
      <c r="C437" s="1120" t="s">
        <v>5863</v>
      </c>
      <c r="D437" s="1120" t="s">
        <v>540</v>
      </c>
      <c r="E437" s="1120">
        <v>1230</v>
      </c>
      <c r="F437" s="1120">
        <v>-90.13</v>
      </c>
      <c r="G437" s="1120">
        <v>46.53</v>
      </c>
      <c r="H437" s="1120">
        <v>-6</v>
      </c>
      <c r="I437" s="1121">
        <v>-8.5000000000000018</v>
      </c>
      <c r="J437" s="1121">
        <v>82.219999313354492</v>
      </c>
      <c r="K437" s="1122">
        <v>67.639998626708987</v>
      </c>
      <c r="L437" s="1120">
        <v>8658</v>
      </c>
      <c r="M437" s="1120">
        <v>423</v>
      </c>
      <c r="N437" s="1123">
        <v>8.7800006866455078</v>
      </c>
      <c r="O437" s="1123">
        <v>22.1</v>
      </c>
      <c r="P437" s="1123">
        <v>23.9</v>
      </c>
      <c r="Q437" s="1123">
        <v>47.3</v>
      </c>
      <c r="R437" s="1123">
        <v>49.459999656677248</v>
      </c>
      <c r="S437" s="1123">
        <v>61.339998626708983</v>
      </c>
      <c r="T437" s="1123">
        <v>69.8</v>
      </c>
      <c r="U437" s="1123">
        <v>66.019999313354489</v>
      </c>
      <c r="V437" s="1123">
        <v>58.459999656677248</v>
      </c>
      <c r="W437" s="1123">
        <v>38.660000085830688</v>
      </c>
      <c r="X437" s="1123">
        <v>33.080000042915344</v>
      </c>
      <c r="Y437" s="1123">
        <v>22.279999828338624</v>
      </c>
      <c r="Z437" s="1123">
        <v>41.835890236946</v>
      </c>
      <c r="AA437" s="1123">
        <f t="shared" si="451"/>
        <v>38.573647734247288</v>
      </c>
      <c r="AB437" s="1123">
        <f t="shared" si="452"/>
        <v>36.379779404134439</v>
      </c>
      <c r="AC437" s="1123">
        <f t="shared" si="453"/>
        <v>37.172122906605793</v>
      </c>
      <c r="AD437" s="1123">
        <f t="shared" si="454"/>
        <v>40.744141697359225</v>
      </c>
      <c r="AE437" s="1123">
        <f t="shared" si="455"/>
        <v>46.164734032109038</v>
      </c>
      <c r="AF437" s="1123">
        <f t="shared" si="456"/>
        <v>52.02093898494627</v>
      </c>
      <c r="AG437" s="1123">
        <f t="shared" si="457"/>
        <v>56.786246488063817</v>
      </c>
      <c r="AH437" s="1123">
        <f t="shared" si="458"/>
        <v>59.218505705162599</v>
      </c>
      <c r="AI437" s="1123">
        <f t="shared" si="459"/>
        <v>58.683710789056697</v>
      </c>
      <c r="AJ437" s="1123">
        <f t="shared" si="460"/>
        <v>55.321264276068241</v>
      </c>
      <c r="AK437" s="1123">
        <f t="shared" si="461"/>
        <v>50.007639666676923</v>
      </c>
      <c r="AL437" s="1123">
        <f t="shared" si="462"/>
        <v>44.127915100754478</v>
      </c>
      <c r="AM437" s="1120">
        <f t="shared" si="463"/>
        <v>1</v>
      </c>
      <c r="AN437" s="1120">
        <f t="shared" si="464"/>
        <v>1</v>
      </c>
      <c r="AO437" s="1120">
        <f t="shared" si="465"/>
        <v>1</v>
      </c>
      <c r="AP437" s="1120">
        <f t="shared" si="466"/>
        <v>1</v>
      </c>
      <c r="AQ437" s="1120">
        <f t="shared" si="467"/>
        <v>1</v>
      </c>
      <c r="AR437" s="1120">
        <f t="shared" si="468"/>
        <v>1</v>
      </c>
      <c r="AS437" s="1120">
        <f t="shared" si="469"/>
        <v>0</v>
      </c>
      <c r="AT437" s="1120">
        <f t="shared" si="470"/>
        <v>0</v>
      </c>
      <c r="AU437" s="1120">
        <f t="shared" si="471"/>
        <v>1</v>
      </c>
      <c r="AV437" s="1120">
        <f t="shared" si="472"/>
        <v>1</v>
      </c>
      <c r="AW437" s="1120">
        <f t="shared" si="473"/>
        <v>1</v>
      </c>
      <c r="AX437" s="1120">
        <f t="shared" si="474"/>
        <v>1</v>
      </c>
      <c r="AY437" s="1120">
        <f t="shared" si="475"/>
        <v>0</v>
      </c>
      <c r="AZ437" s="1120">
        <f t="shared" si="476"/>
        <v>0</v>
      </c>
      <c r="BA437" s="1120">
        <f t="shared" si="477"/>
        <v>0</v>
      </c>
      <c r="BB437" s="1120">
        <f t="shared" si="478"/>
        <v>0</v>
      </c>
      <c r="BC437" s="1120">
        <f t="shared" si="479"/>
        <v>0</v>
      </c>
      <c r="BD437" s="1120">
        <f t="shared" si="480"/>
        <v>0</v>
      </c>
      <c r="BE437" s="1120">
        <f t="shared" si="481"/>
        <v>1</v>
      </c>
      <c r="BF437" s="1120">
        <f t="shared" si="482"/>
        <v>1</v>
      </c>
      <c r="BG437" s="1120">
        <f t="shared" si="483"/>
        <v>0</v>
      </c>
      <c r="BH437" s="1120">
        <f t="shared" si="484"/>
        <v>0</v>
      </c>
      <c r="BI437" s="1120">
        <f t="shared" si="485"/>
        <v>0</v>
      </c>
      <c r="BJ437" s="1120">
        <f t="shared" si="486"/>
        <v>0</v>
      </c>
      <c r="BK437" s="1120">
        <f t="shared" si="487"/>
        <v>1</v>
      </c>
      <c r="BL437" s="1120">
        <f t="shared" si="488"/>
        <v>1</v>
      </c>
      <c r="BM437" s="1120">
        <f t="shared" si="489"/>
        <v>1</v>
      </c>
      <c r="BN437" s="1120">
        <f t="shared" si="490"/>
        <v>1</v>
      </c>
      <c r="BO437" s="1120">
        <f t="shared" si="491"/>
        <v>1</v>
      </c>
      <c r="BP437" s="1120">
        <f t="shared" si="492"/>
        <v>1</v>
      </c>
      <c r="BQ437" s="1120">
        <f t="shared" si="493"/>
        <v>1</v>
      </c>
      <c r="BR437" s="1120">
        <f t="shared" si="494"/>
        <v>0</v>
      </c>
      <c r="BS437" s="1120">
        <f t="shared" si="495"/>
        <v>1</v>
      </c>
      <c r="BT437" s="1120">
        <f t="shared" si="496"/>
        <v>1</v>
      </c>
      <c r="BU437" s="1120">
        <f t="shared" si="497"/>
        <v>1</v>
      </c>
      <c r="BV437" s="1120">
        <f t="shared" si="498"/>
        <v>1</v>
      </c>
      <c r="BW437" s="1120">
        <f t="shared" si="499"/>
        <v>0</v>
      </c>
      <c r="BX437" s="1120">
        <f t="shared" si="500"/>
        <v>0</v>
      </c>
      <c r="BY437" s="1120">
        <f t="shared" si="501"/>
        <v>0</v>
      </c>
      <c r="BZ437" s="1120">
        <f t="shared" si="502"/>
        <v>0</v>
      </c>
      <c r="CA437" s="1120">
        <f t="shared" si="503"/>
        <v>0</v>
      </c>
      <c r="CB437" s="1120">
        <f t="shared" si="504"/>
        <v>1</v>
      </c>
      <c r="CC437" s="1120">
        <f t="shared" si="505"/>
        <v>1</v>
      </c>
      <c r="CD437" s="1120">
        <f t="shared" si="506"/>
        <v>1</v>
      </c>
      <c r="CE437" s="1120">
        <f t="shared" si="507"/>
        <v>1</v>
      </c>
      <c r="CF437" s="1120">
        <f t="shared" si="508"/>
        <v>0</v>
      </c>
      <c r="CG437" s="1120">
        <f t="shared" si="509"/>
        <v>0</v>
      </c>
      <c r="CH437" s="1120">
        <f t="shared" si="510"/>
        <v>0</v>
      </c>
      <c r="CI437" s="1120">
        <f t="shared" si="511"/>
        <v>0.85</v>
      </c>
      <c r="CJ437" s="1120">
        <f t="shared" si="512"/>
        <v>0.85</v>
      </c>
      <c r="CK437" s="1120">
        <f t="shared" si="513"/>
        <v>0.85</v>
      </c>
      <c r="CL437" s="1120">
        <f t="shared" si="514"/>
        <v>0.85</v>
      </c>
      <c r="CM437" s="1120">
        <f t="shared" si="515"/>
        <v>0.85</v>
      </c>
      <c r="CN437" s="1120">
        <f t="shared" si="516"/>
        <v>0.85</v>
      </c>
      <c r="CO437" s="1120">
        <f t="shared" si="517"/>
        <v>0.85</v>
      </c>
      <c r="CP437" s="1120">
        <f t="shared" si="518"/>
        <v>0.7</v>
      </c>
      <c r="CQ437" s="1120">
        <f t="shared" si="519"/>
        <v>0.85</v>
      </c>
      <c r="CR437" s="1120">
        <f t="shared" si="520"/>
        <v>0.85</v>
      </c>
      <c r="CS437" s="1120">
        <f t="shared" si="521"/>
        <v>0.85</v>
      </c>
      <c r="CT437" s="1120">
        <f t="shared" si="522"/>
        <v>0.85</v>
      </c>
      <c r="CU437" s="1120">
        <v>1</v>
      </c>
      <c r="CV437" s="1120"/>
      <c r="CW437" s="1120">
        <f t="shared" si="523"/>
        <v>122</v>
      </c>
      <c r="CX437" s="1120">
        <f t="shared" si="524"/>
        <v>243</v>
      </c>
      <c r="CY437" s="1135" t="s">
        <v>4879</v>
      </c>
      <c r="CZ437" s="1124">
        <v>7</v>
      </c>
      <c r="DA437" s="1124"/>
      <c r="DB437" s="1124"/>
      <c r="DC437" s="1120" t="s">
        <v>5741</v>
      </c>
      <c r="DD437" s="1120" t="s">
        <v>540</v>
      </c>
      <c r="DE437" s="1120" t="str">
        <f t="shared" si="525"/>
        <v/>
      </c>
      <c r="DF437" s="1133">
        <v>0</v>
      </c>
      <c r="DG437" s="1125">
        <v>0</v>
      </c>
    </row>
    <row r="438" spans="1:111">
      <c r="A438" s="1120" t="s">
        <v>3645</v>
      </c>
      <c r="B438" s="1120" t="s">
        <v>4130</v>
      </c>
      <c r="C438" s="1120" t="s">
        <v>4131</v>
      </c>
      <c r="D438" s="1120" t="s">
        <v>537</v>
      </c>
      <c r="E438" s="1120">
        <v>85</v>
      </c>
      <c r="F438" s="1120">
        <v>-73.099999999999994</v>
      </c>
      <c r="G438" s="1120">
        <v>40.78</v>
      </c>
      <c r="H438" s="1120">
        <v>-5</v>
      </c>
      <c r="I438" s="1121">
        <v>15.080000686645507</v>
      </c>
      <c r="J438" s="1121">
        <v>85.639998626708987</v>
      </c>
      <c r="K438" s="1122">
        <v>72.139998626708987</v>
      </c>
      <c r="L438" s="1120">
        <v>4820.4000000000005</v>
      </c>
      <c r="M438" s="1120">
        <v>1026</v>
      </c>
      <c r="N438" s="1123">
        <v>30.2</v>
      </c>
      <c r="O438" s="1123">
        <v>34.160000085830688</v>
      </c>
      <c r="P438" s="1123">
        <v>42.440000343322751</v>
      </c>
      <c r="Q438" s="1123">
        <v>51.619999313354491</v>
      </c>
      <c r="R438" s="1123">
        <v>59.9</v>
      </c>
      <c r="S438" s="1123">
        <v>70.880000686645502</v>
      </c>
      <c r="T438" s="1123">
        <v>76.639998626708987</v>
      </c>
      <c r="U438" s="1123">
        <v>74.3</v>
      </c>
      <c r="V438" s="1123">
        <v>66.560001373291016</v>
      </c>
      <c r="W438" s="1123">
        <v>54.319999313354494</v>
      </c>
      <c r="X438" s="1123">
        <v>48.019999313354489</v>
      </c>
      <c r="Y438" s="1123">
        <v>37.939999914169313</v>
      </c>
      <c r="Z438" s="1123">
        <v>54.018684841443417</v>
      </c>
      <c r="AA438" s="1123">
        <f t="shared" si="451"/>
        <v>49.461175261667705</v>
      </c>
      <c r="AB438" s="1123">
        <f t="shared" si="452"/>
        <v>48.447636099318025</v>
      </c>
      <c r="AC438" s="1123">
        <f t="shared" si="453"/>
        <v>50.450269106861995</v>
      </c>
      <c r="AD438" s="1123">
        <f t="shared" si="454"/>
        <v>54.947057129374471</v>
      </c>
      <c r="AE438" s="1123">
        <f t="shared" si="455"/>
        <v>60.765843071186531</v>
      </c>
      <c r="AF438" s="1123">
        <f t="shared" si="456"/>
        <v>66.389870706359204</v>
      </c>
      <c r="AG438" s="1123">
        <f t="shared" si="457"/>
        <v>70.353150562895422</v>
      </c>
      <c r="AH438" s="1123">
        <f t="shared" si="458"/>
        <v>71.622592670197676</v>
      </c>
      <c r="AI438" s="1123">
        <f t="shared" si="459"/>
        <v>69.867297380302603</v>
      </c>
      <c r="AJ438" s="1123">
        <f t="shared" si="460"/>
        <v>65.544809460440575</v>
      </c>
      <c r="AK438" s="1123">
        <f t="shared" si="461"/>
        <v>59.781851998478778</v>
      </c>
      <c r="AL438" s="1123">
        <f t="shared" si="462"/>
        <v>54.08062866674031</v>
      </c>
      <c r="AM438" s="1120">
        <f t="shared" si="463"/>
        <v>1</v>
      </c>
      <c r="AN438" s="1120">
        <f t="shared" si="464"/>
        <v>1</v>
      </c>
      <c r="AO438" s="1120">
        <f t="shared" si="465"/>
        <v>1</v>
      </c>
      <c r="AP438" s="1120">
        <f t="shared" si="466"/>
        <v>1</v>
      </c>
      <c r="AQ438" s="1120">
        <f t="shared" si="467"/>
        <v>1</v>
      </c>
      <c r="AR438" s="1120">
        <f t="shared" si="468"/>
        <v>0</v>
      </c>
      <c r="AS438" s="1120">
        <f t="shared" si="469"/>
        <v>0</v>
      </c>
      <c r="AT438" s="1120">
        <f t="shared" si="470"/>
        <v>0</v>
      </c>
      <c r="AU438" s="1120">
        <f t="shared" si="471"/>
        <v>0</v>
      </c>
      <c r="AV438" s="1120">
        <f t="shared" si="472"/>
        <v>1</v>
      </c>
      <c r="AW438" s="1120">
        <f t="shared" si="473"/>
        <v>1</v>
      </c>
      <c r="AX438" s="1120">
        <f t="shared" si="474"/>
        <v>1</v>
      </c>
      <c r="AY438" s="1120">
        <f t="shared" si="475"/>
        <v>0</v>
      </c>
      <c r="AZ438" s="1120">
        <f t="shared" si="476"/>
        <v>0</v>
      </c>
      <c r="BA438" s="1120">
        <f t="shared" si="477"/>
        <v>0</v>
      </c>
      <c r="BB438" s="1120">
        <f t="shared" si="478"/>
        <v>0</v>
      </c>
      <c r="BC438" s="1120">
        <f t="shared" si="479"/>
        <v>0</v>
      </c>
      <c r="BD438" s="1120">
        <f t="shared" si="480"/>
        <v>1</v>
      </c>
      <c r="BE438" s="1120">
        <f t="shared" si="481"/>
        <v>1</v>
      </c>
      <c r="BF438" s="1120">
        <f t="shared" si="482"/>
        <v>1</v>
      </c>
      <c r="BG438" s="1120">
        <f t="shared" si="483"/>
        <v>1</v>
      </c>
      <c r="BH438" s="1120">
        <f t="shared" si="484"/>
        <v>0</v>
      </c>
      <c r="BI438" s="1120">
        <f t="shared" si="485"/>
        <v>0</v>
      </c>
      <c r="BJ438" s="1120">
        <f t="shared" si="486"/>
        <v>0</v>
      </c>
      <c r="BK438" s="1120">
        <f t="shared" si="487"/>
        <v>1</v>
      </c>
      <c r="BL438" s="1120">
        <f t="shared" si="488"/>
        <v>1</v>
      </c>
      <c r="BM438" s="1120">
        <f t="shared" si="489"/>
        <v>1</v>
      </c>
      <c r="BN438" s="1120">
        <f t="shared" si="490"/>
        <v>1</v>
      </c>
      <c r="BO438" s="1120">
        <f t="shared" si="491"/>
        <v>1</v>
      </c>
      <c r="BP438" s="1120">
        <f t="shared" si="492"/>
        <v>1</v>
      </c>
      <c r="BQ438" s="1120">
        <f t="shared" si="493"/>
        <v>0</v>
      </c>
      <c r="BR438" s="1120">
        <f t="shared" si="494"/>
        <v>0</v>
      </c>
      <c r="BS438" s="1120">
        <f t="shared" si="495"/>
        <v>0</v>
      </c>
      <c r="BT438" s="1120">
        <f t="shared" si="496"/>
        <v>1</v>
      </c>
      <c r="BU438" s="1120">
        <f t="shared" si="497"/>
        <v>1</v>
      </c>
      <c r="BV438" s="1120">
        <f t="shared" si="498"/>
        <v>1</v>
      </c>
      <c r="BW438" s="1120">
        <f t="shared" si="499"/>
        <v>0</v>
      </c>
      <c r="BX438" s="1120">
        <f t="shared" si="500"/>
        <v>0</v>
      </c>
      <c r="BY438" s="1120">
        <f t="shared" si="501"/>
        <v>0</v>
      </c>
      <c r="BZ438" s="1120">
        <f t="shared" si="502"/>
        <v>0</v>
      </c>
      <c r="CA438" s="1120">
        <f t="shared" si="503"/>
        <v>1</v>
      </c>
      <c r="CB438" s="1120">
        <f t="shared" si="504"/>
        <v>1</v>
      </c>
      <c r="CC438" s="1120">
        <f t="shared" si="505"/>
        <v>1</v>
      </c>
      <c r="CD438" s="1120">
        <f t="shared" si="506"/>
        <v>1</v>
      </c>
      <c r="CE438" s="1120">
        <f t="shared" si="507"/>
        <v>1</v>
      </c>
      <c r="CF438" s="1120">
        <f t="shared" si="508"/>
        <v>1</v>
      </c>
      <c r="CG438" s="1120">
        <f t="shared" si="509"/>
        <v>0</v>
      </c>
      <c r="CH438" s="1120">
        <f t="shared" si="510"/>
        <v>0</v>
      </c>
      <c r="CI438" s="1120">
        <f t="shared" si="511"/>
        <v>0.85</v>
      </c>
      <c r="CJ438" s="1120">
        <f t="shared" si="512"/>
        <v>0.85</v>
      </c>
      <c r="CK438" s="1120">
        <f t="shared" si="513"/>
        <v>0.85</v>
      </c>
      <c r="CL438" s="1120">
        <f t="shared" si="514"/>
        <v>0.85</v>
      </c>
      <c r="CM438" s="1120">
        <f t="shared" si="515"/>
        <v>0.85</v>
      </c>
      <c r="CN438" s="1120">
        <f t="shared" si="516"/>
        <v>0.85</v>
      </c>
      <c r="CO438" s="1120">
        <f t="shared" si="517"/>
        <v>0.7</v>
      </c>
      <c r="CP438" s="1120">
        <f t="shared" si="518"/>
        <v>0.7</v>
      </c>
      <c r="CQ438" s="1120">
        <f t="shared" si="519"/>
        <v>0.7</v>
      </c>
      <c r="CR438" s="1120">
        <f t="shared" si="520"/>
        <v>0.85</v>
      </c>
      <c r="CS438" s="1120">
        <f t="shared" si="521"/>
        <v>0.85</v>
      </c>
      <c r="CT438" s="1120">
        <f t="shared" si="522"/>
        <v>0.85</v>
      </c>
      <c r="CU438" s="1120">
        <v>1</v>
      </c>
      <c r="CV438" s="1120"/>
      <c r="CW438" s="1120">
        <f t="shared" si="523"/>
        <v>184</v>
      </c>
      <c r="CX438" s="1120">
        <f t="shared" si="524"/>
        <v>181</v>
      </c>
      <c r="CY438" s="1135" t="s">
        <v>4881</v>
      </c>
      <c r="CZ438" s="1124" t="s">
        <v>4885</v>
      </c>
      <c r="DA438" s="1124"/>
      <c r="DB438" s="1124"/>
      <c r="DC438" s="1120" t="s">
        <v>5476</v>
      </c>
      <c r="DD438" s="1120" t="s">
        <v>537</v>
      </c>
      <c r="DE438" s="1120" t="str">
        <f t="shared" si="525"/>
        <v/>
      </c>
      <c r="DF438" s="1133">
        <v>0</v>
      </c>
      <c r="DG438" s="1120">
        <v>0</v>
      </c>
    </row>
    <row r="439" spans="1:111">
      <c r="A439" s="1125" t="s">
        <v>3647</v>
      </c>
      <c r="B439" s="1120" t="s">
        <v>3118</v>
      </c>
      <c r="C439" s="1120" t="s">
        <v>3119</v>
      </c>
      <c r="D439" s="1120" t="s">
        <v>954</v>
      </c>
      <c r="E439" s="1120">
        <v>69</v>
      </c>
      <c r="F439" s="1120">
        <v>-118.33</v>
      </c>
      <c r="G439" s="1120">
        <v>33.92</v>
      </c>
      <c r="H439" s="1120">
        <v>-8</v>
      </c>
      <c r="I439" s="1121">
        <v>45.679999828338623</v>
      </c>
      <c r="J439" s="1121">
        <v>82.039998626708979</v>
      </c>
      <c r="K439" s="1122">
        <v>64.219999313354492</v>
      </c>
      <c r="L439" s="1120">
        <v>1287</v>
      </c>
      <c r="M439" s="1120">
        <v>513</v>
      </c>
      <c r="N439" s="1123">
        <v>56.3</v>
      </c>
      <c r="O439" s="1123">
        <v>57.919999313354495</v>
      </c>
      <c r="P439" s="1123">
        <v>57.919999313354495</v>
      </c>
      <c r="Q439" s="1123">
        <v>58.459999656677248</v>
      </c>
      <c r="R439" s="1123">
        <v>61.339998626708983</v>
      </c>
      <c r="S439" s="1123">
        <v>66.019999313354489</v>
      </c>
      <c r="T439" s="1123">
        <v>69.080000686645505</v>
      </c>
      <c r="U439" s="1123">
        <v>68</v>
      </c>
      <c r="V439" s="1123">
        <v>68</v>
      </c>
      <c r="W439" s="1123">
        <v>63.680000686645506</v>
      </c>
      <c r="X439" s="1123">
        <v>62.960001373291014</v>
      </c>
      <c r="Y439" s="1123">
        <v>57.380000686645509</v>
      </c>
      <c r="Z439" s="1123">
        <v>62.273041071434541</v>
      </c>
      <c r="AA439" s="1123">
        <f t="shared" si="451"/>
        <v>64.702601127601412</v>
      </c>
      <c r="AB439" s="1123">
        <f t="shared" si="452"/>
        <v>64.646109690007307</v>
      </c>
      <c r="AC439" s="1123">
        <f t="shared" si="453"/>
        <v>65.535033809686652</v>
      </c>
      <c r="AD439" s="1123">
        <f t="shared" si="454"/>
        <v>67.13766171610969</v>
      </c>
      <c r="AE439" s="1123">
        <f t="shared" si="455"/>
        <v>69.036243748223626</v>
      </c>
      <c r="AF439" s="1123">
        <f t="shared" si="456"/>
        <v>70.735885241323231</v>
      </c>
      <c r="AG439" s="1123">
        <f t="shared" si="457"/>
        <v>71.793548447963843</v>
      </c>
      <c r="AH439" s="1123">
        <f t="shared" si="458"/>
        <v>71.933537154251212</v>
      </c>
      <c r="AI439" s="1123">
        <f t="shared" si="459"/>
        <v>71.119361146600255</v>
      </c>
      <c r="AJ439" s="1123">
        <f t="shared" si="460"/>
        <v>69.563247948237262</v>
      </c>
      <c r="AK439" s="1123">
        <f t="shared" si="461"/>
        <v>67.670822444745838</v>
      </c>
      <c r="AL439" s="1123">
        <f t="shared" si="462"/>
        <v>65.935374506770771</v>
      </c>
      <c r="AM439" s="1120">
        <f t="shared" si="463"/>
        <v>1</v>
      </c>
      <c r="AN439" s="1120">
        <f t="shared" si="464"/>
        <v>1</v>
      </c>
      <c r="AO439" s="1120">
        <f t="shared" si="465"/>
        <v>1</v>
      </c>
      <c r="AP439" s="1120">
        <f t="shared" si="466"/>
        <v>1</v>
      </c>
      <c r="AQ439" s="1120">
        <f t="shared" si="467"/>
        <v>1</v>
      </c>
      <c r="AR439" s="1120">
        <f t="shared" si="468"/>
        <v>0</v>
      </c>
      <c r="AS439" s="1120">
        <f t="shared" si="469"/>
        <v>0</v>
      </c>
      <c r="AT439" s="1120">
        <f t="shared" si="470"/>
        <v>0</v>
      </c>
      <c r="AU439" s="1120">
        <f t="shared" si="471"/>
        <v>0</v>
      </c>
      <c r="AV439" s="1120">
        <f t="shared" si="472"/>
        <v>1</v>
      </c>
      <c r="AW439" s="1120">
        <f t="shared" si="473"/>
        <v>1</v>
      </c>
      <c r="AX439" s="1120">
        <f t="shared" si="474"/>
        <v>1</v>
      </c>
      <c r="AY439" s="1120">
        <f t="shared" si="475"/>
        <v>0</v>
      </c>
      <c r="AZ439" s="1120">
        <f t="shared" si="476"/>
        <v>0</v>
      </c>
      <c r="BA439" s="1120">
        <f t="shared" si="477"/>
        <v>0</v>
      </c>
      <c r="BB439" s="1120">
        <f t="shared" si="478"/>
        <v>0</v>
      </c>
      <c r="BC439" s="1120">
        <f t="shared" si="479"/>
        <v>0</v>
      </c>
      <c r="BD439" s="1120">
        <f t="shared" si="480"/>
        <v>1</v>
      </c>
      <c r="BE439" s="1120">
        <f t="shared" si="481"/>
        <v>1</v>
      </c>
      <c r="BF439" s="1120">
        <f t="shared" si="482"/>
        <v>1</v>
      </c>
      <c r="BG439" s="1120">
        <f t="shared" si="483"/>
        <v>1</v>
      </c>
      <c r="BH439" s="1120">
        <f t="shared" si="484"/>
        <v>0</v>
      </c>
      <c r="BI439" s="1120">
        <f t="shared" si="485"/>
        <v>0</v>
      </c>
      <c r="BJ439" s="1120">
        <f t="shared" si="486"/>
        <v>0</v>
      </c>
      <c r="BK439" s="1120">
        <f t="shared" si="487"/>
        <v>1</v>
      </c>
      <c r="BL439" s="1120">
        <f t="shared" si="488"/>
        <v>1</v>
      </c>
      <c r="BM439" s="1120">
        <f t="shared" si="489"/>
        <v>1</v>
      </c>
      <c r="BN439" s="1120">
        <f t="shared" si="490"/>
        <v>1</v>
      </c>
      <c r="BO439" s="1120">
        <f t="shared" si="491"/>
        <v>1</v>
      </c>
      <c r="BP439" s="1120">
        <f t="shared" si="492"/>
        <v>1</v>
      </c>
      <c r="BQ439" s="1120">
        <f t="shared" si="493"/>
        <v>0</v>
      </c>
      <c r="BR439" s="1120">
        <f t="shared" si="494"/>
        <v>0</v>
      </c>
      <c r="BS439" s="1120">
        <f t="shared" si="495"/>
        <v>0</v>
      </c>
      <c r="BT439" s="1120">
        <f t="shared" si="496"/>
        <v>1</v>
      </c>
      <c r="BU439" s="1120">
        <f t="shared" si="497"/>
        <v>1</v>
      </c>
      <c r="BV439" s="1120">
        <f t="shared" si="498"/>
        <v>1</v>
      </c>
      <c r="BW439" s="1120">
        <f t="shared" si="499"/>
        <v>0</v>
      </c>
      <c r="BX439" s="1120">
        <f t="shared" si="500"/>
        <v>0</v>
      </c>
      <c r="BY439" s="1120">
        <f t="shared" si="501"/>
        <v>0</v>
      </c>
      <c r="BZ439" s="1120">
        <f t="shared" si="502"/>
        <v>0</v>
      </c>
      <c r="CA439" s="1120">
        <f t="shared" si="503"/>
        <v>1</v>
      </c>
      <c r="CB439" s="1120">
        <f t="shared" si="504"/>
        <v>1</v>
      </c>
      <c r="CC439" s="1120">
        <f t="shared" si="505"/>
        <v>1</v>
      </c>
      <c r="CD439" s="1120">
        <f t="shared" si="506"/>
        <v>1</v>
      </c>
      <c r="CE439" s="1120">
        <f t="shared" si="507"/>
        <v>1</v>
      </c>
      <c r="CF439" s="1120">
        <f t="shared" si="508"/>
        <v>1</v>
      </c>
      <c r="CG439" s="1120">
        <f t="shared" si="509"/>
        <v>0</v>
      </c>
      <c r="CH439" s="1120">
        <f t="shared" si="510"/>
        <v>0</v>
      </c>
      <c r="CI439" s="1120">
        <f t="shared" si="511"/>
        <v>0.85</v>
      </c>
      <c r="CJ439" s="1120">
        <f t="shared" si="512"/>
        <v>0.85</v>
      </c>
      <c r="CK439" s="1120">
        <f t="shared" si="513"/>
        <v>0.85</v>
      </c>
      <c r="CL439" s="1120">
        <f t="shared" si="514"/>
        <v>0.85</v>
      </c>
      <c r="CM439" s="1120">
        <f t="shared" si="515"/>
        <v>0.85</v>
      </c>
      <c r="CN439" s="1120">
        <f t="shared" si="516"/>
        <v>0.85</v>
      </c>
      <c r="CO439" s="1120">
        <f t="shared" si="517"/>
        <v>0.7</v>
      </c>
      <c r="CP439" s="1120">
        <f t="shared" si="518"/>
        <v>0.7</v>
      </c>
      <c r="CQ439" s="1120">
        <f t="shared" si="519"/>
        <v>0.7</v>
      </c>
      <c r="CR439" s="1120">
        <f t="shared" si="520"/>
        <v>0.85</v>
      </c>
      <c r="CS439" s="1120">
        <f t="shared" si="521"/>
        <v>0.85</v>
      </c>
      <c r="CT439" s="1120">
        <f t="shared" si="522"/>
        <v>0.85</v>
      </c>
      <c r="CU439" s="1120">
        <v>1</v>
      </c>
      <c r="CV439" s="1120"/>
      <c r="CW439" s="1120">
        <f t="shared" si="523"/>
        <v>184</v>
      </c>
      <c r="CX439" s="1120">
        <f t="shared" si="524"/>
        <v>181</v>
      </c>
      <c r="CY439" s="1136" t="s">
        <v>4886</v>
      </c>
      <c r="CZ439" s="1129" t="s">
        <v>4888</v>
      </c>
      <c r="DA439" s="1129"/>
      <c r="DB439" s="1129"/>
      <c r="DC439" s="1125" t="s">
        <v>5028</v>
      </c>
      <c r="DD439" s="1125" t="s">
        <v>954</v>
      </c>
      <c r="DE439" s="1120" t="str">
        <f t="shared" si="525"/>
        <v/>
      </c>
      <c r="DF439" s="1120">
        <v>0</v>
      </c>
      <c r="DG439" s="1125">
        <v>0</v>
      </c>
    </row>
    <row r="440" spans="1:111">
      <c r="A440" s="1120" t="s">
        <v>3649</v>
      </c>
      <c r="B440" s="1125" t="s">
        <v>4675</v>
      </c>
      <c r="C440" s="1125" t="s">
        <v>4676</v>
      </c>
      <c r="D440" s="1125" t="s">
        <v>904</v>
      </c>
      <c r="E440" s="1125">
        <v>6612</v>
      </c>
      <c r="F440" s="1125">
        <v>-110.73</v>
      </c>
      <c r="G440" s="1125">
        <v>43.6</v>
      </c>
      <c r="H440" s="1125">
        <v>-7</v>
      </c>
      <c r="I440" s="1126">
        <v>-9.0399986267089858</v>
      </c>
      <c r="J440" s="1126">
        <v>81.319999313354487</v>
      </c>
      <c r="K440" s="1127">
        <v>54.5</v>
      </c>
      <c r="L440" s="1125">
        <v>9374.4</v>
      </c>
      <c r="M440" s="1125">
        <v>27</v>
      </c>
      <c r="N440" s="1128">
        <v>22.459999656677248</v>
      </c>
      <c r="O440" s="1128">
        <v>15.980000686645507</v>
      </c>
      <c r="P440" s="1128">
        <v>31.279999989271165</v>
      </c>
      <c r="Q440" s="1128">
        <v>39.740000343322755</v>
      </c>
      <c r="R440" s="1128">
        <v>45.679999828338623</v>
      </c>
      <c r="S440" s="1128">
        <v>53.959999656677248</v>
      </c>
      <c r="T440" s="1128">
        <v>62.060001373291016</v>
      </c>
      <c r="U440" s="1128">
        <v>58.280000686645508</v>
      </c>
      <c r="V440" s="1128">
        <v>52.340000343322757</v>
      </c>
      <c r="W440" s="1128">
        <v>37.220000171661376</v>
      </c>
      <c r="X440" s="1128">
        <v>25.879999828338622</v>
      </c>
      <c r="Y440" s="1128">
        <v>18.679999828338623</v>
      </c>
      <c r="Z440" s="1128">
        <v>38.768493347772178</v>
      </c>
      <c r="AA440" s="1128">
        <f t="shared" si="451"/>
        <v>38.60226116560149</v>
      </c>
      <c r="AB440" s="1128">
        <f t="shared" si="452"/>
        <v>36.881684587837526</v>
      </c>
      <c r="AC440" s="1128">
        <f t="shared" si="453"/>
        <v>37.216926252752494</v>
      </c>
      <c r="AD440" s="1128">
        <f t="shared" si="454"/>
        <v>39.520600254155859</v>
      </c>
      <c r="AE440" s="1128">
        <f t="shared" si="455"/>
        <v>43.192218462890878</v>
      </c>
      <c r="AF440" s="1128">
        <f t="shared" si="456"/>
        <v>47.274717011501473</v>
      </c>
      <c r="AG440" s="1128">
        <f t="shared" si="457"/>
        <v>50.703929740085293</v>
      </c>
      <c r="AH440" s="1128">
        <f t="shared" si="458"/>
        <v>52.585979505169178</v>
      </c>
      <c r="AI440" s="1128">
        <f t="shared" si="459"/>
        <v>52.430281032219227</v>
      </c>
      <c r="AJ440" s="1128">
        <f t="shared" si="460"/>
        <v>50.277419527595931</v>
      </c>
      <c r="AK440" s="1128">
        <f t="shared" si="461"/>
        <v>46.688571519079389</v>
      </c>
      <c r="AL440" s="1128">
        <f t="shared" si="462"/>
        <v>42.599225545911345</v>
      </c>
      <c r="AM440" s="1125">
        <f t="shared" si="463"/>
        <v>1</v>
      </c>
      <c r="AN440" s="1125">
        <f t="shared" si="464"/>
        <v>1</v>
      </c>
      <c r="AO440" s="1125">
        <f t="shared" si="465"/>
        <v>1</v>
      </c>
      <c r="AP440" s="1125">
        <f t="shared" si="466"/>
        <v>1</v>
      </c>
      <c r="AQ440" s="1125">
        <f t="shared" si="467"/>
        <v>1</v>
      </c>
      <c r="AR440" s="1125">
        <f t="shared" si="468"/>
        <v>1</v>
      </c>
      <c r="AS440" s="1125">
        <f t="shared" si="469"/>
        <v>1</v>
      </c>
      <c r="AT440" s="1125">
        <f t="shared" si="470"/>
        <v>1</v>
      </c>
      <c r="AU440" s="1125">
        <f t="shared" si="471"/>
        <v>1</v>
      </c>
      <c r="AV440" s="1125">
        <f t="shared" si="472"/>
        <v>1</v>
      </c>
      <c r="AW440" s="1125">
        <f t="shared" si="473"/>
        <v>1</v>
      </c>
      <c r="AX440" s="1125">
        <f t="shared" si="474"/>
        <v>1</v>
      </c>
      <c r="AY440" s="1125">
        <f t="shared" si="475"/>
        <v>0</v>
      </c>
      <c r="AZ440" s="1125">
        <f t="shared" si="476"/>
        <v>0</v>
      </c>
      <c r="BA440" s="1125">
        <f t="shared" si="477"/>
        <v>0</v>
      </c>
      <c r="BB440" s="1125">
        <f t="shared" si="478"/>
        <v>0</v>
      </c>
      <c r="BC440" s="1125">
        <f t="shared" si="479"/>
        <v>0</v>
      </c>
      <c r="BD440" s="1125">
        <f t="shared" si="480"/>
        <v>0</v>
      </c>
      <c r="BE440" s="1125">
        <f t="shared" si="481"/>
        <v>1</v>
      </c>
      <c r="BF440" s="1125">
        <f t="shared" si="482"/>
        <v>1</v>
      </c>
      <c r="BG440" s="1125">
        <f t="shared" si="483"/>
        <v>0</v>
      </c>
      <c r="BH440" s="1125">
        <f t="shared" si="484"/>
        <v>0</v>
      </c>
      <c r="BI440" s="1125">
        <f t="shared" si="485"/>
        <v>0</v>
      </c>
      <c r="BJ440" s="1125">
        <f t="shared" si="486"/>
        <v>0</v>
      </c>
      <c r="BK440" s="1125">
        <f t="shared" si="487"/>
        <v>1</v>
      </c>
      <c r="BL440" s="1125">
        <f t="shared" si="488"/>
        <v>1</v>
      </c>
      <c r="BM440" s="1125">
        <f t="shared" si="489"/>
        <v>1</v>
      </c>
      <c r="BN440" s="1125">
        <f t="shared" si="490"/>
        <v>1</v>
      </c>
      <c r="BO440" s="1125">
        <f t="shared" si="491"/>
        <v>1</v>
      </c>
      <c r="BP440" s="1125">
        <f t="shared" si="492"/>
        <v>1</v>
      </c>
      <c r="BQ440" s="1125">
        <f t="shared" si="493"/>
        <v>1</v>
      </c>
      <c r="BR440" s="1125">
        <f t="shared" si="494"/>
        <v>1</v>
      </c>
      <c r="BS440" s="1125">
        <f t="shared" si="495"/>
        <v>1</v>
      </c>
      <c r="BT440" s="1125">
        <f t="shared" si="496"/>
        <v>1</v>
      </c>
      <c r="BU440" s="1125">
        <f t="shared" si="497"/>
        <v>1</v>
      </c>
      <c r="BV440" s="1125">
        <f t="shared" si="498"/>
        <v>1</v>
      </c>
      <c r="BW440" s="1125">
        <f t="shared" si="499"/>
        <v>0</v>
      </c>
      <c r="BX440" s="1125">
        <f t="shared" si="500"/>
        <v>0</v>
      </c>
      <c r="BY440" s="1125">
        <f t="shared" si="501"/>
        <v>0</v>
      </c>
      <c r="BZ440" s="1125">
        <f t="shared" si="502"/>
        <v>0</v>
      </c>
      <c r="CA440" s="1125">
        <f t="shared" si="503"/>
        <v>0</v>
      </c>
      <c r="CB440" s="1125">
        <f t="shared" si="504"/>
        <v>0</v>
      </c>
      <c r="CC440" s="1125">
        <f t="shared" si="505"/>
        <v>1</v>
      </c>
      <c r="CD440" s="1125">
        <f t="shared" si="506"/>
        <v>1</v>
      </c>
      <c r="CE440" s="1125">
        <f t="shared" si="507"/>
        <v>0</v>
      </c>
      <c r="CF440" s="1125">
        <f t="shared" si="508"/>
        <v>0</v>
      </c>
      <c r="CG440" s="1125">
        <f t="shared" si="509"/>
        <v>0</v>
      </c>
      <c r="CH440" s="1125">
        <f t="shared" si="510"/>
        <v>0</v>
      </c>
      <c r="CI440" s="1125">
        <f t="shared" si="511"/>
        <v>0.85</v>
      </c>
      <c r="CJ440" s="1125">
        <f t="shared" si="512"/>
        <v>0.85</v>
      </c>
      <c r="CK440" s="1125">
        <f t="shared" si="513"/>
        <v>0.85</v>
      </c>
      <c r="CL440" s="1125">
        <f t="shared" si="514"/>
        <v>0.85</v>
      </c>
      <c r="CM440" s="1125">
        <f t="shared" si="515"/>
        <v>0.85</v>
      </c>
      <c r="CN440" s="1125">
        <f t="shared" si="516"/>
        <v>0.85</v>
      </c>
      <c r="CO440" s="1125">
        <f t="shared" si="517"/>
        <v>0.85</v>
      </c>
      <c r="CP440" s="1125">
        <f t="shared" si="518"/>
        <v>0.85</v>
      </c>
      <c r="CQ440" s="1125">
        <f t="shared" si="519"/>
        <v>0.85</v>
      </c>
      <c r="CR440" s="1125">
        <f t="shared" si="520"/>
        <v>0.85</v>
      </c>
      <c r="CS440" s="1125">
        <f t="shared" si="521"/>
        <v>0.85</v>
      </c>
      <c r="CT440" s="1125">
        <f t="shared" si="522"/>
        <v>0.85</v>
      </c>
      <c r="CU440" s="1125">
        <v>1</v>
      </c>
      <c r="CV440" s="1125"/>
      <c r="CW440" s="1125">
        <f t="shared" si="523"/>
        <v>62</v>
      </c>
      <c r="CX440" s="1125">
        <f t="shared" si="524"/>
        <v>303</v>
      </c>
      <c r="CY440" s="1135" t="s">
        <v>4879</v>
      </c>
      <c r="CZ440" s="1124">
        <v>7</v>
      </c>
      <c r="DA440" s="1124"/>
      <c r="DB440" s="1124"/>
      <c r="DC440" s="1120" t="s">
        <v>5697</v>
      </c>
      <c r="DD440" s="1120" t="s">
        <v>904</v>
      </c>
      <c r="DE440" s="1120" t="str">
        <f t="shared" si="525"/>
        <v/>
      </c>
      <c r="DF440" s="1133">
        <v>1</v>
      </c>
      <c r="DG440" s="1120">
        <v>0</v>
      </c>
    </row>
    <row r="441" spans="1:111">
      <c r="A441" s="1125" t="s">
        <v>3651</v>
      </c>
      <c r="B441" s="1120" t="s">
        <v>3884</v>
      </c>
      <c r="C441" s="1120" t="s">
        <v>3885</v>
      </c>
      <c r="D441" s="1120" t="s">
        <v>460</v>
      </c>
      <c r="E441" s="1120">
        <v>308</v>
      </c>
      <c r="F441" s="1120">
        <v>-90.08</v>
      </c>
      <c r="G441" s="1120">
        <v>32.32</v>
      </c>
      <c r="H441" s="1120">
        <v>-6</v>
      </c>
      <c r="I441" s="1121">
        <v>25.7</v>
      </c>
      <c r="J441" s="1121">
        <v>93.560001373291016</v>
      </c>
      <c r="K441" s="1122">
        <v>76.280000686645508</v>
      </c>
      <c r="L441" s="1120">
        <v>2372.4</v>
      </c>
      <c r="M441" s="1120">
        <v>2196</v>
      </c>
      <c r="N441" s="1123">
        <v>43.879999828338626</v>
      </c>
      <c r="O441" s="1123">
        <v>48.559999656677249</v>
      </c>
      <c r="P441" s="1123">
        <v>59</v>
      </c>
      <c r="Q441" s="1123">
        <v>64.760001373291018</v>
      </c>
      <c r="R441" s="1123">
        <v>69.8</v>
      </c>
      <c r="S441" s="1123">
        <v>78.980000686645511</v>
      </c>
      <c r="T441" s="1123">
        <v>81.139998626708987</v>
      </c>
      <c r="U441" s="1123">
        <v>81.139998626708987</v>
      </c>
      <c r="V441" s="1123">
        <v>74.119999313354498</v>
      </c>
      <c r="W441" s="1123">
        <v>62.780000686645508</v>
      </c>
      <c r="X441" s="1123">
        <v>56.659999656677243</v>
      </c>
      <c r="Y441" s="1123">
        <v>45.320000171661377</v>
      </c>
      <c r="Z441" s="1123">
        <v>63.918191664186246</v>
      </c>
      <c r="AA441" s="1123">
        <f t="shared" si="451"/>
        <v>59.129300369311835</v>
      </c>
      <c r="AB441" s="1123">
        <f t="shared" si="452"/>
        <v>59.12127684932824</v>
      </c>
      <c r="AC441" s="1123">
        <f t="shared" si="453"/>
        <v>61.92763556133113</v>
      </c>
      <c r="AD441" s="1123">
        <f t="shared" si="454"/>
        <v>66.816855859740116</v>
      </c>
      <c r="AE441" s="1123">
        <f t="shared" si="455"/>
        <v>72.514487128609417</v>
      </c>
      <c r="AF441" s="1123">
        <f t="shared" si="456"/>
        <v>77.535353974552621</v>
      </c>
      <c r="AG441" s="1123">
        <f t="shared" si="457"/>
        <v>80.570690080274431</v>
      </c>
      <c r="AH441" s="1123">
        <f t="shared" si="458"/>
        <v>80.829288313873207</v>
      </c>
      <c r="AI441" s="1123">
        <f t="shared" si="459"/>
        <v>78.24374106064198</v>
      </c>
      <c r="AJ441" s="1123">
        <f t="shared" si="460"/>
        <v>73.488011056624742</v>
      </c>
      <c r="AK441" s="1123">
        <f t="shared" si="461"/>
        <v>67.801752615386377</v>
      </c>
      <c r="AL441" s="1123">
        <f t="shared" si="462"/>
        <v>62.667176627530679</v>
      </c>
      <c r="AM441" s="1120">
        <f t="shared" si="463"/>
        <v>1</v>
      </c>
      <c r="AN441" s="1120">
        <f t="shared" si="464"/>
        <v>1</v>
      </c>
      <c r="AO441" s="1120">
        <f t="shared" si="465"/>
        <v>1</v>
      </c>
      <c r="AP441" s="1120">
        <f t="shared" si="466"/>
        <v>1</v>
      </c>
      <c r="AQ441" s="1120">
        <f t="shared" si="467"/>
        <v>0</v>
      </c>
      <c r="AR441" s="1120">
        <f t="shared" si="468"/>
        <v>0</v>
      </c>
      <c r="AS441" s="1120">
        <f t="shared" si="469"/>
        <v>0</v>
      </c>
      <c r="AT441" s="1120">
        <f t="shared" si="470"/>
        <v>0</v>
      </c>
      <c r="AU441" s="1120">
        <f t="shared" si="471"/>
        <v>0</v>
      </c>
      <c r="AV441" s="1120">
        <f t="shared" si="472"/>
        <v>1</v>
      </c>
      <c r="AW441" s="1120">
        <f t="shared" si="473"/>
        <v>1</v>
      </c>
      <c r="AX441" s="1120">
        <f t="shared" si="474"/>
        <v>1</v>
      </c>
      <c r="AY441" s="1120">
        <f t="shared" si="475"/>
        <v>0</v>
      </c>
      <c r="AZ441" s="1120">
        <f t="shared" si="476"/>
        <v>0</v>
      </c>
      <c r="BA441" s="1120">
        <f t="shared" si="477"/>
        <v>0</v>
      </c>
      <c r="BB441" s="1120">
        <f t="shared" si="478"/>
        <v>0</v>
      </c>
      <c r="BC441" s="1120">
        <f t="shared" si="479"/>
        <v>1</v>
      </c>
      <c r="BD441" s="1120">
        <f t="shared" si="480"/>
        <v>1</v>
      </c>
      <c r="BE441" s="1120">
        <f t="shared" si="481"/>
        <v>1</v>
      </c>
      <c r="BF441" s="1120">
        <f t="shared" si="482"/>
        <v>1</v>
      </c>
      <c r="BG441" s="1120">
        <f t="shared" si="483"/>
        <v>1</v>
      </c>
      <c r="BH441" s="1120">
        <f t="shared" si="484"/>
        <v>0</v>
      </c>
      <c r="BI441" s="1120">
        <f t="shared" si="485"/>
        <v>0</v>
      </c>
      <c r="BJ441" s="1120">
        <f t="shared" si="486"/>
        <v>0</v>
      </c>
      <c r="BK441" s="1120">
        <f t="shared" si="487"/>
        <v>1</v>
      </c>
      <c r="BL441" s="1120">
        <f t="shared" si="488"/>
        <v>1</v>
      </c>
      <c r="BM441" s="1120">
        <f t="shared" si="489"/>
        <v>1</v>
      </c>
      <c r="BN441" s="1120">
        <f t="shared" si="490"/>
        <v>1</v>
      </c>
      <c r="BO441" s="1120">
        <f t="shared" si="491"/>
        <v>1</v>
      </c>
      <c r="BP441" s="1120">
        <f t="shared" si="492"/>
        <v>0</v>
      </c>
      <c r="BQ441" s="1120">
        <f t="shared" si="493"/>
        <v>0</v>
      </c>
      <c r="BR441" s="1120">
        <f t="shared" si="494"/>
        <v>0</v>
      </c>
      <c r="BS441" s="1120">
        <f t="shared" si="495"/>
        <v>0</v>
      </c>
      <c r="BT441" s="1120">
        <f t="shared" si="496"/>
        <v>1</v>
      </c>
      <c r="BU441" s="1120">
        <f t="shared" si="497"/>
        <v>1</v>
      </c>
      <c r="BV441" s="1120">
        <f t="shared" si="498"/>
        <v>1</v>
      </c>
      <c r="BW441" s="1120">
        <f t="shared" si="499"/>
        <v>0</v>
      </c>
      <c r="BX441" s="1120">
        <f t="shared" si="500"/>
        <v>0</v>
      </c>
      <c r="BY441" s="1120">
        <f t="shared" si="501"/>
        <v>0</v>
      </c>
      <c r="BZ441" s="1120">
        <f t="shared" si="502"/>
        <v>1</v>
      </c>
      <c r="CA441" s="1120">
        <f t="shared" si="503"/>
        <v>1</v>
      </c>
      <c r="CB441" s="1120">
        <f t="shared" si="504"/>
        <v>1</v>
      </c>
      <c r="CC441" s="1120">
        <f t="shared" si="505"/>
        <v>1</v>
      </c>
      <c r="CD441" s="1120">
        <f t="shared" si="506"/>
        <v>1</v>
      </c>
      <c r="CE441" s="1120">
        <f t="shared" si="507"/>
        <v>1</v>
      </c>
      <c r="CF441" s="1120">
        <f t="shared" si="508"/>
        <v>1</v>
      </c>
      <c r="CG441" s="1120">
        <f t="shared" si="509"/>
        <v>0</v>
      </c>
      <c r="CH441" s="1120">
        <f t="shared" si="510"/>
        <v>0</v>
      </c>
      <c r="CI441" s="1120">
        <f t="shared" si="511"/>
        <v>0.85</v>
      </c>
      <c r="CJ441" s="1120">
        <f t="shared" si="512"/>
        <v>0.85</v>
      </c>
      <c r="CK441" s="1120">
        <f t="shared" si="513"/>
        <v>0.85</v>
      </c>
      <c r="CL441" s="1120">
        <f t="shared" si="514"/>
        <v>0.85</v>
      </c>
      <c r="CM441" s="1120">
        <f t="shared" si="515"/>
        <v>0.85</v>
      </c>
      <c r="CN441" s="1120">
        <f t="shared" si="516"/>
        <v>0.7</v>
      </c>
      <c r="CO441" s="1120">
        <f t="shared" si="517"/>
        <v>0.7</v>
      </c>
      <c r="CP441" s="1120">
        <f t="shared" si="518"/>
        <v>0.7</v>
      </c>
      <c r="CQ441" s="1120">
        <f t="shared" si="519"/>
        <v>0.7</v>
      </c>
      <c r="CR441" s="1120">
        <f t="shared" si="520"/>
        <v>0.85</v>
      </c>
      <c r="CS441" s="1120">
        <f t="shared" si="521"/>
        <v>0.85</v>
      </c>
      <c r="CT441" s="1120">
        <f t="shared" si="522"/>
        <v>0.85</v>
      </c>
      <c r="CU441" s="1120">
        <v>1</v>
      </c>
      <c r="CV441" s="1120"/>
      <c r="CW441" s="1120">
        <f t="shared" si="523"/>
        <v>214</v>
      </c>
      <c r="CX441" s="1120">
        <f t="shared" si="524"/>
        <v>151</v>
      </c>
      <c r="CY441" s="1135" t="s">
        <v>4883</v>
      </c>
      <c r="CZ441" s="1124" t="s">
        <v>4882</v>
      </c>
      <c r="DA441" s="1124"/>
      <c r="DB441" s="1124"/>
      <c r="DC441" s="1120" t="s">
        <v>5367</v>
      </c>
      <c r="DD441" s="1120" t="s">
        <v>460</v>
      </c>
      <c r="DE441" s="1120" t="str">
        <f t="shared" si="525"/>
        <v/>
      </c>
      <c r="DF441" s="1133">
        <v>1</v>
      </c>
      <c r="DG441" s="1125">
        <v>0</v>
      </c>
    </row>
    <row r="442" spans="1:111">
      <c r="A442" s="1120" t="s">
        <v>3653</v>
      </c>
      <c r="B442" s="1125" t="s">
        <v>3601</v>
      </c>
      <c r="C442" s="1125" t="s">
        <v>3602</v>
      </c>
      <c r="D442" s="1125" t="s">
        <v>1107</v>
      </c>
      <c r="E442" s="1125">
        <v>1364</v>
      </c>
      <c r="F442" s="1125">
        <v>-83.32</v>
      </c>
      <c r="G442" s="1125">
        <v>37.58</v>
      </c>
      <c r="H442" s="1125">
        <v>-5</v>
      </c>
      <c r="I442" s="1126">
        <v>14.9</v>
      </c>
      <c r="J442" s="1126">
        <v>87.260001373291018</v>
      </c>
      <c r="K442" s="1127">
        <v>73.219999313354492</v>
      </c>
      <c r="L442" s="1125">
        <v>3792.6</v>
      </c>
      <c r="M442" s="1125">
        <v>1085.4000000000001</v>
      </c>
      <c r="N442" s="1128">
        <v>34.880000042915341</v>
      </c>
      <c r="O442" s="1128">
        <v>40.820000171661377</v>
      </c>
      <c r="P442" s="1128">
        <v>44.779999828338624</v>
      </c>
      <c r="Q442" s="1128">
        <v>60.440000343322751</v>
      </c>
      <c r="R442" s="1128">
        <v>65.119999313354498</v>
      </c>
      <c r="S442" s="1128">
        <v>71.960001373291021</v>
      </c>
      <c r="T442" s="1128">
        <v>75.2</v>
      </c>
      <c r="U442" s="1128">
        <v>74.119999313354498</v>
      </c>
      <c r="V442" s="1128">
        <v>64.580000686645505</v>
      </c>
      <c r="W442" s="1128">
        <v>57.919999313354495</v>
      </c>
      <c r="X442" s="1128">
        <v>50.9</v>
      </c>
      <c r="Y442" s="1128">
        <v>42.259999656677245</v>
      </c>
      <c r="Z442" s="1128">
        <v>56.991890406608583</v>
      </c>
      <c r="AA442" s="1128">
        <f t="shared" si="451"/>
        <v>53.065813478445421</v>
      </c>
      <c r="AB442" s="1128">
        <f t="shared" si="452"/>
        <v>52.409602480179153</v>
      </c>
      <c r="AC442" s="1128">
        <f t="shared" si="453"/>
        <v>54.511827907929998</v>
      </c>
      <c r="AD442" s="1128">
        <f t="shared" si="454"/>
        <v>58.824512307680223</v>
      </c>
      <c r="AE442" s="1128">
        <f t="shared" si="455"/>
        <v>64.223488030156588</v>
      </c>
      <c r="AF442" s="1128">
        <f t="shared" si="456"/>
        <v>69.301428852561287</v>
      </c>
      <c r="AG442" s="1128">
        <f t="shared" si="457"/>
        <v>72.734691246097739</v>
      </c>
      <c r="AH442" s="1128">
        <f t="shared" si="458"/>
        <v>73.628342459715682</v>
      </c>
      <c r="AI442" s="1128">
        <f t="shared" si="459"/>
        <v>71.749438533003513</v>
      </c>
      <c r="AJ442" s="1128">
        <f t="shared" si="460"/>
        <v>67.587744729244747</v>
      </c>
      <c r="AK442" s="1128">
        <f t="shared" si="461"/>
        <v>62.228070672031919</v>
      </c>
      <c r="AL442" s="1128">
        <f t="shared" si="462"/>
        <v>57.067497999454901</v>
      </c>
      <c r="AM442" s="1125">
        <f t="shared" si="463"/>
        <v>1</v>
      </c>
      <c r="AN442" s="1125">
        <f t="shared" si="464"/>
        <v>1</v>
      </c>
      <c r="AO442" s="1125">
        <f t="shared" si="465"/>
        <v>1</v>
      </c>
      <c r="AP442" s="1125">
        <f t="shared" si="466"/>
        <v>1</v>
      </c>
      <c r="AQ442" s="1125">
        <f t="shared" si="467"/>
        <v>1</v>
      </c>
      <c r="AR442" s="1125">
        <f t="shared" si="468"/>
        <v>0</v>
      </c>
      <c r="AS442" s="1125">
        <f t="shared" si="469"/>
        <v>0</v>
      </c>
      <c r="AT442" s="1125">
        <f t="shared" si="470"/>
        <v>0</v>
      </c>
      <c r="AU442" s="1125">
        <f t="shared" si="471"/>
        <v>1</v>
      </c>
      <c r="AV442" s="1125">
        <f t="shared" si="472"/>
        <v>1</v>
      </c>
      <c r="AW442" s="1125">
        <f t="shared" si="473"/>
        <v>1</v>
      </c>
      <c r="AX442" s="1125">
        <f t="shared" si="474"/>
        <v>1</v>
      </c>
      <c r="AY442" s="1125">
        <f t="shared" si="475"/>
        <v>0</v>
      </c>
      <c r="AZ442" s="1125">
        <f t="shared" si="476"/>
        <v>0</v>
      </c>
      <c r="BA442" s="1125">
        <f t="shared" si="477"/>
        <v>0</v>
      </c>
      <c r="BB442" s="1125">
        <f t="shared" si="478"/>
        <v>0</v>
      </c>
      <c r="BC442" s="1125">
        <f t="shared" si="479"/>
        <v>0</v>
      </c>
      <c r="BD442" s="1125">
        <f t="shared" si="480"/>
        <v>1</v>
      </c>
      <c r="BE442" s="1125">
        <f t="shared" si="481"/>
        <v>1</v>
      </c>
      <c r="BF442" s="1125">
        <f t="shared" si="482"/>
        <v>1</v>
      </c>
      <c r="BG442" s="1125">
        <f t="shared" si="483"/>
        <v>0</v>
      </c>
      <c r="BH442" s="1125">
        <f t="shared" si="484"/>
        <v>0</v>
      </c>
      <c r="BI442" s="1125">
        <f t="shared" si="485"/>
        <v>0</v>
      </c>
      <c r="BJ442" s="1125">
        <f t="shared" si="486"/>
        <v>0</v>
      </c>
      <c r="BK442" s="1125">
        <f t="shared" si="487"/>
        <v>1</v>
      </c>
      <c r="BL442" s="1125">
        <f t="shared" si="488"/>
        <v>1</v>
      </c>
      <c r="BM442" s="1125">
        <f t="shared" si="489"/>
        <v>1</v>
      </c>
      <c r="BN442" s="1125">
        <f t="shared" si="490"/>
        <v>1</v>
      </c>
      <c r="BO442" s="1125">
        <f t="shared" si="491"/>
        <v>1</v>
      </c>
      <c r="BP442" s="1125">
        <f t="shared" si="492"/>
        <v>1</v>
      </c>
      <c r="BQ442" s="1125">
        <f t="shared" si="493"/>
        <v>0</v>
      </c>
      <c r="BR442" s="1125">
        <f t="shared" si="494"/>
        <v>0</v>
      </c>
      <c r="BS442" s="1125">
        <f t="shared" si="495"/>
        <v>1</v>
      </c>
      <c r="BT442" s="1125">
        <f t="shared" si="496"/>
        <v>1</v>
      </c>
      <c r="BU442" s="1125">
        <f t="shared" si="497"/>
        <v>1</v>
      </c>
      <c r="BV442" s="1125">
        <f t="shared" si="498"/>
        <v>1</v>
      </c>
      <c r="BW442" s="1125">
        <f t="shared" si="499"/>
        <v>0</v>
      </c>
      <c r="BX442" s="1125">
        <f t="shared" si="500"/>
        <v>0</v>
      </c>
      <c r="BY442" s="1125">
        <f t="shared" si="501"/>
        <v>0</v>
      </c>
      <c r="BZ442" s="1125">
        <f t="shared" si="502"/>
        <v>0</v>
      </c>
      <c r="CA442" s="1125">
        <f t="shared" si="503"/>
        <v>1</v>
      </c>
      <c r="CB442" s="1125">
        <f t="shared" si="504"/>
        <v>1</v>
      </c>
      <c r="CC442" s="1125">
        <f t="shared" si="505"/>
        <v>1</v>
      </c>
      <c r="CD442" s="1125">
        <f t="shared" si="506"/>
        <v>1</v>
      </c>
      <c r="CE442" s="1125">
        <f t="shared" si="507"/>
        <v>1</v>
      </c>
      <c r="CF442" s="1125">
        <f t="shared" si="508"/>
        <v>0</v>
      </c>
      <c r="CG442" s="1125">
        <f t="shared" si="509"/>
        <v>0</v>
      </c>
      <c r="CH442" s="1125">
        <f t="shared" si="510"/>
        <v>0</v>
      </c>
      <c r="CI442" s="1125">
        <f t="shared" si="511"/>
        <v>0.85</v>
      </c>
      <c r="CJ442" s="1125">
        <f t="shared" si="512"/>
        <v>0.85</v>
      </c>
      <c r="CK442" s="1125">
        <f t="shared" si="513"/>
        <v>0.85</v>
      </c>
      <c r="CL442" s="1125">
        <f t="shared" si="514"/>
        <v>0.85</v>
      </c>
      <c r="CM442" s="1125">
        <f t="shared" si="515"/>
        <v>0.85</v>
      </c>
      <c r="CN442" s="1125">
        <f t="shared" si="516"/>
        <v>0.85</v>
      </c>
      <c r="CO442" s="1125">
        <f t="shared" si="517"/>
        <v>0.7</v>
      </c>
      <c r="CP442" s="1125">
        <f t="shared" si="518"/>
        <v>0.7</v>
      </c>
      <c r="CQ442" s="1125">
        <f t="shared" si="519"/>
        <v>0.85</v>
      </c>
      <c r="CR442" s="1125">
        <f t="shared" si="520"/>
        <v>0.85</v>
      </c>
      <c r="CS442" s="1125">
        <f t="shared" si="521"/>
        <v>0.85</v>
      </c>
      <c r="CT442" s="1125">
        <f t="shared" si="522"/>
        <v>0.85</v>
      </c>
      <c r="CU442" s="1125">
        <v>1</v>
      </c>
      <c r="CV442" s="1125"/>
      <c r="CW442" s="1125">
        <f t="shared" si="523"/>
        <v>153</v>
      </c>
      <c r="CX442" s="1125">
        <f t="shared" si="524"/>
        <v>212</v>
      </c>
      <c r="CY442" s="1136" t="s">
        <v>4881</v>
      </c>
      <c r="CZ442" s="1129" t="s">
        <v>4885</v>
      </c>
      <c r="DA442" s="1129"/>
      <c r="DB442" s="1129"/>
      <c r="DC442" s="1125" t="s">
        <v>5245</v>
      </c>
      <c r="DD442" s="1125" t="s">
        <v>1107</v>
      </c>
      <c r="DE442" s="1120" t="str">
        <f t="shared" si="525"/>
        <v/>
      </c>
      <c r="DF442" s="1133">
        <v>1</v>
      </c>
      <c r="DG442" s="1120">
        <v>0</v>
      </c>
    </row>
    <row r="443" spans="1:111">
      <c r="A443" s="1125" t="s">
        <v>3655</v>
      </c>
      <c r="B443" s="1125" t="s">
        <v>4344</v>
      </c>
      <c r="C443" s="1125" t="s">
        <v>4345</v>
      </c>
      <c r="D443" s="1125" t="s">
        <v>560</v>
      </c>
      <c r="E443" s="1125">
        <v>433</v>
      </c>
      <c r="F443" s="1125">
        <v>-88.92</v>
      </c>
      <c r="G443" s="1125">
        <v>35.6</v>
      </c>
      <c r="H443" s="1125">
        <v>-6</v>
      </c>
      <c r="I443" s="1126">
        <v>18.679999828338623</v>
      </c>
      <c r="J443" s="1126">
        <v>92.660001373291024</v>
      </c>
      <c r="K443" s="1127">
        <v>76.639998626708987</v>
      </c>
      <c r="L443" s="1125">
        <v>3159</v>
      </c>
      <c r="M443" s="1125">
        <v>1474.2</v>
      </c>
      <c r="N443" s="1128">
        <v>37.579999828338622</v>
      </c>
      <c r="O443" s="1128">
        <v>46.220000171661376</v>
      </c>
      <c r="P443" s="1128">
        <v>53.419999313354495</v>
      </c>
      <c r="Q443" s="1128">
        <v>63.680000686645506</v>
      </c>
      <c r="R443" s="1128">
        <v>66.739998626708982</v>
      </c>
      <c r="S443" s="1128">
        <v>75.2</v>
      </c>
      <c r="T443" s="1128">
        <v>77.719999313354492</v>
      </c>
      <c r="U443" s="1128">
        <v>73.039998626708979</v>
      </c>
      <c r="V443" s="1128">
        <v>70.16000137329101</v>
      </c>
      <c r="W443" s="1128">
        <v>59.540000343322752</v>
      </c>
      <c r="X443" s="1128">
        <v>53.959999656677248</v>
      </c>
      <c r="Y443" s="1128">
        <v>39.559999656677249</v>
      </c>
      <c r="Z443" s="1128">
        <v>59.780164173335244</v>
      </c>
      <c r="AA443" s="1128">
        <f t="shared" si="451"/>
        <v>55.191880689169089</v>
      </c>
      <c r="AB443" s="1128">
        <f t="shared" si="452"/>
        <v>54.777177935739559</v>
      </c>
      <c r="AC443" s="1128">
        <f t="shared" si="453"/>
        <v>57.230573106289832</v>
      </c>
      <c r="AD443" s="1128">
        <f t="shared" si="454"/>
        <v>61.912550941651965</v>
      </c>
      <c r="AE443" s="1128">
        <f t="shared" si="455"/>
        <v>67.602681767576371</v>
      </c>
      <c r="AF443" s="1128">
        <f t="shared" si="456"/>
        <v>72.817745296715557</v>
      </c>
      <c r="AG443" s="1128">
        <f t="shared" si="457"/>
        <v>76.19835485363771</v>
      </c>
      <c r="AH443" s="1128">
        <f t="shared" si="458"/>
        <v>76.863302460560874</v>
      </c>
      <c r="AI443" s="1128">
        <f t="shared" si="459"/>
        <v>74.639259276587694</v>
      </c>
      <c r="AJ443" s="1128">
        <f t="shared" si="460"/>
        <v>70.105956431163719</v>
      </c>
      <c r="AK443" s="1128">
        <f t="shared" si="461"/>
        <v>64.445069171260187</v>
      </c>
      <c r="AL443" s="1128">
        <f t="shared" si="462"/>
        <v>59.132194998084294</v>
      </c>
      <c r="AM443" s="1125">
        <f t="shared" si="463"/>
        <v>1</v>
      </c>
      <c r="AN443" s="1125">
        <f t="shared" si="464"/>
        <v>1</v>
      </c>
      <c r="AO443" s="1125">
        <f t="shared" si="465"/>
        <v>1</v>
      </c>
      <c r="AP443" s="1125">
        <f t="shared" si="466"/>
        <v>1</v>
      </c>
      <c r="AQ443" s="1125">
        <f t="shared" si="467"/>
        <v>0</v>
      </c>
      <c r="AR443" s="1125">
        <f t="shared" si="468"/>
        <v>0</v>
      </c>
      <c r="AS443" s="1125">
        <f t="shared" si="469"/>
        <v>0</v>
      </c>
      <c r="AT443" s="1125">
        <f t="shared" si="470"/>
        <v>0</v>
      </c>
      <c r="AU443" s="1125">
        <f t="shared" si="471"/>
        <v>0</v>
      </c>
      <c r="AV443" s="1125">
        <f t="shared" si="472"/>
        <v>1</v>
      </c>
      <c r="AW443" s="1125">
        <f t="shared" si="473"/>
        <v>1</v>
      </c>
      <c r="AX443" s="1125">
        <f t="shared" si="474"/>
        <v>1</v>
      </c>
      <c r="AY443" s="1125">
        <f t="shared" si="475"/>
        <v>0</v>
      </c>
      <c r="AZ443" s="1125">
        <f t="shared" si="476"/>
        <v>0</v>
      </c>
      <c r="BA443" s="1125">
        <f t="shared" si="477"/>
        <v>0</v>
      </c>
      <c r="BB443" s="1125">
        <f t="shared" si="478"/>
        <v>0</v>
      </c>
      <c r="BC443" s="1125">
        <f t="shared" si="479"/>
        <v>1</v>
      </c>
      <c r="BD443" s="1125">
        <f t="shared" si="480"/>
        <v>1</v>
      </c>
      <c r="BE443" s="1125">
        <f t="shared" si="481"/>
        <v>1</v>
      </c>
      <c r="BF443" s="1125">
        <f t="shared" si="482"/>
        <v>1</v>
      </c>
      <c r="BG443" s="1125">
        <f t="shared" si="483"/>
        <v>1</v>
      </c>
      <c r="BH443" s="1125">
        <f t="shared" si="484"/>
        <v>0</v>
      </c>
      <c r="BI443" s="1125">
        <f t="shared" si="485"/>
        <v>0</v>
      </c>
      <c r="BJ443" s="1125">
        <f t="shared" si="486"/>
        <v>0</v>
      </c>
      <c r="BK443" s="1125">
        <f t="shared" si="487"/>
        <v>1</v>
      </c>
      <c r="BL443" s="1125">
        <f t="shared" si="488"/>
        <v>1</v>
      </c>
      <c r="BM443" s="1125">
        <f t="shared" si="489"/>
        <v>1</v>
      </c>
      <c r="BN443" s="1125">
        <f t="shared" si="490"/>
        <v>1</v>
      </c>
      <c r="BO443" s="1125">
        <f t="shared" si="491"/>
        <v>1</v>
      </c>
      <c r="BP443" s="1125">
        <f t="shared" si="492"/>
        <v>0</v>
      </c>
      <c r="BQ443" s="1125">
        <f t="shared" si="493"/>
        <v>0</v>
      </c>
      <c r="BR443" s="1125">
        <f t="shared" si="494"/>
        <v>0</v>
      </c>
      <c r="BS443" s="1125">
        <f t="shared" si="495"/>
        <v>0</v>
      </c>
      <c r="BT443" s="1125">
        <f t="shared" si="496"/>
        <v>1</v>
      </c>
      <c r="BU443" s="1125">
        <f t="shared" si="497"/>
        <v>1</v>
      </c>
      <c r="BV443" s="1125">
        <f t="shared" si="498"/>
        <v>1</v>
      </c>
      <c r="BW443" s="1125">
        <f t="shared" si="499"/>
        <v>0</v>
      </c>
      <c r="BX443" s="1125">
        <f t="shared" si="500"/>
        <v>0</v>
      </c>
      <c r="BY443" s="1125">
        <f t="shared" si="501"/>
        <v>0</v>
      </c>
      <c r="BZ443" s="1125">
        <f t="shared" si="502"/>
        <v>1</v>
      </c>
      <c r="CA443" s="1125">
        <f t="shared" si="503"/>
        <v>1</v>
      </c>
      <c r="CB443" s="1125">
        <f t="shared" si="504"/>
        <v>1</v>
      </c>
      <c r="CC443" s="1125">
        <f t="shared" si="505"/>
        <v>1</v>
      </c>
      <c r="CD443" s="1125">
        <f t="shared" si="506"/>
        <v>1</v>
      </c>
      <c r="CE443" s="1125">
        <f t="shared" si="507"/>
        <v>1</v>
      </c>
      <c r="CF443" s="1125">
        <f t="shared" si="508"/>
        <v>1</v>
      </c>
      <c r="CG443" s="1125">
        <f t="shared" si="509"/>
        <v>0</v>
      </c>
      <c r="CH443" s="1125">
        <f t="shared" si="510"/>
        <v>0</v>
      </c>
      <c r="CI443" s="1125">
        <f t="shared" si="511"/>
        <v>0.85</v>
      </c>
      <c r="CJ443" s="1125">
        <f t="shared" si="512"/>
        <v>0.85</v>
      </c>
      <c r="CK443" s="1125">
        <f t="shared" si="513"/>
        <v>0.85</v>
      </c>
      <c r="CL443" s="1125">
        <f t="shared" si="514"/>
        <v>0.85</v>
      </c>
      <c r="CM443" s="1125">
        <f t="shared" si="515"/>
        <v>0.85</v>
      </c>
      <c r="CN443" s="1125">
        <f t="shared" si="516"/>
        <v>0.7</v>
      </c>
      <c r="CO443" s="1125">
        <f t="shared" si="517"/>
        <v>0.7</v>
      </c>
      <c r="CP443" s="1125">
        <f t="shared" si="518"/>
        <v>0.7</v>
      </c>
      <c r="CQ443" s="1125">
        <f t="shared" si="519"/>
        <v>0.7</v>
      </c>
      <c r="CR443" s="1125">
        <f t="shared" si="520"/>
        <v>0.85</v>
      </c>
      <c r="CS443" s="1125">
        <f t="shared" si="521"/>
        <v>0.85</v>
      </c>
      <c r="CT443" s="1125">
        <f t="shared" si="522"/>
        <v>0.85</v>
      </c>
      <c r="CU443" s="1125">
        <v>1</v>
      </c>
      <c r="CV443" s="1125"/>
      <c r="CW443" s="1125">
        <f t="shared" si="523"/>
        <v>214</v>
      </c>
      <c r="CX443" s="1125">
        <f t="shared" si="524"/>
        <v>151</v>
      </c>
      <c r="CY443" s="1136" t="s">
        <v>4881</v>
      </c>
      <c r="CZ443" s="1129" t="s">
        <v>4882</v>
      </c>
      <c r="DA443" s="1129"/>
      <c r="DB443" s="1129"/>
      <c r="DC443" s="1125" t="s">
        <v>6051</v>
      </c>
      <c r="DD443" s="1125" t="s">
        <v>560</v>
      </c>
      <c r="DE443" s="1120" t="str">
        <f t="shared" si="525"/>
        <v/>
      </c>
      <c r="DF443" s="1133">
        <v>1</v>
      </c>
      <c r="DG443" s="1125">
        <v>0</v>
      </c>
    </row>
    <row r="444" spans="1:111">
      <c r="A444" s="1120" t="s">
        <v>3657</v>
      </c>
      <c r="B444" s="1125" t="s">
        <v>3737</v>
      </c>
      <c r="C444" s="1125" t="s">
        <v>3738</v>
      </c>
      <c r="D444" s="1125" t="s">
        <v>540</v>
      </c>
      <c r="E444" s="1125">
        <v>997</v>
      </c>
      <c r="F444" s="1125">
        <v>-84.47</v>
      </c>
      <c r="G444" s="1125">
        <v>42.27</v>
      </c>
      <c r="H444" s="1125">
        <v>-5</v>
      </c>
      <c r="I444" s="1126">
        <v>4.4599996566772457</v>
      </c>
      <c r="J444" s="1126">
        <v>86</v>
      </c>
      <c r="K444" s="1127">
        <v>72.319999313354487</v>
      </c>
      <c r="L444" s="1125">
        <v>6150.6</v>
      </c>
      <c r="M444" s="1125">
        <v>795.6</v>
      </c>
      <c r="N444" s="1128">
        <v>26.420000171661378</v>
      </c>
      <c r="O444" s="1128">
        <v>21.559999656677245</v>
      </c>
      <c r="P444" s="1128">
        <v>42.440000343322751</v>
      </c>
      <c r="Q444" s="1128">
        <v>50.540000343322752</v>
      </c>
      <c r="R444" s="1128">
        <v>60.980000686645511</v>
      </c>
      <c r="S444" s="1128">
        <v>68.360001373291013</v>
      </c>
      <c r="T444" s="1128">
        <v>73.939998626708984</v>
      </c>
      <c r="U444" s="1128">
        <v>70.880000686645502</v>
      </c>
      <c r="V444" s="1128">
        <v>60.980000686645511</v>
      </c>
      <c r="W444" s="1128">
        <v>53.240000343322755</v>
      </c>
      <c r="X444" s="1128">
        <v>40.640000343322754</v>
      </c>
      <c r="Y444" s="1128">
        <v>24.620000171661378</v>
      </c>
      <c r="Z444" s="1128">
        <v>49.718904396475182</v>
      </c>
      <c r="AA444" s="1128">
        <f t="shared" si="451"/>
        <v>45.233372622799962</v>
      </c>
      <c r="AB444" s="1128">
        <f t="shared" si="452"/>
        <v>43.746039889318325</v>
      </c>
      <c r="AC444" s="1128">
        <f t="shared" si="453"/>
        <v>45.379618797054171</v>
      </c>
      <c r="AD444" s="1128">
        <f t="shared" si="454"/>
        <v>49.708291829493163</v>
      </c>
      <c r="AE444" s="1128">
        <f t="shared" si="455"/>
        <v>55.603723653859454</v>
      </c>
      <c r="AF444" s="1128">
        <f t="shared" si="456"/>
        <v>61.529179113777509</v>
      </c>
      <c r="AG444" s="1128">
        <f t="shared" si="457"/>
        <v>65.940096929586986</v>
      </c>
      <c r="AH444" s="1128">
        <f t="shared" si="458"/>
        <v>67.686703398296061</v>
      </c>
      <c r="AI444" s="1128">
        <f t="shared" si="459"/>
        <v>66.313718627815263</v>
      </c>
      <c r="AJ444" s="1128">
        <f t="shared" si="460"/>
        <v>62.179032256906197</v>
      </c>
      <c r="AK444" s="1128">
        <f t="shared" si="461"/>
        <v>56.360414005592006</v>
      </c>
      <c r="AL444" s="1128">
        <f t="shared" si="462"/>
        <v>50.374576388699182</v>
      </c>
      <c r="AM444" s="1125">
        <f t="shared" si="463"/>
        <v>1</v>
      </c>
      <c r="AN444" s="1125">
        <f t="shared" si="464"/>
        <v>1</v>
      </c>
      <c r="AO444" s="1125">
        <f t="shared" si="465"/>
        <v>1</v>
      </c>
      <c r="AP444" s="1125">
        <f t="shared" si="466"/>
        <v>1</v>
      </c>
      <c r="AQ444" s="1125">
        <f t="shared" si="467"/>
        <v>1</v>
      </c>
      <c r="AR444" s="1125">
        <f t="shared" si="468"/>
        <v>0</v>
      </c>
      <c r="AS444" s="1125">
        <f t="shared" si="469"/>
        <v>0</v>
      </c>
      <c r="AT444" s="1125">
        <f t="shared" si="470"/>
        <v>0</v>
      </c>
      <c r="AU444" s="1125">
        <f t="shared" si="471"/>
        <v>1</v>
      </c>
      <c r="AV444" s="1125">
        <f t="shared" si="472"/>
        <v>1</v>
      </c>
      <c r="AW444" s="1125">
        <f t="shared" si="473"/>
        <v>1</v>
      </c>
      <c r="AX444" s="1125">
        <f t="shared" si="474"/>
        <v>1</v>
      </c>
      <c r="AY444" s="1125">
        <f t="shared" si="475"/>
        <v>0</v>
      </c>
      <c r="AZ444" s="1125">
        <f t="shared" si="476"/>
        <v>0</v>
      </c>
      <c r="BA444" s="1125">
        <f t="shared" si="477"/>
        <v>0</v>
      </c>
      <c r="BB444" s="1125">
        <f t="shared" si="478"/>
        <v>0</v>
      </c>
      <c r="BC444" s="1125">
        <f t="shared" si="479"/>
        <v>0</v>
      </c>
      <c r="BD444" s="1125">
        <f t="shared" si="480"/>
        <v>1</v>
      </c>
      <c r="BE444" s="1125">
        <f t="shared" si="481"/>
        <v>1</v>
      </c>
      <c r="BF444" s="1125">
        <f t="shared" si="482"/>
        <v>1</v>
      </c>
      <c r="BG444" s="1125">
        <f t="shared" si="483"/>
        <v>0</v>
      </c>
      <c r="BH444" s="1125">
        <f t="shared" si="484"/>
        <v>0</v>
      </c>
      <c r="BI444" s="1125">
        <f t="shared" si="485"/>
        <v>0</v>
      </c>
      <c r="BJ444" s="1125">
        <f t="shared" si="486"/>
        <v>0</v>
      </c>
      <c r="BK444" s="1125">
        <f t="shared" si="487"/>
        <v>1</v>
      </c>
      <c r="BL444" s="1125">
        <f t="shared" si="488"/>
        <v>1</v>
      </c>
      <c r="BM444" s="1125">
        <f t="shared" si="489"/>
        <v>1</v>
      </c>
      <c r="BN444" s="1125">
        <f t="shared" si="490"/>
        <v>1</v>
      </c>
      <c r="BO444" s="1125">
        <f t="shared" si="491"/>
        <v>1</v>
      </c>
      <c r="BP444" s="1125">
        <f t="shared" si="492"/>
        <v>1</v>
      </c>
      <c r="BQ444" s="1125">
        <f t="shared" si="493"/>
        <v>0</v>
      </c>
      <c r="BR444" s="1125">
        <f t="shared" si="494"/>
        <v>0</v>
      </c>
      <c r="BS444" s="1125">
        <f t="shared" si="495"/>
        <v>1</v>
      </c>
      <c r="BT444" s="1125">
        <f t="shared" si="496"/>
        <v>1</v>
      </c>
      <c r="BU444" s="1125">
        <f t="shared" si="497"/>
        <v>1</v>
      </c>
      <c r="BV444" s="1125">
        <f t="shared" si="498"/>
        <v>1</v>
      </c>
      <c r="BW444" s="1125">
        <f t="shared" si="499"/>
        <v>0</v>
      </c>
      <c r="BX444" s="1125">
        <f t="shared" si="500"/>
        <v>0</v>
      </c>
      <c r="BY444" s="1125">
        <f t="shared" si="501"/>
        <v>0</v>
      </c>
      <c r="BZ444" s="1125">
        <f t="shared" si="502"/>
        <v>0</v>
      </c>
      <c r="CA444" s="1125">
        <f t="shared" si="503"/>
        <v>1</v>
      </c>
      <c r="CB444" s="1125">
        <f t="shared" si="504"/>
        <v>1</v>
      </c>
      <c r="CC444" s="1125">
        <f t="shared" si="505"/>
        <v>1</v>
      </c>
      <c r="CD444" s="1125">
        <f t="shared" si="506"/>
        <v>1</v>
      </c>
      <c r="CE444" s="1125">
        <f t="shared" si="507"/>
        <v>1</v>
      </c>
      <c r="CF444" s="1125">
        <f t="shared" si="508"/>
        <v>0</v>
      </c>
      <c r="CG444" s="1125">
        <f t="shared" si="509"/>
        <v>0</v>
      </c>
      <c r="CH444" s="1125">
        <f t="shared" si="510"/>
        <v>0</v>
      </c>
      <c r="CI444" s="1125">
        <f t="shared" si="511"/>
        <v>0.85</v>
      </c>
      <c r="CJ444" s="1125">
        <f t="shared" si="512"/>
        <v>0.85</v>
      </c>
      <c r="CK444" s="1125">
        <f t="shared" si="513"/>
        <v>0.85</v>
      </c>
      <c r="CL444" s="1125">
        <f t="shared" si="514"/>
        <v>0.85</v>
      </c>
      <c r="CM444" s="1125">
        <f t="shared" si="515"/>
        <v>0.85</v>
      </c>
      <c r="CN444" s="1125">
        <f t="shared" si="516"/>
        <v>0.85</v>
      </c>
      <c r="CO444" s="1125">
        <f t="shared" si="517"/>
        <v>0.7</v>
      </c>
      <c r="CP444" s="1125">
        <f t="shared" si="518"/>
        <v>0.7</v>
      </c>
      <c r="CQ444" s="1125">
        <f t="shared" si="519"/>
        <v>0.85</v>
      </c>
      <c r="CR444" s="1125">
        <f t="shared" si="520"/>
        <v>0.85</v>
      </c>
      <c r="CS444" s="1125">
        <f t="shared" si="521"/>
        <v>0.85</v>
      </c>
      <c r="CT444" s="1125">
        <f t="shared" si="522"/>
        <v>0.85</v>
      </c>
      <c r="CU444" s="1125">
        <v>1</v>
      </c>
      <c r="CV444" s="1125"/>
      <c r="CW444" s="1125">
        <f t="shared" si="523"/>
        <v>153</v>
      </c>
      <c r="CX444" s="1125">
        <f t="shared" si="524"/>
        <v>212</v>
      </c>
      <c r="CY444" s="1136" t="s">
        <v>4889</v>
      </c>
      <c r="CZ444" s="1129" t="s">
        <v>4897</v>
      </c>
      <c r="DA444" s="1129"/>
      <c r="DB444" s="1129"/>
      <c r="DC444" s="1125" t="s">
        <v>5308</v>
      </c>
      <c r="DD444" s="1125" t="s">
        <v>540</v>
      </c>
      <c r="DE444" s="1120" t="str">
        <f t="shared" si="525"/>
        <v/>
      </c>
      <c r="DF444" s="1133">
        <v>1</v>
      </c>
      <c r="DG444" s="1120">
        <v>0</v>
      </c>
    </row>
    <row r="445" spans="1:111">
      <c r="A445" s="1125" t="s">
        <v>3659</v>
      </c>
      <c r="B445" s="1125" t="s">
        <v>5900</v>
      </c>
      <c r="C445" s="1125" t="s">
        <v>5901</v>
      </c>
      <c r="D445" s="1125" t="s">
        <v>426</v>
      </c>
      <c r="E445" s="1125">
        <v>95</v>
      </c>
      <c r="F445" s="1125">
        <v>-77.62</v>
      </c>
      <c r="G445" s="1125">
        <v>34.83</v>
      </c>
      <c r="H445" s="1125">
        <v>-5</v>
      </c>
      <c r="I445" s="1126">
        <v>24.620000171661378</v>
      </c>
      <c r="J445" s="1126">
        <v>91.22000274658204</v>
      </c>
      <c r="K445" s="1127">
        <v>75.739998626708982</v>
      </c>
      <c r="L445" s="1125">
        <v>3578.4</v>
      </c>
      <c r="M445" s="1125">
        <v>1488.6000000000001</v>
      </c>
      <c r="N445" s="1128">
        <v>41.9</v>
      </c>
      <c r="O445" s="1128">
        <v>43.879999828338626</v>
      </c>
      <c r="P445" s="1128">
        <v>47.119999313354491</v>
      </c>
      <c r="Q445" s="1128">
        <v>58.459999656677248</v>
      </c>
      <c r="R445" s="1128">
        <v>70.519999313354489</v>
      </c>
      <c r="S445" s="1128">
        <v>76.280000686645508</v>
      </c>
      <c r="T445" s="1128">
        <v>75.019999313354489</v>
      </c>
      <c r="U445" s="1128">
        <v>74.83999862670899</v>
      </c>
      <c r="V445" s="1128">
        <v>69.619999313354498</v>
      </c>
      <c r="W445" s="1128">
        <v>57.740000343322755</v>
      </c>
      <c r="X445" s="1128">
        <v>47.480000686645511</v>
      </c>
      <c r="Y445" s="1128">
        <v>40.1</v>
      </c>
      <c r="Z445" s="1128">
        <v>58.652821670427713</v>
      </c>
      <c r="AA445" s="1128">
        <f t="shared" si="451"/>
        <v>55.366050077214425</v>
      </c>
      <c r="AB445" s="1128">
        <f t="shared" si="452"/>
        <v>54.902220175816353</v>
      </c>
      <c r="AC445" s="1128">
        <f t="shared" si="453"/>
        <v>56.980034815306126</v>
      </c>
      <c r="AD445" s="1128">
        <f t="shared" si="454"/>
        <v>61.057879589807918</v>
      </c>
      <c r="AE445" s="1128">
        <f t="shared" si="455"/>
        <v>66.072801417357653</v>
      </c>
      <c r="AF445" s="1128">
        <f t="shared" si="456"/>
        <v>70.71758364131982</v>
      </c>
      <c r="AG445" s="1128">
        <f t="shared" si="457"/>
        <v>73.781492196757952</v>
      </c>
      <c r="AH445" s="1128">
        <f t="shared" si="458"/>
        <v>74.465872102437046</v>
      </c>
      <c r="AI445" s="1128">
        <f t="shared" si="459"/>
        <v>72.59232918932824</v>
      </c>
      <c r="AJ445" s="1128">
        <f t="shared" si="460"/>
        <v>68.649231289903597</v>
      </c>
      <c r="AK445" s="1128">
        <f t="shared" si="461"/>
        <v>63.664407636626116</v>
      </c>
      <c r="AL445" s="1128">
        <f t="shared" si="462"/>
        <v>58.937229333180355</v>
      </c>
      <c r="AM445" s="1125">
        <f t="shared" si="463"/>
        <v>1</v>
      </c>
      <c r="AN445" s="1125">
        <f t="shared" si="464"/>
        <v>1</v>
      </c>
      <c r="AO445" s="1125">
        <f t="shared" si="465"/>
        <v>1</v>
      </c>
      <c r="AP445" s="1125">
        <f t="shared" si="466"/>
        <v>1</v>
      </c>
      <c r="AQ445" s="1125">
        <f t="shared" si="467"/>
        <v>0</v>
      </c>
      <c r="AR445" s="1125">
        <f t="shared" si="468"/>
        <v>0</v>
      </c>
      <c r="AS445" s="1125">
        <f t="shared" si="469"/>
        <v>0</v>
      </c>
      <c r="AT445" s="1125">
        <f t="shared" si="470"/>
        <v>0</v>
      </c>
      <c r="AU445" s="1125">
        <f t="shared" si="471"/>
        <v>0</v>
      </c>
      <c r="AV445" s="1125">
        <f t="shared" si="472"/>
        <v>1</v>
      </c>
      <c r="AW445" s="1125">
        <f t="shared" si="473"/>
        <v>1</v>
      </c>
      <c r="AX445" s="1125">
        <f t="shared" si="474"/>
        <v>1</v>
      </c>
      <c r="AY445" s="1125">
        <f t="shared" si="475"/>
        <v>0</v>
      </c>
      <c r="AZ445" s="1125">
        <f t="shared" si="476"/>
        <v>0</v>
      </c>
      <c r="BA445" s="1125">
        <f t="shared" si="477"/>
        <v>0</v>
      </c>
      <c r="BB445" s="1125">
        <f t="shared" si="478"/>
        <v>0</v>
      </c>
      <c r="BC445" s="1125">
        <f t="shared" si="479"/>
        <v>1</v>
      </c>
      <c r="BD445" s="1125">
        <f t="shared" si="480"/>
        <v>1</v>
      </c>
      <c r="BE445" s="1125">
        <f t="shared" si="481"/>
        <v>1</v>
      </c>
      <c r="BF445" s="1125">
        <f t="shared" si="482"/>
        <v>1</v>
      </c>
      <c r="BG445" s="1125">
        <f t="shared" si="483"/>
        <v>1</v>
      </c>
      <c r="BH445" s="1125">
        <f t="shared" si="484"/>
        <v>0</v>
      </c>
      <c r="BI445" s="1125">
        <f t="shared" si="485"/>
        <v>0</v>
      </c>
      <c r="BJ445" s="1125">
        <f t="shared" si="486"/>
        <v>0</v>
      </c>
      <c r="BK445" s="1125">
        <f t="shared" si="487"/>
        <v>1</v>
      </c>
      <c r="BL445" s="1125">
        <f t="shared" si="488"/>
        <v>1</v>
      </c>
      <c r="BM445" s="1125">
        <f t="shared" si="489"/>
        <v>1</v>
      </c>
      <c r="BN445" s="1125">
        <f t="shared" si="490"/>
        <v>1</v>
      </c>
      <c r="BO445" s="1125">
        <f t="shared" si="491"/>
        <v>1</v>
      </c>
      <c r="BP445" s="1125">
        <f t="shared" si="492"/>
        <v>0</v>
      </c>
      <c r="BQ445" s="1125">
        <f t="shared" si="493"/>
        <v>0</v>
      </c>
      <c r="BR445" s="1125">
        <f t="shared" si="494"/>
        <v>0</v>
      </c>
      <c r="BS445" s="1125">
        <f t="shared" si="495"/>
        <v>0</v>
      </c>
      <c r="BT445" s="1125">
        <f t="shared" si="496"/>
        <v>1</v>
      </c>
      <c r="BU445" s="1125">
        <f t="shared" si="497"/>
        <v>1</v>
      </c>
      <c r="BV445" s="1125">
        <f t="shared" si="498"/>
        <v>1</v>
      </c>
      <c r="BW445" s="1125">
        <f t="shared" si="499"/>
        <v>0</v>
      </c>
      <c r="BX445" s="1125">
        <f t="shared" si="500"/>
        <v>0</v>
      </c>
      <c r="BY445" s="1125">
        <f t="shared" si="501"/>
        <v>0</v>
      </c>
      <c r="BZ445" s="1125">
        <f t="shared" si="502"/>
        <v>1</v>
      </c>
      <c r="CA445" s="1125">
        <f t="shared" si="503"/>
        <v>1</v>
      </c>
      <c r="CB445" s="1125">
        <f t="shared" si="504"/>
        <v>1</v>
      </c>
      <c r="CC445" s="1125">
        <f t="shared" si="505"/>
        <v>1</v>
      </c>
      <c r="CD445" s="1125">
        <f t="shared" si="506"/>
        <v>1</v>
      </c>
      <c r="CE445" s="1125">
        <f t="shared" si="507"/>
        <v>1</v>
      </c>
      <c r="CF445" s="1125">
        <f t="shared" si="508"/>
        <v>1</v>
      </c>
      <c r="CG445" s="1125">
        <f t="shared" si="509"/>
        <v>0</v>
      </c>
      <c r="CH445" s="1125">
        <f t="shared" si="510"/>
        <v>0</v>
      </c>
      <c r="CI445" s="1125">
        <f t="shared" si="511"/>
        <v>0.85</v>
      </c>
      <c r="CJ445" s="1125">
        <f t="shared" si="512"/>
        <v>0.85</v>
      </c>
      <c r="CK445" s="1125">
        <f t="shared" si="513"/>
        <v>0.85</v>
      </c>
      <c r="CL445" s="1125">
        <f t="shared" si="514"/>
        <v>0.85</v>
      </c>
      <c r="CM445" s="1125">
        <f t="shared" si="515"/>
        <v>0.85</v>
      </c>
      <c r="CN445" s="1125">
        <f t="shared" si="516"/>
        <v>0.7</v>
      </c>
      <c r="CO445" s="1125">
        <f t="shared" si="517"/>
        <v>0.7</v>
      </c>
      <c r="CP445" s="1125">
        <f t="shared" si="518"/>
        <v>0.7</v>
      </c>
      <c r="CQ445" s="1125">
        <f t="shared" si="519"/>
        <v>0.7</v>
      </c>
      <c r="CR445" s="1125">
        <f t="shared" si="520"/>
        <v>0.85</v>
      </c>
      <c r="CS445" s="1125">
        <f t="shared" si="521"/>
        <v>0.85</v>
      </c>
      <c r="CT445" s="1125">
        <f t="shared" si="522"/>
        <v>0.85</v>
      </c>
      <c r="CU445" s="1125">
        <v>1</v>
      </c>
      <c r="CV445" s="1125"/>
      <c r="CW445" s="1125">
        <f t="shared" si="523"/>
        <v>214</v>
      </c>
      <c r="CX445" s="1125">
        <f t="shared" si="524"/>
        <v>151</v>
      </c>
      <c r="CY445" s="1136" t="s">
        <v>4883</v>
      </c>
      <c r="CZ445" s="1129" t="s">
        <v>4882</v>
      </c>
      <c r="DA445" s="1129"/>
      <c r="DB445" s="1129"/>
      <c r="DC445" s="1125" t="s">
        <v>5770</v>
      </c>
      <c r="DD445" s="1125" t="s">
        <v>426</v>
      </c>
      <c r="DE445" s="1120" t="str">
        <f t="shared" si="525"/>
        <v/>
      </c>
      <c r="DF445" s="1133">
        <v>0</v>
      </c>
      <c r="DG445" s="1125">
        <v>0</v>
      </c>
    </row>
    <row r="446" spans="1:111">
      <c r="A446" s="1120" t="s">
        <v>3661</v>
      </c>
      <c r="B446" s="1120" t="s">
        <v>3282</v>
      </c>
      <c r="C446" s="1120" t="s">
        <v>3283</v>
      </c>
      <c r="D446" s="1120" t="s">
        <v>594</v>
      </c>
      <c r="E446" s="1120">
        <v>39</v>
      </c>
      <c r="F446" s="1120">
        <v>-81.52</v>
      </c>
      <c r="G446" s="1120">
        <v>30.33</v>
      </c>
      <c r="H446" s="1120">
        <v>-5</v>
      </c>
      <c r="I446" s="1121">
        <v>35.419999957084656</v>
      </c>
      <c r="J446" s="1121">
        <v>91.4</v>
      </c>
      <c r="K446" s="1122">
        <v>77</v>
      </c>
      <c r="L446" s="1120">
        <v>946.80000000000007</v>
      </c>
      <c r="M446" s="1120">
        <v>2602.8000000000002</v>
      </c>
      <c r="N446" s="1123">
        <v>56.480000686645511</v>
      </c>
      <c r="O446" s="1123">
        <v>58.819999313354494</v>
      </c>
      <c r="P446" s="1123">
        <v>62.6</v>
      </c>
      <c r="Q446" s="1123">
        <v>66.2</v>
      </c>
      <c r="R446" s="1123">
        <v>76.280000686645508</v>
      </c>
      <c r="S446" s="1123">
        <v>78.619999313354498</v>
      </c>
      <c r="T446" s="1123">
        <v>82.4</v>
      </c>
      <c r="U446" s="1123">
        <v>78.080000686645505</v>
      </c>
      <c r="V446" s="1123">
        <v>74.83999862670899</v>
      </c>
      <c r="W446" s="1123">
        <v>69.980000686645511</v>
      </c>
      <c r="X446" s="1123">
        <v>65.83999862670899</v>
      </c>
      <c r="Y446" s="1123">
        <v>56.3</v>
      </c>
      <c r="Z446" s="1123">
        <v>68.925150583345598</v>
      </c>
      <c r="AA446" s="1123">
        <f t="shared" si="451"/>
        <v>66.57944395821616</v>
      </c>
      <c r="AB446" s="1123">
        <f t="shared" si="452"/>
        <v>66.94564441222326</v>
      </c>
      <c r="AC446" s="1123">
        <f t="shared" si="453"/>
        <v>69.391826117645707</v>
      </c>
      <c r="AD446" s="1123">
        <f t="shared" si="454"/>
        <v>73.280354116163977</v>
      </c>
      <c r="AE446" s="1123">
        <f t="shared" si="455"/>
        <v>77.597623660933934</v>
      </c>
      <c r="AF446" s="1123">
        <f t="shared" si="456"/>
        <v>81.218271913973751</v>
      </c>
      <c r="AG446" s="1123">
        <f t="shared" si="457"/>
        <v>83.198521112250077</v>
      </c>
      <c r="AH446" s="1123">
        <f t="shared" si="458"/>
        <v>83.022188785668305</v>
      </c>
      <c r="AI446" s="1123">
        <f t="shared" si="459"/>
        <v>80.735238672515393</v>
      </c>
      <c r="AJ446" s="1123">
        <f t="shared" si="460"/>
        <v>76.933799562752682</v>
      </c>
      <c r="AK446" s="1123">
        <f t="shared" si="461"/>
        <v>72.608775142289772</v>
      </c>
      <c r="AL446" s="1123">
        <f t="shared" si="462"/>
        <v>68.887549676964113</v>
      </c>
      <c r="AM446" s="1120">
        <f t="shared" si="463"/>
        <v>1</v>
      </c>
      <c r="AN446" s="1120">
        <f t="shared" si="464"/>
        <v>1</v>
      </c>
      <c r="AO446" s="1120">
        <f t="shared" si="465"/>
        <v>1</v>
      </c>
      <c r="AP446" s="1120">
        <f t="shared" si="466"/>
        <v>0</v>
      </c>
      <c r="AQ446" s="1120">
        <f t="shared" si="467"/>
        <v>0</v>
      </c>
      <c r="AR446" s="1120">
        <f t="shared" si="468"/>
        <v>0</v>
      </c>
      <c r="AS446" s="1120">
        <f t="shared" si="469"/>
        <v>0</v>
      </c>
      <c r="AT446" s="1120">
        <f t="shared" si="470"/>
        <v>0</v>
      </c>
      <c r="AU446" s="1120">
        <f t="shared" si="471"/>
        <v>0</v>
      </c>
      <c r="AV446" s="1120">
        <f t="shared" si="472"/>
        <v>0</v>
      </c>
      <c r="AW446" s="1120">
        <f t="shared" si="473"/>
        <v>1</v>
      </c>
      <c r="AX446" s="1120">
        <f t="shared" si="474"/>
        <v>1</v>
      </c>
      <c r="AY446" s="1120">
        <f t="shared" si="475"/>
        <v>0</v>
      </c>
      <c r="AZ446" s="1120">
        <f t="shared" si="476"/>
        <v>0</v>
      </c>
      <c r="BA446" s="1120">
        <f t="shared" si="477"/>
        <v>0</v>
      </c>
      <c r="BB446" s="1120">
        <f t="shared" si="478"/>
        <v>1</v>
      </c>
      <c r="BC446" s="1120">
        <f t="shared" si="479"/>
        <v>1</v>
      </c>
      <c r="BD446" s="1120">
        <f t="shared" si="480"/>
        <v>1</v>
      </c>
      <c r="BE446" s="1120">
        <f t="shared" si="481"/>
        <v>1</v>
      </c>
      <c r="BF446" s="1120">
        <f t="shared" si="482"/>
        <v>1</v>
      </c>
      <c r="BG446" s="1120">
        <f t="shared" si="483"/>
        <v>1</v>
      </c>
      <c r="BH446" s="1120">
        <f t="shared" si="484"/>
        <v>1</v>
      </c>
      <c r="BI446" s="1120">
        <f t="shared" si="485"/>
        <v>0</v>
      </c>
      <c r="BJ446" s="1120">
        <f t="shared" si="486"/>
        <v>0</v>
      </c>
      <c r="BK446" s="1120">
        <f t="shared" si="487"/>
        <v>1</v>
      </c>
      <c r="BL446" s="1120">
        <f t="shared" si="488"/>
        <v>1</v>
      </c>
      <c r="BM446" s="1120">
        <f t="shared" si="489"/>
        <v>1</v>
      </c>
      <c r="BN446" s="1120">
        <f t="shared" si="490"/>
        <v>1</v>
      </c>
      <c r="BO446" s="1120">
        <f t="shared" si="491"/>
        <v>0</v>
      </c>
      <c r="BP446" s="1120">
        <f t="shared" si="492"/>
        <v>0</v>
      </c>
      <c r="BQ446" s="1120">
        <f t="shared" si="493"/>
        <v>0</v>
      </c>
      <c r="BR446" s="1120">
        <f t="shared" si="494"/>
        <v>0</v>
      </c>
      <c r="BS446" s="1120">
        <f t="shared" si="495"/>
        <v>0</v>
      </c>
      <c r="BT446" s="1120">
        <f t="shared" si="496"/>
        <v>0</v>
      </c>
      <c r="BU446" s="1120">
        <f t="shared" si="497"/>
        <v>1</v>
      </c>
      <c r="BV446" s="1120">
        <f t="shared" si="498"/>
        <v>1</v>
      </c>
      <c r="BW446" s="1120">
        <f t="shared" si="499"/>
        <v>0</v>
      </c>
      <c r="BX446" s="1120">
        <f t="shared" si="500"/>
        <v>0</v>
      </c>
      <c r="BY446" s="1120">
        <f t="shared" si="501"/>
        <v>1</v>
      </c>
      <c r="BZ446" s="1120">
        <f t="shared" si="502"/>
        <v>1</v>
      </c>
      <c r="CA446" s="1120">
        <f t="shared" si="503"/>
        <v>1</v>
      </c>
      <c r="CB446" s="1120">
        <f t="shared" si="504"/>
        <v>1</v>
      </c>
      <c r="CC446" s="1120">
        <f t="shared" si="505"/>
        <v>1</v>
      </c>
      <c r="CD446" s="1120">
        <f t="shared" si="506"/>
        <v>1</v>
      </c>
      <c r="CE446" s="1120">
        <f t="shared" si="507"/>
        <v>1</v>
      </c>
      <c r="CF446" s="1120">
        <f t="shared" si="508"/>
        <v>1</v>
      </c>
      <c r="CG446" s="1120">
        <f t="shared" si="509"/>
        <v>1</v>
      </c>
      <c r="CH446" s="1120">
        <f t="shared" si="510"/>
        <v>0</v>
      </c>
      <c r="CI446" s="1120">
        <f t="shared" si="511"/>
        <v>0.85</v>
      </c>
      <c r="CJ446" s="1120">
        <f t="shared" si="512"/>
        <v>0.85</v>
      </c>
      <c r="CK446" s="1120">
        <f t="shared" si="513"/>
        <v>0.85</v>
      </c>
      <c r="CL446" s="1120">
        <f t="shared" si="514"/>
        <v>0.85</v>
      </c>
      <c r="CM446" s="1120">
        <f t="shared" si="515"/>
        <v>0.7</v>
      </c>
      <c r="CN446" s="1120">
        <f t="shared" si="516"/>
        <v>0.7</v>
      </c>
      <c r="CO446" s="1120">
        <f t="shared" si="517"/>
        <v>0.7</v>
      </c>
      <c r="CP446" s="1120">
        <f t="shared" si="518"/>
        <v>0.7</v>
      </c>
      <c r="CQ446" s="1120">
        <f t="shared" si="519"/>
        <v>0.7</v>
      </c>
      <c r="CR446" s="1120">
        <f t="shared" si="520"/>
        <v>0.7</v>
      </c>
      <c r="CS446" s="1120">
        <f t="shared" si="521"/>
        <v>0.85</v>
      </c>
      <c r="CT446" s="1120">
        <f t="shared" si="522"/>
        <v>0.85</v>
      </c>
      <c r="CU446" s="1120">
        <v>1</v>
      </c>
      <c r="CV446" s="1120"/>
      <c r="CW446" s="1120">
        <f t="shared" si="523"/>
        <v>275</v>
      </c>
      <c r="CX446" s="1120">
        <f t="shared" si="524"/>
        <v>90</v>
      </c>
      <c r="CY446" s="1135" t="s">
        <v>4883</v>
      </c>
      <c r="CZ446" s="1124" t="s">
        <v>4884</v>
      </c>
      <c r="DA446" s="1124"/>
      <c r="DB446" s="1124"/>
      <c r="DC446" s="1120" t="s">
        <v>5956</v>
      </c>
      <c r="DD446" s="1120" t="s">
        <v>594</v>
      </c>
      <c r="DE446" s="1120" t="str">
        <f t="shared" si="525"/>
        <v/>
      </c>
      <c r="DF446" s="1133">
        <v>1</v>
      </c>
      <c r="DG446" s="1120">
        <v>0</v>
      </c>
    </row>
    <row r="447" spans="1:111">
      <c r="A447" s="1125" t="s">
        <v>3663</v>
      </c>
      <c r="B447" s="1125" t="s">
        <v>3284</v>
      </c>
      <c r="C447" s="1125" t="s">
        <v>3285</v>
      </c>
      <c r="D447" s="1125" t="s">
        <v>594</v>
      </c>
      <c r="E447" s="1125">
        <v>26</v>
      </c>
      <c r="F447" s="1125">
        <v>-81.7</v>
      </c>
      <c r="G447" s="1125">
        <v>30.5</v>
      </c>
      <c r="H447" s="1125">
        <v>-5</v>
      </c>
      <c r="I447" s="1126">
        <v>32.540000021457672</v>
      </c>
      <c r="J447" s="1126">
        <v>92.660001373291024</v>
      </c>
      <c r="K447" s="1127">
        <v>77</v>
      </c>
      <c r="L447" s="1125">
        <v>1242</v>
      </c>
      <c r="M447" s="1125">
        <v>2482.2000000000003</v>
      </c>
      <c r="N447" s="1128">
        <v>51.080000686645505</v>
      </c>
      <c r="O447" s="1128">
        <v>56.119999313354491</v>
      </c>
      <c r="P447" s="1128">
        <v>62.6</v>
      </c>
      <c r="Q447" s="1128">
        <v>67.819999313354487</v>
      </c>
      <c r="R447" s="1128">
        <v>73.219999313354492</v>
      </c>
      <c r="S447" s="1128">
        <v>78.619999313354498</v>
      </c>
      <c r="T447" s="1128">
        <v>80.780000686645508</v>
      </c>
      <c r="U447" s="1128">
        <v>79.33999862670899</v>
      </c>
      <c r="V447" s="1128">
        <v>77.539998626708979</v>
      </c>
      <c r="W447" s="1128">
        <v>67.099999999999994</v>
      </c>
      <c r="X447" s="1128">
        <v>63.680000686645506</v>
      </c>
      <c r="Y447" s="1128">
        <v>55.219999313354492</v>
      </c>
      <c r="Z447" s="1128">
        <v>67.810136647681674</v>
      </c>
      <c r="AA447" s="1128">
        <f t="shared" si="451"/>
        <v>64.509478000265432</v>
      </c>
      <c r="AB447" s="1128">
        <f t="shared" si="452"/>
        <v>64.826464986351866</v>
      </c>
      <c r="AC447" s="1128">
        <f t="shared" si="453"/>
        <v>67.48518443353484</v>
      </c>
      <c r="AD447" s="1128">
        <f t="shared" si="454"/>
        <v>71.792600145799213</v>
      </c>
      <c r="AE447" s="1128">
        <f t="shared" si="455"/>
        <v>76.625917838457866</v>
      </c>
      <c r="AF447" s="1128">
        <f t="shared" si="456"/>
        <v>80.725258771239069</v>
      </c>
      <c r="AG447" s="1128">
        <f t="shared" si="457"/>
        <v>83.022066557257418</v>
      </c>
      <c r="AH447" s="1128">
        <f t="shared" si="458"/>
        <v>82.917642852207834</v>
      </c>
      <c r="AI447" s="1128">
        <f t="shared" si="459"/>
        <v>80.439207304029523</v>
      </c>
      <c r="AJ447" s="1128">
        <f t="shared" si="460"/>
        <v>76.23280233220305</v>
      </c>
      <c r="AK447" s="1128">
        <f t="shared" si="461"/>
        <v>71.394892215297787</v>
      </c>
      <c r="AL447" s="1128">
        <f t="shared" si="462"/>
        <v>67.186552779736729</v>
      </c>
      <c r="AM447" s="1125">
        <f t="shared" si="463"/>
        <v>1</v>
      </c>
      <c r="AN447" s="1125">
        <f t="shared" si="464"/>
        <v>1</v>
      </c>
      <c r="AO447" s="1125">
        <f t="shared" si="465"/>
        <v>1</v>
      </c>
      <c r="AP447" s="1125">
        <f t="shared" si="466"/>
        <v>0</v>
      </c>
      <c r="AQ447" s="1125">
        <f t="shared" si="467"/>
        <v>0</v>
      </c>
      <c r="AR447" s="1125">
        <f t="shared" si="468"/>
        <v>0</v>
      </c>
      <c r="AS447" s="1125">
        <f t="shared" si="469"/>
        <v>0</v>
      </c>
      <c r="AT447" s="1125">
        <f t="shared" si="470"/>
        <v>0</v>
      </c>
      <c r="AU447" s="1125">
        <f t="shared" si="471"/>
        <v>0</v>
      </c>
      <c r="AV447" s="1125">
        <f t="shared" si="472"/>
        <v>0</v>
      </c>
      <c r="AW447" s="1125">
        <f t="shared" si="473"/>
        <v>1</v>
      </c>
      <c r="AX447" s="1125">
        <f t="shared" si="474"/>
        <v>1</v>
      </c>
      <c r="AY447" s="1125">
        <f t="shared" si="475"/>
        <v>0</v>
      </c>
      <c r="AZ447" s="1125">
        <f t="shared" si="476"/>
        <v>0</v>
      </c>
      <c r="BA447" s="1125">
        <f t="shared" si="477"/>
        <v>0</v>
      </c>
      <c r="BB447" s="1125">
        <f t="shared" si="478"/>
        <v>1</v>
      </c>
      <c r="BC447" s="1125">
        <f t="shared" si="479"/>
        <v>1</v>
      </c>
      <c r="BD447" s="1125">
        <f t="shared" si="480"/>
        <v>1</v>
      </c>
      <c r="BE447" s="1125">
        <f t="shared" si="481"/>
        <v>1</v>
      </c>
      <c r="BF447" s="1125">
        <f t="shared" si="482"/>
        <v>1</v>
      </c>
      <c r="BG447" s="1125">
        <f t="shared" si="483"/>
        <v>1</v>
      </c>
      <c r="BH447" s="1125">
        <f t="shared" si="484"/>
        <v>1</v>
      </c>
      <c r="BI447" s="1125">
        <f t="shared" si="485"/>
        <v>0</v>
      </c>
      <c r="BJ447" s="1125">
        <f t="shared" si="486"/>
        <v>0</v>
      </c>
      <c r="BK447" s="1125">
        <f t="shared" si="487"/>
        <v>1</v>
      </c>
      <c r="BL447" s="1125">
        <f t="shared" si="488"/>
        <v>1</v>
      </c>
      <c r="BM447" s="1125">
        <f t="shared" si="489"/>
        <v>1</v>
      </c>
      <c r="BN447" s="1125">
        <f t="shared" si="490"/>
        <v>1</v>
      </c>
      <c r="BO447" s="1125">
        <f t="shared" si="491"/>
        <v>0</v>
      </c>
      <c r="BP447" s="1125">
        <f t="shared" si="492"/>
        <v>0</v>
      </c>
      <c r="BQ447" s="1125">
        <f t="shared" si="493"/>
        <v>0</v>
      </c>
      <c r="BR447" s="1125">
        <f t="shared" si="494"/>
        <v>0</v>
      </c>
      <c r="BS447" s="1125">
        <f t="shared" si="495"/>
        <v>0</v>
      </c>
      <c r="BT447" s="1125">
        <f t="shared" si="496"/>
        <v>0</v>
      </c>
      <c r="BU447" s="1125">
        <f t="shared" si="497"/>
        <v>1</v>
      </c>
      <c r="BV447" s="1125">
        <f t="shared" si="498"/>
        <v>1</v>
      </c>
      <c r="BW447" s="1125">
        <f t="shared" si="499"/>
        <v>0</v>
      </c>
      <c r="BX447" s="1125">
        <f t="shared" si="500"/>
        <v>0</v>
      </c>
      <c r="BY447" s="1125">
        <f t="shared" si="501"/>
        <v>1</v>
      </c>
      <c r="BZ447" s="1125">
        <f t="shared" si="502"/>
        <v>1</v>
      </c>
      <c r="CA447" s="1125">
        <f t="shared" si="503"/>
        <v>1</v>
      </c>
      <c r="CB447" s="1125">
        <f t="shared" si="504"/>
        <v>1</v>
      </c>
      <c r="CC447" s="1125">
        <f t="shared" si="505"/>
        <v>1</v>
      </c>
      <c r="CD447" s="1125">
        <f t="shared" si="506"/>
        <v>1</v>
      </c>
      <c r="CE447" s="1125">
        <f t="shared" si="507"/>
        <v>1</v>
      </c>
      <c r="CF447" s="1125">
        <f t="shared" si="508"/>
        <v>1</v>
      </c>
      <c r="CG447" s="1125">
        <f t="shared" si="509"/>
        <v>1</v>
      </c>
      <c r="CH447" s="1125">
        <f t="shared" si="510"/>
        <v>0</v>
      </c>
      <c r="CI447" s="1125">
        <f t="shared" si="511"/>
        <v>0.85</v>
      </c>
      <c r="CJ447" s="1125">
        <f t="shared" si="512"/>
        <v>0.85</v>
      </c>
      <c r="CK447" s="1125">
        <f t="shared" si="513"/>
        <v>0.85</v>
      </c>
      <c r="CL447" s="1125">
        <f t="shared" si="514"/>
        <v>0.85</v>
      </c>
      <c r="CM447" s="1125">
        <f t="shared" si="515"/>
        <v>0.7</v>
      </c>
      <c r="CN447" s="1125">
        <f t="shared" si="516"/>
        <v>0.7</v>
      </c>
      <c r="CO447" s="1125">
        <f t="shared" si="517"/>
        <v>0.7</v>
      </c>
      <c r="CP447" s="1125">
        <f t="shared" si="518"/>
        <v>0.7</v>
      </c>
      <c r="CQ447" s="1125">
        <f t="shared" si="519"/>
        <v>0.7</v>
      </c>
      <c r="CR447" s="1125">
        <f t="shared" si="520"/>
        <v>0.7</v>
      </c>
      <c r="CS447" s="1125">
        <f t="shared" si="521"/>
        <v>0.85</v>
      </c>
      <c r="CT447" s="1125">
        <f t="shared" si="522"/>
        <v>0.85</v>
      </c>
      <c r="CU447" s="1125">
        <v>1</v>
      </c>
      <c r="CV447" s="1125"/>
      <c r="CW447" s="1125">
        <f t="shared" si="523"/>
        <v>275</v>
      </c>
      <c r="CX447" s="1125">
        <f t="shared" si="524"/>
        <v>90</v>
      </c>
      <c r="CY447" s="1135" t="s">
        <v>4883</v>
      </c>
      <c r="CZ447" s="1124" t="s">
        <v>4884</v>
      </c>
      <c r="DA447" s="1124"/>
      <c r="DB447" s="1124"/>
      <c r="DC447" s="1120" t="s">
        <v>5100</v>
      </c>
      <c r="DD447" s="1120" t="s">
        <v>594</v>
      </c>
      <c r="DE447" s="1120" t="str">
        <f t="shared" si="525"/>
        <v/>
      </c>
      <c r="DF447" s="1133">
        <v>1</v>
      </c>
      <c r="DG447" s="1125">
        <v>0</v>
      </c>
    </row>
    <row r="448" spans="1:111">
      <c r="A448" s="1120" t="s">
        <v>3665</v>
      </c>
      <c r="B448" s="1120" t="s">
        <v>3286</v>
      </c>
      <c r="C448" s="1120" t="s">
        <v>3287</v>
      </c>
      <c r="D448" s="1120" t="s">
        <v>594</v>
      </c>
      <c r="E448" s="1120">
        <v>30</v>
      </c>
      <c r="F448" s="1120">
        <v>-81.67</v>
      </c>
      <c r="G448" s="1120">
        <v>30.23</v>
      </c>
      <c r="H448" s="1120">
        <v>-5</v>
      </c>
      <c r="I448" s="1121">
        <v>36.320000171661377</v>
      </c>
      <c r="J448" s="1121">
        <v>93.379997253417969</v>
      </c>
      <c r="K448" s="1122">
        <v>76.460001373291021</v>
      </c>
      <c r="L448" s="1120">
        <v>1029.6000000000001</v>
      </c>
      <c r="M448" s="1120">
        <v>2980.8</v>
      </c>
      <c r="N448" s="1123">
        <v>56.840000343322757</v>
      </c>
      <c r="O448" s="1123">
        <v>58.1</v>
      </c>
      <c r="P448" s="1123">
        <v>66.560001373291016</v>
      </c>
      <c r="Q448" s="1123">
        <v>71.419999313354495</v>
      </c>
      <c r="R448" s="1123">
        <v>75.739998626708982</v>
      </c>
      <c r="S448" s="1123">
        <v>81.139998626708987</v>
      </c>
      <c r="T448" s="1123">
        <v>81.5</v>
      </c>
      <c r="U448" s="1123">
        <v>80.599999999999994</v>
      </c>
      <c r="V448" s="1123">
        <v>76.639998626708987</v>
      </c>
      <c r="W448" s="1123">
        <v>70.33999862670899</v>
      </c>
      <c r="X448" s="1123">
        <v>61.7</v>
      </c>
      <c r="Y448" s="1123">
        <v>55.580000686645505</v>
      </c>
      <c r="Z448" s="1123">
        <v>69.741807907836076</v>
      </c>
      <c r="AA448" s="1123">
        <f t="shared" si="451"/>
        <v>67.329579085994567</v>
      </c>
      <c r="AB448" s="1123">
        <f t="shared" si="452"/>
        <v>67.75870460430923</v>
      </c>
      <c r="AC448" s="1123">
        <f t="shared" si="453"/>
        <v>70.268749022033958</v>
      </c>
      <c r="AD448" s="1123">
        <f t="shared" si="454"/>
        <v>74.205430580733463</v>
      </c>
      <c r="AE448" s="1123">
        <f t="shared" si="455"/>
        <v>78.542592566033548</v>
      </c>
      <c r="AF448" s="1123">
        <f t="shared" si="456"/>
        <v>82.149686868776399</v>
      </c>
      <c r="AG448" s="1123">
        <f t="shared" si="457"/>
        <v>84.086468771946272</v>
      </c>
      <c r="AH448" s="1123">
        <f t="shared" si="458"/>
        <v>83.848086225769379</v>
      </c>
      <c r="AI448" s="1123">
        <f t="shared" si="459"/>
        <v>81.496677314492928</v>
      </c>
      <c r="AJ448" s="1123">
        <f t="shared" si="460"/>
        <v>77.645173007149339</v>
      </c>
      <c r="AK448" s="1123">
        <f t="shared" si="461"/>
        <v>73.297527254925711</v>
      </c>
      <c r="AL448" s="1123">
        <f t="shared" si="462"/>
        <v>69.587020922388206</v>
      </c>
      <c r="AM448" s="1120">
        <f t="shared" si="463"/>
        <v>1</v>
      </c>
      <c r="AN448" s="1120">
        <f t="shared" si="464"/>
        <v>1</v>
      </c>
      <c r="AO448" s="1120">
        <f t="shared" si="465"/>
        <v>0</v>
      </c>
      <c r="AP448" s="1120">
        <f t="shared" si="466"/>
        <v>0</v>
      </c>
      <c r="AQ448" s="1120">
        <f t="shared" si="467"/>
        <v>0</v>
      </c>
      <c r="AR448" s="1120">
        <f t="shared" si="468"/>
        <v>0</v>
      </c>
      <c r="AS448" s="1120">
        <f t="shared" si="469"/>
        <v>0</v>
      </c>
      <c r="AT448" s="1120">
        <f t="shared" si="470"/>
        <v>0</v>
      </c>
      <c r="AU448" s="1120">
        <f t="shared" si="471"/>
        <v>0</v>
      </c>
      <c r="AV448" s="1120">
        <f t="shared" si="472"/>
        <v>0</v>
      </c>
      <c r="AW448" s="1120">
        <f t="shared" si="473"/>
        <v>1</v>
      </c>
      <c r="AX448" s="1120">
        <f t="shared" si="474"/>
        <v>1</v>
      </c>
      <c r="AY448" s="1120">
        <f t="shared" si="475"/>
        <v>0</v>
      </c>
      <c r="AZ448" s="1120">
        <f t="shared" si="476"/>
        <v>0</v>
      </c>
      <c r="BA448" s="1120">
        <f t="shared" si="477"/>
        <v>1</v>
      </c>
      <c r="BB448" s="1120">
        <f t="shared" si="478"/>
        <v>1</v>
      </c>
      <c r="BC448" s="1120">
        <f t="shared" si="479"/>
        <v>1</v>
      </c>
      <c r="BD448" s="1120">
        <f t="shared" si="480"/>
        <v>1</v>
      </c>
      <c r="BE448" s="1120">
        <f t="shared" si="481"/>
        <v>1</v>
      </c>
      <c r="BF448" s="1120">
        <f t="shared" si="482"/>
        <v>1</v>
      </c>
      <c r="BG448" s="1120">
        <f t="shared" si="483"/>
        <v>1</v>
      </c>
      <c r="BH448" s="1120">
        <f t="shared" si="484"/>
        <v>1</v>
      </c>
      <c r="BI448" s="1120">
        <f t="shared" si="485"/>
        <v>0</v>
      </c>
      <c r="BJ448" s="1120">
        <f t="shared" si="486"/>
        <v>0</v>
      </c>
      <c r="BK448" s="1120">
        <f t="shared" si="487"/>
        <v>1</v>
      </c>
      <c r="BL448" s="1120">
        <f t="shared" si="488"/>
        <v>1</v>
      </c>
      <c r="BM448" s="1120">
        <f t="shared" si="489"/>
        <v>1</v>
      </c>
      <c r="BN448" s="1120">
        <f t="shared" si="490"/>
        <v>0</v>
      </c>
      <c r="BO448" s="1120">
        <f t="shared" si="491"/>
        <v>0</v>
      </c>
      <c r="BP448" s="1120">
        <f t="shared" si="492"/>
        <v>0</v>
      </c>
      <c r="BQ448" s="1120">
        <f t="shared" si="493"/>
        <v>0</v>
      </c>
      <c r="BR448" s="1120">
        <f t="shared" si="494"/>
        <v>0</v>
      </c>
      <c r="BS448" s="1120">
        <f t="shared" si="495"/>
        <v>0</v>
      </c>
      <c r="BT448" s="1120">
        <f t="shared" si="496"/>
        <v>0</v>
      </c>
      <c r="BU448" s="1120">
        <f t="shared" si="497"/>
        <v>1</v>
      </c>
      <c r="BV448" s="1120">
        <f t="shared" si="498"/>
        <v>1</v>
      </c>
      <c r="BW448" s="1120">
        <f t="shared" si="499"/>
        <v>0</v>
      </c>
      <c r="BX448" s="1120">
        <f t="shared" si="500"/>
        <v>1</v>
      </c>
      <c r="BY448" s="1120">
        <f t="shared" si="501"/>
        <v>1</v>
      </c>
      <c r="BZ448" s="1120">
        <f t="shared" si="502"/>
        <v>1</v>
      </c>
      <c r="CA448" s="1120">
        <f t="shared" si="503"/>
        <v>1</v>
      </c>
      <c r="CB448" s="1120">
        <f t="shared" si="504"/>
        <v>1</v>
      </c>
      <c r="CC448" s="1120">
        <f t="shared" si="505"/>
        <v>1</v>
      </c>
      <c r="CD448" s="1120">
        <f t="shared" si="506"/>
        <v>1</v>
      </c>
      <c r="CE448" s="1120">
        <f t="shared" si="507"/>
        <v>1</v>
      </c>
      <c r="CF448" s="1120">
        <f t="shared" si="508"/>
        <v>1</v>
      </c>
      <c r="CG448" s="1120">
        <f t="shared" si="509"/>
        <v>1</v>
      </c>
      <c r="CH448" s="1120">
        <f t="shared" si="510"/>
        <v>0</v>
      </c>
      <c r="CI448" s="1120">
        <f t="shared" si="511"/>
        <v>0.85</v>
      </c>
      <c r="CJ448" s="1120">
        <f t="shared" si="512"/>
        <v>0.85</v>
      </c>
      <c r="CK448" s="1120">
        <f t="shared" si="513"/>
        <v>0.85</v>
      </c>
      <c r="CL448" s="1120">
        <f t="shared" si="514"/>
        <v>0.7</v>
      </c>
      <c r="CM448" s="1120">
        <f t="shared" si="515"/>
        <v>0.7</v>
      </c>
      <c r="CN448" s="1120">
        <f t="shared" si="516"/>
        <v>0.7</v>
      </c>
      <c r="CO448" s="1120">
        <f t="shared" si="517"/>
        <v>0.7</v>
      </c>
      <c r="CP448" s="1120">
        <f t="shared" si="518"/>
        <v>0.7</v>
      </c>
      <c r="CQ448" s="1120">
        <f t="shared" si="519"/>
        <v>0.7</v>
      </c>
      <c r="CR448" s="1120">
        <f t="shared" si="520"/>
        <v>0.7</v>
      </c>
      <c r="CS448" s="1120">
        <f t="shared" si="521"/>
        <v>0.85</v>
      </c>
      <c r="CT448" s="1120">
        <f t="shared" si="522"/>
        <v>0.85</v>
      </c>
      <c r="CU448" s="1120">
        <v>1</v>
      </c>
      <c r="CV448" s="1120"/>
      <c r="CW448" s="1120">
        <f t="shared" si="523"/>
        <v>303</v>
      </c>
      <c r="CX448" s="1120">
        <f t="shared" si="524"/>
        <v>62</v>
      </c>
      <c r="CY448" s="1136" t="s">
        <v>4883</v>
      </c>
      <c r="CZ448" s="1129" t="s">
        <v>4884</v>
      </c>
      <c r="DA448" s="1129"/>
      <c r="DB448" s="1129"/>
      <c r="DC448" s="1125" t="s">
        <v>5101</v>
      </c>
      <c r="DD448" s="1125" t="s">
        <v>594</v>
      </c>
      <c r="DE448" s="1120" t="str">
        <f t="shared" si="525"/>
        <v/>
      </c>
      <c r="DF448" s="1133">
        <v>1</v>
      </c>
      <c r="DG448" s="1120">
        <v>0</v>
      </c>
    </row>
    <row r="449" spans="1:111">
      <c r="A449" s="1125" t="s">
        <v>3667</v>
      </c>
      <c r="B449" s="1125" t="s">
        <v>5909</v>
      </c>
      <c r="C449" s="1125" t="s">
        <v>5910</v>
      </c>
      <c r="D449" s="1125" t="s">
        <v>537</v>
      </c>
      <c r="E449" s="1125">
        <v>1722</v>
      </c>
      <c r="F449" s="1125">
        <v>-79.27</v>
      </c>
      <c r="G449" s="1125">
        <v>42.15</v>
      </c>
      <c r="H449" s="1125">
        <v>-5</v>
      </c>
      <c r="I449" s="1126">
        <v>5.1800006866455073</v>
      </c>
      <c r="J449" s="1126">
        <v>80.960001373291021</v>
      </c>
      <c r="K449" s="1127">
        <v>68.719999313354492</v>
      </c>
      <c r="L449" s="1125">
        <v>7014.6</v>
      </c>
      <c r="M449" s="1125">
        <v>313.2</v>
      </c>
      <c r="N449" s="1128">
        <v>30.2</v>
      </c>
      <c r="O449" s="1128">
        <v>22.640000343322754</v>
      </c>
      <c r="P449" s="1128">
        <v>35.779999828338624</v>
      </c>
      <c r="Q449" s="1128">
        <v>40.820000171661377</v>
      </c>
      <c r="R449" s="1128">
        <v>52.519999313354489</v>
      </c>
      <c r="S449" s="1128">
        <v>62.060001373291016</v>
      </c>
      <c r="T449" s="1128">
        <v>68.900000000000006</v>
      </c>
      <c r="U449" s="1128">
        <v>62.780000686645508</v>
      </c>
      <c r="V449" s="1128">
        <v>56.480000686645511</v>
      </c>
      <c r="W449" s="1128">
        <v>49.459999656677248</v>
      </c>
      <c r="X449" s="1128">
        <v>35.6</v>
      </c>
      <c r="Y449" s="1128">
        <v>33.080000042915344</v>
      </c>
      <c r="Z449" s="1128">
        <v>46.019287840895458</v>
      </c>
      <c r="AA449" s="1128">
        <f t="shared" si="451"/>
        <v>43.824045281974591</v>
      </c>
      <c r="AB449" s="1128">
        <f t="shared" si="452"/>
        <v>42.313010075433667</v>
      </c>
      <c r="AC449" s="1128">
        <f t="shared" si="453"/>
        <v>43.332065746728418</v>
      </c>
      <c r="AD449" s="1128">
        <f t="shared" si="454"/>
        <v>46.615579731012616</v>
      </c>
      <c r="AE449" s="1128">
        <f t="shared" si="455"/>
        <v>51.307653507800424</v>
      </c>
      <c r="AF449" s="1128">
        <f t="shared" si="456"/>
        <v>56.185225740126477</v>
      </c>
      <c r="AG449" s="1128">
        <f t="shared" si="457"/>
        <v>59.976882059971658</v>
      </c>
      <c r="AH449" s="1128">
        <f t="shared" si="458"/>
        <v>61.694268816375718</v>
      </c>
      <c r="AI449" s="1128">
        <f t="shared" si="459"/>
        <v>60.889722685550922</v>
      </c>
      <c r="AJ449" s="1128">
        <f t="shared" si="460"/>
        <v>57.772961014927922</v>
      </c>
      <c r="AK449" s="1128">
        <f t="shared" si="461"/>
        <v>53.156415764705827</v>
      </c>
      <c r="AL449" s="1128">
        <f t="shared" si="462"/>
        <v>48.243460597470822</v>
      </c>
      <c r="AM449" s="1125">
        <f t="shared" si="463"/>
        <v>1</v>
      </c>
      <c r="AN449" s="1125">
        <f t="shared" si="464"/>
        <v>1</v>
      </c>
      <c r="AO449" s="1125">
        <f t="shared" si="465"/>
        <v>1</v>
      </c>
      <c r="AP449" s="1125">
        <f t="shared" si="466"/>
        <v>1</v>
      </c>
      <c r="AQ449" s="1125">
        <f t="shared" si="467"/>
        <v>1</v>
      </c>
      <c r="AR449" s="1125">
        <f t="shared" si="468"/>
        <v>1</v>
      </c>
      <c r="AS449" s="1125">
        <f t="shared" si="469"/>
        <v>0</v>
      </c>
      <c r="AT449" s="1125">
        <f t="shared" si="470"/>
        <v>1</v>
      </c>
      <c r="AU449" s="1125">
        <f t="shared" si="471"/>
        <v>1</v>
      </c>
      <c r="AV449" s="1125">
        <f t="shared" si="472"/>
        <v>1</v>
      </c>
      <c r="AW449" s="1125">
        <f t="shared" si="473"/>
        <v>1</v>
      </c>
      <c r="AX449" s="1125">
        <f t="shared" si="474"/>
        <v>1</v>
      </c>
      <c r="AY449" s="1125">
        <f t="shared" si="475"/>
        <v>0</v>
      </c>
      <c r="AZ449" s="1125">
        <f t="shared" si="476"/>
        <v>0</v>
      </c>
      <c r="BA449" s="1125">
        <f t="shared" si="477"/>
        <v>0</v>
      </c>
      <c r="BB449" s="1125">
        <f t="shared" si="478"/>
        <v>0</v>
      </c>
      <c r="BC449" s="1125">
        <f t="shared" si="479"/>
        <v>0</v>
      </c>
      <c r="BD449" s="1125">
        <f t="shared" si="480"/>
        <v>0</v>
      </c>
      <c r="BE449" s="1125">
        <f t="shared" si="481"/>
        <v>1</v>
      </c>
      <c r="BF449" s="1125">
        <f t="shared" si="482"/>
        <v>1</v>
      </c>
      <c r="BG449" s="1125">
        <f t="shared" si="483"/>
        <v>0</v>
      </c>
      <c r="BH449" s="1125">
        <f t="shared" si="484"/>
        <v>0</v>
      </c>
      <c r="BI449" s="1125">
        <f t="shared" si="485"/>
        <v>0</v>
      </c>
      <c r="BJ449" s="1125">
        <f t="shared" si="486"/>
        <v>0</v>
      </c>
      <c r="BK449" s="1125">
        <f t="shared" si="487"/>
        <v>1</v>
      </c>
      <c r="BL449" s="1125">
        <f t="shared" si="488"/>
        <v>1</v>
      </c>
      <c r="BM449" s="1125">
        <f t="shared" si="489"/>
        <v>1</v>
      </c>
      <c r="BN449" s="1125">
        <f t="shared" si="490"/>
        <v>1</v>
      </c>
      <c r="BO449" s="1125">
        <f t="shared" si="491"/>
        <v>1</v>
      </c>
      <c r="BP449" s="1125">
        <f t="shared" si="492"/>
        <v>1</v>
      </c>
      <c r="BQ449" s="1125">
        <f t="shared" si="493"/>
        <v>1</v>
      </c>
      <c r="BR449" s="1125">
        <f t="shared" si="494"/>
        <v>1</v>
      </c>
      <c r="BS449" s="1125">
        <f t="shared" si="495"/>
        <v>1</v>
      </c>
      <c r="BT449" s="1125">
        <f t="shared" si="496"/>
        <v>1</v>
      </c>
      <c r="BU449" s="1125">
        <f t="shared" si="497"/>
        <v>1</v>
      </c>
      <c r="BV449" s="1125">
        <f t="shared" si="498"/>
        <v>1</v>
      </c>
      <c r="BW449" s="1125">
        <f t="shared" si="499"/>
        <v>0</v>
      </c>
      <c r="BX449" s="1125">
        <f t="shared" si="500"/>
        <v>0</v>
      </c>
      <c r="BY449" s="1125">
        <f t="shared" si="501"/>
        <v>0</v>
      </c>
      <c r="BZ449" s="1125">
        <f t="shared" si="502"/>
        <v>0</v>
      </c>
      <c r="CA449" s="1125">
        <f t="shared" si="503"/>
        <v>0</v>
      </c>
      <c r="CB449" s="1125">
        <f t="shared" si="504"/>
        <v>1</v>
      </c>
      <c r="CC449" s="1125">
        <f t="shared" si="505"/>
        <v>1</v>
      </c>
      <c r="CD449" s="1125">
        <f t="shared" si="506"/>
        <v>1</v>
      </c>
      <c r="CE449" s="1125">
        <f t="shared" si="507"/>
        <v>0</v>
      </c>
      <c r="CF449" s="1125">
        <f t="shared" si="508"/>
        <v>0</v>
      </c>
      <c r="CG449" s="1125">
        <f t="shared" si="509"/>
        <v>0</v>
      </c>
      <c r="CH449" s="1125">
        <f t="shared" si="510"/>
        <v>0</v>
      </c>
      <c r="CI449" s="1125">
        <f t="shared" si="511"/>
        <v>0.85</v>
      </c>
      <c r="CJ449" s="1125">
        <f t="shared" si="512"/>
        <v>0.85</v>
      </c>
      <c r="CK449" s="1125">
        <f t="shared" si="513"/>
        <v>0.85</v>
      </c>
      <c r="CL449" s="1125">
        <f t="shared" si="514"/>
        <v>0.85</v>
      </c>
      <c r="CM449" s="1125">
        <f t="shared" si="515"/>
        <v>0.85</v>
      </c>
      <c r="CN449" s="1125">
        <f t="shared" si="516"/>
        <v>0.85</v>
      </c>
      <c r="CO449" s="1125">
        <f t="shared" si="517"/>
        <v>0.85</v>
      </c>
      <c r="CP449" s="1125">
        <f t="shared" si="518"/>
        <v>0.85</v>
      </c>
      <c r="CQ449" s="1125">
        <f t="shared" si="519"/>
        <v>0.85</v>
      </c>
      <c r="CR449" s="1125">
        <f t="shared" si="520"/>
        <v>0.85</v>
      </c>
      <c r="CS449" s="1125">
        <f t="shared" si="521"/>
        <v>0.85</v>
      </c>
      <c r="CT449" s="1125">
        <f t="shared" si="522"/>
        <v>0.85</v>
      </c>
      <c r="CU449" s="1125">
        <v>1</v>
      </c>
      <c r="CV449" s="1125"/>
      <c r="CW449" s="1125">
        <f t="shared" si="523"/>
        <v>92</v>
      </c>
      <c r="CX449" s="1125">
        <f t="shared" si="524"/>
        <v>273</v>
      </c>
      <c r="CY449" s="1136" t="s">
        <v>4889</v>
      </c>
      <c r="CZ449" s="1129" t="s">
        <v>4897</v>
      </c>
      <c r="DA449" s="1129"/>
      <c r="DB449" s="1129"/>
      <c r="DC449" s="1125" t="s">
        <v>5775</v>
      </c>
      <c r="DD449" s="1125" t="s">
        <v>537</v>
      </c>
      <c r="DE449" s="1120" t="str">
        <f t="shared" si="525"/>
        <v/>
      </c>
      <c r="DF449" s="1133">
        <v>1</v>
      </c>
      <c r="DG449" s="1125">
        <v>0</v>
      </c>
    </row>
    <row r="450" spans="1:111">
      <c r="A450" s="1120" t="s">
        <v>3669</v>
      </c>
      <c r="B450" s="1125" t="s">
        <v>3980</v>
      </c>
      <c r="C450" s="1125" t="s">
        <v>3981</v>
      </c>
      <c r="D450" s="1125" t="s">
        <v>248</v>
      </c>
      <c r="E450" s="1125">
        <v>1492</v>
      </c>
      <c r="F450" s="1125">
        <v>-98.68</v>
      </c>
      <c r="G450" s="1125">
        <v>46.92</v>
      </c>
      <c r="H450" s="1125">
        <v>-6</v>
      </c>
      <c r="I450" s="1126">
        <v>-14.8</v>
      </c>
      <c r="J450" s="1126">
        <v>88.16000137329101</v>
      </c>
      <c r="K450" s="1127">
        <v>69.260001373291018</v>
      </c>
      <c r="L450" s="1125">
        <v>9309.6</v>
      </c>
      <c r="M450" s="1125">
        <v>545.4</v>
      </c>
      <c r="N450" s="1128">
        <v>3.5599996566772454</v>
      </c>
      <c r="O450" s="1128">
        <v>19.040000343322752</v>
      </c>
      <c r="P450" s="1128">
        <v>25.879999828338622</v>
      </c>
      <c r="Q450" s="1128">
        <v>49.459999656677248</v>
      </c>
      <c r="R450" s="1128">
        <v>50</v>
      </c>
      <c r="S450" s="1128">
        <v>64.039998626708979</v>
      </c>
      <c r="T450" s="1128">
        <v>70.7</v>
      </c>
      <c r="U450" s="1128">
        <v>69.980000686645511</v>
      </c>
      <c r="V450" s="1128">
        <v>60.980000686645511</v>
      </c>
      <c r="W450" s="1128">
        <v>35.060000085830687</v>
      </c>
      <c r="X450" s="1128">
        <v>29.119999957084655</v>
      </c>
      <c r="Y450" s="1128">
        <v>6.4400003433227528</v>
      </c>
      <c r="Z450" s="1128">
        <v>40.414630126169286</v>
      </c>
      <c r="AA450" s="1128">
        <f t="shared" si="451"/>
        <v>36.787615165394911</v>
      </c>
      <c r="AB450" s="1128">
        <f t="shared" si="452"/>
        <v>34.323417098034106</v>
      </c>
      <c r="AC450" s="1128">
        <f t="shared" si="453"/>
        <v>35.010980037689698</v>
      </c>
      <c r="AD450" s="1128">
        <f t="shared" si="454"/>
        <v>38.67108010847484</v>
      </c>
      <c r="AE450" s="1128">
        <f t="shared" si="455"/>
        <v>44.34965582308994</v>
      </c>
      <c r="AF450" s="1128">
        <f t="shared" si="456"/>
        <v>50.566498912019938</v>
      </c>
      <c r="AG450" s="1128">
        <f t="shared" si="457"/>
        <v>55.701093419683247</v>
      </c>
      <c r="AH450" s="1128">
        <f t="shared" si="458"/>
        <v>58.415028161160926</v>
      </c>
      <c r="AI450" s="1128">
        <f t="shared" si="459"/>
        <v>58.000874223086477</v>
      </c>
      <c r="AJ450" s="1128">
        <f t="shared" si="460"/>
        <v>54.566587211724375</v>
      </c>
      <c r="AK450" s="1128">
        <f t="shared" si="461"/>
        <v>49.00736696055101</v>
      </c>
      <c r="AL450" s="1128">
        <f t="shared" si="462"/>
        <v>42.772309898211994</v>
      </c>
      <c r="AM450" s="1125">
        <f t="shared" si="463"/>
        <v>1</v>
      </c>
      <c r="AN450" s="1125">
        <f t="shared" si="464"/>
        <v>1</v>
      </c>
      <c r="AO450" s="1125">
        <f t="shared" si="465"/>
        <v>1</v>
      </c>
      <c r="AP450" s="1125">
        <f t="shared" si="466"/>
        <v>1</v>
      </c>
      <c r="AQ450" s="1125">
        <f t="shared" si="467"/>
        <v>1</v>
      </c>
      <c r="AR450" s="1125">
        <f t="shared" si="468"/>
        <v>1</v>
      </c>
      <c r="AS450" s="1125">
        <f t="shared" si="469"/>
        <v>0</v>
      </c>
      <c r="AT450" s="1125">
        <f t="shared" si="470"/>
        <v>0</v>
      </c>
      <c r="AU450" s="1125">
        <f t="shared" si="471"/>
        <v>1</v>
      </c>
      <c r="AV450" s="1125">
        <f t="shared" si="472"/>
        <v>1</v>
      </c>
      <c r="AW450" s="1125">
        <f t="shared" si="473"/>
        <v>1</v>
      </c>
      <c r="AX450" s="1125">
        <f t="shared" si="474"/>
        <v>1</v>
      </c>
      <c r="AY450" s="1125">
        <f t="shared" si="475"/>
        <v>0</v>
      </c>
      <c r="AZ450" s="1125">
        <f t="shared" si="476"/>
        <v>0</v>
      </c>
      <c r="BA450" s="1125">
        <f t="shared" si="477"/>
        <v>0</v>
      </c>
      <c r="BB450" s="1125">
        <f t="shared" si="478"/>
        <v>0</v>
      </c>
      <c r="BC450" s="1125">
        <f t="shared" si="479"/>
        <v>0</v>
      </c>
      <c r="BD450" s="1125">
        <f t="shared" si="480"/>
        <v>0</v>
      </c>
      <c r="BE450" s="1125">
        <f t="shared" si="481"/>
        <v>1</v>
      </c>
      <c r="BF450" s="1125">
        <f t="shared" si="482"/>
        <v>1</v>
      </c>
      <c r="BG450" s="1125">
        <f t="shared" si="483"/>
        <v>0</v>
      </c>
      <c r="BH450" s="1125">
        <f t="shared" si="484"/>
        <v>0</v>
      </c>
      <c r="BI450" s="1125">
        <f t="shared" si="485"/>
        <v>0</v>
      </c>
      <c r="BJ450" s="1125">
        <f t="shared" si="486"/>
        <v>0</v>
      </c>
      <c r="BK450" s="1125">
        <f t="shared" si="487"/>
        <v>1</v>
      </c>
      <c r="BL450" s="1125">
        <f t="shared" si="488"/>
        <v>1</v>
      </c>
      <c r="BM450" s="1125">
        <f t="shared" si="489"/>
        <v>1</v>
      </c>
      <c r="BN450" s="1125">
        <f t="shared" si="490"/>
        <v>1</v>
      </c>
      <c r="BO450" s="1125">
        <f t="shared" si="491"/>
        <v>1</v>
      </c>
      <c r="BP450" s="1125">
        <f t="shared" si="492"/>
        <v>1</v>
      </c>
      <c r="BQ450" s="1125">
        <f t="shared" si="493"/>
        <v>1</v>
      </c>
      <c r="BR450" s="1125">
        <f t="shared" si="494"/>
        <v>0</v>
      </c>
      <c r="BS450" s="1125">
        <f t="shared" si="495"/>
        <v>1</v>
      </c>
      <c r="BT450" s="1125">
        <f t="shared" si="496"/>
        <v>1</v>
      </c>
      <c r="BU450" s="1125">
        <f t="shared" si="497"/>
        <v>1</v>
      </c>
      <c r="BV450" s="1125">
        <f t="shared" si="498"/>
        <v>1</v>
      </c>
      <c r="BW450" s="1125">
        <f t="shared" si="499"/>
        <v>0</v>
      </c>
      <c r="BX450" s="1125">
        <f t="shared" si="500"/>
        <v>0</v>
      </c>
      <c r="BY450" s="1125">
        <f t="shared" si="501"/>
        <v>0</v>
      </c>
      <c r="BZ450" s="1125">
        <f t="shared" si="502"/>
        <v>0</v>
      </c>
      <c r="CA450" s="1125">
        <f t="shared" si="503"/>
        <v>0</v>
      </c>
      <c r="CB450" s="1125">
        <f t="shared" si="504"/>
        <v>1</v>
      </c>
      <c r="CC450" s="1125">
        <f t="shared" si="505"/>
        <v>1</v>
      </c>
      <c r="CD450" s="1125">
        <f t="shared" si="506"/>
        <v>1</v>
      </c>
      <c r="CE450" s="1125">
        <f t="shared" si="507"/>
        <v>1</v>
      </c>
      <c r="CF450" s="1125">
        <f t="shared" si="508"/>
        <v>0</v>
      </c>
      <c r="CG450" s="1125">
        <f t="shared" si="509"/>
        <v>0</v>
      </c>
      <c r="CH450" s="1125">
        <f t="shared" si="510"/>
        <v>0</v>
      </c>
      <c r="CI450" s="1125">
        <f t="shared" si="511"/>
        <v>0.85</v>
      </c>
      <c r="CJ450" s="1125">
        <f t="shared" si="512"/>
        <v>0.85</v>
      </c>
      <c r="CK450" s="1125">
        <f t="shared" si="513"/>
        <v>0.85</v>
      </c>
      <c r="CL450" s="1125">
        <f t="shared" si="514"/>
        <v>0.85</v>
      </c>
      <c r="CM450" s="1125">
        <f t="shared" si="515"/>
        <v>0.85</v>
      </c>
      <c r="CN450" s="1125">
        <f t="shared" si="516"/>
        <v>0.85</v>
      </c>
      <c r="CO450" s="1125">
        <f t="shared" si="517"/>
        <v>0.85</v>
      </c>
      <c r="CP450" s="1125">
        <f t="shared" si="518"/>
        <v>0.7</v>
      </c>
      <c r="CQ450" s="1125">
        <f t="shared" si="519"/>
        <v>0.85</v>
      </c>
      <c r="CR450" s="1125">
        <f t="shared" si="520"/>
        <v>0.85</v>
      </c>
      <c r="CS450" s="1125">
        <f t="shared" si="521"/>
        <v>0.85</v>
      </c>
      <c r="CT450" s="1125">
        <f t="shared" si="522"/>
        <v>0.85</v>
      </c>
      <c r="CU450" s="1125">
        <v>1</v>
      </c>
      <c r="CV450" s="1125"/>
      <c r="CW450" s="1125">
        <f t="shared" si="523"/>
        <v>122</v>
      </c>
      <c r="CX450" s="1125">
        <f t="shared" si="524"/>
        <v>243</v>
      </c>
      <c r="CY450" s="1136" t="s">
        <v>4879</v>
      </c>
      <c r="CZ450" s="1129">
        <v>7</v>
      </c>
      <c r="DA450" s="1129"/>
      <c r="DB450" s="1129"/>
      <c r="DC450" s="1125" t="s">
        <v>5407</v>
      </c>
      <c r="DD450" s="1125" t="s">
        <v>248</v>
      </c>
      <c r="DE450" s="1120" t="str">
        <f t="shared" si="525"/>
        <v/>
      </c>
      <c r="DF450" s="1133">
        <v>1</v>
      </c>
      <c r="DG450" s="1120">
        <v>0</v>
      </c>
    </row>
    <row r="451" spans="1:111">
      <c r="A451" s="1125" t="s">
        <v>5852</v>
      </c>
      <c r="B451" s="1125" t="s">
        <v>4614</v>
      </c>
      <c r="C451" s="1125" t="s">
        <v>4615</v>
      </c>
      <c r="D451" s="1125" t="s">
        <v>1278</v>
      </c>
      <c r="E451" s="1125">
        <v>807</v>
      </c>
      <c r="F451" s="1125">
        <v>-89.03</v>
      </c>
      <c r="G451" s="1125">
        <v>42.62</v>
      </c>
      <c r="H451" s="1125">
        <v>-6</v>
      </c>
      <c r="I451" s="1126">
        <v>-0.58000068664550863</v>
      </c>
      <c r="J451" s="1126">
        <v>84.380000686645502</v>
      </c>
      <c r="K451" s="1127">
        <v>71.780000686645508</v>
      </c>
      <c r="L451" s="1125">
        <v>6462</v>
      </c>
      <c r="M451" s="1125">
        <v>347.40000000000003</v>
      </c>
      <c r="N451" s="1128">
        <v>30.919999957084656</v>
      </c>
      <c r="O451" s="1128">
        <v>32</v>
      </c>
      <c r="P451" s="1128">
        <v>34.160000085830688</v>
      </c>
      <c r="Q451" s="1128">
        <v>41.359999656677246</v>
      </c>
      <c r="R451" s="1128">
        <v>56.840000343322757</v>
      </c>
      <c r="S451" s="1128">
        <v>64.939998626708984</v>
      </c>
      <c r="T451" s="1128">
        <v>67.819999313354487</v>
      </c>
      <c r="U451" s="1128">
        <v>63.139998626708987</v>
      </c>
      <c r="V451" s="1128">
        <v>60.619999313354491</v>
      </c>
      <c r="W451" s="1128">
        <v>48.559999656677249</v>
      </c>
      <c r="X451" s="1128">
        <v>36.139999914169309</v>
      </c>
      <c r="Y451" s="1128">
        <v>33.980000042915343</v>
      </c>
      <c r="Z451" s="1128">
        <v>47.632383189397316</v>
      </c>
      <c r="AA451" s="1128">
        <f t="shared" ref="AA451:AA514" si="526">MAX($Z451+6+(0.4+0.01*($Z451-44))*(MAX($N451:$Y451)-MIN($N451:$Y451))/2*SIN((0.986*((1*30-15)-15-(35-1*($Z451-44)))-90)*PI()/180),32)</f>
        <v>46.726865994525163</v>
      </c>
      <c r="AB451" s="1128">
        <f t="shared" ref="AB451:AB514" si="527">MAX($Z451+6+(0.4+0.01*($Z451-44))*(MAX($N451:$Y451)-MIN($N451:$Y451))/2*SIN((0.986*((2*30-15)-15-(35-1*($Z451-44)))-90)*PI()/180),32)</f>
        <v>45.584438055438127</v>
      </c>
      <c r="AC451" s="1128">
        <f t="shared" ref="AC451:AC514" si="528">MAX($Z451+6+(0.4+0.01*($Z451-44))*(MAX($N451:$Y451)-MIN($N451:$Y451))/2*SIN((0.986*((3*30-15)-15-(35-1*($Z451-44)))-90)*PI()/180),32)</f>
        <v>46.5398310381062</v>
      </c>
      <c r="AD451" s="1128">
        <f t="shared" ref="AD451:AD514" si="529">MAX($Z451+6+(0.4+0.01*($Z451-44))*(MAX($N451:$Y451)-MIN($N451:$Y451))/2*SIN((0.986*((4*30-15)-15-(35-1*($Z451-44)))-90)*PI()/180),32)</f>
        <v>49.344007038545421</v>
      </c>
      <c r="AE451" s="1128">
        <f t="shared" ref="AE451:AE514" si="530">MAX($Z451+6+(0.4+0.01*($Z451-44))*(MAX($N451:$Y451)-MIN($N451:$Y451))/2*SIN((0.986*((5*30-15)-15-(35-1*($Z451-44)))-90)*PI()/180),32)</f>
        <v>53.266014368581082</v>
      </c>
      <c r="AF451" s="1128">
        <f t="shared" ref="AF451:AF514" si="531">MAX($Z451+6+(0.4+0.01*($Z451-44))*(MAX($N451:$Y451)-MIN($N451:$Y451))/2*SIN((0.986*((6*30-15)-15-(35-1*($Z451-44)))-90)*PI()/180),32)</f>
        <v>57.283521377676919</v>
      </c>
      <c r="AG451" s="1128">
        <f t="shared" ref="AG451:AG514" si="532">MAX($Z451+6+(0.4+0.01*($Z451-44))*(MAX($N451:$Y451)-MIN($N451:$Y451))/2*SIN((0.986*((7*30-15)-15-(35-1*($Z451-44)))-90)*PI()/180),32)</f>
        <v>60.349302952255044</v>
      </c>
      <c r="AH451" s="1128">
        <f t="shared" ref="AH451:AH514" si="533">MAX($Z451+6+(0.4+0.01*($Z451-44))*(MAX($N451:$Y451)-MIN($N451:$Y451))/2*SIN((0.986*((8*30-15)-15-(35-1*($Z451-44)))-90)*PI()/180),32)</f>
        <v>61.664215879777515</v>
      </c>
      <c r="AI451" s="1128">
        <f t="shared" ref="AI451:AI514" si="534">MAX($Z451+6+(0.4+0.01*($Z451-44))*(MAX($N451:$Y451)-MIN($N451:$Y451))/2*SIN((0.986*((9*30-15)-15-(35-1*($Z451-44)))-90)*PI()/180),32)</f>
        <v>60.885507842264012</v>
      </c>
      <c r="AJ451" s="1128">
        <f t="shared" ref="AJ451:AJ514" si="535">MAX($Z451+6+(0.4+0.01*($Z451-44))*(MAX($N451:$Y451)-MIN($N451:$Y451))/2*SIN((0.986*((10*30-15)-15-(35-1*($Z451-44)))-90)*PI()/180),32)</f>
        <v>58.216161089946532</v>
      </c>
      <c r="AK451" s="1128">
        <f t="shared" ref="AK451:AK514" si="536">MAX($Z451+6+(0.4+0.01*($Z451-44))*(MAX($N451:$Y451)-MIN($N451:$Y451))/2*SIN((0.986*((11*30-15)-15-(35-1*($Z451-44)))-90)*PI()/180),32)</f>
        <v>54.351981989695247</v>
      </c>
      <c r="AL451" s="1128">
        <f t="shared" ref="AL451:AL514" si="537">MAX($Z451+6+(0.4+0.01*($Z451-44))*(MAX($N451:$Y451)-MIN($N451:$Y451))/2*SIN((0.986*((12*30-15)-15-(35-1*($Z451-44)))-90)*PI()/180),32)</f>
        <v>50.300228372793129</v>
      </c>
      <c r="AM451" s="1125">
        <f t="shared" ref="AM451:AM514" si="538">IF(AND(OR(LEFT(AM$1,3)="Jan",LEFT(AM$1,3)="Dec"),I451&lt;59),1,IF(N451&lt;66,1,0))</f>
        <v>1</v>
      </c>
      <c r="AN451" s="1125">
        <f t="shared" ref="AN451:AN514" si="539">IF(AND(OR(LEFT(AN$1,3)="Jan",LEFT(AN$1,3)="Dec"),J451&lt;59),1,IF(O451&lt;66,1,0))</f>
        <v>1</v>
      </c>
      <c r="AO451" s="1125">
        <f t="shared" ref="AO451:AO514" si="540">IF(AND(OR(LEFT(AO$1,3)="Jan",LEFT(AO$1,3)="Dec"),K451&lt;59),1,IF(P451&lt;66,1,0))</f>
        <v>1</v>
      </c>
      <c r="AP451" s="1125">
        <f t="shared" ref="AP451:AP514" si="541">IF(AND(OR(LEFT(AP$1,3)="Jan",LEFT(AP$1,3)="Dec"),L451&lt;59),1,IF(Q451&lt;66,1,0))</f>
        <v>1</v>
      </c>
      <c r="AQ451" s="1125">
        <f t="shared" ref="AQ451:AQ514" si="542">IF(AND(OR(LEFT(AQ$1,3)="Jan",LEFT(AQ$1,3)="Dec"),M451&lt;59),1,IF(R451&lt;66,1,0))</f>
        <v>1</v>
      </c>
      <c r="AR451" s="1125">
        <f t="shared" ref="AR451:AR514" si="543">IF(AND(OR(LEFT(AR$1,3)="Jan",LEFT(AR$1,3)="Dec"),N451&lt;59),1,IF(S451&lt;66,1,0))</f>
        <v>1</v>
      </c>
      <c r="AS451" s="1125">
        <f t="shared" ref="AS451:AS514" si="544">IF(AND(OR(LEFT(AS$1,3)="Jan",LEFT(AS$1,3)="Dec"),O451&lt;59),1,IF(T451&lt;66,1,0))</f>
        <v>0</v>
      </c>
      <c r="AT451" s="1125">
        <f t="shared" ref="AT451:AT514" si="545">IF(AND(OR(LEFT(AT$1,3)="Jan",LEFT(AT$1,3)="Dec"),P451&lt;59),1,IF(U451&lt;66,1,0))</f>
        <v>1</v>
      </c>
      <c r="AU451" s="1125">
        <f t="shared" ref="AU451:AU514" si="546">IF(AND(OR(LEFT(AU$1,3)="Jan",LEFT(AU$1,3)="Dec"),Q451&lt;59),1,IF(V451&lt;66,1,0))</f>
        <v>1</v>
      </c>
      <c r="AV451" s="1125">
        <f t="shared" ref="AV451:AV514" si="547">IF(AND(OR(LEFT(AV$1,3)="Jan",LEFT(AV$1,3)="Dec"),R451&lt;59),1,IF(W451&lt;66,1,0))</f>
        <v>1</v>
      </c>
      <c r="AW451" s="1125">
        <f t="shared" ref="AW451:AW514" si="548">IF(AND(OR(LEFT(AW$1,3)="Jan",LEFT(AW$1,3)="Dec"),S451&lt;59),1,IF(X451&lt;66,1,0))</f>
        <v>1</v>
      </c>
      <c r="AX451" s="1125">
        <f t="shared" ref="AX451:AX514" si="549">IF(AND(OR(LEFT(AX$1,3)="Jan",LEFT(AX$1,3)="Dec"),T451&lt;59),1,IF(Y451&lt;66,1,0))</f>
        <v>1</v>
      </c>
      <c r="AY451" s="1125">
        <f t="shared" ref="AY451:AY514" si="550">IF(OR(LEFT(AY$1,3)="Jul", LEFT(AY$1,3)="Aug"),1,IF(N451&gt;66,1,0))</f>
        <v>0</v>
      </c>
      <c r="AZ451" s="1125">
        <f t="shared" ref="AZ451:AZ514" si="551">IF(OR(LEFT(AZ$1,3)="Jul", LEFT(AZ$1,3)="Aug"),1,IF(O451&gt;66,1,0))</f>
        <v>0</v>
      </c>
      <c r="BA451" s="1125">
        <f t="shared" ref="BA451:BA514" si="552">IF(OR(LEFT(BA$1,3)="Jul", LEFT(BA$1,3)="Aug"),1,IF(P451&gt;66,1,0))</f>
        <v>0</v>
      </c>
      <c r="BB451" s="1125">
        <f t="shared" ref="BB451:BB514" si="553">IF(OR(LEFT(BB$1,3)="Jul", LEFT(BB$1,3)="Aug"),1,IF(Q451&gt;66,1,0))</f>
        <v>0</v>
      </c>
      <c r="BC451" s="1125">
        <f t="shared" ref="BC451:BC514" si="554">IF(OR(LEFT(BC$1,3)="Jul", LEFT(BC$1,3)="Aug"),1,IF(R451&gt;66,1,0))</f>
        <v>0</v>
      </c>
      <c r="BD451" s="1125">
        <f t="shared" ref="BD451:BD514" si="555">IF(OR(LEFT(BD$1,3)="Jul", LEFT(BD$1,3)="Aug"),1,IF(S451&gt;66,1,0))</f>
        <v>0</v>
      </c>
      <c r="BE451" s="1125">
        <f t="shared" ref="BE451:BE514" si="556">IF(OR(LEFT(BE$1,3)="Jul", LEFT(BE$1,3)="Aug"),1,IF(T451&gt;66,1,0))</f>
        <v>1</v>
      </c>
      <c r="BF451" s="1125">
        <f t="shared" ref="BF451:BF514" si="557">IF(OR(LEFT(BF$1,3)="Jul", LEFT(BF$1,3)="Aug"),1,IF(U451&gt;66,1,0))</f>
        <v>1</v>
      </c>
      <c r="BG451" s="1125">
        <f t="shared" ref="BG451:BG514" si="558">IF(OR(LEFT(BG$1,3)="Jul", LEFT(BG$1,3)="Aug"),1,IF(V451&gt;66,1,0))</f>
        <v>0</v>
      </c>
      <c r="BH451" s="1125">
        <f t="shared" ref="BH451:BH514" si="559">IF(OR(LEFT(BH$1,3)="Jul", LEFT(BH$1,3)="Aug"),1,IF(W451&gt;66,1,0))</f>
        <v>0</v>
      </c>
      <c r="BI451" s="1125">
        <f t="shared" ref="BI451:BI514" si="560">IF(OR(LEFT(BI$1,3)="Jul", LEFT(BI$1,3)="Aug"),1,IF(X451&gt;66,1,0))</f>
        <v>0</v>
      </c>
      <c r="BJ451" s="1125">
        <f t="shared" ref="BJ451:BJ514" si="561">IF(OR(LEFT(BJ$1,3)="Jul", LEFT(BJ$1,3)="Aug"),1,IF(Y451&gt;66,1,0))</f>
        <v>0</v>
      </c>
      <c r="BK451" s="1125">
        <f t="shared" ref="BK451:BK514" si="562">IF(AND(AY451=1,BJ451=0),1,AM451)</f>
        <v>1</v>
      </c>
      <c r="BL451" s="1125">
        <f t="shared" ref="BL451:BL514" si="563">IF(AND(AY451=0,AZ451=1),1,AN451)</f>
        <v>1</v>
      </c>
      <c r="BM451" s="1125">
        <f t="shared" ref="BM451:BM514" si="564">IF(AND(AZ451=0,BA451=1),1,AO451)</f>
        <v>1</v>
      </c>
      <c r="BN451" s="1125">
        <f t="shared" ref="BN451:BN514" si="565">IF(AND(BA451=0,BB451=1),1,AP451)</f>
        <v>1</v>
      </c>
      <c r="BO451" s="1125">
        <f t="shared" ref="BO451:BO514" si="566">IF(AND(BB451=0,BC451=1),1,AQ451)</f>
        <v>1</v>
      </c>
      <c r="BP451" s="1125">
        <f t="shared" ref="BP451:BP514" si="567">IF(AND(BC451=0,BD451=1),1,AR451)</f>
        <v>1</v>
      </c>
      <c r="BQ451" s="1125">
        <f t="shared" ref="BQ451:BQ514" si="568">IF(AND(BD451=0,BE451=1),1,AS451)</f>
        <v>1</v>
      </c>
      <c r="BR451" s="1125">
        <f t="shared" ref="BR451:BR514" si="569">IF(AND(BE451=0,BF451=1),1,AT451)</f>
        <v>1</v>
      </c>
      <c r="BS451" s="1125">
        <f t="shared" ref="BS451:BS514" si="570">IF(AND(BF451=0,BG451=1),1,AU451)</f>
        <v>1</v>
      </c>
      <c r="BT451" s="1125">
        <f t="shared" ref="BT451:BT514" si="571">IF(AND(BG451=0,BH451=1),1,AV451)</f>
        <v>1</v>
      </c>
      <c r="BU451" s="1125">
        <f t="shared" ref="BU451:BU514" si="572">IF(AND(BH451=0,BI451=1),1,AW451)</f>
        <v>1</v>
      </c>
      <c r="BV451" s="1125">
        <f t="shared" ref="BV451:BV514" si="573">IF(AND(BI451=0,BJ451=1),1,AX451)</f>
        <v>1</v>
      </c>
      <c r="BW451" s="1125">
        <f t="shared" ref="BW451:BW514" si="574">IF(OR(AND(AX451=0,AM451=1),AND(AM451=1,AN451=0)),1,AY451)</f>
        <v>0</v>
      </c>
      <c r="BX451" s="1125">
        <f t="shared" ref="BX451:BX514" si="575">IF(OR(AND(AM451=0,AN451=1),AND(AN451=1,AO451=0)),1,AZ451)</f>
        <v>0</v>
      </c>
      <c r="BY451" s="1125">
        <f t="shared" ref="BY451:BY514" si="576">IF(OR(AND(AN451=0,AO451=1),AND(AO451=1,AP451=0)),1,BA451)</f>
        <v>0</v>
      </c>
      <c r="BZ451" s="1125">
        <f t="shared" ref="BZ451:BZ514" si="577">IF(OR(AND(AO451=0,AP451=1),AND(AP451=1,AQ451=0)),1,BB451)</f>
        <v>0</v>
      </c>
      <c r="CA451" s="1125">
        <f t="shared" ref="CA451:CA514" si="578">IF(OR(AND(AP451=0,AQ451=1),AND(AQ451=1,AR451=0)),1,BC451)</f>
        <v>0</v>
      </c>
      <c r="CB451" s="1125">
        <f t="shared" ref="CB451:CB514" si="579">IF(OR(AND(AQ451=0,AR451=1),AND(AR451=1,AS451=0)),1,BD451)</f>
        <v>1</v>
      </c>
      <c r="CC451" s="1125">
        <f t="shared" ref="CC451:CC514" si="580">IF(OR(AND(AR451=0,AS451=1),AND(AS451=1,AT451=0)),1,BE451)</f>
        <v>1</v>
      </c>
      <c r="CD451" s="1125">
        <f t="shared" ref="CD451:CD514" si="581">IF(OR(AND(AS451=0,AT451=1),AND(AT451=1,AU451=0)),1,BF451)</f>
        <v>1</v>
      </c>
      <c r="CE451" s="1125">
        <f t="shared" ref="CE451:CE514" si="582">IF(OR(AND(AT451=0,AU451=1),AND(AU451=1,AV451=0)),1,BG451)</f>
        <v>0</v>
      </c>
      <c r="CF451" s="1125">
        <f t="shared" ref="CF451:CF514" si="583">IF(OR(AND(AU451=0,AV451=1),AND(AV451=1,AW451=0)),1,BH451)</f>
        <v>0</v>
      </c>
      <c r="CG451" s="1125">
        <f t="shared" ref="CG451:CG514" si="584">IF(OR(AND(AV451=0,AW451=1),AND(AW451=1,AX451=0)),1,BI451)</f>
        <v>0</v>
      </c>
      <c r="CH451" s="1125">
        <f t="shared" ref="CH451:CH514" si="585">IF(OR(AND(AW451=0,AX451=1),AND(AX451=1,AM451=0)),1,BJ451)</f>
        <v>0</v>
      </c>
      <c r="CI451" s="1125">
        <f t="shared" ref="CI451:CI514" si="586">IF(BK451=1,0.85,0.7)</f>
        <v>0.85</v>
      </c>
      <c r="CJ451" s="1125">
        <f t="shared" ref="CJ451:CJ514" si="587">IF(BL451=1,0.85,0.7)</f>
        <v>0.85</v>
      </c>
      <c r="CK451" s="1125">
        <f t="shared" ref="CK451:CK514" si="588">IF(BM451=1,0.85,0.7)</f>
        <v>0.85</v>
      </c>
      <c r="CL451" s="1125">
        <f t="shared" ref="CL451:CL514" si="589">IF(BN451=1,0.85,0.7)</f>
        <v>0.85</v>
      </c>
      <c r="CM451" s="1125">
        <f t="shared" ref="CM451:CM514" si="590">IF(BO451=1,0.85,0.7)</f>
        <v>0.85</v>
      </c>
      <c r="CN451" s="1125">
        <f t="shared" ref="CN451:CN514" si="591">IF(BP451=1,0.85,0.7)</f>
        <v>0.85</v>
      </c>
      <c r="CO451" s="1125">
        <f t="shared" ref="CO451:CO514" si="592">IF(BQ451=1,0.85,0.7)</f>
        <v>0.85</v>
      </c>
      <c r="CP451" s="1125">
        <f t="shared" ref="CP451:CP514" si="593">IF(BR451=1,0.85,0.7)</f>
        <v>0.85</v>
      </c>
      <c r="CQ451" s="1125">
        <f t="shared" ref="CQ451:CQ514" si="594">IF(BS451=1,0.85,0.7)</f>
        <v>0.85</v>
      </c>
      <c r="CR451" s="1125">
        <f t="shared" ref="CR451:CR514" si="595">IF(BT451=1,0.85,0.7)</f>
        <v>0.85</v>
      </c>
      <c r="CS451" s="1125">
        <f t="shared" ref="CS451:CS514" si="596">IF(BU451=1,0.85,0.7)</f>
        <v>0.85</v>
      </c>
      <c r="CT451" s="1125">
        <f t="shared" ref="CT451:CT514" si="597">IF(BV451=1,0.85,0.7)</f>
        <v>0.85</v>
      </c>
      <c r="CU451" s="1125">
        <v>1</v>
      </c>
      <c r="CV451" s="1125"/>
      <c r="CW451" s="1125">
        <f t="shared" ref="CW451:CW514" si="598">BW451*31+BX451*28+BY451*31+BZ451*30+CA451*31+CB451*30+CC451*31+CD451*31+CE451*30+CF451*31+CG451*30+CH451*31</f>
        <v>92</v>
      </c>
      <c r="CX451" s="1125">
        <f t="shared" ref="CX451:CX514" si="599">365-CW451</f>
        <v>273</v>
      </c>
      <c r="CY451" s="1135" t="s">
        <v>4889</v>
      </c>
      <c r="CZ451" s="1124" t="s">
        <v>4899</v>
      </c>
      <c r="DA451" s="1124"/>
      <c r="DB451" s="1124"/>
      <c r="DC451" s="1120" t="s">
        <v>6020</v>
      </c>
      <c r="DD451" s="1120" t="s">
        <v>1278</v>
      </c>
      <c r="DE451" s="1120" t="b">
        <f t="shared" si="525"/>
        <v>0</v>
      </c>
      <c r="DF451" s="1133">
        <v>0</v>
      </c>
      <c r="DG451" s="1125">
        <v>0</v>
      </c>
    </row>
    <row r="452" spans="1:111">
      <c r="A452" s="1120" t="s">
        <v>3671</v>
      </c>
      <c r="B452" s="1125" t="s">
        <v>3846</v>
      </c>
      <c r="C452" s="1125" t="s">
        <v>3847</v>
      </c>
      <c r="D452" s="1125" t="s">
        <v>1248</v>
      </c>
      <c r="E452" s="1125">
        <v>548</v>
      </c>
      <c r="F452" s="1125">
        <v>-92.15</v>
      </c>
      <c r="G452" s="1125">
        <v>38.58</v>
      </c>
      <c r="H452" s="1125">
        <v>-6</v>
      </c>
      <c r="I452" s="1126">
        <v>12.2</v>
      </c>
      <c r="J452" s="1126">
        <v>91.4</v>
      </c>
      <c r="K452" s="1127">
        <v>75.380000686645502</v>
      </c>
      <c r="L452" s="1125">
        <v>4366.8</v>
      </c>
      <c r="M452" s="1125">
        <v>1562.4</v>
      </c>
      <c r="N452" s="1128">
        <v>33.440000021457671</v>
      </c>
      <c r="O452" s="1128">
        <v>38.47999982833862</v>
      </c>
      <c r="P452" s="1128">
        <v>45.679999828338623</v>
      </c>
      <c r="Q452" s="1128">
        <v>57.740000343322755</v>
      </c>
      <c r="R452" s="1128">
        <v>62.239998626708989</v>
      </c>
      <c r="S452" s="1128">
        <v>75.919999313354495</v>
      </c>
      <c r="T452" s="1128">
        <v>78.8</v>
      </c>
      <c r="U452" s="1128">
        <v>76.819999313354487</v>
      </c>
      <c r="V452" s="1128">
        <v>71.419999313354495</v>
      </c>
      <c r="W452" s="1128">
        <v>57.019999313354489</v>
      </c>
      <c r="X452" s="1128">
        <v>49.1</v>
      </c>
      <c r="Y452" s="1128">
        <v>33.259999978542325</v>
      </c>
      <c r="Z452" s="1128">
        <v>56.733972257065446</v>
      </c>
      <c r="AA452" s="1128">
        <f t="shared" si="526"/>
        <v>51.597204542653564</v>
      </c>
      <c r="AB452" s="1128">
        <f t="shared" si="527"/>
        <v>50.832639825897502</v>
      </c>
      <c r="AC452" s="1128">
        <f t="shared" si="528"/>
        <v>53.170340812409748</v>
      </c>
      <c r="AD452" s="1128">
        <f t="shared" si="529"/>
        <v>58.000949714993226</v>
      </c>
      <c r="AE452" s="1128">
        <f t="shared" si="530"/>
        <v>64.065293881253012</v>
      </c>
      <c r="AF452" s="1128">
        <f t="shared" si="531"/>
        <v>69.782608549881061</v>
      </c>
      <c r="AG452" s="1128">
        <f t="shared" si="532"/>
        <v>73.662587546013469</v>
      </c>
      <c r="AH452" s="1128">
        <f t="shared" si="533"/>
        <v>74.693854552022088</v>
      </c>
      <c r="AI452" s="1128">
        <f t="shared" si="534"/>
        <v>72.607593930485152</v>
      </c>
      <c r="AJ452" s="1128">
        <f t="shared" si="535"/>
        <v>67.947621662655635</v>
      </c>
      <c r="AK452" s="1128">
        <f t="shared" si="536"/>
        <v>61.92863133248968</v>
      </c>
      <c r="AL452" s="1128">
        <f t="shared" si="537"/>
        <v>56.119565524993703</v>
      </c>
      <c r="AM452" s="1125">
        <f t="shared" si="538"/>
        <v>1</v>
      </c>
      <c r="AN452" s="1125">
        <f t="shared" si="539"/>
        <v>1</v>
      </c>
      <c r="AO452" s="1125">
        <f t="shared" si="540"/>
        <v>1</v>
      </c>
      <c r="AP452" s="1125">
        <f t="shared" si="541"/>
        <v>1</v>
      </c>
      <c r="AQ452" s="1125">
        <f t="shared" si="542"/>
        <v>1</v>
      </c>
      <c r="AR452" s="1125">
        <f t="shared" si="543"/>
        <v>0</v>
      </c>
      <c r="AS452" s="1125">
        <f t="shared" si="544"/>
        <v>0</v>
      </c>
      <c r="AT452" s="1125">
        <f t="shared" si="545"/>
        <v>0</v>
      </c>
      <c r="AU452" s="1125">
        <f t="shared" si="546"/>
        <v>0</v>
      </c>
      <c r="AV452" s="1125">
        <f t="shared" si="547"/>
        <v>1</v>
      </c>
      <c r="AW452" s="1125">
        <f t="shared" si="548"/>
        <v>1</v>
      </c>
      <c r="AX452" s="1125">
        <f t="shared" si="549"/>
        <v>1</v>
      </c>
      <c r="AY452" s="1125">
        <f t="shared" si="550"/>
        <v>0</v>
      </c>
      <c r="AZ452" s="1125">
        <f t="shared" si="551"/>
        <v>0</v>
      </c>
      <c r="BA452" s="1125">
        <f t="shared" si="552"/>
        <v>0</v>
      </c>
      <c r="BB452" s="1125">
        <f t="shared" si="553"/>
        <v>0</v>
      </c>
      <c r="BC452" s="1125">
        <f t="shared" si="554"/>
        <v>0</v>
      </c>
      <c r="BD452" s="1125">
        <f t="shared" si="555"/>
        <v>1</v>
      </c>
      <c r="BE452" s="1125">
        <f t="shared" si="556"/>
        <v>1</v>
      </c>
      <c r="BF452" s="1125">
        <f t="shared" si="557"/>
        <v>1</v>
      </c>
      <c r="BG452" s="1125">
        <f t="shared" si="558"/>
        <v>1</v>
      </c>
      <c r="BH452" s="1125">
        <f t="shared" si="559"/>
        <v>0</v>
      </c>
      <c r="BI452" s="1125">
        <f t="shared" si="560"/>
        <v>0</v>
      </c>
      <c r="BJ452" s="1125">
        <f t="shared" si="561"/>
        <v>0</v>
      </c>
      <c r="BK452" s="1125">
        <f t="shared" si="562"/>
        <v>1</v>
      </c>
      <c r="BL452" s="1125">
        <f t="shared" si="563"/>
        <v>1</v>
      </c>
      <c r="BM452" s="1125">
        <f t="shared" si="564"/>
        <v>1</v>
      </c>
      <c r="BN452" s="1125">
        <f t="shared" si="565"/>
        <v>1</v>
      </c>
      <c r="BO452" s="1125">
        <f t="shared" si="566"/>
        <v>1</v>
      </c>
      <c r="BP452" s="1125">
        <f t="shared" si="567"/>
        <v>1</v>
      </c>
      <c r="BQ452" s="1125">
        <f t="shared" si="568"/>
        <v>0</v>
      </c>
      <c r="BR452" s="1125">
        <f t="shared" si="569"/>
        <v>0</v>
      </c>
      <c r="BS452" s="1125">
        <f t="shared" si="570"/>
        <v>0</v>
      </c>
      <c r="BT452" s="1125">
        <f t="shared" si="571"/>
        <v>1</v>
      </c>
      <c r="BU452" s="1125">
        <f t="shared" si="572"/>
        <v>1</v>
      </c>
      <c r="BV452" s="1125">
        <f t="shared" si="573"/>
        <v>1</v>
      </c>
      <c r="BW452" s="1125">
        <f t="shared" si="574"/>
        <v>0</v>
      </c>
      <c r="BX452" s="1125">
        <f t="shared" si="575"/>
        <v>0</v>
      </c>
      <c r="BY452" s="1125">
        <f t="shared" si="576"/>
        <v>0</v>
      </c>
      <c r="BZ452" s="1125">
        <f t="shared" si="577"/>
        <v>0</v>
      </c>
      <c r="CA452" s="1125">
        <f t="shared" si="578"/>
        <v>1</v>
      </c>
      <c r="CB452" s="1125">
        <f t="shared" si="579"/>
        <v>1</v>
      </c>
      <c r="CC452" s="1125">
        <f t="shared" si="580"/>
        <v>1</v>
      </c>
      <c r="CD452" s="1125">
        <f t="shared" si="581"/>
        <v>1</v>
      </c>
      <c r="CE452" s="1125">
        <f t="shared" si="582"/>
        <v>1</v>
      </c>
      <c r="CF452" s="1125">
        <f t="shared" si="583"/>
        <v>1</v>
      </c>
      <c r="CG452" s="1125">
        <f t="shared" si="584"/>
        <v>0</v>
      </c>
      <c r="CH452" s="1125">
        <f t="shared" si="585"/>
        <v>0</v>
      </c>
      <c r="CI452" s="1125">
        <f t="shared" si="586"/>
        <v>0.85</v>
      </c>
      <c r="CJ452" s="1125">
        <f t="shared" si="587"/>
        <v>0.85</v>
      </c>
      <c r="CK452" s="1125">
        <f t="shared" si="588"/>
        <v>0.85</v>
      </c>
      <c r="CL452" s="1125">
        <f t="shared" si="589"/>
        <v>0.85</v>
      </c>
      <c r="CM452" s="1125">
        <f t="shared" si="590"/>
        <v>0.85</v>
      </c>
      <c r="CN452" s="1125">
        <f t="shared" si="591"/>
        <v>0.85</v>
      </c>
      <c r="CO452" s="1125">
        <f t="shared" si="592"/>
        <v>0.7</v>
      </c>
      <c r="CP452" s="1125">
        <f t="shared" si="593"/>
        <v>0.7</v>
      </c>
      <c r="CQ452" s="1125">
        <f t="shared" si="594"/>
        <v>0.7</v>
      </c>
      <c r="CR452" s="1125">
        <f t="shared" si="595"/>
        <v>0.85</v>
      </c>
      <c r="CS452" s="1125">
        <f t="shared" si="596"/>
        <v>0.85</v>
      </c>
      <c r="CT452" s="1125">
        <f t="shared" si="597"/>
        <v>0.85</v>
      </c>
      <c r="CU452" s="1125">
        <v>1</v>
      </c>
      <c r="CV452" s="1125"/>
      <c r="CW452" s="1125">
        <f t="shared" si="598"/>
        <v>184</v>
      </c>
      <c r="CX452" s="1125">
        <f t="shared" si="599"/>
        <v>181</v>
      </c>
      <c r="CY452" s="1136" t="s">
        <v>4881</v>
      </c>
      <c r="CZ452" s="1129" t="s">
        <v>4885</v>
      </c>
      <c r="DA452" s="1129"/>
      <c r="DB452" s="1129"/>
      <c r="DC452" s="1125" t="s">
        <v>5350</v>
      </c>
      <c r="DD452" s="1125" t="s">
        <v>1248</v>
      </c>
      <c r="DE452" s="1120" t="str">
        <f t="shared" si="525"/>
        <v/>
      </c>
      <c r="DF452" s="1133">
        <v>1</v>
      </c>
      <c r="DG452" s="1120">
        <v>0</v>
      </c>
    </row>
    <row r="453" spans="1:111">
      <c r="A453" s="1125" t="s">
        <v>3673</v>
      </c>
      <c r="B453" s="1120" t="s">
        <v>4270</v>
      </c>
      <c r="C453" s="1120" t="s">
        <v>4271</v>
      </c>
      <c r="D453" s="1120" t="s">
        <v>539</v>
      </c>
      <c r="E453" s="1120">
        <v>2280</v>
      </c>
      <c r="F453" s="1120">
        <v>-78.83</v>
      </c>
      <c r="G453" s="1120">
        <v>40.32</v>
      </c>
      <c r="H453" s="1120">
        <v>-5</v>
      </c>
      <c r="I453" s="1121">
        <v>7.1599996566772459</v>
      </c>
      <c r="J453" s="1121">
        <v>82.219999313354492</v>
      </c>
      <c r="K453" s="1122">
        <v>68.539998626708979</v>
      </c>
      <c r="L453" s="1120">
        <v>6447.6</v>
      </c>
      <c r="M453" s="1120">
        <v>482.40000000000003</v>
      </c>
      <c r="N453" s="1123">
        <v>24.8</v>
      </c>
      <c r="O453" s="1123">
        <v>28.039999914169311</v>
      </c>
      <c r="P453" s="1123">
        <v>41</v>
      </c>
      <c r="Q453" s="1123">
        <v>50.359999656677246</v>
      </c>
      <c r="R453" s="1123">
        <v>56.659999656677243</v>
      </c>
      <c r="S453" s="1123">
        <v>62.6</v>
      </c>
      <c r="T453" s="1123">
        <v>70.880000686645502</v>
      </c>
      <c r="U453" s="1123">
        <v>69.080000686645505</v>
      </c>
      <c r="V453" s="1123">
        <v>60.080000686645505</v>
      </c>
      <c r="W453" s="1123">
        <v>50.359999656677246</v>
      </c>
      <c r="X453" s="1123">
        <v>42.079999828338622</v>
      </c>
      <c r="Y453" s="1123">
        <v>19.579999828338622</v>
      </c>
      <c r="Z453" s="1123">
        <v>48.059945256742715</v>
      </c>
      <c r="AA453" s="1123">
        <f t="shared" si="526"/>
        <v>44.323040241675741</v>
      </c>
      <c r="AB453" s="1123">
        <f t="shared" si="527"/>
        <v>42.760047900028454</v>
      </c>
      <c r="AC453" s="1123">
        <f t="shared" si="528"/>
        <v>44.142547941098073</v>
      </c>
      <c r="AD453" s="1123">
        <f t="shared" si="529"/>
        <v>48.110170424209279</v>
      </c>
      <c r="AE453" s="1123">
        <f t="shared" si="530"/>
        <v>53.628693406225892</v>
      </c>
      <c r="AF453" s="1123">
        <f t="shared" si="531"/>
        <v>59.259628828871897</v>
      </c>
      <c r="AG453" s="1123">
        <f t="shared" si="532"/>
        <v>63.535186598893091</v>
      </c>
      <c r="AH453" s="1123">
        <f t="shared" si="533"/>
        <v>65.340876695193771</v>
      </c>
      <c r="AI453" s="1123">
        <f t="shared" si="534"/>
        <v>64.206018167646505</v>
      </c>
      <c r="AJ453" s="1123">
        <f t="shared" si="535"/>
        <v>60.426429380155753</v>
      </c>
      <c r="AK453" s="1123">
        <f t="shared" si="536"/>
        <v>54.987318395407272</v>
      </c>
      <c r="AL453" s="1123">
        <f t="shared" si="537"/>
        <v>49.306473310813217</v>
      </c>
      <c r="AM453" s="1120">
        <f t="shared" si="538"/>
        <v>1</v>
      </c>
      <c r="AN453" s="1120">
        <f t="shared" si="539"/>
        <v>1</v>
      </c>
      <c r="AO453" s="1120">
        <f t="shared" si="540"/>
        <v>1</v>
      </c>
      <c r="AP453" s="1120">
        <f t="shared" si="541"/>
        <v>1</v>
      </c>
      <c r="AQ453" s="1120">
        <f t="shared" si="542"/>
        <v>1</v>
      </c>
      <c r="AR453" s="1120">
        <f t="shared" si="543"/>
        <v>1</v>
      </c>
      <c r="AS453" s="1120">
        <f t="shared" si="544"/>
        <v>0</v>
      </c>
      <c r="AT453" s="1120">
        <f t="shared" si="545"/>
        <v>0</v>
      </c>
      <c r="AU453" s="1120">
        <f t="shared" si="546"/>
        <v>1</v>
      </c>
      <c r="AV453" s="1120">
        <f t="shared" si="547"/>
        <v>1</v>
      </c>
      <c r="AW453" s="1120">
        <f t="shared" si="548"/>
        <v>1</v>
      </c>
      <c r="AX453" s="1120">
        <f t="shared" si="549"/>
        <v>1</v>
      </c>
      <c r="AY453" s="1120">
        <f t="shared" si="550"/>
        <v>0</v>
      </c>
      <c r="AZ453" s="1120">
        <f t="shared" si="551"/>
        <v>0</v>
      </c>
      <c r="BA453" s="1120">
        <f t="shared" si="552"/>
        <v>0</v>
      </c>
      <c r="BB453" s="1120">
        <f t="shared" si="553"/>
        <v>0</v>
      </c>
      <c r="BC453" s="1120">
        <f t="shared" si="554"/>
        <v>0</v>
      </c>
      <c r="BD453" s="1120">
        <f t="shared" si="555"/>
        <v>0</v>
      </c>
      <c r="BE453" s="1120">
        <f t="shared" si="556"/>
        <v>1</v>
      </c>
      <c r="BF453" s="1120">
        <f t="shared" si="557"/>
        <v>1</v>
      </c>
      <c r="BG453" s="1120">
        <f t="shared" si="558"/>
        <v>0</v>
      </c>
      <c r="BH453" s="1120">
        <f t="shared" si="559"/>
        <v>0</v>
      </c>
      <c r="BI453" s="1120">
        <f t="shared" si="560"/>
        <v>0</v>
      </c>
      <c r="BJ453" s="1120">
        <f t="shared" si="561"/>
        <v>0</v>
      </c>
      <c r="BK453" s="1120">
        <f t="shared" si="562"/>
        <v>1</v>
      </c>
      <c r="BL453" s="1120">
        <f t="shared" si="563"/>
        <v>1</v>
      </c>
      <c r="BM453" s="1120">
        <f t="shared" si="564"/>
        <v>1</v>
      </c>
      <c r="BN453" s="1120">
        <f t="shared" si="565"/>
        <v>1</v>
      </c>
      <c r="BO453" s="1120">
        <f t="shared" si="566"/>
        <v>1</v>
      </c>
      <c r="BP453" s="1120">
        <f t="shared" si="567"/>
        <v>1</v>
      </c>
      <c r="BQ453" s="1120">
        <f t="shared" si="568"/>
        <v>1</v>
      </c>
      <c r="BR453" s="1120">
        <f t="shared" si="569"/>
        <v>0</v>
      </c>
      <c r="BS453" s="1120">
        <f t="shared" si="570"/>
        <v>1</v>
      </c>
      <c r="BT453" s="1120">
        <f t="shared" si="571"/>
        <v>1</v>
      </c>
      <c r="BU453" s="1120">
        <f t="shared" si="572"/>
        <v>1</v>
      </c>
      <c r="BV453" s="1120">
        <f t="shared" si="573"/>
        <v>1</v>
      </c>
      <c r="BW453" s="1120">
        <f t="shared" si="574"/>
        <v>0</v>
      </c>
      <c r="BX453" s="1120">
        <f t="shared" si="575"/>
        <v>0</v>
      </c>
      <c r="BY453" s="1120">
        <f t="shared" si="576"/>
        <v>0</v>
      </c>
      <c r="BZ453" s="1120">
        <f t="shared" si="577"/>
        <v>0</v>
      </c>
      <c r="CA453" s="1120">
        <f t="shared" si="578"/>
        <v>0</v>
      </c>
      <c r="CB453" s="1120">
        <f t="shared" si="579"/>
        <v>1</v>
      </c>
      <c r="CC453" s="1120">
        <f t="shared" si="580"/>
        <v>1</v>
      </c>
      <c r="CD453" s="1120">
        <f t="shared" si="581"/>
        <v>1</v>
      </c>
      <c r="CE453" s="1120">
        <f t="shared" si="582"/>
        <v>1</v>
      </c>
      <c r="CF453" s="1120">
        <f t="shared" si="583"/>
        <v>0</v>
      </c>
      <c r="CG453" s="1120">
        <f t="shared" si="584"/>
        <v>0</v>
      </c>
      <c r="CH453" s="1120">
        <f t="shared" si="585"/>
        <v>0</v>
      </c>
      <c r="CI453" s="1120">
        <f t="shared" si="586"/>
        <v>0.85</v>
      </c>
      <c r="CJ453" s="1120">
        <f t="shared" si="587"/>
        <v>0.85</v>
      </c>
      <c r="CK453" s="1120">
        <f t="shared" si="588"/>
        <v>0.85</v>
      </c>
      <c r="CL453" s="1120">
        <f t="shared" si="589"/>
        <v>0.85</v>
      </c>
      <c r="CM453" s="1120">
        <f t="shared" si="590"/>
        <v>0.85</v>
      </c>
      <c r="CN453" s="1120">
        <f t="shared" si="591"/>
        <v>0.85</v>
      </c>
      <c r="CO453" s="1120">
        <f t="shared" si="592"/>
        <v>0.85</v>
      </c>
      <c r="CP453" s="1120">
        <f t="shared" si="593"/>
        <v>0.7</v>
      </c>
      <c r="CQ453" s="1120">
        <f t="shared" si="594"/>
        <v>0.85</v>
      </c>
      <c r="CR453" s="1120">
        <f t="shared" si="595"/>
        <v>0.85</v>
      </c>
      <c r="CS453" s="1120">
        <f t="shared" si="596"/>
        <v>0.85</v>
      </c>
      <c r="CT453" s="1120">
        <f t="shared" si="597"/>
        <v>0.85</v>
      </c>
      <c r="CU453" s="1120">
        <v>1</v>
      </c>
      <c r="CV453" s="1120"/>
      <c r="CW453" s="1120">
        <f t="shared" si="598"/>
        <v>122</v>
      </c>
      <c r="CX453" s="1120">
        <f t="shared" si="599"/>
        <v>243</v>
      </c>
      <c r="CY453" s="1135" t="s">
        <v>4889</v>
      </c>
      <c r="CZ453" s="1124" t="s">
        <v>4897</v>
      </c>
      <c r="DA453" s="1124"/>
      <c r="DB453" s="1124"/>
      <c r="DC453" s="1120" t="s">
        <v>5536</v>
      </c>
      <c r="DD453" s="1120" t="s">
        <v>539</v>
      </c>
      <c r="DE453" s="1120" t="str">
        <f t="shared" si="525"/>
        <v/>
      </c>
      <c r="DF453" s="1133">
        <v>1</v>
      </c>
      <c r="DG453" s="1125">
        <v>0</v>
      </c>
    </row>
    <row r="454" spans="1:111">
      <c r="A454" s="1120" t="s">
        <v>3675</v>
      </c>
      <c r="B454" s="1125" t="s">
        <v>3034</v>
      </c>
      <c r="C454" s="1125" t="s">
        <v>3035</v>
      </c>
      <c r="D454" s="1125" t="s">
        <v>1176</v>
      </c>
      <c r="E454" s="1125">
        <v>269</v>
      </c>
      <c r="F454" s="1125">
        <v>-90.65</v>
      </c>
      <c r="G454" s="1125">
        <v>35.83</v>
      </c>
      <c r="H454" s="1125">
        <v>-6</v>
      </c>
      <c r="I454" s="1126">
        <v>18.5</v>
      </c>
      <c r="J454" s="1126">
        <v>93.560001373291016</v>
      </c>
      <c r="K454" s="1127">
        <v>76.099999999999994</v>
      </c>
      <c r="L454" s="1125">
        <v>4078.8</v>
      </c>
      <c r="M454" s="1125">
        <v>2003.4</v>
      </c>
      <c r="N454" s="1128">
        <v>33.440000021457671</v>
      </c>
      <c r="O454" s="1128">
        <v>37.579999828338622</v>
      </c>
      <c r="P454" s="1128">
        <v>48.919999313354495</v>
      </c>
      <c r="Q454" s="1128">
        <v>63.139998626708987</v>
      </c>
      <c r="R454" s="1128">
        <v>67.099999999999994</v>
      </c>
      <c r="S454" s="1128">
        <v>77</v>
      </c>
      <c r="T454" s="1128">
        <v>79.880000686645502</v>
      </c>
      <c r="U454" s="1128">
        <v>77.180000686645513</v>
      </c>
      <c r="V454" s="1128">
        <v>77.360001373291013</v>
      </c>
      <c r="W454" s="1128">
        <v>60.080000686645505</v>
      </c>
      <c r="X454" s="1128">
        <v>52.7</v>
      </c>
      <c r="Y454" s="1128">
        <v>29.119999957084655</v>
      </c>
      <c r="Z454" s="1128">
        <v>58.700164485206344</v>
      </c>
      <c r="AA454" s="1128">
        <f t="shared" si="526"/>
        <v>51.655800399108003</v>
      </c>
      <c r="AB454" s="1128">
        <f t="shared" si="527"/>
        <v>51.010240762235583</v>
      </c>
      <c r="AC454" s="1128">
        <f t="shared" si="528"/>
        <v>53.933170711866005</v>
      </c>
      <c r="AD454" s="1128">
        <f t="shared" si="529"/>
        <v>59.662683512914128</v>
      </c>
      <c r="AE454" s="1128">
        <f t="shared" si="530"/>
        <v>66.705293359321843</v>
      </c>
      <c r="AF454" s="1128">
        <f t="shared" si="531"/>
        <v>73.225235464720058</v>
      </c>
      <c r="AG454" s="1128">
        <f t="shared" si="532"/>
        <v>77.522986443987534</v>
      </c>
      <c r="AH454" s="1128">
        <f t="shared" si="533"/>
        <v>78.478271274030845</v>
      </c>
      <c r="AI454" s="1128">
        <f t="shared" si="534"/>
        <v>75.842080242514328</v>
      </c>
      <c r="AJ454" s="1128">
        <f t="shared" si="535"/>
        <v>70.301577166736308</v>
      </c>
      <c r="AK454" s="1128">
        <f t="shared" si="536"/>
        <v>63.300979555135171</v>
      </c>
      <c r="AL454" s="1128">
        <f t="shared" si="537"/>
        <v>56.665101057649537</v>
      </c>
      <c r="AM454" s="1125">
        <f t="shared" si="538"/>
        <v>1</v>
      </c>
      <c r="AN454" s="1125">
        <f t="shared" si="539"/>
        <v>1</v>
      </c>
      <c r="AO454" s="1125">
        <f t="shared" si="540"/>
        <v>1</v>
      </c>
      <c r="AP454" s="1125">
        <f t="shared" si="541"/>
        <v>1</v>
      </c>
      <c r="AQ454" s="1125">
        <f t="shared" si="542"/>
        <v>0</v>
      </c>
      <c r="AR454" s="1125">
        <f t="shared" si="543"/>
        <v>0</v>
      </c>
      <c r="AS454" s="1125">
        <f t="shared" si="544"/>
        <v>0</v>
      </c>
      <c r="AT454" s="1125">
        <f t="shared" si="545"/>
        <v>0</v>
      </c>
      <c r="AU454" s="1125">
        <f t="shared" si="546"/>
        <v>0</v>
      </c>
      <c r="AV454" s="1125">
        <f t="shared" si="547"/>
        <v>1</v>
      </c>
      <c r="AW454" s="1125">
        <f t="shared" si="548"/>
        <v>1</v>
      </c>
      <c r="AX454" s="1125">
        <f t="shared" si="549"/>
        <v>1</v>
      </c>
      <c r="AY454" s="1125">
        <f t="shared" si="550"/>
        <v>0</v>
      </c>
      <c r="AZ454" s="1125">
        <f t="shared" si="551"/>
        <v>0</v>
      </c>
      <c r="BA454" s="1125">
        <f t="shared" si="552"/>
        <v>0</v>
      </c>
      <c r="BB454" s="1125">
        <f t="shared" si="553"/>
        <v>0</v>
      </c>
      <c r="BC454" s="1125">
        <f t="shared" si="554"/>
        <v>1</v>
      </c>
      <c r="BD454" s="1125">
        <f t="shared" si="555"/>
        <v>1</v>
      </c>
      <c r="BE454" s="1125">
        <f t="shared" si="556"/>
        <v>1</v>
      </c>
      <c r="BF454" s="1125">
        <f t="shared" si="557"/>
        <v>1</v>
      </c>
      <c r="BG454" s="1125">
        <f t="shared" si="558"/>
        <v>1</v>
      </c>
      <c r="BH454" s="1125">
        <f t="shared" si="559"/>
        <v>0</v>
      </c>
      <c r="BI454" s="1125">
        <f t="shared" si="560"/>
        <v>0</v>
      </c>
      <c r="BJ454" s="1125">
        <f t="shared" si="561"/>
        <v>0</v>
      </c>
      <c r="BK454" s="1125">
        <f t="shared" si="562"/>
        <v>1</v>
      </c>
      <c r="BL454" s="1125">
        <f t="shared" si="563"/>
        <v>1</v>
      </c>
      <c r="BM454" s="1125">
        <f t="shared" si="564"/>
        <v>1</v>
      </c>
      <c r="BN454" s="1125">
        <f t="shared" si="565"/>
        <v>1</v>
      </c>
      <c r="BO454" s="1125">
        <f t="shared" si="566"/>
        <v>1</v>
      </c>
      <c r="BP454" s="1125">
        <f t="shared" si="567"/>
        <v>0</v>
      </c>
      <c r="BQ454" s="1125">
        <f t="shared" si="568"/>
        <v>0</v>
      </c>
      <c r="BR454" s="1125">
        <f t="shared" si="569"/>
        <v>0</v>
      </c>
      <c r="BS454" s="1125">
        <f t="shared" si="570"/>
        <v>0</v>
      </c>
      <c r="BT454" s="1125">
        <f t="shared" si="571"/>
        <v>1</v>
      </c>
      <c r="BU454" s="1125">
        <f t="shared" si="572"/>
        <v>1</v>
      </c>
      <c r="BV454" s="1125">
        <f t="shared" si="573"/>
        <v>1</v>
      </c>
      <c r="BW454" s="1125">
        <f t="shared" si="574"/>
        <v>0</v>
      </c>
      <c r="BX454" s="1125">
        <f t="shared" si="575"/>
        <v>0</v>
      </c>
      <c r="BY454" s="1125">
        <f t="shared" si="576"/>
        <v>0</v>
      </c>
      <c r="BZ454" s="1125">
        <f t="shared" si="577"/>
        <v>1</v>
      </c>
      <c r="CA454" s="1125">
        <f t="shared" si="578"/>
        <v>1</v>
      </c>
      <c r="CB454" s="1125">
        <f t="shared" si="579"/>
        <v>1</v>
      </c>
      <c r="CC454" s="1125">
        <f t="shared" si="580"/>
        <v>1</v>
      </c>
      <c r="CD454" s="1125">
        <f t="shared" si="581"/>
        <v>1</v>
      </c>
      <c r="CE454" s="1125">
        <f t="shared" si="582"/>
        <v>1</v>
      </c>
      <c r="CF454" s="1125">
        <f t="shared" si="583"/>
        <v>1</v>
      </c>
      <c r="CG454" s="1125">
        <f t="shared" si="584"/>
        <v>0</v>
      </c>
      <c r="CH454" s="1125">
        <f t="shared" si="585"/>
        <v>0</v>
      </c>
      <c r="CI454" s="1125">
        <f t="shared" si="586"/>
        <v>0.85</v>
      </c>
      <c r="CJ454" s="1125">
        <f t="shared" si="587"/>
        <v>0.85</v>
      </c>
      <c r="CK454" s="1125">
        <f t="shared" si="588"/>
        <v>0.85</v>
      </c>
      <c r="CL454" s="1125">
        <f t="shared" si="589"/>
        <v>0.85</v>
      </c>
      <c r="CM454" s="1125">
        <f t="shared" si="590"/>
        <v>0.85</v>
      </c>
      <c r="CN454" s="1125">
        <f t="shared" si="591"/>
        <v>0.7</v>
      </c>
      <c r="CO454" s="1125">
        <f t="shared" si="592"/>
        <v>0.7</v>
      </c>
      <c r="CP454" s="1125">
        <f t="shared" si="593"/>
        <v>0.7</v>
      </c>
      <c r="CQ454" s="1125">
        <f t="shared" si="594"/>
        <v>0.7</v>
      </c>
      <c r="CR454" s="1125">
        <f t="shared" si="595"/>
        <v>0.85</v>
      </c>
      <c r="CS454" s="1125">
        <f t="shared" si="596"/>
        <v>0.85</v>
      </c>
      <c r="CT454" s="1125">
        <f t="shared" si="597"/>
        <v>0.85</v>
      </c>
      <c r="CU454" s="1125">
        <v>1</v>
      </c>
      <c r="CV454" s="1125"/>
      <c r="CW454" s="1125">
        <f t="shared" si="598"/>
        <v>214</v>
      </c>
      <c r="CX454" s="1125">
        <f t="shared" si="599"/>
        <v>151</v>
      </c>
      <c r="CY454" s="1136" t="s">
        <v>4881</v>
      </c>
      <c r="CZ454" s="1129" t="s">
        <v>4882</v>
      </c>
      <c r="DA454" s="1129"/>
      <c r="DB454" s="1129"/>
      <c r="DC454" s="1125" t="s">
        <v>4988</v>
      </c>
      <c r="DD454" s="1125" t="s">
        <v>1176</v>
      </c>
      <c r="DE454" s="1125" t="str">
        <f t="shared" si="525"/>
        <v/>
      </c>
      <c r="DF454" s="1125">
        <v>0</v>
      </c>
      <c r="DG454" s="1120">
        <v>0</v>
      </c>
    </row>
    <row r="455" spans="1:111">
      <c r="A455" s="1125" t="s">
        <v>3677</v>
      </c>
      <c r="B455" s="1120" t="s">
        <v>3848</v>
      </c>
      <c r="C455" s="1120" t="s">
        <v>3849</v>
      </c>
      <c r="D455" s="1120" t="s">
        <v>1248</v>
      </c>
      <c r="E455" s="1120">
        <v>974</v>
      </c>
      <c r="F455" s="1120">
        <v>-94.5</v>
      </c>
      <c r="G455" s="1120">
        <v>37.15</v>
      </c>
      <c r="H455" s="1120">
        <v>-6</v>
      </c>
      <c r="I455" s="1121">
        <v>12.380000686645507</v>
      </c>
      <c r="J455" s="1121">
        <v>93.920002746582028</v>
      </c>
      <c r="K455" s="1122">
        <v>75.560001373291016</v>
      </c>
      <c r="L455" s="1120">
        <v>3571.2000000000003</v>
      </c>
      <c r="M455" s="1120">
        <v>2021.4</v>
      </c>
      <c r="N455" s="1123">
        <v>32.360000005364419</v>
      </c>
      <c r="O455" s="1123">
        <v>38.47999982833862</v>
      </c>
      <c r="P455" s="1123">
        <v>51.980000686645511</v>
      </c>
      <c r="Q455" s="1123">
        <v>59</v>
      </c>
      <c r="R455" s="1123">
        <v>69.080000686645505</v>
      </c>
      <c r="S455" s="1123">
        <v>74.66000137329101</v>
      </c>
      <c r="T455" s="1123">
        <v>79.33999862670899</v>
      </c>
      <c r="U455" s="1123">
        <v>84.2</v>
      </c>
      <c r="V455" s="1123">
        <v>76.460001373291021</v>
      </c>
      <c r="W455" s="1123">
        <v>59.540000343322752</v>
      </c>
      <c r="X455" s="1123">
        <v>54.140000343322754</v>
      </c>
      <c r="Y455" s="1123">
        <v>41.179999828338623</v>
      </c>
      <c r="Z455" s="1123">
        <v>60.146082447612123</v>
      </c>
      <c r="AA455" s="1123">
        <f t="shared" si="526"/>
        <v>52.352334617570314</v>
      </c>
      <c r="AB455" s="1123">
        <f t="shared" si="527"/>
        <v>51.859916034958196</v>
      </c>
      <c r="AC455" s="1123">
        <f t="shared" si="528"/>
        <v>55.091406884292823</v>
      </c>
      <c r="AD455" s="1123">
        <f t="shared" si="529"/>
        <v>61.204469276913734</v>
      </c>
      <c r="AE455" s="1123">
        <f t="shared" si="530"/>
        <v>68.605639295041257</v>
      </c>
      <c r="AF455" s="1123">
        <f t="shared" si="531"/>
        <v>75.365687917968046</v>
      </c>
      <c r="AG455" s="1123">
        <f t="shared" si="532"/>
        <v>79.722504296625587</v>
      </c>
      <c r="AH455" s="1123">
        <f t="shared" si="533"/>
        <v>80.540417101344062</v>
      </c>
      <c r="AI455" s="1123">
        <f t="shared" si="534"/>
        <v>77.606224755155765</v>
      </c>
      <c r="AJ455" s="1123">
        <f t="shared" si="535"/>
        <v>71.684769710367419</v>
      </c>
      <c r="AK455" s="1123">
        <f t="shared" si="536"/>
        <v>64.319570476787561</v>
      </c>
      <c r="AL455" s="1123">
        <f t="shared" si="537"/>
        <v>57.430479735804596</v>
      </c>
      <c r="AM455" s="1120">
        <f t="shared" si="538"/>
        <v>1</v>
      </c>
      <c r="AN455" s="1120">
        <f t="shared" si="539"/>
        <v>1</v>
      </c>
      <c r="AO455" s="1120">
        <f t="shared" si="540"/>
        <v>1</v>
      </c>
      <c r="AP455" s="1120">
        <f t="shared" si="541"/>
        <v>1</v>
      </c>
      <c r="AQ455" s="1120">
        <f t="shared" si="542"/>
        <v>0</v>
      </c>
      <c r="AR455" s="1120">
        <f t="shared" si="543"/>
        <v>0</v>
      </c>
      <c r="AS455" s="1120">
        <f t="shared" si="544"/>
        <v>0</v>
      </c>
      <c r="AT455" s="1120">
        <f t="shared" si="545"/>
        <v>0</v>
      </c>
      <c r="AU455" s="1120">
        <f t="shared" si="546"/>
        <v>0</v>
      </c>
      <c r="AV455" s="1120">
        <f t="shared" si="547"/>
        <v>1</v>
      </c>
      <c r="AW455" s="1120">
        <f t="shared" si="548"/>
        <v>1</v>
      </c>
      <c r="AX455" s="1120">
        <f t="shared" si="549"/>
        <v>1</v>
      </c>
      <c r="AY455" s="1120">
        <f t="shared" si="550"/>
        <v>0</v>
      </c>
      <c r="AZ455" s="1120">
        <f t="shared" si="551"/>
        <v>0</v>
      </c>
      <c r="BA455" s="1120">
        <f t="shared" si="552"/>
        <v>0</v>
      </c>
      <c r="BB455" s="1120">
        <f t="shared" si="553"/>
        <v>0</v>
      </c>
      <c r="BC455" s="1120">
        <f t="shared" si="554"/>
        <v>1</v>
      </c>
      <c r="BD455" s="1120">
        <f t="shared" si="555"/>
        <v>1</v>
      </c>
      <c r="BE455" s="1120">
        <f t="shared" si="556"/>
        <v>1</v>
      </c>
      <c r="BF455" s="1120">
        <f t="shared" si="557"/>
        <v>1</v>
      </c>
      <c r="BG455" s="1120">
        <f t="shared" si="558"/>
        <v>1</v>
      </c>
      <c r="BH455" s="1120">
        <f t="shared" si="559"/>
        <v>0</v>
      </c>
      <c r="BI455" s="1120">
        <f t="shared" si="560"/>
        <v>0</v>
      </c>
      <c r="BJ455" s="1120">
        <f t="shared" si="561"/>
        <v>0</v>
      </c>
      <c r="BK455" s="1120">
        <f t="shared" si="562"/>
        <v>1</v>
      </c>
      <c r="BL455" s="1120">
        <f t="shared" si="563"/>
        <v>1</v>
      </c>
      <c r="BM455" s="1120">
        <f t="shared" si="564"/>
        <v>1</v>
      </c>
      <c r="BN455" s="1120">
        <f t="shared" si="565"/>
        <v>1</v>
      </c>
      <c r="BO455" s="1120">
        <f t="shared" si="566"/>
        <v>1</v>
      </c>
      <c r="BP455" s="1120">
        <f t="shared" si="567"/>
        <v>0</v>
      </c>
      <c r="BQ455" s="1120">
        <f t="shared" si="568"/>
        <v>0</v>
      </c>
      <c r="BR455" s="1120">
        <f t="shared" si="569"/>
        <v>0</v>
      </c>
      <c r="BS455" s="1120">
        <f t="shared" si="570"/>
        <v>0</v>
      </c>
      <c r="BT455" s="1120">
        <f t="shared" si="571"/>
        <v>1</v>
      </c>
      <c r="BU455" s="1120">
        <f t="shared" si="572"/>
        <v>1</v>
      </c>
      <c r="BV455" s="1120">
        <f t="shared" si="573"/>
        <v>1</v>
      </c>
      <c r="BW455" s="1120">
        <f t="shared" si="574"/>
        <v>0</v>
      </c>
      <c r="BX455" s="1120">
        <f t="shared" si="575"/>
        <v>0</v>
      </c>
      <c r="BY455" s="1120">
        <f t="shared" si="576"/>
        <v>0</v>
      </c>
      <c r="BZ455" s="1120">
        <f t="shared" si="577"/>
        <v>1</v>
      </c>
      <c r="CA455" s="1120">
        <f t="shared" si="578"/>
        <v>1</v>
      </c>
      <c r="CB455" s="1120">
        <f t="shared" si="579"/>
        <v>1</v>
      </c>
      <c r="CC455" s="1120">
        <f t="shared" si="580"/>
        <v>1</v>
      </c>
      <c r="CD455" s="1120">
        <f t="shared" si="581"/>
        <v>1</v>
      </c>
      <c r="CE455" s="1120">
        <f t="shared" si="582"/>
        <v>1</v>
      </c>
      <c r="CF455" s="1120">
        <f t="shared" si="583"/>
        <v>1</v>
      </c>
      <c r="CG455" s="1120">
        <f t="shared" si="584"/>
        <v>0</v>
      </c>
      <c r="CH455" s="1120">
        <f t="shared" si="585"/>
        <v>0</v>
      </c>
      <c r="CI455" s="1120">
        <f t="shared" si="586"/>
        <v>0.85</v>
      </c>
      <c r="CJ455" s="1120">
        <f t="shared" si="587"/>
        <v>0.85</v>
      </c>
      <c r="CK455" s="1120">
        <f t="shared" si="588"/>
        <v>0.85</v>
      </c>
      <c r="CL455" s="1120">
        <f t="shared" si="589"/>
        <v>0.85</v>
      </c>
      <c r="CM455" s="1120">
        <f t="shared" si="590"/>
        <v>0.85</v>
      </c>
      <c r="CN455" s="1120">
        <f t="shared" si="591"/>
        <v>0.7</v>
      </c>
      <c r="CO455" s="1120">
        <f t="shared" si="592"/>
        <v>0.7</v>
      </c>
      <c r="CP455" s="1120">
        <f t="shared" si="593"/>
        <v>0.7</v>
      </c>
      <c r="CQ455" s="1120">
        <f t="shared" si="594"/>
        <v>0.7</v>
      </c>
      <c r="CR455" s="1120">
        <f t="shared" si="595"/>
        <v>0.85</v>
      </c>
      <c r="CS455" s="1120">
        <f t="shared" si="596"/>
        <v>0.85</v>
      </c>
      <c r="CT455" s="1120">
        <f t="shared" si="597"/>
        <v>0.85</v>
      </c>
      <c r="CU455" s="1120">
        <v>1</v>
      </c>
      <c r="CV455" s="1120"/>
      <c r="CW455" s="1120">
        <f t="shared" si="598"/>
        <v>214</v>
      </c>
      <c r="CX455" s="1120">
        <f t="shared" si="599"/>
        <v>151</v>
      </c>
      <c r="CY455" s="1135" t="s">
        <v>4881</v>
      </c>
      <c r="CZ455" s="1124" t="s">
        <v>4885</v>
      </c>
      <c r="DA455" s="1124"/>
      <c r="DB455" s="1124"/>
      <c r="DC455" s="1120" t="s">
        <v>5351</v>
      </c>
      <c r="DD455" s="1120" t="s">
        <v>1248</v>
      </c>
      <c r="DE455" s="1120" t="str">
        <f t="shared" si="525"/>
        <v/>
      </c>
      <c r="DF455" s="1133">
        <v>0</v>
      </c>
      <c r="DG455" s="1125">
        <v>0</v>
      </c>
    </row>
    <row r="456" spans="1:111">
      <c r="A456" s="1120" t="s">
        <v>3679</v>
      </c>
      <c r="B456" s="1125" t="s">
        <v>3495</v>
      </c>
      <c r="C456" s="1125" t="s">
        <v>3496</v>
      </c>
      <c r="D456" s="1125" t="s">
        <v>249</v>
      </c>
      <c r="E456" s="1125">
        <v>3936</v>
      </c>
      <c r="F456" s="1125">
        <v>-114.35</v>
      </c>
      <c r="G456" s="1125">
        <v>42.55</v>
      </c>
      <c r="H456" s="1125">
        <v>-7</v>
      </c>
      <c r="I456" s="1126">
        <v>12.380000686645507</v>
      </c>
      <c r="J456" s="1126">
        <v>91.039998626708993</v>
      </c>
      <c r="K456" s="1127">
        <v>63.139998626708987</v>
      </c>
      <c r="L456" s="1125">
        <v>6076.8</v>
      </c>
      <c r="M456" s="1125">
        <v>815.4</v>
      </c>
      <c r="N456" s="1128">
        <v>32.180000002682206</v>
      </c>
      <c r="O456" s="1128">
        <v>31.279999989271165</v>
      </c>
      <c r="P456" s="1128">
        <v>42.620000171661374</v>
      </c>
      <c r="Q456" s="1128">
        <v>48.919999313354495</v>
      </c>
      <c r="R456" s="1128">
        <v>55.759999656677245</v>
      </c>
      <c r="S456" s="1128">
        <v>65.83999862670899</v>
      </c>
      <c r="T456" s="1128">
        <v>74.83999862670899</v>
      </c>
      <c r="U456" s="1128">
        <v>73.580000686645505</v>
      </c>
      <c r="V456" s="1128">
        <v>60.080000686645505</v>
      </c>
      <c r="W456" s="1128">
        <v>46.220000171661376</v>
      </c>
      <c r="X456" s="1128">
        <v>34.519999957084657</v>
      </c>
      <c r="Y456" s="1128">
        <v>32.540000021457672</v>
      </c>
      <c r="Z456" s="1128">
        <v>49.990629963495145</v>
      </c>
      <c r="AA456" s="1128">
        <f t="shared" si="526"/>
        <v>47.196357252550435</v>
      </c>
      <c r="AB456" s="1128">
        <f t="shared" si="527"/>
        <v>45.975326590818483</v>
      </c>
      <c r="AC456" s="1128">
        <f t="shared" si="528"/>
        <v>47.364939093671531</v>
      </c>
      <c r="AD456" s="1128">
        <f t="shared" si="529"/>
        <v>51.002970847664038</v>
      </c>
      <c r="AE456" s="1128">
        <f t="shared" si="530"/>
        <v>55.941112812351491</v>
      </c>
      <c r="AF456" s="1128">
        <f t="shared" si="531"/>
        <v>60.892162185566946</v>
      </c>
      <c r="AG456" s="1128">
        <f t="shared" si="532"/>
        <v>64.565551650201414</v>
      </c>
      <c r="AH456" s="1128">
        <f t="shared" si="533"/>
        <v>66.003755633652759</v>
      </c>
      <c r="AI456" s="1128">
        <f t="shared" si="534"/>
        <v>64.831884104240103</v>
      </c>
      <c r="AJ456" s="1128">
        <f t="shared" si="535"/>
        <v>61.355403435191782</v>
      </c>
      <c r="AK456" s="1128">
        <f t="shared" si="536"/>
        <v>56.48051188708402</v>
      </c>
      <c r="AL456" s="1128">
        <f t="shared" si="537"/>
        <v>51.477925066283866</v>
      </c>
      <c r="AM456" s="1125">
        <f t="shared" si="538"/>
        <v>1</v>
      </c>
      <c r="AN456" s="1125">
        <f t="shared" si="539"/>
        <v>1</v>
      </c>
      <c r="AO456" s="1125">
        <f t="shared" si="540"/>
        <v>1</v>
      </c>
      <c r="AP456" s="1125">
        <f t="shared" si="541"/>
        <v>1</v>
      </c>
      <c r="AQ456" s="1125">
        <f t="shared" si="542"/>
        <v>1</v>
      </c>
      <c r="AR456" s="1125">
        <f t="shared" si="543"/>
        <v>1</v>
      </c>
      <c r="AS456" s="1125">
        <f t="shared" si="544"/>
        <v>0</v>
      </c>
      <c r="AT456" s="1125">
        <f t="shared" si="545"/>
        <v>0</v>
      </c>
      <c r="AU456" s="1125">
        <f t="shared" si="546"/>
        <v>1</v>
      </c>
      <c r="AV456" s="1125">
        <f t="shared" si="547"/>
        <v>1</v>
      </c>
      <c r="AW456" s="1125">
        <f t="shared" si="548"/>
        <v>1</v>
      </c>
      <c r="AX456" s="1125">
        <f t="shared" si="549"/>
        <v>1</v>
      </c>
      <c r="AY456" s="1125">
        <f t="shared" si="550"/>
        <v>0</v>
      </c>
      <c r="AZ456" s="1125">
        <f t="shared" si="551"/>
        <v>0</v>
      </c>
      <c r="BA456" s="1125">
        <f t="shared" si="552"/>
        <v>0</v>
      </c>
      <c r="BB456" s="1125">
        <f t="shared" si="553"/>
        <v>0</v>
      </c>
      <c r="BC456" s="1125">
        <f t="shared" si="554"/>
        <v>0</v>
      </c>
      <c r="BD456" s="1125">
        <f t="shared" si="555"/>
        <v>0</v>
      </c>
      <c r="BE456" s="1125">
        <f t="shared" si="556"/>
        <v>1</v>
      </c>
      <c r="BF456" s="1125">
        <f t="shared" si="557"/>
        <v>1</v>
      </c>
      <c r="BG456" s="1125">
        <f t="shared" si="558"/>
        <v>0</v>
      </c>
      <c r="BH456" s="1125">
        <f t="shared" si="559"/>
        <v>0</v>
      </c>
      <c r="BI456" s="1125">
        <f t="shared" si="560"/>
        <v>0</v>
      </c>
      <c r="BJ456" s="1125">
        <f t="shared" si="561"/>
        <v>0</v>
      </c>
      <c r="BK456" s="1125">
        <f t="shared" si="562"/>
        <v>1</v>
      </c>
      <c r="BL456" s="1125">
        <f t="shared" si="563"/>
        <v>1</v>
      </c>
      <c r="BM456" s="1125">
        <f t="shared" si="564"/>
        <v>1</v>
      </c>
      <c r="BN456" s="1125">
        <f t="shared" si="565"/>
        <v>1</v>
      </c>
      <c r="BO456" s="1125">
        <f t="shared" si="566"/>
        <v>1</v>
      </c>
      <c r="BP456" s="1125">
        <f t="shared" si="567"/>
        <v>1</v>
      </c>
      <c r="BQ456" s="1125">
        <f t="shared" si="568"/>
        <v>1</v>
      </c>
      <c r="BR456" s="1125">
        <f t="shared" si="569"/>
        <v>0</v>
      </c>
      <c r="BS456" s="1125">
        <f t="shared" si="570"/>
        <v>1</v>
      </c>
      <c r="BT456" s="1125">
        <f t="shared" si="571"/>
        <v>1</v>
      </c>
      <c r="BU456" s="1125">
        <f t="shared" si="572"/>
        <v>1</v>
      </c>
      <c r="BV456" s="1125">
        <f t="shared" si="573"/>
        <v>1</v>
      </c>
      <c r="BW456" s="1125">
        <f t="shared" si="574"/>
        <v>0</v>
      </c>
      <c r="BX456" s="1125">
        <f t="shared" si="575"/>
        <v>0</v>
      </c>
      <c r="BY456" s="1125">
        <f t="shared" si="576"/>
        <v>0</v>
      </c>
      <c r="BZ456" s="1125">
        <f t="shared" si="577"/>
        <v>0</v>
      </c>
      <c r="CA456" s="1125">
        <f t="shared" si="578"/>
        <v>0</v>
      </c>
      <c r="CB456" s="1125">
        <f t="shared" si="579"/>
        <v>1</v>
      </c>
      <c r="CC456" s="1125">
        <f t="shared" si="580"/>
        <v>1</v>
      </c>
      <c r="CD456" s="1125">
        <f t="shared" si="581"/>
        <v>1</v>
      </c>
      <c r="CE456" s="1125">
        <f t="shared" si="582"/>
        <v>1</v>
      </c>
      <c r="CF456" s="1125">
        <f t="shared" si="583"/>
        <v>0</v>
      </c>
      <c r="CG456" s="1125">
        <f t="shared" si="584"/>
        <v>0</v>
      </c>
      <c r="CH456" s="1125">
        <f t="shared" si="585"/>
        <v>0</v>
      </c>
      <c r="CI456" s="1125">
        <f t="shared" si="586"/>
        <v>0.85</v>
      </c>
      <c r="CJ456" s="1125">
        <f t="shared" si="587"/>
        <v>0.85</v>
      </c>
      <c r="CK456" s="1125">
        <f t="shared" si="588"/>
        <v>0.85</v>
      </c>
      <c r="CL456" s="1125">
        <f t="shared" si="589"/>
        <v>0.85</v>
      </c>
      <c r="CM456" s="1125">
        <f t="shared" si="590"/>
        <v>0.85</v>
      </c>
      <c r="CN456" s="1125">
        <f t="shared" si="591"/>
        <v>0.85</v>
      </c>
      <c r="CO456" s="1125">
        <f t="shared" si="592"/>
        <v>0.85</v>
      </c>
      <c r="CP456" s="1125">
        <f t="shared" si="593"/>
        <v>0.7</v>
      </c>
      <c r="CQ456" s="1125">
        <f t="shared" si="594"/>
        <v>0.85</v>
      </c>
      <c r="CR456" s="1125">
        <f t="shared" si="595"/>
        <v>0.85</v>
      </c>
      <c r="CS456" s="1125">
        <f t="shared" si="596"/>
        <v>0.85</v>
      </c>
      <c r="CT456" s="1125">
        <f t="shared" si="597"/>
        <v>0.85</v>
      </c>
      <c r="CU456" s="1125">
        <v>1</v>
      </c>
      <c r="CV456" s="1125"/>
      <c r="CW456" s="1125">
        <f t="shared" si="598"/>
        <v>122</v>
      </c>
      <c r="CX456" s="1125">
        <f t="shared" si="599"/>
        <v>243</v>
      </c>
      <c r="CY456" s="1136" t="s">
        <v>4889</v>
      </c>
      <c r="CZ456" s="1129" t="s">
        <v>4890</v>
      </c>
      <c r="DA456" s="1129"/>
      <c r="DB456" s="1129"/>
      <c r="DC456" s="1125" t="s">
        <v>5197</v>
      </c>
      <c r="DD456" s="1125" t="s">
        <v>249</v>
      </c>
      <c r="DE456" s="1120" t="b">
        <f t="shared" si="525"/>
        <v>0</v>
      </c>
      <c r="DF456" s="1133">
        <v>0</v>
      </c>
      <c r="DG456" s="1120">
        <v>0</v>
      </c>
    </row>
    <row r="457" spans="1:111">
      <c r="A457" s="1125" t="s">
        <v>3681</v>
      </c>
      <c r="B457" s="1120" t="s">
        <v>2952</v>
      </c>
      <c r="C457" s="1120" t="s">
        <v>2953</v>
      </c>
      <c r="D457" s="1120" t="s">
        <v>953</v>
      </c>
      <c r="E457" s="1120">
        <v>13</v>
      </c>
      <c r="F457" s="1120">
        <v>-134.58000000000001</v>
      </c>
      <c r="G457" s="1120">
        <v>58.35</v>
      </c>
      <c r="H457" s="1120">
        <v>-9</v>
      </c>
      <c r="I457" s="1121">
        <v>8.2400003433227536</v>
      </c>
      <c r="J457" s="1121">
        <v>69.980000686645511</v>
      </c>
      <c r="K457" s="1122">
        <v>58.280000686645508</v>
      </c>
      <c r="L457" s="1120">
        <v>8226</v>
      </c>
      <c r="M457" s="1120">
        <v>0</v>
      </c>
      <c r="N457" s="1123">
        <v>24.8</v>
      </c>
      <c r="O457" s="1123">
        <v>29.119999957084655</v>
      </c>
      <c r="P457" s="1123">
        <v>31.459999978542328</v>
      </c>
      <c r="Q457" s="1123">
        <v>43.340000343322757</v>
      </c>
      <c r="R457" s="1123">
        <v>51.8</v>
      </c>
      <c r="S457" s="1123">
        <v>55.040000343322752</v>
      </c>
      <c r="T457" s="1123">
        <v>56.659999656677243</v>
      </c>
      <c r="U457" s="1123">
        <v>55.040000343322752</v>
      </c>
      <c r="V457" s="1123">
        <v>50.540000343322752</v>
      </c>
      <c r="W457" s="1123">
        <v>42.97999982833862</v>
      </c>
      <c r="X457" s="1123">
        <v>32.720000010728839</v>
      </c>
      <c r="Y457" s="1123">
        <v>28.220000171661376</v>
      </c>
      <c r="Z457" s="1123">
        <v>41.874849395490671</v>
      </c>
      <c r="AA457" s="1123">
        <f t="shared" si="526"/>
        <v>43.03141847167899</v>
      </c>
      <c r="AB457" s="1123">
        <f t="shared" si="527"/>
        <v>41.886685008414773</v>
      </c>
      <c r="AC457" s="1123">
        <f t="shared" si="528"/>
        <v>42.302858873048407</v>
      </c>
      <c r="AD457" s="1123">
        <f t="shared" si="529"/>
        <v>44.171457934329737</v>
      </c>
      <c r="AE457" s="1123">
        <f t="shared" si="530"/>
        <v>47.005403050952602</v>
      </c>
      <c r="AF457" s="1123">
        <f t="shared" si="531"/>
        <v>50.065982755853057</v>
      </c>
      <c r="AG457" s="1123">
        <f t="shared" si="532"/>
        <v>52.555409783987876</v>
      </c>
      <c r="AH457" s="1123">
        <f t="shared" si="533"/>
        <v>53.824776617241966</v>
      </c>
      <c r="AI457" s="1123">
        <f t="shared" si="534"/>
        <v>53.543203228992624</v>
      </c>
      <c r="AJ457" s="1123">
        <f t="shared" si="535"/>
        <v>51.784086062064297</v>
      </c>
      <c r="AK457" s="1123">
        <f t="shared" si="536"/>
        <v>49.005966114832987</v>
      </c>
      <c r="AL457" s="1123">
        <f t="shared" si="537"/>
        <v>45.933003163668815</v>
      </c>
      <c r="AM457" s="1120">
        <f t="shared" si="538"/>
        <v>1</v>
      </c>
      <c r="AN457" s="1120">
        <f t="shared" si="539"/>
        <v>1</v>
      </c>
      <c r="AO457" s="1120">
        <f t="shared" si="540"/>
        <v>1</v>
      </c>
      <c r="AP457" s="1120">
        <f t="shared" si="541"/>
        <v>1</v>
      </c>
      <c r="AQ457" s="1120">
        <f t="shared" si="542"/>
        <v>1</v>
      </c>
      <c r="AR457" s="1120">
        <f t="shared" si="543"/>
        <v>1</v>
      </c>
      <c r="AS457" s="1120">
        <f t="shared" si="544"/>
        <v>1</v>
      </c>
      <c r="AT457" s="1120">
        <f t="shared" si="545"/>
        <v>1</v>
      </c>
      <c r="AU457" s="1120">
        <f t="shared" si="546"/>
        <v>1</v>
      </c>
      <c r="AV457" s="1120">
        <f t="shared" si="547"/>
        <v>1</v>
      </c>
      <c r="AW457" s="1120">
        <f t="shared" si="548"/>
        <v>1</v>
      </c>
      <c r="AX457" s="1120">
        <f t="shared" si="549"/>
        <v>1</v>
      </c>
      <c r="AY457" s="1120">
        <f t="shared" si="550"/>
        <v>0</v>
      </c>
      <c r="AZ457" s="1120">
        <f t="shared" si="551"/>
        <v>0</v>
      </c>
      <c r="BA457" s="1120">
        <f t="shared" si="552"/>
        <v>0</v>
      </c>
      <c r="BB457" s="1120">
        <f t="shared" si="553"/>
        <v>0</v>
      </c>
      <c r="BC457" s="1120">
        <f t="shared" si="554"/>
        <v>0</v>
      </c>
      <c r="BD457" s="1120">
        <f t="shared" si="555"/>
        <v>0</v>
      </c>
      <c r="BE457" s="1120">
        <f t="shared" si="556"/>
        <v>1</v>
      </c>
      <c r="BF457" s="1120">
        <f t="shared" si="557"/>
        <v>1</v>
      </c>
      <c r="BG457" s="1120">
        <f t="shared" si="558"/>
        <v>0</v>
      </c>
      <c r="BH457" s="1120">
        <f t="shared" si="559"/>
        <v>0</v>
      </c>
      <c r="BI457" s="1120">
        <f t="shared" si="560"/>
        <v>0</v>
      </c>
      <c r="BJ457" s="1120">
        <f t="shared" si="561"/>
        <v>0</v>
      </c>
      <c r="BK457" s="1120">
        <f t="shared" si="562"/>
        <v>1</v>
      </c>
      <c r="BL457" s="1120">
        <f t="shared" si="563"/>
        <v>1</v>
      </c>
      <c r="BM457" s="1120">
        <f t="shared" si="564"/>
        <v>1</v>
      </c>
      <c r="BN457" s="1120">
        <f t="shared" si="565"/>
        <v>1</v>
      </c>
      <c r="BO457" s="1120">
        <f t="shared" si="566"/>
        <v>1</v>
      </c>
      <c r="BP457" s="1120">
        <f t="shared" si="567"/>
        <v>1</v>
      </c>
      <c r="BQ457" s="1120">
        <f t="shared" si="568"/>
        <v>1</v>
      </c>
      <c r="BR457" s="1120">
        <f t="shared" si="569"/>
        <v>1</v>
      </c>
      <c r="BS457" s="1120">
        <f t="shared" si="570"/>
        <v>1</v>
      </c>
      <c r="BT457" s="1120">
        <f t="shared" si="571"/>
        <v>1</v>
      </c>
      <c r="BU457" s="1120">
        <f t="shared" si="572"/>
        <v>1</v>
      </c>
      <c r="BV457" s="1120">
        <f t="shared" si="573"/>
        <v>1</v>
      </c>
      <c r="BW457" s="1120">
        <f t="shared" si="574"/>
        <v>0</v>
      </c>
      <c r="BX457" s="1120">
        <f t="shared" si="575"/>
        <v>0</v>
      </c>
      <c r="BY457" s="1120">
        <f t="shared" si="576"/>
        <v>0</v>
      </c>
      <c r="BZ457" s="1120">
        <f t="shared" si="577"/>
        <v>0</v>
      </c>
      <c r="CA457" s="1120">
        <f t="shared" si="578"/>
        <v>0</v>
      </c>
      <c r="CB457" s="1120">
        <f t="shared" si="579"/>
        <v>0</v>
      </c>
      <c r="CC457" s="1120">
        <f t="shared" si="580"/>
        <v>1</v>
      </c>
      <c r="CD457" s="1120">
        <f t="shared" si="581"/>
        <v>1</v>
      </c>
      <c r="CE457" s="1120">
        <f t="shared" si="582"/>
        <v>0</v>
      </c>
      <c r="CF457" s="1120">
        <f t="shared" si="583"/>
        <v>0</v>
      </c>
      <c r="CG457" s="1120">
        <f t="shared" si="584"/>
        <v>0</v>
      </c>
      <c r="CH457" s="1120">
        <f t="shared" si="585"/>
        <v>0</v>
      </c>
      <c r="CI457" s="1120">
        <f t="shared" si="586"/>
        <v>0.85</v>
      </c>
      <c r="CJ457" s="1120">
        <f t="shared" si="587"/>
        <v>0.85</v>
      </c>
      <c r="CK457" s="1120">
        <f t="shared" si="588"/>
        <v>0.85</v>
      </c>
      <c r="CL457" s="1120">
        <f t="shared" si="589"/>
        <v>0.85</v>
      </c>
      <c r="CM457" s="1120">
        <f t="shared" si="590"/>
        <v>0.85</v>
      </c>
      <c r="CN457" s="1120">
        <f t="shared" si="591"/>
        <v>0.85</v>
      </c>
      <c r="CO457" s="1120">
        <f t="shared" si="592"/>
        <v>0.85</v>
      </c>
      <c r="CP457" s="1120">
        <f t="shared" si="593"/>
        <v>0.85</v>
      </c>
      <c r="CQ457" s="1120">
        <f t="shared" si="594"/>
        <v>0.85</v>
      </c>
      <c r="CR457" s="1120">
        <f t="shared" si="595"/>
        <v>0.85</v>
      </c>
      <c r="CS457" s="1120">
        <f t="shared" si="596"/>
        <v>0.85</v>
      </c>
      <c r="CT457" s="1120">
        <f t="shared" si="597"/>
        <v>0.85</v>
      </c>
      <c r="CU457" s="1120">
        <v>1</v>
      </c>
      <c r="CV457" s="1120"/>
      <c r="CW457" s="1120">
        <f t="shared" si="598"/>
        <v>62</v>
      </c>
      <c r="CX457" s="1120">
        <f t="shared" si="599"/>
        <v>303</v>
      </c>
      <c r="CY457" s="1135" t="s">
        <v>4879</v>
      </c>
      <c r="CZ457" s="1124">
        <v>7</v>
      </c>
      <c r="DA457" s="1124"/>
      <c r="DB457" s="1124"/>
      <c r="DC457" s="1120" t="s">
        <v>4937</v>
      </c>
      <c r="DD457" s="1120" t="s">
        <v>953</v>
      </c>
      <c r="DE457" s="1120" t="b">
        <f t="shared" si="525"/>
        <v>0</v>
      </c>
      <c r="DF457" s="1120">
        <v>0</v>
      </c>
      <c r="DG457" s="1125">
        <v>0</v>
      </c>
    </row>
    <row r="458" spans="1:111">
      <c r="A458" s="1120" t="s">
        <v>3683</v>
      </c>
      <c r="B458" s="1125" t="s">
        <v>3390</v>
      </c>
      <c r="C458" s="1125" t="s">
        <v>3391</v>
      </c>
      <c r="D458" s="1125" t="s">
        <v>122</v>
      </c>
      <c r="E458" s="1125">
        <v>52</v>
      </c>
      <c r="F458" s="1125">
        <v>-156.43</v>
      </c>
      <c r="G458" s="1125">
        <v>20.9</v>
      </c>
      <c r="H458" s="1125">
        <v>-10</v>
      </c>
      <c r="I458" s="1126">
        <v>60.619999313354491</v>
      </c>
      <c r="J458" s="1126">
        <v>88.33999862670899</v>
      </c>
      <c r="K458" s="1127">
        <v>74.119999313354498</v>
      </c>
      <c r="L458" s="1125">
        <v>0</v>
      </c>
      <c r="M458" s="1125">
        <v>4037.4</v>
      </c>
      <c r="N458" s="1128">
        <v>71.960001373291021</v>
      </c>
      <c r="O458" s="1128">
        <v>71.419999313354495</v>
      </c>
      <c r="P458" s="1128">
        <v>73.219999313354492</v>
      </c>
      <c r="Q458" s="1128">
        <v>74.119999313354498</v>
      </c>
      <c r="R458" s="1128">
        <v>75.380000686645502</v>
      </c>
      <c r="S458" s="1128">
        <v>77.360001373291013</v>
      </c>
      <c r="T458" s="1128">
        <v>78.080000686645505</v>
      </c>
      <c r="U458" s="1128">
        <v>78.439998626708984</v>
      </c>
      <c r="V458" s="1128">
        <v>79.519999313354489</v>
      </c>
      <c r="W458" s="1128">
        <v>77.900000000000006</v>
      </c>
      <c r="X458" s="1128">
        <v>75.019999313354489</v>
      </c>
      <c r="Y458" s="1128">
        <v>72.860001373291013</v>
      </c>
      <c r="Z458" s="1128">
        <v>75.461369928856413</v>
      </c>
      <c r="AA458" s="1128">
        <f t="shared" si="526"/>
        <v>78.572549092431842</v>
      </c>
      <c r="AB458" s="1128">
        <f t="shared" si="527"/>
        <v>78.862109601789001</v>
      </c>
      <c r="AC458" s="1128">
        <f t="shared" si="528"/>
        <v>79.829207371210387</v>
      </c>
      <c r="AD458" s="1128">
        <f t="shared" si="529"/>
        <v>81.221753463668591</v>
      </c>
      <c r="AE458" s="1128">
        <f t="shared" si="530"/>
        <v>82.676759280379486</v>
      </c>
      <c r="AF458" s="1128">
        <f t="shared" si="531"/>
        <v>83.814955132899058</v>
      </c>
      <c r="AG458" s="1128">
        <f t="shared" si="532"/>
        <v>84.339652732139029</v>
      </c>
      <c r="AH458" s="1128">
        <f t="shared" si="533"/>
        <v>84.114081563022765</v>
      </c>
      <c r="AI458" s="1128">
        <f t="shared" si="534"/>
        <v>83.197040226937332</v>
      </c>
      <c r="AJ458" s="1128">
        <f t="shared" si="535"/>
        <v>81.827569680168182</v>
      </c>
      <c r="AK458" s="1128">
        <f t="shared" si="536"/>
        <v>80.362643524910624</v>
      </c>
      <c r="AL458" s="1128">
        <f t="shared" si="537"/>
        <v>79.184117338727958</v>
      </c>
      <c r="AM458" s="1125">
        <f t="shared" si="538"/>
        <v>0</v>
      </c>
      <c r="AN458" s="1125">
        <f t="shared" si="539"/>
        <v>0</v>
      </c>
      <c r="AO458" s="1125">
        <f t="shared" si="540"/>
        <v>0</v>
      </c>
      <c r="AP458" s="1125">
        <f t="shared" si="541"/>
        <v>0</v>
      </c>
      <c r="AQ458" s="1125">
        <f t="shared" si="542"/>
        <v>0</v>
      </c>
      <c r="AR458" s="1125">
        <f t="shared" si="543"/>
        <v>0</v>
      </c>
      <c r="AS458" s="1125">
        <f t="shared" si="544"/>
        <v>0</v>
      </c>
      <c r="AT458" s="1125">
        <f t="shared" si="545"/>
        <v>0</v>
      </c>
      <c r="AU458" s="1125">
        <f t="shared" si="546"/>
        <v>0</v>
      </c>
      <c r="AV458" s="1125">
        <f t="shared" si="547"/>
        <v>0</v>
      </c>
      <c r="AW458" s="1125">
        <f t="shared" si="548"/>
        <v>0</v>
      </c>
      <c r="AX458" s="1125">
        <f t="shared" si="549"/>
        <v>0</v>
      </c>
      <c r="AY458" s="1125">
        <f t="shared" si="550"/>
        <v>1</v>
      </c>
      <c r="AZ458" s="1125">
        <f t="shared" si="551"/>
        <v>1</v>
      </c>
      <c r="BA458" s="1125">
        <f t="shared" si="552"/>
        <v>1</v>
      </c>
      <c r="BB458" s="1125">
        <f t="shared" si="553"/>
        <v>1</v>
      </c>
      <c r="BC458" s="1125">
        <f t="shared" si="554"/>
        <v>1</v>
      </c>
      <c r="BD458" s="1125">
        <f t="shared" si="555"/>
        <v>1</v>
      </c>
      <c r="BE458" s="1125">
        <f t="shared" si="556"/>
        <v>1</v>
      </c>
      <c r="BF458" s="1125">
        <f t="shared" si="557"/>
        <v>1</v>
      </c>
      <c r="BG458" s="1125">
        <f t="shared" si="558"/>
        <v>1</v>
      </c>
      <c r="BH458" s="1125">
        <f t="shared" si="559"/>
        <v>1</v>
      </c>
      <c r="BI458" s="1125">
        <f t="shared" si="560"/>
        <v>1</v>
      </c>
      <c r="BJ458" s="1125">
        <f t="shared" si="561"/>
        <v>1</v>
      </c>
      <c r="BK458" s="1125">
        <f t="shared" si="562"/>
        <v>0</v>
      </c>
      <c r="BL458" s="1125">
        <f t="shared" si="563"/>
        <v>0</v>
      </c>
      <c r="BM458" s="1125">
        <f t="shared" si="564"/>
        <v>0</v>
      </c>
      <c r="BN458" s="1125">
        <f t="shared" si="565"/>
        <v>0</v>
      </c>
      <c r="BO458" s="1125">
        <f t="shared" si="566"/>
        <v>0</v>
      </c>
      <c r="BP458" s="1125">
        <f t="shared" si="567"/>
        <v>0</v>
      </c>
      <c r="BQ458" s="1125">
        <f t="shared" si="568"/>
        <v>0</v>
      </c>
      <c r="BR458" s="1125">
        <f t="shared" si="569"/>
        <v>0</v>
      </c>
      <c r="BS458" s="1125">
        <f t="shared" si="570"/>
        <v>0</v>
      </c>
      <c r="BT458" s="1125">
        <f t="shared" si="571"/>
        <v>0</v>
      </c>
      <c r="BU458" s="1125">
        <f t="shared" si="572"/>
        <v>0</v>
      </c>
      <c r="BV458" s="1125">
        <f t="shared" si="573"/>
        <v>0</v>
      </c>
      <c r="BW458" s="1125">
        <f t="shared" si="574"/>
        <v>1</v>
      </c>
      <c r="BX458" s="1125">
        <f t="shared" si="575"/>
        <v>1</v>
      </c>
      <c r="BY458" s="1125">
        <f t="shared" si="576"/>
        <v>1</v>
      </c>
      <c r="BZ458" s="1125">
        <f t="shared" si="577"/>
        <v>1</v>
      </c>
      <c r="CA458" s="1125">
        <f t="shared" si="578"/>
        <v>1</v>
      </c>
      <c r="CB458" s="1125">
        <f t="shared" si="579"/>
        <v>1</v>
      </c>
      <c r="CC458" s="1125">
        <f t="shared" si="580"/>
        <v>1</v>
      </c>
      <c r="CD458" s="1125">
        <f t="shared" si="581"/>
        <v>1</v>
      </c>
      <c r="CE458" s="1125">
        <f t="shared" si="582"/>
        <v>1</v>
      </c>
      <c r="CF458" s="1125">
        <f t="shared" si="583"/>
        <v>1</v>
      </c>
      <c r="CG458" s="1125">
        <f t="shared" si="584"/>
        <v>1</v>
      </c>
      <c r="CH458" s="1125">
        <f t="shared" si="585"/>
        <v>1</v>
      </c>
      <c r="CI458" s="1125">
        <f t="shared" si="586"/>
        <v>0.7</v>
      </c>
      <c r="CJ458" s="1125">
        <f t="shared" si="587"/>
        <v>0.7</v>
      </c>
      <c r="CK458" s="1125">
        <f t="shared" si="588"/>
        <v>0.7</v>
      </c>
      <c r="CL458" s="1125">
        <f t="shared" si="589"/>
        <v>0.7</v>
      </c>
      <c r="CM458" s="1125">
        <f t="shared" si="590"/>
        <v>0.7</v>
      </c>
      <c r="CN458" s="1125">
        <f t="shared" si="591"/>
        <v>0.7</v>
      </c>
      <c r="CO458" s="1125">
        <f t="shared" si="592"/>
        <v>0.7</v>
      </c>
      <c r="CP458" s="1125">
        <f t="shared" si="593"/>
        <v>0.7</v>
      </c>
      <c r="CQ458" s="1125">
        <f t="shared" si="594"/>
        <v>0.7</v>
      </c>
      <c r="CR458" s="1125">
        <f t="shared" si="595"/>
        <v>0.7</v>
      </c>
      <c r="CS458" s="1125">
        <f t="shared" si="596"/>
        <v>0.7</v>
      </c>
      <c r="CT458" s="1125">
        <f t="shared" si="597"/>
        <v>0.7</v>
      </c>
      <c r="CU458" s="1125">
        <v>1</v>
      </c>
      <c r="CV458" s="1125"/>
      <c r="CW458" s="1125">
        <f t="shared" si="598"/>
        <v>365</v>
      </c>
      <c r="CX458" s="1125">
        <f t="shared" si="599"/>
        <v>0</v>
      </c>
      <c r="CY458" s="1136" t="s">
        <v>4883</v>
      </c>
      <c r="CZ458" s="1129" t="s">
        <v>4898</v>
      </c>
      <c r="DA458" s="1129"/>
      <c r="DB458" s="1129"/>
      <c r="DC458" s="1125" t="s">
        <v>5150</v>
      </c>
      <c r="DD458" s="1125" t="s">
        <v>122</v>
      </c>
      <c r="DE458" s="1120" t="str">
        <f t="shared" si="525"/>
        <v/>
      </c>
      <c r="DF458" s="1133">
        <v>0</v>
      </c>
      <c r="DG458" s="1120">
        <v>0</v>
      </c>
    </row>
    <row r="459" spans="1:111">
      <c r="A459" s="1125" t="s">
        <v>3685</v>
      </c>
      <c r="B459" s="1125" t="s">
        <v>5898</v>
      </c>
      <c r="C459" s="1125" t="s">
        <v>5899</v>
      </c>
      <c r="D459" s="1125" t="s">
        <v>1248</v>
      </c>
      <c r="E459" s="1125">
        <v>869</v>
      </c>
      <c r="F459" s="1125">
        <v>-92.55</v>
      </c>
      <c r="G459" s="1125">
        <v>38.1</v>
      </c>
      <c r="H459" s="1125">
        <v>-6</v>
      </c>
      <c r="I459" s="1126">
        <v>11.840000343322753</v>
      </c>
      <c r="J459" s="1126">
        <v>92.83999862670899</v>
      </c>
      <c r="K459" s="1127">
        <v>74.83999862670899</v>
      </c>
      <c r="L459" s="1125">
        <v>4473</v>
      </c>
      <c r="M459" s="1125">
        <v>1587.6000000000001</v>
      </c>
      <c r="N459" s="1128">
        <v>32</v>
      </c>
      <c r="O459" s="1128">
        <v>37.76000008583069</v>
      </c>
      <c r="P459" s="1128">
        <v>46.220000171661376</v>
      </c>
      <c r="Q459" s="1128">
        <v>56.119999313354491</v>
      </c>
      <c r="R459" s="1128">
        <v>63.86000137329102</v>
      </c>
      <c r="S459" s="1128">
        <v>74.66000137329101</v>
      </c>
      <c r="T459" s="1128">
        <v>80.060001373291016</v>
      </c>
      <c r="U459" s="1128">
        <v>76.639998626708987</v>
      </c>
      <c r="V459" s="1128">
        <v>72.680000686645513</v>
      </c>
      <c r="W459" s="1128">
        <v>55.940000343322751</v>
      </c>
      <c r="X459" s="1128">
        <v>48.380000686645509</v>
      </c>
      <c r="Y459" s="1128">
        <v>32.720000010728839</v>
      </c>
      <c r="Z459" s="1128">
        <v>56.501698967316379</v>
      </c>
      <c r="AA459" s="1128">
        <f t="shared" si="526"/>
        <v>50.819381957070732</v>
      </c>
      <c r="AB459" s="1128">
        <f t="shared" si="527"/>
        <v>49.990524010856916</v>
      </c>
      <c r="AC459" s="1128">
        <f t="shared" si="528"/>
        <v>52.422896620086448</v>
      </c>
      <c r="AD459" s="1128">
        <f t="shared" si="529"/>
        <v>57.482464380167087</v>
      </c>
      <c r="AE459" s="1128">
        <f t="shared" si="530"/>
        <v>63.850372984134509</v>
      </c>
      <c r="AF459" s="1128">
        <f t="shared" si="531"/>
        <v>69.866728921922572</v>
      </c>
      <c r="AG459" s="1128">
        <f t="shared" si="532"/>
        <v>73.963276303495348</v>
      </c>
      <c r="AH459" s="1128">
        <f t="shared" si="533"/>
        <v>75.072186924139842</v>
      </c>
      <c r="AI459" s="1128">
        <f t="shared" si="534"/>
        <v>72.904406141755118</v>
      </c>
      <c r="AJ459" s="1128">
        <f t="shared" si="535"/>
        <v>68.024999423782816</v>
      </c>
      <c r="AK459" s="1128">
        <f t="shared" si="536"/>
        <v>61.705859325196045</v>
      </c>
      <c r="AL459" s="1128">
        <f t="shared" si="537"/>
        <v>55.594167093588062</v>
      </c>
      <c r="AM459" s="1125">
        <f t="shared" si="538"/>
        <v>1</v>
      </c>
      <c r="AN459" s="1125">
        <f t="shared" si="539"/>
        <v>1</v>
      </c>
      <c r="AO459" s="1125">
        <f t="shared" si="540"/>
        <v>1</v>
      </c>
      <c r="AP459" s="1125">
        <f t="shared" si="541"/>
        <v>1</v>
      </c>
      <c r="AQ459" s="1125">
        <f t="shared" si="542"/>
        <v>1</v>
      </c>
      <c r="AR459" s="1125">
        <f t="shared" si="543"/>
        <v>0</v>
      </c>
      <c r="AS459" s="1125">
        <f t="shared" si="544"/>
        <v>0</v>
      </c>
      <c r="AT459" s="1125">
        <f t="shared" si="545"/>
        <v>0</v>
      </c>
      <c r="AU459" s="1125">
        <f t="shared" si="546"/>
        <v>0</v>
      </c>
      <c r="AV459" s="1125">
        <f t="shared" si="547"/>
        <v>1</v>
      </c>
      <c r="AW459" s="1125">
        <f t="shared" si="548"/>
        <v>1</v>
      </c>
      <c r="AX459" s="1125">
        <f t="shared" si="549"/>
        <v>1</v>
      </c>
      <c r="AY459" s="1125">
        <f t="shared" si="550"/>
        <v>0</v>
      </c>
      <c r="AZ459" s="1125">
        <f t="shared" si="551"/>
        <v>0</v>
      </c>
      <c r="BA459" s="1125">
        <f t="shared" si="552"/>
        <v>0</v>
      </c>
      <c r="BB459" s="1125">
        <f t="shared" si="553"/>
        <v>0</v>
      </c>
      <c r="BC459" s="1125">
        <f t="shared" si="554"/>
        <v>0</v>
      </c>
      <c r="BD459" s="1125">
        <f t="shared" si="555"/>
        <v>1</v>
      </c>
      <c r="BE459" s="1125">
        <f t="shared" si="556"/>
        <v>1</v>
      </c>
      <c r="BF459" s="1125">
        <f t="shared" si="557"/>
        <v>1</v>
      </c>
      <c r="BG459" s="1125">
        <f t="shared" si="558"/>
        <v>1</v>
      </c>
      <c r="BH459" s="1125">
        <f t="shared" si="559"/>
        <v>0</v>
      </c>
      <c r="BI459" s="1125">
        <f t="shared" si="560"/>
        <v>0</v>
      </c>
      <c r="BJ459" s="1125">
        <f t="shared" si="561"/>
        <v>0</v>
      </c>
      <c r="BK459" s="1125">
        <f t="shared" si="562"/>
        <v>1</v>
      </c>
      <c r="BL459" s="1125">
        <f t="shared" si="563"/>
        <v>1</v>
      </c>
      <c r="BM459" s="1125">
        <f t="shared" si="564"/>
        <v>1</v>
      </c>
      <c r="BN459" s="1125">
        <f t="shared" si="565"/>
        <v>1</v>
      </c>
      <c r="BO459" s="1125">
        <f t="shared" si="566"/>
        <v>1</v>
      </c>
      <c r="BP459" s="1125">
        <f t="shared" si="567"/>
        <v>1</v>
      </c>
      <c r="BQ459" s="1125">
        <f t="shared" si="568"/>
        <v>0</v>
      </c>
      <c r="BR459" s="1125">
        <f t="shared" si="569"/>
        <v>0</v>
      </c>
      <c r="BS459" s="1125">
        <f t="shared" si="570"/>
        <v>0</v>
      </c>
      <c r="BT459" s="1125">
        <f t="shared" si="571"/>
        <v>1</v>
      </c>
      <c r="BU459" s="1125">
        <f t="shared" si="572"/>
        <v>1</v>
      </c>
      <c r="BV459" s="1125">
        <f t="shared" si="573"/>
        <v>1</v>
      </c>
      <c r="BW459" s="1125">
        <f t="shared" si="574"/>
        <v>0</v>
      </c>
      <c r="BX459" s="1125">
        <f t="shared" si="575"/>
        <v>0</v>
      </c>
      <c r="BY459" s="1125">
        <f t="shared" si="576"/>
        <v>0</v>
      </c>
      <c r="BZ459" s="1125">
        <f t="shared" si="577"/>
        <v>0</v>
      </c>
      <c r="CA459" s="1125">
        <f t="shared" si="578"/>
        <v>1</v>
      </c>
      <c r="CB459" s="1125">
        <f t="shared" si="579"/>
        <v>1</v>
      </c>
      <c r="CC459" s="1125">
        <f t="shared" si="580"/>
        <v>1</v>
      </c>
      <c r="CD459" s="1125">
        <f t="shared" si="581"/>
        <v>1</v>
      </c>
      <c r="CE459" s="1125">
        <f t="shared" si="582"/>
        <v>1</v>
      </c>
      <c r="CF459" s="1125">
        <f t="shared" si="583"/>
        <v>1</v>
      </c>
      <c r="CG459" s="1125">
        <f t="shared" si="584"/>
        <v>0</v>
      </c>
      <c r="CH459" s="1125">
        <f t="shared" si="585"/>
        <v>0</v>
      </c>
      <c r="CI459" s="1125">
        <f t="shared" si="586"/>
        <v>0.85</v>
      </c>
      <c r="CJ459" s="1125">
        <f t="shared" si="587"/>
        <v>0.85</v>
      </c>
      <c r="CK459" s="1125">
        <f t="shared" si="588"/>
        <v>0.85</v>
      </c>
      <c r="CL459" s="1125">
        <f t="shared" si="589"/>
        <v>0.85</v>
      </c>
      <c r="CM459" s="1125">
        <f t="shared" si="590"/>
        <v>0.85</v>
      </c>
      <c r="CN459" s="1125">
        <f t="shared" si="591"/>
        <v>0.85</v>
      </c>
      <c r="CO459" s="1125">
        <f t="shared" si="592"/>
        <v>0.7</v>
      </c>
      <c r="CP459" s="1125">
        <f t="shared" si="593"/>
        <v>0.7</v>
      </c>
      <c r="CQ459" s="1125">
        <f t="shared" si="594"/>
        <v>0.7</v>
      </c>
      <c r="CR459" s="1125">
        <f t="shared" si="595"/>
        <v>0.85</v>
      </c>
      <c r="CS459" s="1125">
        <f t="shared" si="596"/>
        <v>0.85</v>
      </c>
      <c r="CT459" s="1125">
        <f t="shared" si="597"/>
        <v>0.85</v>
      </c>
      <c r="CU459" s="1125">
        <v>1</v>
      </c>
      <c r="CV459" s="1125"/>
      <c r="CW459" s="1125">
        <f t="shared" si="598"/>
        <v>184</v>
      </c>
      <c r="CX459" s="1125">
        <f t="shared" si="599"/>
        <v>181</v>
      </c>
      <c r="CY459" s="1136" t="s">
        <v>4881</v>
      </c>
      <c r="CZ459" s="1129" t="s">
        <v>4885</v>
      </c>
      <c r="DA459" s="1129"/>
      <c r="DB459" s="1129"/>
      <c r="DC459" s="1125" t="s">
        <v>5767</v>
      </c>
      <c r="DD459" s="1125" t="s">
        <v>1248</v>
      </c>
      <c r="DE459" s="1120" t="str">
        <f t="shared" si="525"/>
        <v/>
      </c>
      <c r="DF459" s="1133">
        <v>0</v>
      </c>
      <c r="DG459" s="1125">
        <v>0</v>
      </c>
    </row>
    <row r="460" spans="1:111">
      <c r="A460" s="1120" t="s">
        <v>3687</v>
      </c>
      <c r="B460" s="1125" t="s">
        <v>1191</v>
      </c>
      <c r="C460" s="1125" t="s">
        <v>1192</v>
      </c>
      <c r="D460" s="1125" t="s">
        <v>953</v>
      </c>
      <c r="E460" s="1125">
        <v>0</v>
      </c>
      <c r="F460" s="1125">
        <v>-133.94999999999999</v>
      </c>
      <c r="G460" s="1125">
        <v>56.97</v>
      </c>
      <c r="H460" s="1125">
        <v>-9</v>
      </c>
      <c r="I460" s="1126">
        <v>16.340000343322753</v>
      </c>
      <c r="J460" s="1126">
        <v>65.83999862670899</v>
      </c>
      <c r="K460" s="1127">
        <v>55.940000343322751</v>
      </c>
      <c r="L460" s="1125">
        <v>8037</v>
      </c>
      <c r="M460" s="1125">
        <v>3.6</v>
      </c>
      <c r="N460" s="1128">
        <v>30.559999978542329</v>
      </c>
      <c r="O460" s="1128">
        <v>32.540000021457672</v>
      </c>
      <c r="P460" s="1128">
        <v>34.160000085830688</v>
      </c>
      <c r="Q460" s="1128">
        <v>41.720000171661376</v>
      </c>
      <c r="R460" s="1128">
        <v>46.040000343322752</v>
      </c>
      <c r="S460" s="1128">
        <v>54.859999656677246</v>
      </c>
      <c r="T460" s="1128">
        <v>54.680000686645506</v>
      </c>
      <c r="U460" s="1128">
        <v>55.4</v>
      </c>
      <c r="V460" s="1128">
        <v>50.180000686645506</v>
      </c>
      <c r="W460" s="1128">
        <v>42.440000343322751</v>
      </c>
      <c r="X460" s="1128">
        <v>34.519999957084657</v>
      </c>
      <c r="Y460" s="1128">
        <v>31.1</v>
      </c>
      <c r="Z460" s="1128">
        <v>42.398082354330036</v>
      </c>
      <c r="AA460" s="1128">
        <f t="shared" si="526"/>
        <v>44.544229469878843</v>
      </c>
      <c r="AB460" s="1128">
        <f t="shared" si="527"/>
        <v>43.659786103271749</v>
      </c>
      <c r="AC460" s="1128">
        <f t="shared" si="528"/>
        <v>44.010452673858495</v>
      </c>
      <c r="AD460" s="1128">
        <f t="shared" si="529"/>
        <v>45.504822536080233</v>
      </c>
      <c r="AE460" s="1128">
        <f t="shared" si="530"/>
        <v>47.753365156412201</v>
      </c>
      <c r="AF460" s="1128">
        <f t="shared" si="531"/>
        <v>50.169963249774213</v>
      </c>
      <c r="AG460" s="1128">
        <f t="shared" si="532"/>
        <v>52.124693282227575</v>
      </c>
      <c r="AH460" s="1128">
        <f t="shared" si="533"/>
        <v>53.108024747511685</v>
      </c>
      <c r="AI460" s="1128">
        <f t="shared" si="534"/>
        <v>52.863637145603668</v>
      </c>
      <c r="AJ460" s="1128">
        <f t="shared" si="535"/>
        <v>51.455233871067797</v>
      </c>
      <c r="AK460" s="1128">
        <f t="shared" si="536"/>
        <v>49.249936941563277</v>
      </c>
      <c r="AL460" s="1128">
        <f t="shared" si="537"/>
        <v>46.822590986419868</v>
      </c>
      <c r="AM460" s="1125">
        <f t="shared" si="538"/>
        <v>1</v>
      </c>
      <c r="AN460" s="1125">
        <f t="shared" si="539"/>
        <v>1</v>
      </c>
      <c r="AO460" s="1125">
        <f t="shared" si="540"/>
        <v>1</v>
      </c>
      <c r="AP460" s="1125">
        <f t="shared" si="541"/>
        <v>1</v>
      </c>
      <c r="AQ460" s="1125">
        <f t="shared" si="542"/>
        <v>1</v>
      </c>
      <c r="AR460" s="1125">
        <f t="shared" si="543"/>
        <v>1</v>
      </c>
      <c r="AS460" s="1125">
        <f t="shared" si="544"/>
        <v>1</v>
      </c>
      <c r="AT460" s="1125">
        <f t="shared" si="545"/>
        <v>1</v>
      </c>
      <c r="AU460" s="1125">
        <f t="shared" si="546"/>
        <v>1</v>
      </c>
      <c r="AV460" s="1125">
        <f t="shared" si="547"/>
        <v>1</v>
      </c>
      <c r="AW460" s="1125">
        <f t="shared" si="548"/>
        <v>1</v>
      </c>
      <c r="AX460" s="1125">
        <f t="shared" si="549"/>
        <v>1</v>
      </c>
      <c r="AY460" s="1125">
        <f t="shared" si="550"/>
        <v>0</v>
      </c>
      <c r="AZ460" s="1125">
        <f t="shared" si="551"/>
        <v>0</v>
      </c>
      <c r="BA460" s="1125">
        <f t="shared" si="552"/>
        <v>0</v>
      </c>
      <c r="BB460" s="1125">
        <f t="shared" si="553"/>
        <v>0</v>
      </c>
      <c r="BC460" s="1125">
        <f t="shared" si="554"/>
        <v>0</v>
      </c>
      <c r="BD460" s="1125">
        <f t="shared" si="555"/>
        <v>0</v>
      </c>
      <c r="BE460" s="1125">
        <f t="shared" si="556"/>
        <v>1</v>
      </c>
      <c r="BF460" s="1125">
        <f t="shared" si="557"/>
        <v>1</v>
      </c>
      <c r="BG460" s="1125">
        <f t="shared" si="558"/>
        <v>0</v>
      </c>
      <c r="BH460" s="1125">
        <f t="shared" si="559"/>
        <v>0</v>
      </c>
      <c r="BI460" s="1125">
        <f t="shared" si="560"/>
        <v>0</v>
      </c>
      <c r="BJ460" s="1125">
        <f t="shared" si="561"/>
        <v>0</v>
      </c>
      <c r="BK460" s="1125">
        <f t="shared" si="562"/>
        <v>1</v>
      </c>
      <c r="BL460" s="1125">
        <f t="shared" si="563"/>
        <v>1</v>
      </c>
      <c r="BM460" s="1125">
        <f t="shared" si="564"/>
        <v>1</v>
      </c>
      <c r="BN460" s="1125">
        <f t="shared" si="565"/>
        <v>1</v>
      </c>
      <c r="BO460" s="1125">
        <f t="shared" si="566"/>
        <v>1</v>
      </c>
      <c r="BP460" s="1125">
        <f t="shared" si="567"/>
        <v>1</v>
      </c>
      <c r="BQ460" s="1125">
        <f t="shared" si="568"/>
        <v>1</v>
      </c>
      <c r="BR460" s="1125">
        <f t="shared" si="569"/>
        <v>1</v>
      </c>
      <c r="BS460" s="1125">
        <f t="shared" si="570"/>
        <v>1</v>
      </c>
      <c r="BT460" s="1125">
        <f t="shared" si="571"/>
        <v>1</v>
      </c>
      <c r="BU460" s="1125">
        <f t="shared" si="572"/>
        <v>1</v>
      </c>
      <c r="BV460" s="1125">
        <f t="shared" si="573"/>
        <v>1</v>
      </c>
      <c r="BW460" s="1125">
        <f t="shared" si="574"/>
        <v>0</v>
      </c>
      <c r="BX460" s="1125">
        <f t="shared" si="575"/>
        <v>0</v>
      </c>
      <c r="BY460" s="1125">
        <f t="shared" si="576"/>
        <v>0</v>
      </c>
      <c r="BZ460" s="1125">
        <f t="shared" si="577"/>
        <v>0</v>
      </c>
      <c r="CA460" s="1125">
        <f t="shared" si="578"/>
        <v>0</v>
      </c>
      <c r="CB460" s="1125">
        <f t="shared" si="579"/>
        <v>0</v>
      </c>
      <c r="CC460" s="1125">
        <f t="shared" si="580"/>
        <v>1</v>
      </c>
      <c r="CD460" s="1125">
        <f t="shared" si="581"/>
        <v>1</v>
      </c>
      <c r="CE460" s="1125">
        <f t="shared" si="582"/>
        <v>0</v>
      </c>
      <c r="CF460" s="1125">
        <f t="shared" si="583"/>
        <v>0</v>
      </c>
      <c r="CG460" s="1125">
        <f t="shared" si="584"/>
        <v>0</v>
      </c>
      <c r="CH460" s="1125">
        <f t="shared" si="585"/>
        <v>0</v>
      </c>
      <c r="CI460" s="1125">
        <f t="shared" si="586"/>
        <v>0.85</v>
      </c>
      <c r="CJ460" s="1125">
        <f t="shared" si="587"/>
        <v>0.85</v>
      </c>
      <c r="CK460" s="1125">
        <f t="shared" si="588"/>
        <v>0.85</v>
      </c>
      <c r="CL460" s="1125">
        <f t="shared" si="589"/>
        <v>0.85</v>
      </c>
      <c r="CM460" s="1125">
        <f t="shared" si="590"/>
        <v>0.85</v>
      </c>
      <c r="CN460" s="1125">
        <f t="shared" si="591"/>
        <v>0.85</v>
      </c>
      <c r="CO460" s="1125">
        <f t="shared" si="592"/>
        <v>0.85</v>
      </c>
      <c r="CP460" s="1125">
        <f t="shared" si="593"/>
        <v>0.85</v>
      </c>
      <c r="CQ460" s="1125">
        <f t="shared" si="594"/>
        <v>0.85</v>
      </c>
      <c r="CR460" s="1125">
        <f t="shared" si="595"/>
        <v>0.85</v>
      </c>
      <c r="CS460" s="1125">
        <f t="shared" si="596"/>
        <v>0.85</v>
      </c>
      <c r="CT460" s="1125">
        <f t="shared" si="597"/>
        <v>0.85</v>
      </c>
      <c r="CU460" s="1125">
        <v>1</v>
      </c>
      <c r="CV460" s="1125"/>
      <c r="CW460" s="1125">
        <f t="shared" si="598"/>
        <v>62</v>
      </c>
      <c r="CX460" s="1125">
        <f t="shared" si="599"/>
        <v>303</v>
      </c>
      <c r="CY460" s="1136" t="s">
        <v>4879</v>
      </c>
      <c r="CZ460" s="1129">
        <v>7</v>
      </c>
      <c r="DA460" s="1129"/>
      <c r="DB460" s="1129"/>
      <c r="DC460" s="1125" t="s">
        <v>4938</v>
      </c>
      <c r="DD460" s="1125" t="s">
        <v>953</v>
      </c>
      <c r="DE460" s="1125" t="str">
        <f t="shared" si="525"/>
        <v/>
      </c>
      <c r="DF460" s="1125">
        <v>0</v>
      </c>
      <c r="DG460" s="1120">
        <v>0</v>
      </c>
    </row>
    <row r="461" spans="1:111">
      <c r="A461" s="1125" t="s">
        <v>3689</v>
      </c>
      <c r="B461" s="1120" t="s">
        <v>3739</v>
      </c>
      <c r="C461" s="1120" t="s">
        <v>3740</v>
      </c>
      <c r="D461" s="1120" t="s">
        <v>540</v>
      </c>
      <c r="E461" s="1120">
        <v>895</v>
      </c>
      <c r="F461" s="1120">
        <v>-85.55</v>
      </c>
      <c r="G461" s="1120">
        <v>42.23</v>
      </c>
      <c r="H461" s="1120">
        <v>-5</v>
      </c>
      <c r="I461" s="1121">
        <v>8.9599996566772457</v>
      </c>
      <c r="J461" s="1121">
        <v>87.8</v>
      </c>
      <c r="K461" s="1122">
        <v>72.319999313354487</v>
      </c>
      <c r="L461" s="1120">
        <v>5985</v>
      </c>
      <c r="M461" s="1120">
        <v>658.80000000000007</v>
      </c>
      <c r="N461" s="1123">
        <v>24.259999656677245</v>
      </c>
      <c r="O461" s="1123">
        <v>23.540000343322752</v>
      </c>
      <c r="P461" s="1123">
        <v>42.620000171661374</v>
      </c>
      <c r="Q461" s="1123">
        <v>49.459999656677248</v>
      </c>
      <c r="R461" s="1123">
        <v>57.740000343322755</v>
      </c>
      <c r="S461" s="1123">
        <v>67.460001373291021</v>
      </c>
      <c r="T461" s="1123">
        <v>71.419999313354495</v>
      </c>
      <c r="U461" s="1123">
        <v>71.780000686645508</v>
      </c>
      <c r="V461" s="1123">
        <v>63.680000686645506</v>
      </c>
      <c r="W461" s="1123">
        <v>50.9</v>
      </c>
      <c r="X461" s="1123">
        <v>45.859999656677246</v>
      </c>
      <c r="Y461" s="1123">
        <v>27.139999914169312</v>
      </c>
      <c r="Z461" s="1123">
        <v>49.793370009513751</v>
      </c>
      <c r="AA461" s="1123">
        <f t="shared" si="526"/>
        <v>46.114036302784783</v>
      </c>
      <c r="AB461" s="1123">
        <f t="shared" si="527"/>
        <v>44.749038529953864</v>
      </c>
      <c r="AC461" s="1123">
        <f t="shared" si="528"/>
        <v>46.262915955570193</v>
      </c>
      <c r="AD461" s="1123">
        <f t="shared" si="529"/>
        <v>50.261053099089565</v>
      </c>
      <c r="AE461" s="1123">
        <f t="shared" si="530"/>
        <v>55.701273900895245</v>
      </c>
      <c r="AF461" s="1123">
        <f t="shared" si="531"/>
        <v>61.165500972656346</v>
      </c>
      <c r="AG461" s="1123">
        <f t="shared" si="532"/>
        <v>65.229399321830229</v>
      </c>
      <c r="AH461" s="1123">
        <f t="shared" si="533"/>
        <v>66.833651217135497</v>
      </c>
      <c r="AI461" s="1123">
        <f t="shared" si="534"/>
        <v>65.560083679790779</v>
      </c>
      <c r="AJ461" s="1123">
        <f t="shared" si="535"/>
        <v>61.740671714674804</v>
      </c>
      <c r="AK461" s="1123">
        <f t="shared" si="536"/>
        <v>56.37100390941508</v>
      </c>
      <c r="AL461" s="1123">
        <f t="shared" si="537"/>
        <v>50.850766926538221</v>
      </c>
      <c r="AM461" s="1120">
        <f t="shared" si="538"/>
        <v>1</v>
      </c>
      <c r="AN461" s="1120">
        <f t="shared" si="539"/>
        <v>1</v>
      </c>
      <c r="AO461" s="1120">
        <f t="shared" si="540"/>
        <v>1</v>
      </c>
      <c r="AP461" s="1120">
        <f t="shared" si="541"/>
        <v>1</v>
      </c>
      <c r="AQ461" s="1120">
        <f t="shared" si="542"/>
        <v>1</v>
      </c>
      <c r="AR461" s="1120">
        <f t="shared" si="543"/>
        <v>0</v>
      </c>
      <c r="AS461" s="1120">
        <f t="shared" si="544"/>
        <v>0</v>
      </c>
      <c r="AT461" s="1120">
        <f t="shared" si="545"/>
        <v>0</v>
      </c>
      <c r="AU461" s="1120">
        <f t="shared" si="546"/>
        <v>1</v>
      </c>
      <c r="AV461" s="1120">
        <f t="shared" si="547"/>
        <v>1</v>
      </c>
      <c r="AW461" s="1120">
        <f t="shared" si="548"/>
        <v>1</v>
      </c>
      <c r="AX461" s="1120">
        <f t="shared" si="549"/>
        <v>1</v>
      </c>
      <c r="AY461" s="1120">
        <f t="shared" si="550"/>
        <v>0</v>
      </c>
      <c r="AZ461" s="1120">
        <f t="shared" si="551"/>
        <v>0</v>
      </c>
      <c r="BA461" s="1120">
        <f t="shared" si="552"/>
        <v>0</v>
      </c>
      <c r="BB461" s="1120">
        <f t="shared" si="553"/>
        <v>0</v>
      </c>
      <c r="BC461" s="1120">
        <f t="shared" si="554"/>
        <v>0</v>
      </c>
      <c r="BD461" s="1120">
        <f t="shared" si="555"/>
        <v>1</v>
      </c>
      <c r="BE461" s="1120">
        <f t="shared" si="556"/>
        <v>1</v>
      </c>
      <c r="BF461" s="1120">
        <f t="shared" si="557"/>
        <v>1</v>
      </c>
      <c r="BG461" s="1120">
        <f t="shared" si="558"/>
        <v>0</v>
      </c>
      <c r="BH461" s="1120">
        <f t="shared" si="559"/>
        <v>0</v>
      </c>
      <c r="BI461" s="1120">
        <f t="shared" si="560"/>
        <v>0</v>
      </c>
      <c r="BJ461" s="1120">
        <f t="shared" si="561"/>
        <v>0</v>
      </c>
      <c r="BK461" s="1120">
        <f t="shared" si="562"/>
        <v>1</v>
      </c>
      <c r="BL461" s="1120">
        <f t="shared" si="563"/>
        <v>1</v>
      </c>
      <c r="BM461" s="1120">
        <f t="shared" si="564"/>
        <v>1</v>
      </c>
      <c r="BN461" s="1120">
        <f t="shared" si="565"/>
        <v>1</v>
      </c>
      <c r="BO461" s="1120">
        <f t="shared" si="566"/>
        <v>1</v>
      </c>
      <c r="BP461" s="1120">
        <f t="shared" si="567"/>
        <v>1</v>
      </c>
      <c r="BQ461" s="1120">
        <f t="shared" si="568"/>
        <v>0</v>
      </c>
      <c r="BR461" s="1120">
        <f t="shared" si="569"/>
        <v>0</v>
      </c>
      <c r="BS461" s="1120">
        <f t="shared" si="570"/>
        <v>1</v>
      </c>
      <c r="BT461" s="1120">
        <f t="shared" si="571"/>
        <v>1</v>
      </c>
      <c r="BU461" s="1120">
        <f t="shared" si="572"/>
        <v>1</v>
      </c>
      <c r="BV461" s="1120">
        <f t="shared" si="573"/>
        <v>1</v>
      </c>
      <c r="BW461" s="1120">
        <f t="shared" si="574"/>
        <v>0</v>
      </c>
      <c r="BX461" s="1120">
        <f t="shared" si="575"/>
        <v>0</v>
      </c>
      <c r="BY461" s="1120">
        <f t="shared" si="576"/>
        <v>0</v>
      </c>
      <c r="BZ461" s="1120">
        <f t="shared" si="577"/>
        <v>0</v>
      </c>
      <c r="CA461" s="1120">
        <f t="shared" si="578"/>
        <v>1</v>
      </c>
      <c r="CB461" s="1120">
        <f t="shared" si="579"/>
        <v>1</v>
      </c>
      <c r="CC461" s="1120">
        <f t="shared" si="580"/>
        <v>1</v>
      </c>
      <c r="CD461" s="1120">
        <f t="shared" si="581"/>
        <v>1</v>
      </c>
      <c r="CE461" s="1120">
        <f t="shared" si="582"/>
        <v>1</v>
      </c>
      <c r="CF461" s="1120">
        <f t="shared" si="583"/>
        <v>0</v>
      </c>
      <c r="CG461" s="1120">
        <f t="shared" si="584"/>
        <v>0</v>
      </c>
      <c r="CH461" s="1120">
        <f t="shared" si="585"/>
        <v>0</v>
      </c>
      <c r="CI461" s="1120">
        <f t="shared" si="586"/>
        <v>0.85</v>
      </c>
      <c r="CJ461" s="1120">
        <f t="shared" si="587"/>
        <v>0.85</v>
      </c>
      <c r="CK461" s="1120">
        <f t="shared" si="588"/>
        <v>0.85</v>
      </c>
      <c r="CL461" s="1120">
        <f t="shared" si="589"/>
        <v>0.85</v>
      </c>
      <c r="CM461" s="1120">
        <f t="shared" si="590"/>
        <v>0.85</v>
      </c>
      <c r="CN461" s="1120">
        <f t="shared" si="591"/>
        <v>0.85</v>
      </c>
      <c r="CO461" s="1120">
        <f t="shared" si="592"/>
        <v>0.7</v>
      </c>
      <c r="CP461" s="1120">
        <f t="shared" si="593"/>
        <v>0.7</v>
      </c>
      <c r="CQ461" s="1120">
        <f t="shared" si="594"/>
        <v>0.85</v>
      </c>
      <c r="CR461" s="1120">
        <f t="shared" si="595"/>
        <v>0.85</v>
      </c>
      <c r="CS461" s="1120">
        <f t="shared" si="596"/>
        <v>0.85</v>
      </c>
      <c r="CT461" s="1120">
        <f t="shared" si="597"/>
        <v>0.85</v>
      </c>
      <c r="CU461" s="1120">
        <v>1</v>
      </c>
      <c r="CV461" s="1120"/>
      <c r="CW461" s="1120">
        <f t="shared" si="598"/>
        <v>153</v>
      </c>
      <c r="CX461" s="1120">
        <f t="shared" si="599"/>
        <v>212</v>
      </c>
      <c r="CY461" s="1135" t="s">
        <v>4889</v>
      </c>
      <c r="CZ461" s="1124" t="s">
        <v>4897</v>
      </c>
      <c r="DA461" s="1124"/>
      <c r="DB461" s="1124"/>
      <c r="DC461" s="1120" t="s">
        <v>5309</v>
      </c>
      <c r="DD461" s="1120" t="s">
        <v>540</v>
      </c>
      <c r="DE461" s="1120" t="str">
        <f t="shared" si="525"/>
        <v/>
      </c>
      <c r="DF461" s="1133">
        <v>1</v>
      </c>
      <c r="DG461" s="1125">
        <v>0</v>
      </c>
    </row>
    <row r="462" spans="1:111">
      <c r="A462" s="1120" t="s">
        <v>5854</v>
      </c>
      <c r="B462" s="1120" t="s">
        <v>3914</v>
      </c>
      <c r="C462" s="1120" t="s">
        <v>3915</v>
      </c>
      <c r="D462" s="1120" t="s">
        <v>1108</v>
      </c>
      <c r="E462" s="1120">
        <v>2972</v>
      </c>
      <c r="F462" s="1120">
        <v>-114.25</v>
      </c>
      <c r="G462" s="1120">
        <v>48.32</v>
      </c>
      <c r="H462" s="1120">
        <v>-7</v>
      </c>
      <c r="I462" s="1121">
        <v>-0.76000137329101647</v>
      </c>
      <c r="J462" s="1121">
        <v>86.360001373291013</v>
      </c>
      <c r="K462" s="1122">
        <v>61.7</v>
      </c>
      <c r="L462" s="1120">
        <v>7696.8</v>
      </c>
      <c r="M462" s="1120">
        <v>189</v>
      </c>
      <c r="N462" s="1123">
        <v>25.160000085830688</v>
      </c>
      <c r="O462" s="1123">
        <v>27.679999828338623</v>
      </c>
      <c r="P462" s="1123">
        <v>30.919999957084656</v>
      </c>
      <c r="Q462" s="1123">
        <v>44.959999656677248</v>
      </c>
      <c r="R462" s="1123">
        <v>51.980000686645511</v>
      </c>
      <c r="S462" s="1123">
        <v>59.540000343322752</v>
      </c>
      <c r="T462" s="1123">
        <v>65.480000686645511</v>
      </c>
      <c r="U462" s="1123">
        <v>67.280000686645508</v>
      </c>
      <c r="V462" s="1123">
        <v>54.680000686645506</v>
      </c>
      <c r="W462" s="1123">
        <v>41.359999656677246</v>
      </c>
      <c r="X462" s="1123">
        <v>31.459999978542328</v>
      </c>
      <c r="Y462" s="1123">
        <v>24.440000343322755</v>
      </c>
      <c r="Z462" s="1123">
        <v>43.834137206404179</v>
      </c>
      <c r="AA462" s="1123">
        <f t="shared" si="526"/>
        <v>42.816973594653462</v>
      </c>
      <c r="AB462" s="1123">
        <f t="shared" si="527"/>
        <v>41.335358993208168</v>
      </c>
      <c r="AC462" s="1123">
        <f t="shared" si="528"/>
        <v>42.069081903169113</v>
      </c>
      <c r="AD462" s="1123">
        <f t="shared" si="529"/>
        <v>44.826886141042671</v>
      </c>
      <c r="AE462" s="1123">
        <f t="shared" si="530"/>
        <v>48.889907533177364</v>
      </c>
      <c r="AF462" s="1123">
        <f t="shared" si="531"/>
        <v>53.199056940658345</v>
      </c>
      <c r="AG462" s="1123">
        <f t="shared" si="532"/>
        <v>56.631088164423232</v>
      </c>
      <c r="AH462" s="1123">
        <f t="shared" si="533"/>
        <v>58.291389376795614</v>
      </c>
      <c r="AI462" s="1123">
        <f t="shared" si="534"/>
        <v>57.747177480754459</v>
      </c>
      <c r="AJ462" s="1123">
        <f t="shared" si="535"/>
        <v>55.140309693562074</v>
      </c>
      <c r="AK462" s="1123">
        <f t="shared" si="536"/>
        <v>51.150306276998776</v>
      </c>
      <c r="AL462" s="1123">
        <f t="shared" si="537"/>
        <v>46.817223109405674</v>
      </c>
      <c r="AM462" s="1120">
        <f t="shared" si="538"/>
        <v>1</v>
      </c>
      <c r="AN462" s="1120">
        <f t="shared" si="539"/>
        <v>1</v>
      </c>
      <c r="AO462" s="1120">
        <f t="shared" si="540"/>
        <v>1</v>
      </c>
      <c r="AP462" s="1120">
        <f t="shared" si="541"/>
        <v>1</v>
      </c>
      <c r="AQ462" s="1120">
        <f t="shared" si="542"/>
        <v>1</v>
      </c>
      <c r="AR462" s="1120">
        <f t="shared" si="543"/>
        <v>1</v>
      </c>
      <c r="AS462" s="1120">
        <f t="shared" si="544"/>
        <v>1</v>
      </c>
      <c r="AT462" s="1120">
        <f t="shared" si="545"/>
        <v>0</v>
      </c>
      <c r="AU462" s="1120">
        <f t="shared" si="546"/>
        <v>1</v>
      </c>
      <c r="AV462" s="1120">
        <f t="shared" si="547"/>
        <v>1</v>
      </c>
      <c r="AW462" s="1120">
        <f t="shared" si="548"/>
        <v>1</v>
      </c>
      <c r="AX462" s="1120">
        <f t="shared" si="549"/>
        <v>1</v>
      </c>
      <c r="AY462" s="1120">
        <f t="shared" si="550"/>
        <v>0</v>
      </c>
      <c r="AZ462" s="1120">
        <f t="shared" si="551"/>
        <v>0</v>
      </c>
      <c r="BA462" s="1120">
        <f t="shared" si="552"/>
        <v>0</v>
      </c>
      <c r="BB462" s="1120">
        <f t="shared" si="553"/>
        <v>0</v>
      </c>
      <c r="BC462" s="1120">
        <f t="shared" si="554"/>
        <v>0</v>
      </c>
      <c r="BD462" s="1120">
        <f t="shared" si="555"/>
        <v>0</v>
      </c>
      <c r="BE462" s="1120">
        <f t="shared" si="556"/>
        <v>1</v>
      </c>
      <c r="BF462" s="1120">
        <f t="shared" si="557"/>
        <v>1</v>
      </c>
      <c r="BG462" s="1120">
        <f t="shared" si="558"/>
        <v>0</v>
      </c>
      <c r="BH462" s="1120">
        <f t="shared" si="559"/>
        <v>0</v>
      </c>
      <c r="BI462" s="1120">
        <f t="shared" si="560"/>
        <v>0</v>
      </c>
      <c r="BJ462" s="1120">
        <f t="shared" si="561"/>
        <v>0</v>
      </c>
      <c r="BK462" s="1120">
        <f t="shared" si="562"/>
        <v>1</v>
      </c>
      <c r="BL462" s="1120">
        <f t="shared" si="563"/>
        <v>1</v>
      </c>
      <c r="BM462" s="1120">
        <f t="shared" si="564"/>
        <v>1</v>
      </c>
      <c r="BN462" s="1120">
        <f t="shared" si="565"/>
        <v>1</v>
      </c>
      <c r="BO462" s="1120">
        <f t="shared" si="566"/>
        <v>1</v>
      </c>
      <c r="BP462" s="1120">
        <f t="shared" si="567"/>
        <v>1</v>
      </c>
      <c r="BQ462" s="1120">
        <f t="shared" si="568"/>
        <v>1</v>
      </c>
      <c r="BR462" s="1120">
        <f t="shared" si="569"/>
        <v>0</v>
      </c>
      <c r="BS462" s="1120">
        <f t="shared" si="570"/>
        <v>1</v>
      </c>
      <c r="BT462" s="1120">
        <f t="shared" si="571"/>
        <v>1</v>
      </c>
      <c r="BU462" s="1120">
        <f t="shared" si="572"/>
        <v>1</v>
      </c>
      <c r="BV462" s="1120">
        <f t="shared" si="573"/>
        <v>1</v>
      </c>
      <c r="BW462" s="1120">
        <f t="shared" si="574"/>
        <v>0</v>
      </c>
      <c r="BX462" s="1120">
        <f t="shared" si="575"/>
        <v>0</v>
      </c>
      <c r="BY462" s="1120">
        <f t="shared" si="576"/>
        <v>0</v>
      </c>
      <c r="BZ462" s="1120">
        <f t="shared" si="577"/>
        <v>0</v>
      </c>
      <c r="CA462" s="1120">
        <f t="shared" si="578"/>
        <v>0</v>
      </c>
      <c r="CB462" s="1120">
        <f t="shared" si="579"/>
        <v>0</v>
      </c>
      <c r="CC462" s="1120">
        <f t="shared" si="580"/>
        <v>1</v>
      </c>
      <c r="CD462" s="1120">
        <f t="shared" si="581"/>
        <v>1</v>
      </c>
      <c r="CE462" s="1120">
        <f t="shared" si="582"/>
        <v>1</v>
      </c>
      <c r="CF462" s="1120">
        <f t="shared" si="583"/>
        <v>0</v>
      </c>
      <c r="CG462" s="1120">
        <f t="shared" si="584"/>
        <v>0</v>
      </c>
      <c r="CH462" s="1120">
        <f t="shared" si="585"/>
        <v>0</v>
      </c>
      <c r="CI462" s="1120">
        <f t="shared" si="586"/>
        <v>0.85</v>
      </c>
      <c r="CJ462" s="1120">
        <f t="shared" si="587"/>
        <v>0.85</v>
      </c>
      <c r="CK462" s="1120">
        <f t="shared" si="588"/>
        <v>0.85</v>
      </c>
      <c r="CL462" s="1120">
        <f t="shared" si="589"/>
        <v>0.85</v>
      </c>
      <c r="CM462" s="1120">
        <f t="shared" si="590"/>
        <v>0.85</v>
      </c>
      <c r="CN462" s="1120">
        <f t="shared" si="591"/>
        <v>0.85</v>
      </c>
      <c r="CO462" s="1120">
        <f t="shared" si="592"/>
        <v>0.85</v>
      </c>
      <c r="CP462" s="1120">
        <f t="shared" si="593"/>
        <v>0.7</v>
      </c>
      <c r="CQ462" s="1120">
        <f t="shared" si="594"/>
        <v>0.85</v>
      </c>
      <c r="CR462" s="1120">
        <f t="shared" si="595"/>
        <v>0.85</v>
      </c>
      <c r="CS462" s="1120">
        <f t="shared" si="596"/>
        <v>0.85</v>
      </c>
      <c r="CT462" s="1120">
        <f t="shared" si="597"/>
        <v>0.85</v>
      </c>
      <c r="CU462" s="1120">
        <v>1</v>
      </c>
      <c r="CV462" s="1120"/>
      <c r="CW462" s="1120">
        <f t="shared" si="598"/>
        <v>92</v>
      </c>
      <c r="CX462" s="1120">
        <f t="shared" si="599"/>
        <v>273</v>
      </c>
      <c r="CY462" s="1135" t="s">
        <v>4889</v>
      </c>
      <c r="CZ462" s="1124" t="s">
        <v>4896</v>
      </c>
      <c r="DA462" s="1124"/>
      <c r="DB462" s="1124"/>
      <c r="DC462" s="1120" t="s">
        <v>5379</v>
      </c>
      <c r="DD462" s="1120" t="s">
        <v>1108</v>
      </c>
      <c r="DE462" s="1120" t="b">
        <f t="shared" si="525"/>
        <v>0</v>
      </c>
      <c r="DF462" s="1133">
        <v>1</v>
      </c>
      <c r="DG462" s="1120">
        <v>0</v>
      </c>
    </row>
    <row r="463" spans="1:111">
      <c r="A463" s="1125" t="s">
        <v>3693</v>
      </c>
      <c r="B463" s="1120" t="s">
        <v>3392</v>
      </c>
      <c r="C463" s="1120" t="s">
        <v>3393</v>
      </c>
      <c r="D463" s="1120" t="s">
        <v>122</v>
      </c>
      <c r="E463" s="1120">
        <v>10</v>
      </c>
      <c r="F463" s="1120">
        <v>-157.78</v>
      </c>
      <c r="G463" s="1120">
        <v>21.45</v>
      </c>
      <c r="H463" s="1120">
        <v>-10</v>
      </c>
      <c r="I463" s="1121">
        <v>66.2</v>
      </c>
      <c r="J463" s="1121">
        <v>84.380000686645502</v>
      </c>
      <c r="K463" s="1122">
        <v>74.119999313354498</v>
      </c>
      <c r="L463" s="1120">
        <v>0</v>
      </c>
      <c r="M463" s="1120">
        <v>4579.2</v>
      </c>
      <c r="N463" s="1123">
        <v>73.580000686645505</v>
      </c>
      <c r="O463" s="1123">
        <v>73.760001373291018</v>
      </c>
      <c r="P463" s="1123">
        <v>72.860001373291013</v>
      </c>
      <c r="Q463" s="1123">
        <v>75.2</v>
      </c>
      <c r="R463" s="1123">
        <v>76.639998626708987</v>
      </c>
      <c r="S463" s="1123">
        <v>77.900000000000006</v>
      </c>
      <c r="T463" s="1123">
        <v>79.16000137329101</v>
      </c>
      <c r="U463" s="1123">
        <v>80.960001373291021</v>
      </c>
      <c r="V463" s="1123">
        <v>80.780000686645508</v>
      </c>
      <c r="W463" s="1123">
        <v>80.419999313354495</v>
      </c>
      <c r="X463" s="1123">
        <v>76.639998626708987</v>
      </c>
      <c r="Y463" s="1123">
        <v>75.2</v>
      </c>
      <c r="Z463" s="1123">
        <v>76.943287953415961</v>
      </c>
      <c r="AA463" s="1123">
        <f t="shared" si="526"/>
        <v>79.990934999384351</v>
      </c>
      <c r="AB463" s="1123">
        <f t="shared" si="527"/>
        <v>80.324118795218695</v>
      </c>
      <c r="AC463" s="1123">
        <f t="shared" si="528"/>
        <v>81.340029394755661</v>
      </c>
      <c r="AD463" s="1123">
        <f t="shared" si="529"/>
        <v>82.773854044569688</v>
      </c>
      <c r="AE463" s="1123">
        <f t="shared" si="530"/>
        <v>84.251844253780064</v>
      </c>
      <c r="AF463" s="1123">
        <f t="shared" si="531"/>
        <v>85.388739097837544</v>
      </c>
      <c r="AG463" s="1123">
        <f t="shared" si="532"/>
        <v>85.888189415558685</v>
      </c>
      <c r="AH463" s="1123">
        <f t="shared" si="533"/>
        <v>85.620005784867075</v>
      </c>
      <c r="AI463" s="1123">
        <f t="shared" si="534"/>
        <v>84.654094401937328</v>
      </c>
      <c r="AJ463" s="1123">
        <f t="shared" si="535"/>
        <v>83.242234953875084</v>
      </c>
      <c r="AK463" s="1123">
        <f t="shared" si="536"/>
        <v>81.752450363230437</v>
      </c>
      <c r="AL463" s="1123">
        <f t="shared" si="537"/>
        <v>80.57307594183041</v>
      </c>
      <c r="AM463" s="1120">
        <f t="shared" si="538"/>
        <v>0</v>
      </c>
      <c r="AN463" s="1120">
        <f t="shared" si="539"/>
        <v>0</v>
      </c>
      <c r="AO463" s="1120">
        <f t="shared" si="540"/>
        <v>0</v>
      </c>
      <c r="AP463" s="1120">
        <f t="shared" si="541"/>
        <v>0</v>
      </c>
      <c r="AQ463" s="1120">
        <f t="shared" si="542"/>
        <v>0</v>
      </c>
      <c r="AR463" s="1120">
        <f t="shared" si="543"/>
        <v>0</v>
      </c>
      <c r="AS463" s="1120">
        <f t="shared" si="544"/>
        <v>0</v>
      </c>
      <c r="AT463" s="1120">
        <f t="shared" si="545"/>
        <v>0</v>
      </c>
      <c r="AU463" s="1120">
        <f t="shared" si="546"/>
        <v>0</v>
      </c>
      <c r="AV463" s="1120">
        <f t="shared" si="547"/>
        <v>0</v>
      </c>
      <c r="AW463" s="1120">
        <f t="shared" si="548"/>
        <v>0</v>
      </c>
      <c r="AX463" s="1120">
        <f t="shared" si="549"/>
        <v>0</v>
      </c>
      <c r="AY463" s="1120">
        <f t="shared" si="550"/>
        <v>1</v>
      </c>
      <c r="AZ463" s="1120">
        <f t="shared" si="551"/>
        <v>1</v>
      </c>
      <c r="BA463" s="1120">
        <f t="shared" si="552"/>
        <v>1</v>
      </c>
      <c r="BB463" s="1120">
        <f t="shared" si="553"/>
        <v>1</v>
      </c>
      <c r="BC463" s="1120">
        <f t="shared" si="554"/>
        <v>1</v>
      </c>
      <c r="BD463" s="1120">
        <f t="shared" si="555"/>
        <v>1</v>
      </c>
      <c r="BE463" s="1120">
        <f t="shared" si="556"/>
        <v>1</v>
      </c>
      <c r="BF463" s="1120">
        <f t="shared" si="557"/>
        <v>1</v>
      </c>
      <c r="BG463" s="1120">
        <f t="shared" si="558"/>
        <v>1</v>
      </c>
      <c r="BH463" s="1120">
        <f t="shared" si="559"/>
        <v>1</v>
      </c>
      <c r="BI463" s="1120">
        <f t="shared" si="560"/>
        <v>1</v>
      </c>
      <c r="BJ463" s="1120">
        <f t="shared" si="561"/>
        <v>1</v>
      </c>
      <c r="BK463" s="1120">
        <f t="shared" si="562"/>
        <v>0</v>
      </c>
      <c r="BL463" s="1120">
        <f t="shared" si="563"/>
        <v>0</v>
      </c>
      <c r="BM463" s="1120">
        <f t="shared" si="564"/>
        <v>0</v>
      </c>
      <c r="BN463" s="1120">
        <f t="shared" si="565"/>
        <v>0</v>
      </c>
      <c r="BO463" s="1120">
        <f t="shared" si="566"/>
        <v>0</v>
      </c>
      <c r="BP463" s="1120">
        <f t="shared" si="567"/>
        <v>0</v>
      </c>
      <c r="BQ463" s="1120">
        <f t="shared" si="568"/>
        <v>0</v>
      </c>
      <c r="BR463" s="1120">
        <f t="shared" si="569"/>
        <v>0</v>
      </c>
      <c r="BS463" s="1120">
        <f t="shared" si="570"/>
        <v>0</v>
      </c>
      <c r="BT463" s="1120">
        <f t="shared" si="571"/>
        <v>0</v>
      </c>
      <c r="BU463" s="1120">
        <f t="shared" si="572"/>
        <v>0</v>
      </c>
      <c r="BV463" s="1120">
        <f t="shared" si="573"/>
        <v>0</v>
      </c>
      <c r="BW463" s="1120">
        <f t="shared" si="574"/>
        <v>1</v>
      </c>
      <c r="BX463" s="1120">
        <f t="shared" si="575"/>
        <v>1</v>
      </c>
      <c r="BY463" s="1120">
        <f t="shared" si="576"/>
        <v>1</v>
      </c>
      <c r="BZ463" s="1120">
        <f t="shared" si="577"/>
        <v>1</v>
      </c>
      <c r="CA463" s="1120">
        <f t="shared" si="578"/>
        <v>1</v>
      </c>
      <c r="CB463" s="1120">
        <f t="shared" si="579"/>
        <v>1</v>
      </c>
      <c r="CC463" s="1120">
        <f t="shared" si="580"/>
        <v>1</v>
      </c>
      <c r="CD463" s="1120">
        <f t="shared" si="581"/>
        <v>1</v>
      </c>
      <c r="CE463" s="1120">
        <f t="shared" si="582"/>
        <v>1</v>
      </c>
      <c r="CF463" s="1120">
        <f t="shared" si="583"/>
        <v>1</v>
      </c>
      <c r="CG463" s="1120">
        <f t="shared" si="584"/>
        <v>1</v>
      </c>
      <c r="CH463" s="1120">
        <f t="shared" si="585"/>
        <v>1</v>
      </c>
      <c r="CI463" s="1120">
        <f t="shared" si="586"/>
        <v>0.7</v>
      </c>
      <c r="CJ463" s="1120">
        <f t="shared" si="587"/>
        <v>0.7</v>
      </c>
      <c r="CK463" s="1120">
        <f t="shared" si="588"/>
        <v>0.7</v>
      </c>
      <c r="CL463" s="1120">
        <f t="shared" si="589"/>
        <v>0.7</v>
      </c>
      <c r="CM463" s="1120">
        <f t="shared" si="590"/>
        <v>0.7</v>
      </c>
      <c r="CN463" s="1120">
        <f t="shared" si="591"/>
        <v>0.7</v>
      </c>
      <c r="CO463" s="1120">
        <f t="shared" si="592"/>
        <v>0.7</v>
      </c>
      <c r="CP463" s="1120">
        <f t="shared" si="593"/>
        <v>0.7</v>
      </c>
      <c r="CQ463" s="1120">
        <f t="shared" si="594"/>
        <v>0.7</v>
      </c>
      <c r="CR463" s="1120">
        <f t="shared" si="595"/>
        <v>0.7</v>
      </c>
      <c r="CS463" s="1120">
        <f t="shared" si="596"/>
        <v>0.7</v>
      </c>
      <c r="CT463" s="1120">
        <f t="shared" si="597"/>
        <v>0.7</v>
      </c>
      <c r="CU463" s="1120">
        <v>1</v>
      </c>
      <c r="CV463" s="1120"/>
      <c r="CW463" s="1120">
        <f t="shared" si="598"/>
        <v>365</v>
      </c>
      <c r="CX463" s="1120">
        <f t="shared" si="599"/>
        <v>0</v>
      </c>
      <c r="CY463" s="1135" t="s">
        <v>4883</v>
      </c>
      <c r="CZ463" s="1124" t="s">
        <v>4898</v>
      </c>
      <c r="DA463" s="1124"/>
      <c r="DB463" s="1124"/>
      <c r="DC463" s="1120" t="s">
        <v>5151</v>
      </c>
      <c r="DD463" s="1120" t="s">
        <v>122</v>
      </c>
      <c r="DE463" s="1120" t="str">
        <f t="shared" si="525"/>
        <v/>
      </c>
      <c r="DF463" s="1133">
        <v>0</v>
      </c>
      <c r="DG463" s="1125">
        <v>0</v>
      </c>
    </row>
    <row r="464" spans="1:111">
      <c r="A464" s="1120" t="s">
        <v>3697</v>
      </c>
      <c r="B464" s="1120" t="s">
        <v>3850</v>
      </c>
      <c r="C464" s="1120" t="s">
        <v>3851</v>
      </c>
      <c r="D464" s="1120" t="s">
        <v>1248</v>
      </c>
      <c r="E464" s="1120">
        <v>741</v>
      </c>
      <c r="F464" s="1120">
        <v>-94.6</v>
      </c>
      <c r="G464" s="1120">
        <v>39.119999999999997</v>
      </c>
      <c r="H464" s="1120">
        <v>-6</v>
      </c>
      <c r="I464" s="1121">
        <v>8.6</v>
      </c>
      <c r="J464" s="1121">
        <v>93.920002746582028</v>
      </c>
      <c r="K464" s="1122">
        <v>75.739998626708982</v>
      </c>
      <c r="L464" s="1120">
        <v>4177.8</v>
      </c>
      <c r="M464" s="1120">
        <v>2014.2</v>
      </c>
      <c r="N464" s="1123">
        <v>29.839999914169312</v>
      </c>
      <c r="O464" s="1123">
        <v>41.9</v>
      </c>
      <c r="P464" s="1123">
        <v>49.280000686645508</v>
      </c>
      <c r="Q464" s="1123">
        <v>56.840000343322757</v>
      </c>
      <c r="R464" s="1123">
        <v>69.619999313354498</v>
      </c>
      <c r="S464" s="1123">
        <v>76.099999999999994</v>
      </c>
      <c r="T464" s="1123">
        <v>80.599999999999994</v>
      </c>
      <c r="U464" s="1123">
        <v>83.119999313354498</v>
      </c>
      <c r="V464" s="1123">
        <v>75.560001373291016</v>
      </c>
      <c r="W464" s="1123">
        <v>57.559999656677249</v>
      </c>
      <c r="X464" s="1123">
        <v>42.620000171661374</v>
      </c>
      <c r="Y464" s="1123">
        <v>37.76000008583069</v>
      </c>
      <c r="Z464" s="1123">
        <v>58.487616506080109</v>
      </c>
      <c r="AA464" s="1123">
        <f t="shared" si="526"/>
        <v>50.867126889014415</v>
      </c>
      <c r="AB464" s="1123">
        <f t="shared" si="527"/>
        <v>50.165161207287241</v>
      </c>
      <c r="AC464" s="1123">
        <f t="shared" si="528"/>
        <v>53.196564214907596</v>
      </c>
      <c r="AD464" s="1123">
        <f t="shared" si="529"/>
        <v>59.171154002604823</v>
      </c>
      <c r="AE464" s="1123">
        <f t="shared" si="530"/>
        <v>66.531561671000034</v>
      </c>
      <c r="AF464" s="1123">
        <f t="shared" si="531"/>
        <v>73.359183534010441</v>
      </c>
      <c r="AG464" s="1123">
        <f t="shared" si="532"/>
        <v>77.874294736204575</v>
      </c>
      <c r="AH464" s="1123">
        <f t="shared" si="533"/>
        <v>78.899961962760756</v>
      </c>
      <c r="AI464" s="1123">
        <f t="shared" si="534"/>
        <v>76.168829245066689</v>
      </c>
      <c r="AJ464" s="1123">
        <f t="shared" si="535"/>
        <v>70.392808414018532</v>
      </c>
      <c r="AK464" s="1123">
        <f t="shared" si="536"/>
        <v>63.077508310404312</v>
      </c>
      <c r="AL464" s="1123">
        <f t="shared" si="537"/>
        <v>56.129774638418077</v>
      </c>
      <c r="AM464" s="1120">
        <f t="shared" si="538"/>
        <v>1</v>
      </c>
      <c r="AN464" s="1120">
        <f t="shared" si="539"/>
        <v>1</v>
      </c>
      <c r="AO464" s="1120">
        <f t="shared" si="540"/>
        <v>1</v>
      </c>
      <c r="AP464" s="1120">
        <f t="shared" si="541"/>
        <v>1</v>
      </c>
      <c r="AQ464" s="1120">
        <f t="shared" si="542"/>
        <v>0</v>
      </c>
      <c r="AR464" s="1120">
        <f t="shared" si="543"/>
        <v>0</v>
      </c>
      <c r="AS464" s="1120">
        <f t="shared" si="544"/>
        <v>0</v>
      </c>
      <c r="AT464" s="1120">
        <f t="shared" si="545"/>
        <v>0</v>
      </c>
      <c r="AU464" s="1120">
        <f t="shared" si="546"/>
        <v>0</v>
      </c>
      <c r="AV464" s="1120">
        <f t="shared" si="547"/>
        <v>1</v>
      </c>
      <c r="AW464" s="1120">
        <f t="shared" si="548"/>
        <v>1</v>
      </c>
      <c r="AX464" s="1120">
        <f t="shared" si="549"/>
        <v>1</v>
      </c>
      <c r="AY464" s="1120">
        <f t="shared" si="550"/>
        <v>0</v>
      </c>
      <c r="AZ464" s="1120">
        <f t="shared" si="551"/>
        <v>0</v>
      </c>
      <c r="BA464" s="1120">
        <f t="shared" si="552"/>
        <v>0</v>
      </c>
      <c r="BB464" s="1120">
        <f t="shared" si="553"/>
        <v>0</v>
      </c>
      <c r="BC464" s="1120">
        <f t="shared" si="554"/>
        <v>1</v>
      </c>
      <c r="BD464" s="1120">
        <f t="shared" si="555"/>
        <v>1</v>
      </c>
      <c r="BE464" s="1120">
        <f t="shared" si="556"/>
        <v>1</v>
      </c>
      <c r="BF464" s="1120">
        <f t="shared" si="557"/>
        <v>1</v>
      </c>
      <c r="BG464" s="1120">
        <f t="shared" si="558"/>
        <v>1</v>
      </c>
      <c r="BH464" s="1120">
        <f t="shared" si="559"/>
        <v>0</v>
      </c>
      <c r="BI464" s="1120">
        <f t="shared" si="560"/>
        <v>0</v>
      </c>
      <c r="BJ464" s="1120">
        <f t="shared" si="561"/>
        <v>0</v>
      </c>
      <c r="BK464" s="1120">
        <f t="shared" si="562"/>
        <v>1</v>
      </c>
      <c r="BL464" s="1120">
        <f t="shared" si="563"/>
        <v>1</v>
      </c>
      <c r="BM464" s="1120">
        <f t="shared" si="564"/>
        <v>1</v>
      </c>
      <c r="BN464" s="1120">
        <f t="shared" si="565"/>
        <v>1</v>
      </c>
      <c r="BO464" s="1120">
        <f t="shared" si="566"/>
        <v>1</v>
      </c>
      <c r="BP464" s="1120">
        <f t="shared" si="567"/>
        <v>0</v>
      </c>
      <c r="BQ464" s="1120">
        <f t="shared" si="568"/>
        <v>0</v>
      </c>
      <c r="BR464" s="1120">
        <f t="shared" si="569"/>
        <v>0</v>
      </c>
      <c r="BS464" s="1120">
        <f t="shared" si="570"/>
        <v>0</v>
      </c>
      <c r="BT464" s="1120">
        <f t="shared" si="571"/>
        <v>1</v>
      </c>
      <c r="BU464" s="1120">
        <f t="shared" si="572"/>
        <v>1</v>
      </c>
      <c r="BV464" s="1120">
        <f t="shared" si="573"/>
        <v>1</v>
      </c>
      <c r="BW464" s="1120">
        <f t="shared" si="574"/>
        <v>0</v>
      </c>
      <c r="BX464" s="1120">
        <f t="shared" si="575"/>
        <v>0</v>
      </c>
      <c r="BY464" s="1120">
        <f t="shared" si="576"/>
        <v>0</v>
      </c>
      <c r="BZ464" s="1120">
        <f t="shared" si="577"/>
        <v>1</v>
      </c>
      <c r="CA464" s="1120">
        <f t="shared" si="578"/>
        <v>1</v>
      </c>
      <c r="CB464" s="1120">
        <f t="shared" si="579"/>
        <v>1</v>
      </c>
      <c r="CC464" s="1120">
        <f t="shared" si="580"/>
        <v>1</v>
      </c>
      <c r="CD464" s="1120">
        <f t="shared" si="581"/>
        <v>1</v>
      </c>
      <c r="CE464" s="1120">
        <f t="shared" si="582"/>
        <v>1</v>
      </c>
      <c r="CF464" s="1120">
        <f t="shared" si="583"/>
        <v>1</v>
      </c>
      <c r="CG464" s="1120">
        <f t="shared" si="584"/>
        <v>0</v>
      </c>
      <c r="CH464" s="1120">
        <f t="shared" si="585"/>
        <v>0</v>
      </c>
      <c r="CI464" s="1120">
        <f t="shared" si="586"/>
        <v>0.85</v>
      </c>
      <c r="CJ464" s="1120">
        <f t="shared" si="587"/>
        <v>0.85</v>
      </c>
      <c r="CK464" s="1120">
        <f t="shared" si="588"/>
        <v>0.85</v>
      </c>
      <c r="CL464" s="1120">
        <f t="shared" si="589"/>
        <v>0.85</v>
      </c>
      <c r="CM464" s="1120">
        <f t="shared" si="590"/>
        <v>0.85</v>
      </c>
      <c r="CN464" s="1120">
        <f t="shared" si="591"/>
        <v>0.7</v>
      </c>
      <c r="CO464" s="1120">
        <f t="shared" si="592"/>
        <v>0.7</v>
      </c>
      <c r="CP464" s="1120">
        <f t="shared" si="593"/>
        <v>0.7</v>
      </c>
      <c r="CQ464" s="1120">
        <f t="shared" si="594"/>
        <v>0.7</v>
      </c>
      <c r="CR464" s="1120">
        <f t="shared" si="595"/>
        <v>0.85</v>
      </c>
      <c r="CS464" s="1120">
        <f t="shared" si="596"/>
        <v>0.85</v>
      </c>
      <c r="CT464" s="1120">
        <f t="shared" si="597"/>
        <v>0.85</v>
      </c>
      <c r="CU464" s="1120">
        <v>1</v>
      </c>
      <c r="CV464" s="1120"/>
      <c r="CW464" s="1120">
        <f t="shared" si="598"/>
        <v>214</v>
      </c>
      <c r="CX464" s="1120">
        <f t="shared" si="599"/>
        <v>151</v>
      </c>
      <c r="CY464" s="1135" t="s">
        <v>4881</v>
      </c>
      <c r="CZ464" s="1124" t="s">
        <v>4885</v>
      </c>
      <c r="DA464" s="1124"/>
      <c r="DB464" s="1124"/>
      <c r="DC464" s="1120" t="s">
        <v>5352</v>
      </c>
      <c r="DD464" s="1120" t="s">
        <v>1248</v>
      </c>
      <c r="DE464" s="1120" t="str">
        <f t="shared" si="525"/>
        <v/>
      </c>
      <c r="DF464" s="1133">
        <v>0</v>
      </c>
      <c r="DG464" s="1120">
        <v>0</v>
      </c>
    </row>
    <row r="465" spans="1:111">
      <c r="A465" s="1125" t="s">
        <v>3699</v>
      </c>
      <c r="B465" s="1125" t="s">
        <v>3852</v>
      </c>
      <c r="C465" s="1125" t="s">
        <v>3853</v>
      </c>
      <c r="D465" s="1125" t="s">
        <v>1248</v>
      </c>
      <c r="E465" s="1125">
        <v>977</v>
      </c>
      <c r="F465" s="1125">
        <v>-94.72</v>
      </c>
      <c r="G465" s="1125">
        <v>39.299999999999997</v>
      </c>
      <c r="H465" s="1125">
        <v>-6</v>
      </c>
      <c r="I465" s="1126">
        <v>5.3599996566772452</v>
      </c>
      <c r="J465" s="1126">
        <v>92.660001373291024</v>
      </c>
      <c r="K465" s="1127">
        <v>75.919999313354495</v>
      </c>
      <c r="L465" s="1125">
        <v>5293.8</v>
      </c>
      <c r="M465" s="1125">
        <v>1393.2</v>
      </c>
      <c r="N465" s="1128">
        <v>26.779999828338624</v>
      </c>
      <c r="O465" s="1128">
        <v>30.2</v>
      </c>
      <c r="P465" s="1128">
        <v>42.259999656677245</v>
      </c>
      <c r="Q465" s="1128">
        <v>54.680000686645506</v>
      </c>
      <c r="R465" s="1128">
        <v>65.480000686645511</v>
      </c>
      <c r="S465" s="1128">
        <v>75.380000686645502</v>
      </c>
      <c r="T465" s="1128">
        <v>76.819999313354487</v>
      </c>
      <c r="U465" s="1128">
        <v>75.560001373291016</v>
      </c>
      <c r="V465" s="1128">
        <v>69.619999313354498</v>
      </c>
      <c r="W465" s="1128">
        <v>55.759999656677245</v>
      </c>
      <c r="X465" s="1128">
        <v>40.820000171661377</v>
      </c>
      <c r="Y465" s="1128">
        <v>29.660000085830688</v>
      </c>
      <c r="Z465" s="1128">
        <v>53.705534368149223</v>
      </c>
      <c r="AA465" s="1128">
        <f t="shared" si="526"/>
        <v>48.428930272612646</v>
      </c>
      <c r="AB465" s="1128">
        <f t="shared" si="527"/>
        <v>47.309962009195218</v>
      </c>
      <c r="AC465" s="1128">
        <f t="shared" si="528"/>
        <v>49.422090702691385</v>
      </c>
      <c r="AD465" s="1128">
        <f t="shared" si="529"/>
        <v>54.21475746025294</v>
      </c>
      <c r="AE465" s="1128">
        <f t="shared" si="530"/>
        <v>60.438679834291101</v>
      </c>
      <c r="AF465" s="1128">
        <f t="shared" si="531"/>
        <v>66.471496544465765</v>
      </c>
      <c r="AG465" s="1128">
        <f t="shared" si="532"/>
        <v>70.740660946750253</v>
      </c>
      <c r="AH465" s="1128">
        <f t="shared" si="533"/>
        <v>72.133349549874239</v>
      </c>
      <c r="AI465" s="1128">
        <f t="shared" si="534"/>
        <v>70.286536607452447</v>
      </c>
      <c r="AJ465" s="1128">
        <f t="shared" si="535"/>
        <v>65.681622373176012</v>
      </c>
      <c r="AK465" s="1128">
        <f t="shared" si="536"/>
        <v>59.518948706085531</v>
      </c>
      <c r="AL465" s="1128">
        <f t="shared" si="537"/>
        <v>53.404911467184036</v>
      </c>
      <c r="AM465" s="1125">
        <f t="shared" si="538"/>
        <v>1</v>
      </c>
      <c r="AN465" s="1125">
        <f t="shared" si="539"/>
        <v>1</v>
      </c>
      <c r="AO465" s="1125">
        <f t="shared" si="540"/>
        <v>1</v>
      </c>
      <c r="AP465" s="1125">
        <f t="shared" si="541"/>
        <v>1</v>
      </c>
      <c r="AQ465" s="1125">
        <f t="shared" si="542"/>
        <v>1</v>
      </c>
      <c r="AR465" s="1125">
        <f t="shared" si="543"/>
        <v>0</v>
      </c>
      <c r="AS465" s="1125">
        <f t="shared" si="544"/>
        <v>0</v>
      </c>
      <c r="AT465" s="1125">
        <f t="shared" si="545"/>
        <v>0</v>
      </c>
      <c r="AU465" s="1125">
        <f t="shared" si="546"/>
        <v>0</v>
      </c>
      <c r="AV465" s="1125">
        <f t="shared" si="547"/>
        <v>1</v>
      </c>
      <c r="AW465" s="1125">
        <f t="shared" si="548"/>
        <v>1</v>
      </c>
      <c r="AX465" s="1125">
        <f t="shared" si="549"/>
        <v>1</v>
      </c>
      <c r="AY465" s="1125">
        <f t="shared" si="550"/>
        <v>0</v>
      </c>
      <c r="AZ465" s="1125">
        <f t="shared" si="551"/>
        <v>0</v>
      </c>
      <c r="BA465" s="1125">
        <f t="shared" si="552"/>
        <v>0</v>
      </c>
      <c r="BB465" s="1125">
        <f t="shared" si="553"/>
        <v>0</v>
      </c>
      <c r="BC465" s="1125">
        <f t="shared" si="554"/>
        <v>0</v>
      </c>
      <c r="BD465" s="1125">
        <f t="shared" si="555"/>
        <v>1</v>
      </c>
      <c r="BE465" s="1125">
        <f t="shared" si="556"/>
        <v>1</v>
      </c>
      <c r="BF465" s="1125">
        <f t="shared" si="557"/>
        <v>1</v>
      </c>
      <c r="BG465" s="1125">
        <f t="shared" si="558"/>
        <v>1</v>
      </c>
      <c r="BH465" s="1125">
        <f t="shared" si="559"/>
        <v>0</v>
      </c>
      <c r="BI465" s="1125">
        <f t="shared" si="560"/>
        <v>0</v>
      </c>
      <c r="BJ465" s="1125">
        <f t="shared" si="561"/>
        <v>0</v>
      </c>
      <c r="BK465" s="1125">
        <f t="shared" si="562"/>
        <v>1</v>
      </c>
      <c r="BL465" s="1125">
        <f t="shared" si="563"/>
        <v>1</v>
      </c>
      <c r="BM465" s="1125">
        <f t="shared" si="564"/>
        <v>1</v>
      </c>
      <c r="BN465" s="1125">
        <f t="shared" si="565"/>
        <v>1</v>
      </c>
      <c r="BO465" s="1125">
        <f t="shared" si="566"/>
        <v>1</v>
      </c>
      <c r="BP465" s="1125">
        <f t="shared" si="567"/>
        <v>1</v>
      </c>
      <c r="BQ465" s="1125">
        <f t="shared" si="568"/>
        <v>0</v>
      </c>
      <c r="BR465" s="1125">
        <f t="shared" si="569"/>
        <v>0</v>
      </c>
      <c r="BS465" s="1125">
        <f t="shared" si="570"/>
        <v>0</v>
      </c>
      <c r="BT465" s="1125">
        <f t="shared" si="571"/>
        <v>1</v>
      </c>
      <c r="BU465" s="1125">
        <f t="shared" si="572"/>
        <v>1</v>
      </c>
      <c r="BV465" s="1125">
        <f t="shared" si="573"/>
        <v>1</v>
      </c>
      <c r="BW465" s="1125">
        <f t="shared" si="574"/>
        <v>0</v>
      </c>
      <c r="BX465" s="1125">
        <f t="shared" si="575"/>
        <v>0</v>
      </c>
      <c r="BY465" s="1125">
        <f t="shared" si="576"/>
        <v>0</v>
      </c>
      <c r="BZ465" s="1125">
        <f t="shared" si="577"/>
        <v>0</v>
      </c>
      <c r="CA465" s="1125">
        <f t="shared" si="578"/>
        <v>1</v>
      </c>
      <c r="CB465" s="1125">
        <f t="shared" si="579"/>
        <v>1</v>
      </c>
      <c r="CC465" s="1125">
        <f t="shared" si="580"/>
        <v>1</v>
      </c>
      <c r="CD465" s="1125">
        <f t="shared" si="581"/>
        <v>1</v>
      </c>
      <c r="CE465" s="1125">
        <f t="shared" si="582"/>
        <v>1</v>
      </c>
      <c r="CF465" s="1125">
        <f t="shared" si="583"/>
        <v>1</v>
      </c>
      <c r="CG465" s="1125">
        <f t="shared" si="584"/>
        <v>0</v>
      </c>
      <c r="CH465" s="1125">
        <f t="shared" si="585"/>
        <v>0</v>
      </c>
      <c r="CI465" s="1125">
        <f t="shared" si="586"/>
        <v>0.85</v>
      </c>
      <c r="CJ465" s="1125">
        <f t="shared" si="587"/>
        <v>0.85</v>
      </c>
      <c r="CK465" s="1125">
        <f t="shared" si="588"/>
        <v>0.85</v>
      </c>
      <c r="CL465" s="1125">
        <f t="shared" si="589"/>
        <v>0.85</v>
      </c>
      <c r="CM465" s="1125">
        <f t="shared" si="590"/>
        <v>0.85</v>
      </c>
      <c r="CN465" s="1125">
        <f t="shared" si="591"/>
        <v>0.85</v>
      </c>
      <c r="CO465" s="1125">
        <f t="shared" si="592"/>
        <v>0.7</v>
      </c>
      <c r="CP465" s="1125">
        <f t="shared" si="593"/>
        <v>0.7</v>
      </c>
      <c r="CQ465" s="1125">
        <f t="shared" si="594"/>
        <v>0.7</v>
      </c>
      <c r="CR465" s="1125">
        <f t="shared" si="595"/>
        <v>0.85</v>
      </c>
      <c r="CS465" s="1125">
        <f t="shared" si="596"/>
        <v>0.85</v>
      </c>
      <c r="CT465" s="1125">
        <f t="shared" si="597"/>
        <v>0.85</v>
      </c>
      <c r="CU465" s="1125">
        <v>1</v>
      </c>
      <c r="CV465" s="1125"/>
      <c r="CW465" s="1125">
        <f t="shared" si="598"/>
        <v>184</v>
      </c>
      <c r="CX465" s="1125">
        <f t="shared" si="599"/>
        <v>181</v>
      </c>
      <c r="CY465" s="1136" t="s">
        <v>4881</v>
      </c>
      <c r="CZ465" s="1129" t="s">
        <v>4885</v>
      </c>
      <c r="DA465" s="1129"/>
      <c r="DB465" s="1129"/>
      <c r="DC465" s="1125" t="s">
        <v>5353</v>
      </c>
      <c r="DD465" s="1125" t="s">
        <v>1248</v>
      </c>
      <c r="DE465" s="1120" t="b">
        <f t="shared" si="525"/>
        <v>0</v>
      </c>
      <c r="DF465" s="1133">
        <v>1</v>
      </c>
      <c r="DG465" s="1125">
        <v>0</v>
      </c>
    </row>
    <row r="466" spans="1:111">
      <c r="A466" s="1120" t="s">
        <v>3691</v>
      </c>
      <c r="B466" s="1125" t="s">
        <v>3394</v>
      </c>
      <c r="C466" s="1125" t="s">
        <v>3395</v>
      </c>
      <c r="D466" s="1125" t="s">
        <v>122</v>
      </c>
      <c r="E466" s="1125">
        <v>262</v>
      </c>
      <c r="F466" s="1125">
        <v>-156.63</v>
      </c>
      <c r="G466" s="1125">
        <v>20.95</v>
      </c>
      <c r="H466" s="1125">
        <v>-10</v>
      </c>
      <c r="I466" s="1126">
        <v>65.480000686645511</v>
      </c>
      <c r="J466" s="1126">
        <v>86.180000686645513</v>
      </c>
      <c r="K466" s="1127">
        <v>73.039998626708979</v>
      </c>
      <c r="L466" s="1125">
        <v>0</v>
      </c>
      <c r="M466" s="1125">
        <v>3956.4</v>
      </c>
      <c r="N466" s="1128">
        <v>72.5</v>
      </c>
      <c r="O466" s="1128">
        <v>74.119999313354498</v>
      </c>
      <c r="P466" s="1128">
        <v>71.780000686645508</v>
      </c>
      <c r="Q466" s="1128">
        <v>73.760001373291018</v>
      </c>
      <c r="R466" s="1128">
        <v>75.019999313354489</v>
      </c>
      <c r="S466" s="1128">
        <v>76.280000686645508</v>
      </c>
      <c r="T466" s="1128">
        <v>77.539998626708979</v>
      </c>
      <c r="U466" s="1128">
        <v>78.8</v>
      </c>
      <c r="V466" s="1128">
        <v>78.980000686645511</v>
      </c>
      <c r="W466" s="1128">
        <v>77.539998626708979</v>
      </c>
      <c r="X466" s="1128">
        <v>74.66000137329101</v>
      </c>
      <c r="Y466" s="1128">
        <v>71.780000686645508</v>
      </c>
      <c r="Z466" s="1128">
        <v>75.231561754827638</v>
      </c>
      <c r="AA466" s="1128">
        <f t="shared" si="526"/>
        <v>78.672615970578434</v>
      </c>
      <c r="AB466" s="1128">
        <f t="shared" si="527"/>
        <v>78.924096074688705</v>
      </c>
      <c r="AC466" s="1128">
        <f t="shared" si="528"/>
        <v>79.777052667449681</v>
      </c>
      <c r="AD466" s="1128">
        <f t="shared" si="529"/>
        <v>81.009149468499245</v>
      </c>
      <c r="AE466" s="1128">
        <f t="shared" si="530"/>
        <v>82.299221459457399</v>
      </c>
      <c r="AF466" s="1128">
        <f t="shared" si="531"/>
        <v>83.310991495269704</v>
      </c>
      <c r="AG466" s="1128">
        <f t="shared" si="532"/>
        <v>83.780726124253505</v>
      </c>
      <c r="AH466" s="1128">
        <f t="shared" si="533"/>
        <v>83.58598177653441</v>
      </c>
      <c r="AI466" s="1128">
        <f t="shared" si="534"/>
        <v>82.777521567446641</v>
      </c>
      <c r="AJ466" s="1128">
        <f t="shared" si="535"/>
        <v>81.566083109237866</v>
      </c>
      <c r="AK466" s="1128">
        <f t="shared" si="536"/>
        <v>80.267446504871955</v>
      </c>
      <c r="AL466" s="1128">
        <f t="shared" si="537"/>
        <v>79.220121397872717</v>
      </c>
      <c r="AM466" s="1125">
        <f t="shared" si="538"/>
        <v>0</v>
      </c>
      <c r="AN466" s="1125">
        <f t="shared" si="539"/>
        <v>0</v>
      </c>
      <c r="AO466" s="1125">
        <f t="shared" si="540"/>
        <v>0</v>
      </c>
      <c r="AP466" s="1125">
        <f t="shared" si="541"/>
        <v>0</v>
      </c>
      <c r="AQ466" s="1125">
        <f t="shared" si="542"/>
        <v>0</v>
      </c>
      <c r="AR466" s="1125">
        <f t="shared" si="543"/>
        <v>0</v>
      </c>
      <c r="AS466" s="1125">
        <f t="shared" si="544"/>
        <v>0</v>
      </c>
      <c r="AT466" s="1125">
        <f t="shared" si="545"/>
        <v>0</v>
      </c>
      <c r="AU466" s="1125">
        <f t="shared" si="546"/>
        <v>0</v>
      </c>
      <c r="AV466" s="1125">
        <f t="shared" si="547"/>
        <v>0</v>
      </c>
      <c r="AW466" s="1125">
        <f t="shared" si="548"/>
        <v>0</v>
      </c>
      <c r="AX466" s="1125">
        <f t="shared" si="549"/>
        <v>0</v>
      </c>
      <c r="AY466" s="1125">
        <f t="shared" si="550"/>
        <v>1</v>
      </c>
      <c r="AZ466" s="1125">
        <f t="shared" si="551"/>
        <v>1</v>
      </c>
      <c r="BA466" s="1125">
        <f t="shared" si="552"/>
        <v>1</v>
      </c>
      <c r="BB466" s="1125">
        <f t="shared" si="553"/>
        <v>1</v>
      </c>
      <c r="BC466" s="1125">
        <f t="shared" si="554"/>
        <v>1</v>
      </c>
      <c r="BD466" s="1125">
        <f t="shared" si="555"/>
        <v>1</v>
      </c>
      <c r="BE466" s="1125">
        <f t="shared" si="556"/>
        <v>1</v>
      </c>
      <c r="BF466" s="1125">
        <f t="shared" si="557"/>
        <v>1</v>
      </c>
      <c r="BG466" s="1125">
        <f t="shared" si="558"/>
        <v>1</v>
      </c>
      <c r="BH466" s="1125">
        <f t="shared" si="559"/>
        <v>1</v>
      </c>
      <c r="BI466" s="1125">
        <f t="shared" si="560"/>
        <v>1</v>
      </c>
      <c r="BJ466" s="1125">
        <f t="shared" si="561"/>
        <v>1</v>
      </c>
      <c r="BK466" s="1125">
        <f t="shared" si="562"/>
        <v>0</v>
      </c>
      <c r="BL466" s="1125">
        <f t="shared" si="563"/>
        <v>0</v>
      </c>
      <c r="BM466" s="1125">
        <f t="shared" si="564"/>
        <v>0</v>
      </c>
      <c r="BN466" s="1125">
        <f t="shared" si="565"/>
        <v>0</v>
      </c>
      <c r="BO466" s="1125">
        <f t="shared" si="566"/>
        <v>0</v>
      </c>
      <c r="BP466" s="1125">
        <f t="shared" si="567"/>
        <v>0</v>
      </c>
      <c r="BQ466" s="1125">
        <f t="shared" si="568"/>
        <v>0</v>
      </c>
      <c r="BR466" s="1125">
        <f t="shared" si="569"/>
        <v>0</v>
      </c>
      <c r="BS466" s="1125">
        <f t="shared" si="570"/>
        <v>0</v>
      </c>
      <c r="BT466" s="1125">
        <f t="shared" si="571"/>
        <v>0</v>
      </c>
      <c r="BU466" s="1125">
        <f t="shared" si="572"/>
        <v>0</v>
      </c>
      <c r="BV466" s="1125">
        <f t="shared" si="573"/>
        <v>0</v>
      </c>
      <c r="BW466" s="1125">
        <f t="shared" si="574"/>
        <v>1</v>
      </c>
      <c r="BX466" s="1125">
        <f t="shared" si="575"/>
        <v>1</v>
      </c>
      <c r="BY466" s="1125">
        <f t="shared" si="576"/>
        <v>1</v>
      </c>
      <c r="BZ466" s="1125">
        <f t="shared" si="577"/>
        <v>1</v>
      </c>
      <c r="CA466" s="1125">
        <f t="shared" si="578"/>
        <v>1</v>
      </c>
      <c r="CB466" s="1125">
        <f t="shared" si="579"/>
        <v>1</v>
      </c>
      <c r="CC466" s="1125">
        <f t="shared" si="580"/>
        <v>1</v>
      </c>
      <c r="CD466" s="1125">
        <f t="shared" si="581"/>
        <v>1</v>
      </c>
      <c r="CE466" s="1125">
        <f t="shared" si="582"/>
        <v>1</v>
      </c>
      <c r="CF466" s="1125">
        <f t="shared" si="583"/>
        <v>1</v>
      </c>
      <c r="CG466" s="1125">
        <f t="shared" si="584"/>
        <v>1</v>
      </c>
      <c r="CH466" s="1125">
        <f t="shared" si="585"/>
        <v>1</v>
      </c>
      <c r="CI466" s="1125">
        <f t="shared" si="586"/>
        <v>0.7</v>
      </c>
      <c r="CJ466" s="1125">
        <f t="shared" si="587"/>
        <v>0.7</v>
      </c>
      <c r="CK466" s="1125">
        <f t="shared" si="588"/>
        <v>0.7</v>
      </c>
      <c r="CL466" s="1125">
        <f t="shared" si="589"/>
        <v>0.7</v>
      </c>
      <c r="CM466" s="1125">
        <f t="shared" si="590"/>
        <v>0.7</v>
      </c>
      <c r="CN466" s="1125">
        <f t="shared" si="591"/>
        <v>0.7</v>
      </c>
      <c r="CO466" s="1125">
        <f t="shared" si="592"/>
        <v>0.7</v>
      </c>
      <c r="CP466" s="1125">
        <f t="shared" si="593"/>
        <v>0.7</v>
      </c>
      <c r="CQ466" s="1125">
        <f t="shared" si="594"/>
        <v>0.7</v>
      </c>
      <c r="CR466" s="1125">
        <f t="shared" si="595"/>
        <v>0.7</v>
      </c>
      <c r="CS466" s="1125">
        <f t="shared" si="596"/>
        <v>0.7</v>
      </c>
      <c r="CT466" s="1125">
        <f t="shared" si="597"/>
        <v>0.7</v>
      </c>
      <c r="CU466" s="1125">
        <v>1</v>
      </c>
      <c r="CV466" s="1125"/>
      <c r="CW466" s="1125">
        <f t="shared" si="598"/>
        <v>365</v>
      </c>
      <c r="CX466" s="1125">
        <f t="shared" si="599"/>
        <v>0</v>
      </c>
      <c r="CY466" s="1136" t="s">
        <v>4883</v>
      </c>
      <c r="CZ466" s="1129" t="s">
        <v>4898</v>
      </c>
      <c r="DA466" s="1129"/>
      <c r="DB466" s="1129"/>
      <c r="DC466" s="1125" t="s">
        <v>5152</v>
      </c>
      <c r="DD466" s="1125" t="s">
        <v>122</v>
      </c>
      <c r="DE466" s="1120" t="str">
        <f t="shared" si="525"/>
        <v/>
      </c>
      <c r="DF466" s="1133">
        <v>0</v>
      </c>
      <c r="DG466" s="1120">
        <v>0</v>
      </c>
    </row>
    <row r="467" spans="1:111">
      <c r="A467" s="1125" t="s">
        <v>3695</v>
      </c>
      <c r="B467" s="1120" t="s">
        <v>5902</v>
      </c>
      <c r="C467" s="1120" t="s">
        <v>5903</v>
      </c>
      <c r="D467" s="1120" t="s">
        <v>771</v>
      </c>
      <c r="E467" s="1120">
        <v>2129</v>
      </c>
      <c r="F467" s="1120">
        <v>-99</v>
      </c>
      <c r="G467" s="1120">
        <v>40.729999999999997</v>
      </c>
      <c r="H467" s="1120">
        <v>-6</v>
      </c>
      <c r="I467" s="1121">
        <v>2.6600013732910148</v>
      </c>
      <c r="J467" s="1121">
        <v>91.039998626708993</v>
      </c>
      <c r="K467" s="1122">
        <v>71.960001373291021</v>
      </c>
      <c r="L467" s="1120">
        <v>6278.4000000000005</v>
      </c>
      <c r="M467" s="1120">
        <v>876.6</v>
      </c>
      <c r="N467" s="1123">
        <v>26.060000085830687</v>
      </c>
      <c r="O467" s="1123">
        <v>37.039999914169314</v>
      </c>
      <c r="P467" s="1123">
        <v>29.3</v>
      </c>
      <c r="Q467" s="1123">
        <v>51.619999313354491</v>
      </c>
      <c r="R467" s="1123">
        <v>57.559999656677249</v>
      </c>
      <c r="S467" s="1123">
        <v>67.639998626708987</v>
      </c>
      <c r="T467" s="1123">
        <v>75.739998626708982</v>
      </c>
      <c r="U467" s="1123">
        <v>69.260001373291018</v>
      </c>
      <c r="V467" s="1123">
        <v>68.719999313354492</v>
      </c>
      <c r="W467" s="1123">
        <v>44.420000171661378</v>
      </c>
      <c r="X467" s="1123">
        <v>38.47999982833862</v>
      </c>
      <c r="Y467" s="1123">
        <v>28.939999914169313</v>
      </c>
      <c r="Z467" s="1123">
        <v>49.590684670487498</v>
      </c>
      <c r="AA467" s="1123">
        <f t="shared" si="526"/>
        <v>45.685624945361255</v>
      </c>
      <c r="AB467" s="1123">
        <f t="shared" si="527"/>
        <v>44.266544009159126</v>
      </c>
      <c r="AC467" s="1123">
        <f t="shared" si="528"/>
        <v>45.799274846622218</v>
      </c>
      <c r="AD467" s="1123">
        <f t="shared" si="529"/>
        <v>49.884287544868585</v>
      </c>
      <c r="AE467" s="1123">
        <f t="shared" si="530"/>
        <v>55.456760592149088</v>
      </c>
      <c r="AF467" s="1123">
        <f t="shared" si="531"/>
        <v>61.064143014281029</v>
      </c>
      <c r="AG467" s="1123">
        <f t="shared" si="532"/>
        <v>65.244784170556898</v>
      </c>
      <c r="AH467" s="1123">
        <f t="shared" si="533"/>
        <v>66.908935517963016</v>
      </c>
      <c r="AI467" s="1123">
        <f t="shared" si="534"/>
        <v>65.622810362449457</v>
      </c>
      <c r="AJ467" s="1123">
        <f t="shared" si="535"/>
        <v>61.721657045589403</v>
      </c>
      <c r="AK467" s="1123">
        <f t="shared" si="536"/>
        <v>56.222371298014814</v>
      </c>
      <c r="AL467" s="1123">
        <f t="shared" si="537"/>
        <v>50.558426696389631</v>
      </c>
      <c r="AM467" s="1120">
        <f t="shared" si="538"/>
        <v>1</v>
      </c>
      <c r="AN467" s="1120">
        <f t="shared" si="539"/>
        <v>1</v>
      </c>
      <c r="AO467" s="1120">
        <f t="shared" si="540"/>
        <v>1</v>
      </c>
      <c r="AP467" s="1120">
        <f t="shared" si="541"/>
        <v>1</v>
      </c>
      <c r="AQ467" s="1120">
        <f t="shared" si="542"/>
        <v>1</v>
      </c>
      <c r="AR467" s="1120">
        <f t="shared" si="543"/>
        <v>0</v>
      </c>
      <c r="AS467" s="1120">
        <f t="shared" si="544"/>
        <v>0</v>
      </c>
      <c r="AT467" s="1120">
        <f t="shared" si="545"/>
        <v>0</v>
      </c>
      <c r="AU467" s="1120">
        <f t="shared" si="546"/>
        <v>0</v>
      </c>
      <c r="AV467" s="1120">
        <f t="shared" si="547"/>
        <v>1</v>
      </c>
      <c r="AW467" s="1120">
        <f t="shared" si="548"/>
        <v>1</v>
      </c>
      <c r="AX467" s="1120">
        <f t="shared" si="549"/>
        <v>1</v>
      </c>
      <c r="AY467" s="1120">
        <f t="shared" si="550"/>
        <v>0</v>
      </c>
      <c r="AZ467" s="1120">
        <f t="shared" si="551"/>
        <v>0</v>
      </c>
      <c r="BA467" s="1120">
        <f t="shared" si="552"/>
        <v>0</v>
      </c>
      <c r="BB467" s="1120">
        <f t="shared" si="553"/>
        <v>0</v>
      </c>
      <c r="BC467" s="1120">
        <f t="shared" si="554"/>
        <v>0</v>
      </c>
      <c r="BD467" s="1120">
        <f t="shared" si="555"/>
        <v>1</v>
      </c>
      <c r="BE467" s="1120">
        <f t="shared" si="556"/>
        <v>1</v>
      </c>
      <c r="BF467" s="1120">
        <f t="shared" si="557"/>
        <v>1</v>
      </c>
      <c r="BG467" s="1120">
        <f t="shared" si="558"/>
        <v>1</v>
      </c>
      <c r="BH467" s="1120">
        <f t="shared" si="559"/>
        <v>0</v>
      </c>
      <c r="BI467" s="1120">
        <f t="shared" si="560"/>
        <v>0</v>
      </c>
      <c r="BJ467" s="1120">
        <f t="shared" si="561"/>
        <v>0</v>
      </c>
      <c r="BK467" s="1120">
        <f t="shared" si="562"/>
        <v>1</v>
      </c>
      <c r="BL467" s="1120">
        <f t="shared" si="563"/>
        <v>1</v>
      </c>
      <c r="BM467" s="1120">
        <f t="shared" si="564"/>
        <v>1</v>
      </c>
      <c r="BN467" s="1120">
        <f t="shared" si="565"/>
        <v>1</v>
      </c>
      <c r="BO467" s="1120">
        <f t="shared" si="566"/>
        <v>1</v>
      </c>
      <c r="BP467" s="1120">
        <f t="shared" si="567"/>
        <v>1</v>
      </c>
      <c r="BQ467" s="1120">
        <f t="shared" si="568"/>
        <v>0</v>
      </c>
      <c r="BR467" s="1120">
        <f t="shared" si="569"/>
        <v>0</v>
      </c>
      <c r="BS467" s="1120">
        <f t="shared" si="570"/>
        <v>0</v>
      </c>
      <c r="BT467" s="1120">
        <f t="shared" si="571"/>
        <v>1</v>
      </c>
      <c r="BU467" s="1120">
        <f t="shared" si="572"/>
        <v>1</v>
      </c>
      <c r="BV467" s="1120">
        <f t="shared" si="573"/>
        <v>1</v>
      </c>
      <c r="BW467" s="1120">
        <f t="shared" si="574"/>
        <v>0</v>
      </c>
      <c r="BX467" s="1120">
        <f t="shared" si="575"/>
        <v>0</v>
      </c>
      <c r="BY467" s="1120">
        <f t="shared" si="576"/>
        <v>0</v>
      </c>
      <c r="BZ467" s="1120">
        <f t="shared" si="577"/>
        <v>0</v>
      </c>
      <c r="CA467" s="1120">
        <f t="shared" si="578"/>
        <v>1</v>
      </c>
      <c r="CB467" s="1120">
        <f t="shared" si="579"/>
        <v>1</v>
      </c>
      <c r="CC467" s="1120">
        <f t="shared" si="580"/>
        <v>1</v>
      </c>
      <c r="CD467" s="1120">
        <f t="shared" si="581"/>
        <v>1</v>
      </c>
      <c r="CE467" s="1120">
        <f t="shared" si="582"/>
        <v>1</v>
      </c>
      <c r="CF467" s="1120">
        <f t="shared" si="583"/>
        <v>1</v>
      </c>
      <c r="CG467" s="1120">
        <f t="shared" si="584"/>
        <v>0</v>
      </c>
      <c r="CH467" s="1120">
        <f t="shared" si="585"/>
        <v>0</v>
      </c>
      <c r="CI467" s="1120">
        <f t="shared" si="586"/>
        <v>0.85</v>
      </c>
      <c r="CJ467" s="1120">
        <f t="shared" si="587"/>
        <v>0.85</v>
      </c>
      <c r="CK467" s="1120">
        <f t="shared" si="588"/>
        <v>0.85</v>
      </c>
      <c r="CL467" s="1120">
        <f t="shared" si="589"/>
        <v>0.85</v>
      </c>
      <c r="CM467" s="1120">
        <f t="shared" si="590"/>
        <v>0.85</v>
      </c>
      <c r="CN467" s="1120">
        <f t="shared" si="591"/>
        <v>0.85</v>
      </c>
      <c r="CO467" s="1120">
        <f t="shared" si="592"/>
        <v>0.7</v>
      </c>
      <c r="CP467" s="1120">
        <f t="shared" si="593"/>
        <v>0.7</v>
      </c>
      <c r="CQ467" s="1120">
        <f t="shared" si="594"/>
        <v>0.7</v>
      </c>
      <c r="CR467" s="1120">
        <f t="shared" si="595"/>
        <v>0.85</v>
      </c>
      <c r="CS467" s="1120">
        <f t="shared" si="596"/>
        <v>0.85</v>
      </c>
      <c r="CT467" s="1120">
        <f t="shared" si="597"/>
        <v>0.85</v>
      </c>
      <c r="CU467" s="1120">
        <v>1</v>
      </c>
      <c r="CV467" s="1120"/>
      <c r="CW467" s="1120">
        <f t="shared" si="598"/>
        <v>184</v>
      </c>
      <c r="CX467" s="1120">
        <f t="shared" si="599"/>
        <v>181</v>
      </c>
      <c r="CY467" s="1136" t="s">
        <v>4889</v>
      </c>
      <c r="CZ467" s="1129" t="s">
        <v>4897</v>
      </c>
      <c r="DA467" s="1129"/>
      <c r="DB467" s="1129"/>
      <c r="DC467" s="1125" t="s">
        <v>5772</v>
      </c>
      <c r="DD467" s="1125" t="s">
        <v>771</v>
      </c>
      <c r="DE467" s="1120" t="str">
        <f t="shared" si="525"/>
        <v/>
      </c>
      <c r="DF467" s="1133">
        <v>1</v>
      </c>
      <c r="DG467" s="1125">
        <v>0</v>
      </c>
    </row>
    <row r="468" spans="1:111">
      <c r="A468" s="1120" t="s">
        <v>793</v>
      </c>
      <c r="B468" s="1125" t="s">
        <v>3870</v>
      </c>
      <c r="C468" s="1125" t="s">
        <v>3871</v>
      </c>
      <c r="D468" s="1125" t="s">
        <v>460</v>
      </c>
      <c r="E468" s="1125">
        <v>26</v>
      </c>
      <c r="F468" s="1125">
        <v>-88.92</v>
      </c>
      <c r="G468" s="1125">
        <v>30.42</v>
      </c>
      <c r="H468" s="1125">
        <v>-6</v>
      </c>
      <c r="I468" s="1126">
        <v>34.880000042915341</v>
      </c>
      <c r="J468" s="1126">
        <v>91.4</v>
      </c>
      <c r="K468" s="1127">
        <v>79.519999313354489</v>
      </c>
      <c r="L468" s="1125">
        <v>1681.2</v>
      </c>
      <c r="M468" s="1125">
        <v>2646</v>
      </c>
      <c r="N468" s="1128">
        <v>48.019999313354489</v>
      </c>
      <c r="O468" s="1128">
        <v>54.859999656677246</v>
      </c>
      <c r="P468" s="1128">
        <v>57.559999656677249</v>
      </c>
      <c r="Q468" s="1128">
        <v>66.019999313354489</v>
      </c>
      <c r="R468" s="1128">
        <v>75.560001373291016</v>
      </c>
      <c r="S468" s="1128">
        <v>79.880000686645502</v>
      </c>
      <c r="T468" s="1128">
        <v>82.039998626708979</v>
      </c>
      <c r="U468" s="1128">
        <v>80.960001373291021</v>
      </c>
      <c r="V468" s="1128">
        <v>77.360001373291013</v>
      </c>
      <c r="W468" s="1128">
        <v>66.380000686645502</v>
      </c>
      <c r="X468" s="1128">
        <v>61.880000686645509</v>
      </c>
      <c r="Y468" s="1128">
        <v>53.240000343322755</v>
      </c>
      <c r="Z468" s="1128">
        <v>67.032438615772818</v>
      </c>
      <c r="AA468" s="1128">
        <f t="shared" si="526"/>
        <v>62.537201620675702</v>
      </c>
      <c r="AB468" s="1128">
        <f t="shared" si="527"/>
        <v>62.82273657603119</v>
      </c>
      <c r="AC468" s="1128">
        <f t="shared" si="528"/>
        <v>65.769587704316294</v>
      </c>
      <c r="AD468" s="1128">
        <f t="shared" si="529"/>
        <v>70.609612846592995</v>
      </c>
      <c r="AE468" s="1128">
        <f t="shared" si="530"/>
        <v>76.081184862481706</v>
      </c>
      <c r="AF468" s="1128">
        <f t="shared" si="531"/>
        <v>80.758054186563925</v>
      </c>
      <c r="AG468" s="1128">
        <f t="shared" si="532"/>
        <v>83.421122756779724</v>
      </c>
      <c r="AH468" s="1128">
        <f t="shared" si="533"/>
        <v>83.376220711173431</v>
      </c>
      <c r="AI468" s="1128">
        <f t="shared" si="534"/>
        <v>80.635052459893814</v>
      </c>
      <c r="AJ468" s="1128">
        <f t="shared" si="535"/>
        <v>75.912145750318331</v>
      </c>
      <c r="AK468" s="1128">
        <f t="shared" si="536"/>
        <v>70.438598998493305</v>
      </c>
      <c r="AL468" s="1128">
        <f t="shared" si="537"/>
        <v>65.641176515190637</v>
      </c>
      <c r="AM468" s="1125">
        <f t="shared" si="538"/>
        <v>1</v>
      </c>
      <c r="AN468" s="1125">
        <f t="shared" si="539"/>
        <v>1</v>
      </c>
      <c r="AO468" s="1125">
        <f t="shared" si="540"/>
        <v>1</v>
      </c>
      <c r="AP468" s="1125">
        <f t="shared" si="541"/>
        <v>0</v>
      </c>
      <c r="AQ468" s="1125">
        <f t="shared" si="542"/>
        <v>0</v>
      </c>
      <c r="AR468" s="1125">
        <f t="shared" si="543"/>
        <v>0</v>
      </c>
      <c r="AS468" s="1125">
        <f t="shared" si="544"/>
        <v>0</v>
      </c>
      <c r="AT468" s="1125">
        <f t="shared" si="545"/>
        <v>0</v>
      </c>
      <c r="AU468" s="1125">
        <f t="shared" si="546"/>
        <v>0</v>
      </c>
      <c r="AV468" s="1125">
        <f t="shared" si="547"/>
        <v>0</v>
      </c>
      <c r="AW468" s="1125">
        <f t="shared" si="548"/>
        <v>1</v>
      </c>
      <c r="AX468" s="1125">
        <f t="shared" si="549"/>
        <v>1</v>
      </c>
      <c r="AY468" s="1125">
        <f t="shared" si="550"/>
        <v>0</v>
      </c>
      <c r="AZ468" s="1125">
        <f t="shared" si="551"/>
        <v>0</v>
      </c>
      <c r="BA468" s="1125">
        <f t="shared" si="552"/>
        <v>0</v>
      </c>
      <c r="BB468" s="1125">
        <f t="shared" si="553"/>
        <v>1</v>
      </c>
      <c r="BC468" s="1125">
        <f t="shared" si="554"/>
        <v>1</v>
      </c>
      <c r="BD468" s="1125">
        <f t="shared" si="555"/>
        <v>1</v>
      </c>
      <c r="BE468" s="1125">
        <f t="shared" si="556"/>
        <v>1</v>
      </c>
      <c r="BF468" s="1125">
        <f t="shared" si="557"/>
        <v>1</v>
      </c>
      <c r="BG468" s="1125">
        <f t="shared" si="558"/>
        <v>1</v>
      </c>
      <c r="BH468" s="1125">
        <f t="shared" si="559"/>
        <v>1</v>
      </c>
      <c r="BI468" s="1125">
        <f t="shared" si="560"/>
        <v>0</v>
      </c>
      <c r="BJ468" s="1125">
        <f t="shared" si="561"/>
        <v>0</v>
      </c>
      <c r="BK468" s="1125">
        <f t="shared" si="562"/>
        <v>1</v>
      </c>
      <c r="BL468" s="1125">
        <f t="shared" si="563"/>
        <v>1</v>
      </c>
      <c r="BM468" s="1125">
        <f t="shared" si="564"/>
        <v>1</v>
      </c>
      <c r="BN468" s="1125">
        <f t="shared" si="565"/>
        <v>1</v>
      </c>
      <c r="BO468" s="1125">
        <f t="shared" si="566"/>
        <v>0</v>
      </c>
      <c r="BP468" s="1125">
        <f t="shared" si="567"/>
        <v>0</v>
      </c>
      <c r="BQ468" s="1125">
        <f t="shared" si="568"/>
        <v>0</v>
      </c>
      <c r="BR468" s="1125">
        <f t="shared" si="569"/>
        <v>0</v>
      </c>
      <c r="BS468" s="1125">
        <f t="shared" si="570"/>
        <v>0</v>
      </c>
      <c r="BT468" s="1125">
        <f t="shared" si="571"/>
        <v>0</v>
      </c>
      <c r="BU468" s="1125">
        <f t="shared" si="572"/>
        <v>1</v>
      </c>
      <c r="BV468" s="1125">
        <f t="shared" si="573"/>
        <v>1</v>
      </c>
      <c r="BW468" s="1125">
        <f t="shared" si="574"/>
        <v>0</v>
      </c>
      <c r="BX468" s="1125">
        <f t="shared" si="575"/>
        <v>0</v>
      </c>
      <c r="BY468" s="1125">
        <f t="shared" si="576"/>
        <v>1</v>
      </c>
      <c r="BZ468" s="1125">
        <f t="shared" si="577"/>
        <v>1</v>
      </c>
      <c r="CA468" s="1125">
        <f t="shared" si="578"/>
        <v>1</v>
      </c>
      <c r="CB468" s="1125">
        <f t="shared" si="579"/>
        <v>1</v>
      </c>
      <c r="CC468" s="1125">
        <f t="shared" si="580"/>
        <v>1</v>
      </c>
      <c r="CD468" s="1125">
        <f t="shared" si="581"/>
        <v>1</v>
      </c>
      <c r="CE468" s="1125">
        <f t="shared" si="582"/>
        <v>1</v>
      </c>
      <c r="CF468" s="1125">
        <f t="shared" si="583"/>
        <v>1</v>
      </c>
      <c r="CG468" s="1125">
        <f t="shared" si="584"/>
        <v>1</v>
      </c>
      <c r="CH468" s="1125">
        <f t="shared" si="585"/>
        <v>0</v>
      </c>
      <c r="CI468" s="1125">
        <f t="shared" si="586"/>
        <v>0.85</v>
      </c>
      <c r="CJ468" s="1125">
        <f t="shared" si="587"/>
        <v>0.85</v>
      </c>
      <c r="CK468" s="1125">
        <f t="shared" si="588"/>
        <v>0.85</v>
      </c>
      <c r="CL468" s="1125">
        <f t="shared" si="589"/>
        <v>0.85</v>
      </c>
      <c r="CM468" s="1125">
        <f t="shared" si="590"/>
        <v>0.7</v>
      </c>
      <c r="CN468" s="1125">
        <f t="shared" si="591"/>
        <v>0.7</v>
      </c>
      <c r="CO468" s="1125">
        <f t="shared" si="592"/>
        <v>0.7</v>
      </c>
      <c r="CP468" s="1125">
        <f t="shared" si="593"/>
        <v>0.7</v>
      </c>
      <c r="CQ468" s="1125">
        <f t="shared" si="594"/>
        <v>0.7</v>
      </c>
      <c r="CR468" s="1125">
        <f t="shared" si="595"/>
        <v>0.7</v>
      </c>
      <c r="CS468" s="1125">
        <f t="shared" si="596"/>
        <v>0.85</v>
      </c>
      <c r="CT468" s="1125">
        <f t="shared" si="597"/>
        <v>0.85</v>
      </c>
      <c r="CU468" s="1125">
        <v>1</v>
      </c>
      <c r="CV468" s="1125"/>
      <c r="CW468" s="1125">
        <f t="shared" si="598"/>
        <v>275</v>
      </c>
      <c r="CX468" s="1125">
        <f t="shared" si="599"/>
        <v>90</v>
      </c>
      <c r="CY468" s="1136" t="s">
        <v>4881</v>
      </c>
      <c r="CZ468" s="1129" t="s">
        <v>4884</v>
      </c>
      <c r="DA468" s="1129"/>
      <c r="DB468" s="1129"/>
      <c r="DC468" s="1125" t="s">
        <v>5979</v>
      </c>
      <c r="DD468" s="1125" t="s">
        <v>460</v>
      </c>
      <c r="DE468" s="1120" t="b">
        <f t="shared" ref="DE468:DE531" si="600">IF(AND(C468=DC468,D468=DD468),"",FALSE)</f>
        <v>0</v>
      </c>
      <c r="DF468" s="1133">
        <v>0</v>
      </c>
      <c r="DG468" s="1120">
        <v>0</v>
      </c>
    </row>
    <row r="469" spans="1:111">
      <c r="A469" s="1125" t="s">
        <v>3701</v>
      </c>
      <c r="B469" s="1120" t="s">
        <v>4564</v>
      </c>
      <c r="C469" s="1120" t="s">
        <v>4565</v>
      </c>
      <c r="D469" s="1120" t="s">
        <v>238</v>
      </c>
      <c r="E469" s="1120">
        <v>16</v>
      </c>
      <c r="F469" s="1120">
        <v>-122.9</v>
      </c>
      <c r="G469" s="1120">
        <v>46.13</v>
      </c>
      <c r="H469" s="1120">
        <v>-8</v>
      </c>
      <c r="I469" s="1121">
        <v>26.420000171661378</v>
      </c>
      <c r="J469" s="1121">
        <v>82.4</v>
      </c>
      <c r="K469" s="1122">
        <v>65.83999862670899</v>
      </c>
      <c r="L469" s="1120">
        <v>4554</v>
      </c>
      <c r="M469" s="1120">
        <v>81</v>
      </c>
      <c r="N469" s="1123">
        <v>40.640000343322754</v>
      </c>
      <c r="O469" s="1123">
        <v>43.340000343322757</v>
      </c>
      <c r="P469" s="1123">
        <v>48.740000343322755</v>
      </c>
      <c r="Q469" s="1123">
        <v>50</v>
      </c>
      <c r="R469" s="1123">
        <v>56.3</v>
      </c>
      <c r="S469" s="1123">
        <v>59.359999656677246</v>
      </c>
      <c r="T469" s="1123">
        <v>62.960001373291014</v>
      </c>
      <c r="U469" s="1123">
        <v>65.66000137329101</v>
      </c>
      <c r="V469" s="1123">
        <v>60.980000686645511</v>
      </c>
      <c r="W469" s="1123">
        <v>51.980000686645511</v>
      </c>
      <c r="X469" s="1123">
        <v>44.240000343322755</v>
      </c>
      <c r="Y469" s="1123">
        <v>40.820000171661377</v>
      </c>
      <c r="Z469" s="1123">
        <v>52.139781269178002</v>
      </c>
      <c r="AA469" s="1123">
        <f t="shared" si="526"/>
        <v>52.749487856342583</v>
      </c>
      <c r="AB469" s="1123">
        <f t="shared" si="527"/>
        <v>52.126283256413934</v>
      </c>
      <c r="AC469" s="1123">
        <f t="shared" si="528"/>
        <v>53.070589584321738</v>
      </c>
      <c r="AD469" s="1123">
        <f t="shared" si="529"/>
        <v>55.33625884349582</v>
      </c>
      <c r="AE469" s="1123">
        <f t="shared" si="530"/>
        <v>58.332709426512309</v>
      </c>
      <c r="AF469" s="1123">
        <f t="shared" si="531"/>
        <v>61.278870312206706</v>
      </c>
      <c r="AG469" s="1123">
        <f t="shared" si="532"/>
        <v>63.406779264009224</v>
      </c>
      <c r="AH469" s="1123">
        <f t="shared" si="533"/>
        <v>64.161764021562988</v>
      </c>
      <c r="AI469" s="1123">
        <f t="shared" si="534"/>
        <v>63.347026173144307</v>
      </c>
      <c r="AJ469" s="1123">
        <f t="shared" si="535"/>
        <v>61.17493969443381</v>
      </c>
      <c r="AK469" s="1123">
        <f t="shared" si="536"/>
        <v>58.211692398973248</v>
      </c>
      <c r="AL469" s="1123">
        <f t="shared" si="537"/>
        <v>55.22970035934749</v>
      </c>
      <c r="AM469" s="1120">
        <f t="shared" si="538"/>
        <v>1</v>
      </c>
      <c r="AN469" s="1120">
        <f t="shared" si="539"/>
        <v>1</v>
      </c>
      <c r="AO469" s="1120">
        <f t="shared" si="540"/>
        <v>1</v>
      </c>
      <c r="AP469" s="1120">
        <f t="shared" si="541"/>
        <v>1</v>
      </c>
      <c r="AQ469" s="1120">
        <f t="shared" si="542"/>
        <v>1</v>
      </c>
      <c r="AR469" s="1120">
        <f t="shared" si="543"/>
        <v>1</v>
      </c>
      <c r="AS469" s="1120">
        <f t="shared" si="544"/>
        <v>1</v>
      </c>
      <c r="AT469" s="1120">
        <f t="shared" si="545"/>
        <v>1</v>
      </c>
      <c r="AU469" s="1120">
        <f t="shared" si="546"/>
        <v>1</v>
      </c>
      <c r="AV469" s="1120">
        <f t="shared" si="547"/>
        <v>1</v>
      </c>
      <c r="AW469" s="1120">
        <f t="shared" si="548"/>
        <v>1</v>
      </c>
      <c r="AX469" s="1120">
        <f t="shared" si="549"/>
        <v>1</v>
      </c>
      <c r="AY469" s="1120">
        <f t="shared" si="550"/>
        <v>0</v>
      </c>
      <c r="AZ469" s="1120">
        <f t="shared" si="551"/>
        <v>0</v>
      </c>
      <c r="BA469" s="1120">
        <f t="shared" si="552"/>
        <v>0</v>
      </c>
      <c r="BB469" s="1120">
        <f t="shared" si="553"/>
        <v>0</v>
      </c>
      <c r="BC469" s="1120">
        <f t="shared" si="554"/>
        <v>0</v>
      </c>
      <c r="BD469" s="1120">
        <f t="shared" si="555"/>
        <v>0</v>
      </c>
      <c r="BE469" s="1120">
        <f t="shared" si="556"/>
        <v>1</v>
      </c>
      <c r="BF469" s="1120">
        <f t="shared" si="557"/>
        <v>1</v>
      </c>
      <c r="BG469" s="1120">
        <f t="shared" si="558"/>
        <v>0</v>
      </c>
      <c r="BH469" s="1120">
        <f t="shared" si="559"/>
        <v>0</v>
      </c>
      <c r="BI469" s="1120">
        <f t="shared" si="560"/>
        <v>0</v>
      </c>
      <c r="BJ469" s="1120">
        <f t="shared" si="561"/>
        <v>0</v>
      </c>
      <c r="BK469" s="1120">
        <f t="shared" si="562"/>
        <v>1</v>
      </c>
      <c r="BL469" s="1120">
        <f t="shared" si="563"/>
        <v>1</v>
      </c>
      <c r="BM469" s="1120">
        <f t="shared" si="564"/>
        <v>1</v>
      </c>
      <c r="BN469" s="1120">
        <f t="shared" si="565"/>
        <v>1</v>
      </c>
      <c r="BO469" s="1120">
        <f t="shared" si="566"/>
        <v>1</v>
      </c>
      <c r="BP469" s="1120">
        <f t="shared" si="567"/>
        <v>1</v>
      </c>
      <c r="BQ469" s="1120">
        <f t="shared" si="568"/>
        <v>1</v>
      </c>
      <c r="BR469" s="1120">
        <f t="shared" si="569"/>
        <v>1</v>
      </c>
      <c r="BS469" s="1120">
        <f t="shared" si="570"/>
        <v>1</v>
      </c>
      <c r="BT469" s="1120">
        <f t="shared" si="571"/>
        <v>1</v>
      </c>
      <c r="BU469" s="1120">
        <f t="shared" si="572"/>
        <v>1</v>
      </c>
      <c r="BV469" s="1120">
        <f t="shared" si="573"/>
        <v>1</v>
      </c>
      <c r="BW469" s="1120">
        <f t="shared" si="574"/>
        <v>0</v>
      </c>
      <c r="BX469" s="1120">
        <f t="shared" si="575"/>
        <v>0</v>
      </c>
      <c r="BY469" s="1120">
        <f t="shared" si="576"/>
        <v>0</v>
      </c>
      <c r="BZ469" s="1120">
        <f t="shared" si="577"/>
        <v>0</v>
      </c>
      <c r="CA469" s="1120">
        <f t="shared" si="578"/>
        <v>0</v>
      </c>
      <c r="CB469" s="1120">
        <f t="shared" si="579"/>
        <v>0</v>
      </c>
      <c r="CC469" s="1120">
        <f t="shared" si="580"/>
        <v>1</v>
      </c>
      <c r="CD469" s="1120">
        <f t="shared" si="581"/>
        <v>1</v>
      </c>
      <c r="CE469" s="1120">
        <f t="shared" si="582"/>
        <v>0</v>
      </c>
      <c r="CF469" s="1120">
        <f t="shared" si="583"/>
        <v>0</v>
      </c>
      <c r="CG469" s="1120">
        <f t="shared" si="584"/>
        <v>0</v>
      </c>
      <c r="CH469" s="1120">
        <f t="shared" si="585"/>
        <v>0</v>
      </c>
      <c r="CI469" s="1120">
        <f t="shared" si="586"/>
        <v>0.85</v>
      </c>
      <c r="CJ469" s="1120">
        <f t="shared" si="587"/>
        <v>0.85</v>
      </c>
      <c r="CK469" s="1120">
        <f t="shared" si="588"/>
        <v>0.85</v>
      </c>
      <c r="CL469" s="1120">
        <f t="shared" si="589"/>
        <v>0.85</v>
      </c>
      <c r="CM469" s="1120">
        <f t="shared" si="590"/>
        <v>0.85</v>
      </c>
      <c r="CN469" s="1120">
        <f t="shared" si="591"/>
        <v>0.85</v>
      </c>
      <c r="CO469" s="1120">
        <f t="shared" si="592"/>
        <v>0.85</v>
      </c>
      <c r="CP469" s="1120">
        <f t="shared" si="593"/>
        <v>0.85</v>
      </c>
      <c r="CQ469" s="1120">
        <f t="shared" si="594"/>
        <v>0.85</v>
      </c>
      <c r="CR469" s="1120">
        <f t="shared" si="595"/>
        <v>0.85</v>
      </c>
      <c r="CS469" s="1120">
        <f t="shared" si="596"/>
        <v>0.85</v>
      </c>
      <c r="CT469" s="1120">
        <f t="shared" si="597"/>
        <v>0.85</v>
      </c>
      <c r="CU469" s="1120">
        <v>1</v>
      </c>
      <c r="CV469" s="1120"/>
      <c r="CW469" s="1120">
        <f t="shared" si="598"/>
        <v>62</v>
      </c>
      <c r="CX469" s="1120">
        <f t="shared" si="599"/>
        <v>303</v>
      </c>
      <c r="CY469" s="1136" t="s">
        <v>4893</v>
      </c>
      <c r="CZ469" s="1129" t="s">
        <v>4894</v>
      </c>
      <c r="DA469" s="1129"/>
      <c r="DB469" s="1129"/>
      <c r="DC469" s="1125" t="s">
        <v>5658</v>
      </c>
      <c r="DD469" s="1125" t="s">
        <v>238</v>
      </c>
      <c r="DE469" s="1120" t="str">
        <f t="shared" si="600"/>
        <v/>
      </c>
      <c r="DF469" s="1133">
        <v>1</v>
      </c>
      <c r="DG469" s="1125">
        <v>0</v>
      </c>
    </row>
    <row r="470" spans="1:111">
      <c r="A470" s="1120" t="s">
        <v>3703</v>
      </c>
      <c r="B470" s="1120" t="s">
        <v>2954</v>
      </c>
      <c r="C470" s="1120" t="s">
        <v>2955</v>
      </c>
      <c r="D470" s="1120" t="s">
        <v>953</v>
      </c>
      <c r="E470" s="1120">
        <v>85</v>
      </c>
      <c r="F470" s="1120">
        <v>-151.22999999999999</v>
      </c>
      <c r="G470" s="1120">
        <v>60.58</v>
      </c>
      <c r="H470" s="1120">
        <v>-9</v>
      </c>
      <c r="I470" s="1121">
        <v>-15.339998626708985</v>
      </c>
      <c r="J470" s="1121">
        <v>66.380000686645502</v>
      </c>
      <c r="K470" s="1122">
        <v>55.940000343322751</v>
      </c>
      <c r="L470" s="1120">
        <v>9642.6</v>
      </c>
      <c r="M470" s="1120">
        <v>0</v>
      </c>
      <c r="N470" s="1123">
        <v>27.860000085830688</v>
      </c>
      <c r="O470" s="1123">
        <v>31.1</v>
      </c>
      <c r="P470" s="1123">
        <v>28.580000042915344</v>
      </c>
      <c r="Q470" s="1123">
        <v>38.660000085830688</v>
      </c>
      <c r="R470" s="1123">
        <v>43.159999656677243</v>
      </c>
      <c r="S470" s="1123">
        <v>51.980000686645511</v>
      </c>
      <c r="T470" s="1123">
        <v>53.959999656677248</v>
      </c>
      <c r="U470" s="1123">
        <v>52.880000686645509</v>
      </c>
      <c r="V470" s="1123">
        <v>47.840000343322757</v>
      </c>
      <c r="W470" s="1123">
        <v>28.4</v>
      </c>
      <c r="X470" s="1123">
        <v>22.1</v>
      </c>
      <c r="Y470" s="1123">
        <v>28.939999914169313</v>
      </c>
      <c r="Z470" s="1123">
        <v>37.987342561107795</v>
      </c>
      <c r="AA470" s="1123">
        <f t="shared" si="526"/>
        <v>39.866591961704273</v>
      </c>
      <c r="AB470" s="1123">
        <f t="shared" si="527"/>
        <v>38.670097285917187</v>
      </c>
      <c r="AC470" s="1123">
        <f t="shared" si="528"/>
        <v>38.859624532338572</v>
      </c>
      <c r="AD470" s="1123">
        <f t="shared" si="529"/>
        <v>40.385770503485404</v>
      </c>
      <c r="AE470" s="1123">
        <f t="shared" si="530"/>
        <v>42.850721733356949</v>
      </c>
      <c r="AF470" s="1123">
        <f t="shared" si="531"/>
        <v>45.611950697838907</v>
      </c>
      <c r="AG470" s="1123">
        <f t="shared" si="532"/>
        <v>47.949700515512681</v>
      </c>
      <c r="AH470" s="1123">
        <f t="shared" si="533"/>
        <v>49.254600670586427</v>
      </c>
      <c r="AI470" s="1123">
        <f t="shared" si="534"/>
        <v>49.186508828520068</v>
      </c>
      <c r="AJ470" s="1123">
        <f t="shared" si="535"/>
        <v>47.76317417727526</v>
      </c>
      <c r="AK470" s="1123">
        <f t="shared" si="536"/>
        <v>45.355610827949889</v>
      </c>
      <c r="AL470" s="1123">
        <f t="shared" si="537"/>
        <v>42.591387269219865</v>
      </c>
      <c r="AM470" s="1120">
        <f t="shared" si="538"/>
        <v>1</v>
      </c>
      <c r="AN470" s="1120">
        <f t="shared" si="539"/>
        <v>1</v>
      </c>
      <c r="AO470" s="1120">
        <f t="shared" si="540"/>
        <v>1</v>
      </c>
      <c r="AP470" s="1120">
        <f t="shared" si="541"/>
        <v>1</v>
      </c>
      <c r="AQ470" s="1120">
        <f t="shared" si="542"/>
        <v>1</v>
      </c>
      <c r="AR470" s="1120">
        <f t="shared" si="543"/>
        <v>1</v>
      </c>
      <c r="AS470" s="1120">
        <f t="shared" si="544"/>
        <v>1</v>
      </c>
      <c r="AT470" s="1120">
        <f t="shared" si="545"/>
        <v>1</v>
      </c>
      <c r="AU470" s="1120">
        <f t="shared" si="546"/>
        <v>1</v>
      </c>
      <c r="AV470" s="1120">
        <f t="shared" si="547"/>
        <v>1</v>
      </c>
      <c r="AW470" s="1120">
        <f t="shared" si="548"/>
        <v>1</v>
      </c>
      <c r="AX470" s="1120">
        <f t="shared" si="549"/>
        <v>1</v>
      </c>
      <c r="AY470" s="1120">
        <f t="shared" si="550"/>
        <v>0</v>
      </c>
      <c r="AZ470" s="1120">
        <f t="shared" si="551"/>
        <v>0</v>
      </c>
      <c r="BA470" s="1120">
        <f t="shared" si="552"/>
        <v>0</v>
      </c>
      <c r="BB470" s="1120">
        <f t="shared" si="553"/>
        <v>0</v>
      </c>
      <c r="BC470" s="1120">
        <f t="shared" si="554"/>
        <v>0</v>
      </c>
      <c r="BD470" s="1120">
        <f t="shared" si="555"/>
        <v>0</v>
      </c>
      <c r="BE470" s="1120">
        <f t="shared" si="556"/>
        <v>1</v>
      </c>
      <c r="BF470" s="1120">
        <f t="shared" si="557"/>
        <v>1</v>
      </c>
      <c r="BG470" s="1120">
        <f t="shared" si="558"/>
        <v>0</v>
      </c>
      <c r="BH470" s="1120">
        <f t="shared" si="559"/>
        <v>0</v>
      </c>
      <c r="BI470" s="1120">
        <f t="shared" si="560"/>
        <v>0</v>
      </c>
      <c r="BJ470" s="1120">
        <f t="shared" si="561"/>
        <v>0</v>
      </c>
      <c r="BK470" s="1120">
        <f t="shared" si="562"/>
        <v>1</v>
      </c>
      <c r="BL470" s="1120">
        <f t="shared" si="563"/>
        <v>1</v>
      </c>
      <c r="BM470" s="1120">
        <f t="shared" si="564"/>
        <v>1</v>
      </c>
      <c r="BN470" s="1120">
        <f t="shared" si="565"/>
        <v>1</v>
      </c>
      <c r="BO470" s="1120">
        <f t="shared" si="566"/>
        <v>1</v>
      </c>
      <c r="BP470" s="1120">
        <f t="shared" si="567"/>
        <v>1</v>
      </c>
      <c r="BQ470" s="1120">
        <f t="shared" si="568"/>
        <v>1</v>
      </c>
      <c r="BR470" s="1120">
        <f t="shared" si="569"/>
        <v>1</v>
      </c>
      <c r="BS470" s="1120">
        <f t="shared" si="570"/>
        <v>1</v>
      </c>
      <c r="BT470" s="1120">
        <f t="shared" si="571"/>
        <v>1</v>
      </c>
      <c r="BU470" s="1120">
        <f t="shared" si="572"/>
        <v>1</v>
      </c>
      <c r="BV470" s="1120">
        <f t="shared" si="573"/>
        <v>1</v>
      </c>
      <c r="BW470" s="1120">
        <f t="shared" si="574"/>
        <v>0</v>
      </c>
      <c r="BX470" s="1120">
        <f t="shared" si="575"/>
        <v>0</v>
      </c>
      <c r="BY470" s="1120">
        <f t="shared" si="576"/>
        <v>0</v>
      </c>
      <c r="BZ470" s="1120">
        <f t="shared" si="577"/>
        <v>0</v>
      </c>
      <c r="CA470" s="1120">
        <f t="shared" si="578"/>
        <v>0</v>
      </c>
      <c r="CB470" s="1120">
        <f t="shared" si="579"/>
        <v>0</v>
      </c>
      <c r="CC470" s="1120">
        <f t="shared" si="580"/>
        <v>1</v>
      </c>
      <c r="CD470" s="1120">
        <f t="shared" si="581"/>
        <v>1</v>
      </c>
      <c r="CE470" s="1120">
        <f t="shared" si="582"/>
        <v>0</v>
      </c>
      <c r="CF470" s="1120">
        <f t="shared" si="583"/>
        <v>0</v>
      </c>
      <c r="CG470" s="1120">
        <f t="shared" si="584"/>
        <v>0</v>
      </c>
      <c r="CH470" s="1120">
        <f t="shared" si="585"/>
        <v>0</v>
      </c>
      <c r="CI470" s="1120">
        <f t="shared" si="586"/>
        <v>0.85</v>
      </c>
      <c r="CJ470" s="1120">
        <f t="shared" si="587"/>
        <v>0.85</v>
      </c>
      <c r="CK470" s="1120">
        <f t="shared" si="588"/>
        <v>0.85</v>
      </c>
      <c r="CL470" s="1120">
        <f t="shared" si="589"/>
        <v>0.85</v>
      </c>
      <c r="CM470" s="1120">
        <f t="shared" si="590"/>
        <v>0.85</v>
      </c>
      <c r="CN470" s="1120">
        <f t="shared" si="591"/>
        <v>0.85</v>
      </c>
      <c r="CO470" s="1120">
        <f t="shared" si="592"/>
        <v>0.85</v>
      </c>
      <c r="CP470" s="1120">
        <f t="shared" si="593"/>
        <v>0.85</v>
      </c>
      <c r="CQ470" s="1120">
        <f t="shared" si="594"/>
        <v>0.85</v>
      </c>
      <c r="CR470" s="1120">
        <f t="shared" si="595"/>
        <v>0.85</v>
      </c>
      <c r="CS470" s="1120">
        <f t="shared" si="596"/>
        <v>0.85</v>
      </c>
      <c r="CT470" s="1120">
        <f t="shared" si="597"/>
        <v>0.85</v>
      </c>
      <c r="CU470" s="1120">
        <v>1</v>
      </c>
      <c r="CV470" s="1120"/>
      <c r="CW470" s="1120">
        <f t="shared" si="598"/>
        <v>62</v>
      </c>
      <c r="CX470" s="1120">
        <f t="shared" si="599"/>
        <v>303</v>
      </c>
      <c r="CY470" s="1135" t="s">
        <v>4879</v>
      </c>
      <c r="CZ470" s="1124">
        <v>7</v>
      </c>
      <c r="DA470" s="1124"/>
      <c r="DB470" s="1124"/>
      <c r="DC470" s="1120" t="s">
        <v>4939</v>
      </c>
      <c r="DD470" s="1120" t="s">
        <v>953</v>
      </c>
      <c r="DE470" s="1120" t="str">
        <f t="shared" si="600"/>
        <v/>
      </c>
      <c r="DF470" s="1120">
        <v>0</v>
      </c>
      <c r="DG470" s="1120">
        <v>0</v>
      </c>
    </row>
    <row r="471" spans="1:111">
      <c r="A471" s="1125" t="s">
        <v>5856</v>
      </c>
      <c r="B471" s="1120" t="s">
        <v>3440</v>
      </c>
      <c r="C471" s="1120" t="s">
        <v>3441</v>
      </c>
      <c r="D471" s="1120" t="s">
        <v>566</v>
      </c>
      <c r="E471" s="1120">
        <v>672</v>
      </c>
      <c r="F471" s="1120">
        <v>-91.43</v>
      </c>
      <c r="G471" s="1120">
        <v>40.47</v>
      </c>
      <c r="H471" s="1120">
        <v>-6</v>
      </c>
      <c r="I471" s="1121">
        <v>7.8800006866455075</v>
      </c>
      <c r="J471" s="1121">
        <v>91.22000274658204</v>
      </c>
      <c r="K471" s="1122">
        <v>77.719999313354492</v>
      </c>
      <c r="L471" s="1120">
        <v>5272.2</v>
      </c>
      <c r="M471" s="1120">
        <v>1303.2</v>
      </c>
      <c r="N471" s="1123">
        <v>24.620000171661378</v>
      </c>
      <c r="O471" s="1123">
        <v>28.4</v>
      </c>
      <c r="P471" s="1123">
        <v>37.76000008583069</v>
      </c>
      <c r="Q471" s="1123">
        <v>59.540000343322752</v>
      </c>
      <c r="R471" s="1123">
        <v>63.5</v>
      </c>
      <c r="S471" s="1123">
        <v>69.8</v>
      </c>
      <c r="T471" s="1123">
        <v>76.460001373291021</v>
      </c>
      <c r="U471" s="1123">
        <v>75.739998626708982</v>
      </c>
      <c r="V471" s="1123">
        <v>70.33999862670899</v>
      </c>
      <c r="W471" s="1123">
        <v>55.580000686645505</v>
      </c>
      <c r="X471" s="1123">
        <v>44.779999828338624</v>
      </c>
      <c r="Y471" s="1123">
        <v>34.519999957084657</v>
      </c>
      <c r="Z471" s="1123">
        <v>53.541315046271237</v>
      </c>
      <c r="AA471" s="1123">
        <f t="shared" si="526"/>
        <v>47.913022438748953</v>
      </c>
      <c r="AB471" s="1123">
        <f t="shared" si="527"/>
        <v>46.739400225107318</v>
      </c>
      <c r="AC471" s="1123">
        <f t="shared" si="528"/>
        <v>48.90279439308118</v>
      </c>
      <c r="AD471" s="1123">
        <f t="shared" si="529"/>
        <v>53.839282913874847</v>
      </c>
      <c r="AE471" s="1123">
        <f t="shared" si="530"/>
        <v>60.262093980952635</v>
      </c>
      <c r="AF471" s="1123">
        <f t="shared" si="531"/>
        <v>66.497022911166098</v>
      </c>
      <c r="AG471" s="1123">
        <f t="shared" si="532"/>
        <v>70.91883939569189</v>
      </c>
      <c r="AH471" s="1123">
        <f t="shared" si="533"/>
        <v>72.37492882558368</v>
      </c>
      <c r="AI471" s="1123">
        <f t="shared" si="534"/>
        <v>70.485739051922835</v>
      </c>
      <c r="AJ471" s="1123">
        <f t="shared" si="535"/>
        <v>65.743716502509713</v>
      </c>
      <c r="AK471" s="1123">
        <f t="shared" si="536"/>
        <v>59.38494243162836</v>
      </c>
      <c r="AL471" s="1123">
        <f t="shared" si="537"/>
        <v>53.066929292528606</v>
      </c>
      <c r="AM471" s="1120">
        <f t="shared" si="538"/>
        <v>1</v>
      </c>
      <c r="AN471" s="1120">
        <f t="shared" si="539"/>
        <v>1</v>
      </c>
      <c r="AO471" s="1120">
        <f t="shared" si="540"/>
        <v>1</v>
      </c>
      <c r="AP471" s="1120">
        <f t="shared" si="541"/>
        <v>1</v>
      </c>
      <c r="AQ471" s="1120">
        <f t="shared" si="542"/>
        <v>1</v>
      </c>
      <c r="AR471" s="1120">
        <f t="shared" si="543"/>
        <v>0</v>
      </c>
      <c r="AS471" s="1120">
        <f t="shared" si="544"/>
        <v>0</v>
      </c>
      <c r="AT471" s="1120">
        <f t="shared" si="545"/>
        <v>0</v>
      </c>
      <c r="AU471" s="1120">
        <f t="shared" si="546"/>
        <v>0</v>
      </c>
      <c r="AV471" s="1120">
        <f t="shared" si="547"/>
        <v>1</v>
      </c>
      <c r="AW471" s="1120">
        <f t="shared" si="548"/>
        <v>1</v>
      </c>
      <c r="AX471" s="1120">
        <f t="shared" si="549"/>
        <v>1</v>
      </c>
      <c r="AY471" s="1120">
        <f t="shared" si="550"/>
        <v>0</v>
      </c>
      <c r="AZ471" s="1120">
        <f t="shared" si="551"/>
        <v>0</v>
      </c>
      <c r="BA471" s="1120">
        <f t="shared" si="552"/>
        <v>0</v>
      </c>
      <c r="BB471" s="1120">
        <f t="shared" si="553"/>
        <v>0</v>
      </c>
      <c r="BC471" s="1120">
        <f t="shared" si="554"/>
        <v>0</v>
      </c>
      <c r="BD471" s="1120">
        <f t="shared" si="555"/>
        <v>1</v>
      </c>
      <c r="BE471" s="1120">
        <f t="shared" si="556"/>
        <v>1</v>
      </c>
      <c r="BF471" s="1120">
        <f t="shared" si="557"/>
        <v>1</v>
      </c>
      <c r="BG471" s="1120">
        <f t="shared" si="558"/>
        <v>1</v>
      </c>
      <c r="BH471" s="1120">
        <f t="shared" si="559"/>
        <v>0</v>
      </c>
      <c r="BI471" s="1120">
        <f t="shared" si="560"/>
        <v>0</v>
      </c>
      <c r="BJ471" s="1120">
        <f t="shared" si="561"/>
        <v>0</v>
      </c>
      <c r="BK471" s="1120">
        <f t="shared" si="562"/>
        <v>1</v>
      </c>
      <c r="BL471" s="1120">
        <f t="shared" si="563"/>
        <v>1</v>
      </c>
      <c r="BM471" s="1120">
        <f t="shared" si="564"/>
        <v>1</v>
      </c>
      <c r="BN471" s="1120">
        <f t="shared" si="565"/>
        <v>1</v>
      </c>
      <c r="BO471" s="1120">
        <f t="shared" si="566"/>
        <v>1</v>
      </c>
      <c r="BP471" s="1120">
        <f t="shared" si="567"/>
        <v>1</v>
      </c>
      <c r="BQ471" s="1120">
        <f t="shared" si="568"/>
        <v>0</v>
      </c>
      <c r="BR471" s="1120">
        <f t="shared" si="569"/>
        <v>0</v>
      </c>
      <c r="BS471" s="1120">
        <f t="shared" si="570"/>
        <v>0</v>
      </c>
      <c r="BT471" s="1120">
        <f t="shared" si="571"/>
        <v>1</v>
      </c>
      <c r="BU471" s="1120">
        <f t="shared" si="572"/>
        <v>1</v>
      </c>
      <c r="BV471" s="1120">
        <f t="shared" si="573"/>
        <v>1</v>
      </c>
      <c r="BW471" s="1120">
        <f t="shared" si="574"/>
        <v>0</v>
      </c>
      <c r="BX471" s="1120">
        <f t="shared" si="575"/>
        <v>0</v>
      </c>
      <c r="BY471" s="1120">
        <f t="shared" si="576"/>
        <v>0</v>
      </c>
      <c r="BZ471" s="1120">
        <f t="shared" si="577"/>
        <v>0</v>
      </c>
      <c r="CA471" s="1120">
        <f t="shared" si="578"/>
        <v>1</v>
      </c>
      <c r="CB471" s="1120">
        <f t="shared" si="579"/>
        <v>1</v>
      </c>
      <c r="CC471" s="1120">
        <f t="shared" si="580"/>
        <v>1</v>
      </c>
      <c r="CD471" s="1120">
        <f t="shared" si="581"/>
        <v>1</v>
      </c>
      <c r="CE471" s="1120">
        <f t="shared" si="582"/>
        <v>1</v>
      </c>
      <c r="CF471" s="1120">
        <f t="shared" si="583"/>
        <v>1</v>
      </c>
      <c r="CG471" s="1120">
        <f t="shared" si="584"/>
        <v>0</v>
      </c>
      <c r="CH471" s="1120">
        <f t="shared" si="585"/>
        <v>0</v>
      </c>
      <c r="CI471" s="1120">
        <f t="shared" si="586"/>
        <v>0.85</v>
      </c>
      <c r="CJ471" s="1120">
        <f t="shared" si="587"/>
        <v>0.85</v>
      </c>
      <c r="CK471" s="1120">
        <f t="shared" si="588"/>
        <v>0.85</v>
      </c>
      <c r="CL471" s="1120">
        <f t="shared" si="589"/>
        <v>0.85</v>
      </c>
      <c r="CM471" s="1120">
        <f t="shared" si="590"/>
        <v>0.85</v>
      </c>
      <c r="CN471" s="1120">
        <f t="shared" si="591"/>
        <v>0.85</v>
      </c>
      <c r="CO471" s="1120">
        <f t="shared" si="592"/>
        <v>0.7</v>
      </c>
      <c r="CP471" s="1120">
        <f t="shared" si="593"/>
        <v>0.7</v>
      </c>
      <c r="CQ471" s="1120">
        <f t="shared" si="594"/>
        <v>0.7</v>
      </c>
      <c r="CR471" s="1120">
        <f t="shared" si="595"/>
        <v>0.85</v>
      </c>
      <c r="CS471" s="1120">
        <f t="shared" si="596"/>
        <v>0.85</v>
      </c>
      <c r="CT471" s="1120">
        <f t="shared" si="597"/>
        <v>0.85</v>
      </c>
      <c r="CU471" s="1120">
        <v>1</v>
      </c>
      <c r="CV471" s="1120"/>
      <c r="CW471" s="1120">
        <f t="shared" si="598"/>
        <v>184</v>
      </c>
      <c r="CX471" s="1120">
        <f t="shared" si="599"/>
        <v>181</v>
      </c>
      <c r="CY471" s="1135" t="s">
        <v>4889</v>
      </c>
      <c r="CZ471" s="1124" t="s">
        <v>4897</v>
      </c>
      <c r="DA471" s="1124"/>
      <c r="DB471" s="1124"/>
      <c r="DC471" s="1120" t="s">
        <v>5175</v>
      </c>
      <c r="DD471" s="1120" t="s">
        <v>566</v>
      </c>
      <c r="DE471" s="1120" t="str">
        <f t="shared" si="600"/>
        <v/>
      </c>
      <c r="DF471" s="1133">
        <v>1</v>
      </c>
      <c r="DG471" s="1125">
        <v>0</v>
      </c>
    </row>
    <row r="472" spans="1:111">
      <c r="A472" s="1120" t="s">
        <v>5858</v>
      </c>
      <c r="B472" s="1125" t="s">
        <v>2956</v>
      </c>
      <c r="C472" s="1125" t="s">
        <v>2957</v>
      </c>
      <c r="D472" s="1125" t="s">
        <v>953</v>
      </c>
      <c r="E472" s="1125">
        <v>75</v>
      </c>
      <c r="F472" s="1125">
        <v>-131.72</v>
      </c>
      <c r="G472" s="1125">
        <v>55.37</v>
      </c>
      <c r="H472" s="1125">
        <v>-9</v>
      </c>
      <c r="I472" s="1126">
        <v>18.5</v>
      </c>
      <c r="J472" s="1126">
        <v>68.360001373291013</v>
      </c>
      <c r="K472" s="1127">
        <v>59</v>
      </c>
      <c r="L472" s="1125">
        <v>7723.8</v>
      </c>
      <c r="M472" s="1125">
        <v>25.2</v>
      </c>
      <c r="N472" s="1128">
        <v>31.459999978542328</v>
      </c>
      <c r="O472" s="1128">
        <v>30.380000042915345</v>
      </c>
      <c r="P472" s="1128">
        <v>31.639999994635581</v>
      </c>
      <c r="Q472" s="1128">
        <v>39.920000171661378</v>
      </c>
      <c r="R472" s="1128">
        <v>46.759999656677245</v>
      </c>
      <c r="S472" s="1128">
        <v>57.019999313354489</v>
      </c>
      <c r="T472" s="1128">
        <v>56.119999313354491</v>
      </c>
      <c r="U472" s="1128">
        <v>62.060001373291016</v>
      </c>
      <c r="V472" s="1128">
        <v>50.9</v>
      </c>
      <c r="W472" s="1128">
        <v>46.040000343322752</v>
      </c>
      <c r="X472" s="1128">
        <v>36.5</v>
      </c>
      <c r="Y472" s="1128">
        <v>30.019999957084657</v>
      </c>
      <c r="Z472" s="1128">
        <v>43.309424670893854</v>
      </c>
      <c r="AA472" s="1128">
        <f t="shared" si="526"/>
        <v>44.162984801922619</v>
      </c>
      <c r="AB472" s="1128">
        <f t="shared" si="527"/>
        <v>43.042226486554519</v>
      </c>
      <c r="AC472" s="1128">
        <f t="shared" si="528"/>
        <v>43.555109958381955</v>
      </c>
      <c r="AD472" s="1128">
        <f t="shared" si="529"/>
        <v>45.56794423669956</v>
      </c>
      <c r="AE472" s="1128">
        <f t="shared" si="530"/>
        <v>48.556053048148691</v>
      </c>
      <c r="AF472" s="1128">
        <f t="shared" si="531"/>
        <v>51.740539782874478</v>
      </c>
      <c r="AG472" s="1128">
        <f t="shared" si="532"/>
        <v>54.291318899044597</v>
      </c>
      <c r="AH472" s="1128">
        <f t="shared" si="533"/>
        <v>55.54349051133326</v>
      </c>
      <c r="AI472" s="1128">
        <f t="shared" si="534"/>
        <v>55.170656792448781</v>
      </c>
      <c r="AJ472" s="1128">
        <f t="shared" si="535"/>
        <v>53.270002596759923</v>
      </c>
      <c r="AK472" s="1128">
        <f t="shared" si="536"/>
        <v>50.336962730340744</v>
      </c>
      <c r="AL472" s="1128">
        <f t="shared" si="537"/>
        <v>47.136079233885916</v>
      </c>
      <c r="AM472" s="1125">
        <f t="shared" si="538"/>
        <v>1</v>
      </c>
      <c r="AN472" s="1125">
        <f t="shared" si="539"/>
        <v>1</v>
      </c>
      <c r="AO472" s="1125">
        <f t="shared" si="540"/>
        <v>1</v>
      </c>
      <c r="AP472" s="1125">
        <f t="shared" si="541"/>
        <v>1</v>
      </c>
      <c r="AQ472" s="1125">
        <f t="shared" si="542"/>
        <v>1</v>
      </c>
      <c r="AR472" s="1125">
        <f t="shared" si="543"/>
        <v>1</v>
      </c>
      <c r="AS472" s="1125">
        <f t="shared" si="544"/>
        <v>1</v>
      </c>
      <c r="AT472" s="1125">
        <f t="shared" si="545"/>
        <v>1</v>
      </c>
      <c r="AU472" s="1125">
        <f t="shared" si="546"/>
        <v>1</v>
      </c>
      <c r="AV472" s="1125">
        <f t="shared" si="547"/>
        <v>1</v>
      </c>
      <c r="AW472" s="1125">
        <f t="shared" si="548"/>
        <v>1</v>
      </c>
      <c r="AX472" s="1125">
        <f t="shared" si="549"/>
        <v>1</v>
      </c>
      <c r="AY472" s="1125">
        <f t="shared" si="550"/>
        <v>0</v>
      </c>
      <c r="AZ472" s="1125">
        <f t="shared" si="551"/>
        <v>0</v>
      </c>
      <c r="BA472" s="1125">
        <f t="shared" si="552"/>
        <v>0</v>
      </c>
      <c r="BB472" s="1125">
        <f t="shared" si="553"/>
        <v>0</v>
      </c>
      <c r="BC472" s="1125">
        <f t="shared" si="554"/>
        <v>0</v>
      </c>
      <c r="BD472" s="1125">
        <f t="shared" si="555"/>
        <v>0</v>
      </c>
      <c r="BE472" s="1125">
        <f t="shared" si="556"/>
        <v>1</v>
      </c>
      <c r="BF472" s="1125">
        <f t="shared" si="557"/>
        <v>1</v>
      </c>
      <c r="BG472" s="1125">
        <f t="shared" si="558"/>
        <v>0</v>
      </c>
      <c r="BH472" s="1125">
        <f t="shared" si="559"/>
        <v>0</v>
      </c>
      <c r="BI472" s="1125">
        <f t="shared" si="560"/>
        <v>0</v>
      </c>
      <c r="BJ472" s="1125">
        <f t="shared" si="561"/>
        <v>0</v>
      </c>
      <c r="BK472" s="1125">
        <f t="shared" si="562"/>
        <v>1</v>
      </c>
      <c r="BL472" s="1125">
        <f t="shared" si="563"/>
        <v>1</v>
      </c>
      <c r="BM472" s="1125">
        <f t="shared" si="564"/>
        <v>1</v>
      </c>
      <c r="BN472" s="1125">
        <f t="shared" si="565"/>
        <v>1</v>
      </c>
      <c r="BO472" s="1125">
        <f t="shared" si="566"/>
        <v>1</v>
      </c>
      <c r="BP472" s="1125">
        <f t="shared" si="567"/>
        <v>1</v>
      </c>
      <c r="BQ472" s="1125">
        <f t="shared" si="568"/>
        <v>1</v>
      </c>
      <c r="BR472" s="1125">
        <f t="shared" si="569"/>
        <v>1</v>
      </c>
      <c r="BS472" s="1125">
        <f t="shared" si="570"/>
        <v>1</v>
      </c>
      <c r="BT472" s="1125">
        <f t="shared" si="571"/>
        <v>1</v>
      </c>
      <c r="BU472" s="1125">
        <f t="shared" si="572"/>
        <v>1</v>
      </c>
      <c r="BV472" s="1125">
        <f t="shared" si="573"/>
        <v>1</v>
      </c>
      <c r="BW472" s="1125">
        <f t="shared" si="574"/>
        <v>0</v>
      </c>
      <c r="BX472" s="1125">
        <f t="shared" si="575"/>
        <v>0</v>
      </c>
      <c r="BY472" s="1125">
        <f t="shared" si="576"/>
        <v>0</v>
      </c>
      <c r="BZ472" s="1125">
        <f t="shared" si="577"/>
        <v>0</v>
      </c>
      <c r="CA472" s="1125">
        <f t="shared" si="578"/>
        <v>0</v>
      </c>
      <c r="CB472" s="1125">
        <f t="shared" si="579"/>
        <v>0</v>
      </c>
      <c r="CC472" s="1125">
        <f t="shared" si="580"/>
        <v>1</v>
      </c>
      <c r="CD472" s="1125">
        <f t="shared" si="581"/>
        <v>1</v>
      </c>
      <c r="CE472" s="1125">
        <f t="shared" si="582"/>
        <v>0</v>
      </c>
      <c r="CF472" s="1125">
        <f t="shared" si="583"/>
        <v>0</v>
      </c>
      <c r="CG472" s="1125">
        <f t="shared" si="584"/>
        <v>0</v>
      </c>
      <c r="CH472" s="1125">
        <f t="shared" si="585"/>
        <v>0</v>
      </c>
      <c r="CI472" s="1125">
        <f t="shared" si="586"/>
        <v>0.85</v>
      </c>
      <c r="CJ472" s="1125">
        <f t="shared" si="587"/>
        <v>0.85</v>
      </c>
      <c r="CK472" s="1125">
        <f t="shared" si="588"/>
        <v>0.85</v>
      </c>
      <c r="CL472" s="1125">
        <f t="shared" si="589"/>
        <v>0.85</v>
      </c>
      <c r="CM472" s="1125">
        <f t="shared" si="590"/>
        <v>0.85</v>
      </c>
      <c r="CN472" s="1125">
        <f t="shared" si="591"/>
        <v>0.85</v>
      </c>
      <c r="CO472" s="1125">
        <f t="shared" si="592"/>
        <v>0.85</v>
      </c>
      <c r="CP472" s="1125">
        <f t="shared" si="593"/>
        <v>0.85</v>
      </c>
      <c r="CQ472" s="1125">
        <f t="shared" si="594"/>
        <v>0.85</v>
      </c>
      <c r="CR472" s="1125">
        <f t="shared" si="595"/>
        <v>0.85</v>
      </c>
      <c r="CS472" s="1125">
        <f t="shared" si="596"/>
        <v>0.85</v>
      </c>
      <c r="CT472" s="1125">
        <f t="shared" si="597"/>
        <v>0.85</v>
      </c>
      <c r="CU472" s="1125">
        <v>1</v>
      </c>
      <c r="CV472" s="1125"/>
      <c r="CW472" s="1125">
        <f t="shared" si="598"/>
        <v>62</v>
      </c>
      <c r="CX472" s="1125">
        <f t="shared" si="599"/>
        <v>303</v>
      </c>
      <c r="CY472" s="1136" t="s">
        <v>4879</v>
      </c>
      <c r="CZ472" s="1129">
        <v>7</v>
      </c>
      <c r="DA472" s="1129"/>
      <c r="DB472" s="1129"/>
      <c r="DC472" s="1125" t="s">
        <v>4940</v>
      </c>
      <c r="DD472" s="1125" t="s">
        <v>953</v>
      </c>
      <c r="DE472" s="1125" t="str">
        <f t="shared" si="600"/>
        <v/>
      </c>
      <c r="DF472" s="1125">
        <v>0</v>
      </c>
      <c r="DG472" s="1120">
        <v>0</v>
      </c>
    </row>
    <row r="473" spans="1:111">
      <c r="A473" s="1125" t="s">
        <v>3705</v>
      </c>
      <c r="B473" s="1125" t="s">
        <v>3288</v>
      </c>
      <c r="C473" s="1125" t="s">
        <v>3289</v>
      </c>
      <c r="D473" s="1125" t="s">
        <v>594</v>
      </c>
      <c r="E473" s="1125">
        <v>3</v>
      </c>
      <c r="F473" s="1125">
        <v>-81.75</v>
      </c>
      <c r="G473" s="1125">
        <v>24.55</v>
      </c>
      <c r="H473" s="1125">
        <v>-5</v>
      </c>
      <c r="I473" s="1126">
        <v>57.919999313354495</v>
      </c>
      <c r="J473" s="1126">
        <v>89.779997253417974</v>
      </c>
      <c r="K473" s="1127">
        <v>79.16000137329101</v>
      </c>
      <c r="L473" s="1125">
        <v>52.2</v>
      </c>
      <c r="M473" s="1125">
        <v>5022</v>
      </c>
      <c r="N473" s="1128">
        <v>67.460001373291021</v>
      </c>
      <c r="O473" s="1128">
        <v>71.419999313354495</v>
      </c>
      <c r="P473" s="1128">
        <v>74.3</v>
      </c>
      <c r="Q473" s="1128">
        <v>76.819999313354487</v>
      </c>
      <c r="R473" s="1128">
        <v>80.239998626708982</v>
      </c>
      <c r="S473" s="1128">
        <v>83.3</v>
      </c>
      <c r="T473" s="1128">
        <v>84.919999313354495</v>
      </c>
      <c r="U473" s="1128">
        <v>84.739998626708982</v>
      </c>
      <c r="V473" s="1128">
        <v>83.480000686645511</v>
      </c>
      <c r="W473" s="1128">
        <v>80.419999313354495</v>
      </c>
      <c r="X473" s="1128">
        <v>77.180000686645513</v>
      </c>
      <c r="Y473" s="1128">
        <v>71.419999313354495</v>
      </c>
      <c r="Z473" s="1128">
        <v>78.004547657378737</v>
      </c>
      <c r="AA473" s="1128">
        <f t="shared" si="526"/>
        <v>77.544899350523011</v>
      </c>
      <c r="AB473" s="1128">
        <f t="shared" si="527"/>
        <v>78.332172313125909</v>
      </c>
      <c r="AC473" s="1128">
        <f t="shared" si="528"/>
        <v>80.598037323158351</v>
      </c>
      <c r="AD473" s="1128">
        <f t="shared" si="529"/>
        <v>83.751861747718635</v>
      </c>
      <c r="AE473" s="1128">
        <f t="shared" si="530"/>
        <v>86.971552648639559</v>
      </c>
      <c r="AF473" s="1128">
        <f t="shared" si="531"/>
        <v>89.417847975657409</v>
      </c>
      <c r="AG473" s="1128">
        <f t="shared" si="532"/>
        <v>90.453083153232882</v>
      </c>
      <c r="AH473" s="1128">
        <f t="shared" si="533"/>
        <v>89.807408178873914</v>
      </c>
      <c r="AI473" s="1128">
        <f t="shared" si="534"/>
        <v>87.649128184799736</v>
      </c>
      <c r="AJ473" s="1128">
        <f t="shared" si="535"/>
        <v>84.540832111567255</v>
      </c>
      <c r="AK473" s="1128">
        <f t="shared" si="536"/>
        <v>81.292745230956939</v>
      </c>
      <c r="AL473" s="1128">
        <f t="shared" si="537"/>
        <v>78.751531442933825</v>
      </c>
      <c r="AM473" s="1125">
        <f t="shared" si="538"/>
        <v>1</v>
      </c>
      <c r="AN473" s="1125">
        <f t="shared" si="539"/>
        <v>0</v>
      </c>
      <c r="AO473" s="1125">
        <f t="shared" si="540"/>
        <v>0</v>
      </c>
      <c r="AP473" s="1125">
        <f t="shared" si="541"/>
        <v>0</v>
      </c>
      <c r="AQ473" s="1125">
        <f t="shared" si="542"/>
        <v>0</v>
      </c>
      <c r="AR473" s="1125">
        <f t="shared" si="543"/>
        <v>0</v>
      </c>
      <c r="AS473" s="1125">
        <f t="shared" si="544"/>
        <v>0</v>
      </c>
      <c r="AT473" s="1125">
        <f t="shared" si="545"/>
        <v>0</v>
      </c>
      <c r="AU473" s="1125">
        <f t="shared" si="546"/>
        <v>0</v>
      </c>
      <c r="AV473" s="1125">
        <f t="shared" si="547"/>
        <v>0</v>
      </c>
      <c r="AW473" s="1125">
        <f t="shared" si="548"/>
        <v>0</v>
      </c>
      <c r="AX473" s="1125">
        <f t="shared" si="549"/>
        <v>0</v>
      </c>
      <c r="AY473" s="1125">
        <f t="shared" si="550"/>
        <v>1</v>
      </c>
      <c r="AZ473" s="1125">
        <f t="shared" si="551"/>
        <v>1</v>
      </c>
      <c r="BA473" s="1125">
        <f t="shared" si="552"/>
        <v>1</v>
      </c>
      <c r="BB473" s="1125">
        <f t="shared" si="553"/>
        <v>1</v>
      </c>
      <c r="BC473" s="1125">
        <f t="shared" si="554"/>
        <v>1</v>
      </c>
      <c r="BD473" s="1125">
        <f t="shared" si="555"/>
        <v>1</v>
      </c>
      <c r="BE473" s="1125">
        <f t="shared" si="556"/>
        <v>1</v>
      </c>
      <c r="BF473" s="1125">
        <f t="shared" si="557"/>
        <v>1</v>
      </c>
      <c r="BG473" s="1125">
        <f t="shared" si="558"/>
        <v>1</v>
      </c>
      <c r="BH473" s="1125">
        <f t="shared" si="559"/>
        <v>1</v>
      </c>
      <c r="BI473" s="1125">
        <f t="shared" si="560"/>
        <v>1</v>
      </c>
      <c r="BJ473" s="1125">
        <f t="shared" si="561"/>
        <v>1</v>
      </c>
      <c r="BK473" s="1125">
        <f t="shared" si="562"/>
        <v>1</v>
      </c>
      <c r="BL473" s="1125">
        <f t="shared" si="563"/>
        <v>0</v>
      </c>
      <c r="BM473" s="1125">
        <f t="shared" si="564"/>
        <v>0</v>
      </c>
      <c r="BN473" s="1125">
        <f t="shared" si="565"/>
        <v>0</v>
      </c>
      <c r="BO473" s="1125">
        <f t="shared" si="566"/>
        <v>0</v>
      </c>
      <c r="BP473" s="1125">
        <f t="shared" si="567"/>
        <v>0</v>
      </c>
      <c r="BQ473" s="1125">
        <f t="shared" si="568"/>
        <v>0</v>
      </c>
      <c r="BR473" s="1125">
        <f t="shared" si="569"/>
        <v>0</v>
      </c>
      <c r="BS473" s="1125">
        <f t="shared" si="570"/>
        <v>0</v>
      </c>
      <c r="BT473" s="1125">
        <f t="shared" si="571"/>
        <v>0</v>
      </c>
      <c r="BU473" s="1125">
        <f t="shared" si="572"/>
        <v>0</v>
      </c>
      <c r="BV473" s="1125">
        <f t="shared" si="573"/>
        <v>0</v>
      </c>
      <c r="BW473" s="1125">
        <f t="shared" si="574"/>
        <v>1</v>
      </c>
      <c r="BX473" s="1125">
        <f t="shared" si="575"/>
        <v>1</v>
      </c>
      <c r="BY473" s="1125">
        <f t="shared" si="576"/>
        <v>1</v>
      </c>
      <c r="BZ473" s="1125">
        <f t="shared" si="577"/>
        <v>1</v>
      </c>
      <c r="CA473" s="1125">
        <f t="shared" si="578"/>
        <v>1</v>
      </c>
      <c r="CB473" s="1125">
        <f t="shared" si="579"/>
        <v>1</v>
      </c>
      <c r="CC473" s="1125">
        <f t="shared" si="580"/>
        <v>1</v>
      </c>
      <c r="CD473" s="1125">
        <f t="shared" si="581"/>
        <v>1</v>
      </c>
      <c r="CE473" s="1125">
        <f t="shared" si="582"/>
        <v>1</v>
      </c>
      <c r="CF473" s="1125">
        <f t="shared" si="583"/>
        <v>1</v>
      </c>
      <c r="CG473" s="1125">
        <f t="shared" si="584"/>
        <v>1</v>
      </c>
      <c r="CH473" s="1125">
        <f t="shared" si="585"/>
        <v>1</v>
      </c>
      <c r="CI473" s="1125">
        <f t="shared" si="586"/>
        <v>0.85</v>
      </c>
      <c r="CJ473" s="1125">
        <f t="shared" si="587"/>
        <v>0.7</v>
      </c>
      <c r="CK473" s="1125">
        <f t="shared" si="588"/>
        <v>0.7</v>
      </c>
      <c r="CL473" s="1125">
        <f t="shared" si="589"/>
        <v>0.7</v>
      </c>
      <c r="CM473" s="1125">
        <f t="shared" si="590"/>
        <v>0.7</v>
      </c>
      <c r="CN473" s="1125">
        <f t="shared" si="591"/>
        <v>0.7</v>
      </c>
      <c r="CO473" s="1125">
        <f t="shared" si="592"/>
        <v>0.7</v>
      </c>
      <c r="CP473" s="1125">
        <f t="shared" si="593"/>
        <v>0.7</v>
      </c>
      <c r="CQ473" s="1125">
        <f t="shared" si="594"/>
        <v>0.7</v>
      </c>
      <c r="CR473" s="1125">
        <f t="shared" si="595"/>
        <v>0.7</v>
      </c>
      <c r="CS473" s="1125">
        <f t="shared" si="596"/>
        <v>0.7</v>
      </c>
      <c r="CT473" s="1125">
        <f t="shared" si="597"/>
        <v>0.7</v>
      </c>
      <c r="CU473" s="1125">
        <v>1</v>
      </c>
      <c r="CV473" s="1125"/>
      <c r="CW473" s="1125">
        <f t="shared" si="598"/>
        <v>365</v>
      </c>
      <c r="CX473" s="1125">
        <f t="shared" si="599"/>
        <v>0</v>
      </c>
      <c r="CY473" s="1136" t="s">
        <v>4883</v>
      </c>
      <c r="CZ473" s="1129" t="s">
        <v>4898</v>
      </c>
      <c r="DA473" s="1129"/>
      <c r="DB473" s="1129"/>
      <c r="DC473" s="1125" t="s">
        <v>5102</v>
      </c>
      <c r="DD473" s="1125" t="s">
        <v>594</v>
      </c>
      <c r="DE473" s="1120" t="str">
        <f t="shared" si="600"/>
        <v/>
      </c>
      <c r="DF473" s="1133">
        <v>0</v>
      </c>
      <c r="DG473" s="1125">
        <v>0</v>
      </c>
    </row>
    <row r="474" spans="1:111">
      <c r="A474" s="1120" t="s">
        <v>3707</v>
      </c>
      <c r="B474" s="1120" t="s">
        <v>3290</v>
      </c>
      <c r="C474" s="1120" t="s">
        <v>3291</v>
      </c>
      <c r="D474" s="1120" t="s">
        <v>594</v>
      </c>
      <c r="E474" s="1120">
        <v>23</v>
      </c>
      <c r="F474" s="1120">
        <v>-81.680000000000007</v>
      </c>
      <c r="G474" s="1120">
        <v>24.58</v>
      </c>
      <c r="H474" s="1120">
        <v>-5</v>
      </c>
      <c r="I474" s="1121">
        <v>57.919999313354495</v>
      </c>
      <c r="J474" s="1121">
        <v>89.779997253417974</v>
      </c>
      <c r="K474" s="1122">
        <v>78.980000686645511</v>
      </c>
      <c r="L474" s="1120">
        <v>28.8</v>
      </c>
      <c r="M474" s="1120">
        <v>4879.8</v>
      </c>
      <c r="N474" s="1123">
        <v>67.639998626708987</v>
      </c>
      <c r="O474" s="1123">
        <v>70.519999313354489</v>
      </c>
      <c r="P474" s="1123">
        <v>73.939998626708984</v>
      </c>
      <c r="Q474" s="1123">
        <v>76.099999999999994</v>
      </c>
      <c r="R474" s="1123">
        <v>82.039998626708979</v>
      </c>
      <c r="S474" s="1123">
        <v>83.3</v>
      </c>
      <c r="T474" s="1123">
        <v>83.83999862670899</v>
      </c>
      <c r="U474" s="1123">
        <v>84.560001373291016</v>
      </c>
      <c r="V474" s="1123">
        <v>83.119999313354498</v>
      </c>
      <c r="W474" s="1123">
        <v>81.139998626708987</v>
      </c>
      <c r="X474" s="1123">
        <v>75.2</v>
      </c>
      <c r="Y474" s="1123">
        <v>70.33999862670899</v>
      </c>
      <c r="Z474" s="1123">
        <v>77.683999307710835</v>
      </c>
      <c r="AA474" s="1123">
        <f t="shared" si="526"/>
        <v>77.451930466255106</v>
      </c>
      <c r="AB474" s="1123">
        <f t="shared" si="527"/>
        <v>78.194490029273581</v>
      </c>
      <c r="AC474" s="1123">
        <f t="shared" si="528"/>
        <v>80.367974781615402</v>
      </c>
      <c r="AD474" s="1123">
        <f t="shared" si="529"/>
        <v>83.405832428168779</v>
      </c>
      <c r="AE474" s="1123">
        <f t="shared" si="530"/>
        <v>86.516198558556155</v>
      </c>
      <c r="AF474" s="1123">
        <f t="shared" si="531"/>
        <v>88.888308308699109</v>
      </c>
      <c r="AG474" s="1123">
        <f t="shared" si="532"/>
        <v>89.903834716905109</v>
      </c>
      <c r="AH474" s="1123">
        <f t="shared" si="533"/>
        <v>89.298065175139584</v>
      </c>
      <c r="AI474" s="1123">
        <f t="shared" si="534"/>
        <v>87.228902849654943</v>
      </c>
      <c r="AJ474" s="1123">
        <f t="shared" si="535"/>
        <v>84.235706787345407</v>
      </c>
      <c r="AK474" s="1123">
        <f t="shared" si="536"/>
        <v>81.09869966839949</v>
      </c>
      <c r="AL474" s="1123">
        <f t="shared" si="537"/>
        <v>78.635590741113489</v>
      </c>
      <c r="AM474" s="1120">
        <f t="shared" si="538"/>
        <v>1</v>
      </c>
      <c r="AN474" s="1120">
        <f t="shared" si="539"/>
        <v>0</v>
      </c>
      <c r="AO474" s="1120">
        <f t="shared" si="540"/>
        <v>0</v>
      </c>
      <c r="AP474" s="1120">
        <f t="shared" si="541"/>
        <v>0</v>
      </c>
      <c r="AQ474" s="1120">
        <f t="shared" si="542"/>
        <v>0</v>
      </c>
      <c r="AR474" s="1120">
        <f t="shared" si="543"/>
        <v>0</v>
      </c>
      <c r="AS474" s="1120">
        <f t="shared" si="544"/>
        <v>0</v>
      </c>
      <c r="AT474" s="1120">
        <f t="shared" si="545"/>
        <v>0</v>
      </c>
      <c r="AU474" s="1120">
        <f t="shared" si="546"/>
        <v>0</v>
      </c>
      <c r="AV474" s="1120">
        <f t="shared" si="547"/>
        <v>0</v>
      </c>
      <c r="AW474" s="1120">
        <f t="shared" si="548"/>
        <v>0</v>
      </c>
      <c r="AX474" s="1120">
        <f t="shared" si="549"/>
        <v>0</v>
      </c>
      <c r="AY474" s="1120">
        <f t="shared" si="550"/>
        <v>1</v>
      </c>
      <c r="AZ474" s="1120">
        <f t="shared" si="551"/>
        <v>1</v>
      </c>
      <c r="BA474" s="1120">
        <f t="shared" si="552"/>
        <v>1</v>
      </c>
      <c r="BB474" s="1120">
        <f t="shared" si="553"/>
        <v>1</v>
      </c>
      <c r="BC474" s="1120">
        <f t="shared" si="554"/>
        <v>1</v>
      </c>
      <c r="BD474" s="1120">
        <f t="shared" si="555"/>
        <v>1</v>
      </c>
      <c r="BE474" s="1120">
        <f t="shared" si="556"/>
        <v>1</v>
      </c>
      <c r="BF474" s="1120">
        <f t="shared" si="557"/>
        <v>1</v>
      </c>
      <c r="BG474" s="1120">
        <f t="shared" si="558"/>
        <v>1</v>
      </c>
      <c r="BH474" s="1120">
        <f t="shared" si="559"/>
        <v>1</v>
      </c>
      <c r="BI474" s="1120">
        <f t="shared" si="560"/>
        <v>1</v>
      </c>
      <c r="BJ474" s="1120">
        <f t="shared" si="561"/>
        <v>1</v>
      </c>
      <c r="BK474" s="1120">
        <f t="shared" si="562"/>
        <v>1</v>
      </c>
      <c r="BL474" s="1120">
        <f t="shared" si="563"/>
        <v>0</v>
      </c>
      <c r="BM474" s="1120">
        <f t="shared" si="564"/>
        <v>0</v>
      </c>
      <c r="BN474" s="1120">
        <f t="shared" si="565"/>
        <v>0</v>
      </c>
      <c r="BO474" s="1120">
        <f t="shared" si="566"/>
        <v>0</v>
      </c>
      <c r="BP474" s="1120">
        <f t="shared" si="567"/>
        <v>0</v>
      </c>
      <c r="BQ474" s="1120">
        <f t="shared" si="568"/>
        <v>0</v>
      </c>
      <c r="BR474" s="1120">
        <f t="shared" si="569"/>
        <v>0</v>
      </c>
      <c r="BS474" s="1120">
        <f t="shared" si="570"/>
        <v>0</v>
      </c>
      <c r="BT474" s="1120">
        <f t="shared" si="571"/>
        <v>0</v>
      </c>
      <c r="BU474" s="1120">
        <f t="shared" si="572"/>
        <v>0</v>
      </c>
      <c r="BV474" s="1120">
        <f t="shared" si="573"/>
        <v>0</v>
      </c>
      <c r="BW474" s="1120">
        <f t="shared" si="574"/>
        <v>1</v>
      </c>
      <c r="BX474" s="1120">
        <f t="shared" si="575"/>
        <v>1</v>
      </c>
      <c r="BY474" s="1120">
        <f t="shared" si="576"/>
        <v>1</v>
      </c>
      <c r="BZ474" s="1120">
        <f t="shared" si="577"/>
        <v>1</v>
      </c>
      <c r="CA474" s="1120">
        <f t="shared" si="578"/>
        <v>1</v>
      </c>
      <c r="CB474" s="1120">
        <f t="shared" si="579"/>
        <v>1</v>
      </c>
      <c r="CC474" s="1120">
        <f t="shared" si="580"/>
        <v>1</v>
      </c>
      <c r="CD474" s="1120">
        <f t="shared" si="581"/>
        <v>1</v>
      </c>
      <c r="CE474" s="1120">
        <f t="shared" si="582"/>
        <v>1</v>
      </c>
      <c r="CF474" s="1120">
        <f t="shared" si="583"/>
        <v>1</v>
      </c>
      <c r="CG474" s="1120">
        <f t="shared" si="584"/>
        <v>1</v>
      </c>
      <c r="CH474" s="1120">
        <f t="shared" si="585"/>
        <v>1</v>
      </c>
      <c r="CI474" s="1120">
        <f t="shared" si="586"/>
        <v>0.85</v>
      </c>
      <c r="CJ474" s="1120">
        <f t="shared" si="587"/>
        <v>0.7</v>
      </c>
      <c r="CK474" s="1120">
        <f t="shared" si="588"/>
        <v>0.7</v>
      </c>
      <c r="CL474" s="1120">
        <f t="shared" si="589"/>
        <v>0.7</v>
      </c>
      <c r="CM474" s="1120">
        <f t="shared" si="590"/>
        <v>0.7</v>
      </c>
      <c r="CN474" s="1120">
        <f t="shared" si="591"/>
        <v>0.7</v>
      </c>
      <c r="CO474" s="1120">
        <f t="shared" si="592"/>
        <v>0.7</v>
      </c>
      <c r="CP474" s="1120">
        <f t="shared" si="593"/>
        <v>0.7</v>
      </c>
      <c r="CQ474" s="1120">
        <f t="shared" si="594"/>
        <v>0.7</v>
      </c>
      <c r="CR474" s="1120">
        <f t="shared" si="595"/>
        <v>0.7</v>
      </c>
      <c r="CS474" s="1120">
        <f t="shared" si="596"/>
        <v>0.7</v>
      </c>
      <c r="CT474" s="1120">
        <f t="shared" si="597"/>
        <v>0.7</v>
      </c>
      <c r="CU474" s="1120">
        <v>1</v>
      </c>
      <c r="CV474" s="1120"/>
      <c r="CW474" s="1120">
        <f t="shared" si="598"/>
        <v>365</v>
      </c>
      <c r="CX474" s="1120">
        <f t="shared" si="599"/>
        <v>0</v>
      </c>
      <c r="CY474" s="1135" t="s">
        <v>4883</v>
      </c>
      <c r="CZ474" s="1124" t="s">
        <v>4898</v>
      </c>
      <c r="DA474" s="1124"/>
      <c r="DB474" s="1124"/>
      <c r="DC474" s="1120" t="s">
        <v>5103</v>
      </c>
      <c r="DD474" s="1120" t="s">
        <v>594</v>
      </c>
      <c r="DE474" s="1120" t="str">
        <f t="shared" si="600"/>
        <v/>
      </c>
      <c r="DF474" s="1133">
        <v>0</v>
      </c>
      <c r="DG474" s="1120">
        <v>0</v>
      </c>
    </row>
    <row r="475" spans="1:111">
      <c r="A475" s="1125" t="s">
        <v>3709</v>
      </c>
      <c r="B475" s="1120" t="s">
        <v>5925</v>
      </c>
      <c r="C475" s="1120" t="s">
        <v>5926</v>
      </c>
      <c r="D475" s="1120" t="s">
        <v>228</v>
      </c>
      <c r="E475" s="1120">
        <v>846</v>
      </c>
      <c r="F475" s="1120">
        <v>-97.68</v>
      </c>
      <c r="G475" s="1120">
        <v>31.08</v>
      </c>
      <c r="H475" s="1120">
        <v>-6</v>
      </c>
      <c r="I475" s="1121">
        <v>29.660000085830688</v>
      </c>
      <c r="J475" s="1121">
        <v>97.520002746582037</v>
      </c>
      <c r="K475" s="1122">
        <v>74.119999313354498</v>
      </c>
      <c r="L475" s="1120">
        <v>2044.8</v>
      </c>
      <c r="M475" s="1120">
        <v>2709</v>
      </c>
      <c r="N475" s="1123">
        <v>43.159999656677243</v>
      </c>
      <c r="O475" s="1123">
        <v>55.580000686645505</v>
      </c>
      <c r="P475" s="1123">
        <v>54.140000343322754</v>
      </c>
      <c r="Q475" s="1123">
        <v>66.560001373291016</v>
      </c>
      <c r="R475" s="1123">
        <v>74.66000137329101</v>
      </c>
      <c r="S475" s="1123">
        <v>78.439998626708984</v>
      </c>
      <c r="T475" s="1123">
        <v>81.860001373291013</v>
      </c>
      <c r="U475" s="1123">
        <v>81.860001373291013</v>
      </c>
      <c r="V475" s="1123">
        <v>78.980000686645511</v>
      </c>
      <c r="W475" s="1123">
        <v>67.819999313354487</v>
      </c>
      <c r="X475" s="1123">
        <v>61.519999313354496</v>
      </c>
      <c r="Y475" s="1123">
        <v>49.459999656677248</v>
      </c>
      <c r="Z475" s="1123">
        <v>66.200000315104447</v>
      </c>
      <c r="AA475" s="1123">
        <f t="shared" si="526"/>
        <v>60.455112256366263</v>
      </c>
      <c r="AB475" s="1123">
        <f t="shared" si="527"/>
        <v>60.687699744801073</v>
      </c>
      <c r="AC475" s="1123">
        <f t="shared" si="528"/>
        <v>63.921145786807408</v>
      </c>
      <c r="AD475" s="1123">
        <f t="shared" si="529"/>
        <v>69.312602842624486</v>
      </c>
      <c r="AE475" s="1123">
        <f t="shared" si="530"/>
        <v>75.456704545785399</v>
      </c>
      <c r="AF475" s="1123">
        <f t="shared" si="531"/>
        <v>80.751896103887972</v>
      </c>
      <c r="AG475" s="1123">
        <f t="shared" si="532"/>
        <v>83.817904235940816</v>
      </c>
      <c r="AH475" s="1123">
        <f t="shared" si="533"/>
        <v>83.855526673708809</v>
      </c>
      <c r="AI475" s="1123">
        <f t="shared" si="534"/>
        <v>80.854956549008435</v>
      </c>
      <c r="AJ475" s="1123">
        <f t="shared" si="535"/>
        <v>75.598338705028141</v>
      </c>
      <c r="AK475" s="1123">
        <f t="shared" si="536"/>
        <v>69.455891589734406</v>
      </c>
      <c r="AL475" s="1123">
        <f t="shared" si="537"/>
        <v>64.028738701703887</v>
      </c>
      <c r="AM475" s="1120">
        <f t="shared" si="538"/>
        <v>1</v>
      </c>
      <c r="AN475" s="1120">
        <f t="shared" si="539"/>
        <v>1</v>
      </c>
      <c r="AO475" s="1120">
        <f t="shared" si="540"/>
        <v>1</v>
      </c>
      <c r="AP475" s="1120">
        <f t="shared" si="541"/>
        <v>0</v>
      </c>
      <c r="AQ475" s="1120">
        <f t="shared" si="542"/>
        <v>0</v>
      </c>
      <c r="AR475" s="1120">
        <f t="shared" si="543"/>
        <v>0</v>
      </c>
      <c r="AS475" s="1120">
        <f t="shared" si="544"/>
        <v>0</v>
      </c>
      <c r="AT475" s="1120">
        <f t="shared" si="545"/>
        <v>0</v>
      </c>
      <c r="AU475" s="1120">
        <f t="shared" si="546"/>
        <v>0</v>
      </c>
      <c r="AV475" s="1120">
        <f t="shared" si="547"/>
        <v>0</v>
      </c>
      <c r="AW475" s="1120">
        <f t="shared" si="548"/>
        <v>1</v>
      </c>
      <c r="AX475" s="1120">
        <f t="shared" si="549"/>
        <v>1</v>
      </c>
      <c r="AY475" s="1120">
        <f t="shared" si="550"/>
        <v>0</v>
      </c>
      <c r="AZ475" s="1120">
        <f t="shared" si="551"/>
        <v>0</v>
      </c>
      <c r="BA475" s="1120">
        <f t="shared" si="552"/>
        <v>0</v>
      </c>
      <c r="BB475" s="1120">
        <f t="shared" si="553"/>
        <v>1</v>
      </c>
      <c r="BC475" s="1120">
        <f t="shared" si="554"/>
        <v>1</v>
      </c>
      <c r="BD475" s="1120">
        <f t="shared" si="555"/>
        <v>1</v>
      </c>
      <c r="BE475" s="1120">
        <f t="shared" si="556"/>
        <v>1</v>
      </c>
      <c r="BF475" s="1120">
        <f t="shared" si="557"/>
        <v>1</v>
      </c>
      <c r="BG475" s="1120">
        <f t="shared" si="558"/>
        <v>1</v>
      </c>
      <c r="BH475" s="1120">
        <f t="shared" si="559"/>
        <v>1</v>
      </c>
      <c r="BI475" s="1120">
        <f t="shared" si="560"/>
        <v>0</v>
      </c>
      <c r="BJ475" s="1120">
        <f t="shared" si="561"/>
        <v>0</v>
      </c>
      <c r="BK475" s="1120">
        <f t="shared" si="562"/>
        <v>1</v>
      </c>
      <c r="BL475" s="1120">
        <f t="shared" si="563"/>
        <v>1</v>
      </c>
      <c r="BM475" s="1120">
        <f t="shared" si="564"/>
        <v>1</v>
      </c>
      <c r="BN475" s="1120">
        <f t="shared" si="565"/>
        <v>1</v>
      </c>
      <c r="BO475" s="1120">
        <f t="shared" si="566"/>
        <v>0</v>
      </c>
      <c r="BP475" s="1120">
        <f t="shared" si="567"/>
        <v>0</v>
      </c>
      <c r="BQ475" s="1120">
        <f t="shared" si="568"/>
        <v>0</v>
      </c>
      <c r="BR475" s="1120">
        <f t="shared" si="569"/>
        <v>0</v>
      </c>
      <c r="BS475" s="1120">
        <f t="shared" si="570"/>
        <v>0</v>
      </c>
      <c r="BT475" s="1120">
        <f t="shared" si="571"/>
        <v>0</v>
      </c>
      <c r="BU475" s="1120">
        <f t="shared" si="572"/>
        <v>1</v>
      </c>
      <c r="BV475" s="1120">
        <f t="shared" si="573"/>
        <v>1</v>
      </c>
      <c r="BW475" s="1120">
        <f t="shared" si="574"/>
        <v>0</v>
      </c>
      <c r="BX475" s="1120">
        <f t="shared" si="575"/>
        <v>0</v>
      </c>
      <c r="BY475" s="1120">
        <f t="shared" si="576"/>
        <v>1</v>
      </c>
      <c r="BZ475" s="1120">
        <f t="shared" si="577"/>
        <v>1</v>
      </c>
      <c r="CA475" s="1120">
        <f t="shared" si="578"/>
        <v>1</v>
      </c>
      <c r="CB475" s="1120">
        <f t="shared" si="579"/>
        <v>1</v>
      </c>
      <c r="CC475" s="1120">
        <f t="shared" si="580"/>
        <v>1</v>
      </c>
      <c r="CD475" s="1120">
        <f t="shared" si="581"/>
        <v>1</v>
      </c>
      <c r="CE475" s="1120">
        <f t="shared" si="582"/>
        <v>1</v>
      </c>
      <c r="CF475" s="1120">
        <f t="shared" si="583"/>
        <v>1</v>
      </c>
      <c r="CG475" s="1120">
        <f t="shared" si="584"/>
        <v>1</v>
      </c>
      <c r="CH475" s="1120">
        <f t="shared" si="585"/>
        <v>0</v>
      </c>
      <c r="CI475" s="1120">
        <f t="shared" si="586"/>
        <v>0.85</v>
      </c>
      <c r="CJ475" s="1120">
        <f t="shared" si="587"/>
        <v>0.85</v>
      </c>
      <c r="CK475" s="1120">
        <f t="shared" si="588"/>
        <v>0.85</v>
      </c>
      <c r="CL475" s="1120">
        <f t="shared" si="589"/>
        <v>0.85</v>
      </c>
      <c r="CM475" s="1120">
        <f t="shared" si="590"/>
        <v>0.7</v>
      </c>
      <c r="CN475" s="1120">
        <f t="shared" si="591"/>
        <v>0.7</v>
      </c>
      <c r="CO475" s="1120">
        <f t="shared" si="592"/>
        <v>0.7</v>
      </c>
      <c r="CP475" s="1120">
        <f t="shared" si="593"/>
        <v>0.7</v>
      </c>
      <c r="CQ475" s="1120">
        <f t="shared" si="594"/>
        <v>0.7</v>
      </c>
      <c r="CR475" s="1120">
        <f t="shared" si="595"/>
        <v>0.7</v>
      </c>
      <c r="CS475" s="1120">
        <f t="shared" si="596"/>
        <v>0.85</v>
      </c>
      <c r="CT475" s="1120">
        <f t="shared" si="597"/>
        <v>0.85</v>
      </c>
      <c r="CU475" s="1120">
        <v>1</v>
      </c>
      <c r="CV475" s="1120"/>
      <c r="CW475" s="1120">
        <f t="shared" si="598"/>
        <v>275</v>
      </c>
      <c r="CX475" s="1120">
        <f t="shared" si="599"/>
        <v>90</v>
      </c>
      <c r="CY475" s="1136" t="s">
        <v>4883</v>
      </c>
      <c r="CZ475" s="1129" t="s">
        <v>4884</v>
      </c>
      <c r="DA475" s="1129"/>
      <c r="DB475" s="1129"/>
      <c r="DC475" s="1125" t="s">
        <v>5784</v>
      </c>
      <c r="DD475" s="1125" t="s">
        <v>228</v>
      </c>
      <c r="DE475" s="1120" t="str">
        <f t="shared" si="600"/>
        <v/>
      </c>
      <c r="DF475" s="1133">
        <v>0</v>
      </c>
      <c r="DG475" s="1125">
        <v>0</v>
      </c>
    </row>
    <row r="476" spans="1:111">
      <c r="A476" s="1120" t="s">
        <v>3711</v>
      </c>
      <c r="B476" s="1120" t="s">
        <v>2958</v>
      </c>
      <c r="C476" s="1120" t="s">
        <v>2959</v>
      </c>
      <c r="D476" s="1120" t="s">
        <v>953</v>
      </c>
      <c r="E476" s="1120">
        <v>49</v>
      </c>
      <c r="F476" s="1120">
        <v>-156.65</v>
      </c>
      <c r="G476" s="1120">
        <v>58.68</v>
      </c>
      <c r="H476" s="1120">
        <v>-9</v>
      </c>
      <c r="I476" s="1121">
        <v>-18.219999313354492</v>
      </c>
      <c r="J476" s="1121">
        <v>68.360001373291013</v>
      </c>
      <c r="K476" s="1122">
        <v>57.2</v>
      </c>
      <c r="L476" s="1120">
        <v>10481.4</v>
      </c>
      <c r="M476" s="1120">
        <v>1.8</v>
      </c>
      <c r="N476" s="1123">
        <v>19.759999656677245</v>
      </c>
      <c r="O476" s="1123">
        <v>21.2</v>
      </c>
      <c r="P476" s="1123">
        <v>19.940000343322755</v>
      </c>
      <c r="Q476" s="1123">
        <v>36.139999914169309</v>
      </c>
      <c r="R476" s="1123">
        <v>42.440000343322751</v>
      </c>
      <c r="S476" s="1123">
        <v>49.640000343322754</v>
      </c>
      <c r="T476" s="1123">
        <v>55.580000686645505</v>
      </c>
      <c r="U476" s="1123">
        <v>54.5</v>
      </c>
      <c r="V476" s="1123">
        <v>47.659999656677243</v>
      </c>
      <c r="W476" s="1123">
        <v>35.419999957084656</v>
      </c>
      <c r="X476" s="1123">
        <v>23.9</v>
      </c>
      <c r="Y476" s="1123">
        <v>21.020000171661376</v>
      </c>
      <c r="Z476" s="1123">
        <v>35.677424748891021</v>
      </c>
      <c r="AA476" s="1123">
        <f t="shared" si="526"/>
        <v>37.509019050029863</v>
      </c>
      <c r="AB476" s="1123">
        <f t="shared" si="527"/>
        <v>36.152453632583374</v>
      </c>
      <c r="AC476" s="1123">
        <f t="shared" si="528"/>
        <v>36.236057078984615</v>
      </c>
      <c r="AD476" s="1123">
        <f t="shared" si="529"/>
        <v>37.738036862560996</v>
      </c>
      <c r="AE476" s="1123">
        <f t="shared" si="530"/>
        <v>40.266878806514235</v>
      </c>
      <c r="AF476" s="1123">
        <f t="shared" si="531"/>
        <v>43.16340128751893</v>
      </c>
      <c r="AG476" s="1123">
        <f t="shared" si="532"/>
        <v>45.672581084138642</v>
      </c>
      <c r="AH476" s="1123">
        <f t="shared" si="533"/>
        <v>47.140361814753305</v>
      </c>
      <c r="AI476" s="1123">
        <f t="shared" si="534"/>
        <v>47.184143812742484</v>
      </c>
      <c r="AJ476" s="1123">
        <f t="shared" si="535"/>
        <v>45.792514625629273</v>
      </c>
      <c r="AK476" s="1123">
        <f t="shared" si="536"/>
        <v>43.328223846689667</v>
      </c>
      <c r="AL476" s="1123">
        <f t="shared" si="537"/>
        <v>40.433626843324703</v>
      </c>
      <c r="AM476" s="1120">
        <f t="shared" si="538"/>
        <v>1</v>
      </c>
      <c r="AN476" s="1120">
        <f t="shared" si="539"/>
        <v>1</v>
      </c>
      <c r="AO476" s="1120">
        <f t="shared" si="540"/>
        <v>1</v>
      </c>
      <c r="AP476" s="1120">
        <f t="shared" si="541"/>
        <v>1</v>
      </c>
      <c r="AQ476" s="1120">
        <f t="shared" si="542"/>
        <v>1</v>
      </c>
      <c r="AR476" s="1120">
        <f t="shared" si="543"/>
        <v>1</v>
      </c>
      <c r="AS476" s="1120">
        <f t="shared" si="544"/>
        <v>1</v>
      </c>
      <c r="AT476" s="1120">
        <f t="shared" si="545"/>
        <v>1</v>
      </c>
      <c r="AU476" s="1120">
        <f t="shared" si="546"/>
        <v>1</v>
      </c>
      <c r="AV476" s="1120">
        <f t="shared" si="547"/>
        <v>1</v>
      </c>
      <c r="AW476" s="1120">
        <f t="shared" si="548"/>
        <v>1</v>
      </c>
      <c r="AX476" s="1120">
        <f t="shared" si="549"/>
        <v>1</v>
      </c>
      <c r="AY476" s="1120">
        <f t="shared" si="550"/>
        <v>0</v>
      </c>
      <c r="AZ476" s="1120">
        <f t="shared" si="551"/>
        <v>0</v>
      </c>
      <c r="BA476" s="1120">
        <f t="shared" si="552"/>
        <v>0</v>
      </c>
      <c r="BB476" s="1120">
        <f t="shared" si="553"/>
        <v>0</v>
      </c>
      <c r="BC476" s="1120">
        <f t="shared" si="554"/>
        <v>0</v>
      </c>
      <c r="BD476" s="1120">
        <f t="shared" si="555"/>
        <v>0</v>
      </c>
      <c r="BE476" s="1120">
        <f t="shared" si="556"/>
        <v>1</v>
      </c>
      <c r="BF476" s="1120">
        <f t="shared" si="557"/>
        <v>1</v>
      </c>
      <c r="BG476" s="1120">
        <f t="shared" si="558"/>
        <v>0</v>
      </c>
      <c r="BH476" s="1120">
        <f t="shared" si="559"/>
        <v>0</v>
      </c>
      <c r="BI476" s="1120">
        <f t="shared" si="560"/>
        <v>0</v>
      </c>
      <c r="BJ476" s="1120">
        <f t="shared" si="561"/>
        <v>0</v>
      </c>
      <c r="BK476" s="1120">
        <f t="shared" si="562"/>
        <v>1</v>
      </c>
      <c r="BL476" s="1120">
        <f t="shared" si="563"/>
        <v>1</v>
      </c>
      <c r="BM476" s="1120">
        <f t="shared" si="564"/>
        <v>1</v>
      </c>
      <c r="BN476" s="1120">
        <f t="shared" si="565"/>
        <v>1</v>
      </c>
      <c r="BO476" s="1120">
        <f t="shared" si="566"/>
        <v>1</v>
      </c>
      <c r="BP476" s="1120">
        <f t="shared" si="567"/>
        <v>1</v>
      </c>
      <c r="BQ476" s="1120">
        <f t="shared" si="568"/>
        <v>1</v>
      </c>
      <c r="BR476" s="1120">
        <f t="shared" si="569"/>
        <v>1</v>
      </c>
      <c r="BS476" s="1120">
        <f t="shared" si="570"/>
        <v>1</v>
      </c>
      <c r="BT476" s="1120">
        <f t="shared" si="571"/>
        <v>1</v>
      </c>
      <c r="BU476" s="1120">
        <f t="shared" si="572"/>
        <v>1</v>
      </c>
      <c r="BV476" s="1120">
        <f t="shared" si="573"/>
        <v>1</v>
      </c>
      <c r="BW476" s="1120">
        <f t="shared" si="574"/>
        <v>0</v>
      </c>
      <c r="BX476" s="1120">
        <f t="shared" si="575"/>
        <v>0</v>
      </c>
      <c r="BY476" s="1120">
        <f t="shared" si="576"/>
        <v>0</v>
      </c>
      <c r="BZ476" s="1120">
        <f t="shared" si="577"/>
        <v>0</v>
      </c>
      <c r="CA476" s="1120">
        <f t="shared" si="578"/>
        <v>0</v>
      </c>
      <c r="CB476" s="1120">
        <f t="shared" si="579"/>
        <v>0</v>
      </c>
      <c r="CC476" s="1120">
        <f t="shared" si="580"/>
        <v>1</v>
      </c>
      <c r="CD476" s="1120">
        <f t="shared" si="581"/>
        <v>1</v>
      </c>
      <c r="CE476" s="1120">
        <f t="shared" si="582"/>
        <v>0</v>
      </c>
      <c r="CF476" s="1120">
        <f t="shared" si="583"/>
        <v>0</v>
      </c>
      <c r="CG476" s="1120">
        <f t="shared" si="584"/>
        <v>0</v>
      </c>
      <c r="CH476" s="1120">
        <f t="shared" si="585"/>
        <v>0</v>
      </c>
      <c r="CI476" s="1120">
        <f t="shared" si="586"/>
        <v>0.85</v>
      </c>
      <c r="CJ476" s="1120">
        <f t="shared" si="587"/>
        <v>0.85</v>
      </c>
      <c r="CK476" s="1120">
        <f t="shared" si="588"/>
        <v>0.85</v>
      </c>
      <c r="CL476" s="1120">
        <f t="shared" si="589"/>
        <v>0.85</v>
      </c>
      <c r="CM476" s="1120">
        <f t="shared" si="590"/>
        <v>0.85</v>
      </c>
      <c r="CN476" s="1120">
        <f t="shared" si="591"/>
        <v>0.85</v>
      </c>
      <c r="CO476" s="1120">
        <f t="shared" si="592"/>
        <v>0.85</v>
      </c>
      <c r="CP476" s="1120">
        <f t="shared" si="593"/>
        <v>0.85</v>
      </c>
      <c r="CQ476" s="1120">
        <f t="shared" si="594"/>
        <v>0.85</v>
      </c>
      <c r="CR476" s="1120">
        <f t="shared" si="595"/>
        <v>0.85</v>
      </c>
      <c r="CS476" s="1120">
        <f t="shared" si="596"/>
        <v>0.85</v>
      </c>
      <c r="CT476" s="1120">
        <f t="shared" si="597"/>
        <v>0.85</v>
      </c>
      <c r="CU476" s="1120">
        <v>1</v>
      </c>
      <c r="CV476" s="1120"/>
      <c r="CW476" s="1120">
        <f t="shared" si="598"/>
        <v>62</v>
      </c>
      <c r="CX476" s="1120">
        <f t="shared" si="599"/>
        <v>303</v>
      </c>
      <c r="CY476" s="1135" t="s">
        <v>4879</v>
      </c>
      <c r="CZ476" s="1124">
        <v>7</v>
      </c>
      <c r="DA476" s="1124"/>
      <c r="DB476" s="1124"/>
      <c r="DC476" s="1120" t="s">
        <v>4941</v>
      </c>
      <c r="DD476" s="1120" t="s">
        <v>953</v>
      </c>
      <c r="DE476" s="1120" t="str">
        <f t="shared" si="600"/>
        <v/>
      </c>
      <c r="DF476" s="1120">
        <v>0</v>
      </c>
      <c r="DG476" s="1120">
        <v>0</v>
      </c>
    </row>
    <row r="477" spans="1:111">
      <c r="A477" s="1125" t="s">
        <v>3713</v>
      </c>
      <c r="B477" s="1120" t="s">
        <v>3056</v>
      </c>
      <c r="C477" s="1120" t="s">
        <v>3057</v>
      </c>
      <c r="D477" s="1120" t="s">
        <v>1250</v>
      </c>
      <c r="E477" s="1120">
        <v>3388</v>
      </c>
      <c r="F477" s="1120">
        <v>-113.95</v>
      </c>
      <c r="G477" s="1120">
        <v>35.270000000000003</v>
      </c>
      <c r="H477" s="1120">
        <v>-7</v>
      </c>
      <c r="I477" s="1121">
        <v>27.139999914169312</v>
      </c>
      <c r="J477" s="1121">
        <v>98.960001373291021</v>
      </c>
      <c r="K477" s="1122">
        <v>64.039998626708979</v>
      </c>
      <c r="L477" s="1120">
        <v>2971.8</v>
      </c>
      <c r="M477" s="1120">
        <v>2723.4</v>
      </c>
      <c r="N477" s="1123">
        <v>43.7</v>
      </c>
      <c r="O477" s="1123">
        <v>46.220000171661376</v>
      </c>
      <c r="P477" s="1123">
        <v>50.9</v>
      </c>
      <c r="Q477" s="1123">
        <v>65.3</v>
      </c>
      <c r="R477" s="1123">
        <v>75.560001373291016</v>
      </c>
      <c r="S477" s="1123">
        <v>83.119999313354498</v>
      </c>
      <c r="T477" s="1123">
        <v>84.919999313354495</v>
      </c>
      <c r="U477" s="1123">
        <v>86.360001373291013</v>
      </c>
      <c r="V477" s="1123">
        <v>75.919999313354495</v>
      </c>
      <c r="W477" s="1123">
        <v>62.239998626708989</v>
      </c>
      <c r="X477" s="1123">
        <v>46.580000686645505</v>
      </c>
      <c r="Y477" s="1123">
        <v>42.440000343322751</v>
      </c>
      <c r="Z477" s="1123">
        <v>63.702684975715535</v>
      </c>
      <c r="AA477" s="1123">
        <f t="shared" si="526"/>
        <v>57.043649643953607</v>
      </c>
      <c r="AB477" s="1123">
        <f t="shared" si="527"/>
        <v>57.009401490933826</v>
      </c>
      <c r="AC477" s="1123">
        <f t="shared" si="528"/>
        <v>60.283853287641946</v>
      </c>
      <c r="AD477" s="1123">
        <f t="shared" si="529"/>
        <v>66.013468712436364</v>
      </c>
      <c r="AE477" s="1123">
        <f t="shared" si="530"/>
        <v>72.704735208798027</v>
      </c>
      <c r="AF477" s="1123">
        <f t="shared" si="531"/>
        <v>78.613471048912274</v>
      </c>
      <c r="AG477" s="1123">
        <f t="shared" si="532"/>
        <v>82.199473179677781</v>
      </c>
      <c r="AH477" s="1123">
        <f t="shared" si="533"/>
        <v>82.527994883744924</v>
      </c>
      <c r="AI477" s="1123">
        <f t="shared" si="534"/>
        <v>79.513401916275882</v>
      </c>
      <c r="AJ477" s="1123">
        <f t="shared" si="535"/>
        <v>73.941494390525307</v>
      </c>
      <c r="AK477" s="1123">
        <f t="shared" si="536"/>
        <v>67.264675868774205</v>
      </c>
      <c r="AL477" s="1123">
        <f t="shared" si="537"/>
        <v>61.223361991604961</v>
      </c>
      <c r="AM477" s="1120">
        <f t="shared" si="538"/>
        <v>1</v>
      </c>
      <c r="AN477" s="1120">
        <f t="shared" si="539"/>
        <v>1</v>
      </c>
      <c r="AO477" s="1120">
        <f t="shared" si="540"/>
        <v>1</v>
      </c>
      <c r="AP477" s="1120">
        <f t="shared" si="541"/>
        <v>1</v>
      </c>
      <c r="AQ477" s="1120">
        <f t="shared" si="542"/>
        <v>0</v>
      </c>
      <c r="AR477" s="1120">
        <f t="shared" si="543"/>
        <v>0</v>
      </c>
      <c r="AS477" s="1120">
        <f t="shared" si="544"/>
        <v>0</v>
      </c>
      <c r="AT477" s="1120">
        <f t="shared" si="545"/>
        <v>0</v>
      </c>
      <c r="AU477" s="1120">
        <f t="shared" si="546"/>
        <v>0</v>
      </c>
      <c r="AV477" s="1120">
        <f t="shared" si="547"/>
        <v>1</v>
      </c>
      <c r="AW477" s="1120">
        <f t="shared" si="548"/>
        <v>1</v>
      </c>
      <c r="AX477" s="1120">
        <f t="shared" si="549"/>
        <v>1</v>
      </c>
      <c r="AY477" s="1120">
        <f t="shared" si="550"/>
        <v>0</v>
      </c>
      <c r="AZ477" s="1120">
        <f t="shared" si="551"/>
        <v>0</v>
      </c>
      <c r="BA477" s="1120">
        <f t="shared" si="552"/>
        <v>0</v>
      </c>
      <c r="BB477" s="1120">
        <f t="shared" si="553"/>
        <v>0</v>
      </c>
      <c r="BC477" s="1120">
        <f t="shared" si="554"/>
        <v>1</v>
      </c>
      <c r="BD477" s="1120">
        <f t="shared" si="555"/>
        <v>1</v>
      </c>
      <c r="BE477" s="1120">
        <f t="shared" si="556"/>
        <v>1</v>
      </c>
      <c r="BF477" s="1120">
        <f t="shared" si="557"/>
        <v>1</v>
      </c>
      <c r="BG477" s="1120">
        <f t="shared" si="558"/>
        <v>1</v>
      </c>
      <c r="BH477" s="1120">
        <f t="shared" si="559"/>
        <v>0</v>
      </c>
      <c r="BI477" s="1120">
        <f t="shared" si="560"/>
        <v>0</v>
      </c>
      <c r="BJ477" s="1120">
        <f t="shared" si="561"/>
        <v>0</v>
      </c>
      <c r="BK477" s="1120">
        <f t="shared" si="562"/>
        <v>1</v>
      </c>
      <c r="BL477" s="1120">
        <f t="shared" si="563"/>
        <v>1</v>
      </c>
      <c r="BM477" s="1120">
        <f t="shared" si="564"/>
        <v>1</v>
      </c>
      <c r="BN477" s="1120">
        <f t="shared" si="565"/>
        <v>1</v>
      </c>
      <c r="BO477" s="1120">
        <f t="shared" si="566"/>
        <v>1</v>
      </c>
      <c r="BP477" s="1120">
        <f t="shared" si="567"/>
        <v>0</v>
      </c>
      <c r="BQ477" s="1120">
        <f t="shared" si="568"/>
        <v>0</v>
      </c>
      <c r="BR477" s="1120">
        <f t="shared" si="569"/>
        <v>0</v>
      </c>
      <c r="BS477" s="1120">
        <f t="shared" si="570"/>
        <v>0</v>
      </c>
      <c r="BT477" s="1120">
        <f t="shared" si="571"/>
        <v>1</v>
      </c>
      <c r="BU477" s="1120">
        <f t="shared" si="572"/>
        <v>1</v>
      </c>
      <c r="BV477" s="1120">
        <f t="shared" si="573"/>
        <v>1</v>
      </c>
      <c r="BW477" s="1120">
        <f t="shared" si="574"/>
        <v>0</v>
      </c>
      <c r="BX477" s="1120">
        <f t="shared" si="575"/>
        <v>0</v>
      </c>
      <c r="BY477" s="1120">
        <f t="shared" si="576"/>
        <v>0</v>
      </c>
      <c r="BZ477" s="1120">
        <f t="shared" si="577"/>
        <v>1</v>
      </c>
      <c r="CA477" s="1120">
        <f t="shared" si="578"/>
        <v>1</v>
      </c>
      <c r="CB477" s="1120">
        <f t="shared" si="579"/>
        <v>1</v>
      </c>
      <c r="CC477" s="1120">
        <f t="shared" si="580"/>
        <v>1</v>
      </c>
      <c r="CD477" s="1120">
        <f t="shared" si="581"/>
        <v>1</v>
      </c>
      <c r="CE477" s="1120">
        <f t="shared" si="582"/>
        <v>1</v>
      </c>
      <c r="CF477" s="1120">
        <f t="shared" si="583"/>
        <v>1</v>
      </c>
      <c r="CG477" s="1120">
        <f t="shared" si="584"/>
        <v>0</v>
      </c>
      <c r="CH477" s="1120">
        <f t="shared" si="585"/>
        <v>0</v>
      </c>
      <c r="CI477" s="1120">
        <f t="shared" si="586"/>
        <v>0.85</v>
      </c>
      <c r="CJ477" s="1120">
        <f t="shared" si="587"/>
        <v>0.85</v>
      </c>
      <c r="CK477" s="1120">
        <f t="shared" si="588"/>
        <v>0.85</v>
      </c>
      <c r="CL477" s="1120">
        <f t="shared" si="589"/>
        <v>0.85</v>
      </c>
      <c r="CM477" s="1120">
        <f t="shared" si="590"/>
        <v>0.85</v>
      </c>
      <c r="CN477" s="1120">
        <f t="shared" si="591"/>
        <v>0.7</v>
      </c>
      <c r="CO477" s="1120">
        <f t="shared" si="592"/>
        <v>0.7</v>
      </c>
      <c r="CP477" s="1120">
        <f t="shared" si="593"/>
        <v>0.7</v>
      </c>
      <c r="CQ477" s="1120">
        <f t="shared" si="594"/>
        <v>0.7</v>
      </c>
      <c r="CR477" s="1120">
        <f t="shared" si="595"/>
        <v>0.85</v>
      </c>
      <c r="CS477" s="1120">
        <f t="shared" si="596"/>
        <v>0.85</v>
      </c>
      <c r="CT477" s="1120">
        <f t="shared" si="597"/>
        <v>0.85</v>
      </c>
      <c r="CU477" s="1120">
        <v>1</v>
      </c>
      <c r="CV477" s="1120"/>
      <c r="CW477" s="1120">
        <f t="shared" si="598"/>
        <v>214</v>
      </c>
      <c r="CX477" s="1120">
        <f t="shared" si="599"/>
        <v>151</v>
      </c>
      <c r="CY477" s="1135" t="s">
        <v>4886</v>
      </c>
      <c r="CZ477" s="1124" t="s">
        <v>4888</v>
      </c>
      <c r="DA477" s="1124"/>
      <c r="DB477" s="1124"/>
      <c r="DC477" s="1120" t="s">
        <v>4999</v>
      </c>
      <c r="DD477" s="1120" t="s">
        <v>1250</v>
      </c>
      <c r="DE477" s="1120" t="b">
        <f t="shared" si="600"/>
        <v>0</v>
      </c>
      <c r="DF477" s="1120">
        <v>0</v>
      </c>
      <c r="DG477" s="1125">
        <v>0</v>
      </c>
    </row>
    <row r="478" spans="1:111">
      <c r="A478" s="1120" t="s">
        <v>3715</v>
      </c>
      <c r="B478" s="1125" t="s">
        <v>294</v>
      </c>
      <c r="C478" s="1125" t="s">
        <v>295</v>
      </c>
      <c r="D478" s="1125" t="s">
        <v>228</v>
      </c>
      <c r="E478" s="1125">
        <v>56</v>
      </c>
      <c r="F478" s="1125">
        <v>-97.82</v>
      </c>
      <c r="G478" s="1125">
        <v>27.5</v>
      </c>
      <c r="H478" s="1125">
        <v>-6</v>
      </c>
      <c r="I478" s="1126">
        <v>36.679999828338623</v>
      </c>
      <c r="J478" s="1126">
        <v>96.439998626708984</v>
      </c>
      <c r="K478" s="1127">
        <v>77.900000000000006</v>
      </c>
      <c r="L478" s="1125">
        <v>846</v>
      </c>
      <c r="M478" s="1125">
        <v>167.4</v>
      </c>
      <c r="N478" s="1128">
        <v>59.180000686645506</v>
      </c>
      <c r="O478" s="1128">
        <v>56.659999656677243</v>
      </c>
      <c r="P478" s="1128">
        <v>63.5</v>
      </c>
      <c r="Q478" s="1128">
        <v>71.960001373291021</v>
      </c>
      <c r="R478" s="1128">
        <v>76.819999313354487</v>
      </c>
      <c r="S478" s="1128">
        <v>82.760001373291018</v>
      </c>
      <c r="T478" s="1128">
        <v>82.580000686645505</v>
      </c>
      <c r="U478" s="1128">
        <v>83.66000137329101</v>
      </c>
      <c r="V478" s="1128">
        <v>80.960001373291021</v>
      </c>
      <c r="W478" s="1128">
        <v>72.680000686645513</v>
      </c>
      <c r="X478" s="1128">
        <v>67.099999999999994</v>
      </c>
      <c r="Y478" s="1128">
        <v>58.280000686645508</v>
      </c>
      <c r="Z478" s="1128">
        <v>71.418028001132072</v>
      </c>
      <c r="AA478" s="1128">
        <f t="shared" si="526"/>
        <v>68.393957219102987</v>
      </c>
      <c r="AB478" s="1128">
        <f t="shared" si="527"/>
        <v>68.985538055948965</v>
      </c>
      <c r="AC478" s="1128">
        <f t="shared" si="528"/>
        <v>71.775177345610487</v>
      </c>
      <c r="AD478" s="1128">
        <f t="shared" si="529"/>
        <v>76.035712617594541</v>
      </c>
      <c r="AE478" s="1128">
        <f t="shared" si="530"/>
        <v>80.656569696422522</v>
      </c>
      <c r="AF478" s="1128">
        <f t="shared" si="531"/>
        <v>84.433250974934836</v>
      </c>
      <c r="AG478" s="1128">
        <f t="shared" si="532"/>
        <v>86.381306277467033</v>
      </c>
      <c r="AH478" s="1128">
        <f t="shared" si="533"/>
        <v>85.992944968973177</v>
      </c>
      <c r="AI478" s="1128">
        <f t="shared" si="534"/>
        <v>83.369399409341113</v>
      </c>
      <c r="AJ478" s="1128">
        <f t="shared" si="535"/>
        <v>79.194537178749826</v>
      </c>
      <c r="AK478" s="1128">
        <f t="shared" si="536"/>
        <v>74.556600454177342</v>
      </c>
      <c r="AL478" s="1128">
        <f t="shared" si="537"/>
        <v>70.664538915651889</v>
      </c>
      <c r="AM478" s="1125">
        <f t="shared" si="538"/>
        <v>1</v>
      </c>
      <c r="AN478" s="1125">
        <f t="shared" si="539"/>
        <v>1</v>
      </c>
      <c r="AO478" s="1125">
        <f t="shared" si="540"/>
        <v>1</v>
      </c>
      <c r="AP478" s="1125">
        <f t="shared" si="541"/>
        <v>0</v>
      </c>
      <c r="AQ478" s="1125">
        <f t="shared" si="542"/>
        <v>0</v>
      </c>
      <c r="AR478" s="1125">
        <f t="shared" si="543"/>
        <v>0</v>
      </c>
      <c r="AS478" s="1125">
        <f t="shared" si="544"/>
        <v>0</v>
      </c>
      <c r="AT478" s="1125">
        <f t="shared" si="545"/>
        <v>0</v>
      </c>
      <c r="AU478" s="1125">
        <f t="shared" si="546"/>
        <v>0</v>
      </c>
      <c r="AV478" s="1125">
        <f t="shared" si="547"/>
        <v>0</v>
      </c>
      <c r="AW478" s="1125">
        <f t="shared" si="548"/>
        <v>0</v>
      </c>
      <c r="AX478" s="1125">
        <f t="shared" si="549"/>
        <v>1</v>
      </c>
      <c r="AY478" s="1125">
        <f t="shared" si="550"/>
        <v>0</v>
      </c>
      <c r="AZ478" s="1125">
        <f t="shared" si="551"/>
        <v>0</v>
      </c>
      <c r="BA478" s="1125">
        <f t="shared" si="552"/>
        <v>0</v>
      </c>
      <c r="BB478" s="1125">
        <f t="shared" si="553"/>
        <v>1</v>
      </c>
      <c r="BC478" s="1125">
        <f t="shared" si="554"/>
        <v>1</v>
      </c>
      <c r="BD478" s="1125">
        <f t="shared" si="555"/>
        <v>1</v>
      </c>
      <c r="BE478" s="1125">
        <f t="shared" si="556"/>
        <v>1</v>
      </c>
      <c r="BF478" s="1125">
        <f t="shared" si="557"/>
        <v>1</v>
      </c>
      <c r="BG478" s="1125">
        <f t="shared" si="558"/>
        <v>1</v>
      </c>
      <c r="BH478" s="1125">
        <f t="shared" si="559"/>
        <v>1</v>
      </c>
      <c r="BI478" s="1125">
        <f t="shared" si="560"/>
        <v>1</v>
      </c>
      <c r="BJ478" s="1125">
        <f t="shared" si="561"/>
        <v>0</v>
      </c>
      <c r="BK478" s="1125">
        <f t="shared" si="562"/>
        <v>1</v>
      </c>
      <c r="BL478" s="1125">
        <f t="shared" si="563"/>
        <v>1</v>
      </c>
      <c r="BM478" s="1125">
        <f t="shared" si="564"/>
        <v>1</v>
      </c>
      <c r="BN478" s="1125">
        <f t="shared" si="565"/>
        <v>1</v>
      </c>
      <c r="BO478" s="1125">
        <f t="shared" si="566"/>
        <v>0</v>
      </c>
      <c r="BP478" s="1125">
        <f t="shared" si="567"/>
        <v>0</v>
      </c>
      <c r="BQ478" s="1125">
        <f t="shared" si="568"/>
        <v>0</v>
      </c>
      <c r="BR478" s="1125">
        <f t="shared" si="569"/>
        <v>0</v>
      </c>
      <c r="BS478" s="1125">
        <f t="shared" si="570"/>
        <v>0</v>
      </c>
      <c r="BT478" s="1125">
        <f t="shared" si="571"/>
        <v>0</v>
      </c>
      <c r="BU478" s="1125">
        <f t="shared" si="572"/>
        <v>0</v>
      </c>
      <c r="BV478" s="1125">
        <f t="shared" si="573"/>
        <v>1</v>
      </c>
      <c r="BW478" s="1125">
        <f t="shared" si="574"/>
        <v>0</v>
      </c>
      <c r="BX478" s="1125">
        <f t="shared" si="575"/>
        <v>0</v>
      </c>
      <c r="BY478" s="1125">
        <f t="shared" si="576"/>
        <v>1</v>
      </c>
      <c r="BZ478" s="1125">
        <f t="shared" si="577"/>
        <v>1</v>
      </c>
      <c r="CA478" s="1125">
        <f t="shared" si="578"/>
        <v>1</v>
      </c>
      <c r="CB478" s="1125">
        <f t="shared" si="579"/>
        <v>1</v>
      </c>
      <c r="CC478" s="1125">
        <f t="shared" si="580"/>
        <v>1</v>
      </c>
      <c r="CD478" s="1125">
        <f t="shared" si="581"/>
        <v>1</v>
      </c>
      <c r="CE478" s="1125">
        <f t="shared" si="582"/>
        <v>1</v>
      </c>
      <c r="CF478" s="1125">
        <f t="shared" si="583"/>
        <v>1</v>
      </c>
      <c r="CG478" s="1125">
        <f t="shared" si="584"/>
        <v>1</v>
      </c>
      <c r="CH478" s="1125">
        <f t="shared" si="585"/>
        <v>1</v>
      </c>
      <c r="CI478" s="1125">
        <f t="shared" si="586"/>
        <v>0.85</v>
      </c>
      <c r="CJ478" s="1125">
        <f t="shared" si="587"/>
        <v>0.85</v>
      </c>
      <c r="CK478" s="1125">
        <f t="shared" si="588"/>
        <v>0.85</v>
      </c>
      <c r="CL478" s="1125">
        <f t="shared" si="589"/>
        <v>0.85</v>
      </c>
      <c r="CM478" s="1125">
        <f t="shared" si="590"/>
        <v>0.7</v>
      </c>
      <c r="CN478" s="1125">
        <f t="shared" si="591"/>
        <v>0.7</v>
      </c>
      <c r="CO478" s="1125">
        <f t="shared" si="592"/>
        <v>0.7</v>
      </c>
      <c r="CP478" s="1125">
        <f t="shared" si="593"/>
        <v>0.7</v>
      </c>
      <c r="CQ478" s="1125">
        <f t="shared" si="594"/>
        <v>0.7</v>
      </c>
      <c r="CR478" s="1125">
        <f t="shared" si="595"/>
        <v>0.7</v>
      </c>
      <c r="CS478" s="1125">
        <f t="shared" si="596"/>
        <v>0.7</v>
      </c>
      <c r="CT478" s="1125">
        <f t="shared" si="597"/>
        <v>0.85</v>
      </c>
      <c r="CU478" s="1125">
        <v>1</v>
      </c>
      <c r="CV478" s="1125"/>
      <c r="CW478" s="1125">
        <f t="shared" si="598"/>
        <v>306</v>
      </c>
      <c r="CX478" s="1125">
        <f t="shared" si="599"/>
        <v>59</v>
      </c>
      <c r="CY478" s="1135" t="s">
        <v>4883</v>
      </c>
      <c r="CZ478" s="1124" t="s">
        <v>4884</v>
      </c>
      <c r="DA478" s="1124"/>
      <c r="DB478" s="1124"/>
      <c r="DC478" s="1120" t="s">
        <v>5598</v>
      </c>
      <c r="DD478" s="1120" t="s">
        <v>228</v>
      </c>
      <c r="DE478" s="1120" t="str">
        <f t="shared" si="600"/>
        <v/>
      </c>
      <c r="DF478" s="1133">
        <v>0</v>
      </c>
      <c r="DG478" s="1120">
        <v>0</v>
      </c>
    </row>
    <row r="479" spans="1:111">
      <c r="A479" s="1125" t="s">
        <v>3717</v>
      </c>
      <c r="B479" s="1120" t="s">
        <v>3950</v>
      </c>
      <c r="C479" s="1120" t="s">
        <v>3951</v>
      </c>
      <c r="D479" s="1120" t="s">
        <v>426</v>
      </c>
      <c r="E479" s="1120">
        <v>95</v>
      </c>
      <c r="F479" s="1120">
        <v>-77.63</v>
      </c>
      <c r="G479" s="1120">
        <v>35.32</v>
      </c>
      <c r="H479" s="1120">
        <v>-5</v>
      </c>
      <c r="I479" s="1121">
        <v>10.759999656677246</v>
      </c>
      <c r="J479" s="1121">
        <v>96.260001373291018</v>
      </c>
      <c r="K479" s="1122">
        <v>78.080000686645505</v>
      </c>
      <c r="L479" s="1120">
        <v>3249</v>
      </c>
      <c r="M479" s="1120">
        <v>1836</v>
      </c>
      <c r="N479" s="1123">
        <v>40.279999828338624</v>
      </c>
      <c r="O479" s="1123">
        <v>45.140000343322754</v>
      </c>
      <c r="P479" s="1123">
        <v>48.2</v>
      </c>
      <c r="Q479" s="1123">
        <v>59</v>
      </c>
      <c r="R479" s="1123">
        <v>71.239998626708982</v>
      </c>
      <c r="S479" s="1123">
        <v>74.83999862670899</v>
      </c>
      <c r="T479" s="1123">
        <v>82.039998626708979</v>
      </c>
      <c r="U479" s="1123">
        <v>76.639998626708987</v>
      </c>
      <c r="V479" s="1123">
        <v>71.239998626708982</v>
      </c>
      <c r="W479" s="1123">
        <v>62.960001373291014</v>
      </c>
      <c r="X479" s="1123">
        <v>48.919999313354495</v>
      </c>
      <c r="Y479" s="1123">
        <v>44.779999828338624</v>
      </c>
      <c r="Z479" s="1123">
        <v>60.532218659805928</v>
      </c>
      <c r="AA479" s="1123">
        <f t="shared" si="526"/>
        <v>55.319412208474297</v>
      </c>
      <c r="AB479" s="1123">
        <f t="shared" si="527"/>
        <v>54.959980494051088</v>
      </c>
      <c r="AC479" s="1123">
        <f t="shared" si="528"/>
        <v>57.617030991120117</v>
      </c>
      <c r="AD479" s="1123">
        <f t="shared" si="529"/>
        <v>62.597962541232754</v>
      </c>
      <c r="AE479" s="1123">
        <f t="shared" si="530"/>
        <v>68.604418577373494</v>
      </c>
      <c r="AF479" s="1123">
        <f t="shared" si="531"/>
        <v>74.070723771432881</v>
      </c>
      <c r="AG479" s="1123">
        <f t="shared" si="532"/>
        <v>77.572001436266447</v>
      </c>
      <c r="AH479" s="1123">
        <f t="shared" si="533"/>
        <v>78.195589592213253</v>
      </c>
      <c r="AI479" s="1123">
        <f t="shared" si="534"/>
        <v>75.778940376641401</v>
      </c>
      <c r="AJ479" s="1123">
        <f t="shared" si="535"/>
        <v>70.951990649281385</v>
      </c>
      <c r="AK479" s="1123">
        <f t="shared" si="536"/>
        <v>64.972959242116545</v>
      </c>
      <c r="AL479" s="1123">
        <f t="shared" si="537"/>
        <v>59.40037283108741</v>
      </c>
      <c r="AM479" s="1120">
        <f t="shared" si="538"/>
        <v>1</v>
      </c>
      <c r="AN479" s="1120">
        <f t="shared" si="539"/>
        <v>1</v>
      </c>
      <c r="AO479" s="1120">
        <f t="shared" si="540"/>
        <v>1</v>
      </c>
      <c r="AP479" s="1120">
        <f t="shared" si="541"/>
        <v>1</v>
      </c>
      <c r="AQ479" s="1120">
        <f t="shared" si="542"/>
        <v>0</v>
      </c>
      <c r="AR479" s="1120">
        <f t="shared" si="543"/>
        <v>0</v>
      </c>
      <c r="AS479" s="1120">
        <f t="shared" si="544"/>
        <v>0</v>
      </c>
      <c r="AT479" s="1120">
        <f t="shared" si="545"/>
        <v>0</v>
      </c>
      <c r="AU479" s="1120">
        <f t="shared" si="546"/>
        <v>0</v>
      </c>
      <c r="AV479" s="1120">
        <f t="shared" si="547"/>
        <v>1</v>
      </c>
      <c r="AW479" s="1120">
        <f t="shared" si="548"/>
        <v>1</v>
      </c>
      <c r="AX479" s="1120">
        <f t="shared" si="549"/>
        <v>1</v>
      </c>
      <c r="AY479" s="1120">
        <f t="shared" si="550"/>
        <v>0</v>
      </c>
      <c r="AZ479" s="1120">
        <f t="shared" si="551"/>
        <v>0</v>
      </c>
      <c r="BA479" s="1120">
        <f t="shared" si="552"/>
        <v>0</v>
      </c>
      <c r="BB479" s="1120">
        <f t="shared" si="553"/>
        <v>0</v>
      </c>
      <c r="BC479" s="1120">
        <f t="shared" si="554"/>
        <v>1</v>
      </c>
      <c r="BD479" s="1120">
        <f t="shared" si="555"/>
        <v>1</v>
      </c>
      <c r="BE479" s="1120">
        <f t="shared" si="556"/>
        <v>1</v>
      </c>
      <c r="BF479" s="1120">
        <f t="shared" si="557"/>
        <v>1</v>
      </c>
      <c r="BG479" s="1120">
        <f t="shared" si="558"/>
        <v>1</v>
      </c>
      <c r="BH479" s="1120">
        <f t="shared" si="559"/>
        <v>0</v>
      </c>
      <c r="BI479" s="1120">
        <f t="shared" si="560"/>
        <v>0</v>
      </c>
      <c r="BJ479" s="1120">
        <f t="shared" si="561"/>
        <v>0</v>
      </c>
      <c r="BK479" s="1120">
        <f t="shared" si="562"/>
        <v>1</v>
      </c>
      <c r="BL479" s="1120">
        <f t="shared" si="563"/>
        <v>1</v>
      </c>
      <c r="BM479" s="1120">
        <f t="shared" si="564"/>
        <v>1</v>
      </c>
      <c r="BN479" s="1120">
        <f t="shared" si="565"/>
        <v>1</v>
      </c>
      <c r="BO479" s="1120">
        <f t="shared" si="566"/>
        <v>1</v>
      </c>
      <c r="BP479" s="1120">
        <f t="shared" si="567"/>
        <v>0</v>
      </c>
      <c r="BQ479" s="1120">
        <f t="shared" si="568"/>
        <v>0</v>
      </c>
      <c r="BR479" s="1120">
        <f t="shared" si="569"/>
        <v>0</v>
      </c>
      <c r="BS479" s="1120">
        <f t="shared" si="570"/>
        <v>0</v>
      </c>
      <c r="BT479" s="1120">
        <f t="shared" si="571"/>
        <v>1</v>
      </c>
      <c r="BU479" s="1120">
        <f t="shared" si="572"/>
        <v>1</v>
      </c>
      <c r="BV479" s="1120">
        <f t="shared" si="573"/>
        <v>1</v>
      </c>
      <c r="BW479" s="1120">
        <f t="shared" si="574"/>
        <v>0</v>
      </c>
      <c r="BX479" s="1120">
        <f t="shared" si="575"/>
        <v>0</v>
      </c>
      <c r="BY479" s="1120">
        <f t="shared" si="576"/>
        <v>0</v>
      </c>
      <c r="BZ479" s="1120">
        <f t="shared" si="577"/>
        <v>1</v>
      </c>
      <c r="CA479" s="1120">
        <f t="shared" si="578"/>
        <v>1</v>
      </c>
      <c r="CB479" s="1120">
        <f t="shared" si="579"/>
        <v>1</v>
      </c>
      <c r="CC479" s="1120">
        <f t="shared" si="580"/>
        <v>1</v>
      </c>
      <c r="CD479" s="1120">
        <f t="shared" si="581"/>
        <v>1</v>
      </c>
      <c r="CE479" s="1120">
        <f t="shared" si="582"/>
        <v>1</v>
      </c>
      <c r="CF479" s="1120">
        <f t="shared" si="583"/>
        <v>1</v>
      </c>
      <c r="CG479" s="1120">
        <f t="shared" si="584"/>
        <v>0</v>
      </c>
      <c r="CH479" s="1120">
        <f t="shared" si="585"/>
        <v>0</v>
      </c>
      <c r="CI479" s="1120">
        <f t="shared" si="586"/>
        <v>0.85</v>
      </c>
      <c r="CJ479" s="1120">
        <f t="shared" si="587"/>
        <v>0.85</v>
      </c>
      <c r="CK479" s="1120">
        <f t="shared" si="588"/>
        <v>0.85</v>
      </c>
      <c r="CL479" s="1120">
        <f t="shared" si="589"/>
        <v>0.85</v>
      </c>
      <c r="CM479" s="1120">
        <f t="shared" si="590"/>
        <v>0.85</v>
      </c>
      <c r="CN479" s="1120">
        <f t="shared" si="591"/>
        <v>0.7</v>
      </c>
      <c r="CO479" s="1120">
        <f t="shared" si="592"/>
        <v>0.7</v>
      </c>
      <c r="CP479" s="1120">
        <f t="shared" si="593"/>
        <v>0.7</v>
      </c>
      <c r="CQ479" s="1120">
        <f t="shared" si="594"/>
        <v>0.7</v>
      </c>
      <c r="CR479" s="1120">
        <f t="shared" si="595"/>
        <v>0.85</v>
      </c>
      <c r="CS479" s="1120">
        <f t="shared" si="596"/>
        <v>0.85</v>
      </c>
      <c r="CT479" s="1120">
        <f t="shared" si="597"/>
        <v>0.85</v>
      </c>
      <c r="CU479" s="1120">
        <v>1</v>
      </c>
      <c r="CV479" s="1120"/>
      <c r="CW479" s="1120">
        <f t="shared" si="598"/>
        <v>214</v>
      </c>
      <c r="CX479" s="1120">
        <f t="shared" si="599"/>
        <v>151</v>
      </c>
      <c r="CY479" s="1135" t="s">
        <v>4881</v>
      </c>
      <c r="CZ479" s="1124" t="s">
        <v>4882</v>
      </c>
      <c r="DA479" s="1124"/>
      <c r="DB479" s="1124"/>
      <c r="DC479" s="1120" t="s">
        <v>5393</v>
      </c>
      <c r="DD479" s="1120" t="s">
        <v>426</v>
      </c>
      <c r="DE479" s="1120" t="str">
        <f t="shared" si="600"/>
        <v/>
      </c>
      <c r="DF479" s="1133">
        <v>0</v>
      </c>
      <c r="DG479" s="1125">
        <v>0</v>
      </c>
    </row>
    <row r="480" spans="1:111">
      <c r="A480" s="1120" t="s">
        <v>3719</v>
      </c>
      <c r="B480" s="1120" t="s">
        <v>3854</v>
      </c>
      <c r="C480" s="1120" t="s">
        <v>3855</v>
      </c>
      <c r="D480" s="1120" t="s">
        <v>1248</v>
      </c>
      <c r="E480" s="1120">
        <v>964</v>
      </c>
      <c r="F480" s="1120">
        <v>-92.55</v>
      </c>
      <c r="G480" s="1120">
        <v>40.1</v>
      </c>
      <c r="H480" s="1120">
        <v>-6</v>
      </c>
      <c r="I480" s="1121">
        <v>1.3999999999999992</v>
      </c>
      <c r="J480" s="1121">
        <v>91.039998626708993</v>
      </c>
      <c r="K480" s="1122">
        <v>75.019999313354489</v>
      </c>
      <c r="L480" s="1120">
        <v>6229.8</v>
      </c>
      <c r="M480" s="1120">
        <v>10.8</v>
      </c>
      <c r="N480" s="1123">
        <v>22.640000343322754</v>
      </c>
      <c r="O480" s="1123">
        <v>31.1</v>
      </c>
      <c r="P480" s="1123">
        <v>37.579999828338622</v>
      </c>
      <c r="Q480" s="1123">
        <v>51.8</v>
      </c>
      <c r="R480" s="1123">
        <v>68</v>
      </c>
      <c r="S480" s="1123">
        <v>70.33999862670899</v>
      </c>
      <c r="T480" s="1123">
        <v>76.819999313354487</v>
      </c>
      <c r="U480" s="1123">
        <v>73.400000000000006</v>
      </c>
      <c r="V480" s="1123">
        <v>63.139998626708987</v>
      </c>
      <c r="W480" s="1123">
        <v>54.140000343322754</v>
      </c>
      <c r="X480" s="1123">
        <v>37.939999914169313</v>
      </c>
      <c r="Y480" s="1123">
        <v>16.7</v>
      </c>
      <c r="Z480" s="1123">
        <v>50.397479204674291</v>
      </c>
      <c r="AA480" s="1123">
        <f t="shared" si="526"/>
        <v>44.106107515474164</v>
      </c>
      <c r="AB480" s="1123">
        <f t="shared" si="527"/>
        <v>42.454430147366864</v>
      </c>
      <c r="AC480" s="1123">
        <f t="shared" si="528"/>
        <v>44.43722338493675</v>
      </c>
      <c r="AD480" s="1123">
        <f t="shared" si="529"/>
        <v>49.537641615042517</v>
      </c>
      <c r="AE480" s="1123">
        <f t="shared" si="530"/>
        <v>56.426182226182974</v>
      </c>
      <c r="AF480" s="1123">
        <f t="shared" si="531"/>
        <v>63.307240952440246</v>
      </c>
      <c r="AG480" s="1123">
        <f t="shared" si="532"/>
        <v>68.387163796490583</v>
      </c>
      <c r="AH480" s="1123">
        <f t="shared" si="533"/>
        <v>70.341790585051612</v>
      </c>
      <c r="AI480" s="1123">
        <f t="shared" si="534"/>
        <v>68.661617723974288</v>
      </c>
      <c r="AJ480" s="1123">
        <f t="shared" si="535"/>
        <v>63.784608161745993</v>
      </c>
      <c r="AK480" s="1123">
        <f t="shared" si="536"/>
        <v>56.982029597753829</v>
      </c>
      <c r="AL480" s="1123">
        <f t="shared" si="537"/>
        <v>50.027078965611267</v>
      </c>
      <c r="AM480" s="1120">
        <f t="shared" si="538"/>
        <v>1</v>
      </c>
      <c r="AN480" s="1120">
        <f t="shared" si="539"/>
        <v>1</v>
      </c>
      <c r="AO480" s="1120">
        <f t="shared" si="540"/>
        <v>1</v>
      </c>
      <c r="AP480" s="1120">
        <f t="shared" si="541"/>
        <v>1</v>
      </c>
      <c r="AQ480" s="1120">
        <f t="shared" si="542"/>
        <v>0</v>
      </c>
      <c r="AR480" s="1120">
        <f t="shared" si="543"/>
        <v>0</v>
      </c>
      <c r="AS480" s="1120">
        <f t="shared" si="544"/>
        <v>0</v>
      </c>
      <c r="AT480" s="1120">
        <f t="shared" si="545"/>
        <v>0</v>
      </c>
      <c r="AU480" s="1120">
        <f t="shared" si="546"/>
        <v>1</v>
      </c>
      <c r="AV480" s="1120">
        <f t="shared" si="547"/>
        <v>1</v>
      </c>
      <c r="AW480" s="1120">
        <f t="shared" si="548"/>
        <v>1</v>
      </c>
      <c r="AX480" s="1120">
        <f t="shared" si="549"/>
        <v>1</v>
      </c>
      <c r="AY480" s="1120">
        <f t="shared" si="550"/>
        <v>0</v>
      </c>
      <c r="AZ480" s="1120">
        <f t="shared" si="551"/>
        <v>0</v>
      </c>
      <c r="BA480" s="1120">
        <f t="shared" si="552"/>
        <v>0</v>
      </c>
      <c r="BB480" s="1120">
        <f t="shared" si="553"/>
        <v>0</v>
      </c>
      <c r="BC480" s="1120">
        <f t="shared" si="554"/>
        <v>1</v>
      </c>
      <c r="BD480" s="1120">
        <f t="shared" si="555"/>
        <v>1</v>
      </c>
      <c r="BE480" s="1120">
        <f t="shared" si="556"/>
        <v>1</v>
      </c>
      <c r="BF480" s="1120">
        <f t="shared" si="557"/>
        <v>1</v>
      </c>
      <c r="BG480" s="1120">
        <f t="shared" si="558"/>
        <v>0</v>
      </c>
      <c r="BH480" s="1120">
        <f t="shared" si="559"/>
        <v>0</v>
      </c>
      <c r="BI480" s="1120">
        <f t="shared" si="560"/>
        <v>0</v>
      </c>
      <c r="BJ480" s="1120">
        <f t="shared" si="561"/>
        <v>0</v>
      </c>
      <c r="BK480" s="1120">
        <f t="shared" si="562"/>
        <v>1</v>
      </c>
      <c r="BL480" s="1120">
        <f t="shared" si="563"/>
        <v>1</v>
      </c>
      <c r="BM480" s="1120">
        <f t="shared" si="564"/>
        <v>1</v>
      </c>
      <c r="BN480" s="1120">
        <f t="shared" si="565"/>
        <v>1</v>
      </c>
      <c r="BO480" s="1120">
        <f t="shared" si="566"/>
        <v>1</v>
      </c>
      <c r="BP480" s="1120">
        <f t="shared" si="567"/>
        <v>0</v>
      </c>
      <c r="BQ480" s="1120">
        <f t="shared" si="568"/>
        <v>0</v>
      </c>
      <c r="BR480" s="1120">
        <f t="shared" si="569"/>
        <v>0</v>
      </c>
      <c r="BS480" s="1120">
        <f t="shared" si="570"/>
        <v>1</v>
      </c>
      <c r="BT480" s="1120">
        <f t="shared" si="571"/>
        <v>1</v>
      </c>
      <c r="BU480" s="1120">
        <f t="shared" si="572"/>
        <v>1</v>
      </c>
      <c r="BV480" s="1120">
        <f t="shared" si="573"/>
        <v>1</v>
      </c>
      <c r="BW480" s="1120">
        <f t="shared" si="574"/>
        <v>0</v>
      </c>
      <c r="BX480" s="1120">
        <f t="shared" si="575"/>
        <v>0</v>
      </c>
      <c r="BY480" s="1120">
        <f t="shared" si="576"/>
        <v>0</v>
      </c>
      <c r="BZ480" s="1120">
        <f t="shared" si="577"/>
        <v>1</v>
      </c>
      <c r="CA480" s="1120">
        <f t="shared" si="578"/>
        <v>1</v>
      </c>
      <c r="CB480" s="1120">
        <f t="shared" si="579"/>
        <v>1</v>
      </c>
      <c r="CC480" s="1120">
        <f t="shared" si="580"/>
        <v>1</v>
      </c>
      <c r="CD480" s="1120">
        <f t="shared" si="581"/>
        <v>1</v>
      </c>
      <c r="CE480" s="1120">
        <f t="shared" si="582"/>
        <v>1</v>
      </c>
      <c r="CF480" s="1120">
        <f t="shared" si="583"/>
        <v>0</v>
      </c>
      <c r="CG480" s="1120">
        <f t="shared" si="584"/>
        <v>0</v>
      </c>
      <c r="CH480" s="1120">
        <f t="shared" si="585"/>
        <v>0</v>
      </c>
      <c r="CI480" s="1120">
        <f t="shared" si="586"/>
        <v>0.85</v>
      </c>
      <c r="CJ480" s="1120">
        <f t="shared" si="587"/>
        <v>0.85</v>
      </c>
      <c r="CK480" s="1120">
        <f t="shared" si="588"/>
        <v>0.85</v>
      </c>
      <c r="CL480" s="1120">
        <f t="shared" si="589"/>
        <v>0.85</v>
      </c>
      <c r="CM480" s="1120">
        <f t="shared" si="590"/>
        <v>0.85</v>
      </c>
      <c r="CN480" s="1120">
        <f t="shared" si="591"/>
        <v>0.7</v>
      </c>
      <c r="CO480" s="1120">
        <f t="shared" si="592"/>
        <v>0.7</v>
      </c>
      <c r="CP480" s="1120">
        <f t="shared" si="593"/>
        <v>0.7</v>
      </c>
      <c r="CQ480" s="1120">
        <f t="shared" si="594"/>
        <v>0.85</v>
      </c>
      <c r="CR480" s="1120">
        <f t="shared" si="595"/>
        <v>0.85</v>
      </c>
      <c r="CS480" s="1120">
        <f t="shared" si="596"/>
        <v>0.85</v>
      </c>
      <c r="CT480" s="1120">
        <f t="shared" si="597"/>
        <v>0.85</v>
      </c>
      <c r="CU480" s="1120">
        <v>1</v>
      </c>
      <c r="CV480" s="1120"/>
      <c r="CW480" s="1120">
        <f t="shared" si="598"/>
        <v>183</v>
      </c>
      <c r="CX480" s="1120">
        <f t="shared" si="599"/>
        <v>182</v>
      </c>
      <c r="CY480" s="1135" t="s">
        <v>4889</v>
      </c>
      <c r="CZ480" s="1124" t="s">
        <v>4897</v>
      </c>
      <c r="DA480" s="1124"/>
      <c r="DB480" s="1124"/>
      <c r="DC480" s="1120" t="s">
        <v>5354</v>
      </c>
      <c r="DD480" s="1120" t="s">
        <v>1248</v>
      </c>
      <c r="DE480" s="1120" t="str">
        <f t="shared" si="600"/>
        <v/>
      </c>
      <c r="DF480" s="1133">
        <v>0</v>
      </c>
      <c r="DG480" s="1120">
        <v>0</v>
      </c>
    </row>
    <row r="481" spans="1:111">
      <c r="A481" s="1125" t="s">
        <v>3723</v>
      </c>
      <c r="B481" s="1125" t="s">
        <v>4232</v>
      </c>
      <c r="C481" s="1125" t="s">
        <v>4233</v>
      </c>
      <c r="D481" s="1125" t="s">
        <v>427</v>
      </c>
      <c r="E481" s="1125">
        <v>4002</v>
      </c>
      <c r="F481" s="1125">
        <v>-121.74</v>
      </c>
      <c r="G481" s="1125">
        <v>42.22</v>
      </c>
      <c r="H481" s="1125">
        <v>-8</v>
      </c>
      <c r="I481" s="1126">
        <v>11.840000343322753</v>
      </c>
      <c r="J481" s="1126">
        <v>88.16000137329101</v>
      </c>
      <c r="K481" s="1127">
        <v>62.239998626708989</v>
      </c>
      <c r="L481" s="1125">
        <v>6672.6</v>
      </c>
      <c r="M481" s="1125">
        <v>275.40000000000003</v>
      </c>
      <c r="N481" s="1128">
        <v>30.559999978542329</v>
      </c>
      <c r="O481" s="1128">
        <v>37.039999914169314</v>
      </c>
      <c r="P481" s="1128">
        <v>35.779999828338624</v>
      </c>
      <c r="Q481" s="1128">
        <v>44.959999656677248</v>
      </c>
      <c r="R481" s="1128">
        <v>51.259999656677245</v>
      </c>
      <c r="S481" s="1128">
        <v>60.440000343322751</v>
      </c>
      <c r="T481" s="1128">
        <v>68.539998626708979</v>
      </c>
      <c r="U481" s="1128">
        <v>67.099999999999994</v>
      </c>
      <c r="V481" s="1128">
        <v>55.219999313354492</v>
      </c>
      <c r="W481" s="1128">
        <v>44.779999828338624</v>
      </c>
      <c r="X481" s="1128">
        <v>34.880000042915341</v>
      </c>
      <c r="Y481" s="1128">
        <v>30.919999957084656</v>
      </c>
      <c r="Z481" s="1128">
        <v>46.847287431318463</v>
      </c>
      <c r="AA481" s="1128">
        <f t="shared" si="526"/>
        <v>45.924685154852185</v>
      </c>
      <c r="AB481" s="1128">
        <f t="shared" si="527"/>
        <v>44.716170601797657</v>
      </c>
      <c r="AC481" s="1128">
        <f t="shared" si="528"/>
        <v>45.627156954660997</v>
      </c>
      <c r="AD481" s="1128">
        <f t="shared" si="529"/>
        <v>48.420181581843735</v>
      </c>
      <c r="AE481" s="1128">
        <f t="shared" si="530"/>
        <v>52.367199572458311</v>
      </c>
      <c r="AF481" s="1128">
        <f t="shared" si="531"/>
        <v>56.439359861862648</v>
      </c>
      <c r="AG481" s="1128">
        <f t="shared" si="532"/>
        <v>59.575191116733883</v>
      </c>
      <c r="AH481" s="1128">
        <f t="shared" si="533"/>
        <v>60.957290595867434</v>
      </c>
      <c r="AI481" s="1128">
        <f t="shared" si="534"/>
        <v>60.225392771229437</v>
      </c>
      <c r="AJ481" s="1128">
        <f t="shared" si="535"/>
        <v>57.570278089698697</v>
      </c>
      <c r="AK481" s="1128">
        <f t="shared" si="536"/>
        <v>53.684043109571959</v>
      </c>
      <c r="AL481" s="1128">
        <f t="shared" si="537"/>
        <v>49.579694867113126</v>
      </c>
      <c r="AM481" s="1125">
        <f t="shared" si="538"/>
        <v>1</v>
      </c>
      <c r="AN481" s="1125">
        <f t="shared" si="539"/>
        <v>1</v>
      </c>
      <c r="AO481" s="1125">
        <f t="shared" si="540"/>
        <v>1</v>
      </c>
      <c r="AP481" s="1125">
        <f t="shared" si="541"/>
        <v>1</v>
      </c>
      <c r="AQ481" s="1125">
        <f t="shared" si="542"/>
        <v>1</v>
      </c>
      <c r="AR481" s="1125">
        <f t="shared" si="543"/>
        <v>1</v>
      </c>
      <c r="AS481" s="1125">
        <f t="shared" si="544"/>
        <v>0</v>
      </c>
      <c r="AT481" s="1125">
        <f t="shared" si="545"/>
        <v>0</v>
      </c>
      <c r="AU481" s="1125">
        <f t="shared" si="546"/>
        <v>1</v>
      </c>
      <c r="AV481" s="1125">
        <f t="shared" si="547"/>
        <v>1</v>
      </c>
      <c r="AW481" s="1125">
        <f t="shared" si="548"/>
        <v>1</v>
      </c>
      <c r="AX481" s="1125">
        <f t="shared" si="549"/>
        <v>1</v>
      </c>
      <c r="AY481" s="1125">
        <f t="shared" si="550"/>
        <v>0</v>
      </c>
      <c r="AZ481" s="1125">
        <f t="shared" si="551"/>
        <v>0</v>
      </c>
      <c r="BA481" s="1125">
        <f t="shared" si="552"/>
        <v>0</v>
      </c>
      <c r="BB481" s="1125">
        <f t="shared" si="553"/>
        <v>0</v>
      </c>
      <c r="BC481" s="1125">
        <f t="shared" si="554"/>
        <v>0</v>
      </c>
      <c r="BD481" s="1125">
        <f t="shared" si="555"/>
        <v>0</v>
      </c>
      <c r="BE481" s="1125">
        <f t="shared" si="556"/>
        <v>1</v>
      </c>
      <c r="BF481" s="1125">
        <f t="shared" si="557"/>
        <v>1</v>
      </c>
      <c r="BG481" s="1125">
        <f t="shared" si="558"/>
        <v>0</v>
      </c>
      <c r="BH481" s="1125">
        <f t="shared" si="559"/>
        <v>0</v>
      </c>
      <c r="BI481" s="1125">
        <f t="shared" si="560"/>
        <v>0</v>
      </c>
      <c r="BJ481" s="1125">
        <f t="shared" si="561"/>
        <v>0</v>
      </c>
      <c r="BK481" s="1125">
        <f t="shared" si="562"/>
        <v>1</v>
      </c>
      <c r="BL481" s="1125">
        <f t="shared" si="563"/>
        <v>1</v>
      </c>
      <c r="BM481" s="1125">
        <f t="shared" si="564"/>
        <v>1</v>
      </c>
      <c r="BN481" s="1125">
        <f t="shared" si="565"/>
        <v>1</v>
      </c>
      <c r="BO481" s="1125">
        <f t="shared" si="566"/>
        <v>1</v>
      </c>
      <c r="BP481" s="1125">
        <f t="shared" si="567"/>
        <v>1</v>
      </c>
      <c r="BQ481" s="1125">
        <f t="shared" si="568"/>
        <v>1</v>
      </c>
      <c r="BR481" s="1125">
        <f t="shared" si="569"/>
        <v>0</v>
      </c>
      <c r="BS481" s="1125">
        <f t="shared" si="570"/>
        <v>1</v>
      </c>
      <c r="BT481" s="1125">
        <f t="shared" si="571"/>
        <v>1</v>
      </c>
      <c r="BU481" s="1125">
        <f t="shared" si="572"/>
        <v>1</v>
      </c>
      <c r="BV481" s="1125">
        <f t="shared" si="573"/>
        <v>1</v>
      </c>
      <c r="BW481" s="1125">
        <f t="shared" si="574"/>
        <v>0</v>
      </c>
      <c r="BX481" s="1125">
        <f t="shared" si="575"/>
        <v>0</v>
      </c>
      <c r="BY481" s="1125">
        <f t="shared" si="576"/>
        <v>0</v>
      </c>
      <c r="BZ481" s="1125">
        <f t="shared" si="577"/>
        <v>0</v>
      </c>
      <c r="CA481" s="1125">
        <f t="shared" si="578"/>
        <v>0</v>
      </c>
      <c r="CB481" s="1125">
        <f t="shared" si="579"/>
        <v>1</v>
      </c>
      <c r="CC481" s="1125">
        <f t="shared" si="580"/>
        <v>1</v>
      </c>
      <c r="CD481" s="1125">
        <f t="shared" si="581"/>
        <v>1</v>
      </c>
      <c r="CE481" s="1125">
        <f t="shared" si="582"/>
        <v>1</v>
      </c>
      <c r="CF481" s="1125">
        <f t="shared" si="583"/>
        <v>0</v>
      </c>
      <c r="CG481" s="1125">
        <f t="shared" si="584"/>
        <v>0</v>
      </c>
      <c r="CH481" s="1125">
        <f t="shared" si="585"/>
        <v>0</v>
      </c>
      <c r="CI481" s="1125">
        <f t="shared" si="586"/>
        <v>0.85</v>
      </c>
      <c r="CJ481" s="1125">
        <f t="shared" si="587"/>
        <v>0.85</v>
      </c>
      <c r="CK481" s="1125">
        <f t="shared" si="588"/>
        <v>0.85</v>
      </c>
      <c r="CL481" s="1125">
        <f t="shared" si="589"/>
        <v>0.85</v>
      </c>
      <c r="CM481" s="1125">
        <f t="shared" si="590"/>
        <v>0.85</v>
      </c>
      <c r="CN481" s="1125">
        <f t="shared" si="591"/>
        <v>0.85</v>
      </c>
      <c r="CO481" s="1125">
        <f t="shared" si="592"/>
        <v>0.85</v>
      </c>
      <c r="CP481" s="1125">
        <f t="shared" si="593"/>
        <v>0.7</v>
      </c>
      <c r="CQ481" s="1125">
        <f t="shared" si="594"/>
        <v>0.85</v>
      </c>
      <c r="CR481" s="1125">
        <f t="shared" si="595"/>
        <v>0.85</v>
      </c>
      <c r="CS481" s="1125">
        <f t="shared" si="596"/>
        <v>0.85</v>
      </c>
      <c r="CT481" s="1125">
        <f t="shared" si="597"/>
        <v>0.85</v>
      </c>
      <c r="CU481" s="1125">
        <v>1</v>
      </c>
      <c r="CV481" s="1125"/>
      <c r="CW481" s="1125">
        <f t="shared" si="598"/>
        <v>122</v>
      </c>
      <c r="CX481" s="1125">
        <f t="shared" si="599"/>
        <v>243</v>
      </c>
      <c r="CY481" s="1136" t="s">
        <v>4889</v>
      </c>
      <c r="CZ481" s="1129" t="s">
        <v>4890</v>
      </c>
      <c r="DA481" s="1129"/>
      <c r="DB481" s="1129"/>
      <c r="DC481" s="1125" t="s">
        <v>5519</v>
      </c>
      <c r="DD481" s="1125" t="s">
        <v>427</v>
      </c>
      <c r="DE481" s="1120" t="b">
        <f t="shared" si="600"/>
        <v>0</v>
      </c>
      <c r="DF481" s="1133">
        <v>0</v>
      </c>
      <c r="DG481" s="1125">
        <v>0</v>
      </c>
    </row>
    <row r="482" spans="1:111">
      <c r="A482" s="1120" t="s">
        <v>3721</v>
      </c>
      <c r="B482" s="1120" t="s">
        <v>4346</v>
      </c>
      <c r="C482" s="1120" t="s">
        <v>4347</v>
      </c>
      <c r="D482" s="1120" t="s">
        <v>560</v>
      </c>
      <c r="E482" s="1120">
        <v>961</v>
      </c>
      <c r="F482" s="1120">
        <v>-83.98</v>
      </c>
      <c r="G482" s="1120">
        <v>35.82</v>
      </c>
      <c r="H482" s="1120">
        <v>-5</v>
      </c>
      <c r="I482" s="1121">
        <v>20.120000171661378</v>
      </c>
      <c r="J482" s="1121">
        <v>90.139998626708987</v>
      </c>
      <c r="K482" s="1122">
        <v>73.939998626708984</v>
      </c>
      <c r="L482" s="1120">
        <v>3852</v>
      </c>
      <c r="M482" s="1120">
        <v>1517.4</v>
      </c>
      <c r="N482" s="1123">
        <v>34.339999914169312</v>
      </c>
      <c r="O482" s="1123">
        <v>37.039999914169314</v>
      </c>
      <c r="P482" s="1123">
        <v>50.719999313354492</v>
      </c>
      <c r="Q482" s="1123">
        <v>57.919999313354495</v>
      </c>
      <c r="R482" s="1123">
        <v>65.3</v>
      </c>
      <c r="S482" s="1123">
        <v>74.66000137329101</v>
      </c>
      <c r="T482" s="1123">
        <v>77.900000000000006</v>
      </c>
      <c r="U482" s="1123">
        <v>76.819999313354487</v>
      </c>
      <c r="V482" s="1123">
        <v>70.880000686645502</v>
      </c>
      <c r="W482" s="1123">
        <v>58.459999656677248</v>
      </c>
      <c r="X482" s="1123">
        <v>50.9</v>
      </c>
      <c r="Y482" s="1123">
        <v>39.559999656677249</v>
      </c>
      <c r="Z482" s="1123">
        <v>57.983616362401882</v>
      </c>
      <c r="AA482" s="1123">
        <f t="shared" si="526"/>
        <v>52.986617814822353</v>
      </c>
      <c r="AB482" s="1123">
        <f t="shared" si="527"/>
        <v>52.366212988378727</v>
      </c>
      <c r="AC482" s="1123">
        <f t="shared" si="528"/>
        <v>54.774063380979413</v>
      </c>
      <c r="AD482" s="1123">
        <f t="shared" si="529"/>
        <v>59.582525681695287</v>
      </c>
      <c r="AE482" s="1123">
        <f t="shared" si="530"/>
        <v>65.538200091197709</v>
      </c>
      <c r="AF482" s="1123">
        <f t="shared" si="531"/>
        <v>71.088648294929072</v>
      </c>
      <c r="AG482" s="1123">
        <f t="shared" si="532"/>
        <v>74.787060433590852</v>
      </c>
      <c r="AH482" s="1123">
        <f t="shared" si="533"/>
        <v>75.669388388984601</v>
      </c>
      <c r="AI482" s="1123">
        <f t="shared" si="534"/>
        <v>73.505639782451553</v>
      </c>
      <c r="AJ482" s="1123">
        <f t="shared" si="535"/>
        <v>68.859829032659917</v>
      </c>
      <c r="AK482" s="1123">
        <f t="shared" si="536"/>
        <v>62.942958305653654</v>
      </c>
      <c r="AL482" s="1123">
        <f t="shared" si="537"/>
        <v>57.297351138164913</v>
      </c>
      <c r="AM482" s="1120">
        <f t="shared" si="538"/>
        <v>1</v>
      </c>
      <c r="AN482" s="1120">
        <f t="shared" si="539"/>
        <v>1</v>
      </c>
      <c r="AO482" s="1120">
        <f t="shared" si="540"/>
        <v>1</v>
      </c>
      <c r="AP482" s="1120">
        <f t="shared" si="541"/>
        <v>1</v>
      </c>
      <c r="AQ482" s="1120">
        <f t="shared" si="542"/>
        <v>1</v>
      </c>
      <c r="AR482" s="1120">
        <f t="shared" si="543"/>
        <v>0</v>
      </c>
      <c r="AS482" s="1120">
        <f t="shared" si="544"/>
        <v>0</v>
      </c>
      <c r="AT482" s="1120">
        <f t="shared" si="545"/>
        <v>0</v>
      </c>
      <c r="AU482" s="1120">
        <f t="shared" si="546"/>
        <v>0</v>
      </c>
      <c r="AV482" s="1120">
        <f t="shared" si="547"/>
        <v>1</v>
      </c>
      <c r="AW482" s="1120">
        <f t="shared" si="548"/>
        <v>1</v>
      </c>
      <c r="AX482" s="1120">
        <f t="shared" si="549"/>
        <v>1</v>
      </c>
      <c r="AY482" s="1120">
        <f t="shared" si="550"/>
        <v>0</v>
      </c>
      <c r="AZ482" s="1120">
        <f t="shared" si="551"/>
        <v>0</v>
      </c>
      <c r="BA482" s="1120">
        <f t="shared" si="552"/>
        <v>0</v>
      </c>
      <c r="BB482" s="1120">
        <f t="shared" si="553"/>
        <v>0</v>
      </c>
      <c r="BC482" s="1120">
        <f t="shared" si="554"/>
        <v>0</v>
      </c>
      <c r="BD482" s="1120">
        <f t="shared" si="555"/>
        <v>1</v>
      </c>
      <c r="BE482" s="1120">
        <f t="shared" si="556"/>
        <v>1</v>
      </c>
      <c r="BF482" s="1120">
        <f t="shared" si="557"/>
        <v>1</v>
      </c>
      <c r="BG482" s="1120">
        <f t="shared" si="558"/>
        <v>1</v>
      </c>
      <c r="BH482" s="1120">
        <f t="shared" si="559"/>
        <v>0</v>
      </c>
      <c r="BI482" s="1120">
        <f t="shared" si="560"/>
        <v>0</v>
      </c>
      <c r="BJ482" s="1120">
        <f t="shared" si="561"/>
        <v>0</v>
      </c>
      <c r="BK482" s="1120">
        <f t="shared" si="562"/>
        <v>1</v>
      </c>
      <c r="BL482" s="1120">
        <f t="shared" si="563"/>
        <v>1</v>
      </c>
      <c r="BM482" s="1120">
        <f t="shared" si="564"/>
        <v>1</v>
      </c>
      <c r="BN482" s="1120">
        <f t="shared" si="565"/>
        <v>1</v>
      </c>
      <c r="BO482" s="1120">
        <f t="shared" si="566"/>
        <v>1</v>
      </c>
      <c r="BP482" s="1120">
        <f t="shared" si="567"/>
        <v>1</v>
      </c>
      <c r="BQ482" s="1120">
        <f t="shared" si="568"/>
        <v>0</v>
      </c>
      <c r="BR482" s="1120">
        <f t="shared" si="569"/>
        <v>0</v>
      </c>
      <c r="BS482" s="1120">
        <f t="shared" si="570"/>
        <v>0</v>
      </c>
      <c r="BT482" s="1120">
        <f t="shared" si="571"/>
        <v>1</v>
      </c>
      <c r="BU482" s="1120">
        <f t="shared" si="572"/>
        <v>1</v>
      </c>
      <c r="BV482" s="1120">
        <f t="shared" si="573"/>
        <v>1</v>
      </c>
      <c r="BW482" s="1120">
        <f t="shared" si="574"/>
        <v>0</v>
      </c>
      <c r="BX482" s="1120">
        <f t="shared" si="575"/>
        <v>0</v>
      </c>
      <c r="BY482" s="1120">
        <f t="shared" si="576"/>
        <v>0</v>
      </c>
      <c r="BZ482" s="1120">
        <f t="shared" si="577"/>
        <v>0</v>
      </c>
      <c r="CA482" s="1120">
        <f t="shared" si="578"/>
        <v>1</v>
      </c>
      <c r="CB482" s="1120">
        <f t="shared" si="579"/>
        <v>1</v>
      </c>
      <c r="CC482" s="1120">
        <f t="shared" si="580"/>
        <v>1</v>
      </c>
      <c r="CD482" s="1120">
        <f t="shared" si="581"/>
        <v>1</v>
      </c>
      <c r="CE482" s="1120">
        <f t="shared" si="582"/>
        <v>1</v>
      </c>
      <c r="CF482" s="1120">
        <f t="shared" si="583"/>
        <v>1</v>
      </c>
      <c r="CG482" s="1120">
        <f t="shared" si="584"/>
        <v>0</v>
      </c>
      <c r="CH482" s="1120">
        <f t="shared" si="585"/>
        <v>0</v>
      </c>
      <c r="CI482" s="1120">
        <f t="shared" si="586"/>
        <v>0.85</v>
      </c>
      <c r="CJ482" s="1120">
        <f t="shared" si="587"/>
        <v>0.85</v>
      </c>
      <c r="CK482" s="1120">
        <f t="shared" si="588"/>
        <v>0.85</v>
      </c>
      <c r="CL482" s="1120">
        <f t="shared" si="589"/>
        <v>0.85</v>
      </c>
      <c r="CM482" s="1120">
        <f t="shared" si="590"/>
        <v>0.85</v>
      </c>
      <c r="CN482" s="1120">
        <f t="shared" si="591"/>
        <v>0.85</v>
      </c>
      <c r="CO482" s="1120">
        <f t="shared" si="592"/>
        <v>0.7</v>
      </c>
      <c r="CP482" s="1120">
        <f t="shared" si="593"/>
        <v>0.7</v>
      </c>
      <c r="CQ482" s="1120">
        <f t="shared" si="594"/>
        <v>0.7</v>
      </c>
      <c r="CR482" s="1120">
        <f t="shared" si="595"/>
        <v>0.85</v>
      </c>
      <c r="CS482" s="1120">
        <f t="shared" si="596"/>
        <v>0.85</v>
      </c>
      <c r="CT482" s="1120">
        <f t="shared" si="597"/>
        <v>0.85</v>
      </c>
      <c r="CU482" s="1120">
        <v>1</v>
      </c>
      <c r="CV482" s="1120"/>
      <c r="CW482" s="1120">
        <f t="shared" si="598"/>
        <v>184</v>
      </c>
      <c r="CX482" s="1120">
        <f t="shared" si="599"/>
        <v>181</v>
      </c>
      <c r="CY482" s="1135" t="s">
        <v>4881</v>
      </c>
      <c r="CZ482" s="1124" t="s">
        <v>4885</v>
      </c>
      <c r="DA482" s="1124"/>
      <c r="DB482" s="1124"/>
      <c r="DC482" s="1120" t="s">
        <v>5569</v>
      </c>
      <c r="DD482" s="1120" t="s">
        <v>560</v>
      </c>
      <c r="DE482" s="1120" t="str">
        <f t="shared" si="600"/>
        <v/>
      </c>
      <c r="DF482" s="1133">
        <v>0</v>
      </c>
      <c r="DG482" s="1120">
        <v>0</v>
      </c>
    </row>
    <row r="483" spans="1:111">
      <c r="A483" s="1125" t="s">
        <v>5860</v>
      </c>
      <c r="B483" s="1125" t="s">
        <v>3442</v>
      </c>
      <c r="C483" s="1125" t="s">
        <v>2159</v>
      </c>
      <c r="D483" s="1125" t="s">
        <v>566</v>
      </c>
      <c r="E483" s="1125">
        <v>928</v>
      </c>
      <c r="F483" s="1125">
        <v>-93.12</v>
      </c>
      <c r="G483" s="1125">
        <v>41.3</v>
      </c>
      <c r="H483" s="1125">
        <v>-6</v>
      </c>
      <c r="I483" s="1126">
        <v>-0.58000068664550863</v>
      </c>
      <c r="J483" s="1126">
        <v>93.020002746582037</v>
      </c>
      <c r="K483" s="1127">
        <v>78.980000686645511</v>
      </c>
      <c r="L483" s="1125">
        <v>5716.8</v>
      </c>
      <c r="M483" s="1125">
        <v>1330.2</v>
      </c>
      <c r="N483" s="1128">
        <v>27.139999914169312</v>
      </c>
      <c r="O483" s="1128">
        <v>23.9</v>
      </c>
      <c r="P483" s="1128">
        <v>40.640000343322754</v>
      </c>
      <c r="Q483" s="1128">
        <v>54.319999313354494</v>
      </c>
      <c r="R483" s="1128">
        <v>64.219999313354492</v>
      </c>
      <c r="S483" s="1128">
        <v>71.599999999999994</v>
      </c>
      <c r="T483" s="1128">
        <v>72.680000686645513</v>
      </c>
      <c r="U483" s="1128">
        <v>78.619999313354498</v>
      </c>
      <c r="V483" s="1128">
        <v>74.66000137329101</v>
      </c>
      <c r="W483" s="1128">
        <v>53.780000686645508</v>
      </c>
      <c r="X483" s="1128">
        <v>39.920000171661378</v>
      </c>
      <c r="Y483" s="1128">
        <v>25.520000171661376</v>
      </c>
      <c r="Z483" s="1128">
        <v>52.396712435761543</v>
      </c>
      <c r="AA483" s="1128">
        <f t="shared" si="526"/>
        <v>46.518957588321754</v>
      </c>
      <c r="AB483" s="1128">
        <f t="shared" si="527"/>
        <v>45.177987486975425</v>
      </c>
      <c r="AC483" s="1128">
        <f t="shared" si="528"/>
        <v>47.282681750247818</v>
      </c>
      <c r="AD483" s="1128">
        <f t="shared" si="529"/>
        <v>52.284419384096587</v>
      </c>
      <c r="AE483" s="1128">
        <f t="shared" si="530"/>
        <v>58.879420395148969</v>
      </c>
      <c r="AF483" s="1128">
        <f t="shared" si="531"/>
        <v>65.348596137832189</v>
      </c>
      <c r="AG483" s="1128">
        <f t="shared" si="532"/>
        <v>70.005656261799999</v>
      </c>
      <c r="AH483" s="1128">
        <f t="shared" si="533"/>
        <v>71.636666278271292</v>
      </c>
      <c r="AI483" s="1128">
        <f t="shared" si="534"/>
        <v>69.81647829182765</v>
      </c>
      <c r="AJ483" s="1128">
        <f t="shared" si="535"/>
        <v>65.019552351081543</v>
      </c>
      <c r="AK483" s="1128">
        <f t="shared" si="536"/>
        <v>58.496281125354841</v>
      </c>
      <c r="AL483" s="1128">
        <f t="shared" si="537"/>
        <v>51.947055786285667</v>
      </c>
      <c r="AM483" s="1125">
        <f t="shared" si="538"/>
        <v>1</v>
      </c>
      <c r="AN483" s="1125">
        <f t="shared" si="539"/>
        <v>1</v>
      </c>
      <c r="AO483" s="1125">
        <f t="shared" si="540"/>
        <v>1</v>
      </c>
      <c r="AP483" s="1125">
        <f t="shared" si="541"/>
        <v>1</v>
      </c>
      <c r="AQ483" s="1125">
        <f t="shared" si="542"/>
        <v>1</v>
      </c>
      <c r="AR483" s="1125">
        <f t="shared" si="543"/>
        <v>0</v>
      </c>
      <c r="AS483" s="1125">
        <f t="shared" si="544"/>
        <v>0</v>
      </c>
      <c r="AT483" s="1125">
        <f t="shared" si="545"/>
        <v>0</v>
      </c>
      <c r="AU483" s="1125">
        <f t="shared" si="546"/>
        <v>0</v>
      </c>
      <c r="AV483" s="1125">
        <f t="shared" si="547"/>
        <v>1</v>
      </c>
      <c r="AW483" s="1125">
        <f t="shared" si="548"/>
        <v>1</v>
      </c>
      <c r="AX483" s="1125">
        <f t="shared" si="549"/>
        <v>1</v>
      </c>
      <c r="AY483" s="1125">
        <f t="shared" si="550"/>
        <v>0</v>
      </c>
      <c r="AZ483" s="1125">
        <f t="shared" si="551"/>
        <v>0</v>
      </c>
      <c r="BA483" s="1125">
        <f t="shared" si="552"/>
        <v>0</v>
      </c>
      <c r="BB483" s="1125">
        <f t="shared" si="553"/>
        <v>0</v>
      </c>
      <c r="BC483" s="1125">
        <f t="shared" si="554"/>
        <v>0</v>
      </c>
      <c r="BD483" s="1125">
        <f t="shared" si="555"/>
        <v>1</v>
      </c>
      <c r="BE483" s="1125">
        <f t="shared" si="556"/>
        <v>1</v>
      </c>
      <c r="BF483" s="1125">
        <f t="shared" si="557"/>
        <v>1</v>
      </c>
      <c r="BG483" s="1125">
        <f t="shared" si="558"/>
        <v>1</v>
      </c>
      <c r="BH483" s="1125">
        <f t="shared" si="559"/>
        <v>0</v>
      </c>
      <c r="BI483" s="1125">
        <f t="shared" si="560"/>
        <v>0</v>
      </c>
      <c r="BJ483" s="1125">
        <f t="shared" si="561"/>
        <v>0</v>
      </c>
      <c r="BK483" s="1125">
        <f t="shared" si="562"/>
        <v>1</v>
      </c>
      <c r="BL483" s="1125">
        <f t="shared" si="563"/>
        <v>1</v>
      </c>
      <c r="BM483" s="1125">
        <f t="shared" si="564"/>
        <v>1</v>
      </c>
      <c r="BN483" s="1125">
        <f t="shared" si="565"/>
        <v>1</v>
      </c>
      <c r="BO483" s="1125">
        <f t="shared" si="566"/>
        <v>1</v>
      </c>
      <c r="BP483" s="1125">
        <f t="shared" si="567"/>
        <v>1</v>
      </c>
      <c r="BQ483" s="1125">
        <f t="shared" si="568"/>
        <v>0</v>
      </c>
      <c r="BR483" s="1125">
        <f t="shared" si="569"/>
        <v>0</v>
      </c>
      <c r="BS483" s="1125">
        <f t="shared" si="570"/>
        <v>0</v>
      </c>
      <c r="BT483" s="1125">
        <f t="shared" si="571"/>
        <v>1</v>
      </c>
      <c r="BU483" s="1125">
        <f t="shared" si="572"/>
        <v>1</v>
      </c>
      <c r="BV483" s="1125">
        <f t="shared" si="573"/>
        <v>1</v>
      </c>
      <c r="BW483" s="1125">
        <f t="shared" si="574"/>
        <v>0</v>
      </c>
      <c r="BX483" s="1125">
        <f t="shared" si="575"/>
        <v>0</v>
      </c>
      <c r="BY483" s="1125">
        <f t="shared" si="576"/>
        <v>0</v>
      </c>
      <c r="BZ483" s="1125">
        <f t="shared" si="577"/>
        <v>0</v>
      </c>
      <c r="CA483" s="1125">
        <f t="shared" si="578"/>
        <v>1</v>
      </c>
      <c r="CB483" s="1125">
        <f t="shared" si="579"/>
        <v>1</v>
      </c>
      <c r="CC483" s="1125">
        <f t="shared" si="580"/>
        <v>1</v>
      </c>
      <c r="CD483" s="1125">
        <f t="shared" si="581"/>
        <v>1</v>
      </c>
      <c r="CE483" s="1125">
        <f t="shared" si="582"/>
        <v>1</v>
      </c>
      <c r="CF483" s="1125">
        <f t="shared" si="583"/>
        <v>1</v>
      </c>
      <c r="CG483" s="1125">
        <f t="shared" si="584"/>
        <v>0</v>
      </c>
      <c r="CH483" s="1125">
        <f t="shared" si="585"/>
        <v>0</v>
      </c>
      <c r="CI483" s="1125">
        <f t="shared" si="586"/>
        <v>0.85</v>
      </c>
      <c r="CJ483" s="1125">
        <f t="shared" si="587"/>
        <v>0.85</v>
      </c>
      <c r="CK483" s="1125">
        <f t="shared" si="588"/>
        <v>0.85</v>
      </c>
      <c r="CL483" s="1125">
        <f t="shared" si="589"/>
        <v>0.85</v>
      </c>
      <c r="CM483" s="1125">
        <f t="shared" si="590"/>
        <v>0.85</v>
      </c>
      <c r="CN483" s="1125">
        <f t="shared" si="591"/>
        <v>0.85</v>
      </c>
      <c r="CO483" s="1125">
        <f t="shared" si="592"/>
        <v>0.7</v>
      </c>
      <c r="CP483" s="1125">
        <f t="shared" si="593"/>
        <v>0.7</v>
      </c>
      <c r="CQ483" s="1125">
        <f t="shared" si="594"/>
        <v>0.7</v>
      </c>
      <c r="CR483" s="1125">
        <f t="shared" si="595"/>
        <v>0.85</v>
      </c>
      <c r="CS483" s="1125">
        <f t="shared" si="596"/>
        <v>0.85</v>
      </c>
      <c r="CT483" s="1125">
        <f t="shared" si="597"/>
        <v>0.85</v>
      </c>
      <c r="CU483" s="1125">
        <v>1</v>
      </c>
      <c r="CV483" s="1125"/>
      <c r="CW483" s="1125">
        <f t="shared" si="598"/>
        <v>184</v>
      </c>
      <c r="CX483" s="1125">
        <f t="shared" si="599"/>
        <v>181</v>
      </c>
      <c r="CY483" s="1136" t="s">
        <v>4889</v>
      </c>
      <c r="CZ483" s="1129" t="s">
        <v>4897</v>
      </c>
      <c r="DA483" s="1129"/>
      <c r="DB483" s="1129"/>
      <c r="DC483" s="1125" t="s">
        <v>5176</v>
      </c>
      <c r="DD483" s="1125" t="s">
        <v>566</v>
      </c>
      <c r="DE483" s="1120" t="str">
        <f t="shared" si="600"/>
        <v/>
      </c>
      <c r="DF483" s="1133">
        <v>0</v>
      </c>
      <c r="DG483" s="1125">
        <v>0</v>
      </c>
    </row>
    <row r="484" spans="1:111">
      <c r="A484" s="1120" t="s">
        <v>3725</v>
      </c>
      <c r="B484" s="1125" t="s">
        <v>2960</v>
      </c>
      <c r="C484" s="1125" t="s">
        <v>2961</v>
      </c>
      <c r="D484" s="1125" t="s">
        <v>953</v>
      </c>
      <c r="E484" s="1125">
        <v>16</v>
      </c>
      <c r="F484" s="1125">
        <v>-152.5</v>
      </c>
      <c r="G484" s="1125">
        <v>57.75</v>
      </c>
      <c r="H484" s="1125">
        <v>-9</v>
      </c>
      <c r="I484" s="1126">
        <v>12.919999313354491</v>
      </c>
      <c r="J484" s="1126">
        <v>65.119999313354498</v>
      </c>
      <c r="K484" s="1127">
        <v>55.940000343322751</v>
      </c>
      <c r="L484" s="1125">
        <v>8267.4</v>
      </c>
      <c r="M484" s="1125">
        <v>3.6</v>
      </c>
      <c r="N484" s="1128">
        <v>32.9</v>
      </c>
      <c r="O484" s="1128">
        <v>33.080000042915344</v>
      </c>
      <c r="P484" s="1128">
        <v>35.419999957084656</v>
      </c>
      <c r="Q484" s="1128">
        <v>40.820000171661377</v>
      </c>
      <c r="R484" s="1128">
        <v>43.52000017166138</v>
      </c>
      <c r="S484" s="1128">
        <v>49.459999656677248</v>
      </c>
      <c r="T484" s="1128">
        <v>53.6</v>
      </c>
      <c r="U484" s="1128">
        <v>55.759999656677245</v>
      </c>
      <c r="V484" s="1128">
        <v>50.180000686645506</v>
      </c>
      <c r="W484" s="1128">
        <v>41.540000343322752</v>
      </c>
      <c r="X484" s="1128">
        <v>32.9</v>
      </c>
      <c r="Y484" s="1128">
        <v>31.1</v>
      </c>
      <c r="Z484" s="1128">
        <v>41.742684988061043</v>
      </c>
      <c r="AA484" s="1128">
        <f t="shared" si="526"/>
        <v>44.013217548648939</v>
      </c>
      <c r="AB484" s="1128">
        <f t="shared" si="527"/>
        <v>43.125258137566753</v>
      </c>
      <c r="AC484" s="1128">
        <f t="shared" si="528"/>
        <v>43.440902191767556</v>
      </c>
      <c r="AD484" s="1128">
        <f t="shared" si="529"/>
        <v>44.877872224301811</v>
      </c>
      <c r="AE484" s="1128">
        <f t="shared" si="530"/>
        <v>47.061599851810946</v>
      </c>
      <c r="AF484" s="1128">
        <f t="shared" si="531"/>
        <v>49.422862815923324</v>
      </c>
      <c r="AG484" s="1128">
        <f t="shared" si="532"/>
        <v>51.346161536879322</v>
      </c>
      <c r="AH484" s="1128">
        <f t="shared" si="533"/>
        <v>52.330158564131295</v>
      </c>
      <c r="AI484" s="1128">
        <f t="shared" si="534"/>
        <v>52.118359908672836</v>
      </c>
      <c r="AJ484" s="1128">
        <f t="shared" si="535"/>
        <v>50.765974153965253</v>
      </c>
      <c r="AK484" s="1128">
        <f t="shared" si="536"/>
        <v>48.625521487868419</v>
      </c>
      <c r="AL484" s="1128">
        <f t="shared" si="537"/>
        <v>46.254943883174512</v>
      </c>
      <c r="AM484" s="1125">
        <f t="shared" si="538"/>
        <v>1</v>
      </c>
      <c r="AN484" s="1125">
        <f t="shared" si="539"/>
        <v>1</v>
      </c>
      <c r="AO484" s="1125">
        <f t="shared" si="540"/>
        <v>1</v>
      </c>
      <c r="AP484" s="1125">
        <f t="shared" si="541"/>
        <v>1</v>
      </c>
      <c r="AQ484" s="1125">
        <f t="shared" si="542"/>
        <v>1</v>
      </c>
      <c r="AR484" s="1125">
        <f t="shared" si="543"/>
        <v>1</v>
      </c>
      <c r="AS484" s="1125">
        <f t="shared" si="544"/>
        <v>1</v>
      </c>
      <c r="AT484" s="1125">
        <f t="shared" si="545"/>
        <v>1</v>
      </c>
      <c r="AU484" s="1125">
        <f t="shared" si="546"/>
        <v>1</v>
      </c>
      <c r="AV484" s="1125">
        <f t="shared" si="547"/>
        <v>1</v>
      </c>
      <c r="AW484" s="1125">
        <f t="shared" si="548"/>
        <v>1</v>
      </c>
      <c r="AX484" s="1125">
        <f t="shared" si="549"/>
        <v>1</v>
      </c>
      <c r="AY484" s="1125">
        <f t="shared" si="550"/>
        <v>0</v>
      </c>
      <c r="AZ484" s="1125">
        <f t="shared" si="551"/>
        <v>0</v>
      </c>
      <c r="BA484" s="1125">
        <f t="shared" si="552"/>
        <v>0</v>
      </c>
      <c r="BB484" s="1125">
        <f t="shared" si="553"/>
        <v>0</v>
      </c>
      <c r="BC484" s="1125">
        <f t="shared" si="554"/>
        <v>0</v>
      </c>
      <c r="BD484" s="1125">
        <f t="shared" si="555"/>
        <v>0</v>
      </c>
      <c r="BE484" s="1125">
        <f t="shared" si="556"/>
        <v>1</v>
      </c>
      <c r="BF484" s="1125">
        <f t="shared" si="557"/>
        <v>1</v>
      </c>
      <c r="BG484" s="1125">
        <f t="shared" si="558"/>
        <v>0</v>
      </c>
      <c r="BH484" s="1125">
        <f t="shared" si="559"/>
        <v>0</v>
      </c>
      <c r="BI484" s="1125">
        <f t="shared" si="560"/>
        <v>0</v>
      </c>
      <c r="BJ484" s="1125">
        <f t="shared" si="561"/>
        <v>0</v>
      </c>
      <c r="BK484" s="1125">
        <f t="shared" si="562"/>
        <v>1</v>
      </c>
      <c r="BL484" s="1125">
        <f t="shared" si="563"/>
        <v>1</v>
      </c>
      <c r="BM484" s="1125">
        <f t="shared" si="564"/>
        <v>1</v>
      </c>
      <c r="BN484" s="1125">
        <f t="shared" si="565"/>
        <v>1</v>
      </c>
      <c r="BO484" s="1125">
        <f t="shared" si="566"/>
        <v>1</v>
      </c>
      <c r="BP484" s="1125">
        <f t="shared" si="567"/>
        <v>1</v>
      </c>
      <c r="BQ484" s="1125">
        <f t="shared" si="568"/>
        <v>1</v>
      </c>
      <c r="BR484" s="1125">
        <f t="shared" si="569"/>
        <v>1</v>
      </c>
      <c r="BS484" s="1125">
        <f t="shared" si="570"/>
        <v>1</v>
      </c>
      <c r="BT484" s="1125">
        <f t="shared" si="571"/>
        <v>1</v>
      </c>
      <c r="BU484" s="1125">
        <f t="shared" si="572"/>
        <v>1</v>
      </c>
      <c r="BV484" s="1125">
        <f t="shared" si="573"/>
        <v>1</v>
      </c>
      <c r="BW484" s="1125">
        <f t="shared" si="574"/>
        <v>0</v>
      </c>
      <c r="BX484" s="1125">
        <f t="shared" si="575"/>
        <v>0</v>
      </c>
      <c r="BY484" s="1125">
        <f t="shared" si="576"/>
        <v>0</v>
      </c>
      <c r="BZ484" s="1125">
        <f t="shared" si="577"/>
        <v>0</v>
      </c>
      <c r="CA484" s="1125">
        <f t="shared" si="578"/>
        <v>0</v>
      </c>
      <c r="CB484" s="1125">
        <f t="shared" si="579"/>
        <v>0</v>
      </c>
      <c r="CC484" s="1125">
        <f t="shared" si="580"/>
        <v>1</v>
      </c>
      <c r="CD484" s="1125">
        <f t="shared" si="581"/>
        <v>1</v>
      </c>
      <c r="CE484" s="1125">
        <f t="shared" si="582"/>
        <v>0</v>
      </c>
      <c r="CF484" s="1125">
        <f t="shared" si="583"/>
        <v>0</v>
      </c>
      <c r="CG484" s="1125">
        <f t="shared" si="584"/>
        <v>0</v>
      </c>
      <c r="CH484" s="1125">
        <f t="shared" si="585"/>
        <v>0</v>
      </c>
      <c r="CI484" s="1125">
        <f t="shared" si="586"/>
        <v>0.85</v>
      </c>
      <c r="CJ484" s="1125">
        <f t="shared" si="587"/>
        <v>0.85</v>
      </c>
      <c r="CK484" s="1125">
        <f t="shared" si="588"/>
        <v>0.85</v>
      </c>
      <c r="CL484" s="1125">
        <f t="shared" si="589"/>
        <v>0.85</v>
      </c>
      <c r="CM484" s="1125">
        <f t="shared" si="590"/>
        <v>0.85</v>
      </c>
      <c r="CN484" s="1125">
        <f t="shared" si="591"/>
        <v>0.85</v>
      </c>
      <c r="CO484" s="1125">
        <f t="shared" si="592"/>
        <v>0.85</v>
      </c>
      <c r="CP484" s="1125">
        <f t="shared" si="593"/>
        <v>0.85</v>
      </c>
      <c r="CQ484" s="1125">
        <f t="shared" si="594"/>
        <v>0.85</v>
      </c>
      <c r="CR484" s="1125">
        <f t="shared" si="595"/>
        <v>0.85</v>
      </c>
      <c r="CS484" s="1125">
        <f t="shared" si="596"/>
        <v>0.85</v>
      </c>
      <c r="CT484" s="1125">
        <f t="shared" si="597"/>
        <v>0.85</v>
      </c>
      <c r="CU484" s="1125">
        <v>1</v>
      </c>
      <c r="CV484" s="1125"/>
      <c r="CW484" s="1125">
        <f t="shared" si="598"/>
        <v>62</v>
      </c>
      <c r="CX484" s="1125">
        <f t="shared" si="599"/>
        <v>303</v>
      </c>
      <c r="CY484" s="1136" t="s">
        <v>4879</v>
      </c>
      <c r="CZ484" s="1129">
        <v>7</v>
      </c>
      <c r="DA484" s="1129"/>
      <c r="DB484" s="1129"/>
      <c r="DC484" s="1125" t="s">
        <v>4942</v>
      </c>
      <c r="DD484" s="1125" t="s">
        <v>953</v>
      </c>
      <c r="DE484" s="1125" t="str">
        <f t="shared" si="600"/>
        <v/>
      </c>
      <c r="DF484" s="1125">
        <v>0</v>
      </c>
      <c r="DG484" s="1120">
        <v>0</v>
      </c>
    </row>
    <row r="485" spans="1:111">
      <c r="A485" s="1125" t="s">
        <v>3727</v>
      </c>
      <c r="B485" s="1120" t="s">
        <v>3396</v>
      </c>
      <c r="C485" s="1120" t="s">
        <v>3397</v>
      </c>
      <c r="D485" s="1120" t="s">
        <v>122</v>
      </c>
      <c r="E485" s="1120">
        <v>49</v>
      </c>
      <c r="F485" s="1120">
        <v>-156.05000000000001</v>
      </c>
      <c r="G485" s="1120">
        <v>19.73</v>
      </c>
      <c r="H485" s="1120">
        <v>-10</v>
      </c>
      <c r="I485" s="1121">
        <v>67.099999999999994</v>
      </c>
      <c r="J485" s="1121">
        <v>86.539998626708979</v>
      </c>
      <c r="K485" s="1122">
        <v>75.2</v>
      </c>
      <c r="L485" s="1120">
        <v>0</v>
      </c>
      <c r="M485" s="1120">
        <v>4595.4000000000005</v>
      </c>
      <c r="N485" s="1123">
        <v>73.939998626708984</v>
      </c>
      <c r="O485" s="1123">
        <v>73.939998626708984</v>
      </c>
      <c r="P485" s="1123">
        <v>75.019999313354489</v>
      </c>
      <c r="Q485" s="1123">
        <v>75.919999313354495</v>
      </c>
      <c r="R485" s="1123">
        <v>77.539998626708979</v>
      </c>
      <c r="S485" s="1123">
        <v>78.080000686645505</v>
      </c>
      <c r="T485" s="1123">
        <v>79.16000137329101</v>
      </c>
      <c r="U485" s="1123">
        <v>79.33999862670899</v>
      </c>
      <c r="V485" s="1123">
        <v>80.419999313354495</v>
      </c>
      <c r="W485" s="1123">
        <v>78.619999313354498</v>
      </c>
      <c r="X485" s="1123">
        <v>76.460001373291021</v>
      </c>
      <c r="Y485" s="1123">
        <v>75.380000686645502</v>
      </c>
      <c r="Z485" s="1123">
        <v>77.001972262238809</v>
      </c>
      <c r="AA485" s="1123">
        <f t="shared" si="526"/>
        <v>80.638106146640311</v>
      </c>
      <c r="AB485" s="1123">
        <f t="shared" si="527"/>
        <v>80.906056934186225</v>
      </c>
      <c r="AC485" s="1123">
        <f t="shared" si="528"/>
        <v>81.720340351021932</v>
      </c>
      <c r="AD485" s="1123">
        <f t="shared" si="529"/>
        <v>82.868700876061908</v>
      </c>
      <c r="AE485" s="1123">
        <f t="shared" si="530"/>
        <v>84.05180064168313</v>
      </c>
      <c r="AF485" s="1123">
        <f t="shared" si="531"/>
        <v>84.961246461857144</v>
      </c>
      <c r="AG485" s="1123">
        <f t="shared" si="532"/>
        <v>85.359977268571271</v>
      </c>
      <c r="AH485" s="1123">
        <f t="shared" si="533"/>
        <v>85.144057732427768</v>
      </c>
      <c r="AI485" s="1123">
        <f t="shared" si="534"/>
        <v>84.369770607943195</v>
      </c>
      <c r="AJ485" s="1123">
        <f t="shared" si="535"/>
        <v>83.238945766240221</v>
      </c>
      <c r="AK485" s="1123">
        <f t="shared" si="536"/>
        <v>82.046350128847038</v>
      </c>
      <c r="AL485" s="1123">
        <f t="shared" si="537"/>
        <v>81.10285212710528</v>
      </c>
      <c r="AM485" s="1120">
        <f t="shared" si="538"/>
        <v>0</v>
      </c>
      <c r="AN485" s="1120">
        <f t="shared" si="539"/>
        <v>0</v>
      </c>
      <c r="AO485" s="1120">
        <f t="shared" si="540"/>
        <v>0</v>
      </c>
      <c r="AP485" s="1120">
        <f t="shared" si="541"/>
        <v>0</v>
      </c>
      <c r="AQ485" s="1120">
        <f t="shared" si="542"/>
        <v>0</v>
      </c>
      <c r="AR485" s="1120">
        <f t="shared" si="543"/>
        <v>0</v>
      </c>
      <c r="AS485" s="1120">
        <f t="shared" si="544"/>
        <v>0</v>
      </c>
      <c r="AT485" s="1120">
        <f t="shared" si="545"/>
        <v>0</v>
      </c>
      <c r="AU485" s="1120">
        <f t="shared" si="546"/>
        <v>0</v>
      </c>
      <c r="AV485" s="1120">
        <f t="shared" si="547"/>
        <v>0</v>
      </c>
      <c r="AW485" s="1120">
        <f t="shared" si="548"/>
        <v>0</v>
      </c>
      <c r="AX485" s="1120">
        <f t="shared" si="549"/>
        <v>0</v>
      </c>
      <c r="AY485" s="1120">
        <f t="shared" si="550"/>
        <v>1</v>
      </c>
      <c r="AZ485" s="1120">
        <f t="shared" si="551"/>
        <v>1</v>
      </c>
      <c r="BA485" s="1120">
        <f t="shared" si="552"/>
        <v>1</v>
      </c>
      <c r="BB485" s="1120">
        <f t="shared" si="553"/>
        <v>1</v>
      </c>
      <c r="BC485" s="1120">
        <f t="shared" si="554"/>
        <v>1</v>
      </c>
      <c r="BD485" s="1120">
        <f t="shared" si="555"/>
        <v>1</v>
      </c>
      <c r="BE485" s="1120">
        <f t="shared" si="556"/>
        <v>1</v>
      </c>
      <c r="BF485" s="1120">
        <f t="shared" si="557"/>
        <v>1</v>
      </c>
      <c r="BG485" s="1120">
        <f t="shared" si="558"/>
        <v>1</v>
      </c>
      <c r="BH485" s="1120">
        <f t="shared" si="559"/>
        <v>1</v>
      </c>
      <c r="BI485" s="1120">
        <f t="shared" si="560"/>
        <v>1</v>
      </c>
      <c r="BJ485" s="1120">
        <f t="shared" si="561"/>
        <v>1</v>
      </c>
      <c r="BK485" s="1120">
        <f t="shared" si="562"/>
        <v>0</v>
      </c>
      <c r="BL485" s="1120">
        <f t="shared" si="563"/>
        <v>0</v>
      </c>
      <c r="BM485" s="1120">
        <f t="shared" si="564"/>
        <v>0</v>
      </c>
      <c r="BN485" s="1120">
        <f t="shared" si="565"/>
        <v>0</v>
      </c>
      <c r="BO485" s="1120">
        <f t="shared" si="566"/>
        <v>0</v>
      </c>
      <c r="BP485" s="1120">
        <f t="shared" si="567"/>
        <v>0</v>
      </c>
      <c r="BQ485" s="1120">
        <f t="shared" si="568"/>
        <v>0</v>
      </c>
      <c r="BR485" s="1120">
        <f t="shared" si="569"/>
        <v>0</v>
      </c>
      <c r="BS485" s="1120">
        <f t="shared" si="570"/>
        <v>0</v>
      </c>
      <c r="BT485" s="1120">
        <f t="shared" si="571"/>
        <v>0</v>
      </c>
      <c r="BU485" s="1120">
        <f t="shared" si="572"/>
        <v>0</v>
      </c>
      <c r="BV485" s="1120">
        <f t="shared" si="573"/>
        <v>0</v>
      </c>
      <c r="BW485" s="1120">
        <f t="shared" si="574"/>
        <v>1</v>
      </c>
      <c r="BX485" s="1120">
        <f t="shared" si="575"/>
        <v>1</v>
      </c>
      <c r="BY485" s="1120">
        <f t="shared" si="576"/>
        <v>1</v>
      </c>
      <c r="BZ485" s="1120">
        <f t="shared" si="577"/>
        <v>1</v>
      </c>
      <c r="CA485" s="1120">
        <f t="shared" si="578"/>
        <v>1</v>
      </c>
      <c r="CB485" s="1120">
        <f t="shared" si="579"/>
        <v>1</v>
      </c>
      <c r="CC485" s="1120">
        <f t="shared" si="580"/>
        <v>1</v>
      </c>
      <c r="CD485" s="1120">
        <f t="shared" si="581"/>
        <v>1</v>
      </c>
      <c r="CE485" s="1120">
        <f t="shared" si="582"/>
        <v>1</v>
      </c>
      <c r="CF485" s="1120">
        <f t="shared" si="583"/>
        <v>1</v>
      </c>
      <c r="CG485" s="1120">
        <f t="shared" si="584"/>
        <v>1</v>
      </c>
      <c r="CH485" s="1120">
        <f t="shared" si="585"/>
        <v>1</v>
      </c>
      <c r="CI485" s="1120">
        <f t="shared" si="586"/>
        <v>0.7</v>
      </c>
      <c r="CJ485" s="1120">
        <f t="shared" si="587"/>
        <v>0.7</v>
      </c>
      <c r="CK485" s="1120">
        <f t="shared" si="588"/>
        <v>0.7</v>
      </c>
      <c r="CL485" s="1120">
        <f t="shared" si="589"/>
        <v>0.7</v>
      </c>
      <c r="CM485" s="1120">
        <f t="shared" si="590"/>
        <v>0.7</v>
      </c>
      <c r="CN485" s="1120">
        <f t="shared" si="591"/>
        <v>0.7</v>
      </c>
      <c r="CO485" s="1120">
        <f t="shared" si="592"/>
        <v>0.7</v>
      </c>
      <c r="CP485" s="1120">
        <f t="shared" si="593"/>
        <v>0.7</v>
      </c>
      <c r="CQ485" s="1120">
        <f t="shared" si="594"/>
        <v>0.7</v>
      </c>
      <c r="CR485" s="1120">
        <f t="shared" si="595"/>
        <v>0.7</v>
      </c>
      <c r="CS485" s="1120">
        <f t="shared" si="596"/>
        <v>0.7</v>
      </c>
      <c r="CT485" s="1120">
        <f t="shared" si="597"/>
        <v>0.7</v>
      </c>
      <c r="CU485" s="1120">
        <v>1</v>
      </c>
      <c r="CV485" s="1120"/>
      <c r="CW485" s="1120">
        <f t="shared" si="598"/>
        <v>365</v>
      </c>
      <c r="CX485" s="1120">
        <f t="shared" si="599"/>
        <v>0</v>
      </c>
      <c r="CY485" s="1135" t="s">
        <v>4883</v>
      </c>
      <c r="CZ485" s="1124" t="s">
        <v>4898</v>
      </c>
      <c r="DA485" s="1124"/>
      <c r="DB485" s="1124"/>
      <c r="DC485" s="1120" t="s">
        <v>5153</v>
      </c>
      <c r="DD485" s="1120" t="s">
        <v>122</v>
      </c>
      <c r="DE485" s="1120" t="str">
        <f t="shared" si="600"/>
        <v/>
      </c>
      <c r="DF485" s="1133">
        <v>0</v>
      </c>
      <c r="DG485" s="1125">
        <v>0</v>
      </c>
    </row>
    <row r="486" spans="1:111">
      <c r="A486" s="1120" t="s">
        <v>3729</v>
      </c>
      <c r="B486" s="1120" t="s">
        <v>2962</v>
      </c>
      <c r="C486" s="1120" t="s">
        <v>2963</v>
      </c>
      <c r="D486" s="1120" t="s">
        <v>953</v>
      </c>
      <c r="E486" s="1120">
        <v>10</v>
      </c>
      <c r="F486" s="1120">
        <v>-162.6</v>
      </c>
      <c r="G486" s="1120">
        <v>66.88</v>
      </c>
      <c r="H486" s="1120">
        <v>-9</v>
      </c>
      <c r="I486" s="1121">
        <v>-30.820002746582034</v>
      </c>
      <c r="J486" s="1121">
        <v>64.400000000000006</v>
      </c>
      <c r="K486" s="1122">
        <v>57.740000343322755</v>
      </c>
      <c r="L486" s="1120">
        <v>14999.4</v>
      </c>
      <c r="M486" s="1120">
        <v>0</v>
      </c>
      <c r="N486" s="1123">
        <v>0.13999862670898358</v>
      </c>
      <c r="O486" s="1123">
        <v>1.0399986267089836</v>
      </c>
      <c r="P486" s="1123">
        <v>2.4800006866455071</v>
      </c>
      <c r="Q486" s="1123">
        <v>12.380000686645507</v>
      </c>
      <c r="R486" s="1123">
        <v>30.559999978542329</v>
      </c>
      <c r="S486" s="1123">
        <v>44.240000343322755</v>
      </c>
      <c r="T486" s="1123">
        <v>55.4</v>
      </c>
      <c r="U486" s="1123">
        <v>53.240000343322755</v>
      </c>
      <c r="V486" s="1123">
        <v>43.340000343322757</v>
      </c>
      <c r="W486" s="1123">
        <v>24.620000171661378</v>
      </c>
      <c r="X486" s="1123">
        <v>9.3199993133544918</v>
      </c>
      <c r="Y486" s="1123">
        <v>1.0399986267089836</v>
      </c>
      <c r="Z486" s="1123">
        <v>23.286027215310973</v>
      </c>
      <c r="AA486" s="1123">
        <f t="shared" si="526"/>
        <v>32</v>
      </c>
      <c r="AB486" s="1123">
        <f t="shared" si="527"/>
        <v>32</v>
      </c>
      <c r="AC486" s="1123">
        <f t="shared" si="528"/>
        <v>32</v>
      </c>
      <c r="AD486" s="1123">
        <f t="shared" si="529"/>
        <v>32</v>
      </c>
      <c r="AE486" s="1123">
        <f t="shared" si="530"/>
        <v>32</v>
      </c>
      <c r="AF486" s="1123">
        <f t="shared" si="531"/>
        <v>32</v>
      </c>
      <c r="AG486" s="1123">
        <f t="shared" si="532"/>
        <v>32.152760508807177</v>
      </c>
      <c r="AH486" s="1123">
        <f t="shared" si="533"/>
        <v>33.996507166429851</v>
      </c>
      <c r="AI486" s="1123">
        <f t="shared" si="534"/>
        <v>34.612394634100042</v>
      </c>
      <c r="AJ486" s="1123">
        <f t="shared" si="535"/>
        <v>33.839882352256346</v>
      </c>
      <c r="AK486" s="1123">
        <f t="shared" si="536"/>
        <v>32</v>
      </c>
      <c r="AL486" s="1123">
        <f t="shared" si="537"/>
        <v>32</v>
      </c>
      <c r="AM486" s="1120">
        <f t="shared" si="538"/>
        <v>1</v>
      </c>
      <c r="AN486" s="1120">
        <f t="shared" si="539"/>
        <v>1</v>
      </c>
      <c r="AO486" s="1120">
        <f t="shared" si="540"/>
        <v>1</v>
      </c>
      <c r="AP486" s="1120">
        <f t="shared" si="541"/>
        <v>1</v>
      </c>
      <c r="AQ486" s="1120">
        <f t="shared" si="542"/>
        <v>1</v>
      </c>
      <c r="AR486" s="1120">
        <f t="shared" si="543"/>
        <v>1</v>
      </c>
      <c r="AS486" s="1120">
        <f t="shared" si="544"/>
        <v>1</v>
      </c>
      <c r="AT486" s="1120">
        <f t="shared" si="545"/>
        <v>1</v>
      </c>
      <c r="AU486" s="1120">
        <f t="shared" si="546"/>
        <v>1</v>
      </c>
      <c r="AV486" s="1120">
        <f t="shared" si="547"/>
        <v>1</v>
      </c>
      <c r="AW486" s="1120">
        <f t="shared" si="548"/>
        <v>1</v>
      </c>
      <c r="AX486" s="1120">
        <f t="shared" si="549"/>
        <v>1</v>
      </c>
      <c r="AY486" s="1120">
        <f t="shared" si="550"/>
        <v>0</v>
      </c>
      <c r="AZ486" s="1120">
        <f t="shared" si="551"/>
        <v>0</v>
      </c>
      <c r="BA486" s="1120">
        <f t="shared" si="552"/>
        <v>0</v>
      </c>
      <c r="BB486" s="1120">
        <f t="shared" si="553"/>
        <v>0</v>
      </c>
      <c r="BC486" s="1120">
        <f t="shared" si="554"/>
        <v>0</v>
      </c>
      <c r="BD486" s="1120">
        <f t="shared" si="555"/>
        <v>0</v>
      </c>
      <c r="BE486" s="1120">
        <f t="shared" si="556"/>
        <v>1</v>
      </c>
      <c r="BF486" s="1120">
        <f t="shared" si="557"/>
        <v>1</v>
      </c>
      <c r="BG486" s="1120">
        <f t="shared" si="558"/>
        <v>0</v>
      </c>
      <c r="BH486" s="1120">
        <f t="shared" si="559"/>
        <v>0</v>
      </c>
      <c r="BI486" s="1120">
        <f t="shared" si="560"/>
        <v>0</v>
      </c>
      <c r="BJ486" s="1120">
        <f t="shared" si="561"/>
        <v>0</v>
      </c>
      <c r="BK486" s="1120">
        <f t="shared" si="562"/>
        <v>1</v>
      </c>
      <c r="BL486" s="1120">
        <f t="shared" si="563"/>
        <v>1</v>
      </c>
      <c r="BM486" s="1120">
        <f t="shared" si="564"/>
        <v>1</v>
      </c>
      <c r="BN486" s="1120">
        <f t="shared" si="565"/>
        <v>1</v>
      </c>
      <c r="BO486" s="1120">
        <f t="shared" si="566"/>
        <v>1</v>
      </c>
      <c r="BP486" s="1120">
        <f t="shared" si="567"/>
        <v>1</v>
      </c>
      <c r="BQ486" s="1120">
        <f t="shared" si="568"/>
        <v>1</v>
      </c>
      <c r="BR486" s="1120">
        <f t="shared" si="569"/>
        <v>1</v>
      </c>
      <c r="BS486" s="1120">
        <f t="shared" si="570"/>
        <v>1</v>
      </c>
      <c r="BT486" s="1120">
        <f t="shared" si="571"/>
        <v>1</v>
      </c>
      <c r="BU486" s="1120">
        <f t="shared" si="572"/>
        <v>1</v>
      </c>
      <c r="BV486" s="1120">
        <f t="shared" si="573"/>
        <v>1</v>
      </c>
      <c r="BW486" s="1120">
        <f t="shared" si="574"/>
        <v>0</v>
      </c>
      <c r="BX486" s="1120">
        <f t="shared" si="575"/>
        <v>0</v>
      </c>
      <c r="BY486" s="1120">
        <f t="shared" si="576"/>
        <v>0</v>
      </c>
      <c r="BZ486" s="1120">
        <f t="shared" si="577"/>
        <v>0</v>
      </c>
      <c r="CA486" s="1120">
        <f t="shared" si="578"/>
        <v>0</v>
      </c>
      <c r="CB486" s="1120">
        <f t="shared" si="579"/>
        <v>0</v>
      </c>
      <c r="CC486" s="1120">
        <f t="shared" si="580"/>
        <v>1</v>
      </c>
      <c r="CD486" s="1120">
        <f t="shared" si="581"/>
        <v>1</v>
      </c>
      <c r="CE486" s="1120">
        <f t="shared" si="582"/>
        <v>0</v>
      </c>
      <c r="CF486" s="1120">
        <f t="shared" si="583"/>
        <v>0</v>
      </c>
      <c r="CG486" s="1120">
        <f t="shared" si="584"/>
        <v>0</v>
      </c>
      <c r="CH486" s="1120">
        <f t="shared" si="585"/>
        <v>0</v>
      </c>
      <c r="CI486" s="1120">
        <f t="shared" si="586"/>
        <v>0.85</v>
      </c>
      <c r="CJ486" s="1120">
        <f t="shared" si="587"/>
        <v>0.85</v>
      </c>
      <c r="CK486" s="1120">
        <f t="shared" si="588"/>
        <v>0.85</v>
      </c>
      <c r="CL486" s="1120">
        <f t="shared" si="589"/>
        <v>0.85</v>
      </c>
      <c r="CM486" s="1120">
        <f t="shared" si="590"/>
        <v>0.85</v>
      </c>
      <c r="CN486" s="1120">
        <f t="shared" si="591"/>
        <v>0.85</v>
      </c>
      <c r="CO486" s="1120">
        <f t="shared" si="592"/>
        <v>0.85</v>
      </c>
      <c r="CP486" s="1120">
        <f t="shared" si="593"/>
        <v>0.85</v>
      </c>
      <c r="CQ486" s="1120">
        <f t="shared" si="594"/>
        <v>0.85</v>
      </c>
      <c r="CR486" s="1120">
        <f t="shared" si="595"/>
        <v>0.85</v>
      </c>
      <c r="CS486" s="1120">
        <f t="shared" si="596"/>
        <v>0.85</v>
      </c>
      <c r="CT486" s="1120">
        <f t="shared" si="597"/>
        <v>0.85</v>
      </c>
      <c r="CU486" s="1120">
        <v>1</v>
      </c>
      <c r="CV486" s="1120"/>
      <c r="CW486" s="1120">
        <f t="shared" si="598"/>
        <v>62</v>
      </c>
      <c r="CX486" s="1120">
        <f t="shared" si="599"/>
        <v>303</v>
      </c>
      <c r="CY486" s="1135" t="s">
        <v>4880</v>
      </c>
      <c r="CZ486" s="1124">
        <v>8</v>
      </c>
      <c r="DA486" s="1124"/>
      <c r="DB486" s="1124"/>
      <c r="DC486" s="1120" t="s">
        <v>4943</v>
      </c>
      <c r="DD486" s="1120" t="s">
        <v>953</v>
      </c>
      <c r="DE486" s="1120" t="str">
        <f t="shared" si="600"/>
        <v/>
      </c>
      <c r="DF486" s="1120">
        <v>0</v>
      </c>
      <c r="DG486" s="1120">
        <v>0</v>
      </c>
    </row>
    <row r="487" spans="1:111">
      <c r="A487" s="1125" t="s">
        <v>3731</v>
      </c>
      <c r="B487" s="1120" t="s">
        <v>4616</v>
      </c>
      <c r="C487" s="1120" t="s">
        <v>4617</v>
      </c>
      <c r="D487" s="1120" t="s">
        <v>1278</v>
      </c>
      <c r="E487" s="1120">
        <v>649</v>
      </c>
      <c r="F487" s="1120">
        <v>-91.25</v>
      </c>
      <c r="G487" s="1120">
        <v>43.87</v>
      </c>
      <c r="H487" s="1120">
        <v>-6</v>
      </c>
      <c r="I487" s="1121">
        <v>-5.8000000000000007</v>
      </c>
      <c r="J487" s="1121">
        <v>89.060001373291016</v>
      </c>
      <c r="K487" s="1122">
        <v>73.400000000000006</v>
      </c>
      <c r="L487" s="1120">
        <v>7239.6</v>
      </c>
      <c r="M487" s="1120">
        <v>790.2</v>
      </c>
      <c r="N487" s="1123">
        <v>12.559999656677245</v>
      </c>
      <c r="O487" s="1123">
        <v>22.1</v>
      </c>
      <c r="P487" s="1123">
        <v>35.6</v>
      </c>
      <c r="Q487" s="1123">
        <v>48.919999313354495</v>
      </c>
      <c r="R487" s="1123">
        <v>58.819999313354494</v>
      </c>
      <c r="S487" s="1123">
        <v>67.460001373291021</v>
      </c>
      <c r="T487" s="1123">
        <v>74.66000137329101</v>
      </c>
      <c r="U487" s="1123">
        <v>70.880000686645502</v>
      </c>
      <c r="V487" s="1123">
        <v>62.960001373291014</v>
      </c>
      <c r="W487" s="1123">
        <v>48.2</v>
      </c>
      <c r="X487" s="1123">
        <v>36.320000171661377</v>
      </c>
      <c r="Y487" s="1123">
        <v>20.659999656677247</v>
      </c>
      <c r="Z487" s="1123">
        <v>46.716109830777938</v>
      </c>
      <c r="AA487" s="1123">
        <f t="shared" si="526"/>
        <v>41.447578454886319</v>
      </c>
      <c r="AB487" s="1123">
        <f t="shared" si="527"/>
        <v>39.463000343543783</v>
      </c>
      <c r="AC487" s="1123">
        <f t="shared" si="528"/>
        <v>40.933049456648213</v>
      </c>
      <c r="AD487" s="1123">
        <f t="shared" si="529"/>
        <v>45.474534838726377</v>
      </c>
      <c r="AE487" s="1123">
        <f t="shared" si="530"/>
        <v>51.90364833853139</v>
      </c>
      <c r="AF487" s="1123">
        <f t="shared" si="531"/>
        <v>58.544542446701058</v>
      </c>
      <c r="AG487" s="1123">
        <f t="shared" si="532"/>
        <v>63.666165774664961</v>
      </c>
      <c r="AH487" s="1123">
        <f t="shared" si="533"/>
        <v>65.933488275384718</v>
      </c>
      <c r="AI487" s="1123">
        <f t="shared" si="534"/>
        <v>64.755497398550375</v>
      </c>
      <c r="AJ487" s="1123">
        <f t="shared" si="535"/>
        <v>60.439254619597705</v>
      </c>
      <c r="AK487" s="1123">
        <f t="shared" si="536"/>
        <v>54.109855134175341</v>
      </c>
      <c r="AL487" s="1123">
        <f t="shared" si="537"/>
        <v>47.417154457157174</v>
      </c>
      <c r="AM487" s="1120">
        <f t="shared" si="538"/>
        <v>1</v>
      </c>
      <c r="AN487" s="1120">
        <f t="shared" si="539"/>
        <v>1</v>
      </c>
      <c r="AO487" s="1120">
        <f t="shared" si="540"/>
        <v>1</v>
      </c>
      <c r="AP487" s="1120">
        <f t="shared" si="541"/>
        <v>1</v>
      </c>
      <c r="AQ487" s="1120">
        <f t="shared" si="542"/>
        <v>1</v>
      </c>
      <c r="AR487" s="1120">
        <f t="shared" si="543"/>
        <v>0</v>
      </c>
      <c r="AS487" s="1120">
        <f t="shared" si="544"/>
        <v>0</v>
      </c>
      <c r="AT487" s="1120">
        <f t="shared" si="545"/>
        <v>0</v>
      </c>
      <c r="AU487" s="1120">
        <f t="shared" si="546"/>
        <v>1</v>
      </c>
      <c r="AV487" s="1120">
        <f t="shared" si="547"/>
        <v>1</v>
      </c>
      <c r="AW487" s="1120">
        <f t="shared" si="548"/>
        <v>1</v>
      </c>
      <c r="AX487" s="1120">
        <f t="shared" si="549"/>
        <v>1</v>
      </c>
      <c r="AY487" s="1120">
        <f t="shared" si="550"/>
        <v>0</v>
      </c>
      <c r="AZ487" s="1120">
        <f t="shared" si="551"/>
        <v>0</v>
      </c>
      <c r="BA487" s="1120">
        <f t="shared" si="552"/>
        <v>0</v>
      </c>
      <c r="BB487" s="1120">
        <f t="shared" si="553"/>
        <v>0</v>
      </c>
      <c r="BC487" s="1120">
        <f t="shared" si="554"/>
        <v>0</v>
      </c>
      <c r="BD487" s="1120">
        <f t="shared" si="555"/>
        <v>1</v>
      </c>
      <c r="BE487" s="1120">
        <f t="shared" si="556"/>
        <v>1</v>
      </c>
      <c r="BF487" s="1120">
        <f t="shared" si="557"/>
        <v>1</v>
      </c>
      <c r="BG487" s="1120">
        <f t="shared" si="558"/>
        <v>0</v>
      </c>
      <c r="BH487" s="1120">
        <f t="shared" si="559"/>
        <v>0</v>
      </c>
      <c r="BI487" s="1120">
        <f t="shared" si="560"/>
        <v>0</v>
      </c>
      <c r="BJ487" s="1120">
        <f t="shared" si="561"/>
        <v>0</v>
      </c>
      <c r="BK487" s="1120">
        <f t="shared" si="562"/>
        <v>1</v>
      </c>
      <c r="BL487" s="1120">
        <f t="shared" si="563"/>
        <v>1</v>
      </c>
      <c r="BM487" s="1120">
        <f t="shared" si="564"/>
        <v>1</v>
      </c>
      <c r="BN487" s="1120">
        <f t="shared" si="565"/>
        <v>1</v>
      </c>
      <c r="BO487" s="1120">
        <f t="shared" si="566"/>
        <v>1</v>
      </c>
      <c r="BP487" s="1120">
        <f t="shared" si="567"/>
        <v>1</v>
      </c>
      <c r="BQ487" s="1120">
        <f t="shared" si="568"/>
        <v>0</v>
      </c>
      <c r="BR487" s="1120">
        <f t="shared" si="569"/>
        <v>0</v>
      </c>
      <c r="BS487" s="1120">
        <f t="shared" si="570"/>
        <v>1</v>
      </c>
      <c r="BT487" s="1120">
        <f t="shared" si="571"/>
        <v>1</v>
      </c>
      <c r="BU487" s="1120">
        <f t="shared" si="572"/>
        <v>1</v>
      </c>
      <c r="BV487" s="1120">
        <f t="shared" si="573"/>
        <v>1</v>
      </c>
      <c r="BW487" s="1120">
        <f t="shared" si="574"/>
        <v>0</v>
      </c>
      <c r="BX487" s="1120">
        <f t="shared" si="575"/>
        <v>0</v>
      </c>
      <c r="BY487" s="1120">
        <f t="shared" si="576"/>
        <v>0</v>
      </c>
      <c r="BZ487" s="1120">
        <f t="shared" si="577"/>
        <v>0</v>
      </c>
      <c r="CA487" s="1120">
        <f t="shared" si="578"/>
        <v>1</v>
      </c>
      <c r="CB487" s="1120">
        <f t="shared" si="579"/>
        <v>1</v>
      </c>
      <c r="CC487" s="1120">
        <f t="shared" si="580"/>
        <v>1</v>
      </c>
      <c r="CD487" s="1120">
        <f t="shared" si="581"/>
        <v>1</v>
      </c>
      <c r="CE487" s="1120">
        <f t="shared" si="582"/>
        <v>1</v>
      </c>
      <c r="CF487" s="1120">
        <f t="shared" si="583"/>
        <v>0</v>
      </c>
      <c r="CG487" s="1120">
        <f t="shared" si="584"/>
        <v>0</v>
      </c>
      <c r="CH487" s="1120">
        <f t="shared" si="585"/>
        <v>0</v>
      </c>
      <c r="CI487" s="1120">
        <f t="shared" si="586"/>
        <v>0.85</v>
      </c>
      <c r="CJ487" s="1120">
        <f t="shared" si="587"/>
        <v>0.85</v>
      </c>
      <c r="CK487" s="1120">
        <f t="shared" si="588"/>
        <v>0.85</v>
      </c>
      <c r="CL487" s="1120">
        <f t="shared" si="589"/>
        <v>0.85</v>
      </c>
      <c r="CM487" s="1120">
        <f t="shared" si="590"/>
        <v>0.85</v>
      </c>
      <c r="CN487" s="1120">
        <f t="shared" si="591"/>
        <v>0.85</v>
      </c>
      <c r="CO487" s="1120">
        <f t="shared" si="592"/>
        <v>0.7</v>
      </c>
      <c r="CP487" s="1120">
        <f t="shared" si="593"/>
        <v>0.7</v>
      </c>
      <c r="CQ487" s="1120">
        <f t="shared" si="594"/>
        <v>0.85</v>
      </c>
      <c r="CR487" s="1120">
        <f t="shared" si="595"/>
        <v>0.85</v>
      </c>
      <c r="CS487" s="1120">
        <f t="shared" si="596"/>
        <v>0.85</v>
      </c>
      <c r="CT487" s="1120">
        <f t="shared" si="597"/>
        <v>0.85</v>
      </c>
      <c r="CU487" s="1120">
        <v>1</v>
      </c>
      <c r="CV487" s="1120"/>
      <c r="CW487" s="1120">
        <f t="shared" si="598"/>
        <v>153</v>
      </c>
      <c r="CX487" s="1120">
        <f t="shared" si="599"/>
        <v>212</v>
      </c>
      <c r="CY487" s="1136" t="s">
        <v>4889</v>
      </c>
      <c r="CZ487" s="1129" t="s">
        <v>4899</v>
      </c>
      <c r="DA487" s="1129"/>
      <c r="DB487" s="1129"/>
      <c r="DC487" s="1125" t="s">
        <v>5676</v>
      </c>
      <c r="DD487" s="1125" t="s">
        <v>1278</v>
      </c>
      <c r="DE487" s="1120" t="str">
        <f t="shared" si="600"/>
        <v/>
      </c>
      <c r="DF487" s="1133">
        <v>0</v>
      </c>
      <c r="DG487" s="1125">
        <v>0</v>
      </c>
    </row>
    <row r="488" spans="1:111">
      <c r="A488" s="1120" t="s">
        <v>3733</v>
      </c>
      <c r="B488" s="1120" t="s">
        <v>4234</v>
      </c>
      <c r="C488" s="1120" t="s">
        <v>4235</v>
      </c>
      <c r="D488" s="1120" t="s">
        <v>427</v>
      </c>
      <c r="E488" s="1120">
        <v>2713</v>
      </c>
      <c r="F488" s="1120">
        <v>-118</v>
      </c>
      <c r="G488" s="1120">
        <v>45.28</v>
      </c>
      <c r="H488" s="1120">
        <v>-8</v>
      </c>
      <c r="I488" s="1121">
        <v>14.9</v>
      </c>
      <c r="J488" s="1121">
        <v>90.139998626708987</v>
      </c>
      <c r="K488" s="1122">
        <v>62.060001373291016</v>
      </c>
      <c r="L488" s="1120">
        <v>5936.4000000000005</v>
      </c>
      <c r="M488" s="1120">
        <v>414</v>
      </c>
      <c r="N488" s="1123">
        <v>32.540000021457672</v>
      </c>
      <c r="O488" s="1123">
        <v>34.880000042915341</v>
      </c>
      <c r="P488" s="1123">
        <v>42.259999656677245</v>
      </c>
      <c r="Q488" s="1123">
        <v>47.119999313354491</v>
      </c>
      <c r="R488" s="1123">
        <v>52.7</v>
      </c>
      <c r="S488" s="1123">
        <v>62.6</v>
      </c>
      <c r="T488" s="1123">
        <v>66.560001373291016</v>
      </c>
      <c r="U488" s="1123">
        <v>68.719999313354492</v>
      </c>
      <c r="V488" s="1123">
        <v>62.060001373291016</v>
      </c>
      <c r="W488" s="1123">
        <v>49.280000686645508</v>
      </c>
      <c r="X488" s="1123">
        <v>37.76000008583069</v>
      </c>
      <c r="Y488" s="1123">
        <v>33.440000021457671</v>
      </c>
      <c r="Z488" s="1123">
        <v>49.242027555165222</v>
      </c>
      <c r="AA488" s="1123">
        <f t="shared" si="526"/>
        <v>48.107659337278719</v>
      </c>
      <c r="AB488" s="1123">
        <f t="shared" si="527"/>
        <v>47.05781591914667</v>
      </c>
      <c r="AC488" s="1123">
        <f t="shared" si="528"/>
        <v>48.14131338646186</v>
      </c>
      <c r="AD488" s="1123">
        <f t="shared" si="529"/>
        <v>51.075721427167196</v>
      </c>
      <c r="AE488" s="1123">
        <f t="shared" si="530"/>
        <v>55.096141364856116</v>
      </c>
      <c r="AF488" s="1123">
        <f t="shared" si="531"/>
        <v>59.154588786223343</v>
      </c>
      <c r="AG488" s="1123">
        <f t="shared" si="532"/>
        <v>62.193166828321608</v>
      </c>
      <c r="AH488" s="1123">
        <f t="shared" si="533"/>
        <v>63.419823298572958</v>
      </c>
      <c r="AI488" s="1123">
        <f t="shared" si="534"/>
        <v>62.514811284657966</v>
      </c>
      <c r="AJ488" s="1123">
        <f t="shared" si="535"/>
        <v>59.714036114660885</v>
      </c>
      <c r="AK488" s="1123">
        <f t="shared" si="536"/>
        <v>55.74756299789329</v>
      </c>
      <c r="AL488" s="1123">
        <f t="shared" si="537"/>
        <v>51.649314277441633</v>
      </c>
      <c r="AM488" s="1120">
        <f t="shared" si="538"/>
        <v>1</v>
      </c>
      <c r="AN488" s="1120">
        <f t="shared" si="539"/>
        <v>1</v>
      </c>
      <c r="AO488" s="1120">
        <f t="shared" si="540"/>
        <v>1</v>
      </c>
      <c r="AP488" s="1120">
        <f t="shared" si="541"/>
        <v>1</v>
      </c>
      <c r="AQ488" s="1120">
        <f t="shared" si="542"/>
        <v>1</v>
      </c>
      <c r="AR488" s="1120">
        <f t="shared" si="543"/>
        <v>1</v>
      </c>
      <c r="AS488" s="1120">
        <f t="shared" si="544"/>
        <v>0</v>
      </c>
      <c r="AT488" s="1120">
        <f t="shared" si="545"/>
        <v>0</v>
      </c>
      <c r="AU488" s="1120">
        <f t="shared" si="546"/>
        <v>1</v>
      </c>
      <c r="AV488" s="1120">
        <f t="shared" si="547"/>
        <v>1</v>
      </c>
      <c r="AW488" s="1120">
        <f t="shared" si="548"/>
        <v>1</v>
      </c>
      <c r="AX488" s="1120">
        <f t="shared" si="549"/>
        <v>1</v>
      </c>
      <c r="AY488" s="1120">
        <f t="shared" si="550"/>
        <v>0</v>
      </c>
      <c r="AZ488" s="1120">
        <f t="shared" si="551"/>
        <v>0</v>
      </c>
      <c r="BA488" s="1120">
        <f t="shared" si="552"/>
        <v>0</v>
      </c>
      <c r="BB488" s="1120">
        <f t="shared" si="553"/>
        <v>0</v>
      </c>
      <c r="BC488" s="1120">
        <f t="shared" si="554"/>
        <v>0</v>
      </c>
      <c r="BD488" s="1120">
        <f t="shared" si="555"/>
        <v>0</v>
      </c>
      <c r="BE488" s="1120">
        <f t="shared" si="556"/>
        <v>1</v>
      </c>
      <c r="BF488" s="1120">
        <f t="shared" si="557"/>
        <v>1</v>
      </c>
      <c r="BG488" s="1120">
        <f t="shared" si="558"/>
        <v>0</v>
      </c>
      <c r="BH488" s="1120">
        <f t="shared" si="559"/>
        <v>0</v>
      </c>
      <c r="BI488" s="1120">
        <f t="shared" si="560"/>
        <v>0</v>
      </c>
      <c r="BJ488" s="1120">
        <f t="shared" si="561"/>
        <v>0</v>
      </c>
      <c r="BK488" s="1120">
        <f t="shared" si="562"/>
        <v>1</v>
      </c>
      <c r="BL488" s="1120">
        <f t="shared" si="563"/>
        <v>1</v>
      </c>
      <c r="BM488" s="1120">
        <f t="shared" si="564"/>
        <v>1</v>
      </c>
      <c r="BN488" s="1120">
        <f t="shared" si="565"/>
        <v>1</v>
      </c>
      <c r="BO488" s="1120">
        <f t="shared" si="566"/>
        <v>1</v>
      </c>
      <c r="BP488" s="1120">
        <f t="shared" si="567"/>
        <v>1</v>
      </c>
      <c r="BQ488" s="1120">
        <f t="shared" si="568"/>
        <v>1</v>
      </c>
      <c r="BR488" s="1120">
        <f t="shared" si="569"/>
        <v>0</v>
      </c>
      <c r="BS488" s="1120">
        <f t="shared" si="570"/>
        <v>1</v>
      </c>
      <c r="BT488" s="1120">
        <f t="shared" si="571"/>
        <v>1</v>
      </c>
      <c r="BU488" s="1120">
        <f t="shared" si="572"/>
        <v>1</v>
      </c>
      <c r="BV488" s="1120">
        <f t="shared" si="573"/>
        <v>1</v>
      </c>
      <c r="BW488" s="1120">
        <f t="shared" si="574"/>
        <v>0</v>
      </c>
      <c r="BX488" s="1120">
        <f t="shared" si="575"/>
        <v>0</v>
      </c>
      <c r="BY488" s="1120">
        <f t="shared" si="576"/>
        <v>0</v>
      </c>
      <c r="BZ488" s="1120">
        <f t="shared" si="577"/>
        <v>0</v>
      </c>
      <c r="CA488" s="1120">
        <f t="shared" si="578"/>
        <v>0</v>
      </c>
      <c r="CB488" s="1120">
        <f t="shared" si="579"/>
        <v>1</v>
      </c>
      <c r="CC488" s="1120">
        <f t="shared" si="580"/>
        <v>1</v>
      </c>
      <c r="CD488" s="1120">
        <f t="shared" si="581"/>
        <v>1</v>
      </c>
      <c r="CE488" s="1120">
        <f t="shared" si="582"/>
        <v>1</v>
      </c>
      <c r="CF488" s="1120">
        <f t="shared" si="583"/>
        <v>0</v>
      </c>
      <c r="CG488" s="1120">
        <f t="shared" si="584"/>
        <v>0</v>
      </c>
      <c r="CH488" s="1120">
        <f t="shared" si="585"/>
        <v>0</v>
      </c>
      <c r="CI488" s="1120">
        <f t="shared" si="586"/>
        <v>0.85</v>
      </c>
      <c r="CJ488" s="1120">
        <f t="shared" si="587"/>
        <v>0.85</v>
      </c>
      <c r="CK488" s="1120">
        <f t="shared" si="588"/>
        <v>0.85</v>
      </c>
      <c r="CL488" s="1120">
        <f t="shared" si="589"/>
        <v>0.85</v>
      </c>
      <c r="CM488" s="1120">
        <f t="shared" si="590"/>
        <v>0.85</v>
      </c>
      <c r="CN488" s="1120">
        <f t="shared" si="591"/>
        <v>0.85</v>
      </c>
      <c r="CO488" s="1120">
        <f t="shared" si="592"/>
        <v>0.85</v>
      </c>
      <c r="CP488" s="1120">
        <f t="shared" si="593"/>
        <v>0.7</v>
      </c>
      <c r="CQ488" s="1120">
        <f t="shared" si="594"/>
        <v>0.85</v>
      </c>
      <c r="CR488" s="1120">
        <f t="shared" si="595"/>
        <v>0.85</v>
      </c>
      <c r="CS488" s="1120">
        <f t="shared" si="596"/>
        <v>0.85</v>
      </c>
      <c r="CT488" s="1120">
        <f t="shared" si="597"/>
        <v>0.85</v>
      </c>
      <c r="CU488" s="1120">
        <v>1</v>
      </c>
      <c r="CV488" s="1120"/>
      <c r="CW488" s="1120">
        <f t="shared" si="598"/>
        <v>122</v>
      </c>
      <c r="CX488" s="1120">
        <f t="shared" si="599"/>
        <v>243</v>
      </c>
      <c r="CY488" s="1135" t="s">
        <v>4889</v>
      </c>
      <c r="CZ488" s="1124" t="s">
        <v>4890</v>
      </c>
      <c r="DA488" s="1124"/>
      <c r="DB488" s="1124"/>
      <c r="DC488" s="1120" t="s">
        <v>5520</v>
      </c>
      <c r="DD488" s="1120" t="s">
        <v>427</v>
      </c>
      <c r="DE488" s="1120" t="str">
        <f t="shared" si="600"/>
        <v/>
      </c>
      <c r="DF488" s="1133">
        <v>0</v>
      </c>
      <c r="DG488" s="1120">
        <v>0</v>
      </c>
    </row>
    <row r="489" spans="1:111">
      <c r="A489" s="1125" t="s">
        <v>3735</v>
      </c>
      <c r="B489" s="1120" t="s">
        <v>3234</v>
      </c>
      <c r="C489" s="1120" t="s">
        <v>3235</v>
      </c>
      <c r="D489" s="1120" t="s">
        <v>536</v>
      </c>
      <c r="E489" s="1120">
        <v>4202</v>
      </c>
      <c r="F489" s="1120">
        <v>-103.53</v>
      </c>
      <c r="G489" s="1120">
        <v>38.049999999999997</v>
      </c>
      <c r="H489" s="1120">
        <v>-7</v>
      </c>
      <c r="I489" s="1121">
        <v>7.1599996566772459</v>
      </c>
      <c r="J489" s="1121">
        <v>97.33999862670899</v>
      </c>
      <c r="K489" s="1122">
        <v>64.039998626708979</v>
      </c>
      <c r="L489" s="1120">
        <v>5193</v>
      </c>
      <c r="M489" s="1120">
        <v>1369.8</v>
      </c>
      <c r="N489" s="1123">
        <v>33.980000042915343</v>
      </c>
      <c r="O489" s="1123">
        <v>34.160000085830688</v>
      </c>
      <c r="P489" s="1123">
        <v>43.879999828338626</v>
      </c>
      <c r="Q489" s="1123">
        <v>52.340000343322757</v>
      </c>
      <c r="R489" s="1123">
        <v>61.339998626708983</v>
      </c>
      <c r="S489" s="1123">
        <v>73.400000000000006</v>
      </c>
      <c r="T489" s="1123">
        <v>79.880000686645502</v>
      </c>
      <c r="U489" s="1123">
        <v>76.819999313354487</v>
      </c>
      <c r="V489" s="1123">
        <v>65.3</v>
      </c>
      <c r="W489" s="1123">
        <v>54.5</v>
      </c>
      <c r="X489" s="1123">
        <v>44.420000171661378</v>
      </c>
      <c r="Y489" s="1123">
        <v>25.879999828338622</v>
      </c>
      <c r="Z489" s="1123">
        <v>53.931397167035982</v>
      </c>
      <c r="AA489" s="1123">
        <f t="shared" si="526"/>
        <v>47.685099884342456</v>
      </c>
      <c r="AB489" s="1123">
        <f t="shared" si="527"/>
        <v>46.49843687638446</v>
      </c>
      <c r="AC489" s="1123">
        <f t="shared" si="528"/>
        <v>48.813281976368948</v>
      </c>
      <c r="AD489" s="1123">
        <f t="shared" si="529"/>
        <v>54.026235136142169</v>
      </c>
      <c r="AE489" s="1123">
        <f t="shared" si="530"/>
        <v>60.778459780569342</v>
      </c>
      <c r="AF489" s="1123">
        <f t="shared" si="531"/>
        <v>67.309884501149043</v>
      </c>
      <c r="AG489" s="1123">
        <f t="shared" si="532"/>
        <v>71.917992792160504</v>
      </c>
      <c r="AH489" s="1123">
        <f t="shared" si="533"/>
        <v>73.401610214453271</v>
      </c>
      <c r="AI489" s="1123">
        <f t="shared" si="534"/>
        <v>71.374009023670212</v>
      </c>
      <c r="AJ489" s="1123">
        <f t="shared" si="535"/>
        <v>66.363714716469076</v>
      </c>
      <c r="AK489" s="1123">
        <f t="shared" si="536"/>
        <v>59.676737714994282</v>
      </c>
      <c r="AL489" s="1123">
        <f t="shared" si="537"/>
        <v>53.056141624115106</v>
      </c>
      <c r="AM489" s="1120">
        <f t="shared" si="538"/>
        <v>1</v>
      </c>
      <c r="AN489" s="1120">
        <f t="shared" si="539"/>
        <v>1</v>
      </c>
      <c r="AO489" s="1120">
        <f t="shared" si="540"/>
        <v>1</v>
      </c>
      <c r="AP489" s="1120">
        <f t="shared" si="541"/>
        <v>1</v>
      </c>
      <c r="AQ489" s="1120">
        <f t="shared" si="542"/>
        <v>1</v>
      </c>
      <c r="AR489" s="1120">
        <f t="shared" si="543"/>
        <v>0</v>
      </c>
      <c r="AS489" s="1120">
        <f t="shared" si="544"/>
        <v>0</v>
      </c>
      <c r="AT489" s="1120">
        <f t="shared" si="545"/>
        <v>0</v>
      </c>
      <c r="AU489" s="1120">
        <f t="shared" si="546"/>
        <v>1</v>
      </c>
      <c r="AV489" s="1120">
        <f t="shared" si="547"/>
        <v>1</v>
      </c>
      <c r="AW489" s="1120">
        <f t="shared" si="548"/>
        <v>1</v>
      </c>
      <c r="AX489" s="1120">
        <f t="shared" si="549"/>
        <v>1</v>
      </c>
      <c r="AY489" s="1120">
        <f t="shared" si="550"/>
        <v>0</v>
      </c>
      <c r="AZ489" s="1120">
        <f t="shared" si="551"/>
        <v>0</v>
      </c>
      <c r="BA489" s="1120">
        <f t="shared" si="552"/>
        <v>0</v>
      </c>
      <c r="BB489" s="1120">
        <f t="shared" si="553"/>
        <v>0</v>
      </c>
      <c r="BC489" s="1120">
        <f t="shared" si="554"/>
        <v>0</v>
      </c>
      <c r="BD489" s="1120">
        <f t="shared" si="555"/>
        <v>1</v>
      </c>
      <c r="BE489" s="1120">
        <f t="shared" si="556"/>
        <v>1</v>
      </c>
      <c r="BF489" s="1120">
        <f t="shared" si="557"/>
        <v>1</v>
      </c>
      <c r="BG489" s="1120">
        <f t="shared" si="558"/>
        <v>0</v>
      </c>
      <c r="BH489" s="1120">
        <f t="shared" si="559"/>
        <v>0</v>
      </c>
      <c r="BI489" s="1120">
        <f t="shared" si="560"/>
        <v>0</v>
      </c>
      <c r="BJ489" s="1120">
        <f t="shared" si="561"/>
        <v>0</v>
      </c>
      <c r="BK489" s="1120">
        <f t="shared" si="562"/>
        <v>1</v>
      </c>
      <c r="BL489" s="1120">
        <f t="shared" si="563"/>
        <v>1</v>
      </c>
      <c r="BM489" s="1120">
        <f t="shared" si="564"/>
        <v>1</v>
      </c>
      <c r="BN489" s="1120">
        <f t="shared" si="565"/>
        <v>1</v>
      </c>
      <c r="BO489" s="1120">
        <f t="shared" si="566"/>
        <v>1</v>
      </c>
      <c r="BP489" s="1120">
        <f t="shared" si="567"/>
        <v>1</v>
      </c>
      <c r="BQ489" s="1120">
        <f t="shared" si="568"/>
        <v>0</v>
      </c>
      <c r="BR489" s="1120">
        <f t="shared" si="569"/>
        <v>0</v>
      </c>
      <c r="BS489" s="1120">
        <f t="shared" si="570"/>
        <v>1</v>
      </c>
      <c r="BT489" s="1120">
        <f t="shared" si="571"/>
        <v>1</v>
      </c>
      <c r="BU489" s="1120">
        <f t="shared" si="572"/>
        <v>1</v>
      </c>
      <c r="BV489" s="1120">
        <f t="shared" si="573"/>
        <v>1</v>
      </c>
      <c r="BW489" s="1120">
        <f t="shared" si="574"/>
        <v>0</v>
      </c>
      <c r="BX489" s="1120">
        <f t="shared" si="575"/>
        <v>0</v>
      </c>
      <c r="BY489" s="1120">
        <f t="shared" si="576"/>
        <v>0</v>
      </c>
      <c r="BZ489" s="1120">
        <f t="shared" si="577"/>
        <v>0</v>
      </c>
      <c r="CA489" s="1120">
        <f t="shared" si="578"/>
        <v>1</v>
      </c>
      <c r="CB489" s="1120">
        <f t="shared" si="579"/>
        <v>1</v>
      </c>
      <c r="CC489" s="1120">
        <f t="shared" si="580"/>
        <v>1</v>
      </c>
      <c r="CD489" s="1120">
        <f t="shared" si="581"/>
        <v>1</v>
      </c>
      <c r="CE489" s="1120">
        <f t="shared" si="582"/>
        <v>1</v>
      </c>
      <c r="CF489" s="1120">
        <f t="shared" si="583"/>
        <v>0</v>
      </c>
      <c r="CG489" s="1120">
        <f t="shared" si="584"/>
        <v>0</v>
      </c>
      <c r="CH489" s="1120">
        <f t="shared" si="585"/>
        <v>0</v>
      </c>
      <c r="CI489" s="1120">
        <f t="shared" si="586"/>
        <v>0.85</v>
      </c>
      <c r="CJ489" s="1120">
        <f t="shared" si="587"/>
        <v>0.85</v>
      </c>
      <c r="CK489" s="1120">
        <f t="shared" si="588"/>
        <v>0.85</v>
      </c>
      <c r="CL489" s="1120">
        <f t="shared" si="589"/>
        <v>0.85</v>
      </c>
      <c r="CM489" s="1120">
        <f t="shared" si="590"/>
        <v>0.85</v>
      </c>
      <c r="CN489" s="1120">
        <f t="shared" si="591"/>
        <v>0.85</v>
      </c>
      <c r="CO489" s="1120">
        <f t="shared" si="592"/>
        <v>0.7</v>
      </c>
      <c r="CP489" s="1120">
        <f t="shared" si="593"/>
        <v>0.7</v>
      </c>
      <c r="CQ489" s="1120">
        <f t="shared" si="594"/>
        <v>0.85</v>
      </c>
      <c r="CR489" s="1120">
        <f t="shared" si="595"/>
        <v>0.85</v>
      </c>
      <c r="CS489" s="1120">
        <f t="shared" si="596"/>
        <v>0.85</v>
      </c>
      <c r="CT489" s="1120">
        <f t="shared" si="597"/>
        <v>0.85</v>
      </c>
      <c r="CU489" s="1120">
        <v>1</v>
      </c>
      <c r="CV489" s="1120"/>
      <c r="CW489" s="1120">
        <f t="shared" si="598"/>
        <v>153</v>
      </c>
      <c r="CX489" s="1120">
        <f t="shared" si="599"/>
        <v>212</v>
      </c>
      <c r="CY489" s="1135" t="s">
        <v>4891</v>
      </c>
      <c r="CZ489" s="1124" t="s">
        <v>4892</v>
      </c>
      <c r="DA489" s="1124"/>
      <c r="DB489" s="1124"/>
      <c r="DC489" s="1120" t="s">
        <v>5077</v>
      </c>
      <c r="DD489" s="1120" t="s">
        <v>536</v>
      </c>
      <c r="DE489" s="1120" t="str">
        <f t="shared" si="600"/>
        <v/>
      </c>
      <c r="DF489" s="1133">
        <v>1</v>
      </c>
      <c r="DG489" s="1125">
        <v>0</v>
      </c>
    </row>
    <row r="490" spans="1:111">
      <c r="A490" s="1120" t="s">
        <v>5862</v>
      </c>
      <c r="B490" s="1120" t="s">
        <v>5904</v>
      </c>
      <c r="C490" s="1120" t="s">
        <v>5905</v>
      </c>
      <c r="D490" s="1120" t="s">
        <v>1249</v>
      </c>
      <c r="E490" s="1120">
        <v>544</v>
      </c>
      <c r="F490" s="1120">
        <v>-71.42</v>
      </c>
      <c r="G490" s="1120">
        <v>43.57</v>
      </c>
      <c r="H490" s="1120">
        <v>-5</v>
      </c>
      <c r="I490" s="1121">
        <v>0.49999999999999922</v>
      </c>
      <c r="J490" s="1121">
        <v>84.2</v>
      </c>
      <c r="K490" s="1122">
        <v>68.900000000000006</v>
      </c>
      <c r="L490" s="1120">
        <v>6904.8</v>
      </c>
      <c r="M490" s="1120">
        <v>473.40000000000003</v>
      </c>
      <c r="N490" s="1123">
        <v>26.779999828338624</v>
      </c>
      <c r="O490" s="1123">
        <v>22.1</v>
      </c>
      <c r="P490" s="1123">
        <v>34.880000042915341</v>
      </c>
      <c r="Q490" s="1123">
        <v>41.179999828338623</v>
      </c>
      <c r="R490" s="1123">
        <v>53.780000686645508</v>
      </c>
      <c r="S490" s="1123">
        <v>67.819999313354487</v>
      </c>
      <c r="T490" s="1123">
        <v>69.619999313354498</v>
      </c>
      <c r="U490" s="1123">
        <v>66.560001373291016</v>
      </c>
      <c r="V490" s="1123">
        <v>59</v>
      </c>
      <c r="W490" s="1123">
        <v>46.040000343322752</v>
      </c>
      <c r="X490" s="1123">
        <v>41.720000171661376</v>
      </c>
      <c r="Y490" s="1123">
        <v>30.559999978542329</v>
      </c>
      <c r="Z490" s="1123">
        <v>46.808821994409172</v>
      </c>
      <c r="AA490" s="1123">
        <f t="shared" si="526"/>
        <v>44.158682628530919</v>
      </c>
      <c r="AB490" s="1123">
        <f t="shared" si="527"/>
        <v>42.644676432383768</v>
      </c>
      <c r="AC490" s="1123">
        <f t="shared" si="528"/>
        <v>43.780111411202938</v>
      </c>
      <c r="AD490" s="1123">
        <f t="shared" si="529"/>
        <v>47.269018940176522</v>
      </c>
      <c r="AE490" s="1123">
        <f t="shared" si="530"/>
        <v>52.201961506185071</v>
      </c>
      <c r="AF490" s="1123">
        <f t="shared" si="531"/>
        <v>57.293091610452443</v>
      </c>
      <c r="AG490" s="1123">
        <f t="shared" si="532"/>
        <v>61.21532773461157</v>
      </c>
      <c r="AH490" s="1123">
        <f t="shared" si="533"/>
        <v>62.946278589412088</v>
      </c>
      <c r="AI490" s="1123">
        <f t="shared" si="534"/>
        <v>62.034745159790148</v>
      </c>
      <c r="AJ490" s="1123">
        <f t="shared" si="535"/>
        <v>58.718332681332051</v>
      </c>
      <c r="AK490" s="1123">
        <f t="shared" si="536"/>
        <v>53.861515174011203</v>
      </c>
      <c r="AL490" s="1123">
        <f t="shared" si="537"/>
        <v>48.730296966934134</v>
      </c>
      <c r="AM490" s="1120">
        <f t="shared" si="538"/>
        <v>1</v>
      </c>
      <c r="AN490" s="1120">
        <f t="shared" si="539"/>
        <v>1</v>
      </c>
      <c r="AO490" s="1120">
        <f t="shared" si="540"/>
        <v>1</v>
      </c>
      <c r="AP490" s="1120">
        <f t="shared" si="541"/>
        <v>1</v>
      </c>
      <c r="AQ490" s="1120">
        <f t="shared" si="542"/>
        <v>1</v>
      </c>
      <c r="AR490" s="1120">
        <f t="shared" si="543"/>
        <v>0</v>
      </c>
      <c r="AS490" s="1120">
        <f t="shared" si="544"/>
        <v>0</v>
      </c>
      <c r="AT490" s="1120">
        <f t="shared" si="545"/>
        <v>0</v>
      </c>
      <c r="AU490" s="1120">
        <f t="shared" si="546"/>
        <v>1</v>
      </c>
      <c r="AV490" s="1120">
        <f t="shared" si="547"/>
        <v>1</v>
      </c>
      <c r="AW490" s="1120">
        <f t="shared" si="548"/>
        <v>1</v>
      </c>
      <c r="AX490" s="1120">
        <f t="shared" si="549"/>
        <v>1</v>
      </c>
      <c r="AY490" s="1120">
        <f t="shared" si="550"/>
        <v>0</v>
      </c>
      <c r="AZ490" s="1120">
        <f t="shared" si="551"/>
        <v>0</v>
      </c>
      <c r="BA490" s="1120">
        <f t="shared" si="552"/>
        <v>0</v>
      </c>
      <c r="BB490" s="1120">
        <f t="shared" si="553"/>
        <v>0</v>
      </c>
      <c r="BC490" s="1120">
        <f t="shared" si="554"/>
        <v>0</v>
      </c>
      <c r="BD490" s="1120">
        <f t="shared" si="555"/>
        <v>1</v>
      </c>
      <c r="BE490" s="1120">
        <f t="shared" si="556"/>
        <v>1</v>
      </c>
      <c r="BF490" s="1120">
        <f t="shared" si="557"/>
        <v>1</v>
      </c>
      <c r="BG490" s="1120">
        <f t="shared" si="558"/>
        <v>0</v>
      </c>
      <c r="BH490" s="1120">
        <f t="shared" si="559"/>
        <v>0</v>
      </c>
      <c r="BI490" s="1120">
        <f t="shared" si="560"/>
        <v>0</v>
      </c>
      <c r="BJ490" s="1120">
        <f t="shared" si="561"/>
        <v>0</v>
      </c>
      <c r="BK490" s="1120">
        <f t="shared" si="562"/>
        <v>1</v>
      </c>
      <c r="BL490" s="1120">
        <f t="shared" si="563"/>
        <v>1</v>
      </c>
      <c r="BM490" s="1120">
        <f t="shared" si="564"/>
        <v>1</v>
      </c>
      <c r="BN490" s="1120">
        <f t="shared" si="565"/>
        <v>1</v>
      </c>
      <c r="BO490" s="1120">
        <f t="shared" si="566"/>
        <v>1</v>
      </c>
      <c r="BP490" s="1120">
        <f t="shared" si="567"/>
        <v>1</v>
      </c>
      <c r="BQ490" s="1120">
        <f t="shared" si="568"/>
        <v>0</v>
      </c>
      <c r="BR490" s="1120">
        <f t="shared" si="569"/>
        <v>0</v>
      </c>
      <c r="BS490" s="1120">
        <f t="shared" si="570"/>
        <v>1</v>
      </c>
      <c r="BT490" s="1120">
        <f t="shared" si="571"/>
        <v>1</v>
      </c>
      <c r="BU490" s="1120">
        <f t="shared" si="572"/>
        <v>1</v>
      </c>
      <c r="BV490" s="1120">
        <f t="shared" si="573"/>
        <v>1</v>
      </c>
      <c r="BW490" s="1120">
        <f t="shared" si="574"/>
        <v>0</v>
      </c>
      <c r="BX490" s="1120">
        <f t="shared" si="575"/>
        <v>0</v>
      </c>
      <c r="BY490" s="1120">
        <f t="shared" si="576"/>
        <v>0</v>
      </c>
      <c r="BZ490" s="1120">
        <f t="shared" si="577"/>
        <v>0</v>
      </c>
      <c r="CA490" s="1120">
        <f t="shared" si="578"/>
        <v>1</v>
      </c>
      <c r="CB490" s="1120">
        <f t="shared" si="579"/>
        <v>1</v>
      </c>
      <c r="CC490" s="1120">
        <f t="shared" si="580"/>
        <v>1</v>
      </c>
      <c r="CD490" s="1120">
        <f t="shared" si="581"/>
        <v>1</v>
      </c>
      <c r="CE490" s="1120">
        <f t="shared" si="582"/>
        <v>1</v>
      </c>
      <c r="CF490" s="1120">
        <f t="shared" si="583"/>
        <v>0</v>
      </c>
      <c r="CG490" s="1120">
        <f t="shared" si="584"/>
        <v>0</v>
      </c>
      <c r="CH490" s="1120">
        <f t="shared" si="585"/>
        <v>0</v>
      </c>
      <c r="CI490" s="1120">
        <f t="shared" si="586"/>
        <v>0.85</v>
      </c>
      <c r="CJ490" s="1120">
        <f t="shared" si="587"/>
        <v>0.85</v>
      </c>
      <c r="CK490" s="1120">
        <f t="shared" si="588"/>
        <v>0.85</v>
      </c>
      <c r="CL490" s="1120">
        <f t="shared" si="589"/>
        <v>0.85</v>
      </c>
      <c r="CM490" s="1120">
        <f t="shared" si="590"/>
        <v>0.85</v>
      </c>
      <c r="CN490" s="1120">
        <f t="shared" si="591"/>
        <v>0.85</v>
      </c>
      <c r="CO490" s="1120">
        <f t="shared" si="592"/>
        <v>0.7</v>
      </c>
      <c r="CP490" s="1120">
        <f t="shared" si="593"/>
        <v>0.7</v>
      </c>
      <c r="CQ490" s="1120">
        <f t="shared" si="594"/>
        <v>0.85</v>
      </c>
      <c r="CR490" s="1120">
        <f t="shared" si="595"/>
        <v>0.85</v>
      </c>
      <c r="CS490" s="1120">
        <f t="shared" si="596"/>
        <v>0.85</v>
      </c>
      <c r="CT490" s="1120">
        <f t="shared" si="597"/>
        <v>0.85</v>
      </c>
      <c r="CU490" s="1120">
        <v>1</v>
      </c>
      <c r="CV490" s="1120"/>
      <c r="CW490" s="1120">
        <f t="shared" si="598"/>
        <v>153</v>
      </c>
      <c r="CX490" s="1120">
        <f t="shared" si="599"/>
        <v>212</v>
      </c>
      <c r="CY490" s="1135" t="s">
        <v>4889</v>
      </c>
      <c r="CZ490" s="1124" t="s">
        <v>4899</v>
      </c>
      <c r="DA490" s="1124"/>
      <c r="DB490" s="1124"/>
      <c r="DC490" s="1120" t="s">
        <v>5773</v>
      </c>
      <c r="DD490" s="1120" t="s">
        <v>1249</v>
      </c>
      <c r="DE490" s="1120" t="str">
        <f t="shared" si="600"/>
        <v/>
      </c>
      <c r="DF490" s="1133">
        <v>0</v>
      </c>
      <c r="DG490" s="1120">
        <v>0</v>
      </c>
    </row>
    <row r="491" spans="1:111">
      <c r="A491" s="1125" t="s">
        <v>3737</v>
      </c>
      <c r="B491" s="1125" t="s">
        <v>3543</v>
      </c>
      <c r="C491" s="1125" t="s">
        <v>3544</v>
      </c>
      <c r="D491" s="1125" t="s">
        <v>283</v>
      </c>
      <c r="E491" s="1125">
        <v>600</v>
      </c>
      <c r="F491" s="1125">
        <v>-86.93</v>
      </c>
      <c r="G491" s="1125">
        <v>40.42</v>
      </c>
      <c r="H491" s="1125">
        <v>-5</v>
      </c>
      <c r="I491" s="1126">
        <v>4.0999999999999996</v>
      </c>
      <c r="J491" s="1126">
        <v>89.960001373291021</v>
      </c>
      <c r="K491" s="1127">
        <v>74.480000686645511</v>
      </c>
      <c r="L491" s="1125">
        <v>5751</v>
      </c>
      <c r="M491" s="1125">
        <v>1035</v>
      </c>
      <c r="N491" s="1128">
        <v>26.420000171661378</v>
      </c>
      <c r="O491" s="1128">
        <v>27.139999914169312</v>
      </c>
      <c r="P491" s="1128">
        <v>44.420000171661378</v>
      </c>
      <c r="Q491" s="1128">
        <v>54.680000686645506</v>
      </c>
      <c r="R491" s="1128">
        <v>60.980000686645511</v>
      </c>
      <c r="S491" s="1128">
        <v>70.16000137329101</v>
      </c>
      <c r="T491" s="1128">
        <v>75.2</v>
      </c>
      <c r="U491" s="1128">
        <v>73.580000686645505</v>
      </c>
      <c r="V491" s="1128">
        <v>65.3</v>
      </c>
      <c r="W491" s="1128">
        <v>53.780000686645508</v>
      </c>
      <c r="X491" s="1128">
        <v>46.220000171661376</v>
      </c>
      <c r="Y491" s="1128">
        <v>18.679999828338623</v>
      </c>
      <c r="Z491" s="1128">
        <v>51.494740092395105</v>
      </c>
      <c r="AA491" s="1128">
        <f t="shared" si="526"/>
        <v>45.548446653151217</v>
      </c>
      <c r="AB491" s="1128">
        <f t="shared" si="527"/>
        <v>44.085093951145268</v>
      </c>
      <c r="AC491" s="1128">
        <f t="shared" si="528"/>
        <v>46.11717216475833</v>
      </c>
      <c r="AD491" s="1128">
        <f t="shared" si="529"/>
        <v>51.114988792338998</v>
      </c>
      <c r="AE491" s="1128">
        <f t="shared" si="530"/>
        <v>57.775785911222783</v>
      </c>
      <c r="AF491" s="1128">
        <f t="shared" si="531"/>
        <v>64.363324106381967</v>
      </c>
      <c r="AG491" s="1128">
        <f t="shared" si="532"/>
        <v>69.160460030211823</v>
      </c>
      <c r="AH491" s="1128">
        <f t="shared" si="533"/>
        <v>70.916746278063798</v>
      </c>
      <c r="AI491" s="1128">
        <f t="shared" si="534"/>
        <v>69.174379774244926</v>
      </c>
      <c r="AJ491" s="1128">
        <f t="shared" si="535"/>
        <v>64.387535198656195</v>
      </c>
      <c r="AK491" s="1128">
        <f t="shared" si="536"/>
        <v>57.803977357432629</v>
      </c>
      <c r="AL491" s="1128">
        <f t="shared" si="537"/>
        <v>51.139812057586532</v>
      </c>
      <c r="AM491" s="1125">
        <f t="shared" si="538"/>
        <v>1</v>
      </c>
      <c r="AN491" s="1125">
        <f t="shared" si="539"/>
        <v>1</v>
      </c>
      <c r="AO491" s="1125">
        <f t="shared" si="540"/>
        <v>1</v>
      </c>
      <c r="AP491" s="1125">
        <f t="shared" si="541"/>
        <v>1</v>
      </c>
      <c r="AQ491" s="1125">
        <f t="shared" si="542"/>
        <v>1</v>
      </c>
      <c r="AR491" s="1125">
        <f t="shared" si="543"/>
        <v>0</v>
      </c>
      <c r="AS491" s="1125">
        <f t="shared" si="544"/>
        <v>0</v>
      </c>
      <c r="AT491" s="1125">
        <f t="shared" si="545"/>
        <v>0</v>
      </c>
      <c r="AU491" s="1125">
        <f t="shared" si="546"/>
        <v>1</v>
      </c>
      <c r="AV491" s="1125">
        <f t="shared" si="547"/>
        <v>1</v>
      </c>
      <c r="AW491" s="1125">
        <f t="shared" si="548"/>
        <v>1</v>
      </c>
      <c r="AX491" s="1125">
        <f t="shared" si="549"/>
        <v>1</v>
      </c>
      <c r="AY491" s="1125">
        <f t="shared" si="550"/>
        <v>0</v>
      </c>
      <c r="AZ491" s="1125">
        <f t="shared" si="551"/>
        <v>0</v>
      </c>
      <c r="BA491" s="1125">
        <f t="shared" si="552"/>
        <v>0</v>
      </c>
      <c r="BB491" s="1125">
        <f t="shared" si="553"/>
        <v>0</v>
      </c>
      <c r="BC491" s="1125">
        <f t="shared" si="554"/>
        <v>0</v>
      </c>
      <c r="BD491" s="1125">
        <f t="shared" si="555"/>
        <v>1</v>
      </c>
      <c r="BE491" s="1125">
        <f t="shared" si="556"/>
        <v>1</v>
      </c>
      <c r="BF491" s="1125">
        <f t="shared" si="557"/>
        <v>1</v>
      </c>
      <c r="BG491" s="1125">
        <f t="shared" si="558"/>
        <v>0</v>
      </c>
      <c r="BH491" s="1125">
        <f t="shared" si="559"/>
        <v>0</v>
      </c>
      <c r="BI491" s="1125">
        <f t="shared" si="560"/>
        <v>0</v>
      </c>
      <c r="BJ491" s="1125">
        <f t="shared" si="561"/>
        <v>0</v>
      </c>
      <c r="BK491" s="1125">
        <f t="shared" si="562"/>
        <v>1</v>
      </c>
      <c r="BL491" s="1125">
        <f t="shared" si="563"/>
        <v>1</v>
      </c>
      <c r="BM491" s="1125">
        <f t="shared" si="564"/>
        <v>1</v>
      </c>
      <c r="BN491" s="1125">
        <f t="shared" si="565"/>
        <v>1</v>
      </c>
      <c r="BO491" s="1125">
        <f t="shared" si="566"/>
        <v>1</v>
      </c>
      <c r="BP491" s="1125">
        <f t="shared" si="567"/>
        <v>1</v>
      </c>
      <c r="BQ491" s="1125">
        <f t="shared" si="568"/>
        <v>0</v>
      </c>
      <c r="BR491" s="1125">
        <f t="shared" si="569"/>
        <v>0</v>
      </c>
      <c r="BS491" s="1125">
        <f t="shared" si="570"/>
        <v>1</v>
      </c>
      <c r="BT491" s="1125">
        <f t="shared" si="571"/>
        <v>1</v>
      </c>
      <c r="BU491" s="1125">
        <f t="shared" si="572"/>
        <v>1</v>
      </c>
      <c r="BV491" s="1125">
        <f t="shared" si="573"/>
        <v>1</v>
      </c>
      <c r="BW491" s="1125">
        <f t="shared" si="574"/>
        <v>0</v>
      </c>
      <c r="BX491" s="1125">
        <f t="shared" si="575"/>
        <v>0</v>
      </c>
      <c r="BY491" s="1125">
        <f t="shared" si="576"/>
        <v>0</v>
      </c>
      <c r="BZ491" s="1125">
        <f t="shared" si="577"/>
        <v>0</v>
      </c>
      <c r="CA491" s="1125">
        <f t="shared" si="578"/>
        <v>1</v>
      </c>
      <c r="CB491" s="1125">
        <f t="shared" si="579"/>
        <v>1</v>
      </c>
      <c r="CC491" s="1125">
        <f t="shared" si="580"/>
        <v>1</v>
      </c>
      <c r="CD491" s="1125">
        <f t="shared" si="581"/>
        <v>1</v>
      </c>
      <c r="CE491" s="1125">
        <f t="shared" si="582"/>
        <v>1</v>
      </c>
      <c r="CF491" s="1125">
        <f t="shared" si="583"/>
        <v>0</v>
      </c>
      <c r="CG491" s="1125">
        <f t="shared" si="584"/>
        <v>0</v>
      </c>
      <c r="CH491" s="1125">
        <f t="shared" si="585"/>
        <v>0</v>
      </c>
      <c r="CI491" s="1125">
        <f t="shared" si="586"/>
        <v>0.85</v>
      </c>
      <c r="CJ491" s="1125">
        <f t="shared" si="587"/>
        <v>0.85</v>
      </c>
      <c r="CK491" s="1125">
        <f t="shared" si="588"/>
        <v>0.85</v>
      </c>
      <c r="CL491" s="1125">
        <f t="shared" si="589"/>
        <v>0.85</v>
      </c>
      <c r="CM491" s="1125">
        <f t="shared" si="590"/>
        <v>0.85</v>
      </c>
      <c r="CN491" s="1125">
        <f t="shared" si="591"/>
        <v>0.85</v>
      </c>
      <c r="CO491" s="1125">
        <f t="shared" si="592"/>
        <v>0.7</v>
      </c>
      <c r="CP491" s="1125">
        <f t="shared" si="593"/>
        <v>0.7</v>
      </c>
      <c r="CQ491" s="1125">
        <f t="shared" si="594"/>
        <v>0.85</v>
      </c>
      <c r="CR491" s="1125">
        <f t="shared" si="595"/>
        <v>0.85</v>
      </c>
      <c r="CS491" s="1125">
        <f t="shared" si="596"/>
        <v>0.85</v>
      </c>
      <c r="CT491" s="1125">
        <f t="shared" si="597"/>
        <v>0.85</v>
      </c>
      <c r="CU491" s="1125">
        <v>1</v>
      </c>
      <c r="CV491" s="1125"/>
      <c r="CW491" s="1125">
        <f t="shared" si="598"/>
        <v>153</v>
      </c>
      <c r="CX491" s="1125">
        <f t="shared" si="599"/>
        <v>212</v>
      </c>
      <c r="CY491" s="1136" t="s">
        <v>4889</v>
      </c>
      <c r="CZ491" s="1129" t="s">
        <v>4897</v>
      </c>
      <c r="DA491" s="1129"/>
      <c r="DB491" s="1129"/>
      <c r="DC491" s="1125" t="s">
        <v>5222</v>
      </c>
      <c r="DD491" s="1125" t="s">
        <v>283</v>
      </c>
      <c r="DE491" s="1120" t="str">
        <f t="shared" si="600"/>
        <v/>
      </c>
      <c r="DF491" s="1133">
        <v>0</v>
      </c>
      <c r="DG491" s="1125">
        <v>0</v>
      </c>
    </row>
    <row r="492" spans="1:111">
      <c r="A492" s="1120" t="s">
        <v>3739</v>
      </c>
      <c r="B492" s="1120" t="s">
        <v>3627</v>
      </c>
      <c r="C492" s="1120" t="s">
        <v>3628</v>
      </c>
      <c r="D492" s="1120" t="s">
        <v>591</v>
      </c>
      <c r="E492" s="1120">
        <v>39</v>
      </c>
      <c r="F492" s="1120">
        <v>-91.98</v>
      </c>
      <c r="G492" s="1120">
        <v>30.2</v>
      </c>
      <c r="H492" s="1120">
        <v>-6</v>
      </c>
      <c r="I492" s="1121">
        <v>32.360000005364419</v>
      </c>
      <c r="J492" s="1121">
        <v>92.660001373291024</v>
      </c>
      <c r="K492" s="1122">
        <v>77.719999313354492</v>
      </c>
      <c r="L492" s="1120">
        <v>1530</v>
      </c>
      <c r="M492" s="1120">
        <v>2678.4</v>
      </c>
      <c r="N492" s="1123">
        <v>56.3</v>
      </c>
      <c r="O492" s="1123">
        <v>50.540000343322752</v>
      </c>
      <c r="P492" s="1123">
        <v>57.019999313354489</v>
      </c>
      <c r="Q492" s="1123">
        <v>66.019999313354489</v>
      </c>
      <c r="R492" s="1123">
        <v>74.83999862670899</v>
      </c>
      <c r="S492" s="1123">
        <v>77.360001373291013</v>
      </c>
      <c r="T492" s="1123">
        <v>81.139998626708987</v>
      </c>
      <c r="U492" s="1123">
        <v>83.119999313354498</v>
      </c>
      <c r="V492" s="1123">
        <v>78.260001373291018</v>
      </c>
      <c r="W492" s="1123">
        <v>68.360001373291013</v>
      </c>
      <c r="X492" s="1123">
        <v>63.86000137329102</v>
      </c>
      <c r="Y492" s="1123">
        <v>52.519999313354489</v>
      </c>
      <c r="Z492" s="1123">
        <v>67.54087672925975</v>
      </c>
      <c r="AA492" s="1123">
        <f t="shared" si="526"/>
        <v>63.390676020730226</v>
      </c>
      <c r="AB492" s="1123">
        <f t="shared" si="527"/>
        <v>63.712495460096086</v>
      </c>
      <c r="AC492" s="1123">
        <f t="shared" si="528"/>
        <v>66.596233937209462</v>
      </c>
      <c r="AD492" s="1123">
        <f t="shared" si="529"/>
        <v>71.29020057825565</v>
      </c>
      <c r="AE492" s="1123">
        <f t="shared" si="530"/>
        <v>76.570840642030419</v>
      </c>
      <c r="AF492" s="1123">
        <f t="shared" si="531"/>
        <v>81.061673918784223</v>
      </c>
      <c r="AG492" s="1123">
        <f t="shared" si="532"/>
        <v>83.592095509095543</v>
      </c>
      <c r="AH492" s="1123">
        <f t="shared" si="533"/>
        <v>83.502512030472673</v>
      </c>
      <c r="AI492" s="1123">
        <f t="shared" si="534"/>
        <v>80.816274797141844</v>
      </c>
      <c r="AJ492" s="1123">
        <f t="shared" si="535"/>
        <v>76.233592940139573</v>
      </c>
      <c r="AK492" s="1123">
        <f t="shared" si="536"/>
        <v>70.949013106758585</v>
      </c>
      <c r="AL492" s="1123">
        <f t="shared" si="537"/>
        <v>66.340042468409962</v>
      </c>
      <c r="AM492" s="1120">
        <f t="shared" si="538"/>
        <v>1</v>
      </c>
      <c r="AN492" s="1120">
        <f t="shared" si="539"/>
        <v>1</v>
      </c>
      <c r="AO492" s="1120">
        <f t="shared" si="540"/>
        <v>1</v>
      </c>
      <c r="AP492" s="1120">
        <f t="shared" si="541"/>
        <v>0</v>
      </c>
      <c r="AQ492" s="1120">
        <f t="shared" si="542"/>
        <v>0</v>
      </c>
      <c r="AR492" s="1120">
        <f t="shared" si="543"/>
        <v>0</v>
      </c>
      <c r="AS492" s="1120">
        <f t="shared" si="544"/>
        <v>0</v>
      </c>
      <c r="AT492" s="1120">
        <f t="shared" si="545"/>
        <v>0</v>
      </c>
      <c r="AU492" s="1120">
        <f t="shared" si="546"/>
        <v>0</v>
      </c>
      <c r="AV492" s="1120">
        <f t="shared" si="547"/>
        <v>0</v>
      </c>
      <c r="AW492" s="1120">
        <f t="shared" si="548"/>
        <v>1</v>
      </c>
      <c r="AX492" s="1120">
        <f t="shared" si="549"/>
        <v>1</v>
      </c>
      <c r="AY492" s="1120">
        <f t="shared" si="550"/>
        <v>0</v>
      </c>
      <c r="AZ492" s="1120">
        <f t="shared" si="551"/>
        <v>0</v>
      </c>
      <c r="BA492" s="1120">
        <f t="shared" si="552"/>
        <v>0</v>
      </c>
      <c r="BB492" s="1120">
        <f t="shared" si="553"/>
        <v>1</v>
      </c>
      <c r="BC492" s="1120">
        <f t="shared" si="554"/>
        <v>1</v>
      </c>
      <c r="BD492" s="1120">
        <f t="shared" si="555"/>
        <v>1</v>
      </c>
      <c r="BE492" s="1120">
        <f t="shared" si="556"/>
        <v>1</v>
      </c>
      <c r="BF492" s="1120">
        <f t="shared" si="557"/>
        <v>1</v>
      </c>
      <c r="BG492" s="1120">
        <f t="shared" si="558"/>
        <v>1</v>
      </c>
      <c r="BH492" s="1120">
        <f t="shared" si="559"/>
        <v>1</v>
      </c>
      <c r="BI492" s="1120">
        <f t="shared" si="560"/>
        <v>0</v>
      </c>
      <c r="BJ492" s="1120">
        <f t="shared" si="561"/>
        <v>0</v>
      </c>
      <c r="BK492" s="1120">
        <f t="shared" si="562"/>
        <v>1</v>
      </c>
      <c r="BL492" s="1120">
        <f t="shared" si="563"/>
        <v>1</v>
      </c>
      <c r="BM492" s="1120">
        <f t="shared" si="564"/>
        <v>1</v>
      </c>
      <c r="BN492" s="1120">
        <f t="shared" si="565"/>
        <v>1</v>
      </c>
      <c r="BO492" s="1120">
        <f t="shared" si="566"/>
        <v>0</v>
      </c>
      <c r="BP492" s="1120">
        <f t="shared" si="567"/>
        <v>0</v>
      </c>
      <c r="BQ492" s="1120">
        <f t="shared" si="568"/>
        <v>0</v>
      </c>
      <c r="BR492" s="1120">
        <f t="shared" si="569"/>
        <v>0</v>
      </c>
      <c r="BS492" s="1120">
        <f t="shared" si="570"/>
        <v>0</v>
      </c>
      <c r="BT492" s="1120">
        <f t="shared" si="571"/>
        <v>0</v>
      </c>
      <c r="BU492" s="1120">
        <f t="shared" si="572"/>
        <v>1</v>
      </c>
      <c r="BV492" s="1120">
        <f t="shared" si="573"/>
        <v>1</v>
      </c>
      <c r="BW492" s="1120">
        <f t="shared" si="574"/>
        <v>0</v>
      </c>
      <c r="BX492" s="1120">
        <f t="shared" si="575"/>
        <v>0</v>
      </c>
      <c r="BY492" s="1120">
        <f t="shared" si="576"/>
        <v>1</v>
      </c>
      <c r="BZ492" s="1120">
        <f t="shared" si="577"/>
        <v>1</v>
      </c>
      <c r="CA492" s="1120">
        <f t="shared" si="578"/>
        <v>1</v>
      </c>
      <c r="CB492" s="1120">
        <f t="shared" si="579"/>
        <v>1</v>
      </c>
      <c r="CC492" s="1120">
        <f t="shared" si="580"/>
        <v>1</v>
      </c>
      <c r="CD492" s="1120">
        <f t="shared" si="581"/>
        <v>1</v>
      </c>
      <c r="CE492" s="1120">
        <f t="shared" si="582"/>
        <v>1</v>
      </c>
      <c r="CF492" s="1120">
        <f t="shared" si="583"/>
        <v>1</v>
      </c>
      <c r="CG492" s="1120">
        <f t="shared" si="584"/>
        <v>1</v>
      </c>
      <c r="CH492" s="1120">
        <f t="shared" si="585"/>
        <v>0</v>
      </c>
      <c r="CI492" s="1120">
        <f t="shared" si="586"/>
        <v>0.85</v>
      </c>
      <c r="CJ492" s="1120">
        <f t="shared" si="587"/>
        <v>0.85</v>
      </c>
      <c r="CK492" s="1120">
        <f t="shared" si="588"/>
        <v>0.85</v>
      </c>
      <c r="CL492" s="1120">
        <f t="shared" si="589"/>
        <v>0.85</v>
      </c>
      <c r="CM492" s="1120">
        <f t="shared" si="590"/>
        <v>0.7</v>
      </c>
      <c r="CN492" s="1120">
        <f t="shared" si="591"/>
        <v>0.7</v>
      </c>
      <c r="CO492" s="1120">
        <f t="shared" si="592"/>
        <v>0.7</v>
      </c>
      <c r="CP492" s="1120">
        <f t="shared" si="593"/>
        <v>0.7</v>
      </c>
      <c r="CQ492" s="1120">
        <f t="shared" si="594"/>
        <v>0.7</v>
      </c>
      <c r="CR492" s="1120">
        <f t="shared" si="595"/>
        <v>0.7</v>
      </c>
      <c r="CS492" s="1120">
        <f t="shared" si="596"/>
        <v>0.85</v>
      </c>
      <c r="CT492" s="1120">
        <f t="shared" si="597"/>
        <v>0.85</v>
      </c>
      <c r="CU492" s="1120">
        <v>1</v>
      </c>
      <c r="CV492" s="1120"/>
      <c r="CW492" s="1120">
        <f t="shared" si="598"/>
        <v>275</v>
      </c>
      <c r="CX492" s="1120">
        <f t="shared" si="599"/>
        <v>90</v>
      </c>
      <c r="CY492" s="1135" t="s">
        <v>4883</v>
      </c>
      <c r="CZ492" s="1124" t="s">
        <v>4884</v>
      </c>
      <c r="DA492" s="1124"/>
      <c r="DB492" s="1124"/>
      <c r="DC492" s="1120" t="s">
        <v>5254</v>
      </c>
      <c r="DD492" s="1120" t="s">
        <v>591</v>
      </c>
      <c r="DE492" s="1120" t="str">
        <f t="shared" si="600"/>
        <v/>
      </c>
      <c r="DF492" s="1133">
        <v>0</v>
      </c>
      <c r="DG492" s="1120">
        <v>0</v>
      </c>
    </row>
    <row r="493" spans="1:111">
      <c r="A493" s="1125" t="s">
        <v>3741</v>
      </c>
      <c r="B493" s="1125" t="s">
        <v>3631</v>
      </c>
      <c r="C493" s="1125" t="s">
        <v>3632</v>
      </c>
      <c r="D493" s="1125" t="s">
        <v>591</v>
      </c>
      <c r="E493" s="1125">
        <v>16</v>
      </c>
      <c r="F493" s="1125">
        <v>-93.23</v>
      </c>
      <c r="G493" s="1125">
        <v>30.12</v>
      </c>
      <c r="H493" s="1125">
        <v>-6</v>
      </c>
      <c r="I493" s="1126">
        <v>33.080000042915344</v>
      </c>
      <c r="J493" s="1126">
        <v>92.479997253417977</v>
      </c>
      <c r="K493" s="1127">
        <v>77.719999313354492</v>
      </c>
      <c r="L493" s="1125">
        <v>1582.2</v>
      </c>
      <c r="M493" s="1125">
        <v>2568.6</v>
      </c>
      <c r="N493" s="1128">
        <v>49.1</v>
      </c>
      <c r="O493" s="1128">
        <v>51.8</v>
      </c>
      <c r="P493" s="1128">
        <v>61.160001373291017</v>
      </c>
      <c r="Q493" s="1128">
        <v>67.639998626708987</v>
      </c>
      <c r="R493" s="1128">
        <v>74.3</v>
      </c>
      <c r="S493" s="1128">
        <v>80.239998626708982</v>
      </c>
      <c r="T493" s="1128">
        <v>80.599999999999994</v>
      </c>
      <c r="U493" s="1128">
        <v>81.680000686645513</v>
      </c>
      <c r="V493" s="1128">
        <v>77.360001373291013</v>
      </c>
      <c r="W493" s="1128">
        <v>67.280000686645508</v>
      </c>
      <c r="X493" s="1128">
        <v>60.440000343322751</v>
      </c>
      <c r="Y493" s="1128">
        <v>52.519999313354489</v>
      </c>
      <c r="Z493" s="1128">
        <v>67.086685021805437</v>
      </c>
      <c r="AA493" s="1128">
        <f t="shared" si="526"/>
        <v>63.02508296861248</v>
      </c>
      <c r="AB493" s="1128">
        <f t="shared" si="527"/>
        <v>63.30365842342561</v>
      </c>
      <c r="AC493" s="1128">
        <f t="shared" si="528"/>
        <v>66.132330522109825</v>
      </c>
      <c r="AD493" s="1128">
        <f t="shared" si="529"/>
        <v>70.773762290986539</v>
      </c>
      <c r="AE493" s="1128">
        <f t="shared" si="530"/>
        <v>76.0180930128694</v>
      </c>
      <c r="AF493" s="1128">
        <f t="shared" si="531"/>
        <v>80.498307067516876</v>
      </c>
      <c r="AG493" s="1128">
        <f t="shared" si="532"/>
        <v>83.04656761939664</v>
      </c>
      <c r="AH493" s="1128">
        <f t="shared" si="533"/>
        <v>82.998631285777421</v>
      </c>
      <c r="AI493" s="1128">
        <f t="shared" si="534"/>
        <v>80.36699341073836</v>
      </c>
      <c r="AJ493" s="1128">
        <f t="shared" si="535"/>
        <v>75.837630961175591</v>
      </c>
      <c r="AK493" s="1128">
        <f t="shared" si="536"/>
        <v>70.59119205915583</v>
      </c>
      <c r="AL493" s="1128">
        <f t="shared" si="537"/>
        <v>65.995241854561328</v>
      </c>
      <c r="AM493" s="1125">
        <f t="shared" si="538"/>
        <v>1</v>
      </c>
      <c r="AN493" s="1125">
        <f t="shared" si="539"/>
        <v>1</v>
      </c>
      <c r="AO493" s="1125">
        <f t="shared" si="540"/>
        <v>1</v>
      </c>
      <c r="AP493" s="1125">
        <f t="shared" si="541"/>
        <v>0</v>
      </c>
      <c r="AQ493" s="1125">
        <f t="shared" si="542"/>
        <v>0</v>
      </c>
      <c r="AR493" s="1125">
        <f t="shared" si="543"/>
        <v>0</v>
      </c>
      <c r="AS493" s="1125">
        <f t="shared" si="544"/>
        <v>0</v>
      </c>
      <c r="AT493" s="1125">
        <f t="shared" si="545"/>
        <v>0</v>
      </c>
      <c r="AU493" s="1125">
        <f t="shared" si="546"/>
        <v>0</v>
      </c>
      <c r="AV493" s="1125">
        <f t="shared" si="547"/>
        <v>0</v>
      </c>
      <c r="AW493" s="1125">
        <f t="shared" si="548"/>
        <v>1</v>
      </c>
      <c r="AX493" s="1125">
        <f t="shared" si="549"/>
        <v>1</v>
      </c>
      <c r="AY493" s="1125">
        <f t="shared" si="550"/>
        <v>0</v>
      </c>
      <c r="AZ493" s="1125">
        <f t="shared" si="551"/>
        <v>0</v>
      </c>
      <c r="BA493" s="1125">
        <f t="shared" si="552"/>
        <v>0</v>
      </c>
      <c r="BB493" s="1125">
        <f t="shared" si="553"/>
        <v>1</v>
      </c>
      <c r="BC493" s="1125">
        <f t="shared" si="554"/>
        <v>1</v>
      </c>
      <c r="BD493" s="1125">
        <f t="shared" si="555"/>
        <v>1</v>
      </c>
      <c r="BE493" s="1125">
        <f t="shared" si="556"/>
        <v>1</v>
      </c>
      <c r="BF493" s="1125">
        <f t="shared" si="557"/>
        <v>1</v>
      </c>
      <c r="BG493" s="1125">
        <f t="shared" si="558"/>
        <v>1</v>
      </c>
      <c r="BH493" s="1125">
        <f t="shared" si="559"/>
        <v>1</v>
      </c>
      <c r="BI493" s="1125">
        <f t="shared" si="560"/>
        <v>0</v>
      </c>
      <c r="BJ493" s="1125">
        <f t="shared" si="561"/>
        <v>0</v>
      </c>
      <c r="BK493" s="1125">
        <f t="shared" si="562"/>
        <v>1</v>
      </c>
      <c r="BL493" s="1125">
        <f t="shared" si="563"/>
        <v>1</v>
      </c>
      <c r="BM493" s="1125">
        <f t="shared" si="564"/>
        <v>1</v>
      </c>
      <c r="BN493" s="1125">
        <f t="shared" si="565"/>
        <v>1</v>
      </c>
      <c r="BO493" s="1125">
        <f t="shared" si="566"/>
        <v>0</v>
      </c>
      <c r="BP493" s="1125">
        <f t="shared" si="567"/>
        <v>0</v>
      </c>
      <c r="BQ493" s="1125">
        <f t="shared" si="568"/>
        <v>0</v>
      </c>
      <c r="BR493" s="1125">
        <f t="shared" si="569"/>
        <v>0</v>
      </c>
      <c r="BS493" s="1125">
        <f t="shared" si="570"/>
        <v>0</v>
      </c>
      <c r="BT493" s="1125">
        <f t="shared" si="571"/>
        <v>0</v>
      </c>
      <c r="BU493" s="1125">
        <f t="shared" si="572"/>
        <v>1</v>
      </c>
      <c r="BV493" s="1125">
        <f t="shared" si="573"/>
        <v>1</v>
      </c>
      <c r="BW493" s="1125">
        <f t="shared" si="574"/>
        <v>0</v>
      </c>
      <c r="BX493" s="1125">
        <f t="shared" si="575"/>
        <v>0</v>
      </c>
      <c r="BY493" s="1125">
        <f t="shared" si="576"/>
        <v>1</v>
      </c>
      <c r="BZ493" s="1125">
        <f t="shared" si="577"/>
        <v>1</v>
      </c>
      <c r="CA493" s="1125">
        <f t="shared" si="578"/>
        <v>1</v>
      </c>
      <c r="CB493" s="1125">
        <f t="shared" si="579"/>
        <v>1</v>
      </c>
      <c r="CC493" s="1125">
        <f t="shared" si="580"/>
        <v>1</v>
      </c>
      <c r="CD493" s="1125">
        <f t="shared" si="581"/>
        <v>1</v>
      </c>
      <c r="CE493" s="1125">
        <f t="shared" si="582"/>
        <v>1</v>
      </c>
      <c r="CF493" s="1125">
        <f t="shared" si="583"/>
        <v>1</v>
      </c>
      <c r="CG493" s="1125">
        <f t="shared" si="584"/>
        <v>1</v>
      </c>
      <c r="CH493" s="1125">
        <f t="shared" si="585"/>
        <v>0</v>
      </c>
      <c r="CI493" s="1125">
        <f t="shared" si="586"/>
        <v>0.85</v>
      </c>
      <c r="CJ493" s="1125">
        <f t="shared" si="587"/>
        <v>0.85</v>
      </c>
      <c r="CK493" s="1125">
        <f t="shared" si="588"/>
        <v>0.85</v>
      </c>
      <c r="CL493" s="1125">
        <f t="shared" si="589"/>
        <v>0.85</v>
      </c>
      <c r="CM493" s="1125">
        <f t="shared" si="590"/>
        <v>0.7</v>
      </c>
      <c r="CN493" s="1125">
        <f t="shared" si="591"/>
        <v>0.7</v>
      </c>
      <c r="CO493" s="1125">
        <f t="shared" si="592"/>
        <v>0.7</v>
      </c>
      <c r="CP493" s="1125">
        <f t="shared" si="593"/>
        <v>0.7</v>
      </c>
      <c r="CQ493" s="1125">
        <f t="shared" si="594"/>
        <v>0.7</v>
      </c>
      <c r="CR493" s="1125">
        <f t="shared" si="595"/>
        <v>0.7</v>
      </c>
      <c r="CS493" s="1125">
        <f t="shared" si="596"/>
        <v>0.85</v>
      </c>
      <c r="CT493" s="1125">
        <f t="shared" si="597"/>
        <v>0.85</v>
      </c>
      <c r="CU493" s="1125">
        <v>1</v>
      </c>
      <c r="CV493" s="1125"/>
      <c r="CW493" s="1125">
        <f t="shared" si="598"/>
        <v>275</v>
      </c>
      <c r="CX493" s="1125">
        <f t="shared" si="599"/>
        <v>90</v>
      </c>
      <c r="CY493" s="1136" t="s">
        <v>4883</v>
      </c>
      <c r="CZ493" s="1129" t="s">
        <v>4884</v>
      </c>
      <c r="DA493" s="1129"/>
      <c r="DB493" s="1129"/>
      <c r="DC493" s="1125" t="s">
        <v>5255</v>
      </c>
      <c r="DD493" s="1125" t="s">
        <v>591</v>
      </c>
      <c r="DE493" s="1120" t="str">
        <f t="shared" si="600"/>
        <v/>
      </c>
      <c r="DF493" s="1133">
        <v>0</v>
      </c>
      <c r="DG493" s="1125">
        <v>0</v>
      </c>
    </row>
    <row r="494" spans="1:111">
      <c r="A494" s="1120" t="s">
        <v>5864</v>
      </c>
      <c r="B494" s="1120" t="s">
        <v>3629</v>
      </c>
      <c r="C494" s="1120" t="s">
        <v>3630</v>
      </c>
      <c r="D494" s="1120" t="s">
        <v>591</v>
      </c>
      <c r="E494" s="1120">
        <v>16</v>
      </c>
      <c r="F494" s="1120">
        <v>-93.17</v>
      </c>
      <c r="G494" s="1120">
        <v>30.22</v>
      </c>
      <c r="H494" s="1120">
        <v>-6</v>
      </c>
      <c r="I494" s="1121">
        <v>28.039999914169311</v>
      </c>
      <c r="J494" s="1121">
        <v>95.179997253417966</v>
      </c>
      <c r="K494" s="1122">
        <v>79.33999862670899</v>
      </c>
      <c r="L494" s="1120">
        <v>1771.2</v>
      </c>
      <c r="M494" s="1120">
        <v>2802.6</v>
      </c>
      <c r="N494" s="1123">
        <v>50.359999656677246</v>
      </c>
      <c r="O494" s="1123">
        <v>57.019999313354489</v>
      </c>
      <c r="P494" s="1123">
        <v>60.619999313354491</v>
      </c>
      <c r="Q494" s="1123">
        <v>72.680000686645513</v>
      </c>
      <c r="R494" s="1123">
        <v>73.039998626708979</v>
      </c>
      <c r="S494" s="1123">
        <v>80.060001373291016</v>
      </c>
      <c r="T494" s="1123">
        <v>82.039998626708979</v>
      </c>
      <c r="U494" s="1123">
        <v>81.139998626708987</v>
      </c>
      <c r="V494" s="1123">
        <v>76.460001373291021</v>
      </c>
      <c r="W494" s="1123">
        <v>69.080000686645505</v>
      </c>
      <c r="X494" s="1123">
        <v>59.540000343322752</v>
      </c>
      <c r="Y494" s="1123">
        <v>44.240000343322755</v>
      </c>
      <c r="Z494" s="1123">
        <v>67.218849222888693</v>
      </c>
      <c r="AA494" s="1123">
        <f t="shared" si="526"/>
        <v>61.515209962300943</v>
      </c>
      <c r="AB494" s="1123">
        <f t="shared" si="527"/>
        <v>61.852950250712524</v>
      </c>
      <c r="AC494" s="1123">
        <f t="shared" si="528"/>
        <v>65.153387260026847</v>
      </c>
      <c r="AD494" s="1123">
        <f t="shared" si="529"/>
        <v>70.556211222492266</v>
      </c>
      <c r="AE494" s="1123">
        <f t="shared" si="530"/>
        <v>76.653092812254641</v>
      </c>
      <c r="AF494" s="1123">
        <f t="shared" si="531"/>
        <v>81.854785887153099</v>
      </c>
      <c r="AG494" s="1123">
        <f t="shared" si="532"/>
        <v>84.805388986698617</v>
      </c>
      <c r="AH494" s="1123">
        <f t="shared" si="533"/>
        <v>84.735781942824545</v>
      </c>
      <c r="AI494" s="1123">
        <f t="shared" si="534"/>
        <v>81.664108904193654</v>
      </c>
      <c r="AJ494" s="1123">
        <f t="shared" si="535"/>
        <v>76.391048784239487</v>
      </c>
      <c r="AK494" s="1123">
        <f t="shared" si="536"/>
        <v>70.29110596354424</v>
      </c>
      <c r="AL494" s="1123">
        <f t="shared" si="537"/>
        <v>64.954324541286468</v>
      </c>
      <c r="AM494" s="1120">
        <f t="shared" si="538"/>
        <v>1</v>
      </c>
      <c r="AN494" s="1120">
        <f t="shared" si="539"/>
        <v>1</v>
      </c>
      <c r="AO494" s="1120">
        <f t="shared" si="540"/>
        <v>1</v>
      </c>
      <c r="AP494" s="1120">
        <f t="shared" si="541"/>
        <v>0</v>
      </c>
      <c r="AQ494" s="1120">
        <f t="shared" si="542"/>
        <v>0</v>
      </c>
      <c r="AR494" s="1120">
        <f t="shared" si="543"/>
        <v>0</v>
      </c>
      <c r="AS494" s="1120">
        <f t="shared" si="544"/>
        <v>0</v>
      </c>
      <c r="AT494" s="1120">
        <f t="shared" si="545"/>
        <v>0</v>
      </c>
      <c r="AU494" s="1120">
        <f t="shared" si="546"/>
        <v>0</v>
      </c>
      <c r="AV494" s="1120">
        <f t="shared" si="547"/>
        <v>0</v>
      </c>
      <c r="AW494" s="1120">
        <f t="shared" si="548"/>
        <v>1</v>
      </c>
      <c r="AX494" s="1120">
        <f t="shared" si="549"/>
        <v>1</v>
      </c>
      <c r="AY494" s="1120">
        <f t="shared" si="550"/>
        <v>0</v>
      </c>
      <c r="AZ494" s="1120">
        <f t="shared" si="551"/>
        <v>0</v>
      </c>
      <c r="BA494" s="1120">
        <f t="shared" si="552"/>
        <v>0</v>
      </c>
      <c r="BB494" s="1120">
        <f t="shared" si="553"/>
        <v>1</v>
      </c>
      <c r="BC494" s="1120">
        <f t="shared" si="554"/>
        <v>1</v>
      </c>
      <c r="BD494" s="1120">
        <f t="shared" si="555"/>
        <v>1</v>
      </c>
      <c r="BE494" s="1120">
        <f t="shared" si="556"/>
        <v>1</v>
      </c>
      <c r="BF494" s="1120">
        <f t="shared" si="557"/>
        <v>1</v>
      </c>
      <c r="BG494" s="1120">
        <f t="shared" si="558"/>
        <v>1</v>
      </c>
      <c r="BH494" s="1120">
        <f t="shared" si="559"/>
        <v>1</v>
      </c>
      <c r="BI494" s="1120">
        <f t="shared" si="560"/>
        <v>0</v>
      </c>
      <c r="BJ494" s="1120">
        <f t="shared" si="561"/>
        <v>0</v>
      </c>
      <c r="BK494" s="1120">
        <f t="shared" si="562"/>
        <v>1</v>
      </c>
      <c r="BL494" s="1120">
        <f t="shared" si="563"/>
        <v>1</v>
      </c>
      <c r="BM494" s="1120">
        <f t="shared" si="564"/>
        <v>1</v>
      </c>
      <c r="BN494" s="1120">
        <f t="shared" si="565"/>
        <v>1</v>
      </c>
      <c r="BO494" s="1120">
        <f t="shared" si="566"/>
        <v>0</v>
      </c>
      <c r="BP494" s="1120">
        <f t="shared" si="567"/>
        <v>0</v>
      </c>
      <c r="BQ494" s="1120">
        <f t="shared" si="568"/>
        <v>0</v>
      </c>
      <c r="BR494" s="1120">
        <f t="shared" si="569"/>
        <v>0</v>
      </c>
      <c r="BS494" s="1120">
        <f t="shared" si="570"/>
        <v>0</v>
      </c>
      <c r="BT494" s="1120">
        <f t="shared" si="571"/>
        <v>0</v>
      </c>
      <c r="BU494" s="1120">
        <f t="shared" si="572"/>
        <v>1</v>
      </c>
      <c r="BV494" s="1120">
        <f t="shared" si="573"/>
        <v>1</v>
      </c>
      <c r="BW494" s="1120">
        <f t="shared" si="574"/>
        <v>0</v>
      </c>
      <c r="BX494" s="1120">
        <f t="shared" si="575"/>
        <v>0</v>
      </c>
      <c r="BY494" s="1120">
        <f t="shared" si="576"/>
        <v>1</v>
      </c>
      <c r="BZ494" s="1120">
        <f t="shared" si="577"/>
        <v>1</v>
      </c>
      <c r="CA494" s="1120">
        <f t="shared" si="578"/>
        <v>1</v>
      </c>
      <c r="CB494" s="1120">
        <f t="shared" si="579"/>
        <v>1</v>
      </c>
      <c r="CC494" s="1120">
        <f t="shared" si="580"/>
        <v>1</v>
      </c>
      <c r="CD494" s="1120">
        <f t="shared" si="581"/>
        <v>1</v>
      </c>
      <c r="CE494" s="1120">
        <f t="shared" si="582"/>
        <v>1</v>
      </c>
      <c r="CF494" s="1120">
        <f t="shared" si="583"/>
        <v>1</v>
      </c>
      <c r="CG494" s="1120">
        <f t="shared" si="584"/>
        <v>1</v>
      </c>
      <c r="CH494" s="1120">
        <f t="shared" si="585"/>
        <v>0</v>
      </c>
      <c r="CI494" s="1120">
        <f t="shared" si="586"/>
        <v>0.85</v>
      </c>
      <c r="CJ494" s="1120">
        <f t="shared" si="587"/>
        <v>0.85</v>
      </c>
      <c r="CK494" s="1120">
        <f t="shared" si="588"/>
        <v>0.85</v>
      </c>
      <c r="CL494" s="1120">
        <f t="shared" si="589"/>
        <v>0.85</v>
      </c>
      <c r="CM494" s="1120">
        <f t="shared" si="590"/>
        <v>0.7</v>
      </c>
      <c r="CN494" s="1120">
        <f t="shared" si="591"/>
        <v>0.7</v>
      </c>
      <c r="CO494" s="1120">
        <f t="shared" si="592"/>
        <v>0.7</v>
      </c>
      <c r="CP494" s="1120">
        <f t="shared" si="593"/>
        <v>0.7</v>
      </c>
      <c r="CQ494" s="1120">
        <f t="shared" si="594"/>
        <v>0.7</v>
      </c>
      <c r="CR494" s="1120">
        <f t="shared" si="595"/>
        <v>0.7</v>
      </c>
      <c r="CS494" s="1120">
        <f t="shared" si="596"/>
        <v>0.85</v>
      </c>
      <c r="CT494" s="1120">
        <f t="shared" si="597"/>
        <v>0.85</v>
      </c>
      <c r="CU494" s="1120">
        <v>1</v>
      </c>
      <c r="CV494" s="1120"/>
      <c r="CW494" s="1120">
        <f t="shared" si="598"/>
        <v>275</v>
      </c>
      <c r="CX494" s="1120">
        <f t="shared" si="599"/>
        <v>90</v>
      </c>
      <c r="CY494" s="1135" t="s">
        <v>4883</v>
      </c>
      <c r="CZ494" s="1124" t="s">
        <v>4884</v>
      </c>
      <c r="DA494" s="1124"/>
      <c r="DB494" s="1124"/>
      <c r="DC494" s="1120" t="s">
        <v>5256</v>
      </c>
      <c r="DD494" s="1120" t="s">
        <v>591</v>
      </c>
      <c r="DE494" s="1120" t="str">
        <f t="shared" si="600"/>
        <v/>
      </c>
      <c r="DF494" s="1133">
        <v>0</v>
      </c>
      <c r="DG494" s="1120">
        <v>0</v>
      </c>
    </row>
    <row r="495" spans="1:111">
      <c r="A495" s="1125" t="s">
        <v>5866</v>
      </c>
      <c r="B495" s="1125" t="s">
        <v>2918</v>
      </c>
      <c r="C495" s="1125" t="s">
        <v>2919</v>
      </c>
      <c r="D495" s="1125" t="s">
        <v>953</v>
      </c>
      <c r="E495" s="1125">
        <v>72</v>
      </c>
      <c r="F495" s="1125">
        <v>-149.97</v>
      </c>
      <c r="G495" s="1125">
        <v>61.18</v>
      </c>
      <c r="H495" s="1125">
        <v>-9</v>
      </c>
      <c r="I495" s="1126">
        <v>-4.1800006866455091</v>
      </c>
      <c r="J495" s="1126">
        <v>71.419999313354495</v>
      </c>
      <c r="K495" s="1127">
        <v>58.640000343322754</v>
      </c>
      <c r="L495" s="1125">
        <v>8809.2000000000007</v>
      </c>
      <c r="M495" s="1125">
        <v>0</v>
      </c>
      <c r="N495" s="1128">
        <v>23.9</v>
      </c>
      <c r="O495" s="1128">
        <v>30.919999957084656</v>
      </c>
      <c r="P495" s="1128">
        <v>28.76000008583069</v>
      </c>
      <c r="Q495" s="1128">
        <v>39.559999656677249</v>
      </c>
      <c r="R495" s="1128">
        <v>47.3</v>
      </c>
      <c r="S495" s="1128">
        <v>56.119999313354491</v>
      </c>
      <c r="T495" s="1128">
        <v>58.1</v>
      </c>
      <c r="U495" s="1128">
        <v>58.1</v>
      </c>
      <c r="V495" s="1128">
        <v>45.679999828338623</v>
      </c>
      <c r="W495" s="1128">
        <v>35.060000085830687</v>
      </c>
      <c r="X495" s="1128">
        <v>34.880000042915341</v>
      </c>
      <c r="Y495" s="1128">
        <v>24.440000343322755</v>
      </c>
      <c r="Z495" s="1128">
        <v>40.269643780825888</v>
      </c>
      <c r="AA495" s="1128">
        <f t="shared" si="526"/>
        <v>41.394879200437167</v>
      </c>
      <c r="AB495" s="1128">
        <f t="shared" si="527"/>
        <v>40.137400525844797</v>
      </c>
      <c r="AC495" s="1128">
        <f t="shared" si="528"/>
        <v>40.478385556392325</v>
      </c>
      <c r="AD495" s="1128">
        <f t="shared" si="529"/>
        <v>42.328951289129158</v>
      </c>
      <c r="AE495" s="1128">
        <f t="shared" si="530"/>
        <v>45.206719247736252</v>
      </c>
      <c r="AF495" s="1128">
        <f t="shared" si="531"/>
        <v>48.361554866056039</v>
      </c>
      <c r="AG495" s="1128">
        <f t="shared" si="532"/>
        <v>50.971101622684948</v>
      </c>
      <c r="AH495" s="1128">
        <f t="shared" si="533"/>
        <v>52.355140941174859</v>
      </c>
      <c r="AI495" s="1128">
        <f t="shared" si="534"/>
        <v>52.152901644469864</v>
      </c>
      <c r="AJ495" s="1128">
        <f t="shared" si="535"/>
        <v>50.417100521858011</v>
      </c>
      <c r="AK495" s="1128">
        <f t="shared" si="536"/>
        <v>47.600200885453091</v>
      </c>
      <c r="AL495" s="1128">
        <f t="shared" si="537"/>
        <v>44.436471035221444</v>
      </c>
      <c r="AM495" s="1125">
        <f t="shared" si="538"/>
        <v>1</v>
      </c>
      <c r="AN495" s="1125">
        <f t="shared" si="539"/>
        <v>1</v>
      </c>
      <c r="AO495" s="1125">
        <f t="shared" si="540"/>
        <v>1</v>
      </c>
      <c r="AP495" s="1125">
        <f t="shared" si="541"/>
        <v>1</v>
      </c>
      <c r="AQ495" s="1125">
        <f t="shared" si="542"/>
        <v>1</v>
      </c>
      <c r="AR495" s="1125">
        <f t="shared" si="543"/>
        <v>1</v>
      </c>
      <c r="AS495" s="1125">
        <f t="shared" si="544"/>
        <v>1</v>
      </c>
      <c r="AT495" s="1125">
        <f t="shared" si="545"/>
        <v>1</v>
      </c>
      <c r="AU495" s="1125">
        <f t="shared" si="546"/>
        <v>1</v>
      </c>
      <c r="AV495" s="1125">
        <f t="shared" si="547"/>
        <v>1</v>
      </c>
      <c r="AW495" s="1125">
        <f t="shared" si="548"/>
        <v>1</v>
      </c>
      <c r="AX495" s="1125">
        <f t="shared" si="549"/>
        <v>1</v>
      </c>
      <c r="AY495" s="1125">
        <f t="shared" si="550"/>
        <v>0</v>
      </c>
      <c r="AZ495" s="1125">
        <f t="shared" si="551"/>
        <v>0</v>
      </c>
      <c r="BA495" s="1125">
        <f t="shared" si="552"/>
        <v>0</v>
      </c>
      <c r="BB495" s="1125">
        <f t="shared" si="553"/>
        <v>0</v>
      </c>
      <c r="BC495" s="1125">
        <f t="shared" si="554"/>
        <v>0</v>
      </c>
      <c r="BD495" s="1125">
        <f t="shared" si="555"/>
        <v>0</v>
      </c>
      <c r="BE495" s="1125">
        <f t="shared" si="556"/>
        <v>1</v>
      </c>
      <c r="BF495" s="1125">
        <f t="shared" si="557"/>
        <v>1</v>
      </c>
      <c r="BG495" s="1125">
        <f t="shared" si="558"/>
        <v>0</v>
      </c>
      <c r="BH495" s="1125">
        <f t="shared" si="559"/>
        <v>0</v>
      </c>
      <c r="BI495" s="1125">
        <f t="shared" si="560"/>
        <v>0</v>
      </c>
      <c r="BJ495" s="1125">
        <f t="shared" si="561"/>
        <v>0</v>
      </c>
      <c r="BK495" s="1125">
        <f t="shared" si="562"/>
        <v>1</v>
      </c>
      <c r="BL495" s="1125">
        <f t="shared" si="563"/>
        <v>1</v>
      </c>
      <c r="BM495" s="1125">
        <f t="shared" si="564"/>
        <v>1</v>
      </c>
      <c r="BN495" s="1125">
        <f t="shared" si="565"/>
        <v>1</v>
      </c>
      <c r="BO495" s="1125">
        <f t="shared" si="566"/>
        <v>1</v>
      </c>
      <c r="BP495" s="1125">
        <f t="shared" si="567"/>
        <v>1</v>
      </c>
      <c r="BQ495" s="1125">
        <f t="shared" si="568"/>
        <v>1</v>
      </c>
      <c r="BR495" s="1125">
        <f t="shared" si="569"/>
        <v>1</v>
      </c>
      <c r="BS495" s="1125">
        <f t="shared" si="570"/>
        <v>1</v>
      </c>
      <c r="BT495" s="1125">
        <f t="shared" si="571"/>
        <v>1</v>
      </c>
      <c r="BU495" s="1125">
        <f t="shared" si="572"/>
        <v>1</v>
      </c>
      <c r="BV495" s="1125">
        <f t="shared" si="573"/>
        <v>1</v>
      </c>
      <c r="BW495" s="1125">
        <f t="shared" si="574"/>
        <v>0</v>
      </c>
      <c r="BX495" s="1125">
        <f t="shared" si="575"/>
        <v>0</v>
      </c>
      <c r="BY495" s="1125">
        <f t="shared" si="576"/>
        <v>0</v>
      </c>
      <c r="BZ495" s="1125">
        <f t="shared" si="577"/>
        <v>0</v>
      </c>
      <c r="CA495" s="1125">
        <f t="shared" si="578"/>
        <v>0</v>
      </c>
      <c r="CB495" s="1125">
        <f t="shared" si="579"/>
        <v>0</v>
      </c>
      <c r="CC495" s="1125">
        <f t="shared" si="580"/>
        <v>1</v>
      </c>
      <c r="CD495" s="1125">
        <f t="shared" si="581"/>
        <v>1</v>
      </c>
      <c r="CE495" s="1125">
        <f t="shared" si="582"/>
        <v>0</v>
      </c>
      <c r="CF495" s="1125">
        <f t="shared" si="583"/>
        <v>0</v>
      </c>
      <c r="CG495" s="1125">
        <f t="shared" si="584"/>
        <v>0</v>
      </c>
      <c r="CH495" s="1125">
        <f t="shared" si="585"/>
        <v>0</v>
      </c>
      <c r="CI495" s="1125">
        <f t="shared" si="586"/>
        <v>0.85</v>
      </c>
      <c r="CJ495" s="1125">
        <f t="shared" si="587"/>
        <v>0.85</v>
      </c>
      <c r="CK495" s="1125">
        <f t="shared" si="588"/>
        <v>0.85</v>
      </c>
      <c r="CL495" s="1125">
        <f t="shared" si="589"/>
        <v>0.85</v>
      </c>
      <c r="CM495" s="1125">
        <f t="shared" si="590"/>
        <v>0.85</v>
      </c>
      <c r="CN495" s="1125">
        <f t="shared" si="591"/>
        <v>0.85</v>
      </c>
      <c r="CO495" s="1125">
        <f t="shared" si="592"/>
        <v>0.85</v>
      </c>
      <c r="CP495" s="1125">
        <f t="shared" si="593"/>
        <v>0.85</v>
      </c>
      <c r="CQ495" s="1125">
        <f t="shared" si="594"/>
        <v>0.85</v>
      </c>
      <c r="CR495" s="1125">
        <f t="shared" si="595"/>
        <v>0.85</v>
      </c>
      <c r="CS495" s="1125">
        <f t="shared" si="596"/>
        <v>0.85</v>
      </c>
      <c r="CT495" s="1125">
        <f t="shared" si="597"/>
        <v>0.85</v>
      </c>
      <c r="CU495" s="1125">
        <v>1</v>
      </c>
      <c r="CV495" s="1125"/>
      <c r="CW495" s="1125">
        <f t="shared" si="598"/>
        <v>62</v>
      </c>
      <c r="CX495" s="1125">
        <f t="shared" si="599"/>
        <v>303</v>
      </c>
      <c r="CY495" s="1136" t="s">
        <v>4879</v>
      </c>
      <c r="CZ495" s="1129">
        <v>7</v>
      </c>
      <c r="DA495" s="1129"/>
      <c r="DB495" s="1129"/>
      <c r="DC495" s="1125" t="s">
        <v>4944</v>
      </c>
      <c r="DD495" s="1125" t="s">
        <v>953</v>
      </c>
      <c r="DE495" s="1125" t="str">
        <f t="shared" si="600"/>
        <v/>
      </c>
      <c r="DF495" s="1125">
        <v>1</v>
      </c>
      <c r="DG495" s="1125">
        <v>0</v>
      </c>
    </row>
    <row r="496" spans="1:111">
      <c r="A496" s="1120" t="s">
        <v>3743</v>
      </c>
      <c r="B496" s="1125" t="s">
        <v>3292</v>
      </c>
      <c r="C496" s="1125" t="s">
        <v>3293</v>
      </c>
      <c r="D496" s="1125" t="s">
        <v>594</v>
      </c>
      <c r="E496" s="1125">
        <v>141</v>
      </c>
      <c r="F496" s="1125">
        <v>-82.02</v>
      </c>
      <c r="G496" s="1125">
        <v>27.98</v>
      </c>
      <c r="H496" s="1125">
        <v>-5</v>
      </c>
      <c r="I496" s="1126">
        <v>31.81999999731779</v>
      </c>
      <c r="J496" s="1126">
        <v>93.020002746582037</v>
      </c>
      <c r="K496" s="1127">
        <v>78.260001373291018</v>
      </c>
      <c r="L496" s="1125">
        <v>961.2</v>
      </c>
      <c r="M496" s="1125">
        <v>3209.4</v>
      </c>
      <c r="N496" s="1128">
        <v>55.580000686645505</v>
      </c>
      <c r="O496" s="1128">
        <v>59.9</v>
      </c>
      <c r="P496" s="1128">
        <v>63.680000686645506</v>
      </c>
      <c r="Q496" s="1128">
        <v>72.139998626708987</v>
      </c>
      <c r="R496" s="1128">
        <v>78.080000686645505</v>
      </c>
      <c r="S496" s="1128">
        <v>79.16000137329101</v>
      </c>
      <c r="T496" s="1128">
        <v>79.519999313354489</v>
      </c>
      <c r="U496" s="1128">
        <v>80.960001373291021</v>
      </c>
      <c r="V496" s="1128">
        <v>79.519999313354489</v>
      </c>
      <c r="W496" s="1128">
        <v>72.680000686645513</v>
      </c>
      <c r="X496" s="1128">
        <v>65.480000686645511</v>
      </c>
      <c r="Y496" s="1128">
        <v>59.359999656677246</v>
      </c>
      <c r="Z496" s="1128">
        <v>70.553041358320684</v>
      </c>
      <c r="AA496" s="1128">
        <f t="shared" si="526"/>
        <v>68.196532749460033</v>
      </c>
      <c r="AB496" s="1128">
        <f t="shared" si="527"/>
        <v>68.681762629509294</v>
      </c>
      <c r="AC496" s="1128">
        <f t="shared" si="528"/>
        <v>71.218762610300175</v>
      </c>
      <c r="AD496" s="1128">
        <f t="shared" si="529"/>
        <v>75.146224550486394</v>
      </c>
      <c r="AE496" s="1128">
        <f t="shared" si="530"/>
        <v>79.440394971337867</v>
      </c>
      <c r="AF496" s="1128">
        <f t="shared" si="531"/>
        <v>82.981932177490378</v>
      </c>
      <c r="AG496" s="1128">
        <f t="shared" si="532"/>
        <v>84.847679919419889</v>
      </c>
      <c r="AH496" s="1128">
        <f t="shared" si="533"/>
        <v>84.551302296149458</v>
      </c>
      <c r="AI496" s="1128">
        <f t="shared" si="534"/>
        <v>82.170054702501943</v>
      </c>
      <c r="AJ496" s="1128">
        <f t="shared" si="535"/>
        <v>78.324646019897784</v>
      </c>
      <c r="AK496" s="1128">
        <f t="shared" si="536"/>
        <v>74.017441280999321</v>
      </c>
      <c r="AL496" s="1128">
        <f t="shared" si="537"/>
        <v>70.371179777034641</v>
      </c>
      <c r="AM496" s="1125">
        <f t="shared" si="538"/>
        <v>1</v>
      </c>
      <c r="AN496" s="1125">
        <f t="shared" si="539"/>
        <v>1</v>
      </c>
      <c r="AO496" s="1125">
        <f t="shared" si="540"/>
        <v>1</v>
      </c>
      <c r="AP496" s="1125">
        <f t="shared" si="541"/>
        <v>0</v>
      </c>
      <c r="AQ496" s="1125">
        <f t="shared" si="542"/>
        <v>0</v>
      </c>
      <c r="AR496" s="1125">
        <f t="shared" si="543"/>
        <v>0</v>
      </c>
      <c r="AS496" s="1125">
        <f t="shared" si="544"/>
        <v>0</v>
      </c>
      <c r="AT496" s="1125">
        <f t="shared" si="545"/>
        <v>0</v>
      </c>
      <c r="AU496" s="1125">
        <f t="shared" si="546"/>
        <v>0</v>
      </c>
      <c r="AV496" s="1125">
        <f t="shared" si="547"/>
        <v>0</v>
      </c>
      <c r="AW496" s="1125">
        <f t="shared" si="548"/>
        <v>1</v>
      </c>
      <c r="AX496" s="1125">
        <f t="shared" si="549"/>
        <v>1</v>
      </c>
      <c r="AY496" s="1125">
        <f t="shared" si="550"/>
        <v>0</v>
      </c>
      <c r="AZ496" s="1125">
        <f t="shared" si="551"/>
        <v>0</v>
      </c>
      <c r="BA496" s="1125">
        <f t="shared" si="552"/>
        <v>0</v>
      </c>
      <c r="BB496" s="1125">
        <f t="shared" si="553"/>
        <v>1</v>
      </c>
      <c r="BC496" s="1125">
        <f t="shared" si="554"/>
        <v>1</v>
      </c>
      <c r="BD496" s="1125">
        <f t="shared" si="555"/>
        <v>1</v>
      </c>
      <c r="BE496" s="1125">
        <f t="shared" si="556"/>
        <v>1</v>
      </c>
      <c r="BF496" s="1125">
        <f t="shared" si="557"/>
        <v>1</v>
      </c>
      <c r="BG496" s="1125">
        <f t="shared" si="558"/>
        <v>1</v>
      </c>
      <c r="BH496" s="1125">
        <f t="shared" si="559"/>
        <v>1</v>
      </c>
      <c r="BI496" s="1125">
        <f t="shared" si="560"/>
        <v>0</v>
      </c>
      <c r="BJ496" s="1125">
        <f t="shared" si="561"/>
        <v>0</v>
      </c>
      <c r="BK496" s="1125">
        <f t="shared" si="562"/>
        <v>1</v>
      </c>
      <c r="BL496" s="1125">
        <f t="shared" si="563"/>
        <v>1</v>
      </c>
      <c r="BM496" s="1125">
        <f t="shared" si="564"/>
        <v>1</v>
      </c>
      <c r="BN496" s="1125">
        <f t="shared" si="565"/>
        <v>1</v>
      </c>
      <c r="BO496" s="1125">
        <f t="shared" si="566"/>
        <v>0</v>
      </c>
      <c r="BP496" s="1125">
        <f t="shared" si="567"/>
        <v>0</v>
      </c>
      <c r="BQ496" s="1125">
        <f t="shared" si="568"/>
        <v>0</v>
      </c>
      <c r="BR496" s="1125">
        <f t="shared" si="569"/>
        <v>0</v>
      </c>
      <c r="BS496" s="1125">
        <f t="shared" si="570"/>
        <v>0</v>
      </c>
      <c r="BT496" s="1125">
        <f t="shared" si="571"/>
        <v>0</v>
      </c>
      <c r="BU496" s="1125">
        <f t="shared" si="572"/>
        <v>1</v>
      </c>
      <c r="BV496" s="1125">
        <f t="shared" si="573"/>
        <v>1</v>
      </c>
      <c r="BW496" s="1125">
        <f t="shared" si="574"/>
        <v>0</v>
      </c>
      <c r="BX496" s="1125">
        <f t="shared" si="575"/>
        <v>0</v>
      </c>
      <c r="BY496" s="1125">
        <f t="shared" si="576"/>
        <v>1</v>
      </c>
      <c r="BZ496" s="1125">
        <f t="shared" si="577"/>
        <v>1</v>
      </c>
      <c r="CA496" s="1125">
        <f t="shared" si="578"/>
        <v>1</v>
      </c>
      <c r="CB496" s="1125">
        <f t="shared" si="579"/>
        <v>1</v>
      </c>
      <c r="CC496" s="1125">
        <f t="shared" si="580"/>
        <v>1</v>
      </c>
      <c r="CD496" s="1125">
        <f t="shared" si="581"/>
        <v>1</v>
      </c>
      <c r="CE496" s="1125">
        <f t="shared" si="582"/>
        <v>1</v>
      </c>
      <c r="CF496" s="1125">
        <f t="shared" si="583"/>
        <v>1</v>
      </c>
      <c r="CG496" s="1125">
        <f t="shared" si="584"/>
        <v>1</v>
      </c>
      <c r="CH496" s="1125">
        <f t="shared" si="585"/>
        <v>0</v>
      </c>
      <c r="CI496" s="1125">
        <f t="shared" si="586"/>
        <v>0.85</v>
      </c>
      <c r="CJ496" s="1125">
        <f t="shared" si="587"/>
        <v>0.85</v>
      </c>
      <c r="CK496" s="1125">
        <f t="shared" si="588"/>
        <v>0.85</v>
      </c>
      <c r="CL496" s="1125">
        <f t="shared" si="589"/>
        <v>0.85</v>
      </c>
      <c r="CM496" s="1125">
        <f t="shared" si="590"/>
        <v>0.7</v>
      </c>
      <c r="CN496" s="1125">
        <f t="shared" si="591"/>
        <v>0.7</v>
      </c>
      <c r="CO496" s="1125">
        <f t="shared" si="592"/>
        <v>0.7</v>
      </c>
      <c r="CP496" s="1125">
        <f t="shared" si="593"/>
        <v>0.7</v>
      </c>
      <c r="CQ496" s="1125">
        <f t="shared" si="594"/>
        <v>0.7</v>
      </c>
      <c r="CR496" s="1125">
        <f t="shared" si="595"/>
        <v>0.7</v>
      </c>
      <c r="CS496" s="1125">
        <f t="shared" si="596"/>
        <v>0.85</v>
      </c>
      <c r="CT496" s="1125">
        <f t="shared" si="597"/>
        <v>0.85</v>
      </c>
      <c r="CU496" s="1125">
        <v>1</v>
      </c>
      <c r="CV496" s="1125"/>
      <c r="CW496" s="1125">
        <f t="shared" si="598"/>
        <v>275</v>
      </c>
      <c r="CX496" s="1125">
        <f t="shared" si="599"/>
        <v>90</v>
      </c>
      <c r="CY496" s="1136" t="s">
        <v>4883</v>
      </c>
      <c r="CZ496" s="1129" t="s">
        <v>4884</v>
      </c>
      <c r="DA496" s="1129"/>
      <c r="DB496" s="1129"/>
      <c r="DC496" s="1125" t="s">
        <v>5104</v>
      </c>
      <c r="DD496" s="1125" t="s">
        <v>594</v>
      </c>
      <c r="DE496" s="1120" t="str">
        <f t="shared" si="600"/>
        <v/>
      </c>
      <c r="DF496" s="1133">
        <v>0</v>
      </c>
      <c r="DG496" s="1120">
        <v>0</v>
      </c>
    </row>
    <row r="497" spans="1:111">
      <c r="A497" s="1125" t="s">
        <v>3745</v>
      </c>
      <c r="B497" s="1125" t="s">
        <v>5911</v>
      </c>
      <c r="C497" s="1125" t="s">
        <v>5912</v>
      </c>
      <c r="D497" s="1125" t="s">
        <v>427</v>
      </c>
      <c r="E497" s="1125">
        <v>4726</v>
      </c>
      <c r="F497" s="1125">
        <v>-120.4</v>
      </c>
      <c r="G497" s="1125">
        <v>42.17</v>
      </c>
      <c r="H497" s="1125">
        <v>-8</v>
      </c>
      <c r="I497" s="1126">
        <v>8.6</v>
      </c>
      <c r="J497" s="1126">
        <v>86.539998626708979</v>
      </c>
      <c r="K497" s="1127">
        <v>57.380000686645509</v>
      </c>
      <c r="L497" s="1125">
        <v>6935.4000000000005</v>
      </c>
      <c r="M497" s="1125">
        <v>282.60000000000002</v>
      </c>
      <c r="N497" s="1128">
        <v>29.839999914169312</v>
      </c>
      <c r="O497" s="1128">
        <v>31.1</v>
      </c>
      <c r="P497" s="1128">
        <v>37.220000171661376</v>
      </c>
      <c r="Q497" s="1128">
        <v>41.720000171661376</v>
      </c>
      <c r="R497" s="1128">
        <v>49.819999313354494</v>
      </c>
      <c r="S497" s="1128">
        <v>61.519999313354496</v>
      </c>
      <c r="T497" s="1128">
        <v>69.439998626708984</v>
      </c>
      <c r="U497" s="1128">
        <v>63.86000137329102</v>
      </c>
      <c r="V497" s="1128">
        <v>58.280000686645508</v>
      </c>
      <c r="W497" s="1128">
        <v>44.420000171661378</v>
      </c>
      <c r="X497" s="1128">
        <v>35.060000085830687</v>
      </c>
      <c r="Y497" s="1128">
        <v>30.380000042915345</v>
      </c>
      <c r="Z497" s="1128">
        <v>46.144054782880495</v>
      </c>
      <c r="AA497" s="1128">
        <f t="shared" si="526"/>
        <v>45.098226248094207</v>
      </c>
      <c r="AB497" s="1128">
        <f t="shared" si="527"/>
        <v>43.809608305251146</v>
      </c>
      <c r="AC497" s="1128">
        <f t="shared" si="528"/>
        <v>44.69349227451017</v>
      </c>
      <c r="AD497" s="1128">
        <f t="shared" si="529"/>
        <v>47.519480178219645</v>
      </c>
      <c r="AE497" s="1128">
        <f t="shared" si="530"/>
        <v>51.550934719485859</v>
      </c>
      <c r="AF497" s="1128">
        <f t="shared" si="531"/>
        <v>55.736995145532731</v>
      </c>
      <c r="AG497" s="1128">
        <f t="shared" si="532"/>
        <v>58.986500297167311</v>
      </c>
      <c r="AH497" s="1128">
        <f t="shared" si="533"/>
        <v>60.452416580225858</v>
      </c>
      <c r="AI497" s="1128">
        <f t="shared" si="534"/>
        <v>59.75263032507543</v>
      </c>
      <c r="AJ497" s="1128">
        <f t="shared" si="535"/>
        <v>57.069551603153599</v>
      </c>
      <c r="AK497" s="1128">
        <f t="shared" si="536"/>
        <v>53.102566230823989</v>
      </c>
      <c r="AL497" s="1128">
        <f t="shared" si="537"/>
        <v>48.885730078479376</v>
      </c>
      <c r="AM497" s="1125">
        <f t="shared" si="538"/>
        <v>1</v>
      </c>
      <c r="AN497" s="1125">
        <f t="shared" si="539"/>
        <v>1</v>
      </c>
      <c r="AO497" s="1125">
        <f t="shared" si="540"/>
        <v>1</v>
      </c>
      <c r="AP497" s="1125">
        <f t="shared" si="541"/>
        <v>1</v>
      </c>
      <c r="AQ497" s="1125">
        <f t="shared" si="542"/>
        <v>1</v>
      </c>
      <c r="AR497" s="1125">
        <f t="shared" si="543"/>
        <v>1</v>
      </c>
      <c r="AS497" s="1125">
        <f t="shared" si="544"/>
        <v>0</v>
      </c>
      <c r="AT497" s="1125">
        <f t="shared" si="545"/>
        <v>1</v>
      </c>
      <c r="AU497" s="1125">
        <f t="shared" si="546"/>
        <v>1</v>
      </c>
      <c r="AV497" s="1125">
        <f t="shared" si="547"/>
        <v>1</v>
      </c>
      <c r="AW497" s="1125">
        <f t="shared" si="548"/>
        <v>1</v>
      </c>
      <c r="AX497" s="1125">
        <f t="shared" si="549"/>
        <v>1</v>
      </c>
      <c r="AY497" s="1125">
        <f t="shared" si="550"/>
        <v>0</v>
      </c>
      <c r="AZ497" s="1125">
        <f t="shared" si="551"/>
        <v>0</v>
      </c>
      <c r="BA497" s="1125">
        <f t="shared" si="552"/>
        <v>0</v>
      </c>
      <c r="BB497" s="1125">
        <f t="shared" si="553"/>
        <v>0</v>
      </c>
      <c r="BC497" s="1125">
        <f t="shared" si="554"/>
        <v>0</v>
      </c>
      <c r="BD497" s="1125">
        <f t="shared" si="555"/>
        <v>0</v>
      </c>
      <c r="BE497" s="1125">
        <f t="shared" si="556"/>
        <v>1</v>
      </c>
      <c r="BF497" s="1125">
        <f t="shared" si="557"/>
        <v>1</v>
      </c>
      <c r="BG497" s="1125">
        <f t="shared" si="558"/>
        <v>0</v>
      </c>
      <c r="BH497" s="1125">
        <f t="shared" si="559"/>
        <v>0</v>
      </c>
      <c r="BI497" s="1125">
        <f t="shared" si="560"/>
        <v>0</v>
      </c>
      <c r="BJ497" s="1125">
        <f t="shared" si="561"/>
        <v>0</v>
      </c>
      <c r="BK497" s="1125">
        <f t="shared" si="562"/>
        <v>1</v>
      </c>
      <c r="BL497" s="1125">
        <f t="shared" si="563"/>
        <v>1</v>
      </c>
      <c r="BM497" s="1125">
        <f t="shared" si="564"/>
        <v>1</v>
      </c>
      <c r="BN497" s="1125">
        <f t="shared" si="565"/>
        <v>1</v>
      </c>
      <c r="BO497" s="1125">
        <f t="shared" si="566"/>
        <v>1</v>
      </c>
      <c r="BP497" s="1125">
        <f t="shared" si="567"/>
        <v>1</v>
      </c>
      <c r="BQ497" s="1125">
        <f t="shared" si="568"/>
        <v>1</v>
      </c>
      <c r="BR497" s="1125">
        <f t="shared" si="569"/>
        <v>1</v>
      </c>
      <c r="BS497" s="1125">
        <f t="shared" si="570"/>
        <v>1</v>
      </c>
      <c r="BT497" s="1125">
        <f t="shared" si="571"/>
        <v>1</v>
      </c>
      <c r="BU497" s="1125">
        <f t="shared" si="572"/>
        <v>1</v>
      </c>
      <c r="BV497" s="1125">
        <f t="shared" si="573"/>
        <v>1</v>
      </c>
      <c r="BW497" s="1125">
        <f t="shared" si="574"/>
        <v>0</v>
      </c>
      <c r="BX497" s="1125">
        <f t="shared" si="575"/>
        <v>0</v>
      </c>
      <c r="BY497" s="1125">
        <f t="shared" si="576"/>
        <v>0</v>
      </c>
      <c r="BZ497" s="1125">
        <f t="shared" si="577"/>
        <v>0</v>
      </c>
      <c r="CA497" s="1125">
        <f t="shared" si="578"/>
        <v>0</v>
      </c>
      <c r="CB497" s="1125">
        <f t="shared" si="579"/>
        <v>1</v>
      </c>
      <c r="CC497" s="1125">
        <f t="shared" si="580"/>
        <v>1</v>
      </c>
      <c r="CD497" s="1125">
        <f t="shared" si="581"/>
        <v>1</v>
      </c>
      <c r="CE497" s="1125">
        <f t="shared" si="582"/>
        <v>0</v>
      </c>
      <c r="CF497" s="1125">
        <f t="shared" si="583"/>
        <v>0</v>
      </c>
      <c r="CG497" s="1125">
        <f t="shared" si="584"/>
        <v>0</v>
      </c>
      <c r="CH497" s="1125">
        <f t="shared" si="585"/>
        <v>0</v>
      </c>
      <c r="CI497" s="1125">
        <f t="shared" si="586"/>
        <v>0.85</v>
      </c>
      <c r="CJ497" s="1125">
        <f t="shared" si="587"/>
        <v>0.85</v>
      </c>
      <c r="CK497" s="1125">
        <f t="shared" si="588"/>
        <v>0.85</v>
      </c>
      <c r="CL497" s="1125">
        <f t="shared" si="589"/>
        <v>0.85</v>
      </c>
      <c r="CM497" s="1125">
        <f t="shared" si="590"/>
        <v>0.85</v>
      </c>
      <c r="CN497" s="1125">
        <f t="shared" si="591"/>
        <v>0.85</v>
      </c>
      <c r="CO497" s="1125">
        <f t="shared" si="592"/>
        <v>0.85</v>
      </c>
      <c r="CP497" s="1125">
        <f t="shared" si="593"/>
        <v>0.85</v>
      </c>
      <c r="CQ497" s="1125">
        <f t="shared" si="594"/>
        <v>0.85</v>
      </c>
      <c r="CR497" s="1125">
        <f t="shared" si="595"/>
        <v>0.85</v>
      </c>
      <c r="CS497" s="1125">
        <f t="shared" si="596"/>
        <v>0.85</v>
      </c>
      <c r="CT497" s="1125">
        <f t="shared" si="597"/>
        <v>0.85</v>
      </c>
      <c r="CU497" s="1125">
        <v>1</v>
      </c>
      <c r="CV497" s="1125"/>
      <c r="CW497" s="1125">
        <f t="shared" si="598"/>
        <v>92</v>
      </c>
      <c r="CX497" s="1125">
        <f t="shared" si="599"/>
        <v>273</v>
      </c>
      <c r="CY497" s="1136" t="s">
        <v>4889</v>
      </c>
      <c r="CZ497" s="1129" t="s">
        <v>4890</v>
      </c>
      <c r="DA497" s="1129"/>
      <c r="DB497" s="1129"/>
      <c r="DC497" s="1125" t="s">
        <v>5777</v>
      </c>
      <c r="DD497" s="1125" t="s">
        <v>427</v>
      </c>
      <c r="DE497" s="1120" t="str">
        <f t="shared" si="600"/>
        <v/>
      </c>
      <c r="DF497" s="1133">
        <v>0</v>
      </c>
      <c r="DG497" s="1125">
        <v>0</v>
      </c>
    </row>
    <row r="498" spans="1:111">
      <c r="A498" s="1120" t="s">
        <v>3747</v>
      </c>
      <c r="B498" s="1125" t="s">
        <v>3236</v>
      </c>
      <c r="C498" s="1125" t="s">
        <v>3237</v>
      </c>
      <c r="D498" s="1125" t="s">
        <v>536</v>
      </c>
      <c r="E498" s="1125">
        <v>3703</v>
      </c>
      <c r="F498" s="1125">
        <v>-102.68</v>
      </c>
      <c r="G498" s="1125">
        <v>38.07</v>
      </c>
      <c r="H498" s="1125">
        <v>-7</v>
      </c>
      <c r="I498" s="1126">
        <v>8.7800006866455078</v>
      </c>
      <c r="J498" s="1126">
        <v>97.520002746582037</v>
      </c>
      <c r="K498" s="1127">
        <v>66.380000686645502</v>
      </c>
      <c r="L498" s="1125">
        <v>5655.6</v>
      </c>
      <c r="M498" s="1125">
        <v>1357.2</v>
      </c>
      <c r="N498" s="1128">
        <v>30.740000021457671</v>
      </c>
      <c r="O498" s="1128">
        <v>37.039999914169314</v>
      </c>
      <c r="P498" s="1128">
        <v>38.120000171661374</v>
      </c>
      <c r="Q498" s="1128">
        <v>45.859999656677246</v>
      </c>
      <c r="R498" s="1128">
        <v>62.419999313354495</v>
      </c>
      <c r="S498" s="1128">
        <v>72.319999313354487</v>
      </c>
      <c r="T498" s="1128">
        <v>77.900000000000006</v>
      </c>
      <c r="U498" s="1128">
        <v>76.460001373291021</v>
      </c>
      <c r="V498" s="1128">
        <v>71.239998626708982</v>
      </c>
      <c r="W498" s="1128">
        <v>47.840000343322757</v>
      </c>
      <c r="X498" s="1128">
        <v>38.839999914169312</v>
      </c>
      <c r="Y498" s="1128">
        <v>31.639999994635581</v>
      </c>
      <c r="Z498" s="1128">
        <v>52.612712221023152</v>
      </c>
      <c r="AA498" s="1128">
        <f t="shared" si="526"/>
        <v>48.311513513183073</v>
      </c>
      <c r="AB498" s="1128">
        <f t="shared" si="527"/>
        <v>47.171980876820392</v>
      </c>
      <c r="AC498" s="1128">
        <f t="shared" si="528"/>
        <v>49.014651172330943</v>
      </c>
      <c r="AD498" s="1128">
        <f t="shared" si="529"/>
        <v>53.359203990781097</v>
      </c>
      <c r="AE498" s="1128">
        <f t="shared" si="530"/>
        <v>59.073164688456281</v>
      </c>
      <c r="AF498" s="1128">
        <f t="shared" si="531"/>
        <v>64.667101354707711</v>
      </c>
      <c r="AG498" s="1128">
        <f t="shared" si="532"/>
        <v>68.682868192303502</v>
      </c>
      <c r="AH498" s="1128">
        <f t="shared" si="533"/>
        <v>70.073693690184129</v>
      </c>
      <c r="AI498" s="1128">
        <f t="shared" si="534"/>
        <v>68.477037749057288</v>
      </c>
      <c r="AJ498" s="1128">
        <f t="shared" si="535"/>
        <v>64.309093345190547</v>
      </c>
      <c r="AK498" s="1128">
        <f t="shared" si="536"/>
        <v>58.656299417419248</v>
      </c>
      <c r="AL498" s="1128">
        <f t="shared" si="537"/>
        <v>52.99214381520828</v>
      </c>
      <c r="AM498" s="1125">
        <f t="shared" si="538"/>
        <v>1</v>
      </c>
      <c r="AN498" s="1125">
        <f t="shared" si="539"/>
        <v>1</v>
      </c>
      <c r="AO498" s="1125">
        <f t="shared" si="540"/>
        <v>1</v>
      </c>
      <c r="AP498" s="1125">
        <f t="shared" si="541"/>
        <v>1</v>
      </c>
      <c r="AQ498" s="1125">
        <f t="shared" si="542"/>
        <v>1</v>
      </c>
      <c r="AR498" s="1125">
        <f t="shared" si="543"/>
        <v>0</v>
      </c>
      <c r="AS498" s="1125">
        <f t="shared" si="544"/>
        <v>0</v>
      </c>
      <c r="AT498" s="1125">
        <f t="shared" si="545"/>
        <v>0</v>
      </c>
      <c r="AU498" s="1125">
        <f t="shared" si="546"/>
        <v>0</v>
      </c>
      <c r="AV498" s="1125">
        <f t="shared" si="547"/>
        <v>1</v>
      </c>
      <c r="AW498" s="1125">
        <f t="shared" si="548"/>
        <v>1</v>
      </c>
      <c r="AX498" s="1125">
        <f t="shared" si="549"/>
        <v>1</v>
      </c>
      <c r="AY498" s="1125">
        <f t="shared" si="550"/>
        <v>0</v>
      </c>
      <c r="AZ498" s="1125">
        <f t="shared" si="551"/>
        <v>0</v>
      </c>
      <c r="BA498" s="1125">
        <f t="shared" si="552"/>
        <v>0</v>
      </c>
      <c r="BB498" s="1125">
        <f t="shared" si="553"/>
        <v>0</v>
      </c>
      <c r="BC498" s="1125">
        <f t="shared" si="554"/>
        <v>0</v>
      </c>
      <c r="BD498" s="1125">
        <f t="shared" si="555"/>
        <v>1</v>
      </c>
      <c r="BE498" s="1125">
        <f t="shared" si="556"/>
        <v>1</v>
      </c>
      <c r="BF498" s="1125">
        <f t="shared" si="557"/>
        <v>1</v>
      </c>
      <c r="BG498" s="1125">
        <f t="shared" si="558"/>
        <v>1</v>
      </c>
      <c r="BH498" s="1125">
        <f t="shared" si="559"/>
        <v>0</v>
      </c>
      <c r="BI498" s="1125">
        <f t="shared" si="560"/>
        <v>0</v>
      </c>
      <c r="BJ498" s="1125">
        <f t="shared" si="561"/>
        <v>0</v>
      </c>
      <c r="BK498" s="1125">
        <f t="shared" si="562"/>
        <v>1</v>
      </c>
      <c r="BL498" s="1125">
        <f t="shared" si="563"/>
        <v>1</v>
      </c>
      <c r="BM498" s="1125">
        <f t="shared" si="564"/>
        <v>1</v>
      </c>
      <c r="BN498" s="1125">
        <f t="shared" si="565"/>
        <v>1</v>
      </c>
      <c r="BO498" s="1125">
        <f t="shared" si="566"/>
        <v>1</v>
      </c>
      <c r="BP498" s="1125">
        <f t="shared" si="567"/>
        <v>1</v>
      </c>
      <c r="BQ498" s="1125">
        <f t="shared" si="568"/>
        <v>0</v>
      </c>
      <c r="BR498" s="1125">
        <f t="shared" si="569"/>
        <v>0</v>
      </c>
      <c r="BS498" s="1125">
        <f t="shared" si="570"/>
        <v>0</v>
      </c>
      <c r="BT498" s="1125">
        <f t="shared" si="571"/>
        <v>1</v>
      </c>
      <c r="BU498" s="1125">
        <f t="shared" si="572"/>
        <v>1</v>
      </c>
      <c r="BV498" s="1125">
        <f t="shared" si="573"/>
        <v>1</v>
      </c>
      <c r="BW498" s="1125">
        <f t="shared" si="574"/>
        <v>0</v>
      </c>
      <c r="BX498" s="1125">
        <f t="shared" si="575"/>
        <v>0</v>
      </c>
      <c r="BY498" s="1125">
        <f t="shared" si="576"/>
        <v>0</v>
      </c>
      <c r="BZ498" s="1125">
        <f t="shared" si="577"/>
        <v>0</v>
      </c>
      <c r="CA498" s="1125">
        <f t="shared" si="578"/>
        <v>1</v>
      </c>
      <c r="CB498" s="1125">
        <f t="shared" si="579"/>
        <v>1</v>
      </c>
      <c r="CC498" s="1125">
        <f t="shared" si="580"/>
        <v>1</v>
      </c>
      <c r="CD498" s="1125">
        <f t="shared" si="581"/>
        <v>1</v>
      </c>
      <c r="CE498" s="1125">
        <f t="shared" si="582"/>
        <v>1</v>
      </c>
      <c r="CF498" s="1125">
        <f t="shared" si="583"/>
        <v>1</v>
      </c>
      <c r="CG498" s="1125">
        <f t="shared" si="584"/>
        <v>0</v>
      </c>
      <c r="CH498" s="1125">
        <f t="shared" si="585"/>
        <v>0</v>
      </c>
      <c r="CI498" s="1125">
        <f t="shared" si="586"/>
        <v>0.85</v>
      </c>
      <c r="CJ498" s="1125">
        <f t="shared" si="587"/>
        <v>0.85</v>
      </c>
      <c r="CK498" s="1125">
        <f t="shared" si="588"/>
        <v>0.85</v>
      </c>
      <c r="CL498" s="1125">
        <f t="shared" si="589"/>
        <v>0.85</v>
      </c>
      <c r="CM498" s="1125">
        <f t="shared" si="590"/>
        <v>0.85</v>
      </c>
      <c r="CN498" s="1125">
        <f t="shared" si="591"/>
        <v>0.85</v>
      </c>
      <c r="CO498" s="1125">
        <f t="shared" si="592"/>
        <v>0.7</v>
      </c>
      <c r="CP498" s="1125">
        <f t="shared" si="593"/>
        <v>0.7</v>
      </c>
      <c r="CQ498" s="1125">
        <f t="shared" si="594"/>
        <v>0.7</v>
      </c>
      <c r="CR498" s="1125">
        <f t="shared" si="595"/>
        <v>0.85</v>
      </c>
      <c r="CS498" s="1125">
        <f t="shared" si="596"/>
        <v>0.85</v>
      </c>
      <c r="CT498" s="1125">
        <f t="shared" si="597"/>
        <v>0.85</v>
      </c>
      <c r="CU498" s="1125">
        <v>1</v>
      </c>
      <c r="CV498" s="1125"/>
      <c r="CW498" s="1125">
        <f t="shared" si="598"/>
        <v>184</v>
      </c>
      <c r="CX498" s="1125">
        <f t="shared" si="599"/>
        <v>181</v>
      </c>
      <c r="CY498" s="1136" t="s">
        <v>4889</v>
      </c>
      <c r="CZ498" s="1129" t="s">
        <v>4890</v>
      </c>
      <c r="DA498" s="1129"/>
      <c r="DB498" s="1129"/>
      <c r="DC498" s="1125" t="s">
        <v>5078</v>
      </c>
      <c r="DD498" s="1125" t="s">
        <v>536</v>
      </c>
      <c r="DE498" s="1120" t="str">
        <f t="shared" si="600"/>
        <v/>
      </c>
      <c r="DF498" s="1133">
        <v>0</v>
      </c>
      <c r="DG498" s="1120">
        <v>0</v>
      </c>
    </row>
    <row r="499" spans="1:111">
      <c r="A499" s="1125" t="s">
        <v>3749</v>
      </c>
      <c r="B499" s="1125" t="s">
        <v>3398</v>
      </c>
      <c r="C499" s="1125" t="s">
        <v>3399</v>
      </c>
      <c r="D499" s="1125" t="s">
        <v>122</v>
      </c>
      <c r="E499" s="1125">
        <v>1342</v>
      </c>
      <c r="F499" s="1125">
        <v>-156.94999999999999</v>
      </c>
      <c r="G499" s="1125">
        <v>20.78</v>
      </c>
      <c r="H499" s="1125">
        <v>-10</v>
      </c>
      <c r="I499" s="1126">
        <v>57.740000343322755</v>
      </c>
      <c r="J499" s="1126">
        <v>84.019999313354489</v>
      </c>
      <c r="K499" s="1127">
        <v>73.580000686645505</v>
      </c>
      <c r="L499" s="1125">
        <v>5.4</v>
      </c>
      <c r="M499" s="1125">
        <v>2404.8000000000002</v>
      </c>
      <c r="N499" s="1128">
        <v>67.819999313354487</v>
      </c>
      <c r="O499" s="1128">
        <v>68.539998626708979</v>
      </c>
      <c r="P499" s="1128">
        <v>68</v>
      </c>
      <c r="Q499" s="1128">
        <v>70.16000137329101</v>
      </c>
      <c r="R499" s="1128">
        <v>71.599999999999994</v>
      </c>
      <c r="S499" s="1128">
        <v>72.860001373291013</v>
      </c>
      <c r="T499" s="1128">
        <v>73.760001373291018</v>
      </c>
      <c r="U499" s="1128">
        <v>72.860001373291013</v>
      </c>
      <c r="V499" s="1128">
        <v>73.939998626708984</v>
      </c>
      <c r="W499" s="1128">
        <v>72.5</v>
      </c>
      <c r="X499" s="1128">
        <v>70.880000686645502</v>
      </c>
      <c r="Y499" s="1128">
        <v>68.539998626708979</v>
      </c>
      <c r="Z499" s="1128">
        <v>70.963835738717691</v>
      </c>
      <c r="AA499" s="1128">
        <f t="shared" si="526"/>
        <v>74.934306052251571</v>
      </c>
      <c r="AB499" s="1128">
        <f t="shared" si="527"/>
        <v>75.059379802457286</v>
      </c>
      <c r="AC499" s="1128">
        <f t="shared" si="528"/>
        <v>75.680879341003646</v>
      </c>
      <c r="AD499" s="1128">
        <f t="shared" si="529"/>
        <v>76.636801235570701</v>
      </c>
      <c r="AE499" s="1128">
        <f t="shared" si="530"/>
        <v>77.677969713137273</v>
      </c>
      <c r="AF499" s="1128">
        <f t="shared" si="531"/>
        <v>78.532988165133716</v>
      </c>
      <c r="AG499" s="1128">
        <f t="shared" si="532"/>
        <v>78.978982855813967</v>
      </c>
      <c r="AH499" s="1128">
        <f t="shared" si="533"/>
        <v>78.899698396065986</v>
      </c>
      <c r="AI499" s="1128">
        <f t="shared" si="534"/>
        <v>78.315801502133596</v>
      </c>
      <c r="AJ499" s="1128">
        <f t="shared" si="535"/>
        <v>77.379493897543796</v>
      </c>
      <c r="AK499" s="1128">
        <f t="shared" si="536"/>
        <v>76.334838588369834</v>
      </c>
      <c r="AL499" s="1128">
        <f t="shared" si="537"/>
        <v>75.454141079573546</v>
      </c>
      <c r="AM499" s="1125">
        <f t="shared" si="538"/>
        <v>1</v>
      </c>
      <c r="AN499" s="1125">
        <f t="shared" si="539"/>
        <v>0</v>
      </c>
      <c r="AO499" s="1125">
        <f t="shared" si="540"/>
        <v>0</v>
      </c>
      <c r="AP499" s="1125">
        <f t="shared" si="541"/>
        <v>0</v>
      </c>
      <c r="AQ499" s="1125">
        <f t="shared" si="542"/>
        <v>0</v>
      </c>
      <c r="AR499" s="1125">
        <f t="shared" si="543"/>
        <v>0</v>
      </c>
      <c r="AS499" s="1125">
        <f t="shared" si="544"/>
        <v>0</v>
      </c>
      <c r="AT499" s="1125">
        <f t="shared" si="545"/>
        <v>0</v>
      </c>
      <c r="AU499" s="1125">
        <f t="shared" si="546"/>
        <v>0</v>
      </c>
      <c r="AV499" s="1125">
        <f t="shared" si="547"/>
        <v>0</v>
      </c>
      <c r="AW499" s="1125">
        <f t="shared" si="548"/>
        <v>0</v>
      </c>
      <c r="AX499" s="1125">
        <f t="shared" si="549"/>
        <v>0</v>
      </c>
      <c r="AY499" s="1125">
        <f t="shared" si="550"/>
        <v>1</v>
      </c>
      <c r="AZ499" s="1125">
        <f t="shared" si="551"/>
        <v>1</v>
      </c>
      <c r="BA499" s="1125">
        <f t="shared" si="552"/>
        <v>1</v>
      </c>
      <c r="BB499" s="1125">
        <f t="shared" si="553"/>
        <v>1</v>
      </c>
      <c r="BC499" s="1125">
        <f t="shared" si="554"/>
        <v>1</v>
      </c>
      <c r="BD499" s="1125">
        <f t="shared" si="555"/>
        <v>1</v>
      </c>
      <c r="BE499" s="1125">
        <f t="shared" si="556"/>
        <v>1</v>
      </c>
      <c r="BF499" s="1125">
        <f t="shared" si="557"/>
        <v>1</v>
      </c>
      <c r="BG499" s="1125">
        <f t="shared" si="558"/>
        <v>1</v>
      </c>
      <c r="BH499" s="1125">
        <f t="shared" si="559"/>
        <v>1</v>
      </c>
      <c r="BI499" s="1125">
        <f t="shared" si="560"/>
        <v>1</v>
      </c>
      <c r="BJ499" s="1125">
        <f t="shared" si="561"/>
        <v>1</v>
      </c>
      <c r="BK499" s="1125">
        <f t="shared" si="562"/>
        <v>1</v>
      </c>
      <c r="BL499" s="1125">
        <f t="shared" si="563"/>
        <v>0</v>
      </c>
      <c r="BM499" s="1125">
        <f t="shared" si="564"/>
        <v>0</v>
      </c>
      <c r="BN499" s="1125">
        <f t="shared" si="565"/>
        <v>0</v>
      </c>
      <c r="BO499" s="1125">
        <f t="shared" si="566"/>
        <v>0</v>
      </c>
      <c r="BP499" s="1125">
        <f t="shared" si="567"/>
        <v>0</v>
      </c>
      <c r="BQ499" s="1125">
        <f t="shared" si="568"/>
        <v>0</v>
      </c>
      <c r="BR499" s="1125">
        <f t="shared" si="569"/>
        <v>0</v>
      </c>
      <c r="BS499" s="1125">
        <f t="shared" si="570"/>
        <v>0</v>
      </c>
      <c r="BT499" s="1125">
        <f t="shared" si="571"/>
        <v>0</v>
      </c>
      <c r="BU499" s="1125">
        <f t="shared" si="572"/>
        <v>0</v>
      </c>
      <c r="BV499" s="1125">
        <f t="shared" si="573"/>
        <v>0</v>
      </c>
      <c r="BW499" s="1125">
        <f t="shared" si="574"/>
        <v>1</v>
      </c>
      <c r="BX499" s="1125">
        <f t="shared" si="575"/>
        <v>1</v>
      </c>
      <c r="BY499" s="1125">
        <f t="shared" si="576"/>
        <v>1</v>
      </c>
      <c r="BZ499" s="1125">
        <f t="shared" si="577"/>
        <v>1</v>
      </c>
      <c r="CA499" s="1125">
        <f t="shared" si="578"/>
        <v>1</v>
      </c>
      <c r="CB499" s="1125">
        <f t="shared" si="579"/>
        <v>1</v>
      </c>
      <c r="CC499" s="1125">
        <f t="shared" si="580"/>
        <v>1</v>
      </c>
      <c r="CD499" s="1125">
        <f t="shared" si="581"/>
        <v>1</v>
      </c>
      <c r="CE499" s="1125">
        <f t="shared" si="582"/>
        <v>1</v>
      </c>
      <c r="CF499" s="1125">
        <f t="shared" si="583"/>
        <v>1</v>
      </c>
      <c r="CG499" s="1125">
        <f t="shared" si="584"/>
        <v>1</v>
      </c>
      <c r="CH499" s="1125">
        <f t="shared" si="585"/>
        <v>1</v>
      </c>
      <c r="CI499" s="1125">
        <f t="shared" si="586"/>
        <v>0.85</v>
      </c>
      <c r="CJ499" s="1125">
        <f t="shared" si="587"/>
        <v>0.7</v>
      </c>
      <c r="CK499" s="1125">
        <f t="shared" si="588"/>
        <v>0.7</v>
      </c>
      <c r="CL499" s="1125">
        <f t="shared" si="589"/>
        <v>0.7</v>
      </c>
      <c r="CM499" s="1125">
        <f t="shared" si="590"/>
        <v>0.7</v>
      </c>
      <c r="CN499" s="1125">
        <f t="shared" si="591"/>
        <v>0.7</v>
      </c>
      <c r="CO499" s="1125">
        <f t="shared" si="592"/>
        <v>0.7</v>
      </c>
      <c r="CP499" s="1125">
        <f t="shared" si="593"/>
        <v>0.7</v>
      </c>
      <c r="CQ499" s="1125">
        <f t="shared" si="594"/>
        <v>0.7</v>
      </c>
      <c r="CR499" s="1125">
        <f t="shared" si="595"/>
        <v>0.7</v>
      </c>
      <c r="CS499" s="1125">
        <f t="shared" si="596"/>
        <v>0.7</v>
      </c>
      <c r="CT499" s="1125">
        <f t="shared" si="597"/>
        <v>0.7</v>
      </c>
      <c r="CU499" s="1125">
        <v>1</v>
      </c>
      <c r="CV499" s="1125"/>
      <c r="CW499" s="1125">
        <f t="shared" si="598"/>
        <v>365</v>
      </c>
      <c r="CX499" s="1125">
        <f t="shared" si="599"/>
        <v>0</v>
      </c>
      <c r="CY499" s="1136" t="s">
        <v>4883</v>
      </c>
      <c r="CZ499" s="1129" t="s">
        <v>4898</v>
      </c>
      <c r="DA499" s="1129"/>
      <c r="DB499" s="1129"/>
      <c r="DC499" s="1125" t="s">
        <v>5154</v>
      </c>
      <c r="DD499" s="1125" t="s">
        <v>122</v>
      </c>
      <c r="DE499" s="1120" t="str">
        <f t="shared" si="600"/>
        <v/>
      </c>
      <c r="DF499" s="1133">
        <v>0</v>
      </c>
      <c r="DG499" s="1125">
        <v>0</v>
      </c>
    </row>
    <row r="500" spans="1:111">
      <c r="A500" s="1120" t="s">
        <v>3751</v>
      </c>
      <c r="B500" s="1125" t="s">
        <v>3124</v>
      </c>
      <c r="C500" s="1125" t="s">
        <v>3125</v>
      </c>
      <c r="D500" s="1125" t="s">
        <v>954</v>
      </c>
      <c r="E500" s="1125">
        <v>2339</v>
      </c>
      <c r="F500" s="1125">
        <v>-118.22</v>
      </c>
      <c r="G500" s="1125">
        <v>34.729999999999997</v>
      </c>
      <c r="H500" s="1125">
        <v>-8</v>
      </c>
      <c r="I500" s="1126">
        <v>24.8</v>
      </c>
      <c r="J500" s="1126">
        <v>99.860001373291013</v>
      </c>
      <c r="K500" s="1127">
        <v>64.939998626708984</v>
      </c>
      <c r="L500" s="1125">
        <v>2835</v>
      </c>
      <c r="M500" s="1125">
        <v>2097</v>
      </c>
      <c r="N500" s="1128">
        <v>43.159999656677243</v>
      </c>
      <c r="O500" s="1128">
        <v>45.859999656677246</v>
      </c>
      <c r="P500" s="1128">
        <v>55.940000343322751</v>
      </c>
      <c r="Q500" s="1128">
        <v>60.619999313354491</v>
      </c>
      <c r="R500" s="1128">
        <v>70.519999313354489</v>
      </c>
      <c r="S500" s="1128">
        <v>77.719999313354492</v>
      </c>
      <c r="T500" s="1128">
        <v>79.7</v>
      </c>
      <c r="U500" s="1128">
        <v>81.860001373291013</v>
      </c>
      <c r="V500" s="1128">
        <v>75.2</v>
      </c>
      <c r="W500" s="1128">
        <v>61.160001373291017</v>
      </c>
      <c r="X500" s="1128">
        <v>51.619999313354491</v>
      </c>
      <c r="Y500" s="1128">
        <v>44.059999656677249</v>
      </c>
      <c r="Z500" s="1128">
        <v>62.376109539188754</v>
      </c>
      <c r="AA500" s="1128">
        <f t="shared" si="526"/>
        <v>57.539419984729854</v>
      </c>
      <c r="AB500" s="1128">
        <f t="shared" si="527"/>
        <v>57.378276658334755</v>
      </c>
      <c r="AC500" s="1128">
        <f t="shared" si="528"/>
        <v>60.083887954069112</v>
      </c>
      <c r="AD500" s="1128">
        <f t="shared" si="529"/>
        <v>64.950994592967604</v>
      </c>
      <c r="AE500" s="1128">
        <f t="shared" si="530"/>
        <v>70.710910225217674</v>
      </c>
      <c r="AF500" s="1128">
        <f t="shared" si="531"/>
        <v>75.86222407828663</v>
      </c>
      <c r="AG500" s="1128">
        <f t="shared" si="532"/>
        <v>79.062166812222614</v>
      </c>
      <c r="AH500" s="1128">
        <f t="shared" si="533"/>
        <v>79.476624040814997</v>
      </c>
      <c r="AI500" s="1128">
        <f t="shared" si="534"/>
        <v>76.997561100451975</v>
      </c>
      <c r="AJ500" s="1128">
        <f t="shared" si="535"/>
        <v>72.271183950055473</v>
      </c>
      <c r="AK500" s="1128">
        <f t="shared" si="536"/>
        <v>66.529495629552954</v>
      </c>
      <c r="AL500" s="1128">
        <f t="shared" si="537"/>
        <v>61.269155681778734</v>
      </c>
      <c r="AM500" s="1125">
        <f t="shared" si="538"/>
        <v>1</v>
      </c>
      <c r="AN500" s="1125">
        <f t="shared" si="539"/>
        <v>1</v>
      </c>
      <c r="AO500" s="1125">
        <f t="shared" si="540"/>
        <v>1</v>
      </c>
      <c r="AP500" s="1125">
        <f t="shared" si="541"/>
        <v>1</v>
      </c>
      <c r="AQ500" s="1125">
        <f t="shared" si="542"/>
        <v>0</v>
      </c>
      <c r="AR500" s="1125">
        <f t="shared" si="543"/>
        <v>0</v>
      </c>
      <c r="AS500" s="1125">
        <f t="shared" si="544"/>
        <v>0</v>
      </c>
      <c r="AT500" s="1125">
        <f t="shared" si="545"/>
        <v>0</v>
      </c>
      <c r="AU500" s="1125">
        <f t="shared" si="546"/>
        <v>0</v>
      </c>
      <c r="AV500" s="1125">
        <f t="shared" si="547"/>
        <v>1</v>
      </c>
      <c r="AW500" s="1125">
        <f t="shared" si="548"/>
        <v>1</v>
      </c>
      <c r="AX500" s="1125">
        <f t="shared" si="549"/>
        <v>1</v>
      </c>
      <c r="AY500" s="1125">
        <f t="shared" si="550"/>
        <v>0</v>
      </c>
      <c r="AZ500" s="1125">
        <f t="shared" si="551"/>
        <v>0</v>
      </c>
      <c r="BA500" s="1125">
        <f t="shared" si="552"/>
        <v>0</v>
      </c>
      <c r="BB500" s="1125">
        <f t="shared" si="553"/>
        <v>0</v>
      </c>
      <c r="BC500" s="1125">
        <f t="shared" si="554"/>
        <v>1</v>
      </c>
      <c r="BD500" s="1125">
        <f t="shared" si="555"/>
        <v>1</v>
      </c>
      <c r="BE500" s="1125">
        <f t="shared" si="556"/>
        <v>1</v>
      </c>
      <c r="BF500" s="1125">
        <f t="shared" si="557"/>
        <v>1</v>
      </c>
      <c r="BG500" s="1125">
        <f t="shared" si="558"/>
        <v>1</v>
      </c>
      <c r="BH500" s="1125">
        <f t="shared" si="559"/>
        <v>0</v>
      </c>
      <c r="BI500" s="1125">
        <f t="shared" si="560"/>
        <v>0</v>
      </c>
      <c r="BJ500" s="1125">
        <f t="shared" si="561"/>
        <v>0</v>
      </c>
      <c r="BK500" s="1125">
        <f t="shared" si="562"/>
        <v>1</v>
      </c>
      <c r="BL500" s="1125">
        <f t="shared" si="563"/>
        <v>1</v>
      </c>
      <c r="BM500" s="1125">
        <f t="shared" si="564"/>
        <v>1</v>
      </c>
      <c r="BN500" s="1125">
        <f t="shared" si="565"/>
        <v>1</v>
      </c>
      <c r="BO500" s="1125">
        <f t="shared" si="566"/>
        <v>1</v>
      </c>
      <c r="BP500" s="1125">
        <f t="shared" si="567"/>
        <v>0</v>
      </c>
      <c r="BQ500" s="1125">
        <f t="shared" si="568"/>
        <v>0</v>
      </c>
      <c r="BR500" s="1125">
        <f t="shared" si="569"/>
        <v>0</v>
      </c>
      <c r="BS500" s="1125">
        <f t="shared" si="570"/>
        <v>0</v>
      </c>
      <c r="BT500" s="1125">
        <f t="shared" si="571"/>
        <v>1</v>
      </c>
      <c r="BU500" s="1125">
        <f t="shared" si="572"/>
        <v>1</v>
      </c>
      <c r="BV500" s="1125">
        <f t="shared" si="573"/>
        <v>1</v>
      </c>
      <c r="BW500" s="1125">
        <f t="shared" si="574"/>
        <v>0</v>
      </c>
      <c r="BX500" s="1125">
        <f t="shared" si="575"/>
        <v>0</v>
      </c>
      <c r="BY500" s="1125">
        <f t="shared" si="576"/>
        <v>0</v>
      </c>
      <c r="BZ500" s="1125">
        <f t="shared" si="577"/>
        <v>1</v>
      </c>
      <c r="CA500" s="1125">
        <f t="shared" si="578"/>
        <v>1</v>
      </c>
      <c r="CB500" s="1125">
        <f t="shared" si="579"/>
        <v>1</v>
      </c>
      <c r="CC500" s="1125">
        <f t="shared" si="580"/>
        <v>1</v>
      </c>
      <c r="CD500" s="1125">
        <f t="shared" si="581"/>
        <v>1</v>
      </c>
      <c r="CE500" s="1125">
        <f t="shared" si="582"/>
        <v>1</v>
      </c>
      <c r="CF500" s="1125">
        <f t="shared" si="583"/>
        <v>1</v>
      </c>
      <c r="CG500" s="1125">
        <f t="shared" si="584"/>
        <v>0</v>
      </c>
      <c r="CH500" s="1125">
        <f t="shared" si="585"/>
        <v>0</v>
      </c>
      <c r="CI500" s="1125">
        <f t="shared" si="586"/>
        <v>0.85</v>
      </c>
      <c r="CJ500" s="1125">
        <f t="shared" si="587"/>
        <v>0.85</v>
      </c>
      <c r="CK500" s="1125">
        <f t="shared" si="588"/>
        <v>0.85</v>
      </c>
      <c r="CL500" s="1125">
        <f t="shared" si="589"/>
        <v>0.85</v>
      </c>
      <c r="CM500" s="1125">
        <f t="shared" si="590"/>
        <v>0.85</v>
      </c>
      <c r="CN500" s="1125">
        <f t="shared" si="591"/>
        <v>0.7</v>
      </c>
      <c r="CO500" s="1125">
        <f t="shared" si="592"/>
        <v>0.7</v>
      </c>
      <c r="CP500" s="1125">
        <f t="shared" si="593"/>
        <v>0.7</v>
      </c>
      <c r="CQ500" s="1125">
        <f t="shared" si="594"/>
        <v>0.7</v>
      </c>
      <c r="CR500" s="1125">
        <f t="shared" si="595"/>
        <v>0.85</v>
      </c>
      <c r="CS500" s="1125">
        <f t="shared" si="596"/>
        <v>0.85</v>
      </c>
      <c r="CT500" s="1125">
        <f t="shared" si="597"/>
        <v>0.85</v>
      </c>
      <c r="CU500" s="1125">
        <v>1</v>
      </c>
      <c r="CV500" s="1125"/>
      <c r="CW500" s="1125">
        <f t="shared" si="598"/>
        <v>214</v>
      </c>
      <c r="CX500" s="1125">
        <f t="shared" si="599"/>
        <v>151</v>
      </c>
      <c r="CY500" s="1135" t="s">
        <v>4886</v>
      </c>
      <c r="CZ500" s="1124" t="s">
        <v>4888</v>
      </c>
      <c r="DA500" s="1124"/>
      <c r="DB500" s="1124"/>
      <c r="DC500" s="1120" t="s">
        <v>5029</v>
      </c>
      <c r="DD500" s="1120" t="s">
        <v>954</v>
      </c>
      <c r="DE500" s="1120" t="str">
        <f t="shared" si="600"/>
        <v/>
      </c>
      <c r="DF500" s="1125">
        <v>0</v>
      </c>
      <c r="DG500" s="1120">
        <v>0</v>
      </c>
    </row>
    <row r="501" spans="1:111">
      <c r="A501" s="1125" t="s">
        <v>3755</v>
      </c>
      <c r="B501" s="1125" t="s">
        <v>4272</v>
      </c>
      <c r="C501" s="1125" t="s">
        <v>4273</v>
      </c>
      <c r="D501" s="1125" t="s">
        <v>539</v>
      </c>
      <c r="E501" s="1125">
        <v>413</v>
      </c>
      <c r="F501" s="1125">
        <v>-76.3</v>
      </c>
      <c r="G501" s="1125">
        <v>40.119999999999997</v>
      </c>
      <c r="H501" s="1125">
        <v>-5</v>
      </c>
      <c r="I501" s="1126">
        <v>12.019999313354491</v>
      </c>
      <c r="J501" s="1126">
        <v>93.379997253417969</v>
      </c>
      <c r="K501" s="1127">
        <v>73.580000686645505</v>
      </c>
      <c r="L501" s="1125">
        <v>4753.8</v>
      </c>
      <c r="M501" s="1125">
        <v>977.4</v>
      </c>
      <c r="N501" s="1128">
        <v>35.6</v>
      </c>
      <c r="O501" s="1128">
        <v>37.4</v>
      </c>
      <c r="P501" s="1128">
        <v>42.440000343322751</v>
      </c>
      <c r="Q501" s="1128">
        <v>53.780000686645508</v>
      </c>
      <c r="R501" s="1128">
        <v>66.019999313354489</v>
      </c>
      <c r="S501" s="1128">
        <v>70.519999313354489</v>
      </c>
      <c r="T501" s="1128">
        <v>74.83999862670899</v>
      </c>
      <c r="U501" s="1128">
        <v>71.599999999999994</v>
      </c>
      <c r="V501" s="1128">
        <v>65.480000686645511</v>
      </c>
      <c r="W501" s="1128">
        <v>52.340000343322757</v>
      </c>
      <c r="X501" s="1128">
        <v>47.480000686645511</v>
      </c>
      <c r="Y501" s="1128">
        <v>30.559999978542329</v>
      </c>
      <c r="Z501" s="1128">
        <v>54.083287665648001</v>
      </c>
      <c r="AA501" s="1128">
        <f t="shared" si="526"/>
        <v>49.998691810884701</v>
      </c>
      <c r="AB501" s="1128">
        <f t="shared" si="527"/>
        <v>49.037247680864219</v>
      </c>
      <c r="AC501" s="1128">
        <f t="shared" si="528"/>
        <v>50.955124097506456</v>
      </c>
      <c r="AD501" s="1128">
        <f t="shared" si="529"/>
        <v>55.252397017443393</v>
      </c>
      <c r="AE501" s="1128">
        <f t="shared" si="530"/>
        <v>60.80891603111322</v>
      </c>
      <c r="AF501" s="1128">
        <f t="shared" si="531"/>
        <v>66.176288829052936</v>
      </c>
      <c r="AG501" s="1128">
        <f t="shared" si="532"/>
        <v>69.955426977761022</v>
      </c>
      <c r="AH501" s="1128">
        <f t="shared" si="533"/>
        <v>71.161239880494989</v>
      </c>
      <c r="AI501" s="1128">
        <f t="shared" si="534"/>
        <v>69.479413822017904</v>
      </c>
      <c r="AJ501" s="1128">
        <f t="shared" si="535"/>
        <v>65.348342682195934</v>
      </c>
      <c r="AK501" s="1128">
        <f t="shared" si="536"/>
        <v>59.844853815356927</v>
      </c>
      <c r="AL501" s="1128">
        <f t="shared" si="537"/>
        <v>54.403516405973143</v>
      </c>
      <c r="AM501" s="1125">
        <f t="shared" si="538"/>
        <v>1</v>
      </c>
      <c r="AN501" s="1125">
        <f t="shared" si="539"/>
        <v>1</v>
      </c>
      <c r="AO501" s="1125">
        <f t="shared" si="540"/>
        <v>1</v>
      </c>
      <c r="AP501" s="1125">
        <f t="shared" si="541"/>
        <v>1</v>
      </c>
      <c r="AQ501" s="1125">
        <f t="shared" si="542"/>
        <v>0</v>
      </c>
      <c r="AR501" s="1125">
        <f t="shared" si="543"/>
        <v>0</v>
      </c>
      <c r="AS501" s="1125">
        <f t="shared" si="544"/>
        <v>0</v>
      </c>
      <c r="AT501" s="1125">
        <f t="shared" si="545"/>
        <v>0</v>
      </c>
      <c r="AU501" s="1125">
        <f t="shared" si="546"/>
        <v>1</v>
      </c>
      <c r="AV501" s="1125">
        <f t="shared" si="547"/>
        <v>1</v>
      </c>
      <c r="AW501" s="1125">
        <f t="shared" si="548"/>
        <v>1</v>
      </c>
      <c r="AX501" s="1125">
        <f t="shared" si="549"/>
        <v>1</v>
      </c>
      <c r="AY501" s="1125">
        <f t="shared" si="550"/>
        <v>0</v>
      </c>
      <c r="AZ501" s="1125">
        <f t="shared" si="551"/>
        <v>0</v>
      </c>
      <c r="BA501" s="1125">
        <f t="shared" si="552"/>
        <v>0</v>
      </c>
      <c r="BB501" s="1125">
        <f t="shared" si="553"/>
        <v>0</v>
      </c>
      <c r="BC501" s="1125">
        <f t="shared" si="554"/>
        <v>1</v>
      </c>
      <c r="BD501" s="1125">
        <f t="shared" si="555"/>
        <v>1</v>
      </c>
      <c r="BE501" s="1125">
        <f t="shared" si="556"/>
        <v>1</v>
      </c>
      <c r="BF501" s="1125">
        <f t="shared" si="557"/>
        <v>1</v>
      </c>
      <c r="BG501" s="1125">
        <f t="shared" si="558"/>
        <v>0</v>
      </c>
      <c r="BH501" s="1125">
        <f t="shared" si="559"/>
        <v>0</v>
      </c>
      <c r="BI501" s="1125">
        <f t="shared" si="560"/>
        <v>0</v>
      </c>
      <c r="BJ501" s="1125">
        <f t="shared" si="561"/>
        <v>0</v>
      </c>
      <c r="BK501" s="1125">
        <f t="shared" si="562"/>
        <v>1</v>
      </c>
      <c r="BL501" s="1125">
        <f t="shared" si="563"/>
        <v>1</v>
      </c>
      <c r="BM501" s="1125">
        <f t="shared" si="564"/>
        <v>1</v>
      </c>
      <c r="BN501" s="1125">
        <f t="shared" si="565"/>
        <v>1</v>
      </c>
      <c r="BO501" s="1125">
        <f t="shared" si="566"/>
        <v>1</v>
      </c>
      <c r="BP501" s="1125">
        <f t="shared" si="567"/>
        <v>0</v>
      </c>
      <c r="BQ501" s="1125">
        <f t="shared" si="568"/>
        <v>0</v>
      </c>
      <c r="BR501" s="1125">
        <f t="shared" si="569"/>
        <v>0</v>
      </c>
      <c r="BS501" s="1125">
        <f t="shared" si="570"/>
        <v>1</v>
      </c>
      <c r="BT501" s="1125">
        <f t="shared" si="571"/>
        <v>1</v>
      </c>
      <c r="BU501" s="1125">
        <f t="shared" si="572"/>
        <v>1</v>
      </c>
      <c r="BV501" s="1125">
        <f t="shared" si="573"/>
        <v>1</v>
      </c>
      <c r="BW501" s="1125">
        <f t="shared" si="574"/>
        <v>0</v>
      </c>
      <c r="BX501" s="1125">
        <f t="shared" si="575"/>
        <v>0</v>
      </c>
      <c r="BY501" s="1125">
        <f t="shared" si="576"/>
        <v>0</v>
      </c>
      <c r="BZ501" s="1125">
        <f t="shared" si="577"/>
        <v>1</v>
      </c>
      <c r="CA501" s="1125">
        <f t="shared" si="578"/>
        <v>1</v>
      </c>
      <c r="CB501" s="1125">
        <f t="shared" si="579"/>
        <v>1</v>
      </c>
      <c r="CC501" s="1125">
        <f t="shared" si="580"/>
        <v>1</v>
      </c>
      <c r="CD501" s="1125">
        <f t="shared" si="581"/>
        <v>1</v>
      </c>
      <c r="CE501" s="1125">
        <f t="shared" si="582"/>
        <v>1</v>
      </c>
      <c r="CF501" s="1125">
        <f t="shared" si="583"/>
        <v>0</v>
      </c>
      <c r="CG501" s="1125">
        <f t="shared" si="584"/>
        <v>0</v>
      </c>
      <c r="CH501" s="1125">
        <f t="shared" si="585"/>
        <v>0</v>
      </c>
      <c r="CI501" s="1125">
        <f t="shared" si="586"/>
        <v>0.85</v>
      </c>
      <c r="CJ501" s="1125">
        <f t="shared" si="587"/>
        <v>0.85</v>
      </c>
      <c r="CK501" s="1125">
        <f t="shared" si="588"/>
        <v>0.85</v>
      </c>
      <c r="CL501" s="1125">
        <f t="shared" si="589"/>
        <v>0.85</v>
      </c>
      <c r="CM501" s="1125">
        <f t="shared" si="590"/>
        <v>0.85</v>
      </c>
      <c r="CN501" s="1125">
        <f t="shared" si="591"/>
        <v>0.7</v>
      </c>
      <c r="CO501" s="1125">
        <f t="shared" si="592"/>
        <v>0.7</v>
      </c>
      <c r="CP501" s="1125">
        <f t="shared" si="593"/>
        <v>0.7</v>
      </c>
      <c r="CQ501" s="1125">
        <f t="shared" si="594"/>
        <v>0.85</v>
      </c>
      <c r="CR501" s="1125">
        <f t="shared" si="595"/>
        <v>0.85</v>
      </c>
      <c r="CS501" s="1125">
        <f t="shared" si="596"/>
        <v>0.85</v>
      </c>
      <c r="CT501" s="1125">
        <f t="shared" si="597"/>
        <v>0.85</v>
      </c>
      <c r="CU501" s="1125">
        <v>1</v>
      </c>
      <c r="CV501" s="1125"/>
      <c r="CW501" s="1125">
        <f t="shared" si="598"/>
        <v>183</v>
      </c>
      <c r="CX501" s="1125">
        <f t="shared" si="599"/>
        <v>182</v>
      </c>
      <c r="CY501" s="1136" t="s">
        <v>4889</v>
      </c>
      <c r="CZ501" s="1129" t="s">
        <v>4897</v>
      </c>
      <c r="DA501" s="1129"/>
      <c r="DB501" s="1129"/>
      <c r="DC501" s="1125" t="s">
        <v>5537</v>
      </c>
      <c r="DD501" s="1125" t="s">
        <v>539</v>
      </c>
      <c r="DE501" s="1120" t="str">
        <f t="shared" si="600"/>
        <v/>
      </c>
      <c r="DF501" s="1133">
        <v>0</v>
      </c>
      <c r="DG501" s="1125">
        <v>0</v>
      </c>
    </row>
    <row r="502" spans="1:111">
      <c r="A502" s="1120" t="s">
        <v>3757</v>
      </c>
      <c r="B502" s="1120" t="s">
        <v>4677</v>
      </c>
      <c r="C502" s="1120" t="s">
        <v>4678</v>
      </c>
      <c r="D502" s="1120" t="s">
        <v>904</v>
      </c>
      <c r="E502" s="1120">
        <v>5556</v>
      </c>
      <c r="F502" s="1120">
        <v>-108.73</v>
      </c>
      <c r="G502" s="1120">
        <v>42.82</v>
      </c>
      <c r="H502" s="1120">
        <v>-7</v>
      </c>
      <c r="I502" s="1121">
        <v>-2.9199993133544933</v>
      </c>
      <c r="J502" s="1121">
        <v>89.060001373291016</v>
      </c>
      <c r="K502" s="1122">
        <v>58.459999656677248</v>
      </c>
      <c r="L502" s="1120">
        <v>7351.2</v>
      </c>
      <c r="M502" s="1120">
        <v>500.40000000000003</v>
      </c>
      <c r="N502" s="1123">
        <v>19.940000343322755</v>
      </c>
      <c r="O502" s="1123">
        <v>24.259999656677245</v>
      </c>
      <c r="P502" s="1123">
        <v>36.5</v>
      </c>
      <c r="Q502" s="1123">
        <v>43.7</v>
      </c>
      <c r="R502" s="1123">
        <v>52.7</v>
      </c>
      <c r="S502" s="1123">
        <v>66.380000686645502</v>
      </c>
      <c r="T502" s="1123">
        <v>72.319999313354487</v>
      </c>
      <c r="U502" s="1123">
        <v>66.380000686645502</v>
      </c>
      <c r="V502" s="1123">
        <v>62.419999313354495</v>
      </c>
      <c r="W502" s="1123">
        <v>43.879999828338626</v>
      </c>
      <c r="X502" s="1123">
        <v>31.81999999731779</v>
      </c>
      <c r="Y502" s="1123">
        <v>26.060000085830687</v>
      </c>
      <c r="Z502" s="1123">
        <v>45.643999995311646</v>
      </c>
      <c r="AA502" s="1123">
        <f t="shared" si="526"/>
        <v>42.485497188805084</v>
      </c>
      <c r="AB502" s="1123">
        <f t="shared" si="527"/>
        <v>40.755620622014796</v>
      </c>
      <c r="AC502" s="1123">
        <f t="shared" si="528"/>
        <v>41.863967933879579</v>
      </c>
      <c r="AD502" s="1123">
        <f t="shared" si="529"/>
        <v>45.521631317412805</v>
      </c>
      <c r="AE502" s="1123">
        <f t="shared" si="530"/>
        <v>50.775184445397592</v>
      </c>
      <c r="AF502" s="1123">
        <f t="shared" si="531"/>
        <v>56.255207735320376</v>
      </c>
      <c r="AG502" s="1123">
        <f t="shared" si="532"/>
        <v>60.533248666947621</v>
      </c>
      <c r="AH502" s="1123">
        <f t="shared" si="533"/>
        <v>62.494169944844344</v>
      </c>
      <c r="AI502" s="1123">
        <f t="shared" si="534"/>
        <v>61.626827219215151</v>
      </c>
      <c r="AJ502" s="1123">
        <f t="shared" si="535"/>
        <v>58.157306737651304</v>
      </c>
      <c r="AK502" s="1123">
        <f t="shared" si="536"/>
        <v>52.989992480601437</v>
      </c>
      <c r="AL502" s="1123">
        <f t="shared" si="537"/>
        <v>47.471824539888736</v>
      </c>
      <c r="AM502" s="1120">
        <f t="shared" si="538"/>
        <v>1</v>
      </c>
      <c r="AN502" s="1120">
        <f t="shared" si="539"/>
        <v>1</v>
      </c>
      <c r="AO502" s="1120">
        <f t="shared" si="540"/>
        <v>1</v>
      </c>
      <c r="AP502" s="1120">
        <f t="shared" si="541"/>
        <v>1</v>
      </c>
      <c r="AQ502" s="1120">
        <f t="shared" si="542"/>
        <v>1</v>
      </c>
      <c r="AR502" s="1120">
        <f t="shared" si="543"/>
        <v>0</v>
      </c>
      <c r="AS502" s="1120">
        <f t="shared" si="544"/>
        <v>0</v>
      </c>
      <c r="AT502" s="1120">
        <f t="shared" si="545"/>
        <v>0</v>
      </c>
      <c r="AU502" s="1120">
        <f t="shared" si="546"/>
        <v>1</v>
      </c>
      <c r="AV502" s="1120">
        <f t="shared" si="547"/>
        <v>1</v>
      </c>
      <c r="AW502" s="1120">
        <f t="shared" si="548"/>
        <v>1</v>
      </c>
      <c r="AX502" s="1120">
        <f t="shared" si="549"/>
        <v>1</v>
      </c>
      <c r="AY502" s="1120">
        <f t="shared" si="550"/>
        <v>0</v>
      </c>
      <c r="AZ502" s="1120">
        <f t="shared" si="551"/>
        <v>0</v>
      </c>
      <c r="BA502" s="1120">
        <f t="shared" si="552"/>
        <v>0</v>
      </c>
      <c r="BB502" s="1120">
        <f t="shared" si="553"/>
        <v>0</v>
      </c>
      <c r="BC502" s="1120">
        <f t="shared" si="554"/>
        <v>0</v>
      </c>
      <c r="BD502" s="1120">
        <f t="shared" si="555"/>
        <v>1</v>
      </c>
      <c r="BE502" s="1120">
        <f t="shared" si="556"/>
        <v>1</v>
      </c>
      <c r="BF502" s="1120">
        <f t="shared" si="557"/>
        <v>1</v>
      </c>
      <c r="BG502" s="1120">
        <f t="shared" si="558"/>
        <v>0</v>
      </c>
      <c r="BH502" s="1120">
        <f t="shared" si="559"/>
        <v>0</v>
      </c>
      <c r="BI502" s="1120">
        <f t="shared" si="560"/>
        <v>0</v>
      </c>
      <c r="BJ502" s="1120">
        <f t="shared" si="561"/>
        <v>0</v>
      </c>
      <c r="BK502" s="1120">
        <f t="shared" si="562"/>
        <v>1</v>
      </c>
      <c r="BL502" s="1120">
        <f t="shared" si="563"/>
        <v>1</v>
      </c>
      <c r="BM502" s="1120">
        <f t="shared" si="564"/>
        <v>1</v>
      </c>
      <c r="BN502" s="1120">
        <f t="shared" si="565"/>
        <v>1</v>
      </c>
      <c r="BO502" s="1120">
        <f t="shared" si="566"/>
        <v>1</v>
      </c>
      <c r="BP502" s="1120">
        <f t="shared" si="567"/>
        <v>1</v>
      </c>
      <c r="BQ502" s="1120">
        <f t="shared" si="568"/>
        <v>0</v>
      </c>
      <c r="BR502" s="1120">
        <f t="shared" si="569"/>
        <v>0</v>
      </c>
      <c r="BS502" s="1120">
        <f t="shared" si="570"/>
        <v>1</v>
      </c>
      <c r="BT502" s="1120">
        <f t="shared" si="571"/>
        <v>1</v>
      </c>
      <c r="BU502" s="1120">
        <f t="shared" si="572"/>
        <v>1</v>
      </c>
      <c r="BV502" s="1120">
        <f t="shared" si="573"/>
        <v>1</v>
      </c>
      <c r="BW502" s="1120">
        <f t="shared" si="574"/>
        <v>0</v>
      </c>
      <c r="BX502" s="1120">
        <f t="shared" si="575"/>
        <v>0</v>
      </c>
      <c r="BY502" s="1120">
        <f t="shared" si="576"/>
        <v>0</v>
      </c>
      <c r="BZ502" s="1120">
        <f t="shared" si="577"/>
        <v>0</v>
      </c>
      <c r="CA502" s="1120">
        <f t="shared" si="578"/>
        <v>1</v>
      </c>
      <c r="CB502" s="1120">
        <f t="shared" si="579"/>
        <v>1</v>
      </c>
      <c r="CC502" s="1120">
        <f t="shared" si="580"/>
        <v>1</v>
      </c>
      <c r="CD502" s="1120">
        <f t="shared" si="581"/>
        <v>1</v>
      </c>
      <c r="CE502" s="1120">
        <f t="shared" si="582"/>
        <v>1</v>
      </c>
      <c r="CF502" s="1120">
        <f t="shared" si="583"/>
        <v>0</v>
      </c>
      <c r="CG502" s="1120">
        <f t="shared" si="584"/>
        <v>0</v>
      </c>
      <c r="CH502" s="1120">
        <f t="shared" si="585"/>
        <v>0</v>
      </c>
      <c r="CI502" s="1120">
        <f t="shared" si="586"/>
        <v>0.85</v>
      </c>
      <c r="CJ502" s="1120">
        <f t="shared" si="587"/>
        <v>0.85</v>
      </c>
      <c r="CK502" s="1120">
        <f t="shared" si="588"/>
        <v>0.85</v>
      </c>
      <c r="CL502" s="1120">
        <f t="shared" si="589"/>
        <v>0.85</v>
      </c>
      <c r="CM502" s="1120">
        <f t="shared" si="590"/>
        <v>0.85</v>
      </c>
      <c r="CN502" s="1120">
        <f t="shared" si="591"/>
        <v>0.85</v>
      </c>
      <c r="CO502" s="1120">
        <f t="shared" si="592"/>
        <v>0.7</v>
      </c>
      <c r="CP502" s="1120">
        <f t="shared" si="593"/>
        <v>0.7</v>
      </c>
      <c r="CQ502" s="1120">
        <f t="shared" si="594"/>
        <v>0.85</v>
      </c>
      <c r="CR502" s="1120">
        <f t="shared" si="595"/>
        <v>0.85</v>
      </c>
      <c r="CS502" s="1120">
        <f t="shared" si="596"/>
        <v>0.85</v>
      </c>
      <c r="CT502" s="1120">
        <f t="shared" si="597"/>
        <v>0.85</v>
      </c>
      <c r="CU502" s="1120">
        <v>1</v>
      </c>
      <c r="CV502" s="1120"/>
      <c r="CW502" s="1120">
        <f t="shared" si="598"/>
        <v>153</v>
      </c>
      <c r="CX502" s="1120">
        <f t="shared" si="599"/>
        <v>212</v>
      </c>
      <c r="CY502" s="1136" t="s">
        <v>4889</v>
      </c>
      <c r="CZ502" s="1129" t="s">
        <v>4896</v>
      </c>
      <c r="DA502" s="1129"/>
      <c r="DB502" s="1129"/>
      <c r="DC502" s="1125" t="s">
        <v>5698</v>
      </c>
      <c r="DD502" s="1125" t="s">
        <v>904</v>
      </c>
      <c r="DE502" s="1120" t="str">
        <f t="shared" si="600"/>
        <v/>
      </c>
      <c r="DF502" s="1133">
        <v>0</v>
      </c>
      <c r="DG502" s="1120">
        <v>0</v>
      </c>
    </row>
    <row r="503" spans="1:111">
      <c r="A503" s="1125" t="s">
        <v>3759</v>
      </c>
      <c r="B503" s="1120" t="s">
        <v>4506</v>
      </c>
      <c r="C503" s="1120" t="s">
        <v>4507</v>
      </c>
      <c r="D503" s="1120" t="s">
        <v>501</v>
      </c>
      <c r="E503" s="1120">
        <v>10</v>
      </c>
      <c r="F503" s="1120">
        <v>-76.349999999999994</v>
      </c>
      <c r="G503" s="1120">
        <v>37.08</v>
      </c>
      <c r="H503" s="1120">
        <v>-5</v>
      </c>
      <c r="I503" s="1121">
        <v>24.8</v>
      </c>
      <c r="J503" s="1121">
        <v>90.5</v>
      </c>
      <c r="K503" s="1122">
        <v>76.460001373291021</v>
      </c>
      <c r="L503" s="1120">
        <v>4024.8</v>
      </c>
      <c r="M503" s="1120">
        <v>1526.4</v>
      </c>
      <c r="N503" s="1123">
        <v>40.279999828338624</v>
      </c>
      <c r="O503" s="1123">
        <v>40.279999828338624</v>
      </c>
      <c r="P503" s="1123">
        <v>44.059999656677249</v>
      </c>
      <c r="Q503" s="1123">
        <v>54.319999313354494</v>
      </c>
      <c r="R503" s="1123">
        <v>65.3</v>
      </c>
      <c r="S503" s="1123">
        <v>75.560001373291016</v>
      </c>
      <c r="T503" s="1123">
        <v>80.060001373291016</v>
      </c>
      <c r="U503" s="1123">
        <v>75.380000686645502</v>
      </c>
      <c r="V503" s="1123">
        <v>70.33999862670899</v>
      </c>
      <c r="W503" s="1123">
        <v>60.440000343322751</v>
      </c>
      <c r="X503" s="1123">
        <v>45.679999828338623</v>
      </c>
      <c r="Y503" s="1123">
        <v>38.120000171661374</v>
      </c>
      <c r="Z503" s="1123">
        <v>57.582685022746048</v>
      </c>
      <c r="AA503" s="1123">
        <f t="shared" si="526"/>
        <v>53.100983169868385</v>
      </c>
      <c r="AB503" s="1123">
        <f t="shared" si="527"/>
        <v>52.468732751035255</v>
      </c>
      <c r="AC503" s="1123">
        <f t="shared" si="528"/>
        <v>54.733505263012383</v>
      </c>
      <c r="AD503" s="1123">
        <f t="shared" si="529"/>
        <v>59.30495284935207</v>
      </c>
      <c r="AE503" s="1123">
        <f t="shared" si="530"/>
        <v>64.991457248535127</v>
      </c>
      <c r="AF503" s="1123">
        <f t="shared" si="531"/>
        <v>70.310743457229123</v>
      </c>
      <c r="AG503" s="1123">
        <f t="shared" si="532"/>
        <v>73.876257552456167</v>
      </c>
      <c r="AH503" s="1123">
        <f t="shared" si="533"/>
        <v>74.758593339059956</v>
      </c>
      <c r="AI503" s="1123">
        <f t="shared" si="534"/>
        <v>72.727756397056112</v>
      </c>
      <c r="AJ503" s="1123">
        <f t="shared" si="535"/>
        <v>68.313115671522581</v>
      </c>
      <c r="AK503" s="1123">
        <f t="shared" si="536"/>
        <v>62.665415299242532</v>
      </c>
      <c r="AL503" s="1123">
        <f t="shared" si="537"/>
        <v>57.256815415947997</v>
      </c>
      <c r="AM503" s="1120">
        <f t="shared" si="538"/>
        <v>1</v>
      </c>
      <c r="AN503" s="1120">
        <f t="shared" si="539"/>
        <v>1</v>
      </c>
      <c r="AO503" s="1120">
        <f t="shared" si="540"/>
        <v>1</v>
      </c>
      <c r="AP503" s="1120">
        <f t="shared" si="541"/>
        <v>1</v>
      </c>
      <c r="AQ503" s="1120">
        <f t="shared" si="542"/>
        <v>1</v>
      </c>
      <c r="AR503" s="1120">
        <f t="shared" si="543"/>
        <v>0</v>
      </c>
      <c r="AS503" s="1120">
        <f t="shared" si="544"/>
        <v>0</v>
      </c>
      <c r="AT503" s="1120">
        <f t="shared" si="545"/>
        <v>0</v>
      </c>
      <c r="AU503" s="1120">
        <f t="shared" si="546"/>
        <v>0</v>
      </c>
      <c r="AV503" s="1120">
        <f t="shared" si="547"/>
        <v>1</v>
      </c>
      <c r="AW503" s="1120">
        <f t="shared" si="548"/>
        <v>1</v>
      </c>
      <c r="AX503" s="1120">
        <f t="shared" si="549"/>
        <v>1</v>
      </c>
      <c r="AY503" s="1120">
        <f t="shared" si="550"/>
        <v>0</v>
      </c>
      <c r="AZ503" s="1120">
        <f t="shared" si="551"/>
        <v>0</v>
      </c>
      <c r="BA503" s="1120">
        <f t="shared" si="552"/>
        <v>0</v>
      </c>
      <c r="BB503" s="1120">
        <f t="shared" si="553"/>
        <v>0</v>
      </c>
      <c r="BC503" s="1120">
        <f t="shared" si="554"/>
        <v>0</v>
      </c>
      <c r="BD503" s="1120">
        <f t="shared" si="555"/>
        <v>1</v>
      </c>
      <c r="BE503" s="1120">
        <f t="shared" si="556"/>
        <v>1</v>
      </c>
      <c r="BF503" s="1120">
        <f t="shared" si="557"/>
        <v>1</v>
      </c>
      <c r="BG503" s="1120">
        <f t="shared" si="558"/>
        <v>1</v>
      </c>
      <c r="BH503" s="1120">
        <f t="shared" si="559"/>
        <v>0</v>
      </c>
      <c r="BI503" s="1120">
        <f t="shared" si="560"/>
        <v>0</v>
      </c>
      <c r="BJ503" s="1120">
        <f t="shared" si="561"/>
        <v>0</v>
      </c>
      <c r="BK503" s="1120">
        <f t="shared" si="562"/>
        <v>1</v>
      </c>
      <c r="BL503" s="1120">
        <f t="shared" si="563"/>
        <v>1</v>
      </c>
      <c r="BM503" s="1120">
        <f t="shared" si="564"/>
        <v>1</v>
      </c>
      <c r="BN503" s="1120">
        <f t="shared" si="565"/>
        <v>1</v>
      </c>
      <c r="BO503" s="1120">
        <f t="shared" si="566"/>
        <v>1</v>
      </c>
      <c r="BP503" s="1120">
        <f t="shared" si="567"/>
        <v>1</v>
      </c>
      <c r="BQ503" s="1120">
        <f t="shared" si="568"/>
        <v>0</v>
      </c>
      <c r="BR503" s="1120">
        <f t="shared" si="569"/>
        <v>0</v>
      </c>
      <c r="BS503" s="1120">
        <f t="shared" si="570"/>
        <v>0</v>
      </c>
      <c r="BT503" s="1120">
        <f t="shared" si="571"/>
        <v>1</v>
      </c>
      <c r="BU503" s="1120">
        <f t="shared" si="572"/>
        <v>1</v>
      </c>
      <c r="BV503" s="1120">
        <f t="shared" si="573"/>
        <v>1</v>
      </c>
      <c r="BW503" s="1120">
        <f t="shared" si="574"/>
        <v>0</v>
      </c>
      <c r="BX503" s="1120">
        <f t="shared" si="575"/>
        <v>0</v>
      </c>
      <c r="BY503" s="1120">
        <f t="shared" si="576"/>
        <v>0</v>
      </c>
      <c r="BZ503" s="1120">
        <f t="shared" si="577"/>
        <v>0</v>
      </c>
      <c r="CA503" s="1120">
        <f t="shared" si="578"/>
        <v>1</v>
      </c>
      <c r="CB503" s="1120">
        <f t="shared" si="579"/>
        <v>1</v>
      </c>
      <c r="CC503" s="1120">
        <f t="shared" si="580"/>
        <v>1</v>
      </c>
      <c r="CD503" s="1120">
        <f t="shared" si="581"/>
        <v>1</v>
      </c>
      <c r="CE503" s="1120">
        <f t="shared" si="582"/>
        <v>1</v>
      </c>
      <c r="CF503" s="1120">
        <f t="shared" si="583"/>
        <v>1</v>
      </c>
      <c r="CG503" s="1120">
        <f t="shared" si="584"/>
        <v>0</v>
      </c>
      <c r="CH503" s="1120">
        <f t="shared" si="585"/>
        <v>0</v>
      </c>
      <c r="CI503" s="1120">
        <f t="shared" si="586"/>
        <v>0.85</v>
      </c>
      <c r="CJ503" s="1120">
        <f t="shared" si="587"/>
        <v>0.85</v>
      </c>
      <c r="CK503" s="1120">
        <f t="shared" si="588"/>
        <v>0.85</v>
      </c>
      <c r="CL503" s="1120">
        <f t="shared" si="589"/>
        <v>0.85</v>
      </c>
      <c r="CM503" s="1120">
        <f t="shared" si="590"/>
        <v>0.85</v>
      </c>
      <c r="CN503" s="1120">
        <f t="shared" si="591"/>
        <v>0.85</v>
      </c>
      <c r="CO503" s="1120">
        <f t="shared" si="592"/>
        <v>0.7</v>
      </c>
      <c r="CP503" s="1120">
        <f t="shared" si="593"/>
        <v>0.7</v>
      </c>
      <c r="CQ503" s="1120">
        <f t="shared" si="594"/>
        <v>0.7</v>
      </c>
      <c r="CR503" s="1120">
        <f t="shared" si="595"/>
        <v>0.85</v>
      </c>
      <c r="CS503" s="1120">
        <f t="shared" si="596"/>
        <v>0.85</v>
      </c>
      <c r="CT503" s="1120">
        <f t="shared" si="597"/>
        <v>0.85</v>
      </c>
      <c r="CU503" s="1120">
        <v>1</v>
      </c>
      <c r="CV503" s="1120"/>
      <c r="CW503" s="1120">
        <f t="shared" si="598"/>
        <v>184</v>
      </c>
      <c r="CX503" s="1120">
        <f t="shared" si="599"/>
        <v>181</v>
      </c>
      <c r="CY503" s="1135" t="s">
        <v>4881</v>
      </c>
      <c r="CZ503" s="1124" t="s">
        <v>4885</v>
      </c>
      <c r="DA503" s="1124"/>
      <c r="DB503" s="1124"/>
      <c r="DC503" s="1120" t="s">
        <v>6009</v>
      </c>
      <c r="DD503" s="1120" t="s">
        <v>501</v>
      </c>
      <c r="DE503" s="1120" t="b">
        <f t="shared" si="600"/>
        <v>0</v>
      </c>
      <c r="DF503" s="1133">
        <v>0</v>
      </c>
      <c r="DG503" s="1125">
        <v>0</v>
      </c>
    </row>
    <row r="504" spans="1:111">
      <c r="A504" s="1120" t="s">
        <v>3761</v>
      </c>
      <c r="B504" s="1125" t="s">
        <v>3741</v>
      </c>
      <c r="C504" s="1125" t="s">
        <v>3742</v>
      </c>
      <c r="D504" s="1125" t="s">
        <v>540</v>
      </c>
      <c r="E504" s="1125">
        <v>840</v>
      </c>
      <c r="F504" s="1125">
        <v>-84.58</v>
      </c>
      <c r="G504" s="1125">
        <v>42.78</v>
      </c>
      <c r="H504" s="1125">
        <v>-5</v>
      </c>
      <c r="I504" s="1126">
        <v>3.0199993133544916</v>
      </c>
      <c r="J504" s="1126">
        <v>86.539998626708979</v>
      </c>
      <c r="K504" s="1127">
        <v>72.139998626708987</v>
      </c>
      <c r="L504" s="1125">
        <v>6753.6</v>
      </c>
      <c r="M504" s="1125">
        <v>667.80000000000007</v>
      </c>
      <c r="N504" s="1128">
        <v>21.740000343322755</v>
      </c>
      <c r="O504" s="1128">
        <v>21.2</v>
      </c>
      <c r="P504" s="1128">
        <v>35.6</v>
      </c>
      <c r="Q504" s="1128">
        <v>47.840000343322757</v>
      </c>
      <c r="R504" s="1128">
        <v>60.440000343322751</v>
      </c>
      <c r="S504" s="1128">
        <v>68.180000686645513</v>
      </c>
      <c r="T504" s="1128">
        <v>71.780000686645508</v>
      </c>
      <c r="U504" s="1128">
        <v>69.260001373291018</v>
      </c>
      <c r="V504" s="1128">
        <v>62.060001373291016</v>
      </c>
      <c r="W504" s="1128">
        <v>47.659999656677243</v>
      </c>
      <c r="X504" s="1128">
        <v>37.939999914169313</v>
      </c>
      <c r="Y504" s="1128">
        <v>27.5</v>
      </c>
      <c r="Z504" s="1128">
        <v>47.746794915133961</v>
      </c>
      <c r="AA504" s="1128">
        <f t="shared" si="526"/>
        <v>44.245185351176573</v>
      </c>
      <c r="AB504" s="1128">
        <f t="shared" si="527"/>
        <v>42.685803101767107</v>
      </c>
      <c r="AC504" s="1128">
        <f t="shared" si="528"/>
        <v>44.009638823555186</v>
      </c>
      <c r="AD504" s="1128">
        <f t="shared" si="529"/>
        <v>47.871614334730744</v>
      </c>
      <c r="AE504" s="1128">
        <f t="shared" si="530"/>
        <v>53.265046203461743</v>
      </c>
      <c r="AF504" s="1128">
        <f t="shared" si="531"/>
        <v>58.784053297862485</v>
      </c>
      <c r="AG504" s="1128">
        <f t="shared" si="532"/>
        <v>62.990021368303616</v>
      </c>
      <c r="AH504" s="1128">
        <f t="shared" si="533"/>
        <v>64.786600021294731</v>
      </c>
      <c r="AI504" s="1128">
        <f t="shared" si="534"/>
        <v>63.705483344818624</v>
      </c>
      <c r="AJ504" s="1128">
        <f t="shared" si="535"/>
        <v>60.028481061111059</v>
      </c>
      <c r="AK504" s="1128">
        <f t="shared" si="536"/>
        <v>54.714060479740837</v>
      </c>
      <c r="AL504" s="1128">
        <f t="shared" si="537"/>
        <v>49.147507222942274</v>
      </c>
      <c r="AM504" s="1125">
        <f t="shared" si="538"/>
        <v>1</v>
      </c>
      <c r="AN504" s="1125">
        <f t="shared" si="539"/>
        <v>1</v>
      </c>
      <c r="AO504" s="1125">
        <f t="shared" si="540"/>
        <v>1</v>
      </c>
      <c r="AP504" s="1125">
        <f t="shared" si="541"/>
        <v>1</v>
      </c>
      <c r="AQ504" s="1125">
        <f t="shared" si="542"/>
        <v>1</v>
      </c>
      <c r="AR504" s="1125">
        <f t="shared" si="543"/>
        <v>0</v>
      </c>
      <c r="AS504" s="1125">
        <f t="shared" si="544"/>
        <v>0</v>
      </c>
      <c r="AT504" s="1125">
        <f t="shared" si="545"/>
        <v>0</v>
      </c>
      <c r="AU504" s="1125">
        <f t="shared" si="546"/>
        <v>1</v>
      </c>
      <c r="AV504" s="1125">
        <f t="shared" si="547"/>
        <v>1</v>
      </c>
      <c r="AW504" s="1125">
        <f t="shared" si="548"/>
        <v>1</v>
      </c>
      <c r="AX504" s="1125">
        <f t="shared" si="549"/>
        <v>1</v>
      </c>
      <c r="AY504" s="1125">
        <f t="shared" si="550"/>
        <v>0</v>
      </c>
      <c r="AZ504" s="1125">
        <f t="shared" si="551"/>
        <v>0</v>
      </c>
      <c r="BA504" s="1125">
        <f t="shared" si="552"/>
        <v>0</v>
      </c>
      <c r="BB504" s="1125">
        <f t="shared" si="553"/>
        <v>0</v>
      </c>
      <c r="BC504" s="1125">
        <f t="shared" si="554"/>
        <v>0</v>
      </c>
      <c r="BD504" s="1125">
        <f t="shared" si="555"/>
        <v>1</v>
      </c>
      <c r="BE504" s="1125">
        <f t="shared" si="556"/>
        <v>1</v>
      </c>
      <c r="BF504" s="1125">
        <f t="shared" si="557"/>
        <v>1</v>
      </c>
      <c r="BG504" s="1125">
        <f t="shared" si="558"/>
        <v>0</v>
      </c>
      <c r="BH504" s="1125">
        <f t="shared" si="559"/>
        <v>0</v>
      </c>
      <c r="BI504" s="1125">
        <f t="shared" si="560"/>
        <v>0</v>
      </c>
      <c r="BJ504" s="1125">
        <f t="shared" si="561"/>
        <v>0</v>
      </c>
      <c r="BK504" s="1125">
        <f t="shared" si="562"/>
        <v>1</v>
      </c>
      <c r="BL504" s="1125">
        <f t="shared" si="563"/>
        <v>1</v>
      </c>
      <c r="BM504" s="1125">
        <f t="shared" si="564"/>
        <v>1</v>
      </c>
      <c r="BN504" s="1125">
        <f t="shared" si="565"/>
        <v>1</v>
      </c>
      <c r="BO504" s="1125">
        <f t="shared" si="566"/>
        <v>1</v>
      </c>
      <c r="BP504" s="1125">
        <f t="shared" si="567"/>
        <v>1</v>
      </c>
      <c r="BQ504" s="1125">
        <f t="shared" si="568"/>
        <v>0</v>
      </c>
      <c r="BR504" s="1125">
        <f t="shared" si="569"/>
        <v>0</v>
      </c>
      <c r="BS504" s="1125">
        <f t="shared" si="570"/>
        <v>1</v>
      </c>
      <c r="BT504" s="1125">
        <f t="shared" si="571"/>
        <v>1</v>
      </c>
      <c r="BU504" s="1125">
        <f t="shared" si="572"/>
        <v>1</v>
      </c>
      <c r="BV504" s="1125">
        <f t="shared" si="573"/>
        <v>1</v>
      </c>
      <c r="BW504" s="1125">
        <f t="shared" si="574"/>
        <v>0</v>
      </c>
      <c r="BX504" s="1125">
        <f t="shared" si="575"/>
        <v>0</v>
      </c>
      <c r="BY504" s="1125">
        <f t="shared" si="576"/>
        <v>0</v>
      </c>
      <c r="BZ504" s="1125">
        <f t="shared" si="577"/>
        <v>0</v>
      </c>
      <c r="CA504" s="1125">
        <f t="shared" si="578"/>
        <v>1</v>
      </c>
      <c r="CB504" s="1125">
        <f t="shared" si="579"/>
        <v>1</v>
      </c>
      <c r="CC504" s="1125">
        <f t="shared" si="580"/>
        <v>1</v>
      </c>
      <c r="CD504" s="1125">
        <f t="shared" si="581"/>
        <v>1</v>
      </c>
      <c r="CE504" s="1125">
        <f t="shared" si="582"/>
        <v>1</v>
      </c>
      <c r="CF504" s="1125">
        <f t="shared" si="583"/>
        <v>0</v>
      </c>
      <c r="CG504" s="1125">
        <f t="shared" si="584"/>
        <v>0</v>
      </c>
      <c r="CH504" s="1125">
        <f t="shared" si="585"/>
        <v>0</v>
      </c>
      <c r="CI504" s="1125">
        <f t="shared" si="586"/>
        <v>0.85</v>
      </c>
      <c r="CJ504" s="1125">
        <f t="shared" si="587"/>
        <v>0.85</v>
      </c>
      <c r="CK504" s="1125">
        <f t="shared" si="588"/>
        <v>0.85</v>
      </c>
      <c r="CL504" s="1125">
        <f t="shared" si="589"/>
        <v>0.85</v>
      </c>
      <c r="CM504" s="1125">
        <f t="shared" si="590"/>
        <v>0.85</v>
      </c>
      <c r="CN504" s="1125">
        <f t="shared" si="591"/>
        <v>0.85</v>
      </c>
      <c r="CO504" s="1125">
        <f t="shared" si="592"/>
        <v>0.7</v>
      </c>
      <c r="CP504" s="1125">
        <f t="shared" si="593"/>
        <v>0.7</v>
      </c>
      <c r="CQ504" s="1125">
        <f t="shared" si="594"/>
        <v>0.85</v>
      </c>
      <c r="CR504" s="1125">
        <f t="shared" si="595"/>
        <v>0.85</v>
      </c>
      <c r="CS504" s="1125">
        <f t="shared" si="596"/>
        <v>0.85</v>
      </c>
      <c r="CT504" s="1125">
        <f t="shared" si="597"/>
        <v>0.85</v>
      </c>
      <c r="CU504" s="1125">
        <v>1</v>
      </c>
      <c r="CV504" s="1125"/>
      <c r="CW504" s="1125">
        <f t="shared" si="598"/>
        <v>153</v>
      </c>
      <c r="CX504" s="1125">
        <f t="shared" si="599"/>
        <v>212</v>
      </c>
      <c r="CY504" s="1136" t="s">
        <v>4889</v>
      </c>
      <c r="CZ504" s="1129" t="s">
        <v>4897</v>
      </c>
      <c r="DA504" s="1129"/>
      <c r="DB504" s="1129"/>
      <c r="DC504" s="1125" t="s">
        <v>5310</v>
      </c>
      <c r="DD504" s="1125" t="s">
        <v>540</v>
      </c>
      <c r="DE504" s="1120" t="str">
        <f t="shared" si="600"/>
        <v/>
      </c>
      <c r="DF504" s="1133">
        <v>0</v>
      </c>
      <c r="DG504" s="1120">
        <v>0</v>
      </c>
    </row>
    <row r="505" spans="1:111">
      <c r="A505" s="1125" t="s">
        <v>3763</v>
      </c>
      <c r="B505" s="1125" t="s">
        <v>4679</v>
      </c>
      <c r="C505" s="1125" t="s">
        <v>4680</v>
      </c>
      <c r="D505" s="1125" t="s">
        <v>904</v>
      </c>
      <c r="E505" s="1125">
        <v>7265</v>
      </c>
      <c r="F505" s="1125">
        <v>-105.68</v>
      </c>
      <c r="G505" s="1125">
        <v>41.32</v>
      </c>
      <c r="H505" s="1125">
        <v>-7</v>
      </c>
      <c r="I505" s="1126">
        <v>-2.2000000000000011</v>
      </c>
      <c r="J505" s="1126">
        <v>82.039998626708979</v>
      </c>
      <c r="K505" s="1127">
        <v>54.5</v>
      </c>
      <c r="L505" s="1125">
        <v>7578</v>
      </c>
      <c r="M505" s="1125">
        <v>167.4</v>
      </c>
      <c r="N505" s="1128">
        <v>26.23999991416931</v>
      </c>
      <c r="O505" s="1128">
        <v>26.420000171661378</v>
      </c>
      <c r="P505" s="1128">
        <v>37.4</v>
      </c>
      <c r="Q505" s="1128">
        <v>42.440000343322751</v>
      </c>
      <c r="R505" s="1128">
        <v>49.280000686645508</v>
      </c>
      <c r="S505" s="1128">
        <v>58.459999656677248</v>
      </c>
      <c r="T505" s="1128">
        <v>67.460001373291021</v>
      </c>
      <c r="U505" s="1128">
        <v>65.3</v>
      </c>
      <c r="V505" s="1128">
        <v>55.580000686645505</v>
      </c>
      <c r="W505" s="1128">
        <v>42.440000343322751</v>
      </c>
      <c r="X505" s="1128">
        <v>32.720000010728839</v>
      </c>
      <c r="Y505" s="1128">
        <v>24.440000343322755</v>
      </c>
      <c r="Z505" s="1128">
        <v>44.123616734824772</v>
      </c>
      <c r="AA505" s="1128">
        <f t="shared" si="526"/>
        <v>43.001388910078532</v>
      </c>
      <c r="AB505" s="1128">
        <f t="shared" si="527"/>
        <v>41.523397621530108</v>
      </c>
      <c r="AC505" s="1128">
        <f t="shared" si="528"/>
        <v>42.287185978250228</v>
      </c>
      <c r="AD505" s="1128">
        <f t="shared" si="529"/>
        <v>45.093660774724931</v>
      </c>
      <c r="AE505" s="1128">
        <f t="shared" si="530"/>
        <v>49.211271106167324</v>
      </c>
      <c r="AF505" s="1128">
        <f t="shared" si="531"/>
        <v>53.566698385391007</v>
      </c>
      <c r="AG505" s="1128">
        <f t="shared" si="532"/>
        <v>57.024633372900269</v>
      </c>
      <c r="AH505" s="1128">
        <f t="shared" si="533"/>
        <v>58.683712025809633</v>
      </c>
      <c r="AI505" s="1128">
        <f t="shared" si="534"/>
        <v>58.111469926062327</v>
      </c>
      <c r="AJ505" s="1128">
        <f t="shared" si="535"/>
        <v>55.457070795475175</v>
      </c>
      <c r="AK505" s="1128">
        <f t="shared" si="536"/>
        <v>51.412424672964512</v>
      </c>
      <c r="AL505" s="1128">
        <f t="shared" si="537"/>
        <v>47.03183090024622</v>
      </c>
      <c r="AM505" s="1125">
        <f t="shared" si="538"/>
        <v>1</v>
      </c>
      <c r="AN505" s="1125">
        <f t="shared" si="539"/>
        <v>1</v>
      </c>
      <c r="AO505" s="1125">
        <f t="shared" si="540"/>
        <v>1</v>
      </c>
      <c r="AP505" s="1125">
        <f t="shared" si="541"/>
        <v>1</v>
      </c>
      <c r="AQ505" s="1125">
        <f t="shared" si="542"/>
        <v>1</v>
      </c>
      <c r="AR505" s="1125">
        <f t="shared" si="543"/>
        <v>1</v>
      </c>
      <c r="AS505" s="1125">
        <f t="shared" si="544"/>
        <v>0</v>
      </c>
      <c r="AT505" s="1125">
        <f t="shared" si="545"/>
        <v>1</v>
      </c>
      <c r="AU505" s="1125">
        <f t="shared" si="546"/>
        <v>1</v>
      </c>
      <c r="AV505" s="1125">
        <f t="shared" si="547"/>
        <v>1</v>
      </c>
      <c r="AW505" s="1125">
        <f t="shared" si="548"/>
        <v>1</v>
      </c>
      <c r="AX505" s="1125">
        <f t="shared" si="549"/>
        <v>1</v>
      </c>
      <c r="AY505" s="1125">
        <f t="shared" si="550"/>
        <v>0</v>
      </c>
      <c r="AZ505" s="1125">
        <f t="shared" si="551"/>
        <v>0</v>
      </c>
      <c r="BA505" s="1125">
        <f t="shared" si="552"/>
        <v>0</v>
      </c>
      <c r="BB505" s="1125">
        <f t="shared" si="553"/>
        <v>0</v>
      </c>
      <c r="BC505" s="1125">
        <f t="shared" si="554"/>
        <v>0</v>
      </c>
      <c r="BD505" s="1125">
        <f t="shared" si="555"/>
        <v>0</v>
      </c>
      <c r="BE505" s="1125">
        <f t="shared" si="556"/>
        <v>1</v>
      </c>
      <c r="BF505" s="1125">
        <f t="shared" si="557"/>
        <v>1</v>
      </c>
      <c r="BG505" s="1125">
        <f t="shared" si="558"/>
        <v>0</v>
      </c>
      <c r="BH505" s="1125">
        <f t="shared" si="559"/>
        <v>0</v>
      </c>
      <c r="BI505" s="1125">
        <f t="shared" si="560"/>
        <v>0</v>
      </c>
      <c r="BJ505" s="1125">
        <f t="shared" si="561"/>
        <v>0</v>
      </c>
      <c r="BK505" s="1125">
        <f t="shared" si="562"/>
        <v>1</v>
      </c>
      <c r="BL505" s="1125">
        <f t="shared" si="563"/>
        <v>1</v>
      </c>
      <c r="BM505" s="1125">
        <f t="shared" si="564"/>
        <v>1</v>
      </c>
      <c r="BN505" s="1125">
        <f t="shared" si="565"/>
        <v>1</v>
      </c>
      <c r="BO505" s="1125">
        <f t="shared" si="566"/>
        <v>1</v>
      </c>
      <c r="BP505" s="1125">
        <f t="shared" si="567"/>
        <v>1</v>
      </c>
      <c r="BQ505" s="1125">
        <f t="shared" si="568"/>
        <v>1</v>
      </c>
      <c r="BR505" s="1125">
        <f t="shared" si="569"/>
        <v>1</v>
      </c>
      <c r="BS505" s="1125">
        <f t="shared" si="570"/>
        <v>1</v>
      </c>
      <c r="BT505" s="1125">
        <f t="shared" si="571"/>
        <v>1</v>
      </c>
      <c r="BU505" s="1125">
        <f t="shared" si="572"/>
        <v>1</v>
      </c>
      <c r="BV505" s="1125">
        <f t="shared" si="573"/>
        <v>1</v>
      </c>
      <c r="BW505" s="1125">
        <f t="shared" si="574"/>
        <v>0</v>
      </c>
      <c r="BX505" s="1125">
        <f t="shared" si="575"/>
        <v>0</v>
      </c>
      <c r="BY505" s="1125">
        <f t="shared" si="576"/>
        <v>0</v>
      </c>
      <c r="BZ505" s="1125">
        <f t="shared" si="577"/>
        <v>0</v>
      </c>
      <c r="CA505" s="1125">
        <f t="shared" si="578"/>
        <v>0</v>
      </c>
      <c r="CB505" s="1125">
        <f t="shared" si="579"/>
        <v>1</v>
      </c>
      <c r="CC505" s="1125">
        <f t="shared" si="580"/>
        <v>1</v>
      </c>
      <c r="CD505" s="1125">
        <f t="shared" si="581"/>
        <v>1</v>
      </c>
      <c r="CE505" s="1125">
        <f t="shared" si="582"/>
        <v>0</v>
      </c>
      <c r="CF505" s="1125">
        <f t="shared" si="583"/>
        <v>0</v>
      </c>
      <c r="CG505" s="1125">
        <f t="shared" si="584"/>
        <v>0</v>
      </c>
      <c r="CH505" s="1125">
        <f t="shared" si="585"/>
        <v>0</v>
      </c>
      <c r="CI505" s="1125">
        <f t="shared" si="586"/>
        <v>0.85</v>
      </c>
      <c r="CJ505" s="1125">
        <f t="shared" si="587"/>
        <v>0.85</v>
      </c>
      <c r="CK505" s="1125">
        <f t="shared" si="588"/>
        <v>0.85</v>
      </c>
      <c r="CL505" s="1125">
        <f t="shared" si="589"/>
        <v>0.85</v>
      </c>
      <c r="CM505" s="1125">
        <f t="shared" si="590"/>
        <v>0.85</v>
      </c>
      <c r="CN505" s="1125">
        <f t="shared" si="591"/>
        <v>0.85</v>
      </c>
      <c r="CO505" s="1125">
        <f t="shared" si="592"/>
        <v>0.85</v>
      </c>
      <c r="CP505" s="1125">
        <f t="shared" si="593"/>
        <v>0.85</v>
      </c>
      <c r="CQ505" s="1125">
        <f t="shared" si="594"/>
        <v>0.85</v>
      </c>
      <c r="CR505" s="1125">
        <f t="shared" si="595"/>
        <v>0.85</v>
      </c>
      <c r="CS505" s="1125">
        <f t="shared" si="596"/>
        <v>0.85</v>
      </c>
      <c r="CT505" s="1125">
        <f t="shared" si="597"/>
        <v>0.85</v>
      </c>
      <c r="CU505" s="1125">
        <v>1</v>
      </c>
      <c r="CV505" s="1125"/>
      <c r="CW505" s="1125">
        <f t="shared" si="598"/>
        <v>92</v>
      </c>
      <c r="CX505" s="1125">
        <f t="shared" si="599"/>
        <v>273</v>
      </c>
      <c r="CY505" s="1135" t="s">
        <v>4889</v>
      </c>
      <c r="CZ505" s="1124" t="s">
        <v>4896</v>
      </c>
      <c r="DA505" s="1124"/>
      <c r="DB505" s="1124"/>
      <c r="DC505" s="1120" t="s">
        <v>5699</v>
      </c>
      <c r="DD505" s="1120" t="s">
        <v>904</v>
      </c>
      <c r="DE505" s="1120" t="str">
        <f t="shared" si="600"/>
        <v/>
      </c>
      <c r="DF505" s="1133">
        <v>0</v>
      </c>
      <c r="DG505" s="1125">
        <v>0</v>
      </c>
    </row>
    <row r="506" spans="1:111">
      <c r="A506" s="1120" t="s">
        <v>5868</v>
      </c>
      <c r="B506" s="1120" t="s">
        <v>4420</v>
      </c>
      <c r="C506" s="1120" t="s">
        <v>4421</v>
      </c>
      <c r="D506" s="1120" t="s">
        <v>228</v>
      </c>
      <c r="E506" s="1120">
        <v>466</v>
      </c>
      <c r="F506" s="1120">
        <v>-99.49</v>
      </c>
      <c r="G506" s="1120">
        <v>27.57</v>
      </c>
      <c r="H506" s="1120">
        <v>-6</v>
      </c>
      <c r="I506" s="1121">
        <v>37.76000008583069</v>
      </c>
      <c r="J506" s="1121">
        <v>100.93999862670898</v>
      </c>
      <c r="K506" s="1122">
        <v>73.939998626708984</v>
      </c>
      <c r="L506" s="1120">
        <v>1137.6000000000001</v>
      </c>
      <c r="M506" s="1120">
        <v>4037.4</v>
      </c>
      <c r="N506" s="1123">
        <v>52.519999313354489</v>
      </c>
      <c r="O506" s="1123">
        <v>57.559999656677249</v>
      </c>
      <c r="P506" s="1123">
        <v>63.139998626708987</v>
      </c>
      <c r="Q506" s="1123">
        <v>73.939998626708984</v>
      </c>
      <c r="R506" s="1123">
        <v>84.019999313354489</v>
      </c>
      <c r="S506" s="1123">
        <v>85.639998626708987</v>
      </c>
      <c r="T506" s="1123">
        <v>86.180000686645513</v>
      </c>
      <c r="U506" s="1123">
        <v>84.919999313354495</v>
      </c>
      <c r="V506" s="1123">
        <v>80.060001373291016</v>
      </c>
      <c r="W506" s="1123">
        <v>74.119999313354498</v>
      </c>
      <c r="X506" s="1123">
        <v>69.980000686645511</v>
      </c>
      <c r="Y506" s="1123">
        <v>55.219999313354492</v>
      </c>
      <c r="Z506" s="1123">
        <v>72.339725594716526</v>
      </c>
      <c r="AA506" s="1123">
        <f t="shared" si="526"/>
        <v>66.91361415327944</v>
      </c>
      <c r="AB506" s="1123">
        <f t="shared" si="527"/>
        <v>67.753486335955614</v>
      </c>
      <c r="AC506" s="1123">
        <f t="shared" si="528"/>
        <v>71.352824920312997</v>
      </c>
      <c r="AD506" s="1123">
        <f t="shared" si="529"/>
        <v>76.773406836852217</v>
      </c>
      <c r="AE506" s="1123">
        <f t="shared" si="530"/>
        <v>82.602273875331477</v>
      </c>
      <c r="AF506" s="1123">
        <f t="shared" si="531"/>
        <v>87.320042016611097</v>
      </c>
      <c r="AG506" s="1123">
        <f t="shared" si="532"/>
        <v>89.696952291658775</v>
      </c>
      <c r="AH506" s="1123">
        <f t="shared" si="533"/>
        <v>89.113426407987234</v>
      </c>
      <c r="AI506" s="1123">
        <f t="shared" si="534"/>
        <v>85.721569379581538</v>
      </c>
      <c r="AJ506" s="1123">
        <f t="shared" si="535"/>
        <v>80.405521010994647</v>
      </c>
      <c r="AK506" s="1123">
        <f t="shared" si="536"/>
        <v>74.550991232283849</v>
      </c>
      <c r="AL506" s="1123">
        <f t="shared" si="537"/>
        <v>69.68405345130499</v>
      </c>
      <c r="AM506" s="1120">
        <f t="shared" si="538"/>
        <v>1</v>
      </c>
      <c r="AN506" s="1120">
        <f t="shared" si="539"/>
        <v>1</v>
      </c>
      <c r="AO506" s="1120">
        <f t="shared" si="540"/>
        <v>1</v>
      </c>
      <c r="AP506" s="1120">
        <f t="shared" si="541"/>
        <v>0</v>
      </c>
      <c r="AQ506" s="1120">
        <f t="shared" si="542"/>
        <v>0</v>
      </c>
      <c r="AR506" s="1120">
        <f t="shared" si="543"/>
        <v>0</v>
      </c>
      <c r="AS506" s="1120">
        <f t="shared" si="544"/>
        <v>0</v>
      </c>
      <c r="AT506" s="1120">
        <f t="shared" si="545"/>
        <v>0</v>
      </c>
      <c r="AU506" s="1120">
        <f t="shared" si="546"/>
        <v>0</v>
      </c>
      <c r="AV506" s="1120">
        <f t="shared" si="547"/>
        <v>0</v>
      </c>
      <c r="AW506" s="1120">
        <f t="shared" si="548"/>
        <v>0</v>
      </c>
      <c r="AX506" s="1120">
        <f t="shared" si="549"/>
        <v>1</v>
      </c>
      <c r="AY506" s="1120">
        <f t="shared" si="550"/>
        <v>0</v>
      </c>
      <c r="AZ506" s="1120">
        <f t="shared" si="551"/>
        <v>0</v>
      </c>
      <c r="BA506" s="1120">
        <f t="shared" si="552"/>
        <v>0</v>
      </c>
      <c r="BB506" s="1120">
        <f t="shared" si="553"/>
        <v>1</v>
      </c>
      <c r="BC506" s="1120">
        <f t="shared" si="554"/>
        <v>1</v>
      </c>
      <c r="BD506" s="1120">
        <f t="shared" si="555"/>
        <v>1</v>
      </c>
      <c r="BE506" s="1120">
        <f t="shared" si="556"/>
        <v>1</v>
      </c>
      <c r="BF506" s="1120">
        <f t="shared" si="557"/>
        <v>1</v>
      </c>
      <c r="BG506" s="1120">
        <f t="shared" si="558"/>
        <v>1</v>
      </c>
      <c r="BH506" s="1120">
        <f t="shared" si="559"/>
        <v>1</v>
      </c>
      <c r="BI506" s="1120">
        <f t="shared" si="560"/>
        <v>1</v>
      </c>
      <c r="BJ506" s="1120">
        <f t="shared" si="561"/>
        <v>0</v>
      </c>
      <c r="BK506" s="1120">
        <f t="shared" si="562"/>
        <v>1</v>
      </c>
      <c r="BL506" s="1120">
        <f t="shared" si="563"/>
        <v>1</v>
      </c>
      <c r="BM506" s="1120">
        <f t="shared" si="564"/>
        <v>1</v>
      </c>
      <c r="BN506" s="1120">
        <f t="shared" si="565"/>
        <v>1</v>
      </c>
      <c r="BO506" s="1120">
        <f t="shared" si="566"/>
        <v>0</v>
      </c>
      <c r="BP506" s="1120">
        <f t="shared" si="567"/>
        <v>0</v>
      </c>
      <c r="BQ506" s="1120">
        <f t="shared" si="568"/>
        <v>0</v>
      </c>
      <c r="BR506" s="1120">
        <f t="shared" si="569"/>
        <v>0</v>
      </c>
      <c r="BS506" s="1120">
        <f t="shared" si="570"/>
        <v>0</v>
      </c>
      <c r="BT506" s="1120">
        <f t="shared" si="571"/>
        <v>0</v>
      </c>
      <c r="BU506" s="1120">
        <f t="shared" si="572"/>
        <v>0</v>
      </c>
      <c r="BV506" s="1120">
        <f t="shared" si="573"/>
        <v>1</v>
      </c>
      <c r="BW506" s="1120">
        <f t="shared" si="574"/>
        <v>0</v>
      </c>
      <c r="BX506" s="1120">
        <f t="shared" si="575"/>
        <v>0</v>
      </c>
      <c r="BY506" s="1120">
        <f t="shared" si="576"/>
        <v>1</v>
      </c>
      <c r="BZ506" s="1120">
        <f t="shared" si="577"/>
        <v>1</v>
      </c>
      <c r="CA506" s="1120">
        <f t="shared" si="578"/>
        <v>1</v>
      </c>
      <c r="CB506" s="1120">
        <f t="shared" si="579"/>
        <v>1</v>
      </c>
      <c r="CC506" s="1120">
        <f t="shared" si="580"/>
        <v>1</v>
      </c>
      <c r="CD506" s="1120">
        <f t="shared" si="581"/>
        <v>1</v>
      </c>
      <c r="CE506" s="1120">
        <f t="shared" si="582"/>
        <v>1</v>
      </c>
      <c r="CF506" s="1120">
        <f t="shared" si="583"/>
        <v>1</v>
      </c>
      <c r="CG506" s="1120">
        <f t="shared" si="584"/>
        <v>1</v>
      </c>
      <c r="CH506" s="1120">
        <f t="shared" si="585"/>
        <v>1</v>
      </c>
      <c r="CI506" s="1120">
        <f t="shared" si="586"/>
        <v>0.85</v>
      </c>
      <c r="CJ506" s="1120">
        <f t="shared" si="587"/>
        <v>0.85</v>
      </c>
      <c r="CK506" s="1120">
        <f t="shared" si="588"/>
        <v>0.85</v>
      </c>
      <c r="CL506" s="1120">
        <f t="shared" si="589"/>
        <v>0.85</v>
      </c>
      <c r="CM506" s="1120">
        <f t="shared" si="590"/>
        <v>0.7</v>
      </c>
      <c r="CN506" s="1120">
        <f t="shared" si="591"/>
        <v>0.7</v>
      </c>
      <c r="CO506" s="1120">
        <f t="shared" si="592"/>
        <v>0.7</v>
      </c>
      <c r="CP506" s="1120">
        <f t="shared" si="593"/>
        <v>0.7</v>
      </c>
      <c r="CQ506" s="1120">
        <f t="shared" si="594"/>
        <v>0.7</v>
      </c>
      <c r="CR506" s="1120">
        <f t="shared" si="595"/>
        <v>0.7</v>
      </c>
      <c r="CS506" s="1120">
        <f t="shared" si="596"/>
        <v>0.7</v>
      </c>
      <c r="CT506" s="1120">
        <f t="shared" si="597"/>
        <v>0.85</v>
      </c>
      <c r="CU506" s="1120">
        <v>1</v>
      </c>
      <c r="CV506" s="1120"/>
      <c r="CW506" s="1120">
        <f t="shared" si="598"/>
        <v>306</v>
      </c>
      <c r="CX506" s="1120">
        <f t="shared" si="599"/>
        <v>59</v>
      </c>
      <c r="CY506" s="1136" t="s">
        <v>4883</v>
      </c>
      <c r="CZ506" s="1129" t="s">
        <v>4887</v>
      </c>
      <c r="DA506" s="1129"/>
      <c r="DB506" s="1129"/>
      <c r="DC506" s="1125" t="s">
        <v>5599</v>
      </c>
      <c r="DD506" s="1125" t="s">
        <v>228</v>
      </c>
      <c r="DE506" s="1120" t="b">
        <f t="shared" si="600"/>
        <v>0</v>
      </c>
      <c r="DF506" s="1133">
        <v>0</v>
      </c>
      <c r="DG506" s="1120">
        <v>0</v>
      </c>
    </row>
    <row r="507" spans="1:111">
      <c r="A507" s="1125" t="s">
        <v>3765</v>
      </c>
      <c r="B507" s="1125" t="s">
        <v>4084</v>
      </c>
      <c r="C507" s="1125" t="s">
        <v>4085</v>
      </c>
      <c r="D507" s="1125" t="s">
        <v>538</v>
      </c>
      <c r="E507" s="1125">
        <v>4569</v>
      </c>
      <c r="F507" s="1125">
        <v>-106.92</v>
      </c>
      <c r="G507" s="1125">
        <v>32.28</v>
      </c>
      <c r="H507" s="1125">
        <v>-7</v>
      </c>
      <c r="I507" s="1126">
        <v>18.859999656677246</v>
      </c>
      <c r="J507" s="1126">
        <v>102.37999725341797</v>
      </c>
      <c r="K507" s="1127">
        <v>66.380000686645502</v>
      </c>
      <c r="L507" s="1125">
        <v>2773.8</v>
      </c>
      <c r="M507" s="1125">
        <v>2347.2000000000003</v>
      </c>
      <c r="N507" s="1128">
        <v>41.720000171661376</v>
      </c>
      <c r="O507" s="1128">
        <v>46.580000686645505</v>
      </c>
      <c r="P507" s="1128">
        <v>50.719999313354492</v>
      </c>
      <c r="Q507" s="1128">
        <v>62.239998626708989</v>
      </c>
      <c r="R507" s="1128">
        <v>72.319999313354487</v>
      </c>
      <c r="S507" s="1128">
        <v>79.7</v>
      </c>
      <c r="T507" s="1128">
        <v>85.280000686645508</v>
      </c>
      <c r="U507" s="1128">
        <v>81.139998626708987</v>
      </c>
      <c r="V507" s="1128">
        <v>76.819999313354487</v>
      </c>
      <c r="W507" s="1128">
        <v>63.5</v>
      </c>
      <c r="X507" s="1128">
        <v>51.080000686645505</v>
      </c>
      <c r="Y507" s="1128">
        <v>46.580000686645505</v>
      </c>
      <c r="Z507" s="1128">
        <v>63.228766961032399</v>
      </c>
      <c r="AA507" s="1128">
        <f t="shared" si="526"/>
        <v>56.800948892847003</v>
      </c>
      <c r="AB507" s="1128">
        <f t="shared" si="527"/>
        <v>56.713539232391625</v>
      </c>
      <c r="AC507" s="1128">
        <f t="shared" si="528"/>
        <v>59.888416544903748</v>
      </c>
      <c r="AD507" s="1128">
        <f t="shared" si="529"/>
        <v>65.498000132536717</v>
      </c>
      <c r="AE507" s="1128">
        <f t="shared" si="530"/>
        <v>72.080065586874198</v>
      </c>
      <c r="AF507" s="1128">
        <f t="shared" si="531"/>
        <v>77.91889611454414</v>
      </c>
      <c r="AG507" s="1128">
        <f t="shared" si="532"/>
        <v>81.492510559407307</v>
      </c>
      <c r="AH507" s="1128">
        <f t="shared" si="533"/>
        <v>81.869391245344517</v>
      </c>
      <c r="AI507" s="1128">
        <f t="shared" si="534"/>
        <v>78.95129841365906</v>
      </c>
      <c r="AJ507" s="1128">
        <f t="shared" si="535"/>
        <v>73.4988779301015</v>
      </c>
      <c r="AK507" s="1128">
        <f t="shared" si="536"/>
        <v>66.933387218054165</v>
      </c>
      <c r="AL507" s="1128">
        <f t="shared" si="537"/>
        <v>60.966222608886667</v>
      </c>
      <c r="AM507" s="1125">
        <f t="shared" si="538"/>
        <v>1</v>
      </c>
      <c r="AN507" s="1125">
        <f t="shared" si="539"/>
        <v>1</v>
      </c>
      <c r="AO507" s="1125">
        <f t="shared" si="540"/>
        <v>1</v>
      </c>
      <c r="AP507" s="1125">
        <f t="shared" si="541"/>
        <v>1</v>
      </c>
      <c r="AQ507" s="1125">
        <f t="shared" si="542"/>
        <v>0</v>
      </c>
      <c r="AR507" s="1125">
        <f t="shared" si="543"/>
        <v>0</v>
      </c>
      <c r="AS507" s="1125">
        <f t="shared" si="544"/>
        <v>0</v>
      </c>
      <c r="AT507" s="1125">
        <f t="shared" si="545"/>
        <v>0</v>
      </c>
      <c r="AU507" s="1125">
        <f t="shared" si="546"/>
        <v>0</v>
      </c>
      <c r="AV507" s="1125">
        <f t="shared" si="547"/>
        <v>1</v>
      </c>
      <c r="AW507" s="1125">
        <f t="shared" si="548"/>
        <v>1</v>
      </c>
      <c r="AX507" s="1125">
        <f t="shared" si="549"/>
        <v>1</v>
      </c>
      <c r="AY507" s="1125">
        <f t="shared" si="550"/>
        <v>0</v>
      </c>
      <c r="AZ507" s="1125">
        <f t="shared" si="551"/>
        <v>0</v>
      </c>
      <c r="BA507" s="1125">
        <f t="shared" si="552"/>
        <v>0</v>
      </c>
      <c r="BB507" s="1125">
        <f t="shared" si="553"/>
        <v>0</v>
      </c>
      <c r="BC507" s="1125">
        <f t="shared" si="554"/>
        <v>1</v>
      </c>
      <c r="BD507" s="1125">
        <f t="shared" si="555"/>
        <v>1</v>
      </c>
      <c r="BE507" s="1125">
        <f t="shared" si="556"/>
        <v>1</v>
      </c>
      <c r="BF507" s="1125">
        <f t="shared" si="557"/>
        <v>1</v>
      </c>
      <c r="BG507" s="1125">
        <f t="shared" si="558"/>
        <v>1</v>
      </c>
      <c r="BH507" s="1125">
        <f t="shared" si="559"/>
        <v>0</v>
      </c>
      <c r="BI507" s="1125">
        <f t="shared" si="560"/>
        <v>0</v>
      </c>
      <c r="BJ507" s="1125">
        <f t="shared" si="561"/>
        <v>0</v>
      </c>
      <c r="BK507" s="1125">
        <f t="shared" si="562"/>
        <v>1</v>
      </c>
      <c r="BL507" s="1125">
        <f t="shared" si="563"/>
        <v>1</v>
      </c>
      <c r="BM507" s="1125">
        <f t="shared" si="564"/>
        <v>1</v>
      </c>
      <c r="BN507" s="1125">
        <f t="shared" si="565"/>
        <v>1</v>
      </c>
      <c r="BO507" s="1125">
        <f t="shared" si="566"/>
        <v>1</v>
      </c>
      <c r="BP507" s="1125">
        <f t="shared" si="567"/>
        <v>0</v>
      </c>
      <c r="BQ507" s="1125">
        <f t="shared" si="568"/>
        <v>0</v>
      </c>
      <c r="BR507" s="1125">
        <f t="shared" si="569"/>
        <v>0</v>
      </c>
      <c r="BS507" s="1125">
        <f t="shared" si="570"/>
        <v>0</v>
      </c>
      <c r="BT507" s="1125">
        <f t="shared" si="571"/>
        <v>1</v>
      </c>
      <c r="BU507" s="1125">
        <f t="shared" si="572"/>
        <v>1</v>
      </c>
      <c r="BV507" s="1125">
        <f t="shared" si="573"/>
        <v>1</v>
      </c>
      <c r="BW507" s="1125">
        <f t="shared" si="574"/>
        <v>0</v>
      </c>
      <c r="BX507" s="1125">
        <f t="shared" si="575"/>
        <v>0</v>
      </c>
      <c r="BY507" s="1125">
        <f t="shared" si="576"/>
        <v>0</v>
      </c>
      <c r="BZ507" s="1125">
        <f t="shared" si="577"/>
        <v>1</v>
      </c>
      <c r="CA507" s="1125">
        <f t="shared" si="578"/>
        <v>1</v>
      </c>
      <c r="CB507" s="1125">
        <f t="shared" si="579"/>
        <v>1</v>
      </c>
      <c r="CC507" s="1125">
        <f t="shared" si="580"/>
        <v>1</v>
      </c>
      <c r="CD507" s="1125">
        <f t="shared" si="581"/>
        <v>1</v>
      </c>
      <c r="CE507" s="1125">
        <f t="shared" si="582"/>
        <v>1</v>
      </c>
      <c r="CF507" s="1125">
        <f t="shared" si="583"/>
        <v>1</v>
      </c>
      <c r="CG507" s="1125">
        <f t="shared" si="584"/>
        <v>0</v>
      </c>
      <c r="CH507" s="1125">
        <f t="shared" si="585"/>
        <v>0</v>
      </c>
      <c r="CI507" s="1125">
        <f t="shared" si="586"/>
        <v>0.85</v>
      </c>
      <c r="CJ507" s="1125">
        <f t="shared" si="587"/>
        <v>0.85</v>
      </c>
      <c r="CK507" s="1125">
        <f t="shared" si="588"/>
        <v>0.85</v>
      </c>
      <c r="CL507" s="1125">
        <f t="shared" si="589"/>
        <v>0.85</v>
      </c>
      <c r="CM507" s="1125">
        <f t="shared" si="590"/>
        <v>0.85</v>
      </c>
      <c r="CN507" s="1125">
        <f t="shared" si="591"/>
        <v>0.7</v>
      </c>
      <c r="CO507" s="1125">
        <f t="shared" si="592"/>
        <v>0.7</v>
      </c>
      <c r="CP507" s="1125">
        <f t="shared" si="593"/>
        <v>0.7</v>
      </c>
      <c r="CQ507" s="1125">
        <f t="shared" si="594"/>
        <v>0.7</v>
      </c>
      <c r="CR507" s="1125">
        <f t="shared" si="595"/>
        <v>0.85</v>
      </c>
      <c r="CS507" s="1125">
        <f t="shared" si="596"/>
        <v>0.85</v>
      </c>
      <c r="CT507" s="1125">
        <f t="shared" si="597"/>
        <v>0.85</v>
      </c>
      <c r="CU507" s="1125">
        <v>1</v>
      </c>
      <c r="CV507" s="1125"/>
      <c r="CW507" s="1125">
        <f t="shared" si="598"/>
        <v>214</v>
      </c>
      <c r="CX507" s="1125">
        <f t="shared" si="599"/>
        <v>151</v>
      </c>
      <c r="CY507" s="1136" t="s">
        <v>4886</v>
      </c>
      <c r="CZ507" s="1129" t="s">
        <v>4888</v>
      </c>
      <c r="DA507" s="1129"/>
      <c r="DB507" s="1129"/>
      <c r="DC507" s="1125" t="s">
        <v>5453</v>
      </c>
      <c r="DD507" s="1125" t="s">
        <v>538</v>
      </c>
      <c r="DE507" s="1120" t="str">
        <f t="shared" si="600"/>
        <v/>
      </c>
      <c r="DF507" s="1133">
        <v>0</v>
      </c>
      <c r="DG507" s="1125">
        <v>0</v>
      </c>
    </row>
    <row r="508" spans="1:111">
      <c r="A508" s="1120" t="s">
        <v>3767</v>
      </c>
      <c r="B508" s="1120" t="s">
        <v>4102</v>
      </c>
      <c r="C508" s="1120" t="s">
        <v>4103</v>
      </c>
      <c r="D508" s="1120" t="s">
        <v>450</v>
      </c>
      <c r="E508" s="1120">
        <v>2125</v>
      </c>
      <c r="F508" s="1120">
        <v>-115.15</v>
      </c>
      <c r="G508" s="1120">
        <v>36.08</v>
      </c>
      <c r="H508" s="1120">
        <v>-8</v>
      </c>
      <c r="I508" s="1121">
        <v>33.259999978542325</v>
      </c>
      <c r="J508" s="1121">
        <v>106.16000137329102</v>
      </c>
      <c r="K508" s="1122">
        <v>67.460001373291021</v>
      </c>
      <c r="L508" s="1120">
        <v>2221.2000000000003</v>
      </c>
      <c r="M508" s="1120">
        <v>3427.2000000000003</v>
      </c>
      <c r="N508" s="1123">
        <v>46.040000343322752</v>
      </c>
      <c r="O508" s="1123">
        <v>48.740000343322755</v>
      </c>
      <c r="P508" s="1123">
        <v>55.219999313354492</v>
      </c>
      <c r="Q508" s="1123">
        <v>66.919999313354495</v>
      </c>
      <c r="R508" s="1123">
        <v>76.639998626708987</v>
      </c>
      <c r="S508" s="1123">
        <v>86.360001373291013</v>
      </c>
      <c r="T508" s="1123">
        <v>91.579997253417972</v>
      </c>
      <c r="U508" s="1123">
        <v>88.7</v>
      </c>
      <c r="V508" s="1123">
        <v>81.5</v>
      </c>
      <c r="W508" s="1123">
        <v>67.280000686645508</v>
      </c>
      <c r="X508" s="1123">
        <v>55.4</v>
      </c>
      <c r="Y508" s="1123">
        <v>46.940000343322751</v>
      </c>
      <c r="Z508" s="1123">
        <v>67.711013489814661</v>
      </c>
      <c r="AA508" s="1123">
        <f t="shared" si="526"/>
        <v>59.476914263537616</v>
      </c>
      <c r="AB508" s="1123">
        <f t="shared" si="527"/>
        <v>59.949598137245431</v>
      </c>
      <c r="AC508" s="1123">
        <f t="shared" si="528"/>
        <v>64.009406992430286</v>
      </c>
      <c r="AD508" s="1123">
        <f t="shared" si="529"/>
        <v>70.59808908744003</v>
      </c>
      <c r="AE508" s="1123">
        <f t="shared" si="530"/>
        <v>77.998202899545845</v>
      </c>
      <c r="AF508" s="1123">
        <f t="shared" si="531"/>
        <v>84.28079472441658</v>
      </c>
      <c r="AG508" s="1123">
        <f t="shared" si="532"/>
        <v>87.808210185229001</v>
      </c>
      <c r="AH508" s="1123">
        <f t="shared" si="533"/>
        <v>87.66097408300466</v>
      </c>
      <c r="AI508" s="1123">
        <f t="shared" si="534"/>
        <v>83.877465776765362</v>
      </c>
      <c r="AJ508" s="1123">
        <f t="shared" si="535"/>
        <v>77.443915012160261</v>
      </c>
      <c r="AK508" s="1123">
        <f t="shared" si="536"/>
        <v>70.037325940002034</v>
      </c>
      <c r="AL508" s="1123">
        <f t="shared" si="537"/>
        <v>63.588340140941284</v>
      </c>
      <c r="AM508" s="1120">
        <f t="shared" si="538"/>
        <v>1</v>
      </c>
      <c r="AN508" s="1120">
        <f t="shared" si="539"/>
        <v>1</v>
      </c>
      <c r="AO508" s="1120">
        <f t="shared" si="540"/>
        <v>1</v>
      </c>
      <c r="AP508" s="1120">
        <f t="shared" si="541"/>
        <v>0</v>
      </c>
      <c r="AQ508" s="1120">
        <f t="shared" si="542"/>
        <v>0</v>
      </c>
      <c r="AR508" s="1120">
        <f t="shared" si="543"/>
        <v>0</v>
      </c>
      <c r="AS508" s="1120">
        <f t="shared" si="544"/>
        <v>0</v>
      </c>
      <c r="AT508" s="1120">
        <f t="shared" si="545"/>
        <v>0</v>
      </c>
      <c r="AU508" s="1120">
        <f t="shared" si="546"/>
        <v>0</v>
      </c>
      <c r="AV508" s="1120">
        <f t="shared" si="547"/>
        <v>0</v>
      </c>
      <c r="AW508" s="1120">
        <f t="shared" si="548"/>
        <v>1</v>
      </c>
      <c r="AX508" s="1120">
        <f t="shared" si="549"/>
        <v>1</v>
      </c>
      <c r="AY508" s="1120">
        <f t="shared" si="550"/>
        <v>0</v>
      </c>
      <c r="AZ508" s="1120">
        <f t="shared" si="551"/>
        <v>0</v>
      </c>
      <c r="BA508" s="1120">
        <f t="shared" si="552"/>
        <v>0</v>
      </c>
      <c r="BB508" s="1120">
        <f t="shared" si="553"/>
        <v>1</v>
      </c>
      <c r="BC508" s="1120">
        <f t="shared" si="554"/>
        <v>1</v>
      </c>
      <c r="BD508" s="1120">
        <f t="shared" si="555"/>
        <v>1</v>
      </c>
      <c r="BE508" s="1120">
        <f t="shared" si="556"/>
        <v>1</v>
      </c>
      <c r="BF508" s="1120">
        <f t="shared" si="557"/>
        <v>1</v>
      </c>
      <c r="BG508" s="1120">
        <f t="shared" si="558"/>
        <v>1</v>
      </c>
      <c r="BH508" s="1120">
        <f t="shared" si="559"/>
        <v>1</v>
      </c>
      <c r="BI508" s="1120">
        <f t="shared" si="560"/>
        <v>0</v>
      </c>
      <c r="BJ508" s="1120">
        <f t="shared" si="561"/>
        <v>0</v>
      </c>
      <c r="BK508" s="1120">
        <f t="shared" si="562"/>
        <v>1</v>
      </c>
      <c r="BL508" s="1120">
        <f t="shared" si="563"/>
        <v>1</v>
      </c>
      <c r="BM508" s="1120">
        <f t="shared" si="564"/>
        <v>1</v>
      </c>
      <c r="BN508" s="1120">
        <f t="shared" si="565"/>
        <v>1</v>
      </c>
      <c r="BO508" s="1120">
        <f t="shared" si="566"/>
        <v>0</v>
      </c>
      <c r="BP508" s="1120">
        <f t="shared" si="567"/>
        <v>0</v>
      </c>
      <c r="BQ508" s="1120">
        <f t="shared" si="568"/>
        <v>0</v>
      </c>
      <c r="BR508" s="1120">
        <f t="shared" si="569"/>
        <v>0</v>
      </c>
      <c r="BS508" s="1120">
        <f t="shared" si="570"/>
        <v>0</v>
      </c>
      <c r="BT508" s="1120">
        <f t="shared" si="571"/>
        <v>0</v>
      </c>
      <c r="BU508" s="1120">
        <f t="shared" si="572"/>
        <v>1</v>
      </c>
      <c r="BV508" s="1120">
        <f t="shared" si="573"/>
        <v>1</v>
      </c>
      <c r="BW508" s="1120">
        <f t="shared" si="574"/>
        <v>0</v>
      </c>
      <c r="BX508" s="1120">
        <f t="shared" si="575"/>
        <v>0</v>
      </c>
      <c r="BY508" s="1120">
        <f t="shared" si="576"/>
        <v>1</v>
      </c>
      <c r="BZ508" s="1120">
        <f t="shared" si="577"/>
        <v>1</v>
      </c>
      <c r="CA508" s="1120">
        <f t="shared" si="578"/>
        <v>1</v>
      </c>
      <c r="CB508" s="1120">
        <f t="shared" si="579"/>
        <v>1</v>
      </c>
      <c r="CC508" s="1120">
        <f t="shared" si="580"/>
        <v>1</v>
      </c>
      <c r="CD508" s="1120">
        <f t="shared" si="581"/>
        <v>1</v>
      </c>
      <c r="CE508" s="1120">
        <f t="shared" si="582"/>
        <v>1</v>
      </c>
      <c r="CF508" s="1120">
        <f t="shared" si="583"/>
        <v>1</v>
      </c>
      <c r="CG508" s="1120">
        <f t="shared" si="584"/>
        <v>1</v>
      </c>
      <c r="CH508" s="1120">
        <f t="shared" si="585"/>
        <v>0</v>
      </c>
      <c r="CI508" s="1120">
        <f t="shared" si="586"/>
        <v>0.85</v>
      </c>
      <c r="CJ508" s="1120">
        <f t="shared" si="587"/>
        <v>0.85</v>
      </c>
      <c r="CK508" s="1120">
        <f t="shared" si="588"/>
        <v>0.85</v>
      </c>
      <c r="CL508" s="1120">
        <f t="shared" si="589"/>
        <v>0.85</v>
      </c>
      <c r="CM508" s="1120">
        <f t="shared" si="590"/>
        <v>0.7</v>
      </c>
      <c r="CN508" s="1120">
        <f t="shared" si="591"/>
        <v>0.7</v>
      </c>
      <c r="CO508" s="1120">
        <f t="shared" si="592"/>
        <v>0.7</v>
      </c>
      <c r="CP508" s="1120">
        <f t="shared" si="593"/>
        <v>0.7</v>
      </c>
      <c r="CQ508" s="1120">
        <f t="shared" si="594"/>
        <v>0.7</v>
      </c>
      <c r="CR508" s="1120">
        <f t="shared" si="595"/>
        <v>0.7</v>
      </c>
      <c r="CS508" s="1120">
        <f t="shared" si="596"/>
        <v>0.85</v>
      </c>
      <c r="CT508" s="1120">
        <f t="shared" si="597"/>
        <v>0.85</v>
      </c>
      <c r="CU508" s="1120">
        <v>1</v>
      </c>
      <c r="CV508" s="1120"/>
      <c r="CW508" s="1120">
        <f t="shared" si="598"/>
        <v>275</v>
      </c>
      <c r="CX508" s="1120">
        <f t="shared" si="599"/>
        <v>90</v>
      </c>
      <c r="CY508" s="1135" t="s">
        <v>4886</v>
      </c>
      <c r="CZ508" s="1124" t="s">
        <v>4888</v>
      </c>
      <c r="DA508" s="1124"/>
      <c r="DB508" s="1124"/>
      <c r="DC508" s="1120" t="s">
        <v>5463</v>
      </c>
      <c r="DD508" s="1120" t="s">
        <v>450</v>
      </c>
      <c r="DE508" s="1120" t="str">
        <f t="shared" si="600"/>
        <v/>
      </c>
      <c r="DF508" s="1133">
        <v>0</v>
      </c>
      <c r="DG508" s="1120">
        <v>0</v>
      </c>
    </row>
    <row r="509" spans="1:111">
      <c r="A509" s="1125" t="s">
        <v>3769</v>
      </c>
      <c r="B509" s="1120" t="s">
        <v>4104</v>
      </c>
      <c r="C509" s="1120" t="s">
        <v>4105</v>
      </c>
      <c r="D509" s="1120" t="s">
        <v>538</v>
      </c>
      <c r="E509" s="1120">
        <v>6865</v>
      </c>
      <c r="F509" s="1120">
        <v>-105.15</v>
      </c>
      <c r="G509" s="1120">
        <v>35.65</v>
      </c>
      <c r="H509" s="1120">
        <v>-7</v>
      </c>
      <c r="I509" s="1121">
        <v>4.8199993133544918</v>
      </c>
      <c r="J509" s="1121">
        <v>87.980000686645511</v>
      </c>
      <c r="K509" s="1122">
        <v>59.540000343322752</v>
      </c>
      <c r="L509" s="1120">
        <v>5094</v>
      </c>
      <c r="M509" s="1120">
        <v>369</v>
      </c>
      <c r="N509" s="1123">
        <v>37.579999828338622</v>
      </c>
      <c r="O509" s="1123">
        <v>37.579999828338622</v>
      </c>
      <c r="P509" s="1123">
        <v>40.640000343322754</v>
      </c>
      <c r="Q509" s="1123">
        <v>53.419999313354495</v>
      </c>
      <c r="R509" s="1123">
        <v>59</v>
      </c>
      <c r="S509" s="1123">
        <v>65.119999313354498</v>
      </c>
      <c r="T509" s="1123">
        <v>68.539998626708979</v>
      </c>
      <c r="U509" s="1123">
        <v>66.019999313354489</v>
      </c>
      <c r="V509" s="1123">
        <v>63.5</v>
      </c>
      <c r="W509" s="1123">
        <v>50.540000343322752</v>
      </c>
      <c r="X509" s="1123">
        <v>40.279999828338624</v>
      </c>
      <c r="Y509" s="1123">
        <v>34.519999957084657</v>
      </c>
      <c r="Z509" s="1123">
        <v>51.462684656495917</v>
      </c>
      <c r="AA509" s="1123">
        <f t="shared" si="526"/>
        <v>50.278966019857876</v>
      </c>
      <c r="AB509" s="1123">
        <f t="shared" si="527"/>
        <v>49.396531473581049</v>
      </c>
      <c r="AC509" s="1123">
        <f t="shared" si="528"/>
        <v>50.616664057614159</v>
      </c>
      <c r="AD509" s="1123">
        <f t="shared" si="529"/>
        <v>53.621317411116692</v>
      </c>
      <c r="AE509" s="1123">
        <f t="shared" si="530"/>
        <v>57.627282334388461</v>
      </c>
      <c r="AF509" s="1123">
        <f t="shared" si="531"/>
        <v>61.590342336390542</v>
      </c>
      <c r="AG509" s="1123">
        <f t="shared" si="532"/>
        <v>64.477464754997811</v>
      </c>
      <c r="AH509" s="1123">
        <f t="shared" si="533"/>
        <v>65.536076639897047</v>
      </c>
      <c r="AI509" s="1123">
        <f t="shared" si="534"/>
        <v>64.490234489586314</v>
      </c>
      <c r="AJ509" s="1123">
        <f t="shared" si="535"/>
        <v>61.612553177459496</v>
      </c>
      <c r="AK509" s="1123">
        <f t="shared" si="536"/>
        <v>57.653144683933817</v>
      </c>
      <c r="AL509" s="1123">
        <f t="shared" si="537"/>
        <v>53.644089849178584</v>
      </c>
      <c r="AM509" s="1120">
        <f t="shared" si="538"/>
        <v>1</v>
      </c>
      <c r="AN509" s="1120">
        <f t="shared" si="539"/>
        <v>1</v>
      </c>
      <c r="AO509" s="1120">
        <f t="shared" si="540"/>
        <v>1</v>
      </c>
      <c r="AP509" s="1120">
        <f t="shared" si="541"/>
        <v>1</v>
      </c>
      <c r="AQ509" s="1120">
        <f t="shared" si="542"/>
        <v>1</v>
      </c>
      <c r="AR509" s="1120">
        <f t="shared" si="543"/>
        <v>1</v>
      </c>
      <c r="AS509" s="1120">
        <f t="shared" si="544"/>
        <v>0</v>
      </c>
      <c r="AT509" s="1120">
        <f t="shared" si="545"/>
        <v>0</v>
      </c>
      <c r="AU509" s="1120">
        <f t="shared" si="546"/>
        <v>1</v>
      </c>
      <c r="AV509" s="1120">
        <f t="shared" si="547"/>
        <v>1</v>
      </c>
      <c r="AW509" s="1120">
        <f t="shared" si="548"/>
        <v>1</v>
      </c>
      <c r="AX509" s="1120">
        <f t="shared" si="549"/>
        <v>1</v>
      </c>
      <c r="AY509" s="1120">
        <f t="shared" si="550"/>
        <v>0</v>
      </c>
      <c r="AZ509" s="1120">
        <f t="shared" si="551"/>
        <v>0</v>
      </c>
      <c r="BA509" s="1120">
        <f t="shared" si="552"/>
        <v>0</v>
      </c>
      <c r="BB509" s="1120">
        <f t="shared" si="553"/>
        <v>0</v>
      </c>
      <c r="BC509" s="1120">
        <f t="shared" si="554"/>
        <v>0</v>
      </c>
      <c r="BD509" s="1120">
        <f t="shared" si="555"/>
        <v>0</v>
      </c>
      <c r="BE509" s="1120">
        <f t="shared" si="556"/>
        <v>1</v>
      </c>
      <c r="BF509" s="1120">
        <f t="shared" si="557"/>
        <v>1</v>
      </c>
      <c r="BG509" s="1120">
        <f t="shared" si="558"/>
        <v>0</v>
      </c>
      <c r="BH509" s="1120">
        <f t="shared" si="559"/>
        <v>0</v>
      </c>
      <c r="BI509" s="1120">
        <f t="shared" si="560"/>
        <v>0</v>
      </c>
      <c r="BJ509" s="1120">
        <f t="shared" si="561"/>
        <v>0</v>
      </c>
      <c r="BK509" s="1120">
        <f t="shared" si="562"/>
        <v>1</v>
      </c>
      <c r="BL509" s="1120">
        <f t="shared" si="563"/>
        <v>1</v>
      </c>
      <c r="BM509" s="1120">
        <f t="shared" si="564"/>
        <v>1</v>
      </c>
      <c r="BN509" s="1120">
        <f t="shared" si="565"/>
        <v>1</v>
      </c>
      <c r="BO509" s="1120">
        <f t="shared" si="566"/>
        <v>1</v>
      </c>
      <c r="BP509" s="1120">
        <f t="shared" si="567"/>
        <v>1</v>
      </c>
      <c r="BQ509" s="1120">
        <f t="shared" si="568"/>
        <v>1</v>
      </c>
      <c r="BR509" s="1120">
        <f t="shared" si="569"/>
        <v>0</v>
      </c>
      <c r="BS509" s="1120">
        <f t="shared" si="570"/>
        <v>1</v>
      </c>
      <c r="BT509" s="1120">
        <f t="shared" si="571"/>
        <v>1</v>
      </c>
      <c r="BU509" s="1120">
        <f t="shared" si="572"/>
        <v>1</v>
      </c>
      <c r="BV509" s="1120">
        <f t="shared" si="573"/>
        <v>1</v>
      </c>
      <c r="BW509" s="1120">
        <f t="shared" si="574"/>
        <v>0</v>
      </c>
      <c r="BX509" s="1120">
        <f t="shared" si="575"/>
        <v>0</v>
      </c>
      <c r="BY509" s="1120">
        <f t="shared" si="576"/>
        <v>0</v>
      </c>
      <c r="BZ509" s="1120">
        <f t="shared" si="577"/>
        <v>0</v>
      </c>
      <c r="CA509" s="1120">
        <f t="shared" si="578"/>
        <v>0</v>
      </c>
      <c r="CB509" s="1120">
        <f t="shared" si="579"/>
        <v>1</v>
      </c>
      <c r="CC509" s="1120">
        <f t="shared" si="580"/>
        <v>1</v>
      </c>
      <c r="CD509" s="1120">
        <f t="shared" si="581"/>
        <v>1</v>
      </c>
      <c r="CE509" s="1120">
        <f t="shared" si="582"/>
        <v>1</v>
      </c>
      <c r="CF509" s="1120">
        <f t="shared" si="583"/>
        <v>0</v>
      </c>
      <c r="CG509" s="1120">
        <f t="shared" si="584"/>
        <v>0</v>
      </c>
      <c r="CH509" s="1120">
        <f t="shared" si="585"/>
        <v>0</v>
      </c>
      <c r="CI509" s="1120">
        <f t="shared" si="586"/>
        <v>0.85</v>
      </c>
      <c r="CJ509" s="1120">
        <f t="shared" si="587"/>
        <v>0.85</v>
      </c>
      <c r="CK509" s="1120">
        <f t="shared" si="588"/>
        <v>0.85</v>
      </c>
      <c r="CL509" s="1120">
        <f t="shared" si="589"/>
        <v>0.85</v>
      </c>
      <c r="CM509" s="1120">
        <f t="shared" si="590"/>
        <v>0.85</v>
      </c>
      <c r="CN509" s="1120">
        <f t="shared" si="591"/>
        <v>0.85</v>
      </c>
      <c r="CO509" s="1120">
        <f t="shared" si="592"/>
        <v>0.85</v>
      </c>
      <c r="CP509" s="1120">
        <f t="shared" si="593"/>
        <v>0.7</v>
      </c>
      <c r="CQ509" s="1120">
        <f t="shared" si="594"/>
        <v>0.85</v>
      </c>
      <c r="CR509" s="1120">
        <f t="shared" si="595"/>
        <v>0.85</v>
      </c>
      <c r="CS509" s="1120">
        <f t="shared" si="596"/>
        <v>0.85</v>
      </c>
      <c r="CT509" s="1120">
        <f t="shared" si="597"/>
        <v>0.85</v>
      </c>
      <c r="CU509" s="1120">
        <v>1</v>
      </c>
      <c r="CV509" s="1120"/>
      <c r="CW509" s="1120">
        <f t="shared" si="598"/>
        <v>122</v>
      </c>
      <c r="CX509" s="1120">
        <f t="shared" si="599"/>
        <v>243</v>
      </c>
      <c r="CY509" s="1135" t="s">
        <v>4889</v>
      </c>
      <c r="CZ509" s="1124" t="s">
        <v>4890</v>
      </c>
      <c r="DA509" s="1124"/>
      <c r="DB509" s="1124"/>
      <c r="DC509" s="1120" t="s">
        <v>5454</v>
      </c>
      <c r="DD509" s="1120" t="s">
        <v>538</v>
      </c>
      <c r="DE509" s="1120" t="str">
        <f t="shared" si="600"/>
        <v/>
      </c>
      <c r="DF509" s="1133">
        <v>0</v>
      </c>
      <c r="DG509" s="1125">
        <v>0</v>
      </c>
    </row>
    <row r="510" spans="1:111">
      <c r="A510" s="1120" t="s">
        <v>3771</v>
      </c>
      <c r="B510" s="1125" t="s">
        <v>3655</v>
      </c>
      <c r="C510" s="1125" t="s">
        <v>3656</v>
      </c>
      <c r="D510" s="1125" t="s">
        <v>250</v>
      </c>
      <c r="E510" s="1125">
        <v>151</v>
      </c>
      <c r="F510" s="1125">
        <v>-71.12</v>
      </c>
      <c r="G510" s="1125">
        <v>42.72</v>
      </c>
      <c r="H510" s="1125">
        <v>-5</v>
      </c>
      <c r="I510" s="1126">
        <v>9.3199993133544918</v>
      </c>
      <c r="J510" s="1126">
        <v>87.8</v>
      </c>
      <c r="K510" s="1127">
        <v>72.5</v>
      </c>
      <c r="L510" s="1125">
        <v>5776.2</v>
      </c>
      <c r="M510" s="1125">
        <v>628.20000000000005</v>
      </c>
      <c r="N510" s="1128">
        <v>23.720000171661376</v>
      </c>
      <c r="O510" s="1128">
        <v>31.639999994635581</v>
      </c>
      <c r="P510" s="1128">
        <v>41.359999656677246</v>
      </c>
      <c r="Q510" s="1128">
        <v>46.759999656677245</v>
      </c>
      <c r="R510" s="1128">
        <v>59.359999656677246</v>
      </c>
      <c r="S510" s="1128">
        <v>64.760001373291018</v>
      </c>
      <c r="T510" s="1128">
        <v>71.599999999999994</v>
      </c>
      <c r="U510" s="1128">
        <v>71.419999313354495</v>
      </c>
      <c r="V510" s="1128">
        <v>62.780000686645508</v>
      </c>
      <c r="W510" s="1128">
        <v>50.719999313354492</v>
      </c>
      <c r="X510" s="1128">
        <v>46.040000343322752</v>
      </c>
      <c r="Y510" s="1128">
        <v>32.180000002682206</v>
      </c>
      <c r="Z510" s="1128">
        <v>50.293917816971266</v>
      </c>
      <c r="AA510" s="1128">
        <f t="shared" si="526"/>
        <v>46.536180108955399</v>
      </c>
      <c r="AB510" s="1128">
        <f t="shared" si="527"/>
        <v>45.21390133257605</v>
      </c>
      <c r="AC510" s="1128">
        <f t="shared" si="528"/>
        <v>46.779799601076846</v>
      </c>
      <c r="AD510" s="1128">
        <f t="shared" si="529"/>
        <v>50.825699399550295</v>
      </c>
      <c r="AE510" s="1128">
        <f t="shared" si="530"/>
        <v>56.296974596321085</v>
      </c>
      <c r="AF510" s="1128">
        <f t="shared" si="531"/>
        <v>61.767452996447958</v>
      </c>
      <c r="AG510" s="1128">
        <f t="shared" si="532"/>
        <v>65.811170102313866</v>
      </c>
      <c r="AH510" s="1128">
        <f t="shared" si="533"/>
        <v>67.37406873470799</v>
      </c>
      <c r="AI510" s="1128">
        <f t="shared" si="534"/>
        <v>66.048755280099826</v>
      </c>
      <c r="AJ510" s="1128">
        <f t="shared" si="535"/>
        <v>62.180693114131543</v>
      </c>
      <c r="AK510" s="1128">
        <f t="shared" si="536"/>
        <v>56.778152249005096</v>
      </c>
      <c r="AL510" s="1128">
        <f t="shared" si="537"/>
        <v>51.249388216890566</v>
      </c>
      <c r="AM510" s="1125">
        <f t="shared" si="538"/>
        <v>1</v>
      </c>
      <c r="AN510" s="1125">
        <f t="shared" si="539"/>
        <v>1</v>
      </c>
      <c r="AO510" s="1125">
        <f t="shared" si="540"/>
        <v>1</v>
      </c>
      <c r="AP510" s="1125">
        <f t="shared" si="541"/>
        <v>1</v>
      </c>
      <c r="AQ510" s="1125">
        <f t="shared" si="542"/>
        <v>1</v>
      </c>
      <c r="AR510" s="1125">
        <f t="shared" si="543"/>
        <v>1</v>
      </c>
      <c r="AS510" s="1125">
        <f t="shared" si="544"/>
        <v>0</v>
      </c>
      <c r="AT510" s="1125">
        <f t="shared" si="545"/>
        <v>0</v>
      </c>
      <c r="AU510" s="1125">
        <f t="shared" si="546"/>
        <v>1</v>
      </c>
      <c r="AV510" s="1125">
        <f t="shared" si="547"/>
        <v>1</v>
      </c>
      <c r="AW510" s="1125">
        <f t="shared" si="548"/>
        <v>1</v>
      </c>
      <c r="AX510" s="1125">
        <f t="shared" si="549"/>
        <v>1</v>
      </c>
      <c r="AY510" s="1125">
        <f t="shared" si="550"/>
        <v>0</v>
      </c>
      <c r="AZ510" s="1125">
        <f t="shared" si="551"/>
        <v>0</v>
      </c>
      <c r="BA510" s="1125">
        <f t="shared" si="552"/>
        <v>0</v>
      </c>
      <c r="BB510" s="1125">
        <f t="shared" si="553"/>
        <v>0</v>
      </c>
      <c r="BC510" s="1125">
        <f t="shared" si="554"/>
        <v>0</v>
      </c>
      <c r="BD510" s="1125">
        <f t="shared" si="555"/>
        <v>0</v>
      </c>
      <c r="BE510" s="1125">
        <f t="shared" si="556"/>
        <v>1</v>
      </c>
      <c r="BF510" s="1125">
        <f t="shared" si="557"/>
        <v>1</v>
      </c>
      <c r="BG510" s="1125">
        <f t="shared" si="558"/>
        <v>0</v>
      </c>
      <c r="BH510" s="1125">
        <f t="shared" si="559"/>
        <v>0</v>
      </c>
      <c r="BI510" s="1125">
        <f t="shared" si="560"/>
        <v>0</v>
      </c>
      <c r="BJ510" s="1125">
        <f t="shared" si="561"/>
        <v>0</v>
      </c>
      <c r="BK510" s="1125">
        <f t="shared" si="562"/>
        <v>1</v>
      </c>
      <c r="BL510" s="1125">
        <f t="shared" si="563"/>
        <v>1</v>
      </c>
      <c r="BM510" s="1125">
        <f t="shared" si="564"/>
        <v>1</v>
      </c>
      <c r="BN510" s="1125">
        <f t="shared" si="565"/>
        <v>1</v>
      </c>
      <c r="BO510" s="1125">
        <f t="shared" si="566"/>
        <v>1</v>
      </c>
      <c r="BP510" s="1125">
        <f t="shared" si="567"/>
        <v>1</v>
      </c>
      <c r="BQ510" s="1125">
        <f t="shared" si="568"/>
        <v>1</v>
      </c>
      <c r="BR510" s="1125">
        <f t="shared" si="569"/>
        <v>0</v>
      </c>
      <c r="BS510" s="1125">
        <f t="shared" si="570"/>
        <v>1</v>
      </c>
      <c r="BT510" s="1125">
        <f t="shared" si="571"/>
        <v>1</v>
      </c>
      <c r="BU510" s="1125">
        <f t="shared" si="572"/>
        <v>1</v>
      </c>
      <c r="BV510" s="1125">
        <f t="shared" si="573"/>
        <v>1</v>
      </c>
      <c r="BW510" s="1125">
        <f t="shared" si="574"/>
        <v>0</v>
      </c>
      <c r="BX510" s="1125">
        <f t="shared" si="575"/>
        <v>0</v>
      </c>
      <c r="BY510" s="1125">
        <f t="shared" si="576"/>
        <v>0</v>
      </c>
      <c r="BZ510" s="1125">
        <f t="shared" si="577"/>
        <v>0</v>
      </c>
      <c r="CA510" s="1125">
        <f t="shared" si="578"/>
        <v>0</v>
      </c>
      <c r="CB510" s="1125">
        <f t="shared" si="579"/>
        <v>1</v>
      </c>
      <c r="CC510" s="1125">
        <f t="shared" si="580"/>
        <v>1</v>
      </c>
      <c r="CD510" s="1125">
        <f t="shared" si="581"/>
        <v>1</v>
      </c>
      <c r="CE510" s="1125">
        <f t="shared" si="582"/>
        <v>1</v>
      </c>
      <c r="CF510" s="1125">
        <f t="shared" si="583"/>
        <v>0</v>
      </c>
      <c r="CG510" s="1125">
        <f t="shared" si="584"/>
        <v>0</v>
      </c>
      <c r="CH510" s="1125">
        <f t="shared" si="585"/>
        <v>0</v>
      </c>
      <c r="CI510" s="1125">
        <f t="shared" si="586"/>
        <v>0.85</v>
      </c>
      <c r="CJ510" s="1125">
        <f t="shared" si="587"/>
        <v>0.85</v>
      </c>
      <c r="CK510" s="1125">
        <f t="shared" si="588"/>
        <v>0.85</v>
      </c>
      <c r="CL510" s="1125">
        <f t="shared" si="589"/>
        <v>0.85</v>
      </c>
      <c r="CM510" s="1125">
        <f t="shared" si="590"/>
        <v>0.85</v>
      </c>
      <c r="CN510" s="1125">
        <f t="shared" si="591"/>
        <v>0.85</v>
      </c>
      <c r="CO510" s="1125">
        <f t="shared" si="592"/>
        <v>0.85</v>
      </c>
      <c r="CP510" s="1125">
        <f t="shared" si="593"/>
        <v>0.7</v>
      </c>
      <c r="CQ510" s="1125">
        <f t="shared" si="594"/>
        <v>0.85</v>
      </c>
      <c r="CR510" s="1125">
        <f t="shared" si="595"/>
        <v>0.85</v>
      </c>
      <c r="CS510" s="1125">
        <f t="shared" si="596"/>
        <v>0.85</v>
      </c>
      <c r="CT510" s="1125">
        <f t="shared" si="597"/>
        <v>0.85</v>
      </c>
      <c r="CU510" s="1125">
        <v>1</v>
      </c>
      <c r="CV510" s="1125"/>
      <c r="CW510" s="1125">
        <f t="shared" si="598"/>
        <v>122</v>
      </c>
      <c r="CX510" s="1125">
        <f t="shared" si="599"/>
        <v>243</v>
      </c>
      <c r="CY510" s="1136" t="s">
        <v>4889</v>
      </c>
      <c r="CZ510" s="1129" t="s">
        <v>4897</v>
      </c>
      <c r="DA510" s="1129"/>
      <c r="DB510" s="1129"/>
      <c r="DC510" s="1125" t="s">
        <v>5269</v>
      </c>
      <c r="DD510" s="1125" t="s">
        <v>250</v>
      </c>
      <c r="DE510" s="1120" t="str">
        <f t="shared" si="600"/>
        <v/>
      </c>
      <c r="DF510" s="1133">
        <v>0</v>
      </c>
      <c r="DG510" s="1120">
        <v>0</v>
      </c>
    </row>
    <row r="511" spans="1:111">
      <c r="A511" s="1125" t="s">
        <v>3773</v>
      </c>
      <c r="B511" s="1120" t="s">
        <v>4202</v>
      </c>
      <c r="C511" s="1120" t="s">
        <v>4203</v>
      </c>
      <c r="D511" s="1120" t="s">
        <v>61</v>
      </c>
      <c r="E511" s="1120">
        <v>1109</v>
      </c>
      <c r="F511" s="1120">
        <v>-98.42</v>
      </c>
      <c r="G511" s="1120">
        <v>34.57</v>
      </c>
      <c r="H511" s="1120">
        <v>-6</v>
      </c>
      <c r="I511" s="1121">
        <v>20.840000343322753</v>
      </c>
      <c r="J511" s="1121">
        <v>100.22000274658204</v>
      </c>
      <c r="K511" s="1122">
        <v>73.760001373291018</v>
      </c>
      <c r="L511" s="1120">
        <v>2971.8</v>
      </c>
      <c r="M511" s="1120">
        <v>2046.6000000000001</v>
      </c>
      <c r="N511" s="1123">
        <v>41.720000171661376</v>
      </c>
      <c r="O511" s="1123">
        <v>50.180000686645506</v>
      </c>
      <c r="P511" s="1123">
        <v>48.919999313354495</v>
      </c>
      <c r="Q511" s="1123">
        <v>62.6</v>
      </c>
      <c r="R511" s="1123">
        <v>71.060001373291016</v>
      </c>
      <c r="S511" s="1123">
        <v>77.539998626708979</v>
      </c>
      <c r="T511" s="1123">
        <v>82.039998626708979</v>
      </c>
      <c r="U511" s="1123">
        <v>82.580000686645505</v>
      </c>
      <c r="V511" s="1123">
        <v>71.060001373291016</v>
      </c>
      <c r="W511" s="1123">
        <v>61.519999313354496</v>
      </c>
      <c r="X511" s="1123">
        <v>51.980000686645511</v>
      </c>
      <c r="Y511" s="1123">
        <v>40.640000343322754</v>
      </c>
      <c r="Z511" s="1123">
        <v>61.872109683572432</v>
      </c>
      <c r="AA511" s="1123">
        <f t="shared" si="526"/>
        <v>56.259696608623372</v>
      </c>
      <c r="AB511" s="1123">
        <f t="shared" si="527"/>
        <v>56.032858557356725</v>
      </c>
      <c r="AC511" s="1123">
        <f t="shared" si="528"/>
        <v>58.892103760520726</v>
      </c>
      <c r="AD511" s="1123">
        <f t="shared" si="529"/>
        <v>64.09212589360834</v>
      </c>
      <c r="AE511" s="1123">
        <f t="shared" si="530"/>
        <v>70.277459052863549</v>
      </c>
      <c r="AF511" s="1123">
        <f t="shared" si="531"/>
        <v>75.83580083145722</v>
      </c>
      <c r="AG511" s="1123">
        <f t="shared" si="532"/>
        <v>79.318283788159306</v>
      </c>
      <c r="AH511" s="1123">
        <f t="shared" si="533"/>
        <v>79.817145073618562</v>
      </c>
      <c r="AI511" s="1123">
        <f t="shared" si="534"/>
        <v>77.202348806094918</v>
      </c>
      <c r="AJ511" s="1123">
        <f t="shared" si="535"/>
        <v>72.155481927948628</v>
      </c>
      <c r="AK511" s="1123">
        <f t="shared" si="536"/>
        <v>65.992088065541324</v>
      </c>
      <c r="AL511" s="1123">
        <f t="shared" si="537"/>
        <v>60.318750809883952</v>
      </c>
      <c r="AM511" s="1120">
        <f t="shared" si="538"/>
        <v>1</v>
      </c>
      <c r="AN511" s="1120">
        <f t="shared" si="539"/>
        <v>1</v>
      </c>
      <c r="AO511" s="1120">
        <f t="shared" si="540"/>
        <v>1</v>
      </c>
      <c r="AP511" s="1120">
        <f t="shared" si="541"/>
        <v>1</v>
      </c>
      <c r="AQ511" s="1120">
        <f t="shared" si="542"/>
        <v>0</v>
      </c>
      <c r="AR511" s="1120">
        <f t="shared" si="543"/>
        <v>0</v>
      </c>
      <c r="AS511" s="1120">
        <f t="shared" si="544"/>
        <v>0</v>
      </c>
      <c r="AT511" s="1120">
        <f t="shared" si="545"/>
        <v>0</v>
      </c>
      <c r="AU511" s="1120">
        <f t="shared" si="546"/>
        <v>0</v>
      </c>
      <c r="AV511" s="1120">
        <f t="shared" si="547"/>
        <v>1</v>
      </c>
      <c r="AW511" s="1120">
        <f t="shared" si="548"/>
        <v>1</v>
      </c>
      <c r="AX511" s="1120">
        <f t="shared" si="549"/>
        <v>1</v>
      </c>
      <c r="AY511" s="1120">
        <f t="shared" si="550"/>
        <v>0</v>
      </c>
      <c r="AZ511" s="1120">
        <f t="shared" si="551"/>
        <v>0</v>
      </c>
      <c r="BA511" s="1120">
        <f t="shared" si="552"/>
        <v>0</v>
      </c>
      <c r="BB511" s="1120">
        <f t="shared" si="553"/>
        <v>0</v>
      </c>
      <c r="BC511" s="1120">
        <f t="shared" si="554"/>
        <v>1</v>
      </c>
      <c r="BD511" s="1120">
        <f t="shared" si="555"/>
        <v>1</v>
      </c>
      <c r="BE511" s="1120">
        <f t="shared" si="556"/>
        <v>1</v>
      </c>
      <c r="BF511" s="1120">
        <f t="shared" si="557"/>
        <v>1</v>
      </c>
      <c r="BG511" s="1120">
        <f t="shared" si="558"/>
        <v>1</v>
      </c>
      <c r="BH511" s="1120">
        <f t="shared" si="559"/>
        <v>0</v>
      </c>
      <c r="BI511" s="1120">
        <f t="shared" si="560"/>
        <v>0</v>
      </c>
      <c r="BJ511" s="1120">
        <f t="shared" si="561"/>
        <v>0</v>
      </c>
      <c r="BK511" s="1120">
        <f t="shared" si="562"/>
        <v>1</v>
      </c>
      <c r="BL511" s="1120">
        <f t="shared" si="563"/>
        <v>1</v>
      </c>
      <c r="BM511" s="1120">
        <f t="shared" si="564"/>
        <v>1</v>
      </c>
      <c r="BN511" s="1120">
        <f t="shared" si="565"/>
        <v>1</v>
      </c>
      <c r="BO511" s="1120">
        <f t="shared" si="566"/>
        <v>1</v>
      </c>
      <c r="BP511" s="1120">
        <f t="shared" si="567"/>
        <v>0</v>
      </c>
      <c r="BQ511" s="1120">
        <f t="shared" si="568"/>
        <v>0</v>
      </c>
      <c r="BR511" s="1120">
        <f t="shared" si="569"/>
        <v>0</v>
      </c>
      <c r="BS511" s="1120">
        <f t="shared" si="570"/>
        <v>0</v>
      </c>
      <c r="BT511" s="1120">
        <f t="shared" si="571"/>
        <v>1</v>
      </c>
      <c r="BU511" s="1120">
        <f t="shared" si="572"/>
        <v>1</v>
      </c>
      <c r="BV511" s="1120">
        <f t="shared" si="573"/>
        <v>1</v>
      </c>
      <c r="BW511" s="1120">
        <f t="shared" si="574"/>
        <v>0</v>
      </c>
      <c r="BX511" s="1120">
        <f t="shared" si="575"/>
        <v>0</v>
      </c>
      <c r="BY511" s="1120">
        <f t="shared" si="576"/>
        <v>0</v>
      </c>
      <c r="BZ511" s="1120">
        <f t="shared" si="577"/>
        <v>1</v>
      </c>
      <c r="CA511" s="1120">
        <f t="shared" si="578"/>
        <v>1</v>
      </c>
      <c r="CB511" s="1120">
        <f t="shared" si="579"/>
        <v>1</v>
      </c>
      <c r="CC511" s="1120">
        <f t="shared" si="580"/>
        <v>1</v>
      </c>
      <c r="CD511" s="1120">
        <f t="shared" si="581"/>
        <v>1</v>
      </c>
      <c r="CE511" s="1120">
        <f t="shared" si="582"/>
        <v>1</v>
      </c>
      <c r="CF511" s="1120">
        <f t="shared" si="583"/>
        <v>1</v>
      </c>
      <c r="CG511" s="1120">
        <f t="shared" si="584"/>
        <v>0</v>
      </c>
      <c r="CH511" s="1120">
        <f t="shared" si="585"/>
        <v>0</v>
      </c>
      <c r="CI511" s="1120">
        <f t="shared" si="586"/>
        <v>0.85</v>
      </c>
      <c r="CJ511" s="1120">
        <f t="shared" si="587"/>
        <v>0.85</v>
      </c>
      <c r="CK511" s="1120">
        <f t="shared" si="588"/>
        <v>0.85</v>
      </c>
      <c r="CL511" s="1120">
        <f t="shared" si="589"/>
        <v>0.85</v>
      </c>
      <c r="CM511" s="1120">
        <f t="shared" si="590"/>
        <v>0.85</v>
      </c>
      <c r="CN511" s="1120">
        <f t="shared" si="591"/>
        <v>0.7</v>
      </c>
      <c r="CO511" s="1120">
        <f t="shared" si="592"/>
        <v>0.7</v>
      </c>
      <c r="CP511" s="1120">
        <f t="shared" si="593"/>
        <v>0.7</v>
      </c>
      <c r="CQ511" s="1120">
        <f t="shared" si="594"/>
        <v>0.7</v>
      </c>
      <c r="CR511" s="1120">
        <f t="shared" si="595"/>
        <v>0.85</v>
      </c>
      <c r="CS511" s="1120">
        <f t="shared" si="596"/>
        <v>0.85</v>
      </c>
      <c r="CT511" s="1120">
        <f t="shared" si="597"/>
        <v>0.85</v>
      </c>
      <c r="CU511" s="1120">
        <v>1</v>
      </c>
      <c r="CV511" s="1120"/>
      <c r="CW511" s="1120">
        <f t="shared" si="598"/>
        <v>214</v>
      </c>
      <c r="CX511" s="1120">
        <f t="shared" si="599"/>
        <v>151</v>
      </c>
      <c r="CY511" s="1135" t="s">
        <v>4881</v>
      </c>
      <c r="CZ511" s="1124" t="s">
        <v>4882</v>
      </c>
      <c r="DA511" s="1124"/>
      <c r="DB511" s="1124"/>
      <c r="DC511" s="1120" t="s">
        <v>5505</v>
      </c>
      <c r="DD511" s="1120" t="s">
        <v>61</v>
      </c>
      <c r="DE511" s="1120" t="str">
        <f t="shared" si="600"/>
        <v/>
      </c>
      <c r="DF511" s="1133">
        <v>0</v>
      </c>
      <c r="DG511" s="1125">
        <v>0</v>
      </c>
    </row>
    <row r="512" spans="1:111">
      <c r="A512" s="1120" t="s">
        <v>3775</v>
      </c>
      <c r="B512" s="1120" t="s">
        <v>3443</v>
      </c>
      <c r="C512" s="1120" t="s">
        <v>3444</v>
      </c>
      <c r="D512" s="1120" t="s">
        <v>566</v>
      </c>
      <c r="E512" s="1120">
        <v>1197</v>
      </c>
      <c r="F512" s="1120">
        <v>-96.2</v>
      </c>
      <c r="G512" s="1120">
        <v>42.78</v>
      </c>
      <c r="H512" s="1120">
        <v>-6</v>
      </c>
      <c r="I512" s="1121">
        <v>-6.7000000000000011</v>
      </c>
      <c r="J512" s="1121">
        <v>108.67999725341797</v>
      </c>
      <c r="K512" s="1122">
        <v>84.380000686645502</v>
      </c>
      <c r="L512" s="1120">
        <v>5893.2</v>
      </c>
      <c r="M512" s="1120">
        <v>984.6</v>
      </c>
      <c r="N512" s="1123">
        <v>21.920000171661378</v>
      </c>
      <c r="O512" s="1123">
        <v>24.079999828338622</v>
      </c>
      <c r="P512" s="1123">
        <v>41.359999656677246</v>
      </c>
      <c r="Q512" s="1123">
        <v>50.719999313354492</v>
      </c>
      <c r="R512" s="1123">
        <v>67.280000686645508</v>
      </c>
      <c r="S512" s="1123">
        <v>70.519999313354489</v>
      </c>
      <c r="T512" s="1123">
        <v>69.980000686645511</v>
      </c>
      <c r="U512" s="1123">
        <v>70.7</v>
      </c>
      <c r="V512" s="1123">
        <v>66.2</v>
      </c>
      <c r="W512" s="1123">
        <v>58.1</v>
      </c>
      <c r="X512" s="1123">
        <v>42.8</v>
      </c>
      <c r="Y512" s="1123">
        <v>26.060000085830687</v>
      </c>
      <c r="Z512" s="1123">
        <v>50.955726010701426</v>
      </c>
      <c r="AA512" s="1123">
        <f t="shared" si="526"/>
        <v>46.811265737726544</v>
      </c>
      <c r="AB512" s="1123">
        <f t="shared" si="527"/>
        <v>45.509710133690291</v>
      </c>
      <c r="AC512" s="1123">
        <f t="shared" si="528"/>
        <v>47.191734956440882</v>
      </c>
      <c r="AD512" s="1123">
        <f t="shared" si="529"/>
        <v>51.418894515141247</v>
      </c>
      <c r="AE512" s="1123">
        <f t="shared" si="530"/>
        <v>57.089314528315491</v>
      </c>
      <c r="AF512" s="1123">
        <f t="shared" si="531"/>
        <v>62.724912635712258</v>
      </c>
      <c r="AG512" s="1123">
        <f t="shared" si="532"/>
        <v>66.85668334344291</v>
      </c>
      <c r="AH512" s="1123">
        <f t="shared" si="533"/>
        <v>68.407616944023474</v>
      </c>
      <c r="AI512" s="1123">
        <f t="shared" si="534"/>
        <v>66.973438693852401</v>
      </c>
      <c r="AJ512" s="1123">
        <f t="shared" si="535"/>
        <v>62.927989255192607</v>
      </c>
      <c r="AK512" s="1123">
        <f t="shared" si="536"/>
        <v>57.325777366493703</v>
      </c>
      <c r="AL512" s="1123">
        <f t="shared" si="537"/>
        <v>51.627105889243531</v>
      </c>
      <c r="AM512" s="1120">
        <f t="shared" si="538"/>
        <v>1</v>
      </c>
      <c r="AN512" s="1120">
        <f t="shared" si="539"/>
        <v>1</v>
      </c>
      <c r="AO512" s="1120">
        <f t="shared" si="540"/>
        <v>1</v>
      </c>
      <c r="AP512" s="1120">
        <f t="shared" si="541"/>
        <v>1</v>
      </c>
      <c r="AQ512" s="1120">
        <f t="shared" si="542"/>
        <v>0</v>
      </c>
      <c r="AR512" s="1120">
        <f t="shared" si="543"/>
        <v>0</v>
      </c>
      <c r="AS512" s="1120">
        <f t="shared" si="544"/>
        <v>0</v>
      </c>
      <c r="AT512" s="1120">
        <f t="shared" si="545"/>
        <v>0</v>
      </c>
      <c r="AU512" s="1120">
        <f t="shared" si="546"/>
        <v>0</v>
      </c>
      <c r="AV512" s="1120">
        <f t="shared" si="547"/>
        <v>1</v>
      </c>
      <c r="AW512" s="1120">
        <f t="shared" si="548"/>
        <v>1</v>
      </c>
      <c r="AX512" s="1120">
        <f t="shared" si="549"/>
        <v>1</v>
      </c>
      <c r="AY512" s="1120">
        <f t="shared" si="550"/>
        <v>0</v>
      </c>
      <c r="AZ512" s="1120">
        <f t="shared" si="551"/>
        <v>0</v>
      </c>
      <c r="BA512" s="1120">
        <f t="shared" si="552"/>
        <v>0</v>
      </c>
      <c r="BB512" s="1120">
        <f t="shared" si="553"/>
        <v>0</v>
      </c>
      <c r="BC512" s="1120">
        <f t="shared" si="554"/>
        <v>1</v>
      </c>
      <c r="BD512" s="1120">
        <f t="shared" si="555"/>
        <v>1</v>
      </c>
      <c r="BE512" s="1120">
        <f t="shared" si="556"/>
        <v>1</v>
      </c>
      <c r="BF512" s="1120">
        <f t="shared" si="557"/>
        <v>1</v>
      </c>
      <c r="BG512" s="1120">
        <f t="shared" si="558"/>
        <v>1</v>
      </c>
      <c r="BH512" s="1120">
        <f t="shared" si="559"/>
        <v>0</v>
      </c>
      <c r="BI512" s="1120">
        <f t="shared" si="560"/>
        <v>0</v>
      </c>
      <c r="BJ512" s="1120">
        <f t="shared" si="561"/>
        <v>0</v>
      </c>
      <c r="BK512" s="1120">
        <f t="shared" si="562"/>
        <v>1</v>
      </c>
      <c r="BL512" s="1120">
        <f t="shared" si="563"/>
        <v>1</v>
      </c>
      <c r="BM512" s="1120">
        <f t="shared" si="564"/>
        <v>1</v>
      </c>
      <c r="BN512" s="1120">
        <f t="shared" si="565"/>
        <v>1</v>
      </c>
      <c r="BO512" s="1120">
        <f t="shared" si="566"/>
        <v>1</v>
      </c>
      <c r="BP512" s="1120">
        <f t="shared" si="567"/>
        <v>0</v>
      </c>
      <c r="BQ512" s="1120">
        <f t="shared" si="568"/>
        <v>0</v>
      </c>
      <c r="BR512" s="1120">
        <f t="shared" si="569"/>
        <v>0</v>
      </c>
      <c r="BS512" s="1120">
        <f t="shared" si="570"/>
        <v>0</v>
      </c>
      <c r="BT512" s="1120">
        <f t="shared" si="571"/>
        <v>1</v>
      </c>
      <c r="BU512" s="1120">
        <f t="shared" si="572"/>
        <v>1</v>
      </c>
      <c r="BV512" s="1120">
        <f t="shared" si="573"/>
        <v>1</v>
      </c>
      <c r="BW512" s="1120">
        <f t="shared" si="574"/>
        <v>0</v>
      </c>
      <c r="BX512" s="1120">
        <f t="shared" si="575"/>
        <v>0</v>
      </c>
      <c r="BY512" s="1120">
        <f t="shared" si="576"/>
        <v>0</v>
      </c>
      <c r="BZ512" s="1120">
        <f t="shared" si="577"/>
        <v>1</v>
      </c>
      <c r="CA512" s="1120">
        <f t="shared" si="578"/>
        <v>1</v>
      </c>
      <c r="CB512" s="1120">
        <f t="shared" si="579"/>
        <v>1</v>
      </c>
      <c r="CC512" s="1120">
        <f t="shared" si="580"/>
        <v>1</v>
      </c>
      <c r="CD512" s="1120">
        <f t="shared" si="581"/>
        <v>1</v>
      </c>
      <c r="CE512" s="1120">
        <f t="shared" si="582"/>
        <v>1</v>
      </c>
      <c r="CF512" s="1120">
        <f t="shared" si="583"/>
        <v>1</v>
      </c>
      <c r="CG512" s="1120">
        <f t="shared" si="584"/>
        <v>0</v>
      </c>
      <c r="CH512" s="1120">
        <f t="shared" si="585"/>
        <v>0</v>
      </c>
      <c r="CI512" s="1120">
        <f t="shared" si="586"/>
        <v>0.85</v>
      </c>
      <c r="CJ512" s="1120">
        <f t="shared" si="587"/>
        <v>0.85</v>
      </c>
      <c r="CK512" s="1120">
        <f t="shared" si="588"/>
        <v>0.85</v>
      </c>
      <c r="CL512" s="1120">
        <f t="shared" si="589"/>
        <v>0.85</v>
      </c>
      <c r="CM512" s="1120">
        <f t="shared" si="590"/>
        <v>0.85</v>
      </c>
      <c r="CN512" s="1120">
        <f t="shared" si="591"/>
        <v>0.7</v>
      </c>
      <c r="CO512" s="1120">
        <f t="shared" si="592"/>
        <v>0.7</v>
      </c>
      <c r="CP512" s="1120">
        <f t="shared" si="593"/>
        <v>0.7</v>
      </c>
      <c r="CQ512" s="1120">
        <f t="shared" si="594"/>
        <v>0.7</v>
      </c>
      <c r="CR512" s="1120">
        <f t="shared" si="595"/>
        <v>0.85</v>
      </c>
      <c r="CS512" s="1120">
        <f t="shared" si="596"/>
        <v>0.85</v>
      </c>
      <c r="CT512" s="1120">
        <f t="shared" si="597"/>
        <v>0.85</v>
      </c>
      <c r="CU512" s="1120">
        <v>1</v>
      </c>
      <c r="CV512" s="1120"/>
      <c r="CW512" s="1120">
        <f t="shared" si="598"/>
        <v>214</v>
      </c>
      <c r="CX512" s="1120">
        <f t="shared" si="599"/>
        <v>151</v>
      </c>
      <c r="CY512" s="1135" t="s">
        <v>4889</v>
      </c>
      <c r="CZ512" s="1124" t="s">
        <v>4899</v>
      </c>
      <c r="DA512" s="1124"/>
      <c r="DB512" s="1124"/>
      <c r="DC512" s="1120" t="s">
        <v>5177</v>
      </c>
      <c r="DD512" s="1120" t="s">
        <v>566</v>
      </c>
      <c r="DE512" s="1120" t="str">
        <f t="shared" si="600"/>
        <v/>
      </c>
      <c r="DF512" s="1133">
        <v>0</v>
      </c>
      <c r="DG512" s="1120">
        <v>0</v>
      </c>
    </row>
    <row r="513" spans="1:111">
      <c r="A513" s="1125" t="s">
        <v>3777</v>
      </c>
      <c r="B513" s="1120" t="s">
        <v>3238</v>
      </c>
      <c r="C513" s="1120" t="s">
        <v>3239</v>
      </c>
      <c r="D513" s="1120" t="s">
        <v>536</v>
      </c>
      <c r="E513" s="1120">
        <v>9925</v>
      </c>
      <c r="F513" s="1120">
        <v>-106.32</v>
      </c>
      <c r="G513" s="1120">
        <v>39.22</v>
      </c>
      <c r="H513" s="1120">
        <v>-7</v>
      </c>
      <c r="I513" s="1121">
        <v>-7.7800006866455087</v>
      </c>
      <c r="J513" s="1121">
        <v>75.380000686645502</v>
      </c>
      <c r="K513" s="1122">
        <v>50</v>
      </c>
      <c r="L513" s="1120">
        <v>10024.200000000001</v>
      </c>
      <c r="M513" s="1120">
        <v>0</v>
      </c>
      <c r="N513" s="1123">
        <v>19.220000171661376</v>
      </c>
      <c r="O513" s="1123">
        <v>19.220000171661376</v>
      </c>
      <c r="P513" s="1123">
        <v>29.3</v>
      </c>
      <c r="Q513" s="1123">
        <v>38.299999999999997</v>
      </c>
      <c r="R513" s="1123">
        <v>42.97999982833862</v>
      </c>
      <c r="S513" s="1123">
        <v>51.980000686645511</v>
      </c>
      <c r="T513" s="1123">
        <v>56.3</v>
      </c>
      <c r="U513" s="1123">
        <v>54.859999656677246</v>
      </c>
      <c r="V513" s="1123">
        <v>48.740000343322755</v>
      </c>
      <c r="W513" s="1123">
        <v>36.5</v>
      </c>
      <c r="X513" s="1123">
        <v>25.7</v>
      </c>
      <c r="Y513" s="1123">
        <v>18.679999828338623</v>
      </c>
      <c r="Z513" s="1123">
        <v>36.911780876002901</v>
      </c>
      <c r="AA513" s="1123">
        <f t="shared" si="526"/>
        <v>38.275143457656185</v>
      </c>
      <c r="AB513" s="1123">
        <f t="shared" si="527"/>
        <v>36.854542717211658</v>
      </c>
      <c r="AC513" s="1123">
        <f t="shared" si="528"/>
        <v>37.012854447721622</v>
      </c>
      <c r="AD513" s="1123">
        <f t="shared" si="529"/>
        <v>38.708812256971036</v>
      </c>
      <c r="AE513" s="1123">
        <f t="shared" si="530"/>
        <v>41.500338606478088</v>
      </c>
      <c r="AF513" s="1123">
        <f t="shared" si="531"/>
        <v>44.659779134520555</v>
      </c>
      <c r="AG513" s="1123">
        <f t="shared" si="532"/>
        <v>47.363576979011839</v>
      </c>
      <c r="AH513" s="1123">
        <f t="shared" si="533"/>
        <v>48.906945564999262</v>
      </c>
      <c r="AI513" s="1123">
        <f t="shared" si="534"/>
        <v>48.887582086515359</v>
      </c>
      <c r="AJ513" s="1123">
        <f t="shared" si="535"/>
        <v>47.310533932627195</v>
      </c>
      <c r="AK513" s="1123">
        <f t="shared" si="536"/>
        <v>44.586883007693409</v>
      </c>
      <c r="AL513" s="1123">
        <f t="shared" si="537"/>
        <v>41.426590898029261</v>
      </c>
      <c r="AM513" s="1120">
        <f t="shared" si="538"/>
        <v>1</v>
      </c>
      <c r="AN513" s="1120">
        <f t="shared" si="539"/>
        <v>1</v>
      </c>
      <c r="AO513" s="1120">
        <f t="shared" si="540"/>
        <v>1</v>
      </c>
      <c r="AP513" s="1120">
        <f t="shared" si="541"/>
        <v>1</v>
      </c>
      <c r="AQ513" s="1120">
        <f t="shared" si="542"/>
        <v>1</v>
      </c>
      <c r="AR513" s="1120">
        <f t="shared" si="543"/>
        <v>1</v>
      </c>
      <c r="AS513" s="1120">
        <f t="shared" si="544"/>
        <v>1</v>
      </c>
      <c r="AT513" s="1120">
        <f t="shared" si="545"/>
        <v>1</v>
      </c>
      <c r="AU513" s="1120">
        <f t="shared" si="546"/>
        <v>1</v>
      </c>
      <c r="AV513" s="1120">
        <f t="shared" si="547"/>
        <v>1</v>
      </c>
      <c r="AW513" s="1120">
        <f t="shared" si="548"/>
        <v>1</v>
      </c>
      <c r="AX513" s="1120">
        <f t="shared" si="549"/>
        <v>1</v>
      </c>
      <c r="AY513" s="1120">
        <f t="shared" si="550"/>
        <v>0</v>
      </c>
      <c r="AZ513" s="1120">
        <f t="shared" si="551"/>
        <v>0</v>
      </c>
      <c r="BA513" s="1120">
        <f t="shared" si="552"/>
        <v>0</v>
      </c>
      <c r="BB513" s="1120">
        <f t="shared" si="553"/>
        <v>0</v>
      </c>
      <c r="BC513" s="1120">
        <f t="shared" si="554"/>
        <v>0</v>
      </c>
      <c r="BD513" s="1120">
        <f t="shared" si="555"/>
        <v>0</v>
      </c>
      <c r="BE513" s="1120">
        <f t="shared" si="556"/>
        <v>1</v>
      </c>
      <c r="BF513" s="1120">
        <f t="shared" si="557"/>
        <v>1</v>
      </c>
      <c r="BG513" s="1120">
        <f t="shared" si="558"/>
        <v>0</v>
      </c>
      <c r="BH513" s="1120">
        <f t="shared" si="559"/>
        <v>0</v>
      </c>
      <c r="BI513" s="1120">
        <f t="shared" si="560"/>
        <v>0</v>
      </c>
      <c r="BJ513" s="1120">
        <f t="shared" si="561"/>
        <v>0</v>
      </c>
      <c r="BK513" s="1120">
        <f t="shared" si="562"/>
        <v>1</v>
      </c>
      <c r="BL513" s="1120">
        <f t="shared" si="563"/>
        <v>1</v>
      </c>
      <c r="BM513" s="1120">
        <f t="shared" si="564"/>
        <v>1</v>
      </c>
      <c r="BN513" s="1120">
        <f t="shared" si="565"/>
        <v>1</v>
      </c>
      <c r="BO513" s="1120">
        <f t="shared" si="566"/>
        <v>1</v>
      </c>
      <c r="BP513" s="1120">
        <f t="shared" si="567"/>
        <v>1</v>
      </c>
      <c r="BQ513" s="1120">
        <f t="shared" si="568"/>
        <v>1</v>
      </c>
      <c r="BR513" s="1120">
        <f t="shared" si="569"/>
        <v>1</v>
      </c>
      <c r="BS513" s="1120">
        <f t="shared" si="570"/>
        <v>1</v>
      </c>
      <c r="BT513" s="1120">
        <f t="shared" si="571"/>
        <v>1</v>
      </c>
      <c r="BU513" s="1120">
        <f t="shared" si="572"/>
        <v>1</v>
      </c>
      <c r="BV513" s="1120">
        <f t="shared" si="573"/>
        <v>1</v>
      </c>
      <c r="BW513" s="1120">
        <f t="shared" si="574"/>
        <v>0</v>
      </c>
      <c r="BX513" s="1120">
        <f t="shared" si="575"/>
        <v>0</v>
      </c>
      <c r="BY513" s="1120">
        <f t="shared" si="576"/>
        <v>0</v>
      </c>
      <c r="BZ513" s="1120">
        <f t="shared" si="577"/>
        <v>0</v>
      </c>
      <c r="CA513" s="1120">
        <f t="shared" si="578"/>
        <v>0</v>
      </c>
      <c r="CB513" s="1120">
        <f t="shared" si="579"/>
        <v>0</v>
      </c>
      <c r="CC513" s="1120">
        <f t="shared" si="580"/>
        <v>1</v>
      </c>
      <c r="CD513" s="1120">
        <f t="shared" si="581"/>
        <v>1</v>
      </c>
      <c r="CE513" s="1120">
        <f t="shared" si="582"/>
        <v>0</v>
      </c>
      <c r="CF513" s="1120">
        <f t="shared" si="583"/>
        <v>0</v>
      </c>
      <c r="CG513" s="1120">
        <f t="shared" si="584"/>
        <v>0</v>
      </c>
      <c r="CH513" s="1120">
        <f t="shared" si="585"/>
        <v>0</v>
      </c>
      <c r="CI513" s="1120">
        <f t="shared" si="586"/>
        <v>0.85</v>
      </c>
      <c r="CJ513" s="1120">
        <f t="shared" si="587"/>
        <v>0.85</v>
      </c>
      <c r="CK513" s="1120">
        <f t="shared" si="588"/>
        <v>0.85</v>
      </c>
      <c r="CL513" s="1120">
        <f t="shared" si="589"/>
        <v>0.85</v>
      </c>
      <c r="CM513" s="1120">
        <f t="shared" si="590"/>
        <v>0.85</v>
      </c>
      <c r="CN513" s="1120">
        <f t="shared" si="591"/>
        <v>0.85</v>
      </c>
      <c r="CO513" s="1120">
        <f t="shared" si="592"/>
        <v>0.85</v>
      </c>
      <c r="CP513" s="1120">
        <f t="shared" si="593"/>
        <v>0.85</v>
      </c>
      <c r="CQ513" s="1120">
        <f t="shared" si="594"/>
        <v>0.85</v>
      </c>
      <c r="CR513" s="1120">
        <f t="shared" si="595"/>
        <v>0.85</v>
      </c>
      <c r="CS513" s="1120">
        <f t="shared" si="596"/>
        <v>0.85</v>
      </c>
      <c r="CT513" s="1120">
        <f t="shared" si="597"/>
        <v>0.85</v>
      </c>
      <c r="CU513" s="1120">
        <v>1</v>
      </c>
      <c r="CV513" s="1120"/>
      <c r="CW513" s="1120">
        <f t="shared" si="598"/>
        <v>62</v>
      </c>
      <c r="CX513" s="1120">
        <f t="shared" si="599"/>
        <v>303</v>
      </c>
      <c r="CY513" s="1135" t="s">
        <v>4879</v>
      </c>
      <c r="CZ513" s="1124">
        <v>7</v>
      </c>
      <c r="DA513" s="1124"/>
      <c r="DB513" s="1124"/>
      <c r="DC513" s="1120" t="s">
        <v>5953</v>
      </c>
      <c r="DD513" s="1120" t="s">
        <v>536</v>
      </c>
      <c r="DE513" s="1120" t="b">
        <f t="shared" si="600"/>
        <v>0</v>
      </c>
      <c r="DF513" s="1133">
        <v>0</v>
      </c>
      <c r="DG513" s="1125">
        <v>0</v>
      </c>
    </row>
    <row r="514" spans="1:111">
      <c r="A514" s="1120" t="s">
        <v>5870</v>
      </c>
      <c r="B514" s="1125" t="s">
        <v>4044</v>
      </c>
      <c r="C514" s="1125" t="s">
        <v>4045</v>
      </c>
      <c r="D514" s="1125" t="s">
        <v>1249</v>
      </c>
      <c r="E514" s="1125">
        <v>597</v>
      </c>
      <c r="F514" s="1125">
        <v>-72.3</v>
      </c>
      <c r="G514" s="1125">
        <v>43.63</v>
      </c>
      <c r="H514" s="1125">
        <v>-5</v>
      </c>
      <c r="I514" s="1126">
        <v>-2.7399986267089851</v>
      </c>
      <c r="J514" s="1126">
        <v>85.819999313354487</v>
      </c>
      <c r="K514" s="1127">
        <v>69.439998626708984</v>
      </c>
      <c r="L514" s="1125">
        <v>7171.2</v>
      </c>
      <c r="M514" s="1125">
        <v>408.6</v>
      </c>
      <c r="N514" s="1128">
        <v>16.880000686645506</v>
      </c>
      <c r="O514" s="1128">
        <v>22.640000343322754</v>
      </c>
      <c r="P514" s="1128">
        <v>32.9</v>
      </c>
      <c r="Q514" s="1128">
        <v>46.040000343322752</v>
      </c>
      <c r="R514" s="1128">
        <v>51.080000686645505</v>
      </c>
      <c r="S514" s="1128">
        <v>66.919999313354495</v>
      </c>
      <c r="T514" s="1128">
        <v>68.180000686645513</v>
      </c>
      <c r="U514" s="1128">
        <v>66.919999313354495</v>
      </c>
      <c r="V514" s="1128">
        <v>61.7</v>
      </c>
      <c r="W514" s="1128">
        <v>48.2</v>
      </c>
      <c r="X514" s="1128">
        <v>41.359999656677246</v>
      </c>
      <c r="Y514" s="1128">
        <v>26.6</v>
      </c>
      <c r="Z514" s="1128">
        <v>45.88515077146765</v>
      </c>
      <c r="AA514" s="1128">
        <f t="shared" si="526"/>
        <v>42.839409033214835</v>
      </c>
      <c r="AB514" s="1128">
        <f t="shared" si="527"/>
        <v>41.157040670335697</v>
      </c>
      <c r="AC514" s="1128">
        <f t="shared" si="528"/>
        <v>42.271119530497614</v>
      </c>
      <c r="AD514" s="1128">
        <f t="shared" si="529"/>
        <v>45.891243790324459</v>
      </c>
      <c r="AE514" s="1128">
        <f t="shared" si="530"/>
        <v>51.073772273688846</v>
      </c>
      <c r="AF514" s="1128">
        <f t="shared" si="531"/>
        <v>56.467799066220408</v>
      </c>
      <c r="AG514" s="1128">
        <f t="shared" si="532"/>
        <v>60.667287959976768</v>
      </c>
      <c r="AH514" s="1128">
        <f t="shared" si="533"/>
        <v>62.577577458717542</v>
      </c>
      <c r="AI514" s="1128">
        <f t="shared" si="534"/>
        <v>61.70072116614368</v>
      </c>
      <c r="AJ514" s="1128">
        <f t="shared" si="535"/>
        <v>58.265285187679048</v>
      </c>
      <c r="AK514" s="1128">
        <f t="shared" si="536"/>
        <v>53.166768852781409</v>
      </c>
      <c r="AL514" s="1128">
        <f t="shared" si="537"/>
        <v>47.734179014656881</v>
      </c>
      <c r="AM514" s="1125">
        <f t="shared" si="538"/>
        <v>1</v>
      </c>
      <c r="AN514" s="1125">
        <f t="shared" si="539"/>
        <v>1</v>
      </c>
      <c r="AO514" s="1125">
        <f t="shared" si="540"/>
        <v>1</v>
      </c>
      <c r="AP514" s="1125">
        <f t="shared" si="541"/>
        <v>1</v>
      </c>
      <c r="AQ514" s="1125">
        <f t="shared" si="542"/>
        <v>1</v>
      </c>
      <c r="AR514" s="1125">
        <f t="shared" si="543"/>
        <v>0</v>
      </c>
      <c r="AS514" s="1125">
        <f t="shared" si="544"/>
        <v>0</v>
      </c>
      <c r="AT514" s="1125">
        <f t="shared" si="545"/>
        <v>0</v>
      </c>
      <c r="AU514" s="1125">
        <f t="shared" si="546"/>
        <v>1</v>
      </c>
      <c r="AV514" s="1125">
        <f t="shared" si="547"/>
        <v>1</v>
      </c>
      <c r="AW514" s="1125">
        <f t="shared" si="548"/>
        <v>1</v>
      </c>
      <c r="AX514" s="1125">
        <f t="shared" si="549"/>
        <v>1</v>
      </c>
      <c r="AY514" s="1125">
        <f t="shared" si="550"/>
        <v>0</v>
      </c>
      <c r="AZ514" s="1125">
        <f t="shared" si="551"/>
        <v>0</v>
      </c>
      <c r="BA514" s="1125">
        <f t="shared" si="552"/>
        <v>0</v>
      </c>
      <c r="BB514" s="1125">
        <f t="shared" si="553"/>
        <v>0</v>
      </c>
      <c r="BC514" s="1125">
        <f t="shared" si="554"/>
        <v>0</v>
      </c>
      <c r="BD514" s="1125">
        <f t="shared" si="555"/>
        <v>1</v>
      </c>
      <c r="BE514" s="1125">
        <f t="shared" si="556"/>
        <v>1</v>
      </c>
      <c r="BF514" s="1125">
        <f t="shared" si="557"/>
        <v>1</v>
      </c>
      <c r="BG514" s="1125">
        <f t="shared" si="558"/>
        <v>0</v>
      </c>
      <c r="BH514" s="1125">
        <f t="shared" si="559"/>
        <v>0</v>
      </c>
      <c r="BI514" s="1125">
        <f t="shared" si="560"/>
        <v>0</v>
      </c>
      <c r="BJ514" s="1125">
        <f t="shared" si="561"/>
        <v>0</v>
      </c>
      <c r="BK514" s="1125">
        <f t="shared" si="562"/>
        <v>1</v>
      </c>
      <c r="BL514" s="1125">
        <f t="shared" si="563"/>
        <v>1</v>
      </c>
      <c r="BM514" s="1125">
        <f t="shared" si="564"/>
        <v>1</v>
      </c>
      <c r="BN514" s="1125">
        <f t="shared" si="565"/>
        <v>1</v>
      </c>
      <c r="BO514" s="1125">
        <f t="shared" si="566"/>
        <v>1</v>
      </c>
      <c r="BP514" s="1125">
        <f t="shared" si="567"/>
        <v>1</v>
      </c>
      <c r="BQ514" s="1125">
        <f t="shared" si="568"/>
        <v>0</v>
      </c>
      <c r="BR514" s="1125">
        <f t="shared" si="569"/>
        <v>0</v>
      </c>
      <c r="BS514" s="1125">
        <f t="shared" si="570"/>
        <v>1</v>
      </c>
      <c r="BT514" s="1125">
        <f t="shared" si="571"/>
        <v>1</v>
      </c>
      <c r="BU514" s="1125">
        <f t="shared" si="572"/>
        <v>1</v>
      </c>
      <c r="BV514" s="1125">
        <f t="shared" si="573"/>
        <v>1</v>
      </c>
      <c r="BW514" s="1125">
        <f t="shared" si="574"/>
        <v>0</v>
      </c>
      <c r="BX514" s="1125">
        <f t="shared" si="575"/>
        <v>0</v>
      </c>
      <c r="BY514" s="1125">
        <f t="shared" si="576"/>
        <v>0</v>
      </c>
      <c r="BZ514" s="1125">
        <f t="shared" si="577"/>
        <v>0</v>
      </c>
      <c r="CA514" s="1125">
        <f t="shared" si="578"/>
        <v>1</v>
      </c>
      <c r="CB514" s="1125">
        <f t="shared" si="579"/>
        <v>1</v>
      </c>
      <c r="CC514" s="1125">
        <f t="shared" si="580"/>
        <v>1</v>
      </c>
      <c r="CD514" s="1125">
        <f t="shared" si="581"/>
        <v>1</v>
      </c>
      <c r="CE514" s="1125">
        <f t="shared" si="582"/>
        <v>1</v>
      </c>
      <c r="CF514" s="1125">
        <f t="shared" si="583"/>
        <v>0</v>
      </c>
      <c r="CG514" s="1125">
        <f t="shared" si="584"/>
        <v>0</v>
      </c>
      <c r="CH514" s="1125">
        <f t="shared" si="585"/>
        <v>0</v>
      </c>
      <c r="CI514" s="1125">
        <f t="shared" si="586"/>
        <v>0.85</v>
      </c>
      <c r="CJ514" s="1125">
        <f t="shared" si="587"/>
        <v>0.85</v>
      </c>
      <c r="CK514" s="1125">
        <f t="shared" si="588"/>
        <v>0.85</v>
      </c>
      <c r="CL514" s="1125">
        <f t="shared" si="589"/>
        <v>0.85</v>
      </c>
      <c r="CM514" s="1125">
        <f t="shared" si="590"/>
        <v>0.85</v>
      </c>
      <c r="CN514" s="1125">
        <f t="shared" si="591"/>
        <v>0.85</v>
      </c>
      <c r="CO514" s="1125">
        <f t="shared" si="592"/>
        <v>0.7</v>
      </c>
      <c r="CP514" s="1125">
        <f t="shared" si="593"/>
        <v>0.7</v>
      </c>
      <c r="CQ514" s="1125">
        <f t="shared" si="594"/>
        <v>0.85</v>
      </c>
      <c r="CR514" s="1125">
        <f t="shared" si="595"/>
        <v>0.85</v>
      </c>
      <c r="CS514" s="1125">
        <f t="shared" si="596"/>
        <v>0.85</v>
      </c>
      <c r="CT514" s="1125">
        <f t="shared" si="597"/>
        <v>0.85</v>
      </c>
      <c r="CU514" s="1125">
        <v>1</v>
      </c>
      <c r="CV514" s="1125"/>
      <c r="CW514" s="1125">
        <f t="shared" si="598"/>
        <v>153</v>
      </c>
      <c r="CX514" s="1125">
        <f t="shared" si="599"/>
        <v>212</v>
      </c>
      <c r="CY514" s="1136" t="s">
        <v>4889</v>
      </c>
      <c r="CZ514" s="1129" t="s">
        <v>4899</v>
      </c>
      <c r="DA514" s="1129"/>
      <c r="DB514" s="1129"/>
      <c r="DC514" s="1125" t="s">
        <v>5435</v>
      </c>
      <c r="DD514" s="1125" t="s">
        <v>1249</v>
      </c>
      <c r="DE514" s="1120" t="str">
        <f t="shared" si="600"/>
        <v/>
      </c>
      <c r="DF514" s="1133">
        <v>0</v>
      </c>
      <c r="DG514" s="1120">
        <v>0</v>
      </c>
    </row>
    <row r="515" spans="1:111">
      <c r="A515" s="1125" t="s">
        <v>5872</v>
      </c>
      <c r="B515" s="1125" t="s">
        <v>4508</v>
      </c>
      <c r="C515" s="1125" t="s">
        <v>4509</v>
      </c>
      <c r="D515" s="1125" t="s">
        <v>501</v>
      </c>
      <c r="E515" s="1125">
        <v>390</v>
      </c>
      <c r="F515" s="1125">
        <v>-77.569999999999993</v>
      </c>
      <c r="G515" s="1125">
        <v>39.08</v>
      </c>
      <c r="H515" s="1125">
        <v>-5</v>
      </c>
      <c r="I515" s="1126">
        <v>17.959999656677248</v>
      </c>
      <c r="J515" s="1126">
        <v>91.760001373291018</v>
      </c>
      <c r="K515" s="1127">
        <v>75.560001373291016</v>
      </c>
      <c r="L515" s="1125">
        <v>5061.6000000000004</v>
      </c>
      <c r="M515" s="1125">
        <v>1200.6000000000001</v>
      </c>
      <c r="N515" s="1128">
        <v>33.259999978542325</v>
      </c>
      <c r="O515" s="1128">
        <v>35.419999957084656</v>
      </c>
      <c r="P515" s="1128">
        <v>39.740000343322755</v>
      </c>
      <c r="Q515" s="1128">
        <v>51.440000343322751</v>
      </c>
      <c r="R515" s="1128">
        <v>60.980000686645511</v>
      </c>
      <c r="S515" s="1128">
        <v>70.880000686645502</v>
      </c>
      <c r="T515" s="1128">
        <v>77</v>
      </c>
      <c r="U515" s="1128">
        <v>76.460001373291021</v>
      </c>
      <c r="V515" s="1128">
        <v>66.739998626708982</v>
      </c>
      <c r="W515" s="1128">
        <v>56.3</v>
      </c>
      <c r="X515" s="1128">
        <v>39.920000171661378</v>
      </c>
      <c r="Y515" s="1128">
        <v>36.5</v>
      </c>
      <c r="Z515" s="1128">
        <v>53.831781006806516</v>
      </c>
      <c r="AA515" s="1128">
        <f t="shared" ref="AA515:AA578" si="601">MAX($Z515+6+(0.4+0.01*($Z515-44))*(MAX($N515:$Y515)-MIN($N515:$Y515))/2*SIN((0.986*((1*30-15)-15-(35-1*($Z515-44)))-90)*PI()/180),32)</f>
        <v>49.939897012297209</v>
      </c>
      <c r="AB515" s="1128">
        <f t="shared" ref="AB515:AB578" si="602">MAX($Z515+6+(0.4+0.01*($Z515-44))*(MAX($N515:$Y515)-MIN($N515:$Y515))/2*SIN((0.986*((2*30-15)-15-(35-1*($Z515-44)))-90)*PI()/180),32)</f>
        <v>48.971223358764512</v>
      </c>
      <c r="AC515" s="1128">
        <f t="shared" ref="AC515:AC578" si="603">MAX($Z515+6+(0.4+0.01*($Z515-44))*(MAX($N515:$Y515)-MIN($N515:$Y515))/2*SIN((0.986*((3*30-15)-15-(35-1*($Z515-44)))-90)*PI()/180),32)</f>
        <v>50.833521422453458</v>
      </c>
      <c r="AD515" s="1128">
        <f t="shared" ref="AD515:AD578" si="604">MAX($Z515+6+(0.4+0.01*($Z515-44))*(MAX($N515:$Y515)-MIN($N515:$Y515))/2*SIN((0.986*((4*30-15)-15-(35-1*($Z515-44)))-90)*PI()/180),32)</f>
        <v>55.041354514181641</v>
      </c>
      <c r="AE515" s="1128">
        <f t="shared" ref="AE515:AE578" si="605">MAX($Z515+6+(0.4+0.01*($Z515-44))*(MAX($N515:$Y515)-MIN($N515:$Y515))/2*SIN((0.986*((5*30-15)-15-(35-1*($Z515-44)))-90)*PI()/180),32)</f>
        <v>60.497886093919348</v>
      </c>
      <c r="AF515" s="1128">
        <f t="shared" ref="AF515:AF578" si="606">MAX($Z515+6+(0.4+0.01*($Z515-44))*(MAX($N515:$Y515)-MIN($N515:$Y515))/2*SIN((0.986*((6*30-15)-15-(35-1*($Z515-44)))-90)*PI()/180),32)</f>
        <v>65.780787117710986</v>
      </c>
      <c r="AG515" s="1128">
        <f t="shared" ref="AG515:AG578" si="607">MAX($Z515+6+(0.4+0.01*($Z515-44))*(MAX($N515:$Y515)-MIN($N515:$Y515))/2*SIN((0.986*((7*30-15)-15-(35-1*($Z515-44)))-90)*PI()/180),32)</f>
        <v>69.512988021736163</v>
      </c>
      <c r="AH515" s="1128">
        <f t="shared" ref="AH515:AH578" si="608">MAX($Z515+6+(0.4+0.01*($Z515-44))*(MAX($N515:$Y515)-MIN($N515:$Y515))/2*SIN((0.986*((8*30-15)-15-(35-1*($Z515-44)))-90)*PI()/180),32)</f>
        <v>70.721633125403827</v>
      </c>
      <c r="AI515" s="1128">
        <f t="shared" ref="AI515:AI578" si="609">MAX($Z515+6+(0.4+0.01*($Z515-44))*(MAX($N515:$Y515)-MIN($N515:$Y515))/2*SIN((0.986*((9*30-15)-15-(35-1*($Z515-44)))-90)*PI()/180),32)</f>
        <v>69.09167045665815</v>
      </c>
      <c r="AJ515" s="1128">
        <f t="shared" ref="AJ515:AJ578" si="610">MAX($Z515+6+(0.4+0.01*($Z515-44))*(MAX($N515:$Y515)-MIN($N515:$Y515))/2*SIN((0.986*((10*30-15)-15-(35-1*($Z515-44)))-90)*PI()/180),32)</f>
        <v>65.04797490359276</v>
      </c>
      <c r="AK515" s="1128">
        <f t="shared" ref="AK515:AK578" si="611">MAX($Z515+6+(0.4+0.01*($Z515-44))*(MAX($N515:$Y515)-MIN($N515:$Y515))/2*SIN((0.986*((11*30-15)-15-(35-1*($Z515-44)))-90)*PI()/180),32)</f>
        <v>59.644598027348884</v>
      </c>
      <c r="AL515" s="1128">
        <f t="shared" ref="AL515:AL578" si="612">MAX($Z515+6+(0.4+0.01*($Z515-44))*(MAX($N515:$Y515)-MIN($N515:$Y515))/2*SIN((0.986*((12*30-15)-15-(35-1*($Z515-44)))-90)*PI()/180),32)</f>
        <v>54.290013279277666</v>
      </c>
      <c r="AM515" s="1125">
        <f t="shared" ref="AM515:AM578" si="613">IF(AND(OR(LEFT(AM$1,3)="Jan",LEFT(AM$1,3)="Dec"),I515&lt;59),1,IF(N515&lt;66,1,0))</f>
        <v>1</v>
      </c>
      <c r="AN515" s="1125">
        <f t="shared" ref="AN515:AN578" si="614">IF(AND(OR(LEFT(AN$1,3)="Jan",LEFT(AN$1,3)="Dec"),J515&lt;59),1,IF(O515&lt;66,1,0))</f>
        <v>1</v>
      </c>
      <c r="AO515" s="1125">
        <f t="shared" ref="AO515:AO578" si="615">IF(AND(OR(LEFT(AO$1,3)="Jan",LEFT(AO$1,3)="Dec"),K515&lt;59),1,IF(P515&lt;66,1,0))</f>
        <v>1</v>
      </c>
      <c r="AP515" s="1125">
        <f t="shared" ref="AP515:AP578" si="616">IF(AND(OR(LEFT(AP$1,3)="Jan",LEFT(AP$1,3)="Dec"),L515&lt;59),1,IF(Q515&lt;66,1,0))</f>
        <v>1</v>
      </c>
      <c r="AQ515" s="1125">
        <f t="shared" ref="AQ515:AQ578" si="617">IF(AND(OR(LEFT(AQ$1,3)="Jan",LEFT(AQ$1,3)="Dec"),M515&lt;59),1,IF(R515&lt;66,1,0))</f>
        <v>1</v>
      </c>
      <c r="AR515" s="1125">
        <f t="shared" ref="AR515:AR578" si="618">IF(AND(OR(LEFT(AR$1,3)="Jan",LEFT(AR$1,3)="Dec"),N515&lt;59),1,IF(S515&lt;66,1,0))</f>
        <v>0</v>
      </c>
      <c r="AS515" s="1125">
        <f t="shared" ref="AS515:AS578" si="619">IF(AND(OR(LEFT(AS$1,3)="Jan",LEFT(AS$1,3)="Dec"),O515&lt;59),1,IF(T515&lt;66,1,0))</f>
        <v>0</v>
      </c>
      <c r="AT515" s="1125">
        <f t="shared" ref="AT515:AT578" si="620">IF(AND(OR(LEFT(AT$1,3)="Jan",LEFT(AT$1,3)="Dec"),P515&lt;59),1,IF(U515&lt;66,1,0))</f>
        <v>0</v>
      </c>
      <c r="AU515" s="1125">
        <f t="shared" ref="AU515:AU578" si="621">IF(AND(OR(LEFT(AU$1,3)="Jan",LEFT(AU$1,3)="Dec"),Q515&lt;59),1,IF(V515&lt;66,1,0))</f>
        <v>0</v>
      </c>
      <c r="AV515" s="1125">
        <f t="shared" ref="AV515:AV578" si="622">IF(AND(OR(LEFT(AV$1,3)="Jan",LEFT(AV$1,3)="Dec"),R515&lt;59),1,IF(W515&lt;66,1,0))</f>
        <v>1</v>
      </c>
      <c r="AW515" s="1125">
        <f t="shared" ref="AW515:AW578" si="623">IF(AND(OR(LEFT(AW$1,3)="Jan",LEFT(AW$1,3)="Dec"),S515&lt;59),1,IF(X515&lt;66,1,0))</f>
        <v>1</v>
      </c>
      <c r="AX515" s="1125">
        <f t="shared" ref="AX515:AX578" si="624">IF(AND(OR(LEFT(AX$1,3)="Jan",LEFT(AX$1,3)="Dec"),T515&lt;59),1,IF(Y515&lt;66,1,0))</f>
        <v>1</v>
      </c>
      <c r="AY515" s="1125">
        <f t="shared" ref="AY515:AY578" si="625">IF(OR(LEFT(AY$1,3)="Jul", LEFT(AY$1,3)="Aug"),1,IF(N515&gt;66,1,0))</f>
        <v>0</v>
      </c>
      <c r="AZ515" s="1125">
        <f t="shared" ref="AZ515:AZ578" si="626">IF(OR(LEFT(AZ$1,3)="Jul", LEFT(AZ$1,3)="Aug"),1,IF(O515&gt;66,1,0))</f>
        <v>0</v>
      </c>
      <c r="BA515" s="1125">
        <f t="shared" ref="BA515:BA578" si="627">IF(OR(LEFT(BA$1,3)="Jul", LEFT(BA$1,3)="Aug"),1,IF(P515&gt;66,1,0))</f>
        <v>0</v>
      </c>
      <c r="BB515" s="1125">
        <f t="shared" ref="BB515:BB578" si="628">IF(OR(LEFT(BB$1,3)="Jul", LEFT(BB$1,3)="Aug"),1,IF(Q515&gt;66,1,0))</f>
        <v>0</v>
      </c>
      <c r="BC515" s="1125">
        <f t="shared" ref="BC515:BC578" si="629">IF(OR(LEFT(BC$1,3)="Jul", LEFT(BC$1,3)="Aug"),1,IF(R515&gt;66,1,0))</f>
        <v>0</v>
      </c>
      <c r="BD515" s="1125">
        <f t="shared" ref="BD515:BD578" si="630">IF(OR(LEFT(BD$1,3)="Jul", LEFT(BD$1,3)="Aug"),1,IF(S515&gt;66,1,0))</f>
        <v>1</v>
      </c>
      <c r="BE515" s="1125">
        <f t="shared" ref="BE515:BE578" si="631">IF(OR(LEFT(BE$1,3)="Jul", LEFT(BE$1,3)="Aug"),1,IF(T515&gt;66,1,0))</f>
        <v>1</v>
      </c>
      <c r="BF515" s="1125">
        <f t="shared" ref="BF515:BF578" si="632">IF(OR(LEFT(BF$1,3)="Jul", LEFT(BF$1,3)="Aug"),1,IF(U515&gt;66,1,0))</f>
        <v>1</v>
      </c>
      <c r="BG515" s="1125">
        <f t="shared" ref="BG515:BG578" si="633">IF(OR(LEFT(BG$1,3)="Jul", LEFT(BG$1,3)="Aug"),1,IF(V515&gt;66,1,0))</f>
        <v>1</v>
      </c>
      <c r="BH515" s="1125">
        <f t="shared" ref="BH515:BH578" si="634">IF(OR(LEFT(BH$1,3)="Jul", LEFT(BH$1,3)="Aug"),1,IF(W515&gt;66,1,0))</f>
        <v>0</v>
      </c>
      <c r="BI515" s="1125">
        <f t="shared" ref="BI515:BI578" si="635">IF(OR(LEFT(BI$1,3)="Jul", LEFT(BI$1,3)="Aug"),1,IF(X515&gt;66,1,0))</f>
        <v>0</v>
      </c>
      <c r="BJ515" s="1125">
        <f t="shared" ref="BJ515:BJ578" si="636">IF(OR(LEFT(BJ$1,3)="Jul", LEFT(BJ$1,3)="Aug"),1,IF(Y515&gt;66,1,0))</f>
        <v>0</v>
      </c>
      <c r="BK515" s="1125">
        <f t="shared" ref="BK515:BK578" si="637">IF(AND(AY515=1,BJ515=0),1,AM515)</f>
        <v>1</v>
      </c>
      <c r="BL515" s="1125">
        <f t="shared" ref="BL515:BL578" si="638">IF(AND(AY515=0,AZ515=1),1,AN515)</f>
        <v>1</v>
      </c>
      <c r="BM515" s="1125">
        <f t="shared" ref="BM515:BM578" si="639">IF(AND(AZ515=0,BA515=1),1,AO515)</f>
        <v>1</v>
      </c>
      <c r="BN515" s="1125">
        <f t="shared" ref="BN515:BN578" si="640">IF(AND(BA515=0,BB515=1),1,AP515)</f>
        <v>1</v>
      </c>
      <c r="BO515" s="1125">
        <f t="shared" ref="BO515:BO578" si="641">IF(AND(BB515=0,BC515=1),1,AQ515)</f>
        <v>1</v>
      </c>
      <c r="BP515" s="1125">
        <f t="shared" ref="BP515:BP578" si="642">IF(AND(BC515=0,BD515=1),1,AR515)</f>
        <v>1</v>
      </c>
      <c r="BQ515" s="1125">
        <f t="shared" ref="BQ515:BQ578" si="643">IF(AND(BD515=0,BE515=1),1,AS515)</f>
        <v>0</v>
      </c>
      <c r="BR515" s="1125">
        <f t="shared" ref="BR515:BR578" si="644">IF(AND(BE515=0,BF515=1),1,AT515)</f>
        <v>0</v>
      </c>
      <c r="BS515" s="1125">
        <f t="shared" ref="BS515:BS578" si="645">IF(AND(BF515=0,BG515=1),1,AU515)</f>
        <v>0</v>
      </c>
      <c r="BT515" s="1125">
        <f t="shared" ref="BT515:BT578" si="646">IF(AND(BG515=0,BH515=1),1,AV515)</f>
        <v>1</v>
      </c>
      <c r="BU515" s="1125">
        <f t="shared" ref="BU515:BU578" si="647">IF(AND(BH515=0,BI515=1),1,AW515)</f>
        <v>1</v>
      </c>
      <c r="BV515" s="1125">
        <f t="shared" ref="BV515:BV578" si="648">IF(AND(BI515=0,BJ515=1),1,AX515)</f>
        <v>1</v>
      </c>
      <c r="BW515" s="1125">
        <f t="shared" ref="BW515:BW578" si="649">IF(OR(AND(AX515=0,AM515=1),AND(AM515=1,AN515=0)),1,AY515)</f>
        <v>0</v>
      </c>
      <c r="BX515" s="1125">
        <f t="shared" ref="BX515:BX578" si="650">IF(OR(AND(AM515=0,AN515=1),AND(AN515=1,AO515=0)),1,AZ515)</f>
        <v>0</v>
      </c>
      <c r="BY515" s="1125">
        <f t="shared" ref="BY515:BY578" si="651">IF(OR(AND(AN515=0,AO515=1),AND(AO515=1,AP515=0)),1,BA515)</f>
        <v>0</v>
      </c>
      <c r="BZ515" s="1125">
        <f t="shared" ref="BZ515:BZ578" si="652">IF(OR(AND(AO515=0,AP515=1),AND(AP515=1,AQ515=0)),1,BB515)</f>
        <v>0</v>
      </c>
      <c r="CA515" s="1125">
        <f t="shared" ref="CA515:CA578" si="653">IF(OR(AND(AP515=0,AQ515=1),AND(AQ515=1,AR515=0)),1,BC515)</f>
        <v>1</v>
      </c>
      <c r="CB515" s="1125">
        <f t="shared" ref="CB515:CB578" si="654">IF(OR(AND(AQ515=0,AR515=1),AND(AR515=1,AS515=0)),1,BD515)</f>
        <v>1</v>
      </c>
      <c r="CC515" s="1125">
        <f t="shared" ref="CC515:CC578" si="655">IF(OR(AND(AR515=0,AS515=1),AND(AS515=1,AT515=0)),1,BE515)</f>
        <v>1</v>
      </c>
      <c r="CD515" s="1125">
        <f t="shared" ref="CD515:CD578" si="656">IF(OR(AND(AS515=0,AT515=1),AND(AT515=1,AU515=0)),1,BF515)</f>
        <v>1</v>
      </c>
      <c r="CE515" s="1125">
        <f t="shared" ref="CE515:CE578" si="657">IF(OR(AND(AT515=0,AU515=1),AND(AU515=1,AV515=0)),1,BG515)</f>
        <v>1</v>
      </c>
      <c r="CF515" s="1125">
        <f t="shared" ref="CF515:CF578" si="658">IF(OR(AND(AU515=0,AV515=1),AND(AV515=1,AW515=0)),1,BH515)</f>
        <v>1</v>
      </c>
      <c r="CG515" s="1125">
        <f t="shared" ref="CG515:CG578" si="659">IF(OR(AND(AV515=0,AW515=1),AND(AW515=1,AX515=0)),1,BI515)</f>
        <v>0</v>
      </c>
      <c r="CH515" s="1125">
        <f t="shared" ref="CH515:CH578" si="660">IF(OR(AND(AW515=0,AX515=1),AND(AX515=1,AM515=0)),1,BJ515)</f>
        <v>0</v>
      </c>
      <c r="CI515" s="1125">
        <f t="shared" ref="CI515:CI578" si="661">IF(BK515=1,0.85,0.7)</f>
        <v>0.85</v>
      </c>
      <c r="CJ515" s="1125">
        <f t="shared" ref="CJ515:CJ578" si="662">IF(BL515=1,0.85,0.7)</f>
        <v>0.85</v>
      </c>
      <c r="CK515" s="1125">
        <f t="shared" ref="CK515:CK578" si="663">IF(BM515=1,0.85,0.7)</f>
        <v>0.85</v>
      </c>
      <c r="CL515" s="1125">
        <f t="shared" ref="CL515:CL578" si="664">IF(BN515=1,0.85,0.7)</f>
        <v>0.85</v>
      </c>
      <c r="CM515" s="1125">
        <f t="shared" ref="CM515:CM578" si="665">IF(BO515=1,0.85,0.7)</f>
        <v>0.85</v>
      </c>
      <c r="CN515" s="1125">
        <f t="shared" ref="CN515:CN578" si="666">IF(BP515=1,0.85,0.7)</f>
        <v>0.85</v>
      </c>
      <c r="CO515" s="1125">
        <f t="shared" ref="CO515:CO578" si="667">IF(BQ515=1,0.85,0.7)</f>
        <v>0.7</v>
      </c>
      <c r="CP515" s="1125">
        <f t="shared" ref="CP515:CP578" si="668">IF(BR515=1,0.85,0.7)</f>
        <v>0.7</v>
      </c>
      <c r="CQ515" s="1125">
        <f t="shared" ref="CQ515:CQ578" si="669">IF(BS515=1,0.85,0.7)</f>
        <v>0.7</v>
      </c>
      <c r="CR515" s="1125">
        <f t="shared" ref="CR515:CR578" si="670">IF(BT515=1,0.85,0.7)</f>
        <v>0.85</v>
      </c>
      <c r="CS515" s="1125">
        <f t="shared" ref="CS515:CS578" si="671">IF(BU515=1,0.85,0.7)</f>
        <v>0.85</v>
      </c>
      <c r="CT515" s="1125">
        <f t="shared" ref="CT515:CT578" si="672">IF(BV515=1,0.85,0.7)</f>
        <v>0.85</v>
      </c>
      <c r="CU515" s="1125">
        <v>1</v>
      </c>
      <c r="CV515" s="1125"/>
      <c r="CW515" s="1125">
        <f t="shared" ref="CW515:CW578" si="673">BW515*31+BX515*28+BY515*31+BZ515*30+CA515*31+CB515*30+CC515*31+CD515*31+CE515*30+CF515*31+CG515*30+CH515*31</f>
        <v>184</v>
      </c>
      <c r="CX515" s="1125">
        <f t="shared" ref="CX515:CX578" si="674">365-CW515</f>
        <v>181</v>
      </c>
      <c r="CY515" s="1136" t="s">
        <v>4881</v>
      </c>
      <c r="CZ515" s="1129" t="s">
        <v>4885</v>
      </c>
      <c r="DA515" s="1129"/>
      <c r="DB515" s="1129"/>
      <c r="DC515" s="1125" t="s">
        <v>6010</v>
      </c>
      <c r="DD515" s="1125" t="s">
        <v>501</v>
      </c>
      <c r="DE515" s="1120" t="str">
        <f t="shared" si="600"/>
        <v/>
      </c>
      <c r="DF515" s="1133">
        <v>0</v>
      </c>
      <c r="DG515" s="1125">
        <v>0</v>
      </c>
    </row>
    <row r="516" spans="1:111">
      <c r="A516" s="1120" t="s">
        <v>3779</v>
      </c>
      <c r="B516" s="1120" t="s">
        <v>3126</v>
      </c>
      <c r="C516" s="1120" t="s">
        <v>3127</v>
      </c>
      <c r="D516" s="1120" t="s">
        <v>954</v>
      </c>
      <c r="E516" s="1120">
        <v>239</v>
      </c>
      <c r="F516" s="1120">
        <v>-119.95</v>
      </c>
      <c r="G516" s="1120">
        <v>36.33</v>
      </c>
      <c r="H516" s="1120">
        <v>-8</v>
      </c>
      <c r="I516" s="1121">
        <v>32.540000021457672</v>
      </c>
      <c r="J516" s="1121">
        <v>100.4</v>
      </c>
      <c r="K516" s="1122">
        <v>71.239998626708982</v>
      </c>
      <c r="L516" s="1120">
        <v>2570.4</v>
      </c>
      <c r="M516" s="1120">
        <v>1873.8</v>
      </c>
      <c r="N516" s="1123">
        <v>43.7</v>
      </c>
      <c r="O516" s="1123">
        <v>50.180000686645506</v>
      </c>
      <c r="P516" s="1123">
        <v>54.680000686645506</v>
      </c>
      <c r="Q516" s="1123">
        <v>62.780000686645508</v>
      </c>
      <c r="R516" s="1123">
        <v>69.980000686645511</v>
      </c>
      <c r="S516" s="1123">
        <v>76.099999999999994</v>
      </c>
      <c r="T516" s="1123">
        <v>81.319999313354487</v>
      </c>
      <c r="U516" s="1123">
        <v>77.719999313354492</v>
      </c>
      <c r="V516" s="1123">
        <v>73.580000686645505</v>
      </c>
      <c r="W516" s="1123">
        <v>61.7</v>
      </c>
      <c r="X516" s="1123">
        <v>51.8</v>
      </c>
      <c r="Y516" s="1123">
        <v>45.5</v>
      </c>
      <c r="Z516" s="1123">
        <v>62.480657699793987</v>
      </c>
      <c r="AA516" s="1123">
        <f t="shared" si="601"/>
        <v>57.921953937125146</v>
      </c>
      <c r="AB516" s="1123">
        <f t="shared" si="602"/>
        <v>57.775127869788008</v>
      </c>
      <c r="AC516" s="1123">
        <f t="shared" si="603"/>
        <v>60.418863129850436</v>
      </c>
      <c r="AD516" s="1123">
        <f t="shared" si="604"/>
        <v>65.164029380583557</v>
      </c>
      <c r="AE516" s="1123">
        <f t="shared" si="605"/>
        <v>70.7737259135084</v>
      </c>
      <c r="AF516" s="1123">
        <f t="shared" si="606"/>
        <v>75.785698879277746</v>
      </c>
      <c r="AG516" s="1123">
        <f t="shared" si="607"/>
        <v>78.8935002875225</v>
      </c>
      <c r="AH516" s="1123">
        <f t="shared" si="608"/>
        <v>79.287033808514252</v>
      </c>
      <c r="AI516" s="1123">
        <f t="shared" si="609"/>
        <v>76.86371886547137</v>
      </c>
      <c r="AJ516" s="1123">
        <f t="shared" si="610"/>
        <v>72.255229842711671</v>
      </c>
      <c r="AK516" s="1123">
        <f t="shared" si="611"/>
        <v>66.662840422983024</v>
      </c>
      <c r="AL516" s="1123">
        <f t="shared" si="612"/>
        <v>61.544293089867345</v>
      </c>
      <c r="AM516" s="1120">
        <f t="shared" si="613"/>
        <v>1</v>
      </c>
      <c r="AN516" s="1120">
        <f t="shared" si="614"/>
        <v>1</v>
      </c>
      <c r="AO516" s="1120">
        <f t="shared" si="615"/>
        <v>1</v>
      </c>
      <c r="AP516" s="1120">
        <f t="shared" si="616"/>
        <v>1</v>
      </c>
      <c r="AQ516" s="1120">
        <f t="shared" si="617"/>
        <v>0</v>
      </c>
      <c r="AR516" s="1120">
        <f t="shared" si="618"/>
        <v>0</v>
      </c>
      <c r="AS516" s="1120">
        <f t="shared" si="619"/>
        <v>0</v>
      </c>
      <c r="AT516" s="1120">
        <f t="shared" si="620"/>
        <v>0</v>
      </c>
      <c r="AU516" s="1120">
        <f t="shared" si="621"/>
        <v>0</v>
      </c>
      <c r="AV516" s="1120">
        <f t="shared" si="622"/>
        <v>1</v>
      </c>
      <c r="AW516" s="1120">
        <f t="shared" si="623"/>
        <v>1</v>
      </c>
      <c r="AX516" s="1120">
        <f t="shared" si="624"/>
        <v>1</v>
      </c>
      <c r="AY516" s="1120">
        <f t="shared" si="625"/>
        <v>0</v>
      </c>
      <c r="AZ516" s="1120">
        <f t="shared" si="626"/>
        <v>0</v>
      </c>
      <c r="BA516" s="1120">
        <f t="shared" si="627"/>
        <v>0</v>
      </c>
      <c r="BB516" s="1120">
        <f t="shared" si="628"/>
        <v>0</v>
      </c>
      <c r="BC516" s="1120">
        <f t="shared" si="629"/>
        <v>1</v>
      </c>
      <c r="BD516" s="1120">
        <f t="shared" si="630"/>
        <v>1</v>
      </c>
      <c r="BE516" s="1120">
        <f t="shared" si="631"/>
        <v>1</v>
      </c>
      <c r="BF516" s="1120">
        <f t="shared" si="632"/>
        <v>1</v>
      </c>
      <c r="BG516" s="1120">
        <f t="shared" si="633"/>
        <v>1</v>
      </c>
      <c r="BH516" s="1120">
        <f t="shared" si="634"/>
        <v>0</v>
      </c>
      <c r="BI516" s="1120">
        <f t="shared" si="635"/>
        <v>0</v>
      </c>
      <c r="BJ516" s="1120">
        <f t="shared" si="636"/>
        <v>0</v>
      </c>
      <c r="BK516" s="1120">
        <f t="shared" si="637"/>
        <v>1</v>
      </c>
      <c r="BL516" s="1120">
        <f t="shared" si="638"/>
        <v>1</v>
      </c>
      <c r="BM516" s="1120">
        <f t="shared" si="639"/>
        <v>1</v>
      </c>
      <c r="BN516" s="1120">
        <f t="shared" si="640"/>
        <v>1</v>
      </c>
      <c r="BO516" s="1120">
        <f t="shared" si="641"/>
        <v>1</v>
      </c>
      <c r="BP516" s="1120">
        <f t="shared" si="642"/>
        <v>0</v>
      </c>
      <c r="BQ516" s="1120">
        <f t="shared" si="643"/>
        <v>0</v>
      </c>
      <c r="BR516" s="1120">
        <f t="shared" si="644"/>
        <v>0</v>
      </c>
      <c r="BS516" s="1120">
        <f t="shared" si="645"/>
        <v>0</v>
      </c>
      <c r="BT516" s="1120">
        <f t="shared" si="646"/>
        <v>1</v>
      </c>
      <c r="BU516" s="1120">
        <f t="shared" si="647"/>
        <v>1</v>
      </c>
      <c r="BV516" s="1120">
        <f t="shared" si="648"/>
        <v>1</v>
      </c>
      <c r="BW516" s="1120">
        <f t="shared" si="649"/>
        <v>0</v>
      </c>
      <c r="BX516" s="1120">
        <f t="shared" si="650"/>
        <v>0</v>
      </c>
      <c r="BY516" s="1120">
        <f t="shared" si="651"/>
        <v>0</v>
      </c>
      <c r="BZ516" s="1120">
        <f t="shared" si="652"/>
        <v>1</v>
      </c>
      <c r="CA516" s="1120">
        <f t="shared" si="653"/>
        <v>1</v>
      </c>
      <c r="CB516" s="1120">
        <f t="shared" si="654"/>
        <v>1</v>
      </c>
      <c r="CC516" s="1120">
        <f t="shared" si="655"/>
        <v>1</v>
      </c>
      <c r="CD516" s="1120">
        <f t="shared" si="656"/>
        <v>1</v>
      </c>
      <c r="CE516" s="1120">
        <f t="shared" si="657"/>
        <v>1</v>
      </c>
      <c r="CF516" s="1120">
        <f t="shared" si="658"/>
        <v>1</v>
      </c>
      <c r="CG516" s="1120">
        <f t="shared" si="659"/>
        <v>0</v>
      </c>
      <c r="CH516" s="1120">
        <f t="shared" si="660"/>
        <v>0</v>
      </c>
      <c r="CI516" s="1120">
        <f t="shared" si="661"/>
        <v>0.85</v>
      </c>
      <c r="CJ516" s="1120">
        <f t="shared" si="662"/>
        <v>0.85</v>
      </c>
      <c r="CK516" s="1120">
        <f t="shared" si="663"/>
        <v>0.85</v>
      </c>
      <c r="CL516" s="1120">
        <f t="shared" si="664"/>
        <v>0.85</v>
      </c>
      <c r="CM516" s="1120">
        <f t="shared" si="665"/>
        <v>0.85</v>
      </c>
      <c r="CN516" s="1120">
        <f t="shared" si="666"/>
        <v>0.7</v>
      </c>
      <c r="CO516" s="1120">
        <f t="shared" si="667"/>
        <v>0.7</v>
      </c>
      <c r="CP516" s="1120">
        <f t="shared" si="668"/>
        <v>0.7</v>
      </c>
      <c r="CQ516" s="1120">
        <f t="shared" si="669"/>
        <v>0.7</v>
      </c>
      <c r="CR516" s="1120">
        <f t="shared" si="670"/>
        <v>0.85</v>
      </c>
      <c r="CS516" s="1120">
        <f t="shared" si="671"/>
        <v>0.85</v>
      </c>
      <c r="CT516" s="1120">
        <f t="shared" si="672"/>
        <v>0.85</v>
      </c>
      <c r="CU516" s="1120">
        <v>1</v>
      </c>
      <c r="CV516" s="1120"/>
      <c r="CW516" s="1120">
        <f t="shared" si="673"/>
        <v>214</v>
      </c>
      <c r="CX516" s="1120">
        <f t="shared" si="674"/>
        <v>151</v>
      </c>
      <c r="CY516" s="1136" t="s">
        <v>4886</v>
      </c>
      <c r="CZ516" s="1129" t="s">
        <v>4888</v>
      </c>
      <c r="DA516" s="1129"/>
      <c r="DB516" s="1129"/>
      <c r="DC516" s="1125" t="s">
        <v>5030</v>
      </c>
      <c r="DD516" s="1125" t="s">
        <v>954</v>
      </c>
      <c r="DE516" s="1120" t="str">
        <f t="shared" si="600"/>
        <v/>
      </c>
      <c r="DF516" s="1120">
        <v>0</v>
      </c>
      <c r="DG516" s="1120">
        <v>0</v>
      </c>
    </row>
    <row r="517" spans="1:111">
      <c r="A517" s="1125" t="s">
        <v>3781</v>
      </c>
      <c r="B517" s="1125" t="s">
        <v>4655</v>
      </c>
      <c r="C517" s="1125" t="s">
        <v>4656</v>
      </c>
      <c r="D517" s="1125" t="s">
        <v>513</v>
      </c>
      <c r="E517" s="1125">
        <v>2303</v>
      </c>
      <c r="F517" s="1125">
        <v>-80.400000000000006</v>
      </c>
      <c r="G517" s="1125">
        <v>37.869999999999997</v>
      </c>
      <c r="H517" s="1125">
        <v>-5</v>
      </c>
      <c r="I517" s="1126">
        <v>-4.0000000000000009</v>
      </c>
      <c r="J517" s="1126">
        <v>86.180000686645513</v>
      </c>
      <c r="K517" s="1127">
        <v>70.16000137329101</v>
      </c>
      <c r="L517" s="1125">
        <v>6080.4000000000005</v>
      </c>
      <c r="M517" s="1125">
        <v>424.8</v>
      </c>
      <c r="N517" s="1128">
        <v>31.279999989271165</v>
      </c>
      <c r="O517" s="1128">
        <v>30.559999978542329</v>
      </c>
      <c r="P517" s="1128">
        <v>39.559999656677249</v>
      </c>
      <c r="Q517" s="1128">
        <v>48.919999313354495</v>
      </c>
      <c r="R517" s="1128">
        <v>53.780000686645508</v>
      </c>
      <c r="S517" s="1128">
        <v>66.739998626708982</v>
      </c>
      <c r="T517" s="1128">
        <v>71.239998626708982</v>
      </c>
      <c r="U517" s="1128">
        <v>66.560001373291016</v>
      </c>
      <c r="V517" s="1128">
        <v>60.259999656677245</v>
      </c>
      <c r="W517" s="1128">
        <v>47.480000686645511</v>
      </c>
      <c r="X517" s="1128">
        <v>34.880000042915341</v>
      </c>
      <c r="Y517" s="1128">
        <v>34.519999957084657</v>
      </c>
      <c r="Z517" s="1128">
        <v>48.922465640698391</v>
      </c>
      <c r="AA517" s="1128">
        <f t="shared" si="601"/>
        <v>46.982141578578648</v>
      </c>
      <c r="AB517" s="1128">
        <f t="shared" si="602"/>
        <v>45.785244566592908</v>
      </c>
      <c r="AC517" s="1128">
        <f t="shared" si="603"/>
        <v>46.970105036411759</v>
      </c>
      <c r="AD517" s="1128">
        <f t="shared" si="604"/>
        <v>50.227870847324375</v>
      </c>
      <c r="AE517" s="1128">
        <f t="shared" si="605"/>
        <v>54.709355137025589</v>
      </c>
      <c r="AF517" s="1128">
        <f t="shared" si="606"/>
        <v>59.246389963641391</v>
      </c>
      <c r="AG517" s="1128">
        <f t="shared" si="607"/>
        <v>62.656327281791299</v>
      </c>
      <c r="AH517" s="1128">
        <f t="shared" si="608"/>
        <v>64.050314380774822</v>
      </c>
      <c r="AI517" s="1128">
        <f t="shared" si="609"/>
        <v>63.064987041250475</v>
      </c>
      <c r="AJ517" s="1128">
        <f t="shared" si="610"/>
        <v>59.957186018619183</v>
      </c>
      <c r="AK517" s="1128">
        <f t="shared" si="611"/>
        <v>55.537007542093264</v>
      </c>
      <c r="AL517" s="1128">
        <f t="shared" si="612"/>
        <v>50.956639248591408</v>
      </c>
      <c r="AM517" s="1125">
        <f t="shared" si="613"/>
        <v>1</v>
      </c>
      <c r="AN517" s="1125">
        <f t="shared" si="614"/>
        <v>1</v>
      </c>
      <c r="AO517" s="1125">
        <f t="shared" si="615"/>
        <v>1</v>
      </c>
      <c r="AP517" s="1125">
        <f t="shared" si="616"/>
        <v>1</v>
      </c>
      <c r="AQ517" s="1125">
        <f t="shared" si="617"/>
        <v>1</v>
      </c>
      <c r="AR517" s="1125">
        <f t="shared" si="618"/>
        <v>0</v>
      </c>
      <c r="AS517" s="1125">
        <f t="shared" si="619"/>
        <v>0</v>
      </c>
      <c r="AT517" s="1125">
        <f t="shared" si="620"/>
        <v>0</v>
      </c>
      <c r="AU517" s="1125">
        <f t="shared" si="621"/>
        <v>1</v>
      </c>
      <c r="AV517" s="1125">
        <f t="shared" si="622"/>
        <v>1</v>
      </c>
      <c r="AW517" s="1125">
        <f t="shared" si="623"/>
        <v>1</v>
      </c>
      <c r="AX517" s="1125">
        <f t="shared" si="624"/>
        <v>1</v>
      </c>
      <c r="AY517" s="1125">
        <f t="shared" si="625"/>
        <v>0</v>
      </c>
      <c r="AZ517" s="1125">
        <f t="shared" si="626"/>
        <v>0</v>
      </c>
      <c r="BA517" s="1125">
        <f t="shared" si="627"/>
        <v>0</v>
      </c>
      <c r="BB517" s="1125">
        <f t="shared" si="628"/>
        <v>0</v>
      </c>
      <c r="BC517" s="1125">
        <f t="shared" si="629"/>
        <v>0</v>
      </c>
      <c r="BD517" s="1125">
        <f t="shared" si="630"/>
        <v>1</v>
      </c>
      <c r="BE517" s="1125">
        <f t="shared" si="631"/>
        <v>1</v>
      </c>
      <c r="BF517" s="1125">
        <f t="shared" si="632"/>
        <v>1</v>
      </c>
      <c r="BG517" s="1125">
        <f t="shared" si="633"/>
        <v>0</v>
      </c>
      <c r="BH517" s="1125">
        <f t="shared" si="634"/>
        <v>0</v>
      </c>
      <c r="BI517" s="1125">
        <f t="shared" si="635"/>
        <v>0</v>
      </c>
      <c r="BJ517" s="1125">
        <f t="shared" si="636"/>
        <v>0</v>
      </c>
      <c r="BK517" s="1125">
        <f t="shared" si="637"/>
        <v>1</v>
      </c>
      <c r="BL517" s="1125">
        <f t="shared" si="638"/>
        <v>1</v>
      </c>
      <c r="BM517" s="1125">
        <f t="shared" si="639"/>
        <v>1</v>
      </c>
      <c r="BN517" s="1125">
        <f t="shared" si="640"/>
        <v>1</v>
      </c>
      <c r="BO517" s="1125">
        <f t="shared" si="641"/>
        <v>1</v>
      </c>
      <c r="BP517" s="1125">
        <f t="shared" si="642"/>
        <v>1</v>
      </c>
      <c r="BQ517" s="1125">
        <f t="shared" si="643"/>
        <v>0</v>
      </c>
      <c r="BR517" s="1125">
        <f t="shared" si="644"/>
        <v>0</v>
      </c>
      <c r="BS517" s="1125">
        <f t="shared" si="645"/>
        <v>1</v>
      </c>
      <c r="BT517" s="1125">
        <f t="shared" si="646"/>
        <v>1</v>
      </c>
      <c r="BU517" s="1125">
        <f t="shared" si="647"/>
        <v>1</v>
      </c>
      <c r="BV517" s="1125">
        <f t="shared" si="648"/>
        <v>1</v>
      </c>
      <c r="BW517" s="1125">
        <f t="shared" si="649"/>
        <v>0</v>
      </c>
      <c r="BX517" s="1125">
        <f t="shared" si="650"/>
        <v>0</v>
      </c>
      <c r="BY517" s="1125">
        <f t="shared" si="651"/>
        <v>0</v>
      </c>
      <c r="BZ517" s="1125">
        <f t="shared" si="652"/>
        <v>0</v>
      </c>
      <c r="CA517" s="1125">
        <f t="shared" si="653"/>
        <v>1</v>
      </c>
      <c r="CB517" s="1125">
        <f t="shared" si="654"/>
        <v>1</v>
      </c>
      <c r="CC517" s="1125">
        <f t="shared" si="655"/>
        <v>1</v>
      </c>
      <c r="CD517" s="1125">
        <f t="shared" si="656"/>
        <v>1</v>
      </c>
      <c r="CE517" s="1125">
        <f t="shared" si="657"/>
        <v>1</v>
      </c>
      <c r="CF517" s="1125">
        <f t="shared" si="658"/>
        <v>0</v>
      </c>
      <c r="CG517" s="1125">
        <f t="shared" si="659"/>
        <v>0</v>
      </c>
      <c r="CH517" s="1125">
        <f t="shared" si="660"/>
        <v>0</v>
      </c>
      <c r="CI517" s="1125">
        <f t="shared" si="661"/>
        <v>0.85</v>
      </c>
      <c r="CJ517" s="1125">
        <f t="shared" si="662"/>
        <v>0.85</v>
      </c>
      <c r="CK517" s="1125">
        <f t="shared" si="663"/>
        <v>0.85</v>
      </c>
      <c r="CL517" s="1125">
        <f t="shared" si="664"/>
        <v>0.85</v>
      </c>
      <c r="CM517" s="1125">
        <f t="shared" si="665"/>
        <v>0.85</v>
      </c>
      <c r="CN517" s="1125">
        <f t="shared" si="666"/>
        <v>0.85</v>
      </c>
      <c r="CO517" s="1125">
        <f t="shared" si="667"/>
        <v>0.7</v>
      </c>
      <c r="CP517" s="1125">
        <f t="shared" si="668"/>
        <v>0.7</v>
      </c>
      <c r="CQ517" s="1125">
        <f t="shared" si="669"/>
        <v>0.85</v>
      </c>
      <c r="CR517" s="1125">
        <f t="shared" si="670"/>
        <v>0.85</v>
      </c>
      <c r="CS517" s="1125">
        <f t="shared" si="671"/>
        <v>0.85</v>
      </c>
      <c r="CT517" s="1125">
        <f t="shared" si="672"/>
        <v>0.85</v>
      </c>
      <c r="CU517" s="1125">
        <v>1</v>
      </c>
      <c r="CV517" s="1125"/>
      <c r="CW517" s="1125">
        <f t="shared" si="673"/>
        <v>153</v>
      </c>
      <c r="CX517" s="1125">
        <f t="shared" si="674"/>
        <v>212</v>
      </c>
      <c r="CY517" s="1135" t="s">
        <v>4889</v>
      </c>
      <c r="CZ517" s="1124" t="s">
        <v>4897</v>
      </c>
      <c r="DA517" s="1124"/>
      <c r="DB517" s="1124"/>
      <c r="DC517" s="1120" t="s">
        <v>6025</v>
      </c>
      <c r="DD517" s="1120" t="s">
        <v>513</v>
      </c>
      <c r="DE517" s="1120" t="str">
        <f t="shared" si="600"/>
        <v/>
      </c>
      <c r="DF517" s="1133">
        <v>0</v>
      </c>
      <c r="DG517" s="1125">
        <v>0</v>
      </c>
    </row>
    <row r="518" spans="1:111">
      <c r="A518" s="1120" t="s">
        <v>3783</v>
      </c>
      <c r="B518" s="1120" t="s">
        <v>3485</v>
      </c>
      <c r="C518" s="1120" t="s">
        <v>3486</v>
      </c>
      <c r="D518" s="1120" t="s">
        <v>249</v>
      </c>
      <c r="E518" s="1120">
        <v>1437</v>
      </c>
      <c r="F518" s="1120">
        <v>-117.02</v>
      </c>
      <c r="G518" s="1120">
        <v>46.37</v>
      </c>
      <c r="H518" s="1120">
        <v>-8</v>
      </c>
      <c r="I518" s="1121">
        <v>17.419999313354491</v>
      </c>
      <c r="J518" s="1121">
        <v>94.279997253417974</v>
      </c>
      <c r="K518" s="1122">
        <v>64.400000000000006</v>
      </c>
      <c r="L518" s="1120">
        <v>5351.4000000000005</v>
      </c>
      <c r="M518" s="1120">
        <v>966.6</v>
      </c>
      <c r="N518" s="1123">
        <v>34.880000042915341</v>
      </c>
      <c r="O518" s="1123">
        <v>36.5</v>
      </c>
      <c r="P518" s="1123">
        <v>40.640000343322754</v>
      </c>
      <c r="Q518" s="1123">
        <v>52.340000343322757</v>
      </c>
      <c r="R518" s="1123">
        <v>56.840000343322757</v>
      </c>
      <c r="S518" s="1123">
        <v>66.560001373291016</v>
      </c>
      <c r="T518" s="1123">
        <v>78.080000686645505</v>
      </c>
      <c r="U518" s="1123">
        <v>76.099999999999994</v>
      </c>
      <c r="V518" s="1123">
        <v>61.339998626708983</v>
      </c>
      <c r="W518" s="1123">
        <v>49.280000686645508</v>
      </c>
      <c r="X518" s="1123">
        <v>40.459999656677248</v>
      </c>
      <c r="Y518" s="1123">
        <v>34.519999957084657</v>
      </c>
      <c r="Z518" s="1123">
        <v>52.393260448926114</v>
      </c>
      <c r="AA518" s="1123">
        <f t="shared" si="601"/>
        <v>48.93889334695308</v>
      </c>
      <c r="AB518" s="1123">
        <f t="shared" si="602"/>
        <v>47.871173357246533</v>
      </c>
      <c r="AC518" s="1123">
        <f t="shared" si="603"/>
        <v>49.546197518256591</v>
      </c>
      <c r="AD518" s="1123">
        <f t="shared" si="604"/>
        <v>53.52734496951232</v>
      </c>
      <c r="AE518" s="1123">
        <f t="shared" si="605"/>
        <v>58.776868276504601</v>
      </c>
      <c r="AF518" s="1123">
        <f t="shared" si="606"/>
        <v>63.926398291662984</v>
      </c>
      <c r="AG518" s="1123">
        <f t="shared" si="607"/>
        <v>67.6336306598768</v>
      </c>
      <c r="AH518" s="1123">
        <f t="shared" si="608"/>
        <v>68.932218134191004</v>
      </c>
      <c r="AI518" s="1123">
        <f t="shared" si="609"/>
        <v>67.483663877586864</v>
      </c>
      <c r="AJ518" s="1123">
        <f t="shared" si="610"/>
        <v>63.665555879945053</v>
      </c>
      <c r="AK518" s="1123">
        <f t="shared" si="611"/>
        <v>58.473142829676199</v>
      </c>
      <c r="AL518" s="1123">
        <f t="shared" si="612"/>
        <v>53.259907205840079</v>
      </c>
      <c r="AM518" s="1120">
        <f t="shared" si="613"/>
        <v>1</v>
      </c>
      <c r="AN518" s="1120">
        <f t="shared" si="614"/>
        <v>1</v>
      </c>
      <c r="AO518" s="1120">
        <f t="shared" si="615"/>
        <v>1</v>
      </c>
      <c r="AP518" s="1120">
        <f t="shared" si="616"/>
        <v>1</v>
      </c>
      <c r="AQ518" s="1120">
        <f t="shared" si="617"/>
        <v>1</v>
      </c>
      <c r="AR518" s="1120">
        <f t="shared" si="618"/>
        <v>0</v>
      </c>
      <c r="AS518" s="1120">
        <f t="shared" si="619"/>
        <v>0</v>
      </c>
      <c r="AT518" s="1120">
        <f t="shared" si="620"/>
        <v>0</v>
      </c>
      <c r="AU518" s="1120">
        <f t="shared" si="621"/>
        <v>1</v>
      </c>
      <c r="AV518" s="1120">
        <f t="shared" si="622"/>
        <v>1</v>
      </c>
      <c r="AW518" s="1120">
        <f t="shared" si="623"/>
        <v>1</v>
      </c>
      <c r="AX518" s="1120">
        <f t="shared" si="624"/>
        <v>1</v>
      </c>
      <c r="AY518" s="1120">
        <f t="shared" si="625"/>
        <v>0</v>
      </c>
      <c r="AZ518" s="1120">
        <f t="shared" si="626"/>
        <v>0</v>
      </c>
      <c r="BA518" s="1120">
        <f t="shared" si="627"/>
        <v>0</v>
      </c>
      <c r="BB518" s="1120">
        <f t="shared" si="628"/>
        <v>0</v>
      </c>
      <c r="BC518" s="1120">
        <f t="shared" si="629"/>
        <v>0</v>
      </c>
      <c r="BD518" s="1120">
        <f t="shared" si="630"/>
        <v>1</v>
      </c>
      <c r="BE518" s="1120">
        <f t="shared" si="631"/>
        <v>1</v>
      </c>
      <c r="BF518" s="1120">
        <f t="shared" si="632"/>
        <v>1</v>
      </c>
      <c r="BG518" s="1120">
        <f t="shared" si="633"/>
        <v>0</v>
      </c>
      <c r="BH518" s="1120">
        <f t="shared" si="634"/>
        <v>0</v>
      </c>
      <c r="BI518" s="1120">
        <f t="shared" si="635"/>
        <v>0</v>
      </c>
      <c r="BJ518" s="1120">
        <f t="shared" si="636"/>
        <v>0</v>
      </c>
      <c r="BK518" s="1120">
        <f t="shared" si="637"/>
        <v>1</v>
      </c>
      <c r="BL518" s="1120">
        <f t="shared" si="638"/>
        <v>1</v>
      </c>
      <c r="BM518" s="1120">
        <f t="shared" si="639"/>
        <v>1</v>
      </c>
      <c r="BN518" s="1120">
        <f t="shared" si="640"/>
        <v>1</v>
      </c>
      <c r="BO518" s="1120">
        <f t="shared" si="641"/>
        <v>1</v>
      </c>
      <c r="BP518" s="1120">
        <f t="shared" si="642"/>
        <v>1</v>
      </c>
      <c r="BQ518" s="1120">
        <f t="shared" si="643"/>
        <v>0</v>
      </c>
      <c r="BR518" s="1120">
        <f t="shared" si="644"/>
        <v>0</v>
      </c>
      <c r="BS518" s="1120">
        <f t="shared" si="645"/>
        <v>1</v>
      </c>
      <c r="BT518" s="1120">
        <f t="shared" si="646"/>
        <v>1</v>
      </c>
      <c r="BU518" s="1120">
        <f t="shared" si="647"/>
        <v>1</v>
      </c>
      <c r="BV518" s="1120">
        <f t="shared" si="648"/>
        <v>1</v>
      </c>
      <c r="BW518" s="1120">
        <f t="shared" si="649"/>
        <v>0</v>
      </c>
      <c r="BX518" s="1120">
        <f t="shared" si="650"/>
        <v>0</v>
      </c>
      <c r="BY518" s="1120">
        <f t="shared" si="651"/>
        <v>0</v>
      </c>
      <c r="BZ518" s="1120">
        <f t="shared" si="652"/>
        <v>0</v>
      </c>
      <c r="CA518" s="1120">
        <f t="shared" si="653"/>
        <v>1</v>
      </c>
      <c r="CB518" s="1120">
        <f t="shared" si="654"/>
        <v>1</v>
      </c>
      <c r="CC518" s="1120">
        <f t="shared" si="655"/>
        <v>1</v>
      </c>
      <c r="CD518" s="1120">
        <f t="shared" si="656"/>
        <v>1</v>
      </c>
      <c r="CE518" s="1120">
        <f t="shared" si="657"/>
        <v>1</v>
      </c>
      <c r="CF518" s="1120">
        <f t="shared" si="658"/>
        <v>0</v>
      </c>
      <c r="CG518" s="1120">
        <f t="shared" si="659"/>
        <v>0</v>
      </c>
      <c r="CH518" s="1120">
        <f t="shared" si="660"/>
        <v>0</v>
      </c>
      <c r="CI518" s="1120">
        <f t="shared" si="661"/>
        <v>0.85</v>
      </c>
      <c r="CJ518" s="1120">
        <f t="shared" si="662"/>
        <v>0.85</v>
      </c>
      <c r="CK518" s="1120">
        <f t="shared" si="663"/>
        <v>0.85</v>
      </c>
      <c r="CL518" s="1120">
        <f t="shared" si="664"/>
        <v>0.85</v>
      </c>
      <c r="CM518" s="1120">
        <f t="shared" si="665"/>
        <v>0.85</v>
      </c>
      <c r="CN518" s="1120">
        <f t="shared" si="666"/>
        <v>0.85</v>
      </c>
      <c r="CO518" s="1120">
        <f t="shared" si="667"/>
        <v>0.7</v>
      </c>
      <c r="CP518" s="1120">
        <f t="shared" si="668"/>
        <v>0.7</v>
      </c>
      <c r="CQ518" s="1120">
        <f t="shared" si="669"/>
        <v>0.85</v>
      </c>
      <c r="CR518" s="1120">
        <f t="shared" si="670"/>
        <v>0.85</v>
      </c>
      <c r="CS518" s="1120">
        <f t="shared" si="671"/>
        <v>0.85</v>
      </c>
      <c r="CT518" s="1120">
        <f t="shared" si="672"/>
        <v>0.85</v>
      </c>
      <c r="CU518" s="1120">
        <v>1</v>
      </c>
      <c r="CV518" s="1120"/>
      <c r="CW518" s="1120">
        <f t="shared" si="673"/>
        <v>153</v>
      </c>
      <c r="CX518" s="1120">
        <f t="shared" si="674"/>
        <v>212</v>
      </c>
      <c r="CY518" s="1135" t="s">
        <v>4889</v>
      </c>
      <c r="CZ518" s="1124" t="s">
        <v>4890</v>
      </c>
      <c r="DA518" s="1124"/>
      <c r="DB518" s="1124"/>
      <c r="DC518" s="1120" t="s">
        <v>5198</v>
      </c>
      <c r="DD518" s="1120" t="s">
        <v>249</v>
      </c>
      <c r="DE518" s="1120" t="str">
        <f t="shared" si="600"/>
        <v/>
      </c>
      <c r="DF518" s="1133">
        <v>0</v>
      </c>
      <c r="DG518" s="1120">
        <v>0</v>
      </c>
    </row>
    <row r="519" spans="1:111">
      <c r="A519" s="1125" t="s">
        <v>3787</v>
      </c>
      <c r="B519" s="1125" t="s">
        <v>3916</v>
      </c>
      <c r="C519" s="1125" t="s">
        <v>3917</v>
      </c>
      <c r="D519" s="1125" t="s">
        <v>1108</v>
      </c>
      <c r="E519" s="1125">
        <v>4143</v>
      </c>
      <c r="F519" s="1125">
        <v>-109.45</v>
      </c>
      <c r="G519" s="1125">
        <v>47.05</v>
      </c>
      <c r="H519" s="1125">
        <v>-7</v>
      </c>
      <c r="I519" s="1126">
        <v>-9.9399986267089862</v>
      </c>
      <c r="J519" s="1126">
        <v>86.9</v>
      </c>
      <c r="K519" s="1127">
        <v>60.259999656677245</v>
      </c>
      <c r="L519" s="1125">
        <v>7772.4000000000005</v>
      </c>
      <c r="M519" s="1125">
        <v>156.6</v>
      </c>
      <c r="N519" s="1128">
        <v>24.440000343322755</v>
      </c>
      <c r="O519" s="1128">
        <v>25.520000171661376</v>
      </c>
      <c r="P519" s="1128">
        <v>30.019999957084657</v>
      </c>
      <c r="Q519" s="1128">
        <v>43.159999656677243</v>
      </c>
      <c r="R519" s="1128">
        <v>50.359999656677246</v>
      </c>
      <c r="S519" s="1128">
        <v>58.1</v>
      </c>
      <c r="T519" s="1128">
        <v>66.380000686645502</v>
      </c>
      <c r="U519" s="1128">
        <v>60.619999313354491</v>
      </c>
      <c r="V519" s="1128">
        <v>55.4</v>
      </c>
      <c r="W519" s="1128">
        <v>44.779999828338624</v>
      </c>
      <c r="X519" s="1128">
        <v>36.139999914169309</v>
      </c>
      <c r="Y519" s="1128">
        <v>26.6</v>
      </c>
      <c r="Z519" s="1128">
        <v>43.555506808986401</v>
      </c>
      <c r="AA519" s="1128">
        <f t="shared" si="601"/>
        <v>42.756520015780573</v>
      </c>
      <c r="AB519" s="1128">
        <f t="shared" si="602"/>
        <v>41.297098508790377</v>
      </c>
      <c r="AC519" s="1128">
        <f t="shared" si="603"/>
        <v>41.990358391170489</v>
      </c>
      <c r="AD519" s="1128">
        <f t="shared" si="604"/>
        <v>44.655590791120353</v>
      </c>
      <c r="AE519" s="1128">
        <f t="shared" si="605"/>
        <v>48.598061811118512</v>
      </c>
      <c r="AF519" s="1128">
        <f t="shared" si="606"/>
        <v>52.790105624484973</v>
      </c>
      <c r="AG519" s="1128">
        <f t="shared" si="607"/>
        <v>56.139001409915139</v>
      </c>
      <c r="AH519" s="1128">
        <f t="shared" si="608"/>
        <v>57.77180787289042</v>
      </c>
      <c r="AI519" s="1128">
        <f t="shared" si="609"/>
        <v>57.262908846527054</v>
      </c>
      <c r="AJ519" s="1128">
        <f t="shared" si="610"/>
        <v>54.744956704418044</v>
      </c>
      <c r="AK519" s="1128">
        <f t="shared" si="611"/>
        <v>50.874294475221156</v>
      </c>
      <c r="AL519" s="1128">
        <f t="shared" si="612"/>
        <v>46.659869917687068</v>
      </c>
      <c r="AM519" s="1125">
        <f t="shared" si="613"/>
        <v>1</v>
      </c>
      <c r="AN519" s="1125">
        <f t="shared" si="614"/>
        <v>1</v>
      </c>
      <c r="AO519" s="1125">
        <f t="shared" si="615"/>
        <v>1</v>
      </c>
      <c r="AP519" s="1125">
        <f t="shared" si="616"/>
        <v>1</v>
      </c>
      <c r="AQ519" s="1125">
        <f t="shared" si="617"/>
        <v>1</v>
      </c>
      <c r="AR519" s="1125">
        <f t="shared" si="618"/>
        <v>1</v>
      </c>
      <c r="AS519" s="1125">
        <f t="shared" si="619"/>
        <v>0</v>
      </c>
      <c r="AT519" s="1125">
        <f t="shared" si="620"/>
        <v>1</v>
      </c>
      <c r="AU519" s="1125">
        <f t="shared" si="621"/>
        <v>1</v>
      </c>
      <c r="AV519" s="1125">
        <f t="shared" si="622"/>
        <v>1</v>
      </c>
      <c r="AW519" s="1125">
        <f t="shared" si="623"/>
        <v>1</v>
      </c>
      <c r="AX519" s="1125">
        <f t="shared" si="624"/>
        <v>1</v>
      </c>
      <c r="AY519" s="1125">
        <f t="shared" si="625"/>
        <v>0</v>
      </c>
      <c r="AZ519" s="1125">
        <f t="shared" si="626"/>
        <v>0</v>
      </c>
      <c r="BA519" s="1125">
        <f t="shared" si="627"/>
        <v>0</v>
      </c>
      <c r="BB519" s="1125">
        <f t="shared" si="628"/>
        <v>0</v>
      </c>
      <c r="BC519" s="1125">
        <f t="shared" si="629"/>
        <v>0</v>
      </c>
      <c r="BD519" s="1125">
        <f t="shared" si="630"/>
        <v>0</v>
      </c>
      <c r="BE519" s="1125">
        <f t="shared" si="631"/>
        <v>1</v>
      </c>
      <c r="BF519" s="1125">
        <f t="shared" si="632"/>
        <v>1</v>
      </c>
      <c r="BG519" s="1125">
        <f t="shared" si="633"/>
        <v>0</v>
      </c>
      <c r="BH519" s="1125">
        <f t="shared" si="634"/>
        <v>0</v>
      </c>
      <c r="BI519" s="1125">
        <f t="shared" si="635"/>
        <v>0</v>
      </c>
      <c r="BJ519" s="1125">
        <f t="shared" si="636"/>
        <v>0</v>
      </c>
      <c r="BK519" s="1125">
        <f t="shared" si="637"/>
        <v>1</v>
      </c>
      <c r="BL519" s="1125">
        <f t="shared" si="638"/>
        <v>1</v>
      </c>
      <c r="BM519" s="1125">
        <f t="shared" si="639"/>
        <v>1</v>
      </c>
      <c r="BN519" s="1125">
        <f t="shared" si="640"/>
        <v>1</v>
      </c>
      <c r="BO519" s="1125">
        <f t="shared" si="641"/>
        <v>1</v>
      </c>
      <c r="BP519" s="1125">
        <f t="shared" si="642"/>
        <v>1</v>
      </c>
      <c r="BQ519" s="1125">
        <f t="shared" si="643"/>
        <v>1</v>
      </c>
      <c r="BR519" s="1125">
        <f t="shared" si="644"/>
        <v>1</v>
      </c>
      <c r="BS519" s="1125">
        <f t="shared" si="645"/>
        <v>1</v>
      </c>
      <c r="BT519" s="1125">
        <f t="shared" si="646"/>
        <v>1</v>
      </c>
      <c r="BU519" s="1125">
        <f t="shared" si="647"/>
        <v>1</v>
      </c>
      <c r="BV519" s="1125">
        <f t="shared" si="648"/>
        <v>1</v>
      </c>
      <c r="BW519" s="1125">
        <f t="shared" si="649"/>
        <v>0</v>
      </c>
      <c r="BX519" s="1125">
        <f t="shared" si="650"/>
        <v>0</v>
      </c>
      <c r="BY519" s="1125">
        <f t="shared" si="651"/>
        <v>0</v>
      </c>
      <c r="BZ519" s="1125">
        <f t="shared" si="652"/>
        <v>0</v>
      </c>
      <c r="CA519" s="1125">
        <f t="shared" si="653"/>
        <v>0</v>
      </c>
      <c r="CB519" s="1125">
        <f t="shared" si="654"/>
        <v>1</v>
      </c>
      <c r="CC519" s="1125">
        <f t="shared" si="655"/>
        <v>1</v>
      </c>
      <c r="CD519" s="1125">
        <f t="shared" si="656"/>
        <v>1</v>
      </c>
      <c r="CE519" s="1125">
        <f t="shared" si="657"/>
        <v>0</v>
      </c>
      <c r="CF519" s="1125">
        <f t="shared" si="658"/>
        <v>0</v>
      </c>
      <c r="CG519" s="1125">
        <f t="shared" si="659"/>
        <v>0</v>
      </c>
      <c r="CH519" s="1125">
        <f t="shared" si="660"/>
        <v>0</v>
      </c>
      <c r="CI519" s="1125">
        <f t="shared" si="661"/>
        <v>0.85</v>
      </c>
      <c r="CJ519" s="1125">
        <f t="shared" si="662"/>
        <v>0.85</v>
      </c>
      <c r="CK519" s="1125">
        <f t="shared" si="663"/>
        <v>0.85</v>
      </c>
      <c r="CL519" s="1125">
        <f t="shared" si="664"/>
        <v>0.85</v>
      </c>
      <c r="CM519" s="1125">
        <f t="shared" si="665"/>
        <v>0.85</v>
      </c>
      <c r="CN519" s="1125">
        <f t="shared" si="666"/>
        <v>0.85</v>
      </c>
      <c r="CO519" s="1125">
        <f t="shared" si="667"/>
        <v>0.85</v>
      </c>
      <c r="CP519" s="1125">
        <f t="shared" si="668"/>
        <v>0.85</v>
      </c>
      <c r="CQ519" s="1125">
        <f t="shared" si="669"/>
        <v>0.85</v>
      </c>
      <c r="CR519" s="1125">
        <f t="shared" si="670"/>
        <v>0.85</v>
      </c>
      <c r="CS519" s="1125">
        <f t="shared" si="671"/>
        <v>0.85</v>
      </c>
      <c r="CT519" s="1125">
        <f t="shared" si="672"/>
        <v>0.85</v>
      </c>
      <c r="CU519" s="1125">
        <v>1</v>
      </c>
      <c r="CV519" s="1125"/>
      <c r="CW519" s="1125">
        <f t="shared" si="673"/>
        <v>92</v>
      </c>
      <c r="CX519" s="1125">
        <f t="shared" si="674"/>
        <v>273</v>
      </c>
      <c r="CY519" s="1136" t="s">
        <v>4889</v>
      </c>
      <c r="CZ519" s="1129" t="s">
        <v>4896</v>
      </c>
      <c r="DA519" s="1129"/>
      <c r="DB519" s="1129"/>
      <c r="DC519" s="1125" t="s">
        <v>5380</v>
      </c>
      <c r="DD519" s="1125" t="s">
        <v>1108</v>
      </c>
      <c r="DE519" s="1120" t="str">
        <f t="shared" si="600"/>
        <v/>
      </c>
      <c r="DF519" s="1133">
        <v>0</v>
      </c>
      <c r="DG519" s="1125">
        <v>0</v>
      </c>
    </row>
    <row r="520" spans="1:111">
      <c r="A520" s="1120" t="s">
        <v>5874</v>
      </c>
      <c r="B520" s="1120" t="s">
        <v>3603</v>
      </c>
      <c r="C520" s="1120" t="s">
        <v>3604</v>
      </c>
      <c r="D520" s="1120" t="s">
        <v>1107</v>
      </c>
      <c r="E520" s="1120">
        <v>964</v>
      </c>
      <c r="F520" s="1120">
        <v>-84.6</v>
      </c>
      <c r="G520" s="1120">
        <v>38.03</v>
      </c>
      <c r="H520" s="1120">
        <v>-5</v>
      </c>
      <c r="I520" s="1121">
        <v>12.740000343322754</v>
      </c>
      <c r="J520" s="1121">
        <v>89.419999313354495</v>
      </c>
      <c r="K520" s="1122">
        <v>73.760001373291018</v>
      </c>
      <c r="L520" s="1120">
        <v>4663.8</v>
      </c>
      <c r="M520" s="1120">
        <v>1144.8</v>
      </c>
      <c r="N520" s="1123">
        <v>29.3</v>
      </c>
      <c r="O520" s="1123">
        <v>32.540000021457672</v>
      </c>
      <c r="P520" s="1123">
        <v>47.119999313354491</v>
      </c>
      <c r="Q520" s="1123">
        <v>55.040000343322752</v>
      </c>
      <c r="R520" s="1123">
        <v>64.939998626708984</v>
      </c>
      <c r="S520" s="1123">
        <v>73.219999313354492</v>
      </c>
      <c r="T520" s="1123">
        <v>75.919999313354495</v>
      </c>
      <c r="U520" s="1123">
        <v>74.83999862670899</v>
      </c>
      <c r="V520" s="1123">
        <v>66.560001373291016</v>
      </c>
      <c r="W520" s="1123">
        <v>55.4</v>
      </c>
      <c r="X520" s="1123">
        <v>48.019999313354489</v>
      </c>
      <c r="Y520" s="1123">
        <v>32.9</v>
      </c>
      <c r="Z520" s="1123">
        <v>54.7653147484505</v>
      </c>
      <c r="AA520" s="1123">
        <f t="shared" si="601"/>
        <v>49.94620194919051</v>
      </c>
      <c r="AB520" s="1123">
        <f t="shared" si="602"/>
        <v>48.990113984165049</v>
      </c>
      <c r="AC520" s="1123">
        <f t="shared" si="603"/>
        <v>51.103413559687155</v>
      </c>
      <c r="AD520" s="1123">
        <f t="shared" si="604"/>
        <v>55.735236574464736</v>
      </c>
      <c r="AE520" s="1123">
        <f t="shared" si="605"/>
        <v>61.678226981142757</v>
      </c>
      <c r="AF520" s="1123">
        <f t="shared" si="606"/>
        <v>67.383252745966189</v>
      </c>
      <c r="AG520" s="1123">
        <f t="shared" si="607"/>
        <v>71.363210986225539</v>
      </c>
      <c r="AH520" s="1123">
        <f t="shared" si="608"/>
        <v>72.580664253584189</v>
      </c>
      <c r="AI520" s="1123">
        <f t="shared" si="609"/>
        <v>70.718264592382354</v>
      </c>
      <c r="AJ520" s="1123">
        <f t="shared" si="610"/>
        <v>66.261475174759823</v>
      </c>
      <c r="AK520" s="1123">
        <f t="shared" si="611"/>
        <v>60.3720268436238</v>
      </c>
      <c r="AL520" s="1123">
        <f t="shared" si="612"/>
        <v>54.585095065630924</v>
      </c>
      <c r="AM520" s="1120">
        <f t="shared" si="613"/>
        <v>1</v>
      </c>
      <c r="AN520" s="1120">
        <f t="shared" si="614"/>
        <v>1</v>
      </c>
      <c r="AO520" s="1120">
        <f t="shared" si="615"/>
        <v>1</v>
      </c>
      <c r="AP520" s="1120">
        <f t="shared" si="616"/>
        <v>1</v>
      </c>
      <c r="AQ520" s="1120">
        <f t="shared" si="617"/>
        <v>1</v>
      </c>
      <c r="AR520" s="1120">
        <f t="shared" si="618"/>
        <v>0</v>
      </c>
      <c r="AS520" s="1120">
        <f t="shared" si="619"/>
        <v>0</v>
      </c>
      <c r="AT520" s="1120">
        <f t="shared" si="620"/>
        <v>0</v>
      </c>
      <c r="AU520" s="1120">
        <f t="shared" si="621"/>
        <v>0</v>
      </c>
      <c r="AV520" s="1120">
        <f t="shared" si="622"/>
        <v>1</v>
      </c>
      <c r="AW520" s="1120">
        <f t="shared" si="623"/>
        <v>1</v>
      </c>
      <c r="AX520" s="1120">
        <f t="shared" si="624"/>
        <v>1</v>
      </c>
      <c r="AY520" s="1120">
        <f t="shared" si="625"/>
        <v>0</v>
      </c>
      <c r="AZ520" s="1120">
        <f t="shared" si="626"/>
        <v>0</v>
      </c>
      <c r="BA520" s="1120">
        <f t="shared" si="627"/>
        <v>0</v>
      </c>
      <c r="BB520" s="1120">
        <f t="shared" si="628"/>
        <v>0</v>
      </c>
      <c r="BC520" s="1120">
        <f t="shared" si="629"/>
        <v>0</v>
      </c>
      <c r="BD520" s="1120">
        <f t="shared" si="630"/>
        <v>1</v>
      </c>
      <c r="BE520" s="1120">
        <f t="shared" si="631"/>
        <v>1</v>
      </c>
      <c r="BF520" s="1120">
        <f t="shared" si="632"/>
        <v>1</v>
      </c>
      <c r="BG520" s="1120">
        <f t="shared" si="633"/>
        <v>1</v>
      </c>
      <c r="BH520" s="1120">
        <f t="shared" si="634"/>
        <v>0</v>
      </c>
      <c r="BI520" s="1120">
        <f t="shared" si="635"/>
        <v>0</v>
      </c>
      <c r="BJ520" s="1120">
        <f t="shared" si="636"/>
        <v>0</v>
      </c>
      <c r="BK520" s="1120">
        <f t="shared" si="637"/>
        <v>1</v>
      </c>
      <c r="BL520" s="1120">
        <f t="shared" si="638"/>
        <v>1</v>
      </c>
      <c r="BM520" s="1120">
        <f t="shared" si="639"/>
        <v>1</v>
      </c>
      <c r="BN520" s="1120">
        <f t="shared" si="640"/>
        <v>1</v>
      </c>
      <c r="BO520" s="1120">
        <f t="shared" si="641"/>
        <v>1</v>
      </c>
      <c r="BP520" s="1120">
        <f t="shared" si="642"/>
        <v>1</v>
      </c>
      <c r="BQ520" s="1120">
        <f t="shared" si="643"/>
        <v>0</v>
      </c>
      <c r="BR520" s="1120">
        <f t="shared" si="644"/>
        <v>0</v>
      </c>
      <c r="BS520" s="1120">
        <f t="shared" si="645"/>
        <v>0</v>
      </c>
      <c r="BT520" s="1120">
        <f t="shared" si="646"/>
        <v>1</v>
      </c>
      <c r="BU520" s="1120">
        <f t="shared" si="647"/>
        <v>1</v>
      </c>
      <c r="BV520" s="1120">
        <f t="shared" si="648"/>
        <v>1</v>
      </c>
      <c r="BW520" s="1120">
        <f t="shared" si="649"/>
        <v>0</v>
      </c>
      <c r="BX520" s="1120">
        <f t="shared" si="650"/>
        <v>0</v>
      </c>
      <c r="BY520" s="1120">
        <f t="shared" si="651"/>
        <v>0</v>
      </c>
      <c r="BZ520" s="1120">
        <f t="shared" si="652"/>
        <v>0</v>
      </c>
      <c r="CA520" s="1120">
        <f t="shared" si="653"/>
        <v>1</v>
      </c>
      <c r="CB520" s="1120">
        <f t="shared" si="654"/>
        <v>1</v>
      </c>
      <c r="CC520" s="1120">
        <f t="shared" si="655"/>
        <v>1</v>
      </c>
      <c r="CD520" s="1120">
        <f t="shared" si="656"/>
        <v>1</v>
      </c>
      <c r="CE520" s="1120">
        <f t="shared" si="657"/>
        <v>1</v>
      </c>
      <c r="CF520" s="1120">
        <f t="shared" si="658"/>
        <v>1</v>
      </c>
      <c r="CG520" s="1120">
        <f t="shared" si="659"/>
        <v>0</v>
      </c>
      <c r="CH520" s="1120">
        <f t="shared" si="660"/>
        <v>0</v>
      </c>
      <c r="CI520" s="1120">
        <f t="shared" si="661"/>
        <v>0.85</v>
      </c>
      <c r="CJ520" s="1120">
        <f t="shared" si="662"/>
        <v>0.85</v>
      </c>
      <c r="CK520" s="1120">
        <f t="shared" si="663"/>
        <v>0.85</v>
      </c>
      <c r="CL520" s="1120">
        <f t="shared" si="664"/>
        <v>0.85</v>
      </c>
      <c r="CM520" s="1120">
        <f t="shared" si="665"/>
        <v>0.85</v>
      </c>
      <c r="CN520" s="1120">
        <f t="shared" si="666"/>
        <v>0.85</v>
      </c>
      <c r="CO520" s="1120">
        <f t="shared" si="667"/>
        <v>0.7</v>
      </c>
      <c r="CP520" s="1120">
        <f t="shared" si="668"/>
        <v>0.7</v>
      </c>
      <c r="CQ520" s="1120">
        <f t="shared" si="669"/>
        <v>0.7</v>
      </c>
      <c r="CR520" s="1120">
        <f t="shared" si="670"/>
        <v>0.85</v>
      </c>
      <c r="CS520" s="1120">
        <f t="shared" si="671"/>
        <v>0.85</v>
      </c>
      <c r="CT520" s="1120">
        <f t="shared" si="672"/>
        <v>0.85</v>
      </c>
      <c r="CU520" s="1120">
        <v>1</v>
      </c>
      <c r="CV520" s="1120"/>
      <c r="CW520" s="1120">
        <f t="shared" si="673"/>
        <v>184</v>
      </c>
      <c r="CX520" s="1120">
        <f t="shared" si="674"/>
        <v>181</v>
      </c>
      <c r="CY520" s="1135" t="s">
        <v>4881</v>
      </c>
      <c r="CZ520" s="1124" t="s">
        <v>4885</v>
      </c>
      <c r="DA520" s="1124"/>
      <c r="DB520" s="1124"/>
      <c r="DC520" s="1120" t="s">
        <v>5246</v>
      </c>
      <c r="DD520" s="1120" t="s">
        <v>1107</v>
      </c>
      <c r="DE520" s="1120" t="str">
        <f t="shared" si="600"/>
        <v/>
      </c>
      <c r="DF520" s="1133">
        <v>0</v>
      </c>
      <c r="DG520" s="1120">
        <v>0</v>
      </c>
    </row>
    <row r="521" spans="1:111">
      <c r="A521" s="1125" t="s">
        <v>3789</v>
      </c>
      <c r="B521" s="1120" t="s">
        <v>3569</v>
      </c>
      <c r="C521" s="1120" t="s">
        <v>3570</v>
      </c>
      <c r="D521" s="1120" t="s">
        <v>256</v>
      </c>
      <c r="E521" s="1120">
        <v>2955</v>
      </c>
      <c r="F521" s="1120">
        <v>-100.97</v>
      </c>
      <c r="G521" s="1120">
        <v>37.03</v>
      </c>
      <c r="H521" s="1120">
        <v>-6</v>
      </c>
      <c r="I521" s="1121">
        <v>11.840000343322753</v>
      </c>
      <c r="J521" s="1121">
        <v>97.520002746582037</v>
      </c>
      <c r="K521" s="1122">
        <v>69.260001373291018</v>
      </c>
      <c r="L521" s="1120">
        <v>4820.4000000000005</v>
      </c>
      <c r="M521" s="1120">
        <v>1513.8</v>
      </c>
      <c r="N521" s="1123">
        <v>31.1</v>
      </c>
      <c r="O521" s="1123">
        <v>42.440000343322751</v>
      </c>
      <c r="P521" s="1123">
        <v>39.200000000000003</v>
      </c>
      <c r="Q521" s="1123">
        <v>53.6</v>
      </c>
      <c r="R521" s="1123">
        <v>65.3</v>
      </c>
      <c r="S521" s="1123">
        <v>73.939998626708984</v>
      </c>
      <c r="T521" s="1123">
        <v>80.239998626708982</v>
      </c>
      <c r="U521" s="1123">
        <v>74.480000686645511</v>
      </c>
      <c r="V521" s="1123">
        <v>71.419999313354495</v>
      </c>
      <c r="W521" s="1123">
        <v>51.080000686645505</v>
      </c>
      <c r="X521" s="1123">
        <v>44.959999656677248</v>
      </c>
      <c r="Y521" s="1123">
        <v>36.139999914169309</v>
      </c>
      <c r="Z521" s="1123">
        <v>55.368931328368511</v>
      </c>
      <c r="AA521" s="1123">
        <f t="shared" si="601"/>
        <v>49.776922062241368</v>
      </c>
      <c r="AB521" s="1123">
        <f t="shared" si="602"/>
        <v>48.823317803370877</v>
      </c>
      <c r="AC521" s="1123">
        <f t="shared" si="603"/>
        <v>51.139921043547602</v>
      </c>
      <c r="AD521" s="1123">
        <f t="shared" si="604"/>
        <v>56.122873448282917</v>
      </c>
      <c r="AE521" s="1123">
        <f t="shared" si="605"/>
        <v>62.473291683661614</v>
      </c>
      <c r="AF521" s="1123">
        <f t="shared" si="606"/>
        <v>68.535841373724935</v>
      </c>
      <c r="AG521" s="1123">
        <f t="shared" si="607"/>
        <v>72.730225515039152</v>
      </c>
      <c r="AH521" s="1123">
        <f t="shared" si="608"/>
        <v>73.963113243754535</v>
      </c>
      <c r="AI521" s="1123">
        <f t="shared" si="609"/>
        <v>71.913133374006406</v>
      </c>
      <c r="AJ521" s="1123">
        <f t="shared" si="610"/>
        <v>67.114644749990688</v>
      </c>
      <c r="AK521" s="1123">
        <f t="shared" si="611"/>
        <v>60.818447378505113</v>
      </c>
      <c r="AL521" s="1123">
        <f t="shared" si="612"/>
        <v>54.665742131765882</v>
      </c>
      <c r="AM521" s="1120">
        <f t="shared" si="613"/>
        <v>1</v>
      </c>
      <c r="AN521" s="1120">
        <f t="shared" si="614"/>
        <v>1</v>
      </c>
      <c r="AO521" s="1120">
        <f t="shared" si="615"/>
        <v>1</v>
      </c>
      <c r="AP521" s="1120">
        <f t="shared" si="616"/>
        <v>1</v>
      </c>
      <c r="AQ521" s="1120">
        <f t="shared" si="617"/>
        <v>1</v>
      </c>
      <c r="AR521" s="1120">
        <f t="shared" si="618"/>
        <v>0</v>
      </c>
      <c r="AS521" s="1120">
        <f t="shared" si="619"/>
        <v>0</v>
      </c>
      <c r="AT521" s="1120">
        <f t="shared" si="620"/>
        <v>0</v>
      </c>
      <c r="AU521" s="1120">
        <f t="shared" si="621"/>
        <v>0</v>
      </c>
      <c r="AV521" s="1120">
        <f t="shared" si="622"/>
        <v>1</v>
      </c>
      <c r="AW521" s="1120">
        <f t="shared" si="623"/>
        <v>1</v>
      </c>
      <c r="AX521" s="1120">
        <f t="shared" si="624"/>
        <v>1</v>
      </c>
      <c r="AY521" s="1120">
        <f t="shared" si="625"/>
        <v>0</v>
      </c>
      <c r="AZ521" s="1120">
        <f t="shared" si="626"/>
        <v>0</v>
      </c>
      <c r="BA521" s="1120">
        <f t="shared" si="627"/>
        <v>0</v>
      </c>
      <c r="BB521" s="1120">
        <f t="shared" si="628"/>
        <v>0</v>
      </c>
      <c r="BC521" s="1120">
        <f t="shared" si="629"/>
        <v>0</v>
      </c>
      <c r="BD521" s="1120">
        <f t="shared" si="630"/>
        <v>1</v>
      </c>
      <c r="BE521" s="1120">
        <f t="shared" si="631"/>
        <v>1</v>
      </c>
      <c r="BF521" s="1120">
        <f t="shared" si="632"/>
        <v>1</v>
      </c>
      <c r="BG521" s="1120">
        <f t="shared" si="633"/>
        <v>1</v>
      </c>
      <c r="BH521" s="1120">
        <f t="shared" si="634"/>
        <v>0</v>
      </c>
      <c r="BI521" s="1120">
        <f t="shared" si="635"/>
        <v>0</v>
      </c>
      <c r="BJ521" s="1120">
        <f t="shared" si="636"/>
        <v>0</v>
      </c>
      <c r="BK521" s="1120">
        <f t="shared" si="637"/>
        <v>1</v>
      </c>
      <c r="BL521" s="1120">
        <f t="shared" si="638"/>
        <v>1</v>
      </c>
      <c r="BM521" s="1120">
        <f t="shared" si="639"/>
        <v>1</v>
      </c>
      <c r="BN521" s="1120">
        <f t="shared" si="640"/>
        <v>1</v>
      </c>
      <c r="BO521" s="1120">
        <f t="shared" si="641"/>
        <v>1</v>
      </c>
      <c r="BP521" s="1120">
        <f t="shared" si="642"/>
        <v>1</v>
      </c>
      <c r="BQ521" s="1120">
        <f t="shared" si="643"/>
        <v>0</v>
      </c>
      <c r="BR521" s="1120">
        <f t="shared" si="644"/>
        <v>0</v>
      </c>
      <c r="BS521" s="1120">
        <f t="shared" si="645"/>
        <v>0</v>
      </c>
      <c r="BT521" s="1120">
        <f t="shared" si="646"/>
        <v>1</v>
      </c>
      <c r="BU521" s="1120">
        <f t="shared" si="647"/>
        <v>1</v>
      </c>
      <c r="BV521" s="1120">
        <f t="shared" si="648"/>
        <v>1</v>
      </c>
      <c r="BW521" s="1120">
        <f t="shared" si="649"/>
        <v>0</v>
      </c>
      <c r="BX521" s="1120">
        <f t="shared" si="650"/>
        <v>0</v>
      </c>
      <c r="BY521" s="1120">
        <f t="shared" si="651"/>
        <v>0</v>
      </c>
      <c r="BZ521" s="1120">
        <f t="shared" si="652"/>
        <v>0</v>
      </c>
      <c r="CA521" s="1120">
        <f t="shared" si="653"/>
        <v>1</v>
      </c>
      <c r="CB521" s="1120">
        <f t="shared" si="654"/>
        <v>1</v>
      </c>
      <c r="CC521" s="1120">
        <f t="shared" si="655"/>
        <v>1</v>
      </c>
      <c r="CD521" s="1120">
        <f t="shared" si="656"/>
        <v>1</v>
      </c>
      <c r="CE521" s="1120">
        <f t="shared" si="657"/>
        <v>1</v>
      </c>
      <c r="CF521" s="1120">
        <f t="shared" si="658"/>
        <v>1</v>
      </c>
      <c r="CG521" s="1120">
        <f t="shared" si="659"/>
        <v>0</v>
      </c>
      <c r="CH521" s="1120">
        <f t="shared" si="660"/>
        <v>0</v>
      </c>
      <c r="CI521" s="1120">
        <f t="shared" si="661"/>
        <v>0.85</v>
      </c>
      <c r="CJ521" s="1120">
        <f t="shared" si="662"/>
        <v>0.85</v>
      </c>
      <c r="CK521" s="1120">
        <f t="shared" si="663"/>
        <v>0.85</v>
      </c>
      <c r="CL521" s="1120">
        <f t="shared" si="664"/>
        <v>0.85</v>
      </c>
      <c r="CM521" s="1120">
        <f t="shared" si="665"/>
        <v>0.85</v>
      </c>
      <c r="CN521" s="1120">
        <f t="shared" si="666"/>
        <v>0.85</v>
      </c>
      <c r="CO521" s="1120">
        <f t="shared" si="667"/>
        <v>0.7</v>
      </c>
      <c r="CP521" s="1120">
        <f t="shared" si="668"/>
        <v>0.7</v>
      </c>
      <c r="CQ521" s="1120">
        <f t="shared" si="669"/>
        <v>0.7</v>
      </c>
      <c r="CR521" s="1120">
        <f t="shared" si="670"/>
        <v>0.85</v>
      </c>
      <c r="CS521" s="1120">
        <f t="shared" si="671"/>
        <v>0.85</v>
      </c>
      <c r="CT521" s="1120">
        <f t="shared" si="672"/>
        <v>0.85</v>
      </c>
      <c r="CU521" s="1120">
        <v>1</v>
      </c>
      <c r="CV521" s="1120"/>
      <c r="CW521" s="1120">
        <f t="shared" si="673"/>
        <v>184</v>
      </c>
      <c r="CX521" s="1120">
        <f t="shared" si="674"/>
        <v>181</v>
      </c>
      <c r="CY521" s="1135" t="s">
        <v>4881</v>
      </c>
      <c r="CZ521" s="1124" t="s">
        <v>4885</v>
      </c>
      <c r="DA521" s="1124"/>
      <c r="DB521" s="1124"/>
      <c r="DC521" s="1120" t="s">
        <v>5233</v>
      </c>
      <c r="DD521" s="1120" t="s">
        <v>256</v>
      </c>
      <c r="DE521" s="1120" t="str">
        <f t="shared" si="600"/>
        <v/>
      </c>
      <c r="DF521" s="1133">
        <v>0</v>
      </c>
      <c r="DG521" s="1125">
        <v>0</v>
      </c>
    </row>
    <row r="522" spans="1:111">
      <c r="A522" s="1120" t="s">
        <v>3791</v>
      </c>
      <c r="B522" s="1120" t="s">
        <v>3400</v>
      </c>
      <c r="C522" s="1120" t="s">
        <v>3401</v>
      </c>
      <c r="D522" s="1120" t="s">
        <v>122</v>
      </c>
      <c r="E522" s="1120">
        <v>102</v>
      </c>
      <c r="F522" s="1120">
        <v>-159.33000000000001</v>
      </c>
      <c r="G522" s="1120">
        <v>21.98</v>
      </c>
      <c r="H522" s="1120">
        <v>-10</v>
      </c>
      <c r="I522" s="1121">
        <v>62.239998626708989</v>
      </c>
      <c r="J522" s="1121">
        <v>84.380000686645502</v>
      </c>
      <c r="K522" s="1122">
        <v>74.480000686645511</v>
      </c>
      <c r="L522" s="1120">
        <v>0</v>
      </c>
      <c r="M522" s="1120">
        <v>4008.6</v>
      </c>
      <c r="N522" s="1123">
        <v>71.239998626708982</v>
      </c>
      <c r="O522" s="1123">
        <v>71.960001373291021</v>
      </c>
      <c r="P522" s="1123">
        <v>72.860001373291013</v>
      </c>
      <c r="Q522" s="1123">
        <v>73.400000000000006</v>
      </c>
      <c r="R522" s="1123">
        <v>74.83999862670899</v>
      </c>
      <c r="S522" s="1123">
        <v>77</v>
      </c>
      <c r="T522" s="1123">
        <v>78.980000686645511</v>
      </c>
      <c r="U522" s="1123">
        <v>79.33999862670899</v>
      </c>
      <c r="V522" s="1123">
        <v>78.8</v>
      </c>
      <c r="W522" s="1123">
        <v>77.719999313354492</v>
      </c>
      <c r="X522" s="1123">
        <v>75.380000686645502</v>
      </c>
      <c r="Y522" s="1123">
        <v>72.680000686645513</v>
      </c>
      <c r="Z522" s="1123">
        <v>75.369150671762966</v>
      </c>
      <c r="AA522" s="1123">
        <f t="shared" si="601"/>
        <v>78.484340591267753</v>
      </c>
      <c r="AB522" s="1123">
        <f t="shared" si="602"/>
        <v>78.771230493746515</v>
      </c>
      <c r="AC522" s="1123">
        <f t="shared" si="603"/>
        <v>79.735308325787059</v>
      </c>
      <c r="AD522" s="1123">
        <f t="shared" si="604"/>
        <v>81.125272343578914</v>
      </c>
      <c r="AE522" s="1123">
        <f t="shared" si="605"/>
        <v>82.578807005890738</v>
      </c>
      <c r="AF522" s="1123">
        <f t="shared" si="606"/>
        <v>83.717026103343784</v>
      </c>
      <c r="AG522" s="1123">
        <f t="shared" si="607"/>
        <v>84.243235287699676</v>
      </c>
      <c r="AH522" s="1123">
        <f t="shared" si="608"/>
        <v>84.020270025927047</v>
      </c>
      <c r="AI522" s="1123">
        <f t="shared" si="609"/>
        <v>83.106249649505642</v>
      </c>
      <c r="AJ522" s="1123">
        <f t="shared" si="610"/>
        <v>81.739427655030056</v>
      </c>
      <c r="AK522" s="1123">
        <f t="shared" si="611"/>
        <v>80.276087258724871</v>
      </c>
      <c r="AL522" s="1123">
        <f t="shared" si="612"/>
        <v>79.097670685645127</v>
      </c>
      <c r="AM522" s="1120">
        <f t="shared" si="613"/>
        <v>0</v>
      </c>
      <c r="AN522" s="1120">
        <f t="shared" si="614"/>
        <v>0</v>
      </c>
      <c r="AO522" s="1120">
        <f t="shared" si="615"/>
        <v>0</v>
      </c>
      <c r="AP522" s="1120">
        <f t="shared" si="616"/>
        <v>0</v>
      </c>
      <c r="AQ522" s="1120">
        <f t="shared" si="617"/>
        <v>0</v>
      </c>
      <c r="AR522" s="1120">
        <f t="shared" si="618"/>
        <v>0</v>
      </c>
      <c r="AS522" s="1120">
        <f t="shared" si="619"/>
        <v>0</v>
      </c>
      <c r="AT522" s="1120">
        <f t="shared" si="620"/>
        <v>0</v>
      </c>
      <c r="AU522" s="1120">
        <f t="shared" si="621"/>
        <v>0</v>
      </c>
      <c r="AV522" s="1120">
        <f t="shared" si="622"/>
        <v>0</v>
      </c>
      <c r="AW522" s="1120">
        <f t="shared" si="623"/>
        <v>0</v>
      </c>
      <c r="AX522" s="1120">
        <f t="shared" si="624"/>
        <v>0</v>
      </c>
      <c r="AY522" s="1120">
        <f t="shared" si="625"/>
        <v>1</v>
      </c>
      <c r="AZ522" s="1120">
        <f t="shared" si="626"/>
        <v>1</v>
      </c>
      <c r="BA522" s="1120">
        <f t="shared" si="627"/>
        <v>1</v>
      </c>
      <c r="BB522" s="1120">
        <f t="shared" si="628"/>
        <v>1</v>
      </c>
      <c r="BC522" s="1120">
        <f t="shared" si="629"/>
        <v>1</v>
      </c>
      <c r="BD522" s="1120">
        <f t="shared" si="630"/>
        <v>1</v>
      </c>
      <c r="BE522" s="1120">
        <f t="shared" si="631"/>
        <v>1</v>
      </c>
      <c r="BF522" s="1120">
        <f t="shared" si="632"/>
        <v>1</v>
      </c>
      <c r="BG522" s="1120">
        <f t="shared" si="633"/>
        <v>1</v>
      </c>
      <c r="BH522" s="1120">
        <f t="shared" si="634"/>
        <v>1</v>
      </c>
      <c r="BI522" s="1120">
        <f t="shared" si="635"/>
        <v>1</v>
      </c>
      <c r="BJ522" s="1120">
        <f t="shared" si="636"/>
        <v>1</v>
      </c>
      <c r="BK522" s="1120">
        <f t="shared" si="637"/>
        <v>0</v>
      </c>
      <c r="BL522" s="1120">
        <f t="shared" si="638"/>
        <v>0</v>
      </c>
      <c r="BM522" s="1120">
        <f t="shared" si="639"/>
        <v>0</v>
      </c>
      <c r="BN522" s="1120">
        <f t="shared" si="640"/>
        <v>0</v>
      </c>
      <c r="BO522" s="1120">
        <f t="shared" si="641"/>
        <v>0</v>
      </c>
      <c r="BP522" s="1120">
        <f t="shared" si="642"/>
        <v>0</v>
      </c>
      <c r="BQ522" s="1120">
        <f t="shared" si="643"/>
        <v>0</v>
      </c>
      <c r="BR522" s="1120">
        <f t="shared" si="644"/>
        <v>0</v>
      </c>
      <c r="BS522" s="1120">
        <f t="shared" si="645"/>
        <v>0</v>
      </c>
      <c r="BT522" s="1120">
        <f t="shared" si="646"/>
        <v>0</v>
      </c>
      <c r="BU522" s="1120">
        <f t="shared" si="647"/>
        <v>0</v>
      </c>
      <c r="BV522" s="1120">
        <f t="shared" si="648"/>
        <v>0</v>
      </c>
      <c r="BW522" s="1120">
        <f t="shared" si="649"/>
        <v>1</v>
      </c>
      <c r="BX522" s="1120">
        <f t="shared" si="650"/>
        <v>1</v>
      </c>
      <c r="BY522" s="1120">
        <f t="shared" si="651"/>
        <v>1</v>
      </c>
      <c r="BZ522" s="1120">
        <f t="shared" si="652"/>
        <v>1</v>
      </c>
      <c r="CA522" s="1120">
        <f t="shared" si="653"/>
        <v>1</v>
      </c>
      <c r="CB522" s="1120">
        <f t="shared" si="654"/>
        <v>1</v>
      </c>
      <c r="CC522" s="1120">
        <f t="shared" si="655"/>
        <v>1</v>
      </c>
      <c r="CD522" s="1120">
        <f t="shared" si="656"/>
        <v>1</v>
      </c>
      <c r="CE522" s="1120">
        <f t="shared" si="657"/>
        <v>1</v>
      </c>
      <c r="CF522" s="1120">
        <f t="shared" si="658"/>
        <v>1</v>
      </c>
      <c r="CG522" s="1120">
        <f t="shared" si="659"/>
        <v>1</v>
      </c>
      <c r="CH522" s="1120">
        <f t="shared" si="660"/>
        <v>1</v>
      </c>
      <c r="CI522" s="1120">
        <f t="shared" si="661"/>
        <v>0.7</v>
      </c>
      <c r="CJ522" s="1120">
        <f t="shared" si="662"/>
        <v>0.7</v>
      </c>
      <c r="CK522" s="1120">
        <f t="shared" si="663"/>
        <v>0.7</v>
      </c>
      <c r="CL522" s="1120">
        <f t="shared" si="664"/>
        <v>0.7</v>
      </c>
      <c r="CM522" s="1120">
        <f t="shared" si="665"/>
        <v>0.7</v>
      </c>
      <c r="CN522" s="1120">
        <f t="shared" si="666"/>
        <v>0.7</v>
      </c>
      <c r="CO522" s="1120">
        <f t="shared" si="667"/>
        <v>0.7</v>
      </c>
      <c r="CP522" s="1120">
        <f t="shared" si="668"/>
        <v>0.7</v>
      </c>
      <c r="CQ522" s="1120">
        <f t="shared" si="669"/>
        <v>0.7</v>
      </c>
      <c r="CR522" s="1120">
        <f t="shared" si="670"/>
        <v>0.7</v>
      </c>
      <c r="CS522" s="1120">
        <f t="shared" si="671"/>
        <v>0.7</v>
      </c>
      <c r="CT522" s="1120">
        <f t="shared" si="672"/>
        <v>0.7</v>
      </c>
      <c r="CU522" s="1120">
        <v>1</v>
      </c>
      <c r="CV522" s="1120"/>
      <c r="CW522" s="1120">
        <f t="shared" si="673"/>
        <v>365</v>
      </c>
      <c r="CX522" s="1120">
        <f t="shared" si="674"/>
        <v>0</v>
      </c>
      <c r="CY522" s="1135" t="s">
        <v>4883</v>
      </c>
      <c r="CZ522" s="1124" t="s">
        <v>4898</v>
      </c>
      <c r="DA522" s="1124"/>
      <c r="DB522" s="1124"/>
      <c r="DC522" s="1120" t="s">
        <v>5155</v>
      </c>
      <c r="DD522" s="1120" t="s">
        <v>122</v>
      </c>
      <c r="DE522" s="1120" t="str">
        <f t="shared" si="600"/>
        <v/>
      </c>
      <c r="DF522" s="1133">
        <v>0</v>
      </c>
      <c r="DG522" s="1120">
        <v>0</v>
      </c>
    </row>
    <row r="523" spans="1:111">
      <c r="A523" s="1125" t="s">
        <v>3793</v>
      </c>
      <c r="B523" s="1125" t="s">
        <v>1838</v>
      </c>
      <c r="C523" s="1125" t="s">
        <v>2216</v>
      </c>
      <c r="D523" s="1125" t="s">
        <v>536</v>
      </c>
      <c r="E523" s="1125">
        <v>5560</v>
      </c>
      <c r="F523" s="1125">
        <v>-103.72</v>
      </c>
      <c r="G523" s="1125">
        <v>39.18</v>
      </c>
      <c r="H523" s="1125">
        <v>-7</v>
      </c>
      <c r="I523" s="1126">
        <v>1.3999999999999992</v>
      </c>
      <c r="J523" s="1126">
        <v>89.6</v>
      </c>
      <c r="K523" s="1127">
        <v>60.259999656677245</v>
      </c>
      <c r="L523" s="1125">
        <v>6564.6</v>
      </c>
      <c r="M523" s="1125">
        <v>417.6</v>
      </c>
      <c r="N523" s="1128">
        <v>28.039999914169311</v>
      </c>
      <c r="O523" s="1128">
        <v>35.960000085830686</v>
      </c>
      <c r="P523" s="1128">
        <v>36.679999828338623</v>
      </c>
      <c r="Q523" s="1128">
        <v>42.079999828338622</v>
      </c>
      <c r="R523" s="1128">
        <v>56.840000343322757</v>
      </c>
      <c r="S523" s="1128">
        <v>65.3</v>
      </c>
      <c r="T523" s="1128">
        <v>68.180000686645513</v>
      </c>
      <c r="U523" s="1128">
        <v>68.719999313354492</v>
      </c>
      <c r="V523" s="1128">
        <v>61.7</v>
      </c>
      <c r="W523" s="1128">
        <v>47.119999313354491</v>
      </c>
      <c r="X523" s="1128">
        <v>33.619999957084659</v>
      </c>
      <c r="Y523" s="1128">
        <v>25.7</v>
      </c>
      <c r="Z523" s="1128">
        <v>47.554958842029308</v>
      </c>
      <c r="AA523" s="1128">
        <f t="shared" si="601"/>
        <v>45.524845139805564</v>
      </c>
      <c r="AB523" s="1128">
        <f t="shared" si="602"/>
        <v>44.18918398537707</v>
      </c>
      <c r="AC523" s="1128">
        <f t="shared" si="603"/>
        <v>45.294856378294384</v>
      </c>
      <c r="AD523" s="1128">
        <f t="shared" si="604"/>
        <v>48.553651770416266</v>
      </c>
      <c r="AE523" s="1128">
        <f t="shared" si="605"/>
        <v>53.116114923229034</v>
      </c>
      <c r="AF523" s="1128">
        <f t="shared" si="606"/>
        <v>57.792969506266587</v>
      </c>
      <c r="AG523" s="1128">
        <f t="shared" si="607"/>
        <v>61.365121299949443</v>
      </c>
      <c r="AH523" s="1128">
        <f t="shared" si="608"/>
        <v>62.901433890728732</v>
      </c>
      <c r="AI523" s="1128">
        <f t="shared" si="609"/>
        <v>62.001443726524158</v>
      </c>
      <c r="AJ523" s="1128">
        <f t="shared" si="610"/>
        <v>58.899747112903889</v>
      </c>
      <c r="AK523" s="1128">
        <f t="shared" si="611"/>
        <v>54.40484907079972</v>
      </c>
      <c r="AL523" s="1128">
        <f t="shared" si="612"/>
        <v>49.688414043361668</v>
      </c>
      <c r="AM523" s="1125">
        <f t="shared" si="613"/>
        <v>1</v>
      </c>
      <c r="AN523" s="1125">
        <f t="shared" si="614"/>
        <v>1</v>
      </c>
      <c r="AO523" s="1125">
        <f t="shared" si="615"/>
        <v>1</v>
      </c>
      <c r="AP523" s="1125">
        <f t="shared" si="616"/>
        <v>1</v>
      </c>
      <c r="AQ523" s="1125">
        <f t="shared" si="617"/>
        <v>1</v>
      </c>
      <c r="AR523" s="1125">
        <f t="shared" si="618"/>
        <v>1</v>
      </c>
      <c r="AS523" s="1125">
        <f t="shared" si="619"/>
        <v>0</v>
      </c>
      <c r="AT523" s="1125">
        <f t="shared" si="620"/>
        <v>0</v>
      </c>
      <c r="AU523" s="1125">
        <f t="shared" si="621"/>
        <v>1</v>
      </c>
      <c r="AV523" s="1125">
        <f t="shared" si="622"/>
        <v>1</v>
      </c>
      <c r="AW523" s="1125">
        <f t="shared" si="623"/>
        <v>1</v>
      </c>
      <c r="AX523" s="1125">
        <f t="shared" si="624"/>
        <v>1</v>
      </c>
      <c r="AY523" s="1125">
        <f t="shared" si="625"/>
        <v>0</v>
      </c>
      <c r="AZ523" s="1125">
        <f t="shared" si="626"/>
        <v>0</v>
      </c>
      <c r="BA523" s="1125">
        <f t="shared" si="627"/>
        <v>0</v>
      </c>
      <c r="BB523" s="1125">
        <f t="shared" si="628"/>
        <v>0</v>
      </c>
      <c r="BC523" s="1125">
        <f t="shared" si="629"/>
        <v>0</v>
      </c>
      <c r="BD523" s="1125">
        <f t="shared" si="630"/>
        <v>0</v>
      </c>
      <c r="BE523" s="1125">
        <f t="shared" si="631"/>
        <v>1</v>
      </c>
      <c r="BF523" s="1125">
        <f t="shared" si="632"/>
        <v>1</v>
      </c>
      <c r="BG523" s="1125">
        <f t="shared" si="633"/>
        <v>0</v>
      </c>
      <c r="BH523" s="1125">
        <f t="shared" si="634"/>
        <v>0</v>
      </c>
      <c r="BI523" s="1125">
        <f t="shared" si="635"/>
        <v>0</v>
      </c>
      <c r="BJ523" s="1125">
        <f t="shared" si="636"/>
        <v>0</v>
      </c>
      <c r="BK523" s="1125">
        <f t="shared" si="637"/>
        <v>1</v>
      </c>
      <c r="BL523" s="1125">
        <f t="shared" si="638"/>
        <v>1</v>
      </c>
      <c r="BM523" s="1125">
        <f t="shared" si="639"/>
        <v>1</v>
      </c>
      <c r="BN523" s="1125">
        <f t="shared" si="640"/>
        <v>1</v>
      </c>
      <c r="BO523" s="1125">
        <f t="shared" si="641"/>
        <v>1</v>
      </c>
      <c r="BP523" s="1125">
        <f t="shared" si="642"/>
        <v>1</v>
      </c>
      <c r="BQ523" s="1125">
        <f t="shared" si="643"/>
        <v>1</v>
      </c>
      <c r="BR523" s="1125">
        <f t="shared" si="644"/>
        <v>0</v>
      </c>
      <c r="BS523" s="1125">
        <f t="shared" si="645"/>
        <v>1</v>
      </c>
      <c r="BT523" s="1125">
        <f t="shared" si="646"/>
        <v>1</v>
      </c>
      <c r="BU523" s="1125">
        <f t="shared" si="647"/>
        <v>1</v>
      </c>
      <c r="BV523" s="1125">
        <f t="shared" si="648"/>
        <v>1</v>
      </c>
      <c r="BW523" s="1125">
        <f t="shared" si="649"/>
        <v>0</v>
      </c>
      <c r="BX523" s="1125">
        <f t="shared" si="650"/>
        <v>0</v>
      </c>
      <c r="BY523" s="1125">
        <f t="shared" si="651"/>
        <v>0</v>
      </c>
      <c r="BZ523" s="1125">
        <f t="shared" si="652"/>
        <v>0</v>
      </c>
      <c r="CA523" s="1125">
        <f t="shared" si="653"/>
        <v>0</v>
      </c>
      <c r="CB523" s="1125">
        <f t="shared" si="654"/>
        <v>1</v>
      </c>
      <c r="CC523" s="1125">
        <f t="shared" si="655"/>
        <v>1</v>
      </c>
      <c r="CD523" s="1125">
        <f t="shared" si="656"/>
        <v>1</v>
      </c>
      <c r="CE523" s="1125">
        <f t="shared" si="657"/>
        <v>1</v>
      </c>
      <c r="CF523" s="1125">
        <f t="shared" si="658"/>
        <v>0</v>
      </c>
      <c r="CG523" s="1125">
        <f t="shared" si="659"/>
        <v>0</v>
      </c>
      <c r="CH523" s="1125">
        <f t="shared" si="660"/>
        <v>0</v>
      </c>
      <c r="CI523" s="1125">
        <f t="shared" si="661"/>
        <v>0.85</v>
      </c>
      <c r="CJ523" s="1125">
        <f t="shared" si="662"/>
        <v>0.85</v>
      </c>
      <c r="CK523" s="1125">
        <f t="shared" si="663"/>
        <v>0.85</v>
      </c>
      <c r="CL523" s="1125">
        <f t="shared" si="664"/>
        <v>0.85</v>
      </c>
      <c r="CM523" s="1125">
        <f t="shared" si="665"/>
        <v>0.85</v>
      </c>
      <c r="CN523" s="1125">
        <f t="shared" si="666"/>
        <v>0.85</v>
      </c>
      <c r="CO523" s="1125">
        <f t="shared" si="667"/>
        <v>0.85</v>
      </c>
      <c r="CP523" s="1125">
        <f t="shared" si="668"/>
        <v>0.7</v>
      </c>
      <c r="CQ523" s="1125">
        <f t="shared" si="669"/>
        <v>0.85</v>
      </c>
      <c r="CR523" s="1125">
        <f t="shared" si="670"/>
        <v>0.85</v>
      </c>
      <c r="CS523" s="1125">
        <f t="shared" si="671"/>
        <v>0.85</v>
      </c>
      <c r="CT523" s="1125">
        <f t="shared" si="672"/>
        <v>0.85</v>
      </c>
      <c r="CU523" s="1125">
        <v>1</v>
      </c>
      <c r="CV523" s="1125"/>
      <c r="CW523" s="1125">
        <f t="shared" si="673"/>
        <v>122</v>
      </c>
      <c r="CX523" s="1125">
        <f t="shared" si="674"/>
        <v>243</v>
      </c>
      <c r="CY523" s="1136" t="s">
        <v>4889</v>
      </c>
      <c r="CZ523" s="1129" t="s">
        <v>4890</v>
      </c>
      <c r="DA523" s="1129"/>
      <c r="DB523" s="1129"/>
      <c r="DC523" s="1125" t="s">
        <v>5079</v>
      </c>
      <c r="DD523" s="1125" t="s">
        <v>536</v>
      </c>
      <c r="DE523" s="1120" t="str">
        <f t="shared" si="600"/>
        <v/>
      </c>
      <c r="DF523" s="1133">
        <v>0</v>
      </c>
      <c r="DG523" s="1125">
        <v>0</v>
      </c>
    </row>
    <row r="524" spans="1:111">
      <c r="A524" s="1120" t="s">
        <v>3785</v>
      </c>
      <c r="B524" s="1125" t="s">
        <v>4014</v>
      </c>
      <c r="C524" s="1125" t="s">
        <v>4015</v>
      </c>
      <c r="D524" s="1125" t="s">
        <v>771</v>
      </c>
      <c r="E524" s="1125">
        <v>1171</v>
      </c>
      <c r="F524" s="1125">
        <v>-96.77</v>
      </c>
      <c r="G524" s="1125">
        <v>40.83</v>
      </c>
      <c r="H524" s="1125">
        <v>-6</v>
      </c>
      <c r="I524" s="1126">
        <v>0.31999931335449139</v>
      </c>
      <c r="J524" s="1126">
        <v>93.739998626708982</v>
      </c>
      <c r="K524" s="1127">
        <v>74.3</v>
      </c>
      <c r="L524" s="1125">
        <v>5734.8</v>
      </c>
      <c r="M524" s="1125">
        <v>12.6</v>
      </c>
      <c r="N524" s="1128">
        <v>24.620000171661378</v>
      </c>
      <c r="O524" s="1128">
        <v>31.639999994635581</v>
      </c>
      <c r="P524" s="1128">
        <v>44.059999656677249</v>
      </c>
      <c r="Q524" s="1128">
        <v>54.140000343322754</v>
      </c>
      <c r="R524" s="1128">
        <v>64.039998626708979</v>
      </c>
      <c r="S524" s="1128">
        <v>76.639998626708987</v>
      </c>
      <c r="T524" s="1128">
        <v>77.719999313354492</v>
      </c>
      <c r="U524" s="1128">
        <v>71.960001373291021</v>
      </c>
      <c r="V524" s="1128">
        <v>64.939998626708984</v>
      </c>
      <c r="W524" s="1128">
        <v>54.5</v>
      </c>
      <c r="X524" s="1128">
        <v>35.779999828338624</v>
      </c>
      <c r="Y524" s="1128">
        <v>25.520000171661376</v>
      </c>
      <c r="Z524" s="1128">
        <v>52.235451784427852</v>
      </c>
      <c r="AA524" s="1128">
        <f t="shared" si="601"/>
        <v>46.763499062102653</v>
      </c>
      <c r="AB524" s="1128">
        <f t="shared" si="602"/>
        <v>45.448785273780196</v>
      </c>
      <c r="AC524" s="1128">
        <f t="shared" si="603"/>
        <v>47.467113159953584</v>
      </c>
      <c r="AD524" s="1128">
        <f t="shared" si="604"/>
        <v>52.292374453717514</v>
      </c>
      <c r="AE524" s="1128">
        <f t="shared" si="605"/>
        <v>58.666790439325027</v>
      </c>
      <c r="AF524" s="1128">
        <f t="shared" si="606"/>
        <v>64.928771357403718</v>
      </c>
      <c r="AG524" s="1128">
        <f t="shared" si="607"/>
        <v>69.446035381609391</v>
      </c>
      <c r="AH524" s="1128">
        <f t="shared" si="608"/>
        <v>71.041088030887053</v>
      </c>
      <c r="AI524" s="1128">
        <f t="shared" si="609"/>
        <v>69.298154251697099</v>
      </c>
      <c r="AJ524" s="1128">
        <f t="shared" si="610"/>
        <v>64.671556593007978</v>
      </c>
      <c r="AK524" s="1128">
        <f t="shared" si="611"/>
        <v>58.367289032585091</v>
      </c>
      <c r="AL524" s="1128">
        <f t="shared" si="612"/>
        <v>52.028656061756529</v>
      </c>
      <c r="AM524" s="1125">
        <f t="shared" si="613"/>
        <v>1</v>
      </c>
      <c r="AN524" s="1125">
        <f t="shared" si="614"/>
        <v>1</v>
      </c>
      <c r="AO524" s="1125">
        <f t="shared" si="615"/>
        <v>1</v>
      </c>
      <c r="AP524" s="1125">
        <f t="shared" si="616"/>
        <v>1</v>
      </c>
      <c r="AQ524" s="1125">
        <f t="shared" si="617"/>
        <v>1</v>
      </c>
      <c r="AR524" s="1125">
        <f t="shared" si="618"/>
        <v>0</v>
      </c>
      <c r="AS524" s="1125">
        <f t="shared" si="619"/>
        <v>0</v>
      </c>
      <c r="AT524" s="1125">
        <f t="shared" si="620"/>
        <v>0</v>
      </c>
      <c r="AU524" s="1125">
        <f t="shared" si="621"/>
        <v>1</v>
      </c>
      <c r="AV524" s="1125">
        <f t="shared" si="622"/>
        <v>1</v>
      </c>
      <c r="AW524" s="1125">
        <f t="shared" si="623"/>
        <v>1</v>
      </c>
      <c r="AX524" s="1125">
        <f t="shared" si="624"/>
        <v>1</v>
      </c>
      <c r="AY524" s="1125">
        <f t="shared" si="625"/>
        <v>0</v>
      </c>
      <c r="AZ524" s="1125">
        <f t="shared" si="626"/>
        <v>0</v>
      </c>
      <c r="BA524" s="1125">
        <f t="shared" si="627"/>
        <v>0</v>
      </c>
      <c r="BB524" s="1125">
        <f t="shared" si="628"/>
        <v>0</v>
      </c>
      <c r="BC524" s="1125">
        <f t="shared" si="629"/>
        <v>0</v>
      </c>
      <c r="BD524" s="1125">
        <f t="shared" si="630"/>
        <v>1</v>
      </c>
      <c r="BE524" s="1125">
        <f t="shared" si="631"/>
        <v>1</v>
      </c>
      <c r="BF524" s="1125">
        <f t="shared" si="632"/>
        <v>1</v>
      </c>
      <c r="BG524" s="1125">
        <f t="shared" si="633"/>
        <v>0</v>
      </c>
      <c r="BH524" s="1125">
        <f t="shared" si="634"/>
        <v>0</v>
      </c>
      <c r="BI524" s="1125">
        <f t="shared" si="635"/>
        <v>0</v>
      </c>
      <c r="BJ524" s="1125">
        <f t="shared" si="636"/>
        <v>0</v>
      </c>
      <c r="BK524" s="1125">
        <f t="shared" si="637"/>
        <v>1</v>
      </c>
      <c r="BL524" s="1125">
        <f t="shared" si="638"/>
        <v>1</v>
      </c>
      <c r="BM524" s="1125">
        <f t="shared" si="639"/>
        <v>1</v>
      </c>
      <c r="BN524" s="1125">
        <f t="shared" si="640"/>
        <v>1</v>
      </c>
      <c r="BO524" s="1125">
        <f t="shared" si="641"/>
        <v>1</v>
      </c>
      <c r="BP524" s="1125">
        <f t="shared" si="642"/>
        <v>1</v>
      </c>
      <c r="BQ524" s="1125">
        <f t="shared" si="643"/>
        <v>0</v>
      </c>
      <c r="BR524" s="1125">
        <f t="shared" si="644"/>
        <v>0</v>
      </c>
      <c r="BS524" s="1125">
        <f t="shared" si="645"/>
        <v>1</v>
      </c>
      <c r="BT524" s="1125">
        <f t="shared" si="646"/>
        <v>1</v>
      </c>
      <c r="BU524" s="1125">
        <f t="shared" si="647"/>
        <v>1</v>
      </c>
      <c r="BV524" s="1125">
        <f t="shared" si="648"/>
        <v>1</v>
      </c>
      <c r="BW524" s="1125">
        <f t="shared" si="649"/>
        <v>0</v>
      </c>
      <c r="BX524" s="1125">
        <f t="shared" si="650"/>
        <v>0</v>
      </c>
      <c r="BY524" s="1125">
        <f t="shared" si="651"/>
        <v>0</v>
      </c>
      <c r="BZ524" s="1125">
        <f t="shared" si="652"/>
        <v>0</v>
      </c>
      <c r="CA524" s="1125">
        <f t="shared" si="653"/>
        <v>1</v>
      </c>
      <c r="CB524" s="1125">
        <f t="shared" si="654"/>
        <v>1</v>
      </c>
      <c r="CC524" s="1125">
        <f t="shared" si="655"/>
        <v>1</v>
      </c>
      <c r="CD524" s="1125">
        <f t="shared" si="656"/>
        <v>1</v>
      </c>
      <c r="CE524" s="1125">
        <f t="shared" si="657"/>
        <v>1</v>
      </c>
      <c r="CF524" s="1125">
        <f t="shared" si="658"/>
        <v>0</v>
      </c>
      <c r="CG524" s="1125">
        <f t="shared" si="659"/>
        <v>0</v>
      </c>
      <c r="CH524" s="1125">
        <f t="shared" si="660"/>
        <v>0</v>
      </c>
      <c r="CI524" s="1125">
        <f t="shared" si="661"/>
        <v>0.85</v>
      </c>
      <c r="CJ524" s="1125">
        <f t="shared" si="662"/>
        <v>0.85</v>
      </c>
      <c r="CK524" s="1125">
        <f t="shared" si="663"/>
        <v>0.85</v>
      </c>
      <c r="CL524" s="1125">
        <f t="shared" si="664"/>
        <v>0.85</v>
      </c>
      <c r="CM524" s="1125">
        <f t="shared" si="665"/>
        <v>0.85</v>
      </c>
      <c r="CN524" s="1125">
        <f t="shared" si="666"/>
        <v>0.85</v>
      </c>
      <c r="CO524" s="1125">
        <f t="shared" si="667"/>
        <v>0.7</v>
      </c>
      <c r="CP524" s="1125">
        <f t="shared" si="668"/>
        <v>0.7</v>
      </c>
      <c r="CQ524" s="1125">
        <f t="shared" si="669"/>
        <v>0.85</v>
      </c>
      <c r="CR524" s="1125">
        <f t="shared" si="670"/>
        <v>0.85</v>
      </c>
      <c r="CS524" s="1125">
        <f t="shared" si="671"/>
        <v>0.85</v>
      </c>
      <c r="CT524" s="1125">
        <f t="shared" si="672"/>
        <v>0.85</v>
      </c>
      <c r="CU524" s="1125">
        <v>1</v>
      </c>
      <c r="CV524" s="1125"/>
      <c r="CW524" s="1125">
        <f t="shared" si="673"/>
        <v>153</v>
      </c>
      <c r="CX524" s="1125">
        <f t="shared" si="674"/>
        <v>212</v>
      </c>
      <c r="CY524" s="1135" t="s">
        <v>4889</v>
      </c>
      <c r="CZ524" s="1124" t="s">
        <v>4897</v>
      </c>
      <c r="DA524" s="1124"/>
      <c r="DB524" s="1124"/>
      <c r="DC524" s="1120" t="s">
        <v>5422</v>
      </c>
      <c r="DD524" s="1120" t="s">
        <v>771</v>
      </c>
      <c r="DE524" s="1120" t="str">
        <f t="shared" si="600"/>
        <v/>
      </c>
      <c r="DF524" s="1133">
        <v>0</v>
      </c>
      <c r="DG524" s="1120">
        <v>0</v>
      </c>
    </row>
    <row r="525" spans="1:111">
      <c r="A525" s="1125" t="s">
        <v>3795</v>
      </c>
      <c r="B525" s="1120" t="s">
        <v>3805</v>
      </c>
      <c r="C525" s="1120" t="s">
        <v>3806</v>
      </c>
      <c r="D525" s="1120" t="s">
        <v>934</v>
      </c>
      <c r="E525" s="1120">
        <v>1138</v>
      </c>
      <c r="F525" s="1120">
        <v>-94.5</v>
      </c>
      <c r="G525" s="1120">
        <v>45.1</v>
      </c>
      <c r="H525" s="1120">
        <v>-6</v>
      </c>
      <c r="I525" s="1121">
        <v>-9.0399986267089858</v>
      </c>
      <c r="J525" s="1121">
        <v>85.280000686645508</v>
      </c>
      <c r="K525" s="1122">
        <v>71.599999999999994</v>
      </c>
      <c r="L525" s="1120">
        <v>7520.4000000000005</v>
      </c>
      <c r="M525" s="1120">
        <v>583.20000000000005</v>
      </c>
      <c r="N525" s="1123">
        <v>12.380000686645507</v>
      </c>
      <c r="O525" s="1123">
        <v>12.019999313354491</v>
      </c>
      <c r="P525" s="1123">
        <v>39.559999656677249</v>
      </c>
      <c r="Q525" s="1123">
        <v>52.340000343322757</v>
      </c>
      <c r="R525" s="1123">
        <v>64.400000000000006</v>
      </c>
      <c r="S525" s="1123">
        <v>69.439998626708984</v>
      </c>
      <c r="T525" s="1123">
        <v>70.16000137329101</v>
      </c>
      <c r="U525" s="1123">
        <v>63.5</v>
      </c>
      <c r="V525" s="1123">
        <v>63.680000686645506</v>
      </c>
      <c r="W525" s="1123">
        <v>51.080000686645505</v>
      </c>
      <c r="X525" s="1123">
        <v>27.320000171661377</v>
      </c>
      <c r="Y525" s="1123">
        <v>16.7</v>
      </c>
      <c r="Z525" s="1123">
        <v>45.400383698972938</v>
      </c>
      <c r="AA525" s="1123">
        <f t="shared" si="601"/>
        <v>41.321715224677156</v>
      </c>
      <c r="AB525" s="1123">
        <f t="shared" si="602"/>
        <v>39.388375224060262</v>
      </c>
      <c r="AC525" s="1123">
        <f t="shared" si="603"/>
        <v>40.586150343083212</v>
      </c>
      <c r="AD525" s="1123">
        <f t="shared" si="604"/>
        <v>44.602822038699358</v>
      </c>
      <c r="AE525" s="1123">
        <f t="shared" si="605"/>
        <v>50.391382934661856</v>
      </c>
      <c r="AF525" s="1123">
        <f t="shared" si="606"/>
        <v>56.442955429014489</v>
      </c>
      <c r="AG525" s="1123">
        <f t="shared" si="607"/>
        <v>61.180103893549223</v>
      </c>
      <c r="AH525" s="1123">
        <f t="shared" si="608"/>
        <v>63.368017579317488</v>
      </c>
      <c r="AI525" s="1123">
        <f t="shared" si="609"/>
        <v>62.436383067353304</v>
      </c>
      <c r="AJ525" s="1123">
        <f t="shared" si="610"/>
        <v>58.628045250122533</v>
      </c>
      <c r="AK525" s="1123">
        <f t="shared" si="611"/>
        <v>52.93570606794863</v>
      </c>
      <c r="AL525" s="1123">
        <f t="shared" si="612"/>
        <v>46.843161450267324</v>
      </c>
      <c r="AM525" s="1120">
        <f t="shared" si="613"/>
        <v>1</v>
      </c>
      <c r="AN525" s="1120">
        <f t="shared" si="614"/>
        <v>1</v>
      </c>
      <c r="AO525" s="1120">
        <f t="shared" si="615"/>
        <v>1</v>
      </c>
      <c r="AP525" s="1120">
        <f t="shared" si="616"/>
        <v>1</v>
      </c>
      <c r="AQ525" s="1120">
        <f t="shared" si="617"/>
        <v>1</v>
      </c>
      <c r="AR525" s="1120">
        <f t="shared" si="618"/>
        <v>0</v>
      </c>
      <c r="AS525" s="1120">
        <f t="shared" si="619"/>
        <v>0</v>
      </c>
      <c r="AT525" s="1120">
        <f t="shared" si="620"/>
        <v>1</v>
      </c>
      <c r="AU525" s="1120">
        <f t="shared" si="621"/>
        <v>1</v>
      </c>
      <c r="AV525" s="1120">
        <f t="shared" si="622"/>
        <v>1</v>
      </c>
      <c r="AW525" s="1120">
        <f t="shared" si="623"/>
        <v>1</v>
      </c>
      <c r="AX525" s="1120">
        <f t="shared" si="624"/>
        <v>1</v>
      </c>
      <c r="AY525" s="1120">
        <f t="shared" si="625"/>
        <v>0</v>
      </c>
      <c r="AZ525" s="1120">
        <f t="shared" si="626"/>
        <v>0</v>
      </c>
      <c r="BA525" s="1120">
        <f t="shared" si="627"/>
        <v>0</v>
      </c>
      <c r="BB525" s="1120">
        <f t="shared" si="628"/>
        <v>0</v>
      </c>
      <c r="BC525" s="1120">
        <f t="shared" si="629"/>
        <v>0</v>
      </c>
      <c r="BD525" s="1120">
        <f t="shared" si="630"/>
        <v>1</v>
      </c>
      <c r="BE525" s="1120">
        <f t="shared" si="631"/>
        <v>1</v>
      </c>
      <c r="BF525" s="1120">
        <f t="shared" si="632"/>
        <v>1</v>
      </c>
      <c r="BG525" s="1120">
        <f t="shared" si="633"/>
        <v>0</v>
      </c>
      <c r="BH525" s="1120">
        <f t="shared" si="634"/>
        <v>0</v>
      </c>
      <c r="BI525" s="1120">
        <f t="shared" si="635"/>
        <v>0</v>
      </c>
      <c r="BJ525" s="1120">
        <f t="shared" si="636"/>
        <v>0</v>
      </c>
      <c r="BK525" s="1120">
        <f t="shared" si="637"/>
        <v>1</v>
      </c>
      <c r="BL525" s="1120">
        <f t="shared" si="638"/>
        <v>1</v>
      </c>
      <c r="BM525" s="1120">
        <f t="shared" si="639"/>
        <v>1</v>
      </c>
      <c r="BN525" s="1120">
        <f t="shared" si="640"/>
        <v>1</v>
      </c>
      <c r="BO525" s="1120">
        <f t="shared" si="641"/>
        <v>1</v>
      </c>
      <c r="BP525" s="1120">
        <f t="shared" si="642"/>
        <v>1</v>
      </c>
      <c r="BQ525" s="1120">
        <f t="shared" si="643"/>
        <v>0</v>
      </c>
      <c r="BR525" s="1120">
        <f t="shared" si="644"/>
        <v>1</v>
      </c>
      <c r="BS525" s="1120">
        <f t="shared" si="645"/>
        <v>1</v>
      </c>
      <c r="BT525" s="1120">
        <f t="shared" si="646"/>
        <v>1</v>
      </c>
      <c r="BU525" s="1120">
        <f t="shared" si="647"/>
        <v>1</v>
      </c>
      <c r="BV525" s="1120">
        <f t="shared" si="648"/>
        <v>1</v>
      </c>
      <c r="BW525" s="1120">
        <f t="shared" si="649"/>
        <v>0</v>
      </c>
      <c r="BX525" s="1120">
        <f t="shared" si="650"/>
        <v>0</v>
      </c>
      <c r="BY525" s="1120">
        <f t="shared" si="651"/>
        <v>0</v>
      </c>
      <c r="BZ525" s="1120">
        <f t="shared" si="652"/>
        <v>0</v>
      </c>
      <c r="CA525" s="1120">
        <f t="shared" si="653"/>
        <v>1</v>
      </c>
      <c r="CB525" s="1120">
        <f t="shared" si="654"/>
        <v>1</v>
      </c>
      <c r="CC525" s="1120">
        <f t="shared" si="655"/>
        <v>1</v>
      </c>
      <c r="CD525" s="1120">
        <f t="shared" si="656"/>
        <v>1</v>
      </c>
      <c r="CE525" s="1120">
        <f t="shared" si="657"/>
        <v>0</v>
      </c>
      <c r="CF525" s="1120">
        <f t="shared" si="658"/>
        <v>0</v>
      </c>
      <c r="CG525" s="1120">
        <f t="shared" si="659"/>
        <v>0</v>
      </c>
      <c r="CH525" s="1120">
        <f t="shared" si="660"/>
        <v>0</v>
      </c>
      <c r="CI525" s="1120">
        <f t="shared" si="661"/>
        <v>0.85</v>
      </c>
      <c r="CJ525" s="1120">
        <f t="shared" si="662"/>
        <v>0.85</v>
      </c>
      <c r="CK525" s="1120">
        <f t="shared" si="663"/>
        <v>0.85</v>
      </c>
      <c r="CL525" s="1120">
        <f t="shared" si="664"/>
        <v>0.85</v>
      </c>
      <c r="CM525" s="1120">
        <f t="shared" si="665"/>
        <v>0.85</v>
      </c>
      <c r="CN525" s="1120">
        <f t="shared" si="666"/>
        <v>0.85</v>
      </c>
      <c r="CO525" s="1120">
        <f t="shared" si="667"/>
        <v>0.7</v>
      </c>
      <c r="CP525" s="1120">
        <f t="shared" si="668"/>
        <v>0.85</v>
      </c>
      <c r="CQ525" s="1120">
        <f t="shared" si="669"/>
        <v>0.85</v>
      </c>
      <c r="CR525" s="1120">
        <f t="shared" si="670"/>
        <v>0.85</v>
      </c>
      <c r="CS525" s="1120">
        <f t="shared" si="671"/>
        <v>0.85</v>
      </c>
      <c r="CT525" s="1120">
        <f t="shared" si="672"/>
        <v>0.85</v>
      </c>
      <c r="CU525" s="1120">
        <v>1</v>
      </c>
      <c r="CV525" s="1120"/>
      <c r="CW525" s="1120">
        <f t="shared" si="673"/>
        <v>123</v>
      </c>
      <c r="CX525" s="1120">
        <f t="shared" si="674"/>
        <v>242</v>
      </c>
      <c r="CY525" s="1135" t="s">
        <v>4889</v>
      </c>
      <c r="CZ525" s="1124" t="s">
        <v>4899</v>
      </c>
      <c r="DA525" s="1124"/>
      <c r="DB525" s="1124"/>
      <c r="DC525" s="1120" t="s">
        <v>5334</v>
      </c>
      <c r="DD525" s="1120" t="s">
        <v>934</v>
      </c>
      <c r="DE525" s="1120" t="str">
        <f t="shared" si="600"/>
        <v/>
      </c>
      <c r="DF525" s="1133">
        <v>0</v>
      </c>
      <c r="DG525" s="1125">
        <v>0</v>
      </c>
    </row>
    <row r="526" spans="1:111">
      <c r="A526" s="1120" t="s">
        <v>3797</v>
      </c>
      <c r="B526" s="1125" t="s">
        <v>5878</v>
      </c>
      <c r="C526" s="1125" t="s">
        <v>5879</v>
      </c>
      <c r="D526" s="1125" t="s">
        <v>934</v>
      </c>
      <c r="E526" s="1125">
        <v>1122</v>
      </c>
      <c r="F526" s="1125">
        <v>-94.35</v>
      </c>
      <c r="G526" s="1125">
        <v>45.95</v>
      </c>
      <c r="H526" s="1125">
        <v>-6</v>
      </c>
      <c r="I526" s="1126">
        <v>-11.560001373291017</v>
      </c>
      <c r="J526" s="1126">
        <v>87.080000686645505</v>
      </c>
      <c r="K526" s="1127">
        <v>71.239998626708982</v>
      </c>
      <c r="L526" s="1125">
        <v>8928</v>
      </c>
      <c r="M526" s="1125">
        <v>451.8</v>
      </c>
      <c r="N526" s="1128">
        <v>10.580000686645507</v>
      </c>
      <c r="O526" s="1128">
        <v>14.180000686645508</v>
      </c>
      <c r="P526" s="1128">
        <v>31.1</v>
      </c>
      <c r="Q526" s="1128">
        <v>37.76000008583069</v>
      </c>
      <c r="R526" s="1128">
        <v>54.319999313354494</v>
      </c>
      <c r="S526" s="1128">
        <v>66.560001373291016</v>
      </c>
      <c r="T526" s="1128">
        <v>68.180000686645513</v>
      </c>
      <c r="U526" s="1128">
        <v>68.539998626708979</v>
      </c>
      <c r="V526" s="1128">
        <v>56.659999656677243</v>
      </c>
      <c r="W526" s="1128">
        <v>39.740000343322755</v>
      </c>
      <c r="X526" s="1128">
        <v>22.279999828338624</v>
      </c>
      <c r="Y526" s="1128">
        <v>22.1</v>
      </c>
      <c r="Z526" s="1128">
        <v>41.167671333992317</v>
      </c>
      <c r="AA526" s="1128">
        <f t="shared" si="601"/>
        <v>38.599779589845667</v>
      </c>
      <c r="AB526" s="1128">
        <f t="shared" si="602"/>
        <v>36.494174250655675</v>
      </c>
      <c r="AC526" s="1128">
        <f t="shared" si="603"/>
        <v>37.170780409806305</v>
      </c>
      <c r="AD526" s="1128">
        <f t="shared" si="604"/>
        <v>40.453230245098425</v>
      </c>
      <c r="AE526" s="1128">
        <f t="shared" si="605"/>
        <v>45.485902622880005</v>
      </c>
      <c r="AF526" s="1128">
        <f t="shared" si="606"/>
        <v>50.956953932053345</v>
      </c>
      <c r="AG526" s="1128">
        <f t="shared" si="607"/>
        <v>55.440270337429652</v>
      </c>
      <c r="AH526" s="1128">
        <f t="shared" si="608"/>
        <v>57.767206327950447</v>
      </c>
      <c r="AI526" s="1128">
        <f t="shared" si="609"/>
        <v>57.331210178517424</v>
      </c>
      <c r="AJ526" s="1128">
        <f t="shared" si="610"/>
        <v>54.245931004384353</v>
      </c>
      <c r="AK526" s="1128">
        <f t="shared" si="611"/>
        <v>49.315594367880266</v>
      </c>
      <c r="AL526" s="1128">
        <f t="shared" si="612"/>
        <v>43.825368492097383</v>
      </c>
      <c r="AM526" s="1125">
        <f t="shared" si="613"/>
        <v>1</v>
      </c>
      <c r="AN526" s="1125">
        <f t="shared" si="614"/>
        <v>1</v>
      </c>
      <c r="AO526" s="1125">
        <f t="shared" si="615"/>
        <v>1</v>
      </c>
      <c r="AP526" s="1125">
        <f t="shared" si="616"/>
        <v>1</v>
      </c>
      <c r="AQ526" s="1125">
        <f t="shared" si="617"/>
        <v>1</v>
      </c>
      <c r="AR526" s="1125">
        <f t="shared" si="618"/>
        <v>0</v>
      </c>
      <c r="AS526" s="1125">
        <f t="shared" si="619"/>
        <v>0</v>
      </c>
      <c r="AT526" s="1125">
        <f t="shared" si="620"/>
        <v>0</v>
      </c>
      <c r="AU526" s="1125">
        <f t="shared" si="621"/>
        <v>1</v>
      </c>
      <c r="AV526" s="1125">
        <f t="shared" si="622"/>
        <v>1</v>
      </c>
      <c r="AW526" s="1125">
        <f t="shared" si="623"/>
        <v>1</v>
      </c>
      <c r="AX526" s="1125">
        <f t="shared" si="624"/>
        <v>1</v>
      </c>
      <c r="AY526" s="1125">
        <f t="shared" si="625"/>
        <v>0</v>
      </c>
      <c r="AZ526" s="1125">
        <f t="shared" si="626"/>
        <v>0</v>
      </c>
      <c r="BA526" s="1125">
        <f t="shared" si="627"/>
        <v>0</v>
      </c>
      <c r="BB526" s="1125">
        <f t="shared" si="628"/>
        <v>0</v>
      </c>
      <c r="BC526" s="1125">
        <f t="shared" si="629"/>
        <v>0</v>
      </c>
      <c r="BD526" s="1125">
        <f t="shared" si="630"/>
        <v>1</v>
      </c>
      <c r="BE526" s="1125">
        <f t="shared" si="631"/>
        <v>1</v>
      </c>
      <c r="BF526" s="1125">
        <f t="shared" si="632"/>
        <v>1</v>
      </c>
      <c r="BG526" s="1125">
        <f t="shared" si="633"/>
        <v>0</v>
      </c>
      <c r="BH526" s="1125">
        <f t="shared" si="634"/>
        <v>0</v>
      </c>
      <c r="BI526" s="1125">
        <f t="shared" si="635"/>
        <v>0</v>
      </c>
      <c r="BJ526" s="1125">
        <f t="shared" si="636"/>
        <v>0</v>
      </c>
      <c r="BK526" s="1125">
        <f t="shared" si="637"/>
        <v>1</v>
      </c>
      <c r="BL526" s="1125">
        <f t="shared" si="638"/>
        <v>1</v>
      </c>
      <c r="BM526" s="1125">
        <f t="shared" si="639"/>
        <v>1</v>
      </c>
      <c r="BN526" s="1125">
        <f t="shared" si="640"/>
        <v>1</v>
      </c>
      <c r="BO526" s="1125">
        <f t="shared" si="641"/>
        <v>1</v>
      </c>
      <c r="BP526" s="1125">
        <f t="shared" si="642"/>
        <v>1</v>
      </c>
      <c r="BQ526" s="1125">
        <f t="shared" si="643"/>
        <v>0</v>
      </c>
      <c r="BR526" s="1125">
        <f t="shared" si="644"/>
        <v>0</v>
      </c>
      <c r="BS526" s="1125">
        <f t="shared" si="645"/>
        <v>1</v>
      </c>
      <c r="BT526" s="1125">
        <f t="shared" si="646"/>
        <v>1</v>
      </c>
      <c r="BU526" s="1125">
        <f t="shared" si="647"/>
        <v>1</v>
      </c>
      <c r="BV526" s="1125">
        <f t="shared" si="648"/>
        <v>1</v>
      </c>
      <c r="BW526" s="1125">
        <f t="shared" si="649"/>
        <v>0</v>
      </c>
      <c r="BX526" s="1125">
        <f t="shared" si="650"/>
        <v>0</v>
      </c>
      <c r="BY526" s="1125">
        <f t="shared" si="651"/>
        <v>0</v>
      </c>
      <c r="BZ526" s="1125">
        <f t="shared" si="652"/>
        <v>0</v>
      </c>
      <c r="CA526" s="1125">
        <f t="shared" si="653"/>
        <v>1</v>
      </c>
      <c r="CB526" s="1125">
        <f t="shared" si="654"/>
        <v>1</v>
      </c>
      <c r="CC526" s="1125">
        <f t="shared" si="655"/>
        <v>1</v>
      </c>
      <c r="CD526" s="1125">
        <f t="shared" si="656"/>
        <v>1</v>
      </c>
      <c r="CE526" s="1125">
        <f t="shared" si="657"/>
        <v>1</v>
      </c>
      <c r="CF526" s="1125">
        <f t="shared" si="658"/>
        <v>0</v>
      </c>
      <c r="CG526" s="1125">
        <f t="shared" si="659"/>
        <v>0</v>
      </c>
      <c r="CH526" s="1125">
        <f t="shared" si="660"/>
        <v>0</v>
      </c>
      <c r="CI526" s="1125">
        <f t="shared" si="661"/>
        <v>0.85</v>
      </c>
      <c r="CJ526" s="1125">
        <f t="shared" si="662"/>
        <v>0.85</v>
      </c>
      <c r="CK526" s="1125">
        <f t="shared" si="663"/>
        <v>0.85</v>
      </c>
      <c r="CL526" s="1125">
        <f t="shared" si="664"/>
        <v>0.85</v>
      </c>
      <c r="CM526" s="1125">
        <f t="shared" si="665"/>
        <v>0.85</v>
      </c>
      <c r="CN526" s="1125">
        <f t="shared" si="666"/>
        <v>0.85</v>
      </c>
      <c r="CO526" s="1125">
        <f t="shared" si="667"/>
        <v>0.7</v>
      </c>
      <c r="CP526" s="1125">
        <f t="shared" si="668"/>
        <v>0.7</v>
      </c>
      <c r="CQ526" s="1125">
        <f t="shared" si="669"/>
        <v>0.85</v>
      </c>
      <c r="CR526" s="1125">
        <f t="shared" si="670"/>
        <v>0.85</v>
      </c>
      <c r="CS526" s="1125">
        <f t="shared" si="671"/>
        <v>0.85</v>
      </c>
      <c r="CT526" s="1125">
        <f t="shared" si="672"/>
        <v>0.85</v>
      </c>
      <c r="CU526" s="1125">
        <v>1</v>
      </c>
      <c r="CV526" s="1125"/>
      <c r="CW526" s="1125">
        <f t="shared" si="673"/>
        <v>153</v>
      </c>
      <c r="CX526" s="1125">
        <f t="shared" si="674"/>
        <v>212</v>
      </c>
      <c r="CY526" s="1136" t="s">
        <v>4889</v>
      </c>
      <c r="CZ526" s="1129" t="s">
        <v>4899</v>
      </c>
      <c r="DA526" s="1129"/>
      <c r="DB526" s="1129"/>
      <c r="DC526" s="1125" t="s">
        <v>5755</v>
      </c>
      <c r="DD526" s="1125" t="s">
        <v>934</v>
      </c>
      <c r="DE526" s="1120" t="str">
        <f t="shared" si="600"/>
        <v/>
      </c>
      <c r="DF526" s="1133">
        <v>0</v>
      </c>
      <c r="DG526" s="1120">
        <v>0</v>
      </c>
    </row>
    <row r="527" spans="1:111">
      <c r="A527" s="1125" t="s">
        <v>3799</v>
      </c>
      <c r="B527" s="1120" t="s">
        <v>3036</v>
      </c>
      <c r="C527" s="1120" t="s">
        <v>3037</v>
      </c>
      <c r="D527" s="1120" t="s">
        <v>1176</v>
      </c>
      <c r="E527" s="1120">
        <v>256</v>
      </c>
      <c r="F527" s="1120">
        <v>-92.23</v>
      </c>
      <c r="G527" s="1120">
        <v>34.75</v>
      </c>
      <c r="H527" s="1120">
        <v>-6</v>
      </c>
      <c r="I527" s="1121">
        <v>22.279999828338624</v>
      </c>
      <c r="J527" s="1121">
        <v>95.360001373291013</v>
      </c>
      <c r="K527" s="1122">
        <v>77.180000686645513</v>
      </c>
      <c r="L527" s="1120">
        <v>3029.4</v>
      </c>
      <c r="M527" s="1120">
        <v>2088</v>
      </c>
      <c r="N527" s="1123">
        <v>36.860000085830691</v>
      </c>
      <c r="O527" s="1123">
        <v>46.040000343322752</v>
      </c>
      <c r="P527" s="1123">
        <v>52.159999656677243</v>
      </c>
      <c r="Q527" s="1123">
        <v>62.239998626708989</v>
      </c>
      <c r="R527" s="1123">
        <v>69.980000686645511</v>
      </c>
      <c r="S527" s="1123">
        <v>78.8</v>
      </c>
      <c r="T527" s="1123">
        <v>81.5</v>
      </c>
      <c r="U527" s="1123">
        <v>81.139998626708987</v>
      </c>
      <c r="V527" s="1123">
        <v>74.83999862670899</v>
      </c>
      <c r="W527" s="1123">
        <v>62.060001373291016</v>
      </c>
      <c r="X527" s="1123">
        <v>53.419999313354495</v>
      </c>
      <c r="Y527" s="1123">
        <v>42.079999828338622</v>
      </c>
      <c r="Z527" s="1123">
        <v>61.828218944105387</v>
      </c>
      <c r="AA527" s="1123">
        <f t="shared" si="601"/>
        <v>55.480435333817525</v>
      </c>
      <c r="AB527" s="1123">
        <f t="shared" si="602"/>
        <v>55.234203090451558</v>
      </c>
      <c r="AC527" s="1123">
        <f t="shared" si="603"/>
        <v>58.270795158999505</v>
      </c>
      <c r="AD527" s="1123">
        <f t="shared" si="604"/>
        <v>63.798677021494093</v>
      </c>
      <c r="AE527" s="1123">
        <f t="shared" si="605"/>
        <v>70.376921083238003</v>
      </c>
      <c r="AF527" s="1123">
        <f t="shared" si="606"/>
        <v>76.290806655728147</v>
      </c>
      <c r="AG527" s="1123">
        <f t="shared" si="607"/>
        <v>79.998788328759616</v>
      </c>
      <c r="AH527" s="1123">
        <f t="shared" si="608"/>
        <v>80.534323537529531</v>
      </c>
      <c r="AI527" s="1123">
        <f t="shared" si="609"/>
        <v>77.75781677702463</v>
      </c>
      <c r="AJ527" s="1123">
        <f t="shared" si="610"/>
        <v>72.393007321634855</v>
      </c>
      <c r="AK527" s="1123">
        <f t="shared" si="611"/>
        <v>65.838315430123785</v>
      </c>
      <c r="AL527" s="1123">
        <f t="shared" si="612"/>
        <v>59.802322554873406</v>
      </c>
      <c r="AM527" s="1120">
        <f t="shared" si="613"/>
        <v>1</v>
      </c>
      <c r="AN527" s="1120">
        <f t="shared" si="614"/>
        <v>1</v>
      </c>
      <c r="AO527" s="1120">
        <f t="shared" si="615"/>
        <v>1</v>
      </c>
      <c r="AP527" s="1120">
        <f t="shared" si="616"/>
        <v>1</v>
      </c>
      <c r="AQ527" s="1120">
        <f t="shared" si="617"/>
        <v>0</v>
      </c>
      <c r="AR527" s="1120">
        <f t="shared" si="618"/>
        <v>0</v>
      </c>
      <c r="AS527" s="1120">
        <f t="shared" si="619"/>
        <v>0</v>
      </c>
      <c r="AT527" s="1120">
        <f t="shared" si="620"/>
        <v>0</v>
      </c>
      <c r="AU527" s="1120">
        <f t="shared" si="621"/>
        <v>0</v>
      </c>
      <c r="AV527" s="1120">
        <f t="shared" si="622"/>
        <v>1</v>
      </c>
      <c r="AW527" s="1120">
        <f t="shared" si="623"/>
        <v>1</v>
      </c>
      <c r="AX527" s="1120">
        <f t="shared" si="624"/>
        <v>1</v>
      </c>
      <c r="AY527" s="1120">
        <f t="shared" si="625"/>
        <v>0</v>
      </c>
      <c r="AZ527" s="1120">
        <f t="shared" si="626"/>
        <v>0</v>
      </c>
      <c r="BA527" s="1120">
        <f t="shared" si="627"/>
        <v>0</v>
      </c>
      <c r="BB527" s="1120">
        <f t="shared" si="628"/>
        <v>0</v>
      </c>
      <c r="BC527" s="1120">
        <f t="shared" si="629"/>
        <v>1</v>
      </c>
      <c r="BD527" s="1120">
        <f t="shared" si="630"/>
        <v>1</v>
      </c>
      <c r="BE527" s="1120">
        <f t="shared" si="631"/>
        <v>1</v>
      </c>
      <c r="BF527" s="1120">
        <f t="shared" si="632"/>
        <v>1</v>
      </c>
      <c r="BG527" s="1120">
        <f t="shared" si="633"/>
        <v>1</v>
      </c>
      <c r="BH527" s="1120">
        <f t="shared" si="634"/>
        <v>0</v>
      </c>
      <c r="BI527" s="1120">
        <f t="shared" si="635"/>
        <v>0</v>
      </c>
      <c r="BJ527" s="1120">
        <f t="shared" si="636"/>
        <v>0</v>
      </c>
      <c r="BK527" s="1120">
        <f t="shared" si="637"/>
        <v>1</v>
      </c>
      <c r="BL527" s="1120">
        <f t="shared" si="638"/>
        <v>1</v>
      </c>
      <c r="BM527" s="1120">
        <f t="shared" si="639"/>
        <v>1</v>
      </c>
      <c r="BN527" s="1120">
        <f t="shared" si="640"/>
        <v>1</v>
      </c>
      <c r="BO527" s="1120">
        <f t="shared" si="641"/>
        <v>1</v>
      </c>
      <c r="BP527" s="1120">
        <f t="shared" si="642"/>
        <v>0</v>
      </c>
      <c r="BQ527" s="1120">
        <f t="shared" si="643"/>
        <v>0</v>
      </c>
      <c r="BR527" s="1120">
        <f t="shared" si="644"/>
        <v>0</v>
      </c>
      <c r="BS527" s="1120">
        <f t="shared" si="645"/>
        <v>0</v>
      </c>
      <c r="BT527" s="1120">
        <f t="shared" si="646"/>
        <v>1</v>
      </c>
      <c r="BU527" s="1120">
        <f t="shared" si="647"/>
        <v>1</v>
      </c>
      <c r="BV527" s="1120">
        <f t="shared" si="648"/>
        <v>1</v>
      </c>
      <c r="BW527" s="1120">
        <f t="shared" si="649"/>
        <v>0</v>
      </c>
      <c r="BX527" s="1120">
        <f t="shared" si="650"/>
        <v>0</v>
      </c>
      <c r="BY527" s="1120">
        <f t="shared" si="651"/>
        <v>0</v>
      </c>
      <c r="BZ527" s="1120">
        <f t="shared" si="652"/>
        <v>1</v>
      </c>
      <c r="CA527" s="1120">
        <f t="shared" si="653"/>
        <v>1</v>
      </c>
      <c r="CB527" s="1120">
        <f t="shared" si="654"/>
        <v>1</v>
      </c>
      <c r="CC527" s="1120">
        <f t="shared" si="655"/>
        <v>1</v>
      </c>
      <c r="CD527" s="1120">
        <f t="shared" si="656"/>
        <v>1</v>
      </c>
      <c r="CE527" s="1120">
        <f t="shared" si="657"/>
        <v>1</v>
      </c>
      <c r="CF527" s="1120">
        <f t="shared" si="658"/>
        <v>1</v>
      </c>
      <c r="CG527" s="1120">
        <f t="shared" si="659"/>
        <v>0</v>
      </c>
      <c r="CH527" s="1120">
        <f t="shared" si="660"/>
        <v>0</v>
      </c>
      <c r="CI527" s="1120">
        <f t="shared" si="661"/>
        <v>0.85</v>
      </c>
      <c r="CJ527" s="1120">
        <f t="shared" si="662"/>
        <v>0.85</v>
      </c>
      <c r="CK527" s="1120">
        <f t="shared" si="663"/>
        <v>0.85</v>
      </c>
      <c r="CL527" s="1120">
        <f t="shared" si="664"/>
        <v>0.85</v>
      </c>
      <c r="CM527" s="1120">
        <f t="shared" si="665"/>
        <v>0.85</v>
      </c>
      <c r="CN527" s="1120">
        <f t="shared" si="666"/>
        <v>0.7</v>
      </c>
      <c r="CO527" s="1120">
        <f t="shared" si="667"/>
        <v>0.7</v>
      </c>
      <c r="CP527" s="1120">
        <f t="shared" si="668"/>
        <v>0.7</v>
      </c>
      <c r="CQ527" s="1120">
        <f t="shared" si="669"/>
        <v>0.7</v>
      </c>
      <c r="CR527" s="1120">
        <f t="shared" si="670"/>
        <v>0.85</v>
      </c>
      <c r="CS527" s="1120">
        <f t="shared" si="671"/>
        <v>0.85</v>
      </c>
      <c r="CT527" s="1120">
        <f t="shared" si="672"/>
        <v>0.85</v>
      </c>
      <c r="CU527" s="1120">
        <v>1</v>
      </c>
      <c r="CV527" s="1120"/>
      <c r="CW527" s="1120">
        <f t="shared" si="673"/>
        <v>214</v>
      </c>
      <c r="CX527" s="1120">
        <f t="shared" si="674"/>
        <v>151</v>
      </c>
      <c r="CY527" s="1135" t="s">
        <v>4881</v>
      </c>
      <c r="CZ527" s="1124" t="s">
        <v>4882</v>
      </c>
      <c r="DA527" s="1124"/>
      <c r="DB527" s="1124"/>
      <c r="DC527" s="1120" t="s">
        <v>4989</v>
      </c>
      <c r="DD527" s="1120" t="s">
        <v>1176</v>
      </c>
      <c r="DE527" s="1120" t="str">
        <f t="shared" si="600"/>
        <v/>
      </c>
      <c r="DF527" s="1120">
        <v>0</v>
      </c>
      <c r="DG527" s="1125">
        <v>0</v>
      </c>
    </row>
    <row r="528" spans="1:111">
      <c r="A528" s="1120" t="s">
        <v>1053</v>
      </c>
      <c r="B528" s="1125" t="s">
        <v>3038</v>
      </c>
      <c r="C528" s="1125" t="s">
        <v>3039</v>
      </c>
      <c r="D528" s="1125" t="s">
        <v>1176</v>
      </c>
      <c r="E528" s="1125">
        <v>338</v>
      </c>
      <c r="F528" s="1125">
        <v>-92.15</v>
      </c>
      <c r="G528" s="1125">
        <v>34.92</v>
      </c>
      <c r="H528" s="1125">
        <v>-6</v>
      </c>
      <c r="I528" s="1126">
        <v>20.479999828338624</v>
      </c>
      <c r="J528" s="1126">
        <v>96.260001373291018</v>
      </c>
      <c r="K528" s="1127">
        <v>77.539998626708979</v>
      </c>
      <c r="L528" s="1125">
        <v>3335.4</v>
      </c>
      <c r="M528" s="1125">
        <v>2064.6</v>
      </c>
      <c r="N528" s="1128">
        <v>40.640000343322754</v>
      </c>
      <c r="O528" s="1128">
        <v>46.4</v>
      </c>
      <c r="P528" s="1128">
        <v>47.3</v>
      </c>
      <c r="Q528" s="1128">
        <v>59.180000686645506</v>
      </c>
      <c r="R528" s="1128">
        <v>73.760001373291018</v>
      </c>
      <c r="S528" s="1128">
        <v>78.8</v>
      </c>
      <c r="T528" s="1128">
        <v>81.860001373291013</v>
      </c>
      <c r="U528" s="1128">
        <v>76.819999313354487</v>
      </c>
      <c r="V528" s="1128">
        <v>70.880000686645502</v>
      </c>
      <c r="W528" s="1128">
        <v>64.939998626708984</v>
      </c>
      <c r="X528" s="1128">
        <v>48.380000686645509</v>
      </c>
      <c r="Y528" s="1128">
        <v>41</v>
      </c>
      <c r="Z528" s="1128">
        <v>60.910466010211266</v>
      </c>
      <c r="AA528" s="1128">
        <f t="shared" si="601"/>
        <v>55.744977542263811</v>
      </c>
      <c r="AB528" s="1128">
        <f t="shared" si="602"/>
        <v>55.426737753453338</v>
      </c>
      <c r="AC528" s="1128">
        <f t="shared" si="603"/>
        <v>58.101908704376079</v>
      </c>
      <c r="AD528" s="1128">
        <f t="shared" si="604"/>
        <v>63.07316586104178</v>
      </c>
      <c r="AE528" s="1128">
        <f t="shared" si="605"/>
        <v>69.044674436173793</v>
      </c>
      <c r="AF528" s="1128">
        <f t="shared" si="606"/>
        <v>74.459868695931291</v>
      </c>
      <c r="AG528" s="1128">
        <f t="shared" si="607"/>
        <v>77.907194805838884</v>
      </c>
      <c r="AH528" s="1128">
        <f t="shared" si="608"/>
        <v>78.488054090445758</v>
      </c>
      <c r="AI528" s="1128">
        <f t="shared" si="609"/>
        <v>76.051036625906576</v>
      </c>
      <c r="AJ528" s="1128">
        <f t="shared" si="610"/>
        <v>71.231388569929422</v>
      </c>
      <c r="AK528" s="1128">
        <f t="shared" si="611"/>
        <v>65.285425461329496</v>
      </c>
      <c r="AL528" s="1128">
        <f t="shared" si="612"/>
        <v>59.7630542144285</v>
      </c>
      <c r="AM528" s="1125">
        <f t="shared" si="613"/>
        <v>1</v>
      </c>
      <c r="AN528" s="1125">
        <f t="shared" si="614"/>
        <v>1</v>
      </c>
      <c r="AO528" s="1125">
        <f t="shared" si="615"/>
        <v>1</v>
      </c>
      <c r="AP528" s="1125">
        <f t="shared" si="616"/>
        <v>1</v>
      </c>
      <c r="AQ528" s="1125">
        <f t="shared" si="617"/>
        <v>0</v>
      </c>
      <c r="AR528" s="1125">
        <f t="shared" si="618"/>
        <v>0</v>
      </c>
      <c r="AS528" s="1125">
        <f t="shared" si="619"/>
        <v>0</v>
      </c>
      <c r="AT528" s="1125">
        <f t="shared" si="620"/>
        <v>0</v>
      </c>
      <c r="AU528" s="1125">
        <f t="shared" si="621"/>
        <v>0</v>
      </c>
      <c r="AV528" s="1125">
        <f t="shared" si="622"/>
        <v>1</v>
      </c>
      <c r="AW528" s="1125">
        <f t="shared" si="623"/>
        <v>1</v>
      </c>
      <c r="AX528" s="1125">
        <f t="shared" si="624"/>
        <v>1</v>
      </c>
      <c r="AY528" s="1125">
        <f t="shared" si="625"/>
        <v>0</v>
      </c>
      <c r="AZ528" s="1125">
        <f t="shared" si="626"/>
        <v>0</v>
      </c>
      <c r="BA528" s="1125">
        <f t="shared" si="627"/>
        <v>0</v>
      </c>
      <c r="BB528" s="1125">
        <f t="shared" si="628"/>
        <v>0</v>
      </c>
      <c r="BC528" s="1125">
        <f t="shared" si="629"/>
        <v>1</v>
      </c>
      <c r="BD528" s="1125">
        <f t="shared" si="630"/>
        <v>1</v>
      </c>
      <c r="BE528" s="1125">
        <f t="shared" si="631"/>
        <v>1</v>
      </c>
      <c r="BF528" s="1125">
        <f t="shared" si="632"/>
        <v>1</v>
      </c>
      <c r="BG528" s="1125">
        <f t="shared" si="633"/>
        <v>1</v>
      </c>
      <c r="BH528" s="1125">
        <f t="shared" si="634"/>
        <v>0</v>
      </c>
      <c r="BI528" s="1125">
        <f t="shared" si="635"/>
        <v>0</v>
      </c>
      <c r="BJ528" s="1125">
        <f t="shared" si="636"/>
        <v>0</v>
      </c>
      <c r="BK528" s="1125">
        <f t="shared" si="637"/>
        <v>1</v>
      </c>
      <c r="BL528" s="1125">
        <f t="shared" si="638"/>
        <v>1</v>
      </c>
      <c r="BM528" s="1125">
        <f t="shared" si="639"/>
        <v>1</v>
      </c>
      <c r="BN528" s="1125">
        <f t="shared" si="640"/>
        <v>1</v>
      </c>
      <c r="BO528" s="1125">
        <f t="shared" si="641"/>
        <v>1</v>
      </c>
      <c r="BP528" s="1125">
        <f t="shared" si="642"/>
        <v>0</v>
      </c>
      <c r="BQ528" s="1125">
        <f t="shared" si="643"/>
        <v>0</v>
      </c>
      <c r="BR528" s="1125">
        <f t="shared" si="644"/>
        <v>0</v>
      </c>
      <c r="BS528" s="1125">
        <f t="shared" si="645"/>
        <v>0</v>
      </c>
      <c r="BT528" s="1125">
        <f t="shared" si="646"/>
        <v>1</v>
      </c>
      <c r="BU528" s="1125">
        <f t="shared" si="647"/>
        <v>1</v>
      </c>
      <c r="BV528" s="1125">
        <f t="shared" si="648"/>
        <v>1</v>
      </c>
      <c r="BW528" s="1125">
        <f t="shared" si="649"/>
        <v>0</v>
      </c>
      <c r="BX528" s="1125">
        <f t="shared" si="650"/>
        <v>0</v>
      </c>
      <c r="BY528" s="1125">
        <f t="shared" si="651"/>
        <v>0</v>
      </c>
      <c r="BZ528" s="1125">
        <f t="shared" si="652"/>
        <v>1</v>
      </c>
      <c r="CA528" s="1125">
        <f t="shared" si="653"/>
        <v>1</v>
      </c>
      <c r="CB528" s="1125">
        <f t="shared" si="654"/>
        <v>1</v>
      </c>
      <c r="CC528" s="1125">
        <f t="shared" si="655"/>
        <v>1</v>
      </c>
      <c r="CD528" s="1125">
        <f t="shared" si="656"/>
        <v>1</v>
      </c>
      <c r="CE528" s="1125">
        <f t="shared" si="657"/>
        <v>1</v>
      </c>
      <c r="CF528" s="1125">
        <f t="shared" si="658"/>
        <v>1</v>
      </c>
      <c r="CG528" s="1125">
        <f t="shared" si="659"/>
        <v>0</v>
      </c>
      <c r="CH528" s="1125">
        <f t="shared" si="660"/>
        <v>0</v>
      </c>
      <c r="CI528" s="1125">
        <f t="shared" si="661"/>
        <v>0.85</v>
      </c>
      <c r="CJ528" s="1125">
        <f t="shared" si="662"/>
        <v>0.85</v>
      </c>
      <c r="CK528" s="1125">
        <f t="shared" si="663"/>
        <v>0.85</v>
      </c>
      <c r="CL528" s="1125">
        <f t="shared" si="664"/>
        <v>0.85</v>
      </c>
      <c r="CM528" s="1125">
        <f t="shared" si="665"/>
        <v>0.85</v>
      </c>
      <c r="CN528" s="1125">
        <f t="shared" si="666"/>
        <v>0.7</v>
      </c>
      <c r="CO528" s="1125">
        <f t="shared" si="667"/>
        <v>0.7</v>
      </c>
      <c r="CP528" s="1125">
        <f t="shared" si="668"/>
        <v>0.7</v>
      </c>
      <c r="CQ528" s="1125">
        <f t="shared" si="669"/>
        <v>0.7</v>
      </c>
      <c r="CR528" s="1125">
        <f t="shared" si="670"/>
        <v>0.85</v>
      </c>
      <c r="CS528" s="1125">
        <f t="shared" si="671"/>
        <v>0.85</v>
      </c>
      <c r="CT528" s="1125">
        <f t="shared" si="672"/>
        <v>0.85</v>
      </c>
      <c r="CU528" s="1125">
        <v>1</v>
      </c>
      <c r="CV528" s="1125"/>
      <c r="CW528" s="1125">
        <f t="shared" si="673"/>
        <v>214</v>
      </c>
      <c r="CX528" s="1125">
        <f t="shared" si="674"/>
        <v>151</v>
      </c>
      <c r="CY528" s="1136" t="s">
        <v>4881</v>
      </c>
      <c r="CZ528" s="1129" t="s">
        <v>4882</v>
      </c>
      <c r="DA528" s="1129"/>
      <c r="DB528" s="1129"/>
      <c r="DC528" s="1125" t="s">
        <v>4990</v>
      </c>
      <c r="DD528" s="1125" t="s">
        <v>1176</v>
      </c>
      <c r="DE528" s="1125" t="str">
        <f t="shared" si="600"/>
        <v/>
      </c>
      <c r="DF528" s="1125">
        <v>0</v>
      </c>
      <c r="DG528" s="1120">
        <v>0</v>
      </c>
    </row>
    <row r="529" spans="1:111">
      <c r="A529" s="1125" t="s">
        <v>3801</v>
      </c>
      <c r="B529" s="1125" t="s">
        <v>3128</v>
      </c>
      <c r="C529" s="1125" t="s">
        <v>3129</v>
      </c>
      <c r="D529" s="1125" t="s">
        <v>954</v>
      </c>
      <c r="E529" s="1125">
        <v>397</v>
      </c>
      <c r="F529" s="1125">
        <v>-121.82</v>
      </c>
      <c r="G529" s="1125">
        <v>37.700000000000003</v>
      </c>
      <c r="H529" s="1125">
        <v>-8</v>
      </c>
      <c r="I529" s="1126">
        <v>32.9</v>
      </c>
      <c r="J529" s="1126">
        <v>94.820002746582034</v>
      </c>
      <c r="K529" s="1127">
        <v>67.280000686645508</v>
      </c>
      <c r="L529" s="1125">
        <v>3051</v>
      </c>
      <c r="M529" s="1125">
        <v>522</v>
      </c>
      <c r="N529" s="1128">
        <v>43.7</v>
      </c>
      <c r="O529" s="1128">
        <v>48.019999313354489</v>
      </c>
      <c r="P529" s="1128">
        <v>54.680000686645506</v>
      </c>
      <c r="Q529" s="1128">
        <v>54.5</v>
      </c>
      <c r="R529" s="1128">
        <v>60.619999313354491</v>
      </c>
      <c r="S529" s="1128">
        <v>65.66000137329101</v>
      </c>
      <c r="T529" s="1128">
        <v>68</v>
      </c>
      <c r="U529" s="1128">
        <v>69.980000686645511</v>
      </c>
      <c r="V529" s="1128">
        <v>66.380000686645502</v>
      </c>
      <c r="W529" s="1128">
        <v>58.640000343322754</v>
      </c>
      <c r="X529" s="1128">
        <v>51.080000686645505</v>
      </c>
      <c r="Y529" s="1128">
        <v>47.659999656677243</v>
      </c>
      <c r="Z529" s="1128">
        <v>57.465315299883279</v>
      </c>
      <c r="AA529" s="1128">
        <f t="shared" si="601"/>
        <v>56.916894341507501</v>
      </c>
      <c r="AB529" s="1128">
        <f t="shared" si="602"/>
        <v>56.514388314504423</v>
      </c>
      <c r="AC529" s="1128">
        <f t="shared" si="603"/>
        <v>57.923748523267591</v>
      </c>
      <c r="AD529" s="1128">
        <f t="shared" si="604"/>
        <v>60.777603510484646</v>
      </c>
      <c r="AE529" s="1128">
        <f t="shared" si="605"/>
        <v>64.332051994500873</v>
      </c>
      <c r="AF529" s="1128">
        <f t="shared" si="606"/>
        <v>67.660572202248247</v>
      </c>
      <c r="AG529" s="1128">
        <f t="shared" si="607"/>
        <v>69.895534047528358</v>
      </c>
      <c r="AH529" s="1128">
        <f t="shared" si="608"/>
        <v>70.454360283564384</v>
      </c>
      <c r="AI529" s="1128">
        <f t="shared" si="609"/>
        <v>69.191384240160531</v>
      </c>
      <c r="AJ529" s="1128">
        <f t="shared" si="610"/>
        <v>66.43582008608</v>
      </c>
      <c r="AK529" s="1128">
        <f t="shared" si="611"/>
        <v>62.905948082612888</v>
      </c>
      <c r="AL529" s="1128">
        <f t="shared" si="612"/>
        <v>59.52188376443705</v>
      </c>
      <c r="AM529" s="1125">
        <f t="shared" si="613"/>
        <v>1</v>
      </c>
      <c r="AN529" s="1125">
        <f t="shared" si="614"/>
        <v>1</v>
      </c>
      <c r="AO529" s="1125">
        <f t="shared" si="615"/>
        <v>1</v>
      </c>
      <c r="AP529" s="1125">
        <f t="shared" si="616"/>
        <v>1</v>
      </c>
      <c r="AQ529" s="1125">
        <f t="shared" si="617"/>
        <v>1</v>
      </c>
      <c r="AR529" s="1125">
        <f t="shared" si="618"/>
        <v>1</v>
      </c>
      <c r="AS529" s="1125">
        <f t="shared" si="619"/>
        <v>0</v>
      </c>
      <c r="AT529" s="1125">
        <f t="shared" si="620"/>
        <v>0</v>
      </c>
      <c r="AU529" s="1125">
        <f t="shared" si="621"/>
        <v>0</v>
      </c>
      <c r="AV529" s="1125">
        <f t="shared" si="622"/>
        <v>1</v>
      </c>
      <c r="AW529" s="1125">
        <f t="shared" si="623"/>
        <v>1</v>
      </c>
      <c r="AX529" s="1125">
        <f t="shared" si="624"/>
        <v>1</v>
      </c>
      <c r="AY529" s="1125">
        <f t="shared" si="625"/>
        <v>0</v>
      </c>
      <c r="AZ529" s="1125">
        <f t="shared" si="626"/>
        <v>0</v>
      </c>
      <c r="BA529" s="1125">
        <f t="shared" si="627"/>
        <v>0</v>
      </c>
      <c r="BB529" s="1125">
        <f t="shared" si="628"/>
        <v>0</v>
      </c>
      <c r="BC529" s="1125">
        <f t="shared" si="629"/>
        <v>0</v>
      </c>
      <c r="BD529" s="1125">
        <f t="shared" si="630"/>
        <v>0</v>
      </c>
      <c r="BE529" s="1125">
        <f t="shared" si="631"/>
        <v>1</v>
      </c>
      <c r="BF529" s="1125">
        <f t="shared" si="632"/>
        <v>1</v>
      </c>
      <c r="BG529" s="1125">
        <f t="shared" si="633"/>
        <v>1</v>
      </c>
      <c r="BH529" s="1125">
        <f t="shared" si="634"/>
        <v>0</v>
      </c>
      <c r="BI529" s="1125">
        <f t="shared" si="635"/>
        <v>0</v>
      </c>
      <c r="BJ529" s="1125">
        <f t="shared" si="636"/>
        <v>0</v>
      </c>
      <c r="BK529" s="1125">
        <f t="shared" si="637"/>
        <v>1</v>
      </c>
      <c r="BL529" s="1125">
        <f t="shared" si="638"/>
        <v>1</v>
      </c>
      <c r="BM529" s="1125">
        <f t="shared" si="639"/>
        <v>1</v>
      </c>
      <c r="BN529" s="1125">
        <f t="shared" si="640"/>
        <v>1</v>
      </c>
      <c r="BO529" s="1125">
        <f t="shared" si="641"/>
        <v>1</v>
      </c>
      <c r="BP529" s="1125">
        <f t="shared" si="642"/>
        <v>1</v>
      </c>
      <c r="BQ529" s="1125">
        <f t="shared" si="643"/>
        <v>1</v>
      </c>
      <c r="BR529" s="1125">
        <f t="shared" si="644"/>
        <v>0</v>
      </c>
      <c r="BS529" s="1125">
        <f t="shared" si="645"/>
        <v>0</v>
      </c>
      <c r="BT529" s="1125">
        <f t="shared" si="646"/>
        <v>1</v>
      </c>
      <c r="BU529" s="1125">
        <f t="shared" si="647"/>
        <v>1</v>
      </c>
      <c r="BV529" s="1125">
        <f t="shared" si="648"/>
        <v>1</v>
      </c>
      <c r="BW529" s="1125">
        <f t="shared" si="649"/>
        <v>0</v>
      </c>
      <c r="BX529" s="1125">
        <f t="shared" si="650"/>
        <v>0</v>
      </c>
      <c r="BY529" s="1125">
        <f t="shared" si="651"/>
        <v>0</v>
      </c>
      <c r="BZ529" s="1125">
        <f t="shared" si="652"/>
        <v>0</v>
      </c>
      <c r="CA529" s="1125">
        <f t="shared" si="653"/>
        <v>0</v>
      </c>
      <c r="CB529" s="1125">
        <f t="shared" si="654"/>
        <v>1</v>
      </c>
      <c r="CC529" s="1125">
        <f t="shared" si="655"/>
        <v>1</v>
      </c>
      <c r="CD529" s="1125">
        <f t="shared" si="656"/>
        <v>1</v>
      </c>
      <c r="CE529" s="1125">
        <f t="shared" si="657"/>
        <v>1</v>
      </c>
      <c r="CF529" s="1125">
        <f t="shared" si="658"/>
        <v>1</v>
      </c>
      <c r="CG529" s="1125">
        <f t="shared" si="659"/>
        <v>0</v>
      </c>
      <c r="CH529" s="1125">
        <f t="shared" si="660"/>
        <v>0</v>
      </c>
      <c r="CI529" s="1125">
        <f t="shared" si="661"/>
        <v>0.85</v>
      </c>
      <c r="CJ529" s="1125">
        <f t="shared" si="662"/>
        <v>0.85</v>
      </c>
      <c r="CK529" s="1125">
        <f t="shared" si="663"/>
        <v>0.85</v>
      </c>
      <c r="CL529" s="1125">
        <f t="shared" si="664"/>
        <v>0.85</v>
      </c>
      <c r="CM529" s="1125">
        <f t="shared" si="665"/>
        <v>0.85</v>
      </c>
      <c r="CN529" s="1125">
        <f t="shared" si="666"/>
        <v>0.85</v>
      </c>
      <c r="CO529" s="1125">
        <f t="shared" si="667"/>
        <v>0.85</v>
      </c>
      <c r="CP529" s="1125">
        <f t="shared" si="668"/>
        <v>0.7</v>
      </c>
      <c r="CQ529" s="1125">
        <f t="shared" si="669"/>
        <v>0.7</v>
      </c>
      <c r="CR529" s="1125">
        <f t="shared" si="670"/>
        <v>0.85</v>
      </c>
      <c r="CS529" s="1125">
        <f t="shared" si="671"/>
        <v>0.85</v>
      </c>
      <c r="CT529" s="1125">
        <f t="shared" si="672"/>
        <v>0.85</v>
      </c>
      <c r="CU529" s="1125">
        <v>1</v>
      </c>
      <c r="CV529" s="1125"/>
      <c r="CW529" s="1125">
        <f t="shared" si="673"/>
        <v>153</v>
      </c>
      <c r="CX529" s="1125">
        <f t="shared" si="674"/>
        <v>212</v>
      </c>
      <c r="CY529" s="1135" t="s">
        <v>4893</v>
      </c>
      <c r="CZ529" s="1124" t="s">
        <v>4895</v>
      </c>
      <c r="DA529" s="1124"/>
      <c r="DB529" s="1124"/>
      <c r="DC529" s="1120" t="s">
        <v>5031</v>
      </c>
      <c r="DD529" s="1120" t="s">
        <v>954</v>
      </c>
      <c r="DE529" s="1120" t="str">
        <f t="shared" si="600"/>
        <v/>
      </c>
      <c r="DF529" s="1125">
        <v>0</v>
      </c>
      <c r="DG529" s="1125">
        <v>0</v>
      </c>
    </row>
    <row r="530" spans="1:111">
      <c r="A530" s="1120" t="s">
        <v>5876</v>
      </c>
      <c r="B530" s="1120" t="s">
        <v>3918</v>
      </c>
      <c r="C530" s="1120" t="s">
        <v>3919</v>
      </c>
      <c r="D530" s="1120" t="s">
        <v>1108</v>
      </c>
      <c r="E530" s="1120">
        <v>4651</v>
      </c>
      <c r="F530" s="1120">
        <v>-110.45</v>
      </c>
      <c r="G530" s="1120">
        <v>45.7</v>
      </c>
      <c r="H530" s="1120">
        <v>-7</v>
      </c>
      <c r="I530" s="1121">
        <v>-12.100000000000001</v>
      </c>
      <c r="J530" s="1121">
        <v>95.179997253417966</v>
      </c>
      <c r="K530" s="1122">
        <v>57.2</v>
      </c>
      <c r="L530" s="1120">
        <v>6847.2</v>
      </c>
      <c r="M530" s="1120">
        <v>462.6</v>
      </c>
      <c r="N530" s="1123">
        <v>26.420000171661378</v>
      </c>
      <c r="O530" s="1123">
        <v>29.3</v>
      </c>
      <c r="P530" s="1123">
        <v>41.359999656677246</v>
      </c>
      <c r="Q530" s="1123">
        <v>44.059999656677249</v>
      </c>
      <c r="R530" s="1123">
        <v>50.9</v>
      </c>
      <c r="S530" s="1123">
        <v>58.640000343322754</v>
      </c>
      <c r="T530" s="1123">
        <v>69.260001373291018</v>
      </c>
      <c r="U530" s="1123">
        <v>70.519999313354489</v>
      </c>
      <c r="V530" s="1123">
        <v>57.919999313354495</v>
      </c>
      <c r="W530" s="1123">
        <v>45.140000343322754</v>
      </c>
      <c r="X530" s="1123">
        <v>37.039999914169314</v>
      </c>
      <c r="Y530" s="1123">
        <v>31.1</v>
      </c>
      <c r="Z530" s="1123">
        <v>46.920273982008844</v>
      </c>
      <c r="AA530" s="1123">
        <f t="shared" si="601"/>
        <v>44.862248659489673</v>
      </c>
      <c r="AB530" s="1123">
        <f t="shared" si="602"/>
        <v>43.462414351920579</v>
      </c>
      <c r="AC530" s="1123">
        <f t="shared" si="603"/>
        <v>44.527916906962716</v>
      </c>
      <c r="AD530" s="1123">
        <f t="shared" si="604"/>
        <v>47.781016663752936</v>
      </c>
      <c r="AE530" s="1123">
        <f t="shared" si="605"/>
        <v>52.37374303889915</v>
      </c>
      <c r="AF530" s="1123">
        <f t="shared" si="606"/>
        <v>57.108931126663677</v>
      </c>
      <c r="AG530" s="1123">
        <f t="shared" si="607"/>
        <v>60.752281180513435</v>
      </c>
      <c r="AH530" s="1123">
        <f t="shared" si="608"/>
        <v>62.354097863188642</v>
      </c>
      <c r="AI530" s="1123">
        <f t="shared" si="609"/>
        <v>61.496842971607727</v>
      </c>
      <c r="AJ530" s="1123">
        <f t="shared" si="610"/>
        <v>58.403973203959005</v>
      </c>
      <c r="AK530" s="1123">
        <f t="shared" si="611"/>
        <v>53.881692727745985</v>
      </c>
      <c r="AL530" s="1123">
        <f t="shared" si="612"/>
        <v>49.108803639545215</v>
      </c>
      <c r="AM530" s="1120">
        <f t="shared" si="613"/>
        <v>1</v>
      </c>
      <c r="AN530" s="1120">
        <f t="shared" si="614"/>
        <v>1</v>
      </c>
      <c r="AO530" s="1120">
        <f t="shared" si="615"/>
        <v>1</v>
      </c>
      <c r="AP530" s="1120">
        <f t="shared" si="616"/>
        <v>1</v>
      </c>
      <c r="AQ530" s="1120">
        <f t="shared" si="617"/>
        <v>1</v>
      </c>
      <c r="AR530" s="1120">
        <f t="shared" si="618"/>
        <v>1</v>
      </c>
      <c r="AS530" s="1120">
        <f t="shared" si="619"/>
        <v>0</v>
      </c>
      <c r="AT530" s="1120">
        <f t="shared" si="620"/>
        <v>0</v>
      </c>
      <c r="AU530" s="1120">
        <f t="shared" si="621"/>
        <v>1</v>
      </c>
      <c r="AV530" s="1120">
        <f t="shared" si="622"/>
        <v>1</v>
      </c>
      <c r="AW530" s="1120">
        <f t="shared" si="623"/>
        <v>1</v>
      </c>
      <c r="AX530" s="1120">
        <f t="shared" si="624"/>
        <v>1</v>
      </c>
      <c r="AY530" s="1120">
        <f t="shared" si="625"/>
        <v>0</v>
      </c>
      <c r="AZ530" s="1120">
        <f t="shared" si="626"/>
        <v>0</v>
      </c>
      <c r="BA530" s="1120">
        <f t="shared" si="627"/>
        <v>0</v>
      </c>
      <c r="BB530" s="1120">
        <f t="shared" si="628"/>
        <v>0</v>
      </c>
      <c r="BC530" s="1120">
        <f t="shared" si="629"/>
        <v>0</v>
      </c>
      <c r="BD530" s="1120">
        <f t="shared" si="630"/>
        <v>0</v>
      </c>
      <c r="BE530" s="1120">
        <f t="shared" si="631"/>
        <v>1</v>
      </c>
      <c r="BF530" s="1120">
        <f t="shared" si="632"/>
        <v>1</v>
      </c>
      <c r="BG530" s="1120">
        <f t="shared" si="633"/>
        <v>0</v>
      </c>
      <c r="BH530" s="1120">
        <f t="shared" si="634"/>
        <v>0</v>
      </c>
      <c r="BI530" s="1120">
        <f t="shared" si="635"/>
        <v>0</v>
      </c>
      <c r="BJ530" s="1120">
        <f t="shared" si="636"/>
        <v>0</v>
      </c>
      <c r="BK530" s="1120">
        <f t="shared" si="637"/>
        <v>1</v>
      </c>
      <c r="BL530" s="1120">
        <f t="shared" si="638"/>
        <v>1</v>
      </c>
      <c r="BM530" s="1120">
        <f t="shared" si="639"/>
        <v>1</v>
      </c>
      <c r="BN530" s="1120">
        <f t="shared" si="640"/>
        <v>1</v>
      </c>
      <c r="BO530" s="1120">
        <f t="shared" si="641"/>
        <v>1</v>
      </c>
      <c r="BP530" s="1120">
        <f t="shared" si="642"/>
        <v>1</v>
      </c>
      <c r="BQ530" s="1120">
        <f t="shared" si="643"/>
        <v>1</v>
      </c>
      <c r="BR530" s="1120">
        <f t="shared" si="644"/>
        <v>0</v>
      </c>
      <c r="BS530" s="1120">
        <f t="shared" si="645"/>
        <v>1</v>
      </c>
      <c r="BT530" s="1120">
        <f t="shared" si="646"/>
        <v>1</v>
      </c>
      <c r="BU530" s="1120">
        <f t="shared" si="647"/>
        <v>1</v>
      </c>
      <c r="BV530" s="1120">
        <f t="shared" si="648"/>
        <v>1</v>
      </c>
      <c r="BW530" s="1120">
        <f t="shared" si="649"/>
        <v>0</v>
      </c>
      <c r="BX530" s="1120">
        <f t="shared" si="650"/>
        <v>0</v>
      </c>
      <c r="BY530" s="1120">
        <f t="shared" si="651"/>
        <v>0</v>
      </c>
      <c r="BZ530" s="1120">
        <f t="shared" si="652"/>
        <v>0</v>
      </c>
      <c r="CA530" s="1120">
        <f t="shared" si="653"/>
        <v>0</v>
      </c>
      <c r="CB530" s="1120">
        <f t="shared" si="654"/>
        <v>1</v>
      </c>
      <c r="CC530" s="1120">
        <f t="shared" si="655"/>
        <v>1</v>
      </c>
      <c r="CD530" s="1120">
        <f t="shared" si="656"/>
        <v>1</v>
      </c>
      <c r="CE530" s="1120">
        <f t="shared" si="657"/>
        <v>1</v>
      </c>
      <c r="CF530" s="1120">
        <f t="shared" si="658"/>
        <v>0</v>
      </c>
      <c r="CG530" s="1120">
        <f t="shared" si="659"/>
        <v>0</v>
      </c>
      <c r="CH530" s="1120">
        <f t="shared" si="660"/>
        <v>0</v>
      </c>
      <c r="CI530" s="1120">
        <f t="shared" si="661"/>
        <v>0.85</v>
      </c>
      <c r="CJ530" s="1120">
        <f t="shared" si="662"/>
        <v>0.85</v>
      </c>
      <c r="CK530" s="1120">
        <f t="shared" si="663"/>
        <v>0.85</v>
      </c>
      <c r="CL530" s="1120">
        <f t="shared" si="664"/>
        <v>0.85</v>
      </c>
      <c r="CM530" s="1120">
        <f t="shared" si="665"/>
        <v>0.85</v>
      </c>
      <c r="CN530" s="1120">
        <f t="shared" si="666"/>
        <v>0.85</v>
      </c>
      <c r="CO530" s="1120">
        <f t="shared" si="667"/>
        <v>0.85</v>
      </c>
      <c r="CP530" s="1120">
        <f t="shared" si="668"/>
        <v>0.7</v>
      </c>
      <c r="CQ530" s="1120">
        <f t="shared" si="669"/>
        <v>0.85</v>
      </c>
      <c r="CR530" s="1120">
        <f t="shared" si="670"/>
        <v>0.85</v>
      </c>
      <c r="CS530" s="1120">
        <f t="shared" si="671"/>
        <v>0.85</v>
      </c>
      <c r="CT530" s="1120">
        <f t="shared" si="672"/>
        <v>0.85</v>
      </c>
      <c r="CU530" s="1120">
        <v>1</v>
      </c>
      <c r="CV530" s="1120"/>
      <c r="CW530" s="1120">
        <f t="shared" si="673"/>
        <v>122</v>
      </c>
      <c r="CX530" s="1120">
        <f t="shared" si="674"/>
        <v>243</v>
      </c>
      <c r="CY530" s="1135" t="s">
        <v>4889</v>
      </c>
      <c r="CZ530" s="1124" t="s">
        <v>4896</v>
      </c>
      <c r="DA530" s="1124"/>
      <c r="DB530" s="1124"/>
      <c r="DC530" s="1120" t="s">
        <v>5381</v>
      </c>
      <c r="DD530" s="1120" t="s">
        <v>1108</v>
      </c>
      <c r="DE530" s="1120" t="str">
        <f t="shared" si="600"/>
        <v/>
      </c>
      <c r="DF530" s="1133">
        <v>0</v>
      </c>
      <c r="DG530" s="1120">
        <v>0</v>
      </c>
    </row>
    <row r="531" spans="1:111">
      <c r="A531" s="1125" t="s">
        <v>3803</v>
      </c>
      <c r="B531" s="1120" t="s">
        <v>5816</v>
      </c>
      <c r="C531" s="1120" t="s">
        <v>5817</v>
      </c>
      <c r="D531" s="1120" t="s">
        <v>954</v>
      </c>
      <c r="E531" s="1120">
        <v>89</v>
      </c>
      <c r="F531" s="1120">
        <v>-120.47</v>
      </c>
      <c r="G531" s="1120">
        <v>34.67</v>
      </c>
      <c r="H531" s="1120">
        <v>-8</v>
      </c>
      <c r="I531" s="1121">
        <v>35.23999991416931</v>
      </c>
      <c r="J531" s="1121">
        <v>77.180000686645513</v>
      </c>
      <c r="K531" s="1122">
        <v>61.339998626708983</v>
      </c>
      <c r="L531" s="1120">
        <v>3328.2000000000003</v>
      </c>
      <c r="M531" s="1120">
        <v>10.8</v>
      </c>
      <c r="N531" s="1123">
        <v>49.640000343322754</v>
      </c>
      <c r="O531" s="1123">
        <v>53.6</v>
      </c>
      <c r="P531" s="1123">
        <v>51.8</v>
      </c>
      <c r="Q531" s="1123">
        <v>54.5</v>
      </c>
      <c r="R531" s="1123">
        <v>54.5</v>
      </c>
      <c r="S531" s="1123">
        <v>55.040000343322752</v>
      </c>
      <c r="T531" s="1123">
        <v>60.259999656677245</v>
      </c>
      <c r="U531" s="1123">
        <v>60.980000686645511</v>
      </c>
      <c r="V531" s="1123">
        <v>60.259999656677245</v>
      </c>
      <c r="W531" s="1123">
        <v>56.3</v>
      </c>
      <c r="X531" s="1123">
        <v>55.759999656677245</v>
      </c>
      <c r="Y531" s="1123">
        <v>50.9</v>
      </c>
      <c r="Z531" s="1123">
        <v>55.296931536948847</v>
      </c>
      <c r="AA531" s="1123">
        <f t="shared" si="601"/>
        <v>58.627029296218645</v>
      </c>
      <c r="AB531" s="1123">
        <f t="shared" si="602"/>
        <v>58.405455702672654</v>
      </c>
      <c r="AC531" s="1123">
        <f t="shared" si="603"/>
        <v>58.93758984432214</v>
      </c>
      <c r="AD531" s="1123">
        <f t="shared" si="604"/>
        <v>60.084722756710832</v>
      </c>
      <c r="AE531" s="1123">
        <f t="shared" si="605"/>
        <v>61.547836568371324</v>
      </c>
      <c r="AF531" s="1123">
        <f t="shared" si="606"/>
        <v>62.945548117027968</v>
      </c>
      <c r="AG531" s="1123">
        <f t="shared" si="607"/>
        <v>63.913522348136468</v>
      </c>
      <c r="AH531" s="1123">
        <f t="shared" si="608"/>
        <v>64.199441861423949</v>
      </c>
      <c r="AI531" s="1123">
        <f t="shared" si="609"/>
        <v>63.728777329598955</v>
      </c>
      <c r="AJ531" s="1123">
        <f t="shared" si="610"/>
        <v>62.624214716041664</v>
      </c>
      <c r="AK531" s="1123">
        <f t="shared" si="611"/>
        <v>61.173675287800897</v>
      </c>
      <c r="AL531" s="1123">
        <f t="shared" si="612"/>
        <v>59.75526450033685</v>
      </c>
      <c r="AM531" s="1120">
        <f t="shared" si="613"/>
        <v>1</v>
      </c>
      <c r="AN531" s="1120">
        <f t="shared" si="614"/>
        <v>1</v>
      </c>
      <c r="AO531" s="1120">
        <f t="shared" si="615"/>
        <v>1</v>
      </c>
      <c r="AP531" s="1120">
        <f t="shared" si="616"/>
        <v>1</v>
      </c>
      <c r="AQ531" s="1120">
        <f t="shared" si="617"/>
        <v>1</v>
      </c>
      <c r="AR531" s="1120">
        <f t="shared" si="618"/>
        <v>1</v>
      </c>
      <c r="AS531" s="1120">
        <f t="shared" si="619"/>
        <v>1</v>
      </c>
      <c r="AT531" s="1120">
        <f t="shared" si="620"/>
        <v>1</v>
      </c>
      <c r="AU531" s="1120">
        <f t="shared" si="621"/>
        <v>1</v>
      </c>
      <c r="AV531" s="1120">
        <f t="shared" si="622"/>
        <v>1</v>
      </c>
      <c r="AW531" s="1120">
        <f t="shared" si="623"/>
        <v>1</v>
      </c>
      <c r="AX531" s="1120">
        <f t="shared" si="624"/>
        <v>1</v>
      </c>
      <c r="AY531" s="1120">
        <f t="shared" si="625"/>
        <v>0</v>
      </c>
      <c r="AZ531" s="1120">
        <f t="shared" si="626"/>
        <v>0</v>
      </c>
      <c r="BA531" s="1120">
        <f t="shared" si="627"/>
        <v>0</v>
      </c>
      <c r="BB531" s="1120">
        <f t="shared" si="628"/>
        <v>0</v>
      </c>
      <c r="BC531" s="1120">
        <f t="shared" si="629"/>
        <v>0</v>
      </c>
      <c r="BD531" s="1120">
        <f t="shared" si="630"/>
        <v>0</v>
      </c>
      <c r="BE531" s="1120">
        <f t="shared" si="631"/>
        <v>1</v>
      </c>
      <c r="BF531" s="1120">
        <f t="shared" si="632"/>
        <v>1</v>
      </c>
      <c r="BG531" s="1120">
        <f t="shared" si="633"/>
        <v>0</v>
      </c>
      <c r="BH531" s="1120">
        <f t="shared" si="634"/>
        <v>0</v>
      </c>
      <c r="BI531" s="1120">
        <f t="shared" si="635"/>
        <v>0</v>
      </c>
      <c r="BJ531" s="1120">
        <f t="shared" si="636"/>
        <v>0</v>
      </c>
      <c r="BK531" s="1120">
        <f t="shared" si="637"/>
        <v>1</v>
      </c>
      <c r="BL531" s="1120">
        <f t="shared" si="638"/>
        <v>1</v>
      </c>
      <c r="BM531" s="1120">
        <f t="shared" si="639"/>
        <v>1</v>
      </c>
      <c r="BN531" s="1120">
        <f t="shared" si="640"/>
        <v>1</v>
      </c>
      <c r="BO531" s="1120">
        <f t="shared" si="641"/>
        <v>1</v>
      </c>
      <c r="BP531" s="1120">
        <f t="shared" si="642"/>
        <v>1</v>
      </c>
      <c r="BQ531" s="1120">
        <f t="shared" si="643"/>
        <v>1</v>
      </c>
      <c r="BR531" s="1120">
        <f t="shared" si="644"/>
        <v>1</v>
      </c>
      <c r="BS531" s="1120">
        <f t="shared" si="645"/>
        <v>1</v>
      </c>
      <c r="BT531" s="1120">
        <f t="shared" si="646"/>
        <v>1</v>
      </c>
      <c r="BU531" s="1120">
        <f t="shared" si="647"/>
        <v>1</v>
      </c>
      <c r="BV531" s="1120">
        <f t="shared" si="648"/>
        <v>1</v>
      </c>
      <c r="BW531" s="1120">
        <f t="shared" si="649"/>
        <v>0</v>
      </c>
      <c r="BX531" s="1120">
        <f t="shared" si="650"/>
        <v>0</v>
      </c>
      <c r="BY531" s="1120">
        <f t="shared" si="651"/>
        <v>0</v>
      </c>
      <c r="BZ531" s="1120">
        <f t="shared" si="652"/>
        <v>0</v>
      </c>
      <c r="CA531" s="1120">
        <f t="shared" si="653"/>
        <v>0</v>
      </c>
      <c r="CB531" s="1120">
        <f t="shared" si="654"/>
        <v>0</v>
      </c>
      <c r="CC531" s="1120">
        <f t="shared" si="655"/>
        <v>1</v>
      </c>
      <c r="CD531" s="1120">
        <f t="shared" si="656"/>
        <v>1</v>
      </c>
      <c r="CE531" s="1120">
        <f t="shared" si="657"/>
        <v>0</v>
      </c>
      <c r="CF531" s="1120">
        <f t="shared" si="658"/>
        <v>0</v>
      </c>
      <c r="CG531" s="1120">
        <f t="shared" si="659"/>
        <v>0</v>
      </c>
      <c r="CH531" s="1120">
        <f t="shared" si="660"/>
        <v>0</v>
      </c>
      <c r="CI531" s="1120">
        <f t="shared" si="661"/>
        <v>0.85</v>
      </c>
      <c r="CJ531" s="1120">
        <f t="shared" si="662"/>
        <v>0.85</v>
      </c>
      <c r="CK531" s="1120">
        <f t="shared" si="663"/>
        <v>0.85</v>
      </c>
      <c r="CL531" s="1120">
        <f t="shared" si="664"/>
        <v>0.85</v>
      </c>
      <c r="CM531" s="1120">
        <f t="shared" si="665"/>
        <v>0.85</v>
      </c>
      <c r="CN531" s="1120">
        <f t="shared" si="666"/>
        <v>0.85</v>
      </c>
      <c r="CO531" s="1120">
        <f t="shared" si="667"/>
        <v>0.85</v>
      </c>
      <c r="CP531" s="1120">
        <f t="shared" si="668"/>
        <v>0.85</v>
      </c>
      <c r="CQ531" s="1120">
        <f t="shared" si="669"/>
        <v>0.85</v>
      </c>
      <c r="CR531" s="1120">
        <f t="shared" si="670"/>
        <v>0.85</v>
      </c>
      <c r="CS531" s="1120">
        <f t="shared" si="671"/>
        <v>0.85</v>
      </c>
      <c r="CT531" s="1120">
        <f t="shared" si="672"/>
        <v>0.85</v>
      </c>
      <c r="CU531" s="1120">
        <v>1</v>
      </c>
      <c r="CV531" s="1120"/>
      <c r="CW531" s="1120">
        <f t="shared" si="673"/>
        <v>62</v>
      </c>
      <c r="CX531" s="1120">
        <f t="shared" si="674"/>
        <v>303</v>
      </c>
      <c r="CY531" s="1136" t="s">
        <v>4893</v>
      </c>
      <c r="CZ531" s="1129" t="s">
        <v>4895</v>
      </c>
      <c r="DA531" s="1129"/>
      <c r="DB531" s="1129"/>
      <c r="DC531" s="1125" t="s">
        <v>5719</v>
      </c>
      <c r="DD531" s="1125" t="s">
        <v>954</v>
      </c>
      <c r="DE531" s="1120" t="str">
        <f t="shared" si="600"/>
        <v/>
      </c>
      <c r="DF531" s="1133">
        <v>0</v>
      </c>
      <c r="DG531" s="1125">
        <v>0</v>
      </c>
    </row>
    <row r="532" spans="1:111">
      <c r="A532" s="1120" t="s">
        <v>3805</v>
      </c>
      <c r="B532" s="1125" t="s">
        <v>3605</v>
      </c>
      <c r="C532" s="1125" t="s">
        <v>3606</v>
      </c>
      <c r="D532" s="1125" t="s">
        <v>1107</v>
      </c>
      <c r="E532" s="1125">
        <v>1187</v>
      </c>
      <c r="F532" s="1125">
        <v>-84.08</v>
      </c>
      <c r="G532" s="1125">
        <v>37.08</v>
      </c>
      <c r="H532" s="1125">
        <v>-5</v>
      </c>
      <c r="I532" s="1126">
        <v>15.619999313354493</v>
      </c>
      <c r="J532" s="1126">
        <v>88.16000137329101</v>
      </c>
      <c r="K532" s="1127">
        <v>73.039998626708979</v>
      </c>
      <c r="L532" s="1125">
        <v>4363.2</v>
      </c>
      <c r="M532" s="1125">
        <v>1015.2</v>
      </c>
      <c r="N532" s="1128">
        <v>29.119999957084655</v>
      </c>
      <c r="O532" s="1128">
        <v>35.060000085830687</v>
      </c>
      <c r="P532" s="1128">
        <v>49.819999313354494</v>
      </c>
      <c r="Q532" s="1128">
        <v>58.280000686645508</v>
      </c>
      <c r="R532" s="1128">
        <v>61.880000686645509</v>
      </c>
      <c r="S532" s="1128">
        <v>67.639998626708987</v>
      </c>
      <c r="T532" s="1128">
        <v>76.099999999999994</v>
      </c>
      <c r="U532" s="1128">
        <v>73.400000000000006</v>
      </c>
      <c r="V532" s="1128">
        <v>66.919999313354495</v>
      </c>
      <c r="W532" s="1128">
        <v>57.380000686645509</v>
      </c>
      <c r="X532" s="1128">
        <v>50.540000343322752</v>
      </c>
      <c r="Y532" s="1128">
        <v>35.23999991416931</v>
      </c>
      <c r="Z532" s="1128">
        <v>55.217041065202999</v>
      </c>
      <c r="AA532" s="1128">
        <f t="shared" si="601"/>
        <v>50.179816202102984</v>
      </c>
      <c r="AB532" s="1128">
        <f t="shared" si="602"/>
        <v>49.2549487302364</v>
      </c>
      <c r="AC532" s="1128">
        <f t="shared" si="603"/>
        <v>51.448184966901714</v>
      </c>
      <c r="AD532" s="1128">
        <f t="shared" si="604"/>
        <v>56.187824088218619</v>
      </c>
      <c r="AE532" s="1128">
        <f t="shared" si="605"/>
        <v>62.2384061171661</v>
      </c>
      <c r="AF532" s="1128">
        <f t="shared" si="606"/>
        <v>68.022753605607505</v>
      </c>
      <c r="AG532" s="1128">
        <f t="shared" si="607"/>
        <v>72.033087241187573</v>
      </c>
      <c r="AH532" s="1128">
        <f t="shared" si="608"/>
        <v>73.224051760680311</v>
      </c>
      <c r="AI532" s="1128">
        <f t="shared" si="609"/>
        <v>71.285203908761147</v>
      </c>
      <c r="AJ532" s="1128">
        <f t="shared" si="610"/>
        <v>66.721934256582642</v>
      </c>
      <c r="AK532" s="1128">
        <f t="shared" si="611"/>
        <v>60.723729361099068</v>
      </c>
      <c r="AL532" s="1128">
        <f t="shared" si="612"/>
        <v>54.854113763453668</v>
      </c>
      <c r="AM532" s="1125">
        <f t="shared" si="613"/>
        <v>1</v>
      </c>
      <c r="AN532" s="1125">
        <f t="shared" si="614"/>
        <v>1</v>
      </c>
      <c r="AO532" s="1125">
        <f t="shared" si="615"/>
        <v>1</v>
      </c>
      <c r="AP532" s="1125">
        <f t="shared" si="616"/>
        <v>1</v>
      </c>
      <c r="AQ532" s="1125">
        <f t="shared" si="617"/>
        <v>1</v>
      </c>
      <c r="AR532" s="1125">
        <f t="shared" si="618"/>
        <v>0</v>
      </c>
      <c r="AS532" s="1125">
        <f t="shared" si="619"/>
        <v>0</v>
      </c>
      <c r="AT532" s="1125">
        <f t="shared" si="620"/>
        <v>0</v>
      </c>
      <c r="AU532" s="1125">
        <f t="shared" si="621"/>
        <v>0</v>
      </c>
      <c r="AV532" s="1125">
        <f t="shared" si="622"/>
        <v>1</v>
      </c>
      <c r="AW532" s="1125">
        <f t="shared" si="623"/>
        <v>1</v>
      </c>
      <c r="AX532" s="1125">
        <f t="shared" si="624"/>
        <v>1</v>
      </c>
      <c r="AY532" s="1125">
        <f t="shared" si="625"/>
        <v>0</v>
      </c>
      <c r="AZ532" s="1125">
        <f t="shared" si="626"/>
        <v>0</v>
      </c>
      <c r="BA532" s="1125">
        <f t="shared" si="627"/>
        <v>0</v>
      </c>
      <c r="BB532" s="1125">
        <f t="shared" si="628"/>
        <v>0</v>
      </c>
      <c r="BC532" s="1125">
        <f t="shared" si="629"/>
        <v>0</v>
      </c>
      <c r="BD532" s="1125">
        <f t="shared" si="630"/>
        <v>1</v>
      </c>
      <c r="BE532" s="1125">
        <f t="shared" si="631"/>
        <v>1</v>
      </c>
      <c r="BF532" s="1125">
        <f t="shared" si="632"/>
        <v>1</v>
      </c>
      <c r="BG532" s="1125">
        <f t="shared" si="633"/>
        <v>1</v>
      </c>
      <c r="BH532" s="1125">
        <f t="shared" si="634"/>
        <v>0</v>
      </c>
      <c r="BI532" s="1125">
        <f t="shared" si="635"/>
        <v>0</v>
      </c>
      <c r="BJ532" s="1125">
        <f t="shared" si="636"/>
        <v>0</v>
      </c>
      <c r="BK532" s="1125">
        <f t="shared" si="637"/>
        <v>1</v>
      </c>
      <c r="BL532" s="1125">
        <f t="shared" si="638"/>
        <v>1</v>
      </c>
      <c r="BM532" s="1125">
        <f t="shared" si="639"/>
        <v>1</v>
      </c>
      <c r="BN532" s="1125">
        <f t="shared" si="640"/>
        <v>1</v>
      </c>
      <c r="BO532" s="1125">
        <f t="shared" si="641"/>
        <v>1</v>
      </c>
      <c r="BP532" s="1125">
        <f t="shared" si="642"/>
        <v>1</v>
      </c>
      <c r="BQ532" s="1125">
        <f t="shared" si="643"/>
        <v>0</v>
      </c>
      <c r="BR532" s="1125">
        <f t="shared" si="644"/>
        <v>0</v>
      </c>
      <c r="BS532" s="1125">
        <f t="shared" si="645"/>
        <v>0</v>
      </c>
      <c r="BT532" s="1125">
        <f t="shared" si="646"/>
        <v>1</v>
      </c>
      <c r="BU532" s="1125">
        <f t="shared" si="647"/>
        <v>1</v>
      </c>
      <c r="BV532" s="1125">
        <f t="shared" si="648"/>
        <v>1</v>
      </c>
      <c r="BW532" s="1125">
        <f t="shared" si="649"/>
        <v>0</v>
      </c>
      <c r="BX532" s="1125">
        <f t="shared" si="650"/>
        <v>0</v>
      </c>
      <c r="BY532" s="1125">
        <f t="shared" si="651"/>
        <v>0</v>
      </c>
      <c r="BZ532" s="1125">
        <f t="shared" si="652"/>
        <v>0</v>
      </c>
      <c r="CA532" s="1125">
        <f t="shared" si="653"/>
        <v>1</v>
      </c>
      <c r="CB532" s="1125">
        <f t="shared" si="654"/>
        <v>1</v>
      </c>
      <c r="CC532" s="1125">
        <f t="shared" si="655"/>
        <v>1</v>
      </c>
      <c r="CD532" s="1125">
        <f t="shared" si="656"/>
        <v>1</v>
      </c>
      <c r="CE532" s="1125">
        <f t="shared" si="657"/>
        <v>1</v>
      </c>
      <c r="CF532" s="1125">
        <f t="shared" si="658"/>
        <v>1</v>
      </c>
      <c r="CG532" s="1125">
        <f t="shared" si="659"/>
        <v>0</v>
      </c>
      <c r="CH532" s="1125">
        <f t="shared" si="660"/>
        <v>0</v>
      </c>
      <c r="CI532" s="1125">
        <f t="shared" si="661"/>
        <v>0.85</v>
      </c>
      <c r="CJ532" s="1125">
        <f t="shared" si="662"/>
        <v>0.85</v>
      </c>
      <c r="CK532" s="1125">
        <f t="shared" si="663"/>
        <v>0.85</v>
      </c>
      <c r="CL532" s="1125">
        <f t="shared" si="664"/>
        <v>0.85</v>
      </c>
      <c r="CM532" s="1125">
        <f t="shared" si="665"/>
        <v>0.85</v>
      </c>
      <c r="CN532" s="1125">
        <f t="shared" si="666"/>
        <v>0.85</v>
      </c>
      <c r="CO532" s="1125">
        <f t="shared" si="667"/>
        <v>0.7</v>
      </c>
      <c r="CP532" s="1125">
        <f t="shared" si="668"/>
        <v>0.7</v>
      </c>
      <c r="CQ532" s="1125">
        <f t="shared" si="669"/>
        <v>0.7</v>
      </c>
      <c r="CR532" s="1125">
        <f t="shared" si="670"/>
        <v>0.85</v>
      </c>
      <c r="CS532" s="1125">
        <f t="shared" si="671"/>
        <v>0.85</v>
      </c>
      <c r="CT532" s="1125">
        <f t="shared" si="672"/>
        <v>0.85</v>
      </c>
      <c r="CU532" s="1125">
        <v>1</v>
      </c>
      <c r="CV532" s="1125"/>
      <c r="CW532" s="1125">
        <f t="shared" si="673"/>
        <v>184</v>
      </c>
      <c r="CX532" s="1125">
        <f t="shared" si="674"/>
        <v>181</v>
      </c>
      <c r="CY532" s="1136" t="s">
        <v>4881</v>
      </c>
      <c r="CZ532" s="1129" t="s">
        <v>4885</v>
      </c>
      <c r="DA532" s="1129"/>
      <c r="DB532" s="1129"/>
      <c r="DC532" s="1125" t="s">
        <v>6032</v>
      </c>
      <c r="DD532" s="1125" t="s">
        <v>1107</v>
      </c>
      <c r="DE532" s="1120" t="str">
        <f t="shared" ref="DE532:DE595" si="675">IF(AND(C532=DC532,D532=DD532),"",FALSE)</f>
        <v/>
      </c>
      <c r="DF532" s="1133">
        <v>0</v>
      </c>
      <c r="DG532" s="1120">
        <v>0</v>
      </c>
    </row>
    <row r="533" spans="1:111">
      <c r="A533" s="1125" t="s">
        <v>5878</v>
      </c>
      <c r="B533" s="1125" t="s">
        <v>4618</v>
      </c>
      <c r="C533" s="1125" t="s">
        <v>4619</v>
      </c>
      <c r="D533" s="1125" t="s">
        <v>1278</v>
      </c>
      <c r="E533" s="1125">
        <v>718</v>
      </c>
      <c r="F533" s="1125">
        <v>-90.18</v>
      </c>
      <c r="G533" s="1125">
        <v>43.2</v>
      </c>
      <c r="H533" s="1125">
        <v>-6</v>
      </c>
      <c r="I533" s="1126">
        <v>-11.380000686645509</v>
      </c>
      <c r="J533" s="1126">
        <v>90.5</v>
      </c>
      <c r="K533" s="1127">
        <v>75.380000686645502</v>
      </c>
      <c r="L533" s="1125">
        <v>6411.6</v>
      </c>
      <c r="M533" s="1125">
        <v>595.80000000000007</v>
      </c>
      <c r="N533" s="1128">
        <v>18.320000171661377</v>
      </c>
      <c r="O533" s="1128">
        <v>26.420000171661378</v>
      </c>
      <c r="P533" s="1128">
        <v>37.579999828338622</v>
      </c>
      <c r="Q533" s="1128">
        <v>48.919999313354495</v>
      </c>
      <c r="R533" s="1128">
        <v>58.819999313354494</v>
      </c>
      <c r="S533" s="1128">
        <v>67.819999313354487</v>
      </c>
      <c r="T533" s="1128">
        <v>72.680000686645513</v>
      </c>
      <c r="U533" s="1128">
        <v>64.219999313354492</v>
      </c>
      <c r="V533" s="1128">
        <v>61.160001373291017</v>
      </c>
      <c r="W533" s="1128">
        <v>50.359999656677246</v>
      </c>
      <c r="X533" s="1128">
        <v>45.5</v>
      </c>
      <c r="Y533" s="1128">
        <v>28.76000008583069</v>
      </c>
      <c r="Z533" s="1128">
        <v>48.478630069967821</v>
      </c>
      <c r="AA533" s="1128">
        <f t="shared" si="601"/>
        <v>44.018934759898933</v>
      </c>
      <c r="AB533" s="1128">
        <f t="shared" si="602"/>
        <v>42.389824898354256</v>
      </c>
      <c r="AC533" s="1128">
        <f t="shared" si="603"/>
        <v>43.911848398917428</v>
      </c>
      <c r="AD533" s="1128">
        <f t="shared" si="604"/>
        <v>48.188266381074527</v>
      </c>
      <c r="AE533" s="1128">
        <f t="shared" si="605"/>
        <v>54.104364596180382</v>
      </c>
      <c r="AF533" s="1128">
        <f t="shared" si="606"/>
        <v>60.118020874634468</v>
      </c>
      <c r="AG533" s="1128">
        <f t="shared" si="607"/>
        <v>64.66168303420929</v>
      </c>
      <c r="AH533" s="1128">
        <f t="shared" si="608"/>
        <v>66.550975513058276</v>
      </c>
      <c r="AI533" s="1128">
        <f t="shared" si="609"/>
        <v>65.293425111691079</v>
      </c>
      <c r="AJ533" s="1128">
        <f t="shared" si="610"/>
        <v>61.216831721662324</v>
      </c>
      <c r="AK533" s="1128">
        <f t="shared" si="611"/>
        <v>55.383822232288765</v>
      </c>
      <c r="AL533" s="1128">
        <f t="shared" si="612"/>
        <v>49.314860456372791</v>
      </c>
      <c r="AM533" s="1125">
        <f t="shared" si="613"/>
        <v>1</v>
      </c>
      <c r="AN533" s="1125">
        <f t="shared" si="614"/>
        <v>1</v>
      </c>
      <c r="AO533" s="1125">
        <f t="shared" si="615"/>
        <v>1</v>
      </c>
      <c r="AP533" s="1125">
        <f t="shared" si="616"/>
        <v>1</v>
      </c>
      <c r="AQ533" s="1125">
        <f t="shared" si="617"/>
        <v>1</v>
      </c>
      <c r="AR533" s="1125">
        <f t="shared" si="618"/>
        <v>0</v>
      </c>
      <c r="AS533" s="1125">
        <f t="shared" si="619"/>
        <v>0</v>
      </c>
      <c r="AT533" s="1125">
        <f t="shared" si="620"/>
        <v>1</v>
      </c>
      <c r="AU533" s="1125">
        <f t="shared" si="621"/>
        <v>1</v>
      </c>
      <c r="AV533" s="1125">
        <f t="shared" si="622"/>
        <v>1</v>
      </c>
      <c r="AW533" s="1125">
        <f t="shared" si="623"/>
        <v>1</v>
      </c>
      <c r="AX533" s="1125">
        <f t="shared" si="624"/>
        <v>1</v>
      </c>
      <c r="AY533" s="1125">
        <f t="shared" si="625"/>
        <v>0</v>
      </c>
      <c r="AZ533" s="1125">
        <f t="shared" si="626"/>
        <v>0</v>
      </c>
      <c r="BA533" s="1125">
        <f t="shared" si="627"/>
        <v>0</v>
      </c>
      <c r="BB533" s="1125">
        <f t="shared" si="628"/>
        <v>0</v>
      </c>
      <c r="BC533" s="1125">
        <f t="shared" si="629"/>
        <v>0</v>
      </c>
      <c r="BD533" s="1125">
        <f t="shared" si="630"/>
        <v>1</v>
      </c>
      <c r="BE533" s="1125">
        <f t="shared" si="631"/>
        <v>1</v>
      </c>
      <c r="BF533" s="1125">
        <f t="shared" si="632"/>
        <v>1</v>
      </c>
      <c r="BG533" s="1125">
        <f t="shared" si="633"/>
        <v>0</v>
      </c>
      <c r="BH533" s="1125">
        <f t="shared" si="634"/>
        <v>0</v>
      </c>
      <c r="BI533" s="1125">
        <f t="shared" si="635"/>
        <v>0</v>
      </c>
      <c r="BJ533" s="1125">
        <f t="shared" si="636"/>
        <v>0</v>
      </c>
      <c r="BK533" s="1125">
        <f t="shared" si="637"/>
        <v>1</v>
      </c>
      <c r="BL533" s="1125">
        <f t="shared" si="638"/>
        <v>1</v>
      </c>
      <c r="BM533" s="1125">
        <f t="shared" si="639"/>
        <v>1</v>
      </c>
      <c r="BN533" s="1125">
        <f t="shared" si="640"/>
        <v>1</v>
      </c>
      <c r="BO533" s="1125">
        <f t="shared" si="641"/>
        <v>1</v>
      </c>
      <c r="BP533" s="1125">
        <f t="shared" si="642"/>
        <v>1</v>
      </c>
      <c r="BQ533" s="1125">
        <f t="shared" si="643"/>
        <v>0</v>
      </c>
      <c r="BR533" s="1125">
        <f t="shared" si="644"/>
        <v>1</v>
      </c>
      <c r="BS533" s="1125">
        <f t="shared" si="645"/>
        <v>1</v>
      </c>
      <c r="BT533" s="1125">
        <f t="shared" si="646"/>
        <v>1</v>
      </c>
      <c r="BU533" s="1125">
        <f t="shared" si="647"/>
        <v>1</v>
      </c>
      <c r="BV533" s="1125">
        <f t="shared" si="648"/>
        <v>1</v>
      </c>
      <c r="BW533" s="1125">
        <f t="shared" si="649"/>
        <v>0</v>
      </c>
      <c r="BX533" s="1125">
        <f t="shared" si="650"/>
        <v>0</v>
      </c>
      <c r="BY533" s="1125">
        <f t="shared" si="651"/>
        <v>0</v>
      </c>
      <c r="BZ533" s="1125">
        <f t="shared" si="652"/>
        <v>0</v>
      </c>
      <c r="CA533" s="1125">
        <f t="shared" si="653"/>
        <v>1</v>
      </c>
      <c r="CB533" s="1125">
        <f t="shared" si="654"/>
        <v>1</v>
      </c>
      <c r="CC533" s="1125">
        <f t="shared" si="655"/>
        <v>1</v>
      </c>
      <c r="CD533" s="1125">
        <f t="shared" si="656"/>
        <v>1</v>
      </c>
      <c r="CE533" s="1125">
        <f t="shared" si="657"/>
        <v>0</v>
      </c>
      <c r="CF533" s="1125">
        <f t="shared" si="658"/>
        <v>0</v>
      </c>
      <c r="CG533" s="1125">
        <f t="shared" si="659"/>
        <v>0</v>
      </c>
      <c r="CH533" s="1125">
        <f t="shared" si="660"/>
        <v>0</v>
      </c>
      <c r="CI533" s="1125">
        <f t="shared" si="661"/>
        <v>0.85</v>
      </c>
      <c r="CJ533" s="1125">
        <f t="shared" si="662"/>
        <v>0.85</v>
      </c>
      <c r="CK533" s="1125">
        <f t="shared" si="663"/>
        <v>0.85</v>
      </c>
      <c r="CL533" s="1125">
        <f t="shared" si="664"/>
        <v>0.85</v>
      </c>
      <c r="CM533" s="1125">
        <f t="shared" si="665"/>
        <v>0.85</v>
      </c>
      <c r="CN533" s="1125">
        <f t="shared" si="666"/>
        <v>0.85</v>
      </c>
      <c r="CO533" s="1125">
        <f t="shared" si="667"/>
        <v>0.7</v>
      </c>
      <c r="CP533" s="1125">
        <f t="shared" si="668"/>
        <v>0.85</v>
      </c>
      <c r="CQ533" s="1125">
        <f t="shared" si="669"/>
        <v>0.85</v>
      </c>
      <c r="CR533" s="1125">
        <f t="shared" si="670"/>
        <v>0.85</v>
      </c>
      <c r="CS533" s="1125">
        <f t="shared" si="671"/>
        <v>0.85</v>
      </c>
      <c r="CT533" s="1125">
        <f t="shared" si="672"/>
        <v>0.85</v>
      </c>
      <c r="CU533" s="1125">
        <v>1</v>
      </c>
      <c r="CV533" s="1125"/>
      <c r="CW533" s="1125">
        <f t="shared" si="673"/>
        <v>123</v>
      </c>
      <c r="CX533" s="1125">
        <f t="shared" si="674"/>
        <v>242</v>
      </c>
      <c r="CY533" s="1135" t="s">
        <v>4889</v>
      </c>
      <c r="CZ533" s="1124" t="s">
        <v>4899</v>
      </c>
      <c r="DA533" s="1124"/>
      <c r="DB533" s="1124"/>
      <c r="DC533" s="1120" t="s">
        <v>5677</v>
      </c>
      <c r="DD533" s="1120" t="s">
        <v>1278</v>
      </c>
      <c r="DE533" s="1120" t="str">
        <f t="shared" si="675"/>
        <v/>
      </c>
      <c r="DF533" s="1133">
        <v>0</v>
      </c>
      <c r="DG533" s="1125">
        <v>0</v>
      </c>
    </row>
    <row r="534" spans="1:111">
      <c r="A534" s="1120" t="s">
        <v>3807</v>
      </c>
      <c r="B534" s="1125" t="s">
        <v>3130</v>
      </c>
      <c r="C534" s="1125" t="s">
        <v>3131</v>
      </c>
      <c r="D534" s="1125" t="s">
        <v>954</v>
      </c>
      <c r="E534" s="1125">
        <v>26</v>
      </c>
      <c r="F534" s="1125">
        <v>-118.17</v>
      </c>
      <c r="G534" s="1125">
        <v>33.83</v>
      </c>
      <c r="H534" s="1125">
        <v>-8</v>
      </c>
      <c r="I534" s="1126">
        <v>43.52000017166138</v>
      </c>
      <c r="J534" s="1126">
        <v>87.619999313354498</v>
      </c>
      <c r="K534" s="1127">
        <v>67.280000686645508</v>
      </c>
      <c r="L534" s="1125">
        <v>1164.6000000000001</v>
      </c>
      <c r="M534" s="1125">
        <v>824.4</v>
      </c>
      <c r="N534" s="1128">
        <v>56.3</v>
      </c>
      <c r="O534" s="1128">
        <v>56.840000343322757</v>
      </c>
      <c r="P534" s="1128">
        <v>58.640000343322754</v>
      </c>
      <c r="Q534" s="1128">
        <v>61.880000686645509</v>
      </c>
      <c r="R534" s="1128">
        <v>64.219999313354492</v>
      </c>
      <c r="S534" s="1128">
        <v>67.639998626708987</v>
      </c>
      <c r="T534" s="1128">
        <v>70.519999313354489</v>
      </c>
      <c r="U534" s="1128">
        <v>70.33999862670899</v>
      </c>
      <c r="V534" s="1128">
        <v>71.960001373291021</v>
      </c>
      <c r="W534" s="1128">
        <v>65.83999862670899</v>
      </c>
      <c r="X534" s="1128">
        <v>61.160001373291017</v>
      </c>
      <c r="Y534" s="1128">
        <v>56.119999313354491</v>
      </c>
      <c r="Z534" s="1128">
        <v>63.485205296033051</v>
      </c>
      <c r="AA534" s="1128">
        <f t="shared" si="601"/>
        <v>64.940902198249276</v>
      </c>
      <c r="AB534" s="1128">
        <f t="shared" si="602"/>
        <v>64.919593418640204</v>
      </c>
      <c r="AC534" s="1128">
        <f t="shared" si="603"/>
        <v>66.088381733082358</v>
      </c>
      <c r="AD534" s="1128">
        <f t="shared" si="604"/>
        <v>68.142604455843212</v>
      </c>
      <c r="AE534" s="1128">
        <f t="shared" si="605"/>
        <v>70.546796777704799</v>
      </c>
      <c r="AF534" s="1128">
        <f t="shared" si="606"/>
        <v>72.674268920248707</v>
      </c>
      <c r="AG534" s="1128">
        <f t="shared" si="607"/>
        <v>73.970462484182747</v>
      </c>
      <c r="AH534" s="1128">
        <f t="shared" si="608"/>
        <v>74.097504642120072</v>
      </c>
      <c r="AI534" s="1128">
        <f t="shared" si="609"/>
        <v>73.02227989781538</v>
      </c>
      <c r="AJ534" s="1128">
        <f t="shared" si="610"/>
        <v>71.025062150586564</v>
      </c>
      <c r="AK534" s="1128">
        <f t="shared" si="611"/>
        <v>68.62645698430596</v>
      </c>
      <c r="AL534" s="1128">
        <f t="shared" si="612"/>
        <v>66.451697799189091</v>
      </c>
      <c r="AM534" s="1125">
        <f t="shared" si="613"/>
        <v>1</v>
      </c>
      <c r="AN534" s="1125">
        <f t="shared" si="614"/>
        <v>1</v>
      </c>
      <c r="AO534" s="1125">
        <f t="shared" si="615"/>
        <v>1</v>
      </c>
      <c r="AP534" s="1125">
        <f t="shared" si="616"/>
        <v>1</v>
      </c>
      <c r="AQ534" s="1125">
        <f t="shared" si="617"/>
        <v>1</v>
      </c>
      <c r="AR534" s="1125">
        <f t="shared" si="618"/>
        <v>0</v>
      </c>
      <c r="AS534" s="1125">
        <f t="shared" si="619"/>
        <v>0</v>
      </c>
      <c r="AT534" s="1125">
        <f t="shared" si="620"/>
        <v>0</v>
      </c>
      <c r="AU534" s="1125">
        <f t="shared" si="621"/>
        <v>0</v>
      </c>
      <c r="AV534" s="1125">
        <f t="shared" si="622"/>
        <v>1</v>
      </c>
      <c r="AW534" s="1125">
        <f t="shared" si="623"/>
        <v>1</v>
      </c>
      <c r="AX534" s="1125">
        <f t="shared" si="624"/>
        <v>1</v>
      </c>
      <c r="AY534" s="1125">
        <f t="shared" si="625"/>
        <v>0</v>
      </c>
      <c r="AZ534" s="1125">
        <f t="shared" si="626"/>
        <v>0</v>
      </c>
      <c r="BA534" s="1125">
        <f t="shared" si="627"/>
        <v>0</v>
      </c>
      <c r="BB534" s="1125">
        <f t="shared" si="628"/>
        <v>0</v>
      </c>
      <c r="BC534" s="1125">
        <f t="shared" si="629"/>
        <v>0</v>
      </c>
      <c r="BD534" s="1125">
        <f t="shared" si="630"/>
        <v>1</v>
      </c>
      <c r="BE534" s="1125">
        <f t="shared" si="631"/>
        <v>1</v>
      </c>
      <c r="BF534" s="1125">
        <f t="shared" si="632"/>
        <v>1</v>
      </c>
      <c r="BG534" s="1125">
        <f t="shared" si="633"/>
        <v>1</v>
      </c>
      <c r="BH534" s="1125">
        <f t="shared" si="634"/>
        <v>0</v>
      </c>
      <c r="BI534" s="1125">
        <f t="shared" si="635"/>
        <v>0</v>
      </c>
      <c r="BJ534" s="1125">
        <f t="shared" si="636"/>
        <v>0</v>
      </c>
      <c r="BK534" s="1125">
        <f t="shared" si="637"/>
        <v>1</v>
      </c>
      <c r="BL534" s="1125">
        <f t="shared" si="638"/>
        <v>1</v>
      </c>
      <c r="BM534" s="1125">
        <f t="shared" si="639"/>
        <v>1</v>
      </c>
      <c r="BN534" s="1125">
        <f t="shared" si="640"/>
        <v>1</v>
      </c>
      <c r="BO534" s="1125">
        <f t="shared" si="641"/>
        <v>1</v>
      </c>
      <c r="BP534" s="1125">
        <f t="shared" si="642"/>
        <v>1</v>
      </c>
      <c r="BQ534" s="1125">
        <f t="shared" si="643"/>
        <v>0</v>
      </c>
      <c r="BR534" s="1125">
        <f t="shared" si="644"/>
        <v>0</v>
      </c>
      <c r="BS534" s="1125">
        <f t="shared" si="645"/>
        <v>0</v>
      </c>
      <c r="BT534" s="1125">
        <f t="shared" si="646"/>
        <v>1</v>
      </c>
      <c r="BU534" s="1125">
        <f t="shared" si="647"/>
        <v>1</v>
      </c>
      <c r="BV534" s="1125">
        <f t="shared" si="648"/>
        <v>1</v>
      </c>
      <c r="BW534" s="1125">
        <f t="shared" si="649"/>
        <v>0</v>
      </c>
      <c r="BX534" s="1125">
        <f t="shared" si="650"/>
        <v>0</v>
      </c>
      <c r="BY534" s="1125">
        <f t="shared" si="651"/>
        <v>0</v>
      </c>
      <c r="BZ534" s="1125">
        <f t="shared" si="652"/>
        <v>0</v>
      </c>
      <c r="CA534" s="1125">
        <f t="shared" si="653"/>
        <v>1</v>
      </c>
      <c r="CB534" s="1125">
        <f t="shared" si="654"/>
        <v>1</v>
      </c>
      <c r="CC534" s="1125">
        <f t="shared" si="655"/>
        <v>1</v>
      </c>
      <c r="CD534" s="1125">
        <f t="shared" si="656"/>
        <v>1</v>
      </c>
      <c r="CE534" s="1125">
        <f t="shared" si="657"/>
        <v>1</v>
      </c>
      <c r="CF534" s="1125">
        <f t="shared" si="658"/>
        <v>1</v>
      </c>
      <c r="CG534" s="1125">
        <f t="shared" si="659"/>
        <v>0</v>
      </c>
      <c r="CH534" s="1125">
        <f t="shared" si="660"/>
        <v>0</v>
      </c>
      <c r="CI534" s="1125">
        <f t="shared" si="661"/>
        <v>0.85</v>
      </c>
      <c r="CJ534" s="1125">
        <f t="shared" si="662"/>
        <v>0.85</v>
      </c>
      <c r="CK534" s="1125">
        <f t="shared" si="663"/>
        <v>0.85</v>
      </c>
      <c r="CL534" s="1125">
        <f t="shared" si="664"/>
        <v>0.85</v>
      </c>
      <c r="CM534" s="1125">
        <f t="shared" si="665"/>
        <v>0.85</v>
      </c>
      <c r="CN534" s="1125">
        <f t="shared" si="666"/>
        <v>0.85</v>
      </c>
      <c r="CO534" s="1125">
        <f t="shared" si="667"/>
        <v>0.7</v>
      </c>
      <c r="CP534" s="1125">
        <f t="shared" si="668"/>
        <v>0.7</v>
      </c>
      <c r="CQ534" s="1125">
        <f t="shared" si="669"/>
        <v>0.7</v>
      </c>
      <c r="CR534" s="1125">
        <f t="shared" si="670"/>
        <v>0.85</v>
      </c>
      <c r="CS534" s="1125">
        <f t="shared" si="671"/>
        <v>0.85</v>
      </c>
      <c r="CT534" s="1125">
        <f t="shared" si="672"/>
        <v>0.85</v>
      </c>
      <c r="CU534" s="1125">
        <v>1</v>
      </c>
      <c r="CV534" s="1125"/>
      <c r="CW534" s="1125">
        <f t="shared" si="673"/>
        <v>184</v>
      </c>
      <c r="CX534" s="1125">
        <f t="shared" si="674"/>
        <v>181</v>
      </c>
      <c r="CY534" s="1135" t="s">
        <v>4886</v>
      </c>
      <c r="CZ534" s="1124" t="s">
        <v>4888</v>
      </c>
      <c r="DA534" s="1124"/>
      <c r="DB534" s="1124"/>
      <c r="DC534" s="1120" t="s">
        <v>5032</v>
      </c>
      <c r="DD534" s="1120" t="s">
        <v>954</v>
      </c>
      <c r="DE534" s="1120" t="str">
        <f t="shared" si="675"/>
        <v/>
      </c>
      <c r="DF534" s="1125">
        <v>0</v>
      </c>
      <c r="DG534" s="1120">
        <v>0</v>
      </c>
    </row>
    <row r="535" spans="1:111">
      <c r="A535" s="1125" t="s">
        <v>3809</v>
      </c>
      <c r="B535" s="1125" t="s">
        <v>4422</v>
      </c>
      <c r="C535" s="1125" t="s">
        <v>4423</v>
      </c>
      <c r="D535" s="1125" t="s">
        <v>228</v>
      </c>
      <c r="E535" s="1125">
        <v>479</v>
      </c>
      <c r="F535" s="1125">
        <v>-94.98</v>
      </c>
      <c r="G535" s="1125">
        <v>32.29</v>
      </c>
      <c r="H535" s="1125">
        <v>-6</v>
      </c>
      <c r="I535" s="1126">
        <v>26.960000085830689</v>
      </c>
      <c r="J535" s="1126">
        <v>96.439998626708984</v>
      </c>
      <c r="K535" s="1127">
        <v>75.560001373291016</v>
      </c>
      <c r="L535" s="1125">
        <v>2070</v>
      </c>
      <c r="M535" s="1125">
        <v>2462.4</v>
      </c>
      <c r="N535" s="1128">
        <v>50</v>
      </c>
      <c r="O535" s="1128">
        <v>51.619999313354491</v>
      </c>
      <c r="P535" s="1128">
        <v>52.7</v>
      </c>
      <c r="Q535" s="1128">
        <v>63.319999313354494</v>
      </c>
      <c r="R535" s="1128">
        <v>72.5</v>
      </c>
      <c r="S535" s="1128">
        <v>76.819999313354487</v>
      </c>
      <c r="T535" s="1128">
        <v>82.939998626708984</v>
      </c>
      <c r="U535" s="1128">
        <v>82.760001373291018</v>
      </c>
      <c r="V535" s="1128">
        <v>76.460001373291021</v>
      </c>
      <c r="W535" s="1128">
        <v>68.180000686645513</v>
      </c>
      <c r="X535" s="1128">
        <v>59.180000686645506</v>
      </c>
      <c r="Y535" s="1128">
        <v>48.2</v>
      </c>
      <c r="Z535" s="1128">
        <v>65.464219240162478</v>
      </c>
      <c r="AA535" s="1128">
        <f t="shared" si="601"/>
        <v>61.076223363363042</v>
      </c>
      <c r="AB535" s="1128">
        <f t="shared" si="602"/>
        <v>61.213557438416068</v>
      </c>
      <c r="AC535" s="1128">
        <f t="shared" si="603"/>
        <v>64.022884479574302</v>
      </c>
      <c r="AD535" s="1128">
        <f t="shared" si="604"/>
        <v>68.771910100519662</v>
      </c>
      <c r="AE535" s="1128">
        <f t="shared" si="605"/>
        <v>74.222727588452656</v>
      </c>
      <c r="AF535" s="1128">
        <f t="shared" si="606"/>
        <v>78.9544973655034</v>
      </c>
      <c r="AG535" s="1128">
        <f t="shared" si="607"/>
        <v>81.733810720504124</v>
      </c>
      <c r="AH535" s="1128">
        <f t="shared" si="608"/>
        <v>81.836196796958632</v>
      </c>
      <c r="AI535" s="1128">
        <f t="shared" si="609"/>
        <v>79.234967086221829</v>
      </c>
      <c r="AJ535" s="1128">
        <f t="shared" si="610"/>
        <v>74.608172198560524</v>
      </c>
      <c r="AK535" s="1128">
        <f t="shared" si="611"/>
        <v>69.161857522511127</v>
      </c>
      <c r="AL535" s="1128">
        <f t="shared" si="612"/>
        <v>64.315688908635593</v>
      </c>
      <c r="AM535" s="1125">
        <f t="shared" si="613"/>
        <v>1</v>
      </c>
      <c r="AN535" s="1125">
        <f t="shared" si="614"/>
        <v>1</v>
      </c>
      <c r="AO535" s="1125">
        <f t="shared" si="615"/>
        <v>1</v>
      </c>
      <c r="AP535" s="1125">
        <f t="shared" si="616"/>
        <v>1</v>
      </c>
      <c r="AQ535" s="1125">
        <f t="shared" si="617"/>
        <v>0</v>
      </c>
      <c r="AR535" s="1125">
        <f t="shared" si="618"/>
        <v>0</v>
      </c>
      <c r="AS535" s="1125">
        <f t="shared" si="619"/>
        <v>0</v>
      </c>
      <c r="AT535" s="1125">
        <f t="shared" si="620"/>
        <v>0</v>
      </c>
      <c r="AU535" s="1125">
        <f t="shared" si="621"/>
        <v>0</v>
      </c>
      <c r="AV535" s="1125">
        <f t="shared" si="622"/>
        <v>0</v>
      </c>
      <c r="AW535" s="1125">
        <f t="shared" si="623"/>
        <v>1</v>
      </c>
      <c r="AX535" s="1125">
        <f t="shared" si="624"/>
        <v>1</v>
      </c>
      <c r="AY535" s="1125">
        <f t="shared" si="625"/>
        <v>0</v>
      </c>
      <c r="AZ535" s="1125">
        <f t="shared" si="626"/>
        <v>0</v>
      </c>
      <c r="BA535" s="1125">
        <f t="shared" si="627"/>
        <v>0</v>
      </c>
      <c r="BB535" s="1125">
        <f t="shared" si="628"/>
        <v>0</v>
      </c>
      <c r="BC535" s="1125">
        <f t="shared" si="629"/>
        <v>1</v>
      </c>
      <c r="BD535" s="1125">
        <f t="shared" si="630"/>
        <v>1</v>
      </c>
      <c r="BE535" s="1125">
        <f t="shared" si="631"/>
        <v>1</v>
      </c>
      <c r="BF535" s="1125">
        <f t="shared" si="632"/>
        <v>1</v>
      </c>
      <c r="BG535" s="1125">
        <f t="shared" si="633"/>
        <v>1</v>
      </c>
      <c r="BH535" s="1125">
        <f t="shared" si="634"/>
        <v>1</v>
      </c>
      <c r="BI535" s="1125">
        <f t="shared" si="635"/>
        <v>0</v>
      </c>
      <c r="BJ535" s="1125">
        <f t="shared" si="636"/>
        <v>0</v>
      </c>
      <c r="BK535" s="1125">
        <f t="shared" si="637"/>
        <v>1</v>
      </c>
      <c r="BL535" s="1125">
        <f t="shared" si="638"/>
        <v>1</v>
      </c>
      <c r="BM535" s="1125">
        <f t="shared" si="639"/>
        <v>1</v>
      </c>
      <c r="BN535" s="1125">
        <f t="shared" si="640"/>
        <v>1</v>
      </c>
      <c r="BO535" s="1125">
        <f t="shared" si="641"/>
        <v>1</v>
      </c>
      <c r="BP535" s="1125">
        <f t="shared" si="642"/>
        <v>0</v>
      </c>
      <c r="BQ535" s="1125">
        <f t="shared" si="643"/>
        <v>0</v>
      </c>
      <c r="BR535" s="1125">
        <f t="shared" si="644"/>
        <v>0</v>
      </c>
      <c r="BS535" s="1125">
        <f t="shared" si="645"/>
        <v>0</v>
      </c>
      <c r="BT535" s="1125">
        <f t="shared" si="646"/>
        <v>0</v>
      </c>
      <c r="BU535" s="1125">
        <f t="shared" si="647"/>
        <v>1</v>
      </c>
      <c r="BV535" s="1125">
        <f t="shared" si="648"/>
        <v>1</v>
      </c>
      <c r="BW535" s="1125">
        <f t="shared" si="649"/>
        <v>0</v>
      </c>
      <c r="BX535" s="1125">
        <f t="shared" si="650"/>
        <v>0</v>
      </c>
      <c r="BY535" s="1125">
        <f t="shared" si="651"/>
        <v>0</v>
      </c>
      <c r="BZ535" s="1125">
        <f t="shared" si="652"/>
        <v>1</v>
      </c>
      <c r="CA535" s="1125">
        <f t="shared" si="653"/>
        <v>1</v>
      </c>
      <c r="CB535" s="1125">
        <f t="shared" si="654"/>
        <v>1</v>
      </c>
      <c r="CC535" s="1125">
        <f t="shared" si="655"/>
        <v>1</v>
      </c>
      <c r="CD535" s="1125">
        <f t="shared" si="656"/>
        <v>1</v>
      </c>
      <c r="CE535" s="1125">
        <f t="shared" si="657"/>
        <v>1</v>
      </c>
      <c r="CF535" s="1125">
        <f t="shared" si="658"/>
        <v>1</v>
      </c>
      <c r="CG535" s="1125">
        <f t="shared" si="659"/>
        <v>1</v>
      </c>
      <c r="CH535" s="1125">
        <f t="shared" si="660"/>
        <v>0</v>
      </c>
      <c r="CI535" s="1125">
        <f t="shared" si="661"/>
        <v>0.85</v>
      </c>
      <c r="CJ535" s="1125">
        <f t="shared" si="662"/>
        <v>0.85</v>
      </c>
      <c r="CK535" s="1125">
        <f t="shared" si="663"/>
        <v>0.85</v>
      </c>
      <c r="CL535" s="1125">
        <f t="shared" si="664"/>
        <v>0.85</v>
      </c>
      <c r="CM535" s="1125">
        <f t="shared" si="665"/>
        <v>0.85</v>
      </c>
      <c r="CN535" s="1125">
        <f t="shared" si="666"/>
        <v>0.7</v>
      </c>
      <c r="CO535" s="1125">
        <f t="shared" si="667"/>
        <v>0.7</v>
      </c>
      <c r="CP535" s="1125">
        <f t="shared" si="668"/>
        <v>0.7</v>
      </c>
      <c r="CQ535" s="1125">
        <f t="shared" si="669"/>
        <v>0.7</v>
      </c>
      <c r="CR535" s="1125">
        <f t="shared" si="670"/>
        <v>0.7</v>
      </c>
      <c r="CS535" s="1125">
        <f t="shared" si="671"/>
        <v>0.85</v>
      </c>
      <c r="CT535" s="1125">
        <f t="shared" si="672"/>
        <v>0.85</v>
      </c>
      <c r="CU535" s="1125">
        <v>1</v>
      </c>
      <c r="CV535" s="1125"/>
      <c r="CW535" s="1125">
        <f t="shared" si="673"/>
        <v>244</v>
      </c>
      <c r="CX535" s="1125">
        <f t="shared" si="674"/>
        <v>121</v>
      </c>
      <c r="CY535" s="1136" t="s">
        <v>4883</v>
      </c>
      <c r="CZ535" s="1129" t="s">
        <v>4882</v>
      </c>
      <c r="DA535" s="1129"/>
      <c r="DB535" s="1129"/>
      <c r="DC535" s="1125" t="s">
        <v>5601</v>
      </c>
      <c r="DD535" s="1125" t="s">
        <v>228</v>
      </c>
      <c r="DE535" s="1120" t="b">
        <f t="shared" si="675"/>
        <v>0</v>
      </c>
      <c r="DF535" s="1133">
        <v>1</v>
      </c>
      <c r="DG535" s="1125">
        <v>0</v>
      </c>
    </row>
    <row r="536" spans="1:111">
      <c r="A536" s="1120" t="s">
        <v>3811</v>
      </c>
      <c r="B536" s="1120" t="s">
        <v>3132</v>
      </c>
      <c r="C536" s="1120" t="s">
        <v>3133</v>
      </c>
      <c r="D536" s="1120" t="s">
        <v>954</v>
      </c>
      <c r="E536" s="1120">
        <v>98</v>
      </c>
      <c r="F536" s="1120">
        <v>-118.4</v>
      </c>
      <c r="G536" s="1120">
        <v>33.93</v>
      </c>
      <c r="H536" s="1120">
        <v>-8</v>
      </c>
      <c r="I536" s="1121">
        <v>46.4</v>
      </c>
      <c r="J536" s="1121">
        <v>80.419999313354495</v>
      </c>
      <c r="K536" s="1122">
        <v>64.760001373291018</v>
      </c>
      <c r="L536" s="1120">
        <v>1166.4000000000001</v>
      </c>
      <c r="M536" s="1120">
        <v>403.2</v>
      </c>
      <c r="N536" s="1123">
        <v>56.659999656677243</v>
      </c>
      <c r="O536" s="1123">
        <v>57.559999656677249</v>
      </c>
      <c r="P536" s="1123">
        <v>58.280000686645508</v>
      </c>
      <c r="Q536" s="1123">
        <v>60.440000343322751</v>
      </c>
      <c r="R536" s="1123">
        <v>62.6</v>
      </c>
      <c r="S536" s="1123">
        <v>64.760001373291018</v>
      </c>
      <c r="T536" s="1123">
        <v>67.819999313354487</v>
      </c>
      <c r="U536" s="1123">
        <v>68</v>
      </c>
      <c r="V536" s="1123">
        <v>67.639998626708987</v>
      </c>
      <c r="W536" s="1123">
        <v>64.580000686645505</v>
      </c>
      <c r="X536" s="1123">
        <v>61.160001373291017</v>
      </c>
      <c r="Y536" s="1123">
        <v>57.740000343322755</v>
      </c>
      <c r="Z536" s="1123">
        <v>62.295233049784621</v>
      </c>
      <c r="AA536" s="1123">
        <f t="shared" si="601"/>
        <v>65.125531626691739</v>
      </c>
      <c r="AB536" s="1123">
        <f t="shared" si="602"/>
        <v>65.076030530326065</v>
      </c>
      <c r="AC536" s="1123">
        <f t="shared" si="603"/>
        <v>65.865664180069757</v>
      </c>
      <c r="AD536" s="1123">
        <f t="shared" si="604"/>
        <v>67.288602396494241</v>
      </c>
      <c r="AE536" s="1123">
        <f t="shared" si="605"/>
        <v>68.973934405346782</v>
      </c>
      <c r="AF536" s="1123">
        <f t="shared" si="606"/>
        <v>70.482352446767578</v>
      </c>
      <c r="AG536" s="1123">
        <f t="shared" si="607"/>
        <v>71.420664112834629</v>
      </c>
      <c r="AH536" s="1123">
        <f t="shared" si="608"/>
        <v>71.544284007967093</v>
      </c>
      <c r="AI536" s="1123">
        <f t="shared" si="609"/>
        <v>70.820988701458447</v>
      </c>
      <c r="AJ536" s="1123">
        <f t="shared" si="610"/>
        <v>69.439316261268232</v>
      </c>
      <c r="AK536" s="1123">
        <f t="shared" si="611"/>
        <v>67.759420901148843</v>
      </c>
      <c r="AL536" s="1123">
        <f t="shared" si="612"/>
        <v>66.219193234686529</v>
      </c>
      <c r="AM536" s="1120">
        <f t="shared" si="613"/>
        <v>1</v>
      </c>
      <c r="AN536" s="1120">
        <f t="shared" si="614"/>
        <v>1</v>
      </c>
      <c r="AO536" s="1120">
        <f t="shared" si="615"/>
        <v>1</v>
      </c>
      <c r="AP536" s="1120">
        <f t="shared" si="616"/>
        <v>1</v>
      </c>
      <c r="AQ536" s="1120">
        <f t="shared" si="617"/>
        <v>1</v>
      </c>
      <c r="AR536" s="1120">
        <f t="shared" si="618"/>
        <v>1</v>
      </c>
      <c r="AS536" s="1120">
        <f t="shared" si="619"/>
        <v>0</v>
      </c>
      <c r="AT536" s="1120">
        <f t="shared" si="620"/>
        <v>0</v>
      </c>
      <c r="AU536" s="1120">
        <f t="shared" si="621"/>
        <v>0</v>
      </c>
      <c r="AV536" s="1120">
        <f t="shared" si="622"/>
        <v>1</v>
      </c>
      <c r="AW536" s="1120">
        <f t="shared" si="623"/>
        <v>1</v>
      </c>
      <c r="AX536" s="1120">
        <f t="shared" si="624"/>
        <v>1</v>
      </c>
      <c r="AY536" s="1120">
        <f t="shared" si="625"/>
        <v>0</v>
      </c>
      <c r="AZ536" s="1120">
        <f t="shared" si="626"/>
        <v>0</v>
      </c>
      <c r="BA536" s="1120">
        <f t="shared" si="627"/>
        <v>0</v>
      </c>
      <c r="BB536" s="1120">
        <f t="shared" si="628"/>
        <v>0</v>
      </c>
      <c r="BC536" s="1120">
        <f t="shared" si="629"/>
        <v>0</v>
      </c>
      <c r="BD536" s="1120">
        <f t="shared" si="630"/>
        <v>0</v>
      </c>
      <c r="BE536" s="1120">
        <f t="shared" si="631"/>
        <v>1</v>
      </c>
      <c r="BF536" s="1120">
        <f t="shared" si="632"/>
        <v>1</v>
      </c>
      <c r="BG536" s="1120">
        <f t="shared" si="633"/>
        <v>1</v>
      </c>
      <c r="BH536" s="1120">
        <f t="shared" si="634"/>
        <v>0</v>
      </c>
      <c r="BI536" s="1120">
        <f t="shared" si="635"/>
        <v>0</v>
      </c>
      <c r="BJ536" s="1120">
        <f t="shared" si="636"/>
        <v>0</v>
      </c>
      <c r="BK536" s="1120">
        <f t="shared" si="637"/>
        <v>1</v>
      </c>
      <c r="BL536" s="1120">
        <f t="shared" si="638"/>
        <v>1</v>
      </c>
      <c r="BM536" s="1120">
        <f t="shared" si="639"/>
        <v>1</v>
      </c>
      <c r="BN536" s="1120">
        <f t="shared" si="640"/>
        <v>1</v>
      </c>
      <c r="BO536" s="1120">
        <f t="shared" si="641"/>
        <v>1</v>
      </c>
      <c r="BP536" s="1120">
        <f t="shared" si="642"/>
        <v>1</v>
      </c>
      <c r="BQ536" s="1120">
        <f t="shared" si="643"/>
        <v>1</v>
      </c>
      <c r="BR536" s="1120">
        <f t="shared" si="644"/>
        <v>0</v>
      </c>
      <c r="BS536" s="1120">
        <f t="shared" si="645"/>
        <v>0</v>
      </c>
      <c r="BT536" s="1120">
        <f t="shared" si="646"/>
        <v>1</v>
      </c>
      <c r="BU536" s="1120">
        <f t="shared" si="647"/>
        <v>1</v>
      </c>
      <c r="BV536" s="1120">
        <f t="shared" si="648"/>
        <v>1</v>
      </c>
      <c r="BW536" s="1120">
        <f t="shared" si="649"/>
        <v>0</v>
      </c>
      <c r="BX536" s="1120">
        <f t="shared" si="650"/>
        <v>0</v>
      </c>
      <c r="BY536" s="1120">
        <f t="shared" si="651"/>
        <v>0</v>
      </c>
      <c r="BZ536" s="1120">
        <f t="shared" si="652"/>
        <v>0</v>
      </c>
      <c r="CA536" s="1120">
        <f t="shared" si="653"/>
        <v>0</v>
      </c>
      <c r="CB536" s="1120">
        <f t="shared" si="654"/>
        <v>1</v>
      </c>
      <c r="CC536" s="1120">
        <f t="shared" si="655"/>
        <v>1</v>
      </c>
      <c r="CD536" s="1120">
        <f t="shared" si="656"/>
        <v>1</v>
      </c>
      <c r="CE536" s="1120">
        <f t="shared" si="657"/>
        <v>1</v>
      </c>
      <c r="CF536" s="1120">
        <f t="shared" si="658"/>
        <v>1</v>
      </c>
      <c r="CG536" s="1120">
        <f t="shared" si="659"/>
        <v>0</v>
      </c>
      <c r="CH536" s="1120">
        <f t="shared" si="660"/>
        <v>0</v>
      </c>
      <c r="CI536" s="1120">
        <f t="shared" si="661"/>
        <v>0.85</v>
      </c>
      <c r="CJ536" s="1120">
        <f t="shared" si="662"/>
        <v>0.85</v>
      </c>
      <c r="CK536" s="1120">
        <f t="shared" si="663"/>
        <v>0.85</v>
      </c>
      <c r="CL536" s="1120">
        <f t="shared" si="664"/>
        <v>0.85</v>
      </c>
      <c r="CM536" s="1120">
        <f t="shared" si="665"/>
        <v>0.85</v>
      </c>
      <c r="CN536" s="1120">
        <f t="shared" si="666"/>
        <v>0.85</v>
      </c>
      <c r="CO536" s="1120">
        <f t="shared" si="667"/>
        <v>0.85</v>
      </c>
      <c r="CP536" s="1120">
        <f t="shared" si="668"/>
        <v>0.7</v>
      </c>
      <c r="CQ536" s="1120">
        <f t="shared" si="669"/>
        <v>0.7</v>
      </c>
      <c r="CR536" s="1120">
        <f t="shared" si="670"/>
        <v>0.85</v>
      </c>
      <c r="CS536" s="1120">
        <f t="shared" si="671"/>
        <v>0.85</v>
      </c>
      <c r="CT536" s="1120">
        <f t="shared" si="672"/>
        <v>0.85</v>
      </c>
      <c r="CU536" s="1120">
        <v>1</v>
      </c>
      <c r="CV536" s="1120"/>
      <c r="CW536" s="1120">
        <f t="shared" si="673"/>
        <v>153</v>
      </c>
      <c r="CX536" s="1120">
        <f t="shared" si="674"/>
        <v>212</v>
      </c>
      <c r="CY536" s="1136" t="s">
        <v>4886</v>
      </c>
      <c r="CZ536" s="1129" t="s">
        <v>4888</v>
      </c>
      <c r="DA536" s="1129"/>
      <c r="DB536" s="1129"/>
      <c r="DC536" s="1125" t="s">
        <v>5033</v>
      </c>
      <c r="DD536" s="1125" t="s">
        <v>954</v>
      </c>
      <c r="DE536" s="1120" t="str">
        <f t="shared" si="675"/>
        <v/>
      </c>
      <c r="DF536" s="1120">
        <v>0</v>
      </c>
      <c r="DG536" s="1120">
        <v>0</v>
      </c>
    </row>
    <row r="537" spans="1:111">
      <c r="A537" s="1125" t="s">
        <v>3813</v>
      </c>
      <c r="B537" s="1120" t="s">
        <v>3607</v>
      </c>
      <c r="C537" s="1120" t="s">
        <v>3608</v>
      </c>
      <c r="D537" s="1120" t="s">
        <v>1107</v>
      </c>
      <c r="E537" s="1120">
        <v>541</v>
      </c>
      <c r="F537" s="1120">
        <v>-85.67</v>
      </c>
      <c r="G537" s="1120">
        <v>38.229999999999997</v>
      </c>
      <c r="H537" s="1120">
        <v>-5</v>
      </c>
      <c r="I537" s="1121">
        <v>13.640000343322754</v>
      </c>
      <c r="J537" s="1121">
        <v>91.039998626708993</v>
      </c>
      <c r="K537" s="1122">
        <v>74.83999862670899</v>
      </c>
      <c r="L537" s="1120">
        <v>3855.6</v>
      </c>
      <c r="M537" s="1120">
        <v>1438.2</v>
      </c>
      <c r="N537" s="1123">
        <v>31.279999989271165</v>
      </c>
      <c r="O537" s="1123">
        <v>42.079999828338622</v>
      </c>
      <c r="P537" s="1123">
        <v>50</v>
      </c>
      <c r="Q537" s="1123">
        <v>60.440000343322751</v>
      </c>
      <c r="R537" s="1123">
        <v>69.980000686645511</v>
      </c>
      <c r="S537" s="1123">
        <v>74.480000686645511</v>
      </c>
      <c r="T537" s="1123">
        <v>75.019999313354489</v>
      </c>
      <c r="U537" s="1123">
        <v>75.919999313354495</v>
      </c>
      <c r="V537" s="1123">
        <v>67.639998626708987</v>
      </c>
      <c r="W537" s="1123">
        <v>56.659999656677243</v>
      </c>
      <c r="X537" s="1123">
        <v>51.8</v>
      </c>
      <c r="Y537" s="1123">
        <v>37.220000171661376</v>
      </c>
      <c r="Z537" s="1123">
        <v>57.774027282064907</v>
      </c>
      <c r="AA537" s="1123">
        <f t="shared" si="601"/>
        <v>52.563520652111109</v>
      </c>
      <c r="AB537" s="1123">
        <f t="shared" si="602"/>
        <v>51.908222847097157</v>
      </c>
      <c r="AC537" s="1123">
        <f t="shared" si="603"/>
        <v>54.345929825638947</v>
      </c>
      <c r="AD537" s="1123">
        <f t="shared" si="604"/>
        <v>59.2412156975779</v>
      </c>
      <c r="AE537" s="1123">
        <f t="shared" si="605"/>
        <v>65.318048761754341</v>
      </c>
      <c r="AF537" s="1123">
        <f t="shared" si="606"/>
        <v>70.992408833158478</v>
      </c>
      <c r="AG537" s="1123">
        <f t="shared" si="607"/>
        <v>74.785186514643215</v>
      </c>
      <c r="AH537" s="1123">
        <f t="shared" si="608"/>
        <v>75.707735855056256</v>
      </c>
      <c r="AI537" s="1123">
        <f t="shared" si="609"/>
        <v>73.519580151903256</v>
      </c>
      <c r="AJ537" s="1123">
        <f t="shared" si="610"/>
        <v>68.79109590971116</v>
      </c>
      <c r="AK537" s="1123">
        <f t="shared" si="611"/>
        <v>62.754835414355199</v>
      </c>
      <c r="AL537" s="1123">
        <f t="shared" si="612"/>
        <v>56.984242985539865</v>
      </c>
      <c r="AM537" s="1120">
        <f t="shared" si="613"/>
        <v>1</v>
      </c>
      <c r="AN537" s="1120">
        <f t="shared" si="614"/>
        <v>1</v>
      </c>
      <c r="AO537" s="1120">
        <f t="shared" si="615"/>
        <v>1</v>
      </c>
      <c r="AP537" s="1120">
        <f t="shared" si="616"/>
        <v>1</v>
      </c>
      <c r="AQ537" s="1120">
        <f t="shared" si="617"/>
        <v>0</v>
      </c>
      <c r="AR537" s="1120">
        <f t="shared" si="618"/>
        <v>0</v>
      </c>
      <c r="AS537" s="1120">
        <f t="shared" si="619"/>
        <v>0</v>
      </c>
      <c r="AT537" s="1120">
        <f t="shared" si="620"/>
        <v>0</v>
      </c>
      <c r="AU537" s="1120">
        <f t="shared" si="621"/>
        <v>0</v>
      </c>
      <c r="AV537" s="1120">
        <f t="shared" si="622"/>
        <v>1</v>
      </c>
      <c r="AW537" s="1120">
        <f t="shared" si="623"/>
        <v>1</v>
      </c>
      <c r="AX537" s="1120">
        <f t="shared" si="624"/>
        <v>1</v>
      </c>
      <c r="AY537" s="1120">
        <f t="shared" si="625"/>
        <v>0</v>
      </c>
      <c r="AZ537" s="1120">
        <f t="shared" si="626"/>
        <v>0</v>
      </c>
      <c r="BA537" s="1120">
        <f t="shared" si="627"/>
        <v>0</v>
      </c>
      <c r="BB537" s="1120">
        <f t="shared" si="628"/>
        <v>0</v>
      </c>
      <c r="BC537" s="1120">
        <f t="shared" si="629"/>
        <v>1</v>
      </c>
      <c r="BD537" s="1120">
        <f t="shared" si="630"/>
        <v>1</v>
      </c>
      <c r="BE537" s="1120">
        <f t="shared" si="631"/>
        <v>1</v>
      </c>
      <c r="BF537" s="1120">
        <f t="shared" si="632"/>
        <v>1</v>
      </c>
      <c r="BG537" s="1120">
        <f t="shared" si="633"/>
        <v>1</v>
      </c>
      <c r="BH537" s="1120">
        <f t="shared" si="634"/>
        <v>0</v>
      </c>
      <c r="BI537" s="1120">
        <f t="shared" si="635"/>
        <v>0</v>
      </c>
      <c r="BJ537" s="1120">
        <f t="shared" si="636"/>
        <v>0</v>
      </c>
      <c r="BK537" s="1120">
        <f t="shared" si="637"/>
        <v>1</v>
      </c>
      <c r="BL537" s="1120">
        <f t="shared" si="638"/>
        <v>1</v>
      </c>
      <c r="BM537" s="1120">
        <f t="shared" si="639"/>
        <v>1</v>
      </c>
      <c r="BN537" s="1120">
        <f t="shared" si="640"/>
        <v>1</v>
      </c>
      <c r="BO537" s="1120">
        <f t="shared" si="641"/>
        <v>1</v>
      </c>
      <c r="BP537" s="1120">
        <f t="shared" si="642"/>
        <v>0</v>
      </c>
      <c r="BQ537" s="1120">
        <f t="shared" si="643"/>
        <v>0</v>
      </c>
      <c r="BR537" s="1120">
        <f t="shared" si="644"/>
        <v>0</v>
      </c>
      <c r="BS537" s="1120">
        <f t="shared" si="645"/>
        <v>0</v>
      </c>
      <c r="BT537" s="1120">
        <f t="shared" si="646"/>
        <v>1</v>
      </c>
      <c r="BU537" s="1120">
        <f t="shared" si="647"/>
        <v>1</v>
      </c>
      <c r="BV537" s="1120">
        <f t="shared" si="648"/>
        <v>1</v>
      </c>
      <c r="BW537" s="1120">
        <f t="shared" si="649"/>
        <v>0</v>
      </c>
      <c r="BX537" s="1120">
        <f t="shared" si="650"/>
        <v>0</v>
      </c>
      <c r="BY537" s="1120">
        <f t="shared" si="651"/>
        <v>0</v>
      </c>
      <c r="BZ537" s="1120">
        <f t="shared" si="652"/>
        <v>1</v>
      </c>
      <c r="CA537" s="1120">
        <f t="shared" si="653"/>
        <v>1</v>
      </c>
      <c r="CB537" s="1120">
        <f t="shared" si="654"/>
        <v>1</v>
      </c>
      <c r="CC537" s="1120">
        <f t="shared" si="655"/>
        <v>1</v>
      </c>
      <c r="CD537" s="1120">
        <f t="shared" si="656"/>
        <v>1</v>
      </c>
      <c r="CE537" s="1120">
        <f t="shared" si="657"/>
        <v>1</v>
      </c>
      <c r="CF537" s="1120">
        <f t="shared" si="658"/>
        <v>1</v>
      </c>
      <c r="CG537" s="1120">
        <f t="shared" si="659"/>
        <v>0</v>
      </c>
      <c r="CH537" s="1120">
        <f t="shared" si="660"/>
        <v>0</v>
      </c>
      <c r="CI537" s="1120">
        <f t="shared" si="661"/>
        <v>0.85</v>
      </c>
      <c r="CJ537" s="1120">
        <f t="shared" si="662"/>
        <v>0.85</v>
      </c>
      <c r="CK537" s="1120">
        <f t="shared" si="663"/>
        <v>0.85</v>
      </c>
      <c r="CL537" s="1120">
        <f t="shared" si="664"/>
        <v>0.85</v>
      </c>
      <c r="CM537" s="1120">
        <f t="shared" si="665"/>
        <v>0.85</v>
      </c>
      <c r="CN537" s="1120">
        <f t="shared" si="666"/>
        <v>0.7</v>
      </c>
      <c r="CO537" s="1120">
        <f t="shared" si="667"/>
        <v>0.7</v>
      </c>
      <c r="CP537" s="1120">
        <f t="shared" si="668"/>
        <v>0.7</v>
      </c>
      <c r="CQ537" s="1120">
        <f t="shared" si="669"/>
        <v>0.7</v>
      </c>
      <c r="CR537" s="1120">
        <f t="shared" si="670"/>
        <v>0.85</v>
      </c>
      <c r="CS537" s="1120">
        <f t="shared" si="671"/>
        <v>0.85</v>
      </c>
      <c r="CT537" s="1120">
        <f t="shared" si="672"/>
        <v>0.85</v>
      </c>
      <c r="CU537" s="1120">
        <v>1</v>
      </c>
      <c r="CV537" s="1120"/>
      <c r="CW537" s="1120">
        <f t="shared" si="673"/>
        <v>214</v>
      </c>
      <c r="CX537" s="1120">
        <f t="shared" si="674"/>
        <v>151</v>
      </c>
      <c r="CY537" s="1135" t="s">
        <v>4881</v>
      </c>
      <c r="CZ537" s="1124" t="s">
        <v>4885</v>
      </c>
      <c r="DA537" s="1124"/>
      <c r="DB537" s="1124"/>
      <c r="DC537" s="1120" t="s">
        <v>5247</v>
      </c>
      <c r="DD537" s="1120" t="s">
        <v>1107</v>
      </c>
      <c r="DE537" s="1120" t="str">
        <f t="shared" si="675"/>
        <v/>
      </c>
      <c r="DF537" s="1133">
        <v>0</v>
      </c>
      <c r="DG537" s="1125">
        <v>0</v>
      </c>
    </row>
    <row r="538" spans="1:111">
      <c r="A538" s="1120" t="s">
        <v>5880</v>
      </c>
      <c r="B538" s="1125" t="s">
        <v>3609</v>
      </c>
      <c r="C538" s="1125" t="s">
        <v>3610</v>
      </c>
      <c r="D538" s="1125" t="s">
        <v>1107</v>
      </c>
      <c r="E538" s="1125">
        <v>482</v>
      </c>
      <c r="F538" s="1125">
        <v>-85.73</v>
      </c>
      <c r="G538" s="1125">
        <v>38.18</v>
      </c>
      <c r="H538" s="1125">
        <v>-5</v>
      </c>
      <c r="I538" s="1126">
        <v>14.540000343322754</v>
      </c>
      <c r="J538" s="1126">
        <v>91.22000274658204</v>
      </c>
      <c r="K538" s="1127">
        <v>75.2</v>
      </c>
      <c r="L538" s="1125">
        <v>4397.4000000000005</v>
      </c>
      <c r="M538" s="1125">
        <v>1504.8</v>
      </c>
      <c r="N538" s="1128">
        <v>31.639999994635581</v>
      </c>
      <c r="O538" s="1128">
        <v>33.619999957084659</v>
      </c>
      <c r="P538" s="1128">
        <v>47.840000343322757</v>
      </c>
      <c r="Q538" s="1128">
        <v>55.940000343322751</v>
      </c>
      <c r="R538" s="1128">
        <v>66.739998626708982</v>
      </c>
      <c r="S538" s="1128">
        <v>75.560001373291016</v>
      </c>
      <c r="T538" s="1128">
        <v>78.080000686645505</v>
      </c>
      <c r="U538" s="1128">
        <v>75.380000686645502</v>
      </c>
      <c r="V538" s="1128">
        <v>68.539998626708979</v>
      </c>
      <c r="W538" s="1128">
        <v>58.640000343322754</v>
      </c>
      <c r="X538" s="1128">
        <v>45.859999656677246</v>
      </c>
      <c r="Y538" s="1128">
        <v>38.299999999999997</v>
      </c>
      <c r="Z538" s="1128">
        <v>56.475561698405713</v>
      </c>
      <c r="AA538" s="1128">
        <f t="shared" si="601"/>
        <v>51.194721139087243</v>
      </c>
      <c r="AB538" s="1128">
        <f t="shared" si="602"/>
        <v>50.391426128066598</v>
      </c>
      <c r="AC538" s="1128">
        <f t="shared" si="603"/>
        <v>52.738047275620872</v>
      </c>
      <c r="AD538" s="1128">
        <f t="shared" si="604"/>
        <v>57.622901617113541</v>
      </c>
      <c r="AE538" s="1128">
        <f t="shared" si="605"/>
        <v>63.772676590550496</v>
      </c>
      <c r="AF538" s="1128">
        <f t="shared" si="606"/>
        <v>69.584338578204353</v>
      </c>
      <c r="AG538" s="1128">
        <f t="shared" si="607"/>
        <v>73.542988322570949</v>
      </c>
      <c r="AH538" s="1128">
        <f t="shared" si="608"/>
        <v>74.616742763141957</v>
      </c>
      <c r="AI538" s="1128">
        <f t="shared" si="609"/>
        <v>72.525711257925735</v>
      </c>
      <c r="AJ538" s="1128">
        <f t="shared" si="610"/>
        <v>67.814953392527826</v>
      </c>
      <c r="AK538" s="1128">
        <f t="shared" si="611"/>
        <v>61.712400799540305</v>
      </c>
      <c r="AL538" s="1128">
        <f t="shared" si="612"/>
        <v>55.808777855507493</v>
      </c>
      <c r="AM538" s="1125">
        <f t="shared" si="613"/>
        <v>1</v>
      </c>
      <c r="AN538" s="1125">
        <f t="shared" si="614"/>
        <v>1</v>
      </c>
      <c r="AO538" s="1125">
        <f t="shared" si="615"/>
        <v>1</v>
      </c>
      <c r="AP538" s="1125">
        <f t="shared" si="616"/>
        <v>1</v>
      </c>
      <c r="AQ538" s="1125">
        <f t="shared" si="617"/>
        <v>0</v>
      </c>
      <c r="AR538" s="1125">
        <f t="shared" si="618"/>
        <v>0</v>
      </c>
      <c r="AS538" s="1125">
        <f t="shared" si="619"/>
        <v>0</v>
      </c>
      <c r="AT538" s="1125">
        <f t="shared" si="620"/>
        <v>0</v>
      </c>
      <c r="AU538" s="1125">
        <f t="shared" si="621"/>
        <v>0</v>
      </c>
      <c r="AV538" s="1125">
        <f t="shared" si="622"/>
        <v>1</v>
      </c>
      <c r="AW538" s="1125">
        <f t="shared" si="623"/>
        <v>1</v>
      </c>
      <c r="AX538" s="1125">
        <f t="shared" si="624"/>
        <v>1</v>
      </c>
      <c r="AY538" s="1125">
        <f t="shared" si="625"/>
        <v>0</v>
      </c>
      <c r="AZ538" s="1125">
        <f t="shared" si="626"/>
        <v>0</v>
      </c>
      <c r="BA538" s="1125">
        <f t="shared" si="627"/>
        <v>0</v>
      </c>
      <c r="BB538" s="1125">
        <f t="shared" si="628"/>
        <v>0</v>
      </c>
      <c r="BC538" s="1125">
        <f t="shared" si="629"/>
        <v>1</v>
      </c>
      <c r="BD538" s="1125">
        <f t="shared" si="630"/>
        <v>1</v>
      </c>
      <c r="BE538" s="1125">
        <f t="shared" si="631"/>
        <v>1</v>
      </c>
      <c r="BF538" s="1125">
        <f t="shared" si="632"/>
        <v>1</v>
      </c>
      <c r="BG538" s="1125">
        <f t="shared" si="633"/>
        <v>1</v>
      </c>
      <c r="BH538" s="1125">
        <f t="shared" si="634"/>
        <v>0</v>
      </c>
      <c r="BI538" s="1125">
        <f t="shared" si="635"/>
        <v>0</v>
      </c>
      <c r="BJ538" s="1125">
        <f t="shared" si="636"/>
        <v>0</v>
      </c>
      <c r="BK538" s="1125">
        <f t="shared" si="637"/>
        <v>1</v>
      </c>
      <c r="BL538" s="1125">
        <f t="shared" si="638"/>
        <v>1</v>
      </c>
      <c r="BM538" s="1125">
        <f t="shared" si="639"/>
        <v>1</v>
      </c>
      <c r="BN538" s="1125">
        <f t="shared" si="640"/>
        <v>1</v>
      </c>
      <c r="BO538" s="1125">
        <f t="shared" si="641"/>
        <v>1</v>
      </c>
      <c r="BP538" s="1125">
        <f t="shared" si="642"/>
        <v>0</v>
      </c>
      <c r="BQ538" s="1125">
        <f t="shared" si="643"/>
        <v>0</v>
      </c>
      <c r="BR538" s="1125">
        <f t="shared" si="644"/>
        <v>0</v>
      </c>
      <c r="BS538" s="1125">
        <f t="shared" si="645"/>
        <v>0</v>
      </c>
      <c r="BT538" s="1125">
        <f t="shared" si="646"/>
        <v>1</v>
      </c>
      <c r="BU538" s="1125">
        <f t="shared" si="647"/>
        <v>1</v>
      </c>
      <c r="BV538" s="1125">
        <f t="shared" si="648"/>
        <v>1</v>
      </c>
      <c r="BW538" s="1125">
        <f t="shared" si="649"/>
        <v>0</v>
      </c>
      <c r="BX538" s="1125">
        <f t="shared" si="650"/>
        <v>0</v>
      </c>
      <c r="BY538" s="1125">
        <f t="shared" si="651"/>
        <v>0</v>
      </c>
      <c r="BZ538" s="1125">
        <f t="shared" si="652"/>
        <v>1</v>
      </c>
      <c r="CA538" s="1125">
        <f t="shared" si="653"/>
        <v>1</v>
      </c>
      <c r="CB538" s="1125">
        <f t="shared" si="654"/>
        <v>1</v>
      </c>
      <c r="CC538" s="1125">
        <f t="shared" si="655"/>
        <v>1</v>
      </c>
      <c r="CD538" s="1125">
        <f t="shared" si="656"/>
        <v>1</v>
      </c>
      <c r="CE538" s="1125">
        <f t="shared" si="657"/>
        <v>1</v>
      </c>
      <c r="CF538" s="1125">
        <f t="shared" si="658"/>
        <v>1</v>
      </c>
      <c r="CG538" s="1125">
        <f t="shared" si="659"/>
        <v>0</v>
      </c>
      <c r="CH538" s="1125">
        <f t="shared" si="660"/>
        <v>0</v>
      </c>
      <c r="CI538" s="1125">
        <f t="shared" si="661"/>
        <v>0.85</v>
      </c>
      <c r="CJ538" s="1125">
        <f t="shared" si="662"/>
        <v>0.85</v>
      </c>
      <c r="CK538" s="1125">
        <f t="shared" si="663"/>
        <v>0.85</v>
      </c>
      <c r="CL538" s="1125">
        <f t="shared" si="664"/>
        <v>0.85</v>
      </c>
      <c r="CM538" s="1125">
        <f t="shared" si="665"/>
        <v>0.85</v>
      </c>
      <c r="CN538" s="1125">
        <f t="shared" si="666"/>
        <v>0.7</v>
      </c>
      <c r="CO538" s="1125">
        <f t="shared" si="667"/>
        <v>0.7</v>
      </c>
      <c r="CP538" s="1125">
        <f t="shared" si="668"/>
        <v>0.7</v>
      </c>
      <c r="CQ538" s="1125">
        <f t="shared" si="669"/>
        <v>0.7</v>
      </c>
      <c r="CR538" s="1125">
        <f t="shared" si="670"/>
        <v>0.85</v>
      </c>
      <c r="CS538" s="1125">
        <f t="shared" si="671"/>
        <v>0.85</v>
      </c>
      <c r="CT538" s="1125">
        <f t="shared" si="672"/>
        <v>0.85</v>
      </c>
      <c r="CU538" s="1125">
        <v>1</v>
      </c>
      <c r="CV538" s="1125"/>
      <c r="CW538" s="1125">
        <f t="shared" si="673"/>
        <v>214</v>
      </c>
      <c r="CX538" s="1125">
        <f t="shared" si="674"/>
        <v>151</v>
      </c>
      <c r="CY538" s="1136" t="s">
        <v>4881</v>
      </c>
      <c r="CZ538" s="1129" t="s">
        <v>4885</v>
      </c>
      <c r="DA538" s="1129"/>
      <c r="DB538" s="1129"/>
      <c r="DC538" s="1125" t="s">
        <v>5248</v>
      </c>
      <c r="DD538" s="1125" t="s">
        <v>1107</v>
      </c>
      <c r="DE538" s="1120" t="str">
        <f t="shared" si="675"/>
        <v/>
      </c>
      <c r="DF538" s="1133">
        <v>0</v>
      </c>
      <c r="DG538" s="1120">
        <v>0</v>
      </c>
    </row>
    <row r="539" spans="1:111">
      <c r="A539" s="1125" t="s">
        <v>5882</v>
      </c>
      <c r="B539" s="1125" t="s">
        <v>4106</v>
      </c>
      <c r="C539" s="1125" t="s">
        <v>4107</v>
      </c>
      <c r="D539" s="1125" t="s">
        <v>450</v>
      </c>
      <c r="E539" s="1125">
        <v>3900</v>
      </c>
      <c r="F539" s="1125">
        <v>-118.55</v>
      </c>
      <c r="G539" s="1125">
        <v>40.07</v>
      </c>
      <c r="H539" s="1125">
        <v>-8</v>
      </c>
      <c r="I539" s="1126">
        <v>10.399999999999999</v>
      </c>
      <c r="J539" s="1126">
        <v>96.8</v>
      </c>
      <c r="K539" s="1127">
        <v>61.880000686645509</v>
      </c>
      <c r="L539" s="1125">
        <v>5137.2</v>
      </c>
      <c r="M539" s="1125">
        <v>1148.4000000000001</v>
      </c>
      <c r="N539" s="1128">
        <v>30.919999957084656</v>
      </c>
      <c r="O539" s="1128">
        <v>38.839999914169312</v>
      </c>
      <c r="P539" s="1128">
        <v>43.159999656677243</v>
      </c>
      <c r="Q539" s="1128">
        <v>50.180000686645506</v>
      </c>
      <c r="R539" s="1128">
        <v>60.259999656677245</v>
      </c>
      <c r="S539" s="1128">
        <v>71.239998626708982</v>
      </c>
      <c r="T539" s="1128">
        <v>79.7</v>
      </c>
      <c r="U539" s="1128">
        <v>74.83999862670899</v>
      </c>
      <c r="V539" s="1128">
        <v>65.66000137329101</v>
      </c>
      <c r="W539" s="1128">
        <v>53.419999313354495</v>
      </c>
      <c r="X539" s="1128">
        <v>39.920000171661378</v>
      </c>
      <c r="Y539" s="1128">
        <v>32.720000010728839</v>
      </c>
      <c r="Z539" s="1128">
        <v>53.488054622477051</v>
      </c>
      <c r="AA539" s="1128">
        <f t="shared" si="601"/>
        <v>48.562615733389684</v>
      </c>
      <c r="AB539" s="1128">
        <f t="shared" si="602"/>
        <v>47.453900571825685</v>
      </c>
      <c r="AC539" s="1128">
        <f t="shared" si="603"/>
        <v>49.482073115491474</v>
      </c>
      <c r="AD539" s="1128">
        <f t="shared" si="604"/>
        <v>54.118458935795573</v>
      </c>
      <c r="AE539" s="1128">
        <f t="shared" si="605"/>
        <v>60.154512619807491</v>
      </c>
      <c r="AF539" s="1128">
        <f t="shared" si="606"/>
        <v>66.016843756386606</v>
      </c>
      <c r="AG539" s="1128">
        <f t="shared" si="607"/>
        <v>70.177345393526153</v>
      </c>
      <c r="AH539" s="1128">
        <f t="shared" si="608"/>
        <v>71.55151866423472</v>
      </c>
      <c r="AI539" s="1128">
        <f t="shared" si="609"/>
        <v>69.781164128851017</v>
      </c>
      <c r="AJ539" s="1128">
        <f t="shared" si="610"/>
        <v>65.327751979012021</v>
      </c>
      <c r="AK539" s="1128">
        <f t="shared" si="611"/>
        <v>59.352132720731845</v>
      </c>
      <c r="AL539" s="1128">
        <f t="shared" si="612"/>
        <v>53.411943600761482</v>
      </c>
      <c r="AM539" s="1125">
        <f t="shared" si="613"/>
        <v>1</v>
      </c>
      <c r="AN539" s="1125">
        <f t="shared" si="614"/>
        <v>1</v>
      </c>
      <c r="AO539" s="1125">
        <f t="shared" si="615"/>
        <v>1</v>
      </c>
      <c r="AP539" s="1125">
        <f t="shared" si="616"/>
        <v>1</v>
      </c>
      <c r="AQ539" s="1125">
        <f t="shared" si="617"/>
        <v>1</v>
      </c>
      <c r="AR539" s="1125">
        <f t="shared" si="618"/>
        <v>0</v>
      </c>
      <c r="AS539" s="1125">
        <f t="shared" si="619"/>
        <v>0</v>
      </c>
      <c r="AT539" s="1125">
        <f t="shared" si="620"/>
        <v>0</v>
      </c>
      <c r="AU539" s="1125">
        <f t="shared" si="621"/>
        <v>1</v>
      </c>
      <c r="AV539" s="1125">
        <f t="shared" si="622"/>
        <v>1</v>
      </c>
      <c r="AW539" s="1125">
        <f t="shared" si="623"/>
        <v>1</v>
      </c>
      <c r="AX539" s="1125">
        <f t="shared" si="624"/>
        <v>1</v>
      </c>
      <c r="AY539" s="1125">
        <f t="shared" si="625"/>
        <v>0</v>
      </c>
      <c r="AZ539" s="1125">
        <f t="shared" si="626"/>
        <v>0</v>
      </c>
      <c r="BA539" s="1125">
        <f t="shared" si="627"/>
        <v>0</v>
      </c>
      <c r="BB539" s="1125">
        <f t="shared" si="628"/>
        <v>0</v>
      </c>
      <c r="BC539" s="1125">
        <f t="shared" si="629"/>
        <v>0</v>
      </c>
      <c r="BD539" s="1125">
        <f t="shared" si="630"/>
        <v>1</v>
      </c>
      <c r="BE539" s="1125">
        <f t="shared" si="631"/>
        <v>1</v>
      </c>
      <c r="BF539" s="1125">
        <f t="shared" si="632"/>
        <v>1</v>
      </c>
      <c r="BG539" s="1125">
        <f t="shared" si="633"/>
        <v>0</v>
      </c>
      <c r="BH539" s="1125">
        <f t="shared" si="634"/>
        <v>0</v>
      </c>
      <c r="BI539" s="1125">
        <f t="shared" si="635"/>
        <v>0</v>
      </c>
      <c r="BJ539" s="1125">
        <f t="shared" si="636"/>
        <v>0</v>
      </c>
      <c r="BK539" s="1125">
        <f t="shared" si="637"/>
        <v>1</v>
      </c>
      <c r="BL539" s="1125">
        <f t="shared" si="638"/>
        <v>1</v>
      </c>
      <c r="BM539" s="1125">
        <f t="shared" si="639"/>
        <v>1</v>
      </c>
      <c r="BN539" s="1125">
        <f t="shared" si="640"/>
        <v>1</v>
      </c>
      <c r="BO539" s="1125">
        <f t="shared" si="641"/>
        <v>1</v>
      </c>
      <c r="BP539" s="1125">
        <f t="shared" si="642"/>
        <v>1</v>
      </c>
      <c r="BQ539" s="1125">
        <f t="shared" si="643"/>
        <v>0</v>
      </c>
      <c r="BR539" s="1125">
        <f t="shared" si="644"/>
        <v>0</v>
      </c>
      <c r="BS539" s="1125">
        <f t="shared" si="645"/>
        <v>1</v>
      </c>
      <c r="BT539" s="1125">
        <f t="shared" si="646"/>
        <v>1</v>
      </c>
      <c r="BU539" s="1125">
        <f t="shared" si="647"/>
        <v>1</v>
      </c>
      <c r="BV539" s="1125">
        <f t="shared" si="648"/>
        <v>1</v>
      </c>
      <c r="BW539" s="1125">
        <f t="shared" si="649"/>
        <v>0</v>
      </c>
      <c r="BX539" s="1125">
        <f t="shared" si="650"/>
        <v>0</v>
      </c>
      <c r="BY539" s="1125">
        <f t="shared" si="651"/>
        <v>0</v>
      </c>
      <c r="BZ539" s="1125">
        <f t="shared" si="652"/>
        <v>0</v>
      </c>
      <c r="CA539" s="1125">
        <f t="shared" si="653"/>
        <v>1</v>
      </c>
      <c r="CB539" s="1125">
        <f t="shared" si="654"/>
        <v>1</v>
      </c>
      <c r="CC539" s="1125">
        <f t="shared" si="655"/>
        <v>1</v>
      </c>
      <c r="CD539" s="1125">
        <f t="shared" si="656"/>
        <v>1</v>
      </c>
      <c r="CE539" s="1125">
        <f t="shared" si="657"/>
        <v>1</v>
      </c>
      <c r="CF539" s="1125">
        <f t="shared" si="658"/>
        <v>0</v>
      </c>
      <c r="CG539" s="1125">
        <f t="shared" si="659"/>
        <v>0</v>
      </c>
      <c r="CH539" s="1125">
        <f t="shared" si="660"/>
        <v>0</v>
      </c>
      <c r="CI539" s="1125">
        <f t="shared" si="661"/>
        <v>0.85</v>
      </c>
      <c r="CJ539" s="1125">
        <f t="shared" si="662"/>
        <v>0.85</v>
      </c>
      <c r="CK539" s="1125">
        <f t="shared" si="663"/>
        <v>0.85</v>
      </c>
      <c r="CL539" s="1125">
        <f t="shared" si="664"/>
        <v>0.85</v>
      </c>
      <c r="CM539" s="1125">
        <f t="shared" si="665"/>
        <v>0.85</v>
      </c>
      <c r="CN539" s="1125">
        <f t="shared" si="666"/>
        <v>0.85</v>
      </c>
      <c r="CO539" s="1125">
        <f t="shared" si="667"/>
        <v>0.7</v>
      </c>
      <c r="CP539" s="1125">
        <f t="shared" si="668"/>
        <v>0.7</v>
      </c>
      <c r="CQ539" s="1125">
        <f t="shared" si="669"/>
        <v>0.85</v>
      </c>
      <c r="CR539" s="1125">
        <f t="shared" si="670"/>
        <v>0.85</v>
      </c>
      <c r="CS539" s="1125">
        <f t="shared" si="671"/>
        <v>0.85</v>
      </c>
      <c r="CT539" s="1125">
        <f t="shared" si="672"/>
        <v>0.85</v>
      </c>
      <c r="CU539" s="1125">
        <v>1</v>
      </c>
      <c r="CV539" s="1125"/>
      <c r="CW539" s="1125">
        <f t="shared" si="673"/>
        <v>153</v>
      </c>
      <c r="CX539" s="1125">
        <f t="shared" si="674"/>
        <v>212</v>
      </c>
      <c r="CY539" s="1136" t="s">
        <v>4889</v>
      </c>
      <c r="CZ539" s="1129" t="s">
        <v>4890</v>
      </c>
      <c r="DA539" s="1129"/>
      <c r="DB539" s="1129"/>
      <c r="DC539" s="1125" t="s">
        <v>5464</v>
      </c>
      <c r="DD539" s="1125" t="s">
        <v>450</v>
      </c>
      <c r="DE539" s="1120" t="str">
        <f t="shared" si="675"/>
        <v/>
      </c>
      <c r="DF539" s="1133">
        <v>0</v>
      </c>
      <c r="DG539" s="1125">
        <v>0</v>
      </c>
    </row>
    <row r="540" spans="1:111">
      <c r="A540" s="1120" t="s">
        <v>5884</v>
      </c>
      <c r="B540" s="1120" t="s">
        <v>4424</v>
      </c>
      <c r="C540" s="1120" t="s">
        <v>4425</v>
      </c>
      <c r="D540" s="1120" t="s">
        <v>228</v>
      </c>
      <c r="E540" s="1120">
        <v>3254</v>
      </c>
      <c r="F540" s="1120">
        <v>-101.82</v>
      </c>
      <c r="G540" s="1120">
        <v>33.67</v>
      </c>
      <c r="H540" s="1120">
        <v>-6</v>
      </c>
      <c r="I540" s="1121">
        <v>18.859999656677246</v>
      </c>
      <c r="J540" s="1121">
        <v>96.260001373291018</v>
      </c>
      <c r="K540" s="1122">
        <v>67.460001373291021</v>
      </c>
      <c r="L540" s="1120">
        <v>3454.2000000000003</v>
      </c>
      <c r="M540" s="1120">
        <v>1765.8</v>
      </c>
      <c r="N540" s="1123">
        <v>37.220000171661376</v>
      </c>
      <c r="O540" s="1123">
        <v>42.079999828338622</v>
      </c>
      <c r="P540" s="1123">
        <v>53.059999656677249</v>
      </c>
      <c r="Q540" s="1123">
        <v>60.080000686645505</v>
      </c>
      <c r="R540" s="1123">
        <v>69.8</v>
      </c>
      <c r="S540" s="1123">
        <v>76.280000686645508</v>
      </c>
      <c r="T540" s="1123">
        <v>78.8</v>
      </c>
      <c r="U540" s="1123">
        <v>78.260001373291018</v>
      </c>
      <c r="V540" s="1123">
        <v>70.16000137329101</v>
      </c>
      <c r="W540" s="1123">
        <v>62.060001373291016</v>
      </c>
      <c r="X540" s="1123">
        <v>46.940000343322751</v>
      </c>
      <c r="Y540" s="1123">
        <v>41.540000343322752</v>
      </c>
      <c r="Z540" s="1123">
        <v>59.794466242071699</v>
      </c>
      <c r="AA540" s="1123">
        <f t="shared" si="601"/>
        <v>54.82259486293907</v>
      </c>
      <c r="AB540" s="1123">
        <f t="shared" si="602"/>
        <v>54.394358510763368</v>
      </c>
      <c r="AC540" s="1123">
        <f t="shared" si="603"/>
        <v>56.937735919731139</v>
      </c>
      <c r="AD540" s="1123">
        <f t="shared" si="604"/>
        <v>61.789756573562656</v>
      </c>
      <c r="AE540" s="1123">
        <f t="shared" si="605"/>
        <v>67.685666516935129</v>
      </c>
      <c r="AF540" s="1123">
        <f t="shared" si="606"/>
        <v>73.088605964386019</v>
      </c>
      <c r="AG540" s="1123">
        <f t="shared" si="607"/>
        <v>76.590215487120062</v>
      </c>
      <c r="AH540" s="1123">
        <f t="shared" si="608"/>
        <v>77.277746601600484</v>
      </c>
      <c r="AI540" s="1123">
        <f t="shared" si="609"/>
        <v>74.971983727662774</v>
      </c>
      <c r="AJ540" s="1123">
        <f t="shared" si="610"/>
        <v>70.273959491280252</v>
      </c>
      <c r="AK540" s="1123">
        <f t="shared" si="611"/>
        <v>64.408286308410993</v>
      </c>
      <c r="AL540" s="1123">
        <f t="shared" si="612"/>
        <v>58.903942286929798</v>
      </c>
      <c r="AM540" s="1120">
        <f t="shared" si="613"/>
        <v>1</v>
      </c>
      <c r="AN540" s="1120">
        <f t="shared" si="614"/>
        <v>1</v>
      </c>
      <c r="AO540" s="1120">
        <f t="shared" si="615"/>
        <v>1</v>
      </c>
      <c r="AP540" s="1120">
        <f t="shared" si="616"/>
        <v>1</v>
      </c>
      <c r="AQ540" s="1120">
        <f t="shared" si="617"/>
        <v>0</v>
      </c>
      <c r="AR540" s="1120">
        <f t="shared" si="618"/>
        <v>0</v>
      </c>
      <c r="AS540" s="1120">
        <f t="shared" si="619"/>
        <v>0</v>
      </c>
      <c r="AT540" s="1120">
        <f t="shared" si="620"/>
        <v>0</v>
      </c>
      <c r="AU540" s="1120">
        <f t="shared" si="621"/>
        <v>0</v>
      </c>
      <c r="AV540" s="1120">
        <f t="shared" si="622"/>
        <v>1</v>
      </c>
      <c r="AW540" s="1120">
        <f t="shared" si="623"/>
        <v>1</v>
      </c>
      <c r="AX540" s="1120">
        <f t="shared" si="624"/>
        <v>1</v>
      </c>
      <c r="AY540" s="1120">
        <f t="shared" si="625"/>
        <v>0</v>
      </c>
      <c r="AZ540" s="1120">
        <f t="shared" si="626"/>
        <v>0</v>
      </c>
      <c r="BA540" s="1120">
        <f t="shared" si="627"/>
        <v>0</v>
      </c>
      <c r="BB540" s="1120">
        <f t="shared" si="628"/>
        <v>0</v>
      </c>
      <c r="BC540" s="1120">
        <f t="shared" si="629"/>
        <v>1</v>
      </c>
      <c r="BD540" s="1120">
        <f t="shared" si="630"/>
        <v>1</v>
      </c>
      <c r="BE540" s="1120">
        <f t="shared" si="631"/>
        <v>1</v>
      </c>
      <c r="BF540" s="1120">
        <f t="shared" si="632"/>
        <v>1</v>
      </c>
      <c r="BG540" s="1120">
        <f t="shared" si="633"/>
        <v>1</v>
      </c>
      <c r="BH540" s="1120">
        <f t="shared" si="634"/>
        <v>0</v>
      </c>
      <c r="BI540" s="1120">
        <f t="shared" si="635"/>
        <v>0</v>
      </c>
      <c r="BJ540" s="1120">
        <f t="shared" si="636"/>
        <v>0</v>
      </c>
      <c r="BK540" s="1120">
        <f t="shared" si="637"/>
        <v>1</v>
      </c>
      <c r="BL540" s="1120">
        <f t="shared" si="638"/>
        <v>1</v>
      </c>
      <c r="BM540" s="1120">
        <f t="shared" si="639"/>
        <v>1</v>
      </c>
      <c r="BN540" s="1120">
        <f t="shared" si="640"/>
        <v>1</v>
      </c>
      <c r="BO540" s="1120">
        <f t="shared" si="641"/>
        <v>1</v>
      </c>
      <c r="BP540" s="1120">
        <f t="shared" si="642"/>
        <v>0</v>
      </c>
      <c r="BQ540" s="1120">
        <f t="shared" si="643"/>
        <v>0</v>
      </c>
      <c r="BR540" s="1120">
        <f t="shared" si="644"/>
        <v>0</v>
      </c>
      <c r="BS540" s="1120">
        <f t="shared" si="645"/>
        <v>0</v>
      </c>
      <c r="BT540" s="1120">
        <f t="shared" si="646"/>
        <v>1</v>
      </c>
      <c r="BU540" s="1120">
        <f t="shared" si="647"/>
        <v>1</v>
      </c>
      <c r="BV540" s="1120">
        <f t="shared" si="648"/>
        <v>1</v>
      </c>
      <c r="BW540" s="1120">
        <f t="shared" si="649"/>
        <v>0</v>
      </c>
      <c r="BX540" s="1120">
        <f t="shared" si="650"/>
        <v>0</v>
      </c>
      <c r="BY540" s="1120">
        <f t="shared" si="651"/>
        <v>0</v>
      </c>
      <c r="BZ540" s="1120">
        <f t="shared" si="652"/>
        <v>1</v>
      </c>
      <c r="CA540" s="1120">
        <f t="shared" si="653"/>
        <v>1</v>
      </c>
      <c r="CB540" s="1120">
        <f t="shared" si="654"/>
        <v>1</v>
      </c>
      <c r="CC540" s="1120">
        <f t="shared" si="655"/>
        <v>1</v>
      </c>
      <c r="CD540" s="1120">
        <f t="shared" si="656"/>
        <v>1</v>
      </c>
      <c r="CE540" s="1120">
        <f t="shared" si="657"/>
        <v>1</v>
      </c>
      <c r="CF540" s="1120">
        <f t="shared" si="658"/>
        <v>1</v>
      </c>
      <c r="CG540" s="1120">
        <f t="shared" si="659"/>
        <v>0</v>
      </c>
      <c r="CH540" s="1120">
        <f t="shared" si="660"/>
        <v>0</v>
      </c>
      <c r="CI540" s="1120">
        <f t="shared" si="661"/>
        <v>0.85</v>
      </c>
      <c r="CJ540" s="1120">
        <f t="shared" si="662"/>
        <v>0.85</v>
      </c>
      <c r="CK540" s="1120">
        <f t="shared" si="663"/>
        <v>0.85</v>
      </c>
      <c r="CL540" s="1120">
        <f t="shared" si="664"/>
        <v>0.85</v>
      </c>
      <c r="CM540" s="1120">
        <f t="shared" si="665"/>
        <v>0.85</v>
      </c>
      <c r="CN540" s="1120">
        <f t="shared" si="666"/>
        <v>0.7</v>
      </c>
      <c r="CO540" s="1120">
        <f t="shared" si="667"/>
        <v>0.7</v>
      </c>
      <c r="CP540" s="1120">
        <f t="shared" si="668"/>
        <v>0.7</v>
      </c>
      <c r="CQ540" s="1120">
        <f t="shared" si="669"/>
        <v>0.7</v>
      </c>
      <c r="CR540" s="1120">
        <f t="shared" si="670"/>
        <v>0.85</v>
      </c>
      <c r="CS540" s="1120">
        <f t="shared" si="671"/>
        <v>0.85</v>
      </c>
      <c r="CT540" s="1120">
        <f t="shared" si="672"/>
        <v>0.85</v>
      </c>
      <c r="CU540" s="1120">
        <v>1</v>
      </c>
      <c r="CV540" s="1120"/>
      <c r="CW540" s="1120">
        <f t="shared" si="673"/>
        <v>214</v>
      </c>
      <c r="CX540" s="1120">
        <f t="shared" si="674"/>
        <v>151</v>
      </c>
      <c r="CY540" s="1135" t="s">
        <v>4886</v>
      </c>
      <c r="CZ540" s="1124" t="s">
        <v>4888</v>
      </c>
      <c r="DA540" s="1124"/>
      <c r="DB540" s="1124"/>
      <c r="DC540" s="1120" t="s">
        <v>5602</v>
      </c>
      <c r="DD540" s="1120" t="s">
        <v>228</v>
      </c>
      <c r="DE540" s="1120" t="str">
        <f t="shared" si="675"/>
        <v/>
      </c>
      <c r="DF540" s="1133">
        <v>0</v>
      </c>
      <c r="DG540" s="1120">
        <v>0</v>
      </c>
    </row>
    <row r="541" spans="1:111">
      <c r="A541" s="1125" t="s">
        <v>3815</v>
      </c>
      <c r="B541" s="1125" t="s">
        <v>4426</v>
      </c>
      <c r="C541" s="1125" t="s">
        <v>4427</v>
      </c>
      <c r="D541" s="1125" t="s">
        <v>228</v>
      </c>
      <c r="E541" s="1125">
        <v>282</v>
      </c>
      <c r="F541" s="1125">
        <v>-94.75</v>
      </c>
      <c r="G541" s="1125">
        <v>31.23</v>
      </c>
      <c r="H541" s="1125">
        <v>-6</v>
      </c>
      <c r="I541" s="1126">
        <v>29.119999957084655</v>
      </c>
      <c r="J541" s="1126">
        <v>95.179997253417966</v>
      </c>
      <c r="K541" s="1127">
        <v>76.639998626708987</v>
      </c>
      <c r="L541" s="1125">
        <v>1798.2</v>
      </c>
      <c r="M541" s="1125">
        <v>2422.8000000000002</v>
      </c>
      <c r="N541" s="1128">
        <v>49.640000343322754</v>
      </c>
      <c r="O541" s="1128">
        <v>50.9</v>
      </c>
      <c r="P541" s="1128">
        <v>59.180000686645506</v>
      </c>
      <c r="Q541" s="1128">
        <v>66.560001373291016</v>
      </c>
      <c r="R541" s="1128">
        <v>72.680000686645513</v>
      </c>
      <c r="S541" s="1128">
        <v>78.439998626708984</v>
      </c>
      <c r="T541" s="1128">
        <v>81.139998626708987</v>
      </c>
      <c r="U541" s="1128">
        <v>81.5</v>
      </c>
      <c r="V541" s="1128">
        <v>76.639998626708987</v>
      </c>
      <c r="W541" s="1128">
        <v>65.66000137329101</v>
      </c>
      <c r="X541" s="1128">
        <v>60.619999313354491</v>
      </c>
      <c r="Y541" s="1128">
        <v>49.459999656677248</v>
      </c>
      <c r="Z541" s="1128">
        <v>66.109753371983359</v>
      </c>
      <c r="AA541" s="1128">
        <f t="shared" si="601"/>
        <v>62.403575285413503</v>
      </c>
      <c r="AB541" s="1128">
        <f t="shared" si="602"/>
        <v>62.587972594634664</v>
      </c>
      <c r="AC541" s="1128">
        <f t="shared" si="603"/>
        <v>65.254368798555163</v>
      </c>
      <c r="AD541" s="1128">
        <f t="shared" si="604"/>
        <v>69.707726636213849</v>
      </c>
      <c r="AE541" s="1128">
        <f t="shared" si="605"/>
        <v>74.78720975890333</v>
      </c>
      <c r="AF541" s="1128">
        <f t="shared" si="606"/>
        <v>79.168772613490233</v>
      </c>
      <c r="AG541" s="1128">
        <f t="shared" si="607"/>
        <v>81.710293319999039</v>
      </c>
      <c r="AH541" s="1128">
        <f t="shared" si="608"/>
        <v>81.749285340258581</v>
      </c>
      <c r="AI541" s="1128">
        <f t="shared" si="609"/>
        <v>79.275584803303005</v>
      </c>
      <c r="AJ541" s="1128">
        <f t="shared" si="610"/>
        <v>74.933999874968947</v>
      </c>
      <c r="AK541" s="1128">
        <f t="shared" si="611"/>
        <v>69.856231572675668</v>
      </c>
      <c r="AL541" s="1128">
        <f t="shared" si="612"/>
        <v>65.36587845519405</v>
      </c>
      <c r="AM541" s="1125">
        <f t="shared" si="613"/>
        <v>1</v>
      </c>
      <c r="AN541" s="1125">
        <f t="shared" si="614"/>
        <v>1</v>
      </c>
      <c r="AO541" s="1125">
        <f t="shared" si="615"/>
        <v>1</v>
      </c>
      <c r="AP541" s="1125">
        <f t="shared" si="616"/>
        <v>0</v>
      </c>
      <c r="AQ541" s="1125">
        <f t="shared" si="617"/>
        <v>0</v>
      </c>
      <c r="AR541" s="1125">
        <f t="shared" si="618"/>
        <v>0</v>
      </c>
      <c r="AS541" s="1125">
        <f t="shared" si="619"/>
        <v>0</v>
      </c>
      <c r="AT541" s="1125">
        <f t="shared" si="620"/>
        <v>0</v>
      </c>
      <c r="AU541" s="1125">
        <f t="shared" si="621"/>
        <v>0</v>
      </c>
      <c r="AV541" s="1125">
        <f t="shared" si="622"/>
        <v>1</v>
      </c>
      <c r="AW541" s="1125">
        <f t="shared" si="623"/>
        <v>1</v>
      </c>
      <c r="AX541" s="1125">
        <f t="shared" si="624"/>
        <v>1</v>
      </c>
      <c r="AY541" s="1125">
        <f t="shared" si="625"/>
        <v>0</v>
      </c>
      <c r="AZ541" s="1125">
        <f t="shared" si="626"/>
        <v>0</v>
      </c>
      <c r="BA541" s="1125">
        <f t="shared" si="627"/>
        <v>0</v>
      </c>
      <c r="BB541" s="1125">
        <f t="shared" si="628"/>
        <v>1</v>
      </c>
      <c r="BC541" s="1125">
        <f t="shared" si="629"/>
        <v>1</v>
      </c>
      <c r="BD541" s="1125">
        <f t="shared" si="630"/>
        <v>1</v>
      </c>
      <c r="BE541" s="1125">
        <f t="shared" si="631"/>
        <v>1</v>
      </c>
      <c r="BF541" s="1125">
        <f t="shared" si="632"/>
        <v>1</v>
      </c>
      <c r="BG541" s="1125">
        <f t="shared" si="633"/>
        <v>1</v>
      </c>
      <c r="BH541" s="1125">
        <f t="shared" si="634"/>
        <v>0</v>
      </c>
      <c r="BI541" s="1125">
        <f t="shared" si="635"/>
        <v>0</v>
      </c>
      <c r="BJ541" s="1125">
        <f t="shared" si="636"/>
        <v>0</v>
      </c>
      <c r="BK541" s="1125">
        <f t="shared" si="637"/>
        <v>1</v>
      </c>
      <c r="BL541" s="1125">
        <f t="shared" si="638"/>
        <v>1</v>
      </c>
      <c r="BM541" s="1125">
        <f t="shared" si="639"/>
        <v>1</v>
      </c>
      <c r="BN541" s="1125">
        <f t="shared" si="640"/>
        <v>1</v>
      </c>
      <c r="BO541" s="1125">
        <f t="shared" si="641"/>
        <v>0</v>
      </c>
      <c r="BP541" s="1125">
        <f t="shared" si="642"/>
        <v>0</v>
      </c>
      <c r="BQ541" s="1125">
        <f t="shared" si="643"/>
        <v>0</v>
      </c>
      <c r="BR541" s="1125">
        <f t="shared" si="644"/>
        <v>0</v>
      </c>
      <c r="BS541" s="1125">
        <f t="shared" si="645"/>
        <v>0</v>
      </c>
      <c r="BT541" s="1125">
        <f t="shared" si="646"/>
        <v>1</v>
      </c>
      <c r="BU541" s="1125">
        <f t="shared" si="647"/>
        <v>1</v>
      </c>
      <c r="BV541" s="1125">
        <f t="shared" si="648"/>
        <v>1</v>
      </c>
      <c r="BW541" s="1125">
        <f t="shared" si="649"/>
        <v>0</v>
      </c>
      <c r="BX541" s="1125">
        <f t="shared" si="650"/>
        <v>0</v>
      </c>
      <c r="BY541" s="1125">
        <f t="shared" si="651"/>
        <v>1</v>
      </c>
      <c r="BZ541" s="1125">
        <f t="shared" si="652"/>
        <v>1</v>
      </c>
      <c r="CA541" s="1125">
        <f t="shared" si="653"/>
        <v>1</v>
      </c>
      <c r="CB541" s="1125">
        <f t="shared" si="654"/>
        <v>1</v>
      </c>
      <c r="CC541" s="1125">
        <f t="shared" si="655"/>
        <v>1</v>
      </c>
      <c r="CD541" s="1125">
        <f t="shared" si="656"/>
        <v>1</v>
      </c>
      <c r="CE541" s="1125">
        <f t="shared" si="657"/>
        <v>1</v>
      </c>
      <c r="CF541" s="1125">
        <f t="shared" si="658"/>
        <v>1</v>
      </c>
      <c r="CG541" s="1125">
        <f t="shared" si="659"/>
        <v>0</v>
      </c>
      <c r="CH541" s="1125">
        <f t="shared" si="660"/>
        <v>0</v>
      </c>
      <c r="CI541" s="1125">
        <f t="shared" si="661"/>
        <v>0.85</v>
      </c>
      <c r="CJ541" s="1125">
        <f t="shared" si="662"/>
        <v>0.85</v>
      </c>
      <c r="CK541" s="1125">
        <f t="shared" si="663"/>
        <v>0.85</v>
      </c>
      <c r="CL541" s="1125">
        <f t="shared" si="664"/>
        <v>0.85</v>
      </c>
      <c r="CM541" s="1125">
        <f t="shared" si="665"/>
        <v>0.7</v>
      </c>
      <c r="CN541" s="1125">
        <f t="shared" si="666"/>
        <v>0.7</v>
      </c>
      <c r="CO541" s="1125">
        <f t="shared" si="667"/>
        <v>0.7</v>
      </c>
      <c r="CP541" s="1125">
        <f t="shared" si="668"/>
        <v>0.7</v>
      </c>
      <c r="CQ541" s="1125">
        <f t="shared" si="669"/>
        <v>0.7</v>
      </c>
      <c r="CR541" s="1125">
        <f t="shared" si="670"/>
        <v>0.85</v>
      </c>
      <c r="CS541" s="1125">
        <f t="shared" si="671"/>
        <v>0.85</v>
      </c>
      <c r="CT541" s="1125">
        <f t="shared" si="672"/>
        <v>0.85</v>
      </c>
      <c r="CU541" s="1125">
        <v>1</v>
      </c>
      <c r="CV541" s="1125"/>
      <c r="CW541" s="1125">
        <f t="shared" si="673"/>
        <v>245</v>
      </c>
      <c r="CX541" s="1125">
        <f t="shared" si="674"/>
        <v>120</v>
      </c>
      <c r="CY541" s="1136" t="s">
        <v>4883</v>
      </c>
      <c r="CZ541" s="1129" t="s">
        <v>4884</v>
      </c>
      <c r="DA541" s="1129"/>
      <c r="DB541" s="1129"/>
      <c r="DC541" s="1125" t="s">
        <v>5603</v>
      </c>
      <c r="DD541" s="1125" t="s">
        <v>228</v>
      </c>
      <c r="DE541" s="1120" t="str">
        <f t="shared" si="675"/>
        <v/>
      </c>
      <c r="DF541" s="1133">
        <v>0</v>
      </c>
      <c r="DG541" s="1125">
        <v>0</v>
      </c>
    </row>
    <row r="542" spans="1:111">
      <c r="A542" s="1120" t="s">
        <v>5886</v>
      </c>
      <c r="B542" s="1125" t="s">
        <v>3058</v>
      </c>
      <c r="C542" s="1125" t="s">
        <v>3059</v>
      </c>
      <c r="D542" s="1125" t="s">
        <v>1250</v>
      </c>
      <c r="E542" s="1125">
        <v>1086</v>
      </c>
      <c r="F542" s="1125">
        <v>-112.37</v>
      </c>
      <c r="G542" s="1125">
        <v>33.549999999999997</v>
      </c>
      <c r="H542" s="1125">
        <v>-7</v>
      </c>
      <c r="I542" s="1126">
        <v>37.579999828338622</v>
      </c>
      <c r="J542" s="1126">
        <v>108.5</v>
      </c>
      <c r="K542" s="1127">
        <v>70.519999313354489</v>
      </c>
      <c r="L542" s="1125">
        <v>1116</v>
      </c>
      <c r="M542" s="1125">
        <v>4458.6000000000004</v>
      </c>
      <c r="N542" s="1128">
        <v>53.959999656677248</v>
      </c>
      <c r="O542" s="1128">
        <v>56.3</v>
      </c>
      <c r="P542" s="1128">
        <v>60.259999656677245</v>
      </c>
      <c r="Q542" s="1128">
        <v>73.580000686645505</v>
      </c>
      <c r="R542" s="1128">
        <v>81.860001373291013</v>
      </c>
      <c r="S542" s="1128">
        <v>92.3</v>
      </c>
      <c r="T542" s="1128">
        <v>94.820002746582034</v>
      </c>
      <c r="U542" s="1128">
        <v>93.379997253417969</v>
      </c>
      <c r="V542" s="1128">
        <v>86.719999313354492</v>
      </c>
      <c r="W542" s="1128">
        <v>71.239998626708982</v>
      </c>
      <c r="X542" s="1128">
        <v>62.960001373291014</v>
      </c>
      <c r="Y542" s="1128">
        <v>53.959999656677248</v>
      </c>
      <c r="Z542" s="1128">
        <v>73.526246600738943</v>
      </c>
      <c r="AA542" s="1128">
        <f t="shared" si="601"/>
        <v>65.385004993387085</v>
      </c>
      <c r="AB542" s="1128">
        <f t="shared" si="602"/>
        <v>66.568558643404756</v>
      </c>
      <c r="AC542" s="1128">
        <f t="shared" si="603"/>
        <v>71.129733343517401</v>
      </c>
      <c r="AD542" s="1128">
        <f t="shared" si="604"/>
        <v>77.879588618310862</v>
      </c>
      <c r="AE542" s="1128">
        <f t="shared" si="605"/>
        <v>85.05867067199182</v>
      </c>
      <c r="AF542" s="1128">
        <f t="shared" si="606"/>
        <v>90.795641134265082</v>
      </c>
      <c r="AG542" s="1128">
        <f t="shared" si="607"/>
        <v>93.595070244748129</v>
      </c>
      <c r="AH542" s="1128">
        <f t="shared" si="608"/>
        <v>92.727243665285144</v>
      </c>
      <c r="AI542" s="1128">
        <f t="shared" si="609"/>
        <v>88.418373767425535</v>
      </c>
      <c r="AJ542" s="1128">
        <f t="shared" si="610"/>
        <v>81.791633891741526</v>
      </c>
      <c r="AK542" s="1128">
        <f t="shared" si="611"/>
        <v>74.574385907982787</v>
      </c>
      <c r="AL542" s="1128">
        <f t="shared" si="612"/>
        <v>68.647916724274111</v>
      </c>
      <c r="AM542" s="1125">
        <f t="shared" si="613"/>
        <v>1</v>
      </c>
      <c r="AN542" s="1125">
        <f t="shared" si="614"/>
        <v>1</v>
      </c>
      <c r="AO542" s="1125">
        <f t="shared" si="615"/>
        <v>1</v>
      </c>
      <c r="AP542" s="1125">
        <f t="shared" si="616"/>
        <v>0</v>
      </c>
      <c r="AQ542" s="1125">
        <f t="shared" si="617"/>
        <v>0</v>
      </c>
      <c r="AR542" s="1125">
        <f t="shared" si="618"/>
        <v>0</v>
      </c>
      <c r="AS542" s="1125">
        <f t="shared" si="619"/>
        <v>0</v>
      </c>
      <c r="AT542" s="1125">
        <f t="shared" si="620"/>
        <v>0</v>
      </c>
      <c r="AU542" s="1125">
        <f t="shared" si="621"/>
        <v>0</v>
      </c>
      <c r="AV542" s="1125">
        <f t="shared" si="622"/>
        <v>0</v>
      </c>
      <c r="AW542" s="1125">
        <f t="shared" si="623"/>
        <v>1</v>
      </c>
      <c r="AX542" s="1125">
        <f t="shared" si="624"/>
        <v>1</v>
      </c>
      <c r="AY542" s="1125">
        <f t="shared" si="625"/>
        <v>0</v>
      </c>
      <c r="AZ542" s="1125">
        <f t="shared" si="626"/>
        <v>0</v>
      </c>
      <c r="BA542" s="1125">
        <f t="shared" si="627"/>
        <v>0</v>
      </c>
      <c r="BB542" s="1125">
        <f t="shared" si="628"/>
        <v>1</v>
      </c>
      <c r="BC542" s="1125">
        <f t="shared" si="629"/>
        <v>1</v>
      </c>
      <c r="BD542" s="1125">
        <f t="shared" si="630"/>
        <v>1</v>
      </c>
      <c r="BE542" s="1125">
        <f t="shared" si="631"/>
        <v>1</v>
      </c>
      <c r="BF542" s="1125">
        <f t="shared" si="632"/>
        <v>1</v>
      </c>
      <c r="BG542" s="1125">
        <f t="shared" si="633"/>
        <v>1</v>
      </c>
      <c r="BH542" s="1125">
        <f t="shared" si="634"/>
        <v>1</v>
      </c>
      <c r="BI542" s="1125">
        <f t="shared" si="635"/>
        <v>0</v>
      </c>
      <c r="BJ542" s="1125">
        <f t="shared" si="636"/>
        <v>0</v>
      </c>
      <c r="BK542" s="1125">
        <f t="shared" si="637"/>
        <v>1</v>
      </c>
      <c r="BL542" s="1125">
        <f t="shared" si="638"/>
        <v>1</v>
      </c>
      <c r="BM542" s="1125">
        <f t="shared" si="639"/>
        <v>1</v>
      </c>
      <c r="BN542" s="1125">
        <f t="shared" si="640"/>
        <v>1</v>
      </c>
      <c r="BO542" s="1125">
        <f t="shared" si="641"/>
        <v>0</v>
      </c>
      <c r="BP542" s="1125">
        <f t="shared" si="642"/>
        <v>0</v>
      </c>
      <c r="BQ542" s="1125">
        <f t="shared" si="643"/>
        <v>0</v>
      </c>
      <c r="BR542" s="1125">
        <f t="shared" si="644"/>
        <v>0</v>
      </c>
      <c r="BS542" s="1125">
        <f t="shared" si="645"/>
        <v>0</v>
      </c>
      <c r="BT542" s="1125">
        <f t="shared" si="646"/>
        <v>0</v>
      </c>
      <c r="BU542" s="1125">
        <f t="shared" si="647"/>
        <v>1</v>
      </c>
      <c r="BV542" s="1125">
        <f t="shared" si="648"/>
        <v>1</v>
      </c>
      <c r="BW542" s="1125">
        <f t="shared" si="649"/>
        <v>0</v>
      </c>
      <c r="BX542" s="1125">
        <f t="shared" si="650"/>
        <v>0</v>
      </c>
      <c r="BY542" s="1125">
        <f t="shared" si="651"/>
        <v>1</v>
      </c>
      <c r="BZ542" s="1125">
        <f t="shared" si="652"/>
        <v>1</v>
      </c>
      <c r="CA542" s="1125">
        <f t="shared" si="653"/>
        <v>1</v>
      </c>
      <c r="CB542" s="1125">
        <f t="shared" si="654"/>
        <v>1</v>
      </c>
      <c r="CC542" s="1125">
        <f t="shared" si="655"/>
        <v>1</v>
      </c>
      <c r="CD542" s="1125">
        <f t="shared" si="656"/>
        <v>1</v>
      </c>
      <c r="CE542" s="1125">
        <f t="shared" si="657"/>
        <v>1</v>
      </c>
      <c r="CF542" s="1125">
        <f t="shared" si="658"/>
        <v>1</v>
      </c>
      <c r="CG542" s="1125">
        <f t="shared" si="659"/>
        <v>1</v>
      </c>
      <c r="CH542" s="1125">
        <f t="shared" si="660"/>
        <v>0</v>
      </c>
      <c r="CI542" s="1125">
        <f t="shared" si="661"/>
        <v>0.85</v>
      </c>
      <c r="CJ542" s="1125">
        <f t="shared" si="662"/>
        <v>0.85</v>
      </c>
      <c r="CK542" s="1125">
        <f t="shared" si="663"/>
        <v>0.85</v>
      </c>
      <c r="CL542" s="1125">
        <f t="shared" si="664"/>
        <v>0.85</v>
      </c>
      <c r="CM542" s="1125">
        <f t="shared" si="665"/>
        <v>0.7</v>
      </c>
      <c r="CN542" s="1125">
        <f t="shared" si="666"/>
        <v>0.7</v>
      </c>
      <c r="CO542" s="1125">
        <f t="shared" si="667"/>
        <v>0.7</v>
      </c>
      <c r="CP542" s="1125">
        <f t="shared" si="668"/>
        <v>0.7</v>
      </c>
      <c r="CQ542" s="1125">
        <f t="shared" si="669"/>
        <v>0.7</v>
      </c>
      <c r="CR542" s="1125">
        <f t="shared" si="670"/>
        <v>0.7</v>
      </c>
      <c r="CS542" s="1125">
        <f t="shared" si="671"/>
        <v>0.85</v>
      </c>
      <c r="CT542" s="1125">
        <f t="shared" si="672"/>
        <v>0.85</v>
      </c>
      <c r="CU542" s="1125">
        <v>1</v>
      </c>
      <c r="CV542" s="1125"/>
      <c r="CW542" s="1125">
        <f t="shared" si="673"/>
        <v>275</v>
      </c>
      <c r="CX542" s="1125">
        <f t="shared" si="674"/>
        <v>90</v>
      </c>
      <c r="CY542" s="1136" t="s">
        <v>4886</v>
      </c>
      <c r="CZ542" s="1129" t="s">
        <v>4887</v>
      </c>
      <c r="DA542" s="1129"/>
      <c r="DB542" s="1129"/>
      <c r="DC542" s="1125" t="s">
        <v>5941</v>
      </c>
      <c r="DD542" s="1125" t="s">
        <v>1250</v>
      </c>
      <c r="DE542" s="1125" t="b">
        <f t="shared" si="675"/>
        <v>0</v>
      </c>
      <c r="DF542" s="1125">
        <v>0</v>
      </c>
      <c r="DG542" s="1120">
        <v>0</v>
      </c>
    </row>
    <row r="543" spans="1:111">
      <c r="A543" s="1125" t="s">
        <v>3817</v>
      </c>
      <c r="B543" s="1120" t="s">
        <v>4510</v>
      </c>
      <c r="C543" s="1120" t="s">
        <v>4511</v>
      </c>
      <c r="D543" s="1120" t="s">
        <v>501</v>
      </c>
      <c r="E543" s="1120">
        <v>938</v>
      </c>
      <c r="F543" s="1120">
        <v>-79.2</v>
      </c>
      <c r="G543" s="1120">
        <v>37.33</v>
      </c>
      <c r="H543" s="1120">
        <v>-5</v>
      </c>
      <c r="I543" s="1121">
        <v>18.859999656677246</v>
      </c>
      <c r="J543" s="1121">
        <v>89.779997253417974</v>
      </c>
      <c r="K543" s="1122">
        <v>73.219999313354492</v>
      </c>
      <c r="L543" s="1120">
        <v>4069.8</v>
      </c>
      <c r="M543" s="1120">
        <v>1341</v>
      </c>
      <c r="N543" s="1123">
        <v>33.080000042915344</v>
      </c>
      <c r="O543" s="1123">
        <v>38.47999982833862</v>
      </c>
      <c r="P543" s="1123">
        <v>49.1</v>
      </c>
      <c r="Q543" s="1123">
        <v>57.019999313354489</v>
      </c>
      <c r="R543" s="1123">
        <v>65.119999313354498</v>
      </c>
      <c r="S543" s="1123">
        <v>74.66000137329101</v>
      </c>
      <c r="T543" s="1123">
        <v>77.360001373291013</v>
      </c>
      <c r="U543" s="1123">
        <v>75.019999313354489</v>
      </c>
      <c r="V543" s="1123">
        <v>69.619999313354498</v>
      </c>
      <c r="W543" s="1123">
        <v>55.040000343322752</v>
      </c>
      <c r="X543" s="1123">
        <v>51.440000343322751</v>
      </c>
      <c r="Y543" s="1123">
        <v>36.5</v>
      </c>
      <c r="Z543" s="1123">
        <v>56.951945253333001</v>
      </c>
      <c r="AA543" s="1123">
        <f t="shared" si="601"/>
        <v>52.062184886420575</v>
      </c>
      <c r="AB543" s="1123">
        <f t="shared" si="602"/>
        <v>51.337983335800295</v>
      </c>
      <c r="AC543" s="1123">
        <f t="shared" si="603"/>
        <v>53.641139935555636</v>
      </c>
      <c r="AD543" s="1123">
        <f t="shared" si="604"/>
        <v>58.37130142524282</v>
      </c>
      <c r="AE543" s="1123">
        <f t="shared" si="605"/>
        <v>64.295478318579825</v>
      </c>
      <c r="AF543" s="1123">
        <f t="shared" si="606"/>
        <v>69.869442613989008</v>
      </c>
      <c r="AG543" s="1123">
        <f t="shared" si="607"/>
        <v>73.640254620482054</v>
      </c>
      <c r="AH543" s="1123">
        <f t="shared" si="608"/>
        <v>74.624994078594568</v>
      </c>
      <c r="AI543" s="1123">
        <f t="shared" si="609"/>
        <v>72.566973473275112</v>
      </c>
      <c r="AJ543" s="1123">
        <f t="shared" si="610"/>
        <v>68.002647590357753</v>
      </c>
      <c r="AK543" s="1123">
        <f t="shared" si="611"/>
        <v>62.121778309615884</v>
      </c>
      <c r="AL543" s="1123">
        <f t="shared" si="612"/>
        <v>56.457304836013712</v>
      </c>
      <c r="AM543" s="1120">
        <f t="shared" si="613"/>
        <v>1</v>
      </c>
      <c r="AN543" s="1120">
        <f t="shared" si="614"/>
        <v>1</v>
      </c>
      <c r="AO543" s="1120">
        <f t="shared" si="615"/>
        <v>1</v>
      </c>
      <c r="AP543" s="1120">
        <f t="shared" si="616"/>
        <v>1</v>
      </c>
      <c r="AQ543" s="1120">
        <f t="shared" si="617"/>
        <v>1</v>
      </c>
      <c r="AR543" s="1120">
        <f t="shared" si="618"/>
        <v>0</v>
      </c>
      <c r="AS543" s="1120">
        <f t="shared" si="619"/>
        <v>0</v>
      </c>
      <c r="AT543" s="1120">
        <f t="shared" si="620"/>
        <v>0</v>
      </c>
      <c r="AU543" s="1120">
        <f t="shared" si="621"/>
        <v>0</v>
      </c>
      <c r="AV543" s="1120">
        <f t="shared" si="622"/>
        <v>1</v>
      </c>
      <c r="AW543" s="1120">
        <f t="shared" si="623"/>
        <v>1</v>
      </c>
      <c r="AX543" s="1120">
        <f t="shared" si="624"/>
        <v>1</v>
      </c>
      <c r="AY543" s="1120">
        <f t="shared" si="625"/>
        <v>0</v>
      </c>
      <c r="AZ543" s="1120">
        <f t="shared" si="626"/>
        <v>0</v>
      </c>
      <c r="BA543" s="1120">
        <f t="shared" si="627"/>
        <v>0</v>
      </c>
      <c r="BB543" s="1120">
        <f t="shared" si="628"/>
        <v>0</v>
      </c>
      <c r="BC543" s="1120">
        <f t="shared" si="629"/>
        <v>0</v>
      </c>
      <c r="BD543" s="1120">
        <f t="shared" si="630"/>
        <v>1</v>
      </c>
      <c r="BE543" s="1120">
        <f t="shared" si="631"/>
        <v>1</v>
      </c>
      <c r="BF543" s="1120">
        <f t="shared" si="632"/>
        <v>1</v>
      </c>
      <c r="BG543" s="1120">
        <f t="shared" si="633"/>
        <v>1</v>
      </c>
      <c r="BH543" s="1120">
        <f t="shared" si="634"/>
        <v>0</v>
      </c>
      <c r="BI543" s="1120">
        <f t="shared" si="635"/>
        <v>0</v>
      </c>
      <c r="BJ543" s="1120">
        <f t="shared" si="636"/>
        <v>0</v>
      </c>
      <c r="BK543" s="1120">
        <f t="shared" si="637"/>
        <v>1</v>
      </c>
      <c r="BL543" s="1120">
        <f t="shared" si="638"/>
        <v>1</v>
      </c>
      <c r="BM543" s="1120">
        <f t="shared" si="639"/>
        <v>1</v>
      </c>
      <c r="BN543" s="1120">
        <f t="shared" si="640"/>
        <v>1</v>
      </c>
      <c r="BO543" s="1120">
        <f t="shared" si="641"/>
        <v>1</v>
      </c>
      <c r="BP543" s="1120">
        <f t="shared" si="642"/>
        <v>1</v>
      </c>
      <c r="BQ543" s="1120">
        <f t="shared" si="643"/>
        <v>0</v>
      </c>
      <c r="BR543" s="1120">
        <f t="shared" si="644"/>
        <v>0</v>
      </c>
      <c r="BS543" s="1120">
        <f t="shared" si="645"/>
        <v>0</v>
      </c>
      <c r="BT543" s="1120">
        <f t="shared" si="646"/>
        <v>1</v>
      </c>
      <c r="BU543" s="1120">
        <f t="shared" si="647"/>
        <v>1</v>
      </c>
      <c r="BV543" s="1120">
        <f t="shared" si="648"/>
        <v>1</v>
      </c>
      <c r="BW543" s="1120">
        <f t="shared" si="649"/>
        <v>0</v>
      </c>
      <c r="BX543" s="1120">
        <f t="shared" si="650"/>
        <v>0</v>
      </c>
      <c r="BY543" s="1120">
        <f t="shared" si="651"/>
        <v>0</v>
      </c>
      <c r="BZ543" s="1120">
        <f t="shared" si="652"/>
        <v>0</v>
      </c>
      <c r="CA543" s="1120">
        <f t="shared" si="653"/>
        <v>1</v>
      </c>
      <c r="CB543" s="1120">
        <f t="shared" si="654"/>
        <v>1</v>
      </c>
      <c r="CC543" s="1120">
        <f t="shared" si="655"/>
        <v>1</v>
      </c>
      <c r="CD543" s="1120">
        <f t="shared" si="656"/>
        <v>1</v>
      </c>
      <c r="CE543" s="1120">
        <f t="shared" si="657"/>
        <v>1</v>
      </c>
      <c r="CF543" s="1120">
        <f t="shared" si="658"/>
        <v>1</v>
      </c>
      <c r="CG543" s="1120">
        <f t="shared" si="659"/>
        <v>0</v>
      </c>
      <c r="CH543" s="1120">
        <f t="shared" si="660"/>
        <v>0</v>
      </c>
      <c r="CI543" s="1120">
        <f t="shared" si="661"/>
        <v>0.85</v>
      </c>
      <c r="CJ543" s="1120">
        <f t="shared" si="662"/>
        <v>0.85</v>
      </c>
      <c r="CK543" s="1120">
        <f t="shared" si="663"/>
        <v>0.85</v>
      </c>
      <c r="CL543" s="1120">
        <f t="shared" si="664"/>
        <v>0.85</v>
      </c>
      <c r="CM543" s="1120">
        <f t="shared" si="665"/>
        <v>0.85</v>
      </c>
      <c r="CN543" s="1120">
        <f t="shared" si="666"/>
        <v>0.85</v>
      </c>
      <c r="CO543" s="1120">
        <f t="shared" si="667"/>
        <v>0.7</v>
      </c>
      <c r="CP543" s="1120">
        <f t="shared" si="668"/>
        <v>0.7</v>
      </c>
      <c r="CQ543" s="1120">
        <f t="shared" si="669"/>
        <v>0.7</v>
      </c>
      <c r="CR543" s="1120">
        <f t="shared" si="670"/>
        <v>0.85</v>
      </c>
      <c r="CS543" s="1120">
        <f t="shared" si="671"/>
        <v>0.85</v>
      </c>
      <c r="CT543" s="1120">
        <f t="shared" si="672"/>
        <v>0.85</v>
      </c>
      <c r="CU543" s="1120">
        <v>1</v>
      </c>
      <c r="CV543" s="1120"/>
      <c r="CW543" s="1120">
        <f t="shared" si="673"/>
        <v>184</v>
      </c>
      <c r="CX543" s="1120">
        <f t="shared" si="674"/>
        <v>181</v>
      </c>
      <c r="CY543" s="1135" t="s">
        <v>4881</v>
      </c>
      <c r="CZ543" s="1124" t="s">
        <v>4885</v>
      </c>
      <c r="DA543" s="1124"/>
      <c r="DB543" s="1124"/>
      <c r="DC543" s="1120" t="s">
        <v>5633</v>
      </c>
      <c r="DD543" s="1120" t="s">
        <v>501</v>
      </c>
      <c r="DE543" s="1120" t="str">
        <f t="shared" si="675"/>
        <v/>
      </c>
      <c r="DF543" s="1133">
        <v>0</v>
      </c>
      <c r="DG543" s="1125">
        <v>0</v>
      </c>
    </row>
    <row r="544" spans="1:111">
      <c r="A544" s="1120" t="s">
        <v>5888</v>
      </c>
      <c r="B544" s="1120" t="s">
        <v>3294</v>
      </c>
      <c r="C544" s="1120" t="s">
        <v>3295</v>
      </c>
      <c r="D544" s="1120" t="s">
        <v>594</v>
      </c>
      <c r="E544" s="1120">
        <v>26</v>
      </c>
      <c r="F544" s="1120">
        <v>-82.52</v>
      </c>
      <c r="G544" s="1120">
        <v>27.85</v>
      </c>
      <c r="H544" s="1120">
        <v>-5</v>
      </c>
      <c r="I544" s="1121">
        <v>44.240000343322755</v>
      </c>
      <c r="J544" s="1121">
        <v>91.579997253417972</v>
      </c>
      <c r="K544" s="1122">
        <v>76.819999313354487</v>
      </c>
      <c r="L544" s="1120">
        <v>858.6</v>
      </c>
      <c r="M544" s="1120">
        <v>176.4</v>
      </c>
      <c r="N544" s="1123">
        <v>56.480000686645511</v>
      </c>
      <c r="O544" s="1123">
        <v>59.9</v>
      </c>
      <c r="P544" s="1123">
        <v>62.780000686645508</v>
      </c>
      <c r="Q544" s="1123">
        <v>70.16000137329101</v>
      </c>
      <c r="R544" s="1123">
        <v>80.419999313354495</v>
      </c>
      <c r="S544" s="1123">
        <v>81.680000686645513</v>
      </c>
      <c r="T544" s="1123">
        <v>82.219999313354492</v>
      </c>
      <c r="U544" s="1123">
        <v>81.319999313354487</v>
      </c>
      <c r="V544" s="1123">
        <v>79.16000137329101</v>
      </c>
      <c r="W544" s="1123">
        <v>75.560001373291016</v>
      </c>
      <c r="X544" s="1123">
        <v>66.019999313354489</v>
      </c>
      <c r="Y544" s="1123">
        <v>60.259999656677245</v>
      </c>
      <c r="Z544" s="1123">
        <v>71.391890665864295</v>
      </c>
      <c r="AA544" s="1123">
        <f t="shared" si="601"/>
        <v>68.792787925138498</v>
      </c>
      <c r="AB544" s="1123">
        <f t="shared" si="602"/>
        <v>69.354567303724153</v>
      </c>
      <c r="AC544" s="1123">
        <f t="shared" si="603"/>
        <v>72.011398875553823</v>
      </c>
      <c r="AD544" s="1123">
        <f t="shared" si="604"/>
        <v>76.070738548416259</v>
      </c>
      <c r="AE544" s="1123">
        <f t="shared" si="605"/>
        <v>80.474456880261926</v>
      </c>
      <c r="AF544" s="1123">
        <f t="shared" si="606"/>
        <v>84.074656824541563</v>
      </c>
      <c r="AG544" s="1123">
        <f t="shared" si="607"/>
        <v>85.932890785018145</v>
      </c>
      <c r="AH544" s="1123">
        <f t="shared" si="608"/>
        <v>85.564781443641323</v>
      </c>
      <c r="AI544" s="1123">
        <f t="shared" si="609"/>
        <v>83.066282172977608</v>
      </c>
      <c r="AJ544" s="1123">
        <f t="shared" si="610"/>
        <v>79.088665310964743</v>
      </c>
      <c r="AK544" s="1123">
        <f t="shared" si="611"/>
        <v>74.668757989617674</v>
      </c>
      <c r="AL544" s="1123">
        <f t="shared" si="612"/>
        <v>70.958677165079095</v>
      </c>
      <c r="AM544" s="1120">
        <f t="shared" si="613"/>
        <v>1</v>
      </c>
      <c r="AN544" s="1120">
        <f t="shared" si="614"/>
        <v>1</v>
      </c>
      <c r="AO544" s="1120">
        <f t="shared" si="615"/>
        <v>1</v>
      </c>
      <c r="AP544" s="1120">
        <f t="shared" si="616"/>
        <v>0</v>
      </c>
      <c r="AQ544" s="1120">
        <f t="shared" si="617"/>
        <v>0</v>
      </c>
      <c r="AR544" s="1120">
        <f t="shared" si="618"/>
        <v>0</v>
      </c>
      <c r="AS544" s="1120">
        <f t="shared" si="619"/>
        <v>0</v>
      </c>
      <c r="AT544" s="1120">
        <f t="shared" si="620"/>
        <v>0</v>
      </c>
      <c r="AU544" s="1120">
        <f t="shared" si="621"/>
        <v>0</v>
      </c>
      <c r="AV544" s="1120">
        <f t="shared" si="622"/>
        <v>0</v>
      </c>
      <c r="AW544" s="1120">
        <f t="shared" si="623"/>
        <v>0</v>
      </c>
      <c r="AX544" s="1120">
        <f t="shared" si="624"/>
        <v>1</v>
      </c>
      <c r="AY544" s="1120">
        <f t="shared" si="625"/>
        <v>0</v>
      </c>
      <c r="AZ544" s="1120">
        <f t="shared" si="626"/>
        <v>0</v>
      </c>
      <c r="BA544" s="1120">
        <f t="shared" si="627"/>
        <v>0</v>
      </c>
      <c r="BB544" s="1120">
        <f t="shared" si="628"/>
        <v>1</v>
      </c>
      <c r="BC544" s="1120">
        <f t="shared" si="629"/>
        <v>1</v>
      </c>
      <c r="BD544" s="1120">
        <f t="shared" si="630"/>
        <v>1</v>
      </c>
      <c r="BE544" s="1120">
        <f t="shared" si="631"/>
        <v>1</v>
      </c>
      <c r="BF544" s="1120">
        <f t="shared" si="632"/>
        <v>1</v>
      </c>
      <c r="BG544" s="1120">
        <f t="shared" si="633"/>
        <v>1</v>
      </c>
      <c r="BH544" s="1120">
        <f t="shared" si="634"/>
        <v>1</v>
      </c>
      <c r="BI544" s="1120">
        <f t="shared" si="635"/>
        <v>1</v>
      </c>
      <c r="BJ544" s="1120">
        <f t="shared" si="636"/>
        <v>0</v>
      </c>
      <c r="BK544" s="1120">
        <f t="shared" si="637"/>
        <v>1</v>
      </c>
      <c r="BL544" s="1120">
        <f t="shared" si="638"/>
        <v>1</v>
      </c>
      <c r="BM544" s="1120">
        <f t="shared" si="639"/>
        <v>1</v>
      </c>
      <c r="BN544" s="1120">
        <f t="shared" si="640"/>
        <v>1</v>
      </c>
      <c r="BO544" s="1120">
        <f t="shared" si="641"/>
        <v>0</v>
      </c>
      <c r="BP544" s="1120">
        <f t="shared" si="642"/>
        <v>0</v>
      </c>
      <c r="BQ544" s="1120">
        <f t="shared" si="643"/>
        <v>0</v>
      </c>
      <c r="BR544" s="1120">
        <f t="shared" si="644"/>
        <v>0</v>
      </c>
      <c r="BS544" s="1120">
        <f t="shared" si="645"/>
        <v>0</v>
      </c>
      <c r="BT544" s="1120">
        <f t="shared" si="646"/>
        <v>0</v>
      </c>
      <c r="BU544" s="1120">
        <f t="shared" si="647"/>
        <v>0</v>
      </c>
      <c r="BV544" s="1120">
        <f t="shared" si="648"/>
        <v>1</v>
      </c>
      <c r="BW544" s="1120">
        <f t="shared" si="649"/>
        <v>0</v>
      </c>
      <c r="BX544" s="1120">
        <f t="shared" si="650"/>
        <v>0</v>
      </c>
      <c r="BY544" s="1120">
        <f t="shared" si="651"/>
        <v>1</v>
      </c>
      <c r="BZ544" s="1120">
        <f t="shared" si="652"/>
        <v>1</v>
      </c>
      <c r="CA544" s="1120">
        <f t="shared" si="653"/>
        <v>1</v>
      </c>
      <c r="CB544" s="1120">
        <f t="shared" si="654"/>
        <v>1</v>
      </c>
      <c r="CC544" s="1120">
        <f t="shared" si="655"/>
        <v>1</v>
      </c>
      <c r="CD544" s="1120">
        <f t="shared" si="656"/>
        <v>1</v>
      </c>
      <c r="CE544" s="1120">
        <f t="shared" si="657"/>
        <v>1</v>
      </c>
      <c r="CF544" s="1120">
        <f t="shared" si="658"/>
        <v>1</v>
      </c>
      <c r="CG544" s="1120">
        <f t="shared" si="659"/>
        <v>1</v>
      </c>
      <c r="CH544" s="1120">
        <f t="shared" si="660"/>
        <v>1</v>
      </c>
      <c r="CI544" s="1120">
        <f t="shared" si="661"/>
        <v>0.85</v>
      </c>
      <c r="CJ544" s="1120">
        <f t="shared" si="662"/>
        <v>0.85</v>
      </c>
      <c r="CK544" s="1120">
        <f t="shared" si="663"/>
        <v>0.85</v>
      </c>
      <c r="CL544" s="1120">
        <f t="shared" si="664"/>
        <v>0.85</v>
      </c>
      <c r="CM544" s="1120">
        <f t="shared" si="665"/>
        <v>0.7</v>
      </c>
      <c r="CN544" s="1120">
        <f t="shared" si="666"/>
        <v>0.7</v>
      </c>
      <c r="CO544" s="1120">
        <f t="shared" si="667"/>
        <v>0.7</v>
      </c>
      <c r="CP544" s="1120">
        <f t="shared" si="668"/>
        <v>0.7</v>
      </c>
      <c r="CQ544" s="1120">
        <f t="shared" si="669"/>
        <v>0.7</v>
      </c>
      <c r="CR544" s="1120">
        <f t="shared" si="670"/>
        <v>0.7</v>
      </c>
      <c r="CS544" s="1120">
        <f t="shared" si="671"/>
        <v>0.7</v>
      </c>
      <c r="CT544" s="1120">
        <f t="shared" si="672"/>
        <v>0.85</v>
      </c>
      <c r="CU544" s="1120">
        <v>1</v>
      </c>
      <c r="CV544" s="1120"/>
      <c r="CW544" s="1120">
        <f t="shared" si="673"/>
        <v>306</v>
      </c>
      <c r="CX544" s="1120">
        <f t="shared" si="674"/>
        <v>59</v>
      </c>
      <c r="CY544" s="1135" t="s">
        <v>4883</v>
      </c>
      <c r="CZ544" s="1124" t="s">
        <v>4884</v>
      </c>
      <c r="DA544" s="1124"/>
      <c r="DB544" s="1124"/>
      <c r="DC544" s="1120" t="s">
        <v>5957</v>
      </c>
      <c r="DD544" s="1120" t="s">
        <v>594</v>
      </c>
      <c r="DE544" s="1120" t="b">
        <f t="shared" si="675"/>
        <v>0</v>
      </c>
      <c r="DF544" s="1133">
        <v>0</v>
      </c>
      <c r="DG544" s="1120">
        <v>0</v>
      </c>
    </row>
    <row r="545" spans="1:111">
      <c r="A545" s="1125" t="s">
        <v>3819</v>
      </c>
      <c r="B545" s="1125" t="s">
        <v>3368</v>
      </c>
      <c r="C545" s="1125" t="s">
        <v>3369</v>
      </c>
      <c r="D545" s="1125" t="s">
        <v>428</v>
      </c>
      <c r="E545" s="1125">
        <v>354</v>
      </c>
      <c r="F545" s="1125">
        <v>-83.65</v>
      </c>
      <c r="G545" s="1125">
        <v>32.68</v>
      </c>
      <c r="H545" s="1125">
        <v>-5</v>
      </c>
      <c r="I545" s="1126">
        <v>27.320000171661377</v>
      </c>
      <c r="J545" s="1126">
        <v>94.279997253417974</v>
      </c>
      <c r="K545" s="1127">
        <v>75.560001373291016</v>
      </c>
      <c r="L545" s="1125">
        <v>2300.4</v>
      </c>
      <c r="M545" s="1125">
        <v>2169</v>
      </c>
      <c r="N545" s="1128">
        <v>44.959999656677248</v>
      </c>
      <c r="O545" s="1128">
        <v>48.740000343322755</v>
      </c>
      <c r="P545" s="1128">
        <v>57.380000686645509</v>
      </c>
      <c r="Q545" s="1128">
        <v>64.039998626708979</v>
      </c>
      <c r="R545" s="1128">
        <v>72.139998626708987</v>
      </c>
      <c r="S545" s="1128">
        <v>79.7</v>
      </c>
      <c r="T545" s="1128">
        <v>80.060001373291016</v>
      </c>
      <c r="U545" s="1128">
        <v>78.619999313354498</v>
      </c>
      <c r="V545" s="1128">
        <v>75.380000686645502</v>
      </c>
      <c r="W545" s="1128">
        <v>63.680000686645506</v>
      </c>
      <c r="X545" s="1128">
        <v>57.559999656677249</v>
      </c>
      <c r="Y545" s="1128">
        <v>45.679999828338623</v>
      </c>
      <c r="Z545" s="1128">
        <v>64.063671189138333</v>
      </c>
      <c r="AA545" s="1128">
        <f t="shared" si="601"/>
        <v>59.868804671155146</v>
      </c>
      <c r="AB545" s="1128">
        <f t="shared" si="602"/>
        <v>59.874701626984617</v>
      </c>
      <c r="AC545" s="1128">
        <f t="shared" si="603"/>
        <v>62.536510515963265</v>
      </c>
      <c r="AD545" s="1128">
        <f t="shared" si="604"/>
        <v>67.160389831462169</v>
      </c>
      <c r="AE545" s="1128">
        <f t="shared" si="605"/>
        <v>72.541054173759392</v>
      </c>
      <c r="AF545" s="1128">
        <f t="shared" si="606"/>
        <v>77.275950463487703</v>
      </c>
      <c r="AG545" s="1128">
        <f t="shared" si="607"/>
        <v>80.13085501576893</v>
      </c>
      <c r="AH545" s="1128">
        <f t="shared" si="608"/>
        <v>80.361592963640064</v>
      </c>
      <c r="AI545" s="1128">
        <f t="shared" si="609"/>
        <v>77.90801890520909</v>
      </c>
      <c r="AJ545" s="1128">
        <f t="shared" si="610"/>
        <v>73.409694729526819</v>
      </c>
      <c r="AK545" s="1128">
        <f t="shared" si="611"/>
        <v>68.039177954258705</v>
      </c>
      <c r="AL545" s="1128">
        <f t="shared" si="612"/>
        <v>63.196376539047087</v>
      </c>
      <c r="AM545" s="1125">
        <f t="shared" si="613"/>
        <v>1</v>
      </c>
      <c r="AN545" s="1125">
        <f t="shared" si="614"/>
        <v>1</v>
      </c>
      <c r="AO545" s="1125">
        <f t="shared" si="615"/>
        <v>1</v>
      </c>
      <c r="AP545" s="1125">
        <f t="shared" si="616"/>
        <v>1</v>
      </c>
      <c r="AQ545" s="1125">
        <f t="shared" si="617"/>
        <v>0</v>
      </c>
      <c r="AR545" s="1125">
        <f t="shared" si="618"/>
        <v>0</v>
      </c>
      <c r="AS545" s="1125">
        <f t="shared" si="619"/>
        <v>0</v>
      </c>
      <c r="AT545" s="1125">
        <f t="shared" si="620"/>
        <v>0</v>
      </c>
      <c r="AU545" s="1125">
        <f t="shared" si="621"/>
        <v>0</v>
      </c>
      <c r="AV545" s="1125">
        <f t="shared" si="622"/>
        <v>1</v>
      </c>
      <c r="AW545" s="1125">
        <f t="shared" si="623"/>
        <v>1</v>
      </c>
      <c r="AX545" s="1125">
        <f t="shared" si="624"/>
        <v>1</v>
      </c>
      <c r="AY545" s="1125">
        <f t="shared" si="625"/>
        <v>0</v>
      </c>
      <c r="AZ545" s="1125">
        <f t="shared" si="626"/>
        <v>0</v>
      </c>
      <c r="BA545" s="1125">
        <f t="shared" si="627"/>
        <v>0</v>
      </c>
      <c r="BB545" s="1125">
        <f t="shared" si="628"/>
        <v>0</v>
      </c>
      <c r="BC545" s="1125">
        <f t="shared" si="629"/>
        <v>1</v>
      </c>
      <c r="BD545" s="1125">
        <f t="shared" si="630"/>
        <v>1</v>
      </c>
      <c r="BE545" s="1125">
        <f t="shared" si="631"/>
        <v>1</v>
      </c>
      <c r="BF545" s="1125">
        <f t="shared" si="632"/>
        <v>1</v>
      </c>
      <c r="BG545" s="1125">
        <f t="shared" si="633"/>
        <v>1</v>
      </c>
      <c r="BH545" s="1125">
        <f t="shared" si="634"/>
        <v>0</v>
      </c>
      <c r="BI545" s="1125">
        <f t="shared" si="635"/>
        <v>0</v>
      </c>
      <c r="BJ545" s="1125">
        <f t="shared" si="636"/>
        <v>0</v>
      </c>
      <c r="BK545" s="1125">
        <f t="shared" si="637"/>
        <v>1</v>
      </c>
      <c r="BL545" s="1125">
        <f t="shared" si="638"/>
        <v>1</v>
      </c>
      <c r="BM545" s="1125">
        <f t="shared" si="639"/>
        <v>1</v>
      </c>
      <c r="BN545" s="1125">
        <f t="shared" si="640"/>
        <v>1</v>
      </c>
      <c r="BO545" s="1125">
        <f t="shared" si="641"/>
        <v>1</v>
      </c>
      <c r="BP545" s="1125">
        <f t="shared" si="642"/>
        <v>0</v>
      </c>
      <c r="BQ545" s="1125">
        <f t="shared" si="643"/>
        <v>0</v>
      </c>
      <c r="BR545" s="1125">
        <f t="shared" si="644"/>
        <v>0</v>
      </c>
      <c r="BS545" s="1125">
        <f t="shared" si="645"/>
        <v>0</v>
      </c>
      <c r="BT545" s="1125">
        <f t="shared" si="646"/>
        <v>1</v>
      </c>
      <c r="BU545" s="1125">
        <f t="shared" si="647"/>
        <v>1</v>
      </c>
      <c r="BV545" s="1125">
        <f t="shared" si="648"/>
        <v>1</v>
      </c>
      <c r="BW545" s="1125">
        <f t="shared" si="649"/>
        <v>0</v>
      </c>
      <c r="BX545" s="1125">
        <f t="shared" si="650"/>
        <v>0</v>
      </c>
      <c r="BY545" s="1125">
        <f t="shared" si="651"/>
        <v>0</v>
      </c>
      <c r="BZ545" s="1125">
        <f t="shared" si="652"/>
        <v>1</v>
      </c>
      <c r="CA545" s="1125">
        <f t="shared" si="653"/>
        <v>1</v>
      </c>
      <c r="CB545" s="1125">
        <f t="shared" si="654"/>
        <v>1</v>
      </c>
      <c r="CC545" s="1125">
        <f t="shared" si="655"/>
        <v>1</v>
      </c>
      <c r="CD545" s="1125">
        <f t="shared" si="656"/>
        <v>1</v>
      </c>
      <c r="CE545" s="1125">
        <f t="shared" si="657"/>
        <v>1</v>
      </c>
      <c r="CF545" s="1125">
        <f t="shared" si="658"/>
        <v>1</v>
      </c>
      <c r="CG545" s="1125">
        <f t="shared" si="659"/>
        <v>0</v>
      </c>
      <c r="CH545" s="1125">
        <f t="shared" si="660"/>
        <v>0</v>
      </c>
      <c r="CI545" s="1125">
        <f t="shared" si="661"/>
        <v>0.85</v>
      </c>
      <c r="CJ545" s="1125">
        <f t="shared" si="662"/>
        <v>0.85</v>
      </c>
      <c r="CK545" s="1125">
        <f t="shared" si="663"/>
        <v>0.85</v>
      </c>
      <c r="CL545" s="1125">
        <f t="shared" si="664"/>
        <v>0.85</v>
      </c>
      <c r="CM545" s="1125">
        <f t="shared" si="665"/>
        <v>0.85</v>
      </c>
      <c r="CN545" s="1125">
        <f t="shared" si="666"/>
        <v>0.7</v>
      </c>
      <c r="CO545" s="1125">
        <f t="shared" si="667"/>
        <v>0.7</v>
      </c>
      <c r="CP545" s="1125">
        <f t="shared" si="668"/>
        <v>0.7</v>
      </c>
      <c r="CQ545" s="1125">
        <f t="shared" si="669"/>
        <v>0.7</v>
      </c>
      <c r="CR545" s="1125">
        <f t="shared" si="670"/>
        <v>0.85</v>
      </c>
      <c r="CS545" s="1125">
        <f t="shared" si="671"/>
        <v>0.85</v>
      </c>
      <c r="CT545" s="1125">
        <f t="shared" si="672"/>
        <v>0.85</v>
      </c>
      <c r="CU545" s="1125">
        <v>1</v>
      </c>
      <c r="CV545" s="1125"/>
      <c r="CW545" s="1125">
        <f t="shared" si="673"/>
        <v>214</v>
      </c>
      <c r="CX545" s="1125">
        <f t="shared" si="674"/>
        <v>151</v>
      </c>
      <c r="CY545" s="1135" t="s">
        <v>4881</v>
      </c>
      <c r="CZ545" s="1124" t="s">
        <v>4882</v>
      </c>
      <c r="DA545" s="1124"/>
      <c r="DB545" s="1124"/>
      <c r="DC545" s="1120" t="s">
        <v>5142</v>
      </c>
      <c r="DD545" s="1120" t="s">
        <v>428</v>
      </c>
      <c r="DE545" s="1120" t="str">
        <f t="shared" si="675"/>
        <v/>
      </c>
      <c r="DF545" s="1133">
        <v>0</v>
      </c>
      <c r="DG545" s="1125">
        <v>0</v>
      </c>
    </row>
    <row r="546" spans="1:111">
      <c r="A546" s="1120" t="s">
        <v>3821</v>
      </c>
      <c r="B546" s="1120" t="s">
        <v>4620</v>
      </c>
      <c r="C546" s="1120" t="s">
        <v>4621</v>
      </c>
      <c r="D546" s="1120" t="s">
        <v>1278</v>
      </c>
      <c r="E546" s="1120">
        <v>859</v>
      </c>
      <c r="F546" s="1120">
        <v>-89.33</v>
      </c>
      <c r="G546" s="1120">
        <v>43.13</v>
      </c>
      <c r="H546" s="1120">
        <v>-6</v>
      </c>
      <c r="I546" s="1121">
        <v>-2.9199993133544933</v>
      </c>
      <c r="J546" s="1121">
        <v>86.9</v>
      </c>
      <c r="K546" s="1122">
        <v>72.860001373291013</v>
      </c>
      <c r="L546" s="1120">
        <v>7446.6</v>
      </c>
      <c r="M546" s="1120">
        <v>696.6</v>
      </c>
      <c r="N546" s="1123">
        <v>14.719999313354492</v>
      </c>
      <c r="O546" s="1123">
        <v>19.579999828338622</v>
      </c>
      <c r="P546" s="1123">
        <v>37.939999914169313</v>
      </c>
      <c r="Q546" s="1123">
        <v>45.5</v>
      </c>
      <c r="R546" s="1123">
        <v>61.160001373291017</v>
      </c>
      <c r="S546" s="1123">
        <v>66.739998626708982</v>
      </c>
      <c r="T546" s="1123">
        <v>73.400000000000006</v>
      </c>
      <c r="U546" s="1123">
        <v>69.980000686645511</v>
      </c>
      <c r="V546" s="1123">
        <v>59</v>
      </c>
      <c r="W546" s="1123">
        <v>46.759999656677245</v>
      </c>
      <c r="X546" s="1123">
        <v>34.519999957084657</v>
      </c>
      <c r="Y546" s="1123">
        <v>19.759999656677245</v>
      </c>
      <c r="Z546" s="1123">
        <v>45.907835537897398</v>
      </c>
      <c r="AA546" s="1123">
        <f t="shared" si="601"/>
        <v>41.552583593573466</v>
      </c>
      <c r="AB546" s="1123">
        <f t="shared" si="602"/>
        <v>39.62948074886139</v>
      </c>
      <c r="AC546" s="1123">
        <f t="shared" si="603"/>
        <v>40.906920295086344</v>
      </c>
      <c r="AD546" s="1123">
        <f t="shared" si="604"/>
        <v>45.051917928585496</v>
      </c>
      <c r="AE546" s="1123">
        <f t="shared" si="605"/>
        <v>50.98401613984025</v>
      </c>
      <c r="AF546" s="1123">
        <f t="shared" si="606"/>
        <v>57.156922113686448</v>
      </c>
      <c r="AG546" s="1123">
        <f t="shared" si="607"/>
        <v>61.961572780680555</v>
      </c>
      <c r="AH546" s="1123">
        <f t="shared" si="608"/>
        <v>64.145561902562548</v>
      </c>
      <c r="AI546" s="1123">
        <f t="shared" si="609"/>
        <v>63.139599058422739</v>
      </c>
      <c r="AJ546" s="1123">
        <f t="shared" si="610"/>
        <v>59.205903965942873</v>
      </c>
      <c r="AK546" s="1123">
        <f t="shared" si="611"/>
        <v>53.369854871054123</v>
      </c>
      <c r="AL546" s="1123">
        <f t="shared" si="612"/>
        <v>47.152707906578172</v>
      </c>
      <c r="AM546" s="1120">
        <f t="shared" si="613"/>
        <v>1</v>
      </c>
      <c r="AN546" s="1120">
        <f t="shared" si="614"/>
        <v>1</v>
      </c>
      <c r="AO546" s="1120">
        <f t="shared" si="615"/>
        <v>1</v>
      </c>
      <c r="AP546" s="1120">
        <f t="shared" si="616"/>
        <v>1</v>
      </c>
      <c r="AQ546" s="1120">
        <f t="shared" si="617"/>
        <v>1</v>
      </c>
      <c r="AR546" s="1120">
        <f t="shared" si="618"/>
        <v>0</v>
      </c>
      <c r="AS546" s="1120">
        <f t="shared" si="619"/>
        <v>0</v>
      </c>
      <c r="AT546" s="1120">
        <f t="shared" si="620"/>
        <v>0</v>
      </c>
      <c r="AU546" s="1120">
        <f t="shared" si="621"/>
        <v>1</v>
      </c>
      <c r="AV546" s="1120">
        <f t="shared" si="622"/>
        <v>1</v>
      </c>
      <c r="AW546" s="1120">
        <f t="shared" si="623"/>
        <v>1</v>
      </c>
      <c r="AX546" s="1120">
        <f t="shared" si="624"/>
        <v>1</v>
      </c>
      <c r="AY546" s="1120">
        <f t="shared" si="625"/>
        <v>0</v>
      </c>
      <c r="AZ546" s="1120">
        <f t="shared" si="626"/>
        <v>0</v>
      </c>
      <c r="BA546" s="1120">
        <f t="shared" si="627"/>
        <v>0</v>
      </c>
      <c r="BB546" s="1120">
        <f t="shared" si="628"/>
        <v>0</v>
      </c>
      <c r="BC546" s="1120">
        <f t="shared" si="629"/>
        <v>0</v>
      </c>
      <c r="BD546" s="1120">
        <f t="shared" si="630"/>
        <v>1</v>
      </c>
      <c r="BE546" s="1120">
        <f t="shared" si="631"/>
        <v>1</v>
      </c>
      <c r="BF546" s="1120">
        <f t="shared" si="632"/>
        <v>1</v>
      </c>
      <c r="BG546" s="1120">
        <f t="shared" si="633"/>
        <v>0</v>
      </c>
      <c r="BH546" s="1120">
        <f t="shared" si="634"/>
        <v>0</v>
      </c>
      <c r="BI546" s="1120">
        <f t="shared" si="635"/>
        <v>0</v>
      </c>
      <c r="BJ546" s="1120">
        <f t="shared" si="636"/>
        <v>0</v>
      </c>
      <c r="BK546" s="1120">
        <f t="shared" si="637"/>
        <v>1</v>
      </c>
      <c r="BL546" s="1120">
        <f t="shared" si="638"/>
        <v>1</v>
      </c>
      <c r="BM546" s="1120">
        <f t="shared" si="639"/>
        <v>1</v>
      </c>
      <c r="BN546" s="1120">
        <f t="shared" si="640"/>
        <v>1</v>
      </c>
      <c r="BO546" s="1120">
        <f t="shared" si="641"/>
        <v>1</v>
      </c>
      <c r="BP546" s="1120">
        <f t="shared" si="642"/>
        <v>1</v>
      </c>
      <c r="BQ546" s="1120">
        <f t="shared" si="643"/>
        <v>0</v>
      </c>
      <c r="BR546" s="1120">
        <f t="shared" si="644"/>
        <v>0</v>
      </c>
      <c r="BS546" s="1120">
        <f t="shared" si="645"/>
        <v>1</v>
      </c>
      <c r="BT546" s="1120">
        <f t="shared" si="646"/>
        <v>1</v>
      </c>
      <c r="BU546" s="1120">
        <f t="shared" si="647"/>
        <v>1</v>
      </c>
      <c r="BV546" s="1120">
        <f t="shared" si="648"/>
        <v>1</v>
      </c>
      <c r="BW546" s="1120">
        <f t="shared" si="649"/>
        <v>0</v>
      </c>
      <c r="BX546" s="1120">
        <f t="shared" si="650"/>
        <v>0</v>
      </c>
      <c r="BY546" s="1120">
        <f t="shared" si="651"/>
        <v>0</v>
      </c>
      <c r="BZ546" s="1120">
        <f t="shared" si="652"/>
        <v>0</v>
      </c>
      <c r="CA546" s="1120">
        <f t="shared" si="653"/>
        <v>1</v>
      </c>
      <c r="CB546" s="1120">
        <f t="shared" si="654"/>
        <v>1</v>
      </c>
      <c r="CC546" s="1120">
        <f t="shared" si="655"/>
        <v>1</v>
      </c>
      <c r="CD546" s="1120">
        <f t="shared" si="656"/>
        <v>1</v>
      </c>
      <c r="CE546" s="1120">
        <f t="shared" si="657"/>
        <v>1</v>
      </c>
      <c r="CF546" s="1120">
        <f t="shared" si="658"/>
        <v>0</v>
      </c>
      <c r="CG546" s="1120">
        <f t="shared" si="659"/>
        <v>0</v>
      </c>
      <c r="CH546" s="1120">
        <f t="shared" si="660"/>
        <v>0</v>
      </c>
      <c r="CI546" s="1120">
        <f t="shared" si="661"/>
        <v>0.85</v>
      </c>
      <c r="CJ546" s="1120">
        <f t="shared" si="662"/>
        <v>0.85</v>
      </c>
      <c r="CK546" s="1120">
        <f t="shared" si="663"/>
        <v>0.85</v>
      </c>
      <c r="CL546" s="1120">
        <f t="shared" si="664"/>
        <v>0.85</v>
      </c>
      <c r="CM546" s="1120">
        <f t="shared" si="665"/>
        <v>0.85</v>
      </c>
      <c r="CN546" s="1120">
        <f t="shared" si="666"/>
        <v>0.85</v>
      </c>
      <c r="CO546" s="1120">
        <f t="shared" si="667"/>
        <v>0.7</v>
      </c>
      <c r="CP546" s="1120">
        <f t="shared" si="668"/>
        <v>0.7</v>
      </c>
      <c r="CQ546" s="1120">
        <f t="shared" si="669"/>
        <v>0.85</v>
      </c>
      <c r="CR546" s="1120">
        <f t="shared" si="670"/>
        <v>0.85</v>
      </c>
      <c r="CS546" s="1120">
        <f t="shared" si="671"/>
        <v>0.85</v>
      </c>
      <c r="CT546" s="1120">
        <f t="shared" si="672"/>
        <v>0.85</v>
      </c>
      <c r="CU546" s="1120">
        <v>1</v>
      </c>
      <c r="CV546" s="1120"/>
      <c r="CW546" s="1120">
        <f t="shared" si="673"/>
        <v>153</v>
      </c>
      <c r="CX546" s="1120">
        <f t="shared" si="674"/>
        <v>212</v>
      </c>
      <c r="CY546" s="1136" t="s">
        <v>4889</v>
      </c>
      <c r="CZ546" s="1129" t="s">
        <v>4899</v>
      </c>
      <c r="DA546" s="1129"/>
      <c r="DB546" s="1129"/>
      <c r="DC546" s="1125" t="s">
        <v>5678</v>
      </c>
      <c r="DD546" s="1125" t="s">
        <v>1278</v>
      </c>
      <c r="DE546" s="1120" t="str">
        <f t="shared" si="675"/>
        <v/>
      </c>
      <c r="DF546" s="1133">
        <v>0</v>
      </c>
      <c r="DG546" s="1120">
        <v>0</v>
      </c>
    </row>
    <row r="547" spans="1:111">
      <c r="A547" s="1125" t="s">
        <v>3823</v>
      </c>
      <c r="B547" s="1125" t="s">
        <v>3487</v>
      </c>
      <c r="C547" s="1125" t="s">
        <v>3488</v>
      </c>
      <c r="D547" s="1125" t="s">
        <v>249</v>
      </c>
      <c r="E547" s="1125">
        <v>4467</v>
      </c>
      <c r="F547" s="1125">
        <v>-112.28</v>
      </c>
      <c r="G547" s="1125">
        <v>42.15</v>
      </c>
      <c r="H547" s="1125">
        <v>-7</v>
      </c>
      <c r="I547" s="1126">
        <v>6.0800006866455067</v>
      </c>
      <c r="J547" s="1126">
        <v>97.33999862670899</v>
      </c>
      <c r="K547" s="1127">
        <v>59.540000343322752</v>
      </c>
      <c r="L547" s="1125">
        <v>6521.4000000000005</v>
      </c>
      <c r="M547" s="1125">
        <v>698.4</v>
      </c>
      <c r="N547" s="1128">
        <v>30.559999978542329</v>
      </c>
      <c r="O547" s="1128">
        <v>34.519999957084657</v>
      </c>
      <c r="P547" s="1128">
        <v>37.4</v>
      </c>
      <c r="Q547" s="1128">
        <v>44.059999656677249</v>
      </c>
      <c r="R547" s="1128">
        <v>55.759999656677245</v>
      </c>
      <c r="S547" s="1128">
        <v>66.560001373291016</v>
      </c>
      <c r="T547" s="1128">
        <v>73.760001373291018</v>
      </c>
      <c r="U547" s="1128">
        <v>70.16000137329101</v>
      </c>
      <c r="V547" s="1128">
        <v>58.1</v>
      </c>
      <c r="W547" s="1128">
        <v>45.679999828338623</v>
      </c>
      <c r="X547" s="1128">
        <v>35.23999991416931</v>
      </c>
      <c r="Y547" s="1128">
        <v>28.580000042915344</v>
      </c>
      <c r="Z547" s="1128">
        <v>48.450027662923894</v>
      </c>
      <c r="AA547" s="1128">
        <f t="shared" si="601"/>
        <v>45.764774208185969</v>
      </c>
      <c r="AB547" s="1128">
        <f t="shared" si="602"/>
        <v>44.409215841399174</v>
      </c>
      <c r="AC547" s="1128">
        <f t="shared" si="603"/>
        <v>45.670949809486714</v>
      </c>
      <c r="AD547" s="1128">
        <f t="shared" si="604"/>
        <v>49.22108570975756</v>
      </c>
      <c r="AE547" s="1128">
        <f t="shared" si="605"/>
        <v>54.134225910555863</v>
      </c>
      <c r="AF547" s="1128">
        <f t="shared" si="606"/>
        <v>59.129684704761203</v>
      </c>
      <c r="AG547" s="1128">
        <f t="shared" si="607"/>
        <v>62.905318775313717</v>
      </c>
      <c r="AH547" s="1128">
        <f t="shared" si="608"/>
        <v>64.476950917441627</v>
      </c>
      <c r="AI547" s="1128">
        <f t="shared" si="609"/>
        <v>63.43491099371488</v>
      </c>
      <c r="AJ547" s="1128">
        <f t="shared" si="610"/>
        <v>60.050822768574136</v>
      </c>
      <c r="AK547" s="1128">
        <f t="shared" si="611"/>
        <v>55.206800988280484</v>
      </c>
      <c r="AL547" s="1128">
        <f t="shared" si="612"/>
        <v>50.165514578502673</v>
      </c>
      <c r="AM547" s="1125">
        <f t="shared" si="613"/>
        <v>1</v>
      </c>
      <c r="AN547" s="1125">
        <f t="shared" si="614"/>
        <v>1</v>
      </c>
      <c r="AO547" s="1125">
        <f t="shared" si="615"/>
        <v>1</v>
      </c>
      <c r="AP547" s="1125">
        <f t="shared" si="616"/>
        <v>1</v>
      </c>
      <c r="AQ547" s="1125">
        <f t="shared" si="617"/>
        <v>1</v>
      </c>
      <c r="AR547" s="1125">
        <f t="shared" si="618"/>
        <v>0</v>
      </c>
      <c r="AS547" s="1125">
        <f t="shared" si="619"/>
        <v>0</v>
      </c>
      <c r="AT547" s="1125">
        <f t="shared" si="620"/>
        <v>0</v>
      </c>
      <c r="AU547" s="1125">
        <f t="shared" si="621"/>
        <v>1</v>
      </c>
      <c r="AV547" s="1125">
        <f t="shared" si="622"/>
        <v>1</v>
      </c>
      <c r="AW547" s="1125">
        <f t="shared" si="623"/>
        <v>1</v>
      </c>
      <c r="AX547" s="1125">
        <f t="shared" si="624"/>
        <v>1</v>
      </c>
      <c r="AY547" s="1125">
        <f t="shared" si="625"/>
        <v>0</v>
      </c>
      <c r="AZ547" s="1125">
        <f t="shared" si="626"/>
        <v>0</v>
      </c>
      <c r="BA547" s="1125">
        <f t="shared" si="627"/>
        <v>0</v>
      </c>
      <c r="BB547" s="1125">
        <f t="shared" si="628"/>
        <v>0</v>
      </c>
      <c r="BC547" s="1125">
        <f t="shared" si="629"/>
        <v>0</v>
      </c>
      <c r="BD547" s="1125">
        <f t="shared" si="630"/>
        <v>1</v>
      </c>
      <c r="BE547" s="1125">
        <f t="shared" si="631"/>
        <v>1</v>
      </c>
      <c r="BF547" s="1125">
        <f t="shared" si="632"/>
        <v>1</v>
      </c>
      <c r="BG547" s="1125">
        <f t="shared" si="633"/>
        <v>0</v>
      </c>
      <c r="BH547" s="1125">
        <f t="shared" si="634"/>
        <v>0</v>
      </c>
      <c r="BI547" s="1125">
        <f t="shared" si="635"/>
        <v>0</v>
      </c>
      <c r="BJ547" s="1125">
        <f t="shared" si="636"/>
        <v>0</v>
      </c>
      <c r="BK547" s="1125">
        <f t="shared" si="637"/>
        <v>1</v>
      </c>
      <c r="BL547" s="1125">
        <f t="shared" si="638"/>
        <v>1</v>
      </c>
      <c r="BM547" s="1125">
        <f t="shared" si="639"/>
        <v>1</v>
      </c>
      <c r="BN547" s="1125">
        <f t="shared" si="640"/>
        <v>1</v>
      </c>
      <c r="BO547" s="1125">
        <f t="shared" si="641"/>
        <v>1</v>
      </c>
      <c r="BP547" s="1125">
        <f t="shared" si="642"/>
        <v>1</v>
      </c>
      <c r="BQ547" s="1125">
        <f t="shared" si="643"/>
        <v>0</v>
      </c>
      <c r="BR547" s="1125">
        <f t="shared" si="644"/>
        <v>0</v>
      </c>
      <c r="BS547" s="1125">
        <f t="shared" si="645"/>
        <v>1</v>
      </c>
      <c r="BT547" s="1125">
        <f t="shared" si="646"/>
        <v>1</v>
      </c>
      <c r="BU547" s="1125">
        <f t="shared" si="647"/>
        <v>1</v>
      </c>
      <c r="BV547" s="1125">
        <f t="shared" si="648"/>
        <v>1</v>
      </c>
      <c r="BW547" s="1125">
        <f t="shared" si="649"/>
        <v>0</v>
      </c>
      <c r="BX547" s="1125">
        <f t="shared" si="650"/>
        <v>0</v>
      </c>
      <c r="BY547" s="1125">
        <f t="shared" si="651"/>
        <v>0</v>
      </c>
      <c r="BZ547" s="1125">
        <f t="shared" si="652"/>
        <v>0</v>
      </c>
      <c r="CA547" s="1125">
        <f t="shared" si="653"/>
        <v>1</v>
      </c>
      <c r="CB547" s="1125">
        <f t="shared" si="654"/>
        <v>1</v>
      </c>
      <c r="CC547" s="1125">
        <f t="shared" si="655"/>
        <v>1</v>
      </c>
      <c r="CD547" s="1125">
        <f t="shared" si="656"/>
        <v>1</v>
      </c>
      <c r="CE547" s="1125">
        <f t="shared" si="657"/>
        <v>1</v>
      </c>
      <c r="CF547" s="1125">
        <f t="shared" si="658"/>
        <v>0</v>
      </c>
      <c r="CG547" s="1125">
        <f t="shared" si="659"/>
        <v>0</v>
      </c>
      <c r="CH547" s="1125">
        <f t="shared" si="660"/>
        <v>0</v>
      </c>
      <c r="CI547" s="1125">
        <f t="shared" si="661"/>
        <v>0.85</v>
      </c>
      <c r="CJ547" s="1125">
        <f t="shared" si="662"/>
        <v>0.85</v>
      </c>
      <c r="CK547" s="1125">
        <f t="shared" si="663"/>
        <v>0.85</v>
      </c>
      <c r="CL547" s="1125">
        <f t="shared" si="664"/>
        <v>0.85</v>
      </c>
      <c r="CM547" s="1125">
        <f t="shared" si="665"/>
        <v>0.85</v>
      </c>
      <c r="CN547" s="1125">
        <f t="shared" si="666"/>
        <v>0.85</v>
      </c>
      <c r="CO547" s="1125">
        <f t="shared" si="667"/>
        <v>0.7</v>
      </c>
      <c r="CP547" s="1125">
        <f t="shared" si="668"/>
        <v>0.7</v>
      </c>
      <c r="CQ547" s="1125">
        <f t="shared" si="669"/>
        <v>0.85</v>
      </c>
      <c r="CR547" s="1125">
        <f t="shared" si="670"/>
        <v>0.85</v>
      </c>
      <c r="CS547" s="1125">
        <f t="shared" si="671"/>
        <v>0.85</v>
      </c>
      <c r="CT547" s="1125">
        <f t="shared" si="672"/>
        <v>0.85</v>
      </c>
      <c r="CU547" s="1125">
        <v>1</v>
      </c>
      <c r="CV547" s="1125"/>
      <c r="CW547" s="1125">
        <f t="shared" si="673"/>
        <v>153</v>
      </c>
      <c r="CX547" s="1125">
        <f t="shared" si="674"/>
        <v>212</v>
      </c>
      <c r="CY547" s="1136" t="s">
        <v>4889</v>
      </c>
      <c r="CZ547" s="1129" t="s">
        <v>4896</v>
      </c>
      <c r="DA547" s="1129"/>
      <c r="DB547" s="1129"/>
      <c r="DC547" s="1125" t="s">
        <v>5199</v>
      </c>
      <c r="DD547" s="1125" t="s">
        <v>249</v>
      </c>
      <c r="DE547" s="1120" t="str">
        <f t="shared" si="675"/>
        <v/>
      </c>
      <c r="DF547" s="1133">
        <v>0</v>
      </c>
      <c r="DG547" s="1125">
        <v>0</v>
      </c>
    </row>
    <row r="548" spans="1:111">
      <c r="A548" s="1120" t="s">
        <v>5890</v>
      </c>
      <c r="B548" s="1125" t="s">
        <v>4512</v>
      </c>
      <c r="C548" s="1125" t="s">
        <v>4513</v>
      </c>
      <c r="D548" s="1125" t="s">
        <v>501</v>
      </c>
      <c r="E548" s="1125">
        <v>194</v>
      </c>
      <c r="F548" s="1125">
        <v>-77.52</v>
      </c>
      <c r="G548" s="1125">
        <v>38.72</v>
      </c>
      <c r="H548" s="1125">
        <v>-5</v>
      </c>
      <c r="I548" s="1126">
        <v>16.340000343322753</v>
      </c>
      <c r="J548" s="1126">
        <v>90.5</v>
      </c>
      <c r="K548" s="1127">
        <v>73.580000686645505</v>
      </c>
      <c r="L548" s="1125">
        <v>4955.4000000000005</v>
      </c>
      <c r="M548" s="1125">
        <v>945</v>
      </c>
      <c r="N548" s="1128">
        <v>36.679999828338623</v>
      </c>
      <c r="O548" s="1128">
        <v>33.799999999999997</v>
      </c>
      <c r="P548" s="1128">
        <v>39.200000000000003</v>
      </c>
      <c r="Q548" s="1128">
        <v>51.080000686645505</v>
      </c>
      <c r="R548" s="1128">
        <v>59.9</v>
      </c>
      <c r="S548" s="1128">
        <v>73.580000686645505</v>
      </c>
      <c r="T548" s="1128">
        <v>75.919999313354495</v>
      </c>
      <c r="U548" s="1128">
        <v>71.239998626708982</v>
      </c>
      <c r="V548" s="1128">
        <v>63.86000137329102</v>
      </c>
      <c r="W548" s="1128">
        <v>54.319999313354494</v>
      </c>
      <c r="X548" s="1128">
        <v>39.740000343322755</v>
      </c>
      <c r="Y548" s="1128">
        <v>40.279999828338624</v>
      </c>
      <c r="Z548" s="1128">
        <v>53.419013690164647</v>
      </c>
      <c r="AA548" s="1128">
        <f t="shared" si="601"/>
        <v>50.003663946696243</v>
      </c>
      <c r="AB548" s="1128">
        <f t="shared" si="602"/>
        <v>49.041449199760962</v>
      </c>
      <c r="AC548" s="1128">
        <f t="shared" si="603"/>
        <v>50.784306560359028</v>
      </c>
      <c r="AD548" s="1128">
        <f t="shared" si="604"/>
        <v>54.777933399205637</v>
      </c>
      <c r="AE548" s="1128">
        <f t="shared" si="605"/>
        <v>59.981329337102927</v>
      </c>
      <c r="AF548" s="1128">
        <f t="shared" si="606"/>
        <v>65.038149036079332</v>
      </c>
      <c r="AG548" s="1128">
        <f t="shared" si="607"/>
        <v>68.630254513646236</v>
      </c>
      <c r="AH548" s="1128">
        <f t="shared" si="608"/>
        <v>69.821308121054784</v>
      </c>
      <c r="AI548" s="1128">
        <f t="shared" si="609"/>
        <v>68.300843380842281</v>
      </c>
      <c r="AJ548" s="1128">
        <f t="shared" si="610"/>
        <v>64.465192858615993</v>
      </c>
      <c r="AK548" s="1128">
        <f t="shared" si="611"/>
        <v>59.314177972157992</v>
      </c>
      <c r="AL548" s="1128">
        <f t="shared" si="612"/>
        <v>54.190490131165738</v>
      </c>
      <c r="AM548" s="1125">
        <f t="shared" si="613"/>
        <v>1</v>
      </c>
      <c r="AN548" s="1125">
        <f t="shared" si="614"/>
        <v>1</v>
      </c>
      <c r="AO548" s="1125">
        <f t="shared" si="615"/>
        <v>1</v>
      </c>
      <c r="AP548" s="1125">
        <f t="shared" si="616"/>
        <v>1</v>
      </c>
      <c r="AQ548" s="1125">
        <f t="shared" si="617"/>
        <v>1</v>
      </c>
      <c r="AR548" s="1125">
        <f t="shared" si="618"/>
        <v>0</v>
      </c>
      <c r="AS548" s="1125">
        <f t="shared" si="619"/>
        <v>0</v>
      </c>
      <c r="AT548" s="1125">
        <f t="shared" si="620"/>
        <v>0</v>
      </c>
      <c r="AU548" s="1125">
        <f t="shared" si="621"/>
        <v>1</v>
      </c>
      <c r="AV548" s="1125">
        <f t="shared" si="622"/>
        <v>1</v>
      </c>
      <c r="AW548" s="1125">
        <f t="shared" si="623"/>
        <v>1</v>
      </c>
      <c r="AX548" s="1125">
        <f t="shared" si="624"/>
        <v>1</v>
      </c>
      <c r="AY548" s="1125">
        <f t="shared" si="625"/>
        <v>0</v>
      </c>
      <c r="AZ548" s="1125">
        <f t="shared" si="626"/>
        <v>0</v>
      </c>
      <c r="BA548" s="1125">
        <f t="shared" si="627"/>
        <v>0</v>
      </c>
      <c r="BB548" s="1125">
        <f t="shared" si="628"/>
        <v>0</v>
      </c>
      <c r="BC548" s="1125">
        <f t="shared" si="629"/>
        <v>0</v>
      </c>
      <c r="BD548" s="1125">
        <f t="shared" si="630"/>
        <v>1</v>
      </c>
      <c r="BE548" s="1125">
        <f t="shared" si="631"/>
        <v>1</v>
      </c>
      <c r="BF548" s="1125">
        <f t="shared" si="632"/>
        <v>1</v>
      </c>
      <c r="BG548" s="1125">
        <f t="shared" si="633"/>
        <v>0</v>
      </c>
      <c r="BH548" s="1125">
        <f t="shared" si="634"/>
        <v>0</v>
      </c>
      <c r="BI548" s="1125">
        <f t="shared" si="635"/>
        <v>0</v>
      </c>
      <c r="BJ548" s="1125">
        <f t="shared" si="636"/>
        <v>0</v>
      </c>
      <c r="BK548" s="1125">
        <f t="shared" si="637"/>
        <v>1</v>
      </c>
      <c r="BL548" s="1125">
        <f t="shared" si="638"/>
        <v>1</v>
      </c>
      <c r="BM548" s="1125">
        <f t="shared" si="639"/>
        <v>1</v>
      </c>
      <c r="BN548" s="1125">
        <f t="shared" si="640"/>
        <v>1</v>
      </c>
      <c r="BO548" s="1125">
        <f t="shared" si="641"/>
        <v>1</v>
      </c>
      <c r="BP548" s="1125">
        <f t="shared" si="642"/>
        <v>1</v>
      </c>
      <c r="BQ548" s="1125">
        <f t="shared" si="643"/>
        <v>0</v>
      </c>
      <c r="BR548" s="1125">
        <f t="shared" si="644"/>
        <v>0</v>
      </c>
      <c r="BS548" s="1125">
        <f t="shared" si="645"/>
        <v>1</v>
      </c>
      <c r="BT548" s="1125">
        <f t="shared" si="646"/>
        <v>1</v>
      </c>
      <c r="BU548" s="1125">
        <f t="shared" si="647"/>
        <v>1</v>
      </c>
      <c r="BV548" s="1125">
        <f t="shared" si="648"/>
        <v>1</v>
      </c>
      <c r="BW548" s="1125">
        <f t="shared" si="649"/>
        <v>0</v>
      </c>
      <c r="BX548" s="1125">
        <f t="shared" si="650"/>
        <v>0</v>
      </c>
      <c r="BY548" s="1125">
        <f t="shared" si="651"/>
        <v>0</v>
      </c>
      <c r="BZ548" s="1125">
        <f t="shared" si="652"/>
        <v>0</v>
      </c>
      <c r="CA548" s="1125">
        <f t="shared" si="653"/>
        <v>1</v>
      </c>
      <c r="CB548" s="1125">
        <f t="shared" si="654"/>
        <v>1</v>
      </c>
      <c r="CC548" s="1125">
        <f t="shared" si="655"/>
        <v>1</v>
      </c>
      <c r="CD548" s="1125">
        <f t="shared" si="656"/>
        <v>1</v>
      </c>
      <c r="CE548" s="1125">
        <f t="shared" si="657"/>
        <v>1</v>
      </c>
      <c r="CF548" s="1125">
        <f t="shared" si="658"/>
        <v>0</v>
      </c>
      <c r="CG548" s="1125">
        <f t="shared" si="659"/>
        <v>0</v>
      </c>
      <c r="CH548" s="1125">
        <f t="shared" si="660"/>
        <v>0</v>
      </c>
      <c r="CI548" s="1125">
        <f t="shared" si="661"/>
        <v>0.85</v>
      </c>
      <c r="CJ548" s="1125">
        <f t="shared" si="662"/>
        <v>0.85</v>
      </c>
      <c r="CK548" s="1125">
        <f t="shared" si="663"/>
        <v>0.85</v>
      </c>
      <c r="CL548" s="1125">
        <f t="shared" si="664"/>
        <v>0.85</v>
      </c>
      <c r="CM548" s="1125">
        <f t="shared" si="665"/>
        <v>0.85</v>
      </c>
      <c r="CN548" s="1125">
        <f t="shared" si="666"/>
        <v>0.85</v>
      </c>
      <c r="CO548" s="1125">
        <f t="shared" si="667"/>
        <v>0.7</v>
      </c>
      <c r="CP548" s="1125">
        <f t="shared" si="668"/>
        <v>0.7</v>
      </c>
      <c r="CQ548" s="1125">
        <f t="shared" si="669"/>
        <v>0.85</v>
      </c>
      <c r="CR548" s="1125">
        <f t="shared" si="670"/>
        <v>0.85</v>
      </c>
      <c r="CS548" s="1125">
        <f t="shared" si="671"/>
        <v>0.85</v>
      </c>
      <c r="CT548" s="1125">
        <f t="shared" si="672"/>
        <v>0.85</v>
      </c>
      <c r="CU548" s="1125">
        <v>1</v>
      </c>
      <c r="CV548" s="1125"/>
      <c r="CW548" s="1125">
        <f t="shared" si="673"/>
        <v>153</v>
      </c>
      <c r="CX548" s="1125">
        <f t="shared" si="674"/>
        <v>212</v>
      </c>
      <c r="CY548" s="1136" t="s">
        <v>4881</v>
      </c>
      <c r="CZ548" s="1129" t="s">
        <v>4885</v>
      </c>
      <c r="DA548" s="1129"/>
      <c r="DB548" s="1129"/>
      <c r="DC548" s="1125" t="s">
        <v>5789</v>
      </c>
      <c r="DD548" s="1125" t="s">
        <v>501</v>
      </c>
      <c r="DE548" s="1120" t="b">
        <f t="shared" si="675"/>
        <v>0</v>
      </c>
      <c r="DF548" s="1133">
        <v>0</v>
      </c>
      <c r="DG548" s="1120">
        <v>0</v>
      </c>
    </row>
    <row r="549" spans="1:111">
      <c r="A549" s="1125" t="s">
        <v>3825</v>
      </c>
      <c r="B549" s="1120" t="s">
        <v>4046</v>
      </c>
      <c r="C549" s="1120" t="s">
        <v>4047</v>
      </c>
      <c r="D549" s="1120" t="s">
        <v>1249</v>
      </c>
      <c r="E549" s="1120">
        <v>226</v>
      </c>
      <c r="F549" s="1120">
        <v>-71.430000000000007</v>
      </c>
      <c r="G549" s="1120">
        <v>42.93</v>
      </c>
      <c r="H549" s="1120">
        <v>-5</v>
      </c>
      <c r="I549" s="1121">
        <v>6.7999999999999989</v>
      </c>
      <c r="J549" s="1121">
        <v>88.7</v>
      </c>
      <c r="K549" s="1122">
        <v>70.7</v>
      </c>
      <c r="L549" s="1120">
        <v>6130.8</v>
      </c>
      <c r="M549" s="1120">
        <v>727.2</v>
      </c>
      <c r="N549" s="1123">
        <v>22.459999656677248</v>
      </c>
      <c r="O549" s="1123">
        <v>27.139999914169312</v>
      </c>
      <c r="P549" s="1123">
        <v>40.820000171661377</v>
      </c>
      <c r="Q549" s="1123">
        <v>46.040000343322752</v>
      </c>
      <c r="R549" s="1123">
        <v>52.880000686645509</v>
      </c>
      <c r="S549" s="1123">
        <v>66.2</v>
      </c>
      <c r="T549" s="1123">
        <v>72.860001373291013</v>
      </c>
      <c r="U549" s="1123">
        <v>71.599999999999994</v>
      </c>
      <c r="V549" s="1123">
        <v>65.480000686645511</v>
      </c>
      <c r="W549" s="1123">
        <v>50.540000343322752</v>
      </c>
      <c r="X549" s="1123">
        <v>42.079999828338622</v>
      </c>
      <c r="Y549" s="1123">
        <v>35.23999991416931</v>
      </c>
      <c r="Z549" s="1123">
        <v>49.56800024620474</v>
      </c>
      <c r="AA549" s="1123">
        <f t="shared" si="601"/>
        <v>45.526562022614463</v>
      </c>
      <c r="AB549" s="1123">
        <f t="shared" si="602"/>
        <v>44.08541236384567</v>
      </c>
      <c r="AC549" s="1123">
        <f t="shared" si="603"/>
        <v>45.637376188649327</v>
      </c>
      <c r="AD549" s="1123">
        <f t="shared" si="604"/>
        <v>49.777910209603874</v>
      </c>
      <c r="AE549" s="1123">
        <f t="shared" si="605"/>
        <v>55.427720426586809</v>
      </c>
      <c r="AF549" s="1123">
        <f t="shared" si="606"/>
        <v>61.114096740330616</v>
      </c>
      <c r="AG549" s="1123">
        <f t="shared" si="607"/>
        <v>65.354797534946442</v>
      </c>
      <c r="AH549" s="1123">
        <f t="shared" si="608"/>
        <v>67.044418797140281</v>
      </c>
      <c r="AI549" s="1123">
        <f t="shared" si="609"/>
        <v>65.742534707069467</v>
      </c>
      <c r="AJ549" s="1123">
        <f t="shared" si="610"/>
        <v>61.788501415452103</v>
      </c>
      <c r="AK549" s="1123">
        <f t="shared" si="611"/>
        <v>56.212998633245725</v>
      </c>
      <c r="AL549" s="1123">
        <f t="shared" si="612"/>
        <v>50.469367081731079</v>
      </c>
      <c r="AM549" s="1120">
        <f t="shared" si="613"/>
        <v>1</v>
      </c>
      <c r="AN549" s="1120">
        <f t="shared" si="614"/>
        <v>1</v>
      </c>
      <c r="AO549" s="1120">
        <f t="shared" si="615"/>
        <v>1</v>
      </c>
      <c r="AP549" s="1120">
        <f t="shared" si="616"/>
        <v>1</v>
      </c>
      <c r="AQ549" s="1120">
        <f t="shared" si="617"/>
        <v>1</v>
      </c>
      <c r="AR549" s="1120">
        <f t="shared" si="618"/>
        <v>0</v>
      </c>
      <c r="AS549" s="1120">
        <f t="shared" si="619"/>
        <v>0</v>
      </c>
      <c r="AT549" s="1120">
        <f t="shared" si="620"/>
        <v>0</v>
      </c>
      <c r="AU549" s="1120">
        <f t="shared" si="621"/>
        <v>1</v>
      </c>
      <c r="AV549" s="1120">
        <f t="shared" si="622"/>
        <v>1</v>
      </c>
      <c r="AW549" s="1120">
        <f t="shared" si="623"/>
        <v>1</v>
      </c>
      <c r="AX549" s="1120">
        <f t="shared" si="624"/>
        <v>1</v>
      </c>
      <c r="AY549" s="1120">
        <f t="shared" si="625"/>
        <v>0</v>
      </c>
      <c r="AZ549" s="1120">
        <f t="shared" si="626"/>
        <v>0</v>
      </c>
      <c r="BA549" s="1120">
        <f t="shared" si="627"/>
        <v>0</v>
      </c>
      <c r="BB549" s="1120">
        <f t="shared" si="628"/>
        <v>0</v>
      </c>
      <c r="BC549" s="1120">
        <f t="shared" si="629"/>
        <v>0</v>
      </c>
      <c r="BD549" s="1120">
        <f t="shared" si="630"/>
        <v>1</v>
      </c>
      <c r="BE549" s="1120">
        <f t="shared" si="631"/>
        <v>1</v>
      </c>
      <c r="BF549" s="1120">
        <f t="shared" si="632"/>
        <v>1</v>
      </c>
      <c r="BG549" s="1120">
        <f t="shared" si="633"/>
        <v>0</v>
      </c>
      <c r="BH549" s="1120">
        <f t="shared" si="634"/>
        <v>0</v>
      </c>
      <c r="BI549" s="1120">
        <f t="shared" si="635"/>
        <v>0</v>
      </c>
      <c r="BJ549" s="1120">
        <f t="shared" si="636"/>
        <v>0</v>
      </c>
      <c r="BK549" s="1120">
        <f t="shared" si="637"/>
        <v>1</v>
      </c>
      <c r="BL549" s="1120">
        <f t="shared" si="638"/>
        <v>1</v>
      </c>
      <c r="BM549" s="1120">
        <f t="shared" si="639"/>
        <v>1</v>
      </c>
      <c r="BN549" s="1120">
        <f t="shared" si="640"/>
        <v>1</v>
      </c>
      <c r="BO549" s="1120">
        <f t="shared" si="641"/>
        <v>1</v>
      </c>
      <c r="BP549" s="1120">
        <f t="shared" si="642"/>
        <v>1</v>
      </c>
      <c r="BQ549" s="1120">
        <f t="shared" si="643"/>
        <v>0</v>
      </c>
      <c r="BR549" s="1120">
        <f t="shared" si="644"/>
        <v>0</v>
      </c>
      <c r="BS549" s="1120">
        <f t="shared" si="645"/>
        <v>1</v>
      </c>
      <c r="BT549" s="1120">
        <f t="shared" si="646"/>
        <v>1</v>
      </c>
      <c r="BU549" s="1120">
        <f t="shared" si="647"/>
        <v>1</v>
      </c>
      <c r="BV549" s="1120">
        <f t="shared" si="648"/>
        <v>1</v>
      </c>
      <c r="BW549" s="1120">
        <f t="shared" si="649"/>
        <v>0</v>
      </c>
      <c r="BX549" s="1120">
        <f t="shared" si="650"/>
        <v>0</v>
      </c>
      <c r="BY549" s="1120">
        <f t="shared" si="651"/>
        <v>0</v>
      </c>
      <c r="BZ549" s="1120">
        <f t="shared" si="652"/>
        <v>0</v>
      </c>
      <c r="CA549" s="1120">
        <f t="shared" si="653"/>
        <v>1</v>
      </c>
      <c r="CB549" s="1120">
        <f t="shared" si="654"/>
        <v>1</v>
      </c>
      <c r="CC549" s="1120">
        <f t="shared" si="655"/>
        <v>1</v>
      </c>
      <c r="CD549" s="1120">
        <f t="shared" si="656"/>
        <v>1</v>
      </c>
      <c r="CE549" s="1120">
        <f t="shared" si="657"/>
        <v>1</v>
      </c>
      <c r="CF549" s="1120">
        <f t="shared" si="658"/>
        <v>0</v>
      </c>
      <c r="CG549" s="1120">
        <f t="shared" si="659"/>
        <v>0</v>
      </c>
      <c r="CH549" s="1120">
        <f t="shared" si="660"/>
        <v>0</v>
      </c>
      <c r="CI549" s="1120">
        <f t="shared" si="661"/>
        <v>0.85</v>
      </c>
      <c r="CJ549" s="1120">
        <f t="shared" si="662"/>
        <v>0.85</v>
      </c>
      <c r="CK549" s="1120">
        <f t="shared" si="663"/>
        <v>0.85</v>
      </c>
      <c r="CL549" s="1120">
        <f t="shared" si="664"/>
        <v>0.85</v>
      </c>
      <c r="CM549" s="1120">
        <f t="shared" si="665"/>
        <v>0.85</v>
      </c>
      <c r="CN549" s="1120">
        <f t="shared" si="666"/>
        <v>0.85</v>
      </c>
      <c r="CO549" s="1120">
        <f t="shared" si="667"/>
        <v>0.7</v>
      </c>
      <c r="CP549" s="1120">
        <f t="shared" si="668"/>
        <v>0.7</v>
      </c>
      <c r="CQ549" s="1120">
        <f t="shared" si="669"/>
        <v>0.85</v>
      </c>
      <c r="CR549" s="1120">
        <f t="shared" si="670"/>
        <v>0.85</v>
      </c>
      <c r="CS549" s="1120">
        <f t="shared" si="671"/>
        <v>0.85</v>
      </c>
      <c r="CT549" s="1120">
        <f t="shared" si="672"/>
        <v>0.85</v>
      </c>
      <c r="CU549" s="1120">
        <v>1</v>
      </c>
      <c r="CV549" s="1120"/>
      <c r="CW549" s="1120">
        <f t="shared" si="673"/>
        <v>153</v>
      </c>
      <c r="CX549" s="1120">
        <f t="shared" si="674"/>
        <v>212</v>
      </c>
      <c r="CY549" s="1135" t="s">
        <v>4889</v>
      </c>
      <c r="CZ549" s="1124" t="s">
        <v>4897</v>
      </c>
      <c r="DA549" s="1124"/>
      <c r="DB549" s="1124"/>
      <c r="DC549" s="1120" t="s">
        <v>5436</v>
      </c>
      <c r="DD549" s="1120" t="s">
        <v>1249</v>
      </c>
      <c r="DE549" s="1120" t="str">
        <f t="shared" si="675"/>
        <v/>
      </c>
      <c r="DF549" s="1133">
        <v>0</v>
      </c>
      <c r="DG549" s="1125">
        <v>0</v>
      </c>
    </row>
    <row r="550" spans="1:111">
      <c r="A550" s="1120" t="s">
        <v>3827</v>
      </c>
      <c r="B550" s="1125" t="s">
        <v>3571</v>
      </c>
      <c r="C550" s="1125" t="s">
        <v>3572</v>
      </c>
      <c r="D550" s="1125" t="s">
        <v>256</v>
      </c>
      <c r="E550" s="1125">
        <v>1082</v>
      </c>
      <c r="F550" s="1125">
        <v>-96.67</v>
      </c>
      <c r="G550" s="1125">
        <v>39.130000000000003</v>
      </c>
      <c r="H550" s="1125">
        <v>-6</v>
      </c>
      <c r="I550" s="1126">
        <v>8.7800006866455078</v>
      </c>
      <c r="J550" s="1126">
        <v>97.160001373291024</v>
      </c>
      <c r="K550" s="1127">
        <v>75.739998626708982</v>
      </c>
      <c r="L550" s="1125">
        <v>4912.2</v>
      </c>
      <c r="M550" s="1125">
        <v>1688.4</v>
      </c>
      <c r="N550" s="1128">
        <v>30.919999957084656</v>
      </c>
      <c r="O550" s="1128">
        <v>34.519999957084657</v>
      </c>
      <c r="P550" s="1128">
        <v>43.879999828338626</v>
      </c>
      <c r="Q550" s="1128">
        <v>57.019999313354489</v>
      </c>
      <c r="R550" s="1128">
        <v>66.2</v>
      </c>
      <c r="S550" s="1128">
        <v>77.539998626708979</v>
      </c>
      <c r="T550" s="1128">
        <v>78.439998626708984</v>
      </c>
      <c r="U550" s="1128">
        <v>81.5</v>
      </c>
      <c r="V550" s="1128">
        <v>66.2</v>
      </c>
      <c r="W550" s="1128">
        <v>56.119999313354491</v>
      </c>
      <c r="X550" s="1128">
        <v>44.6</v>
      </c>
      <c r="Y550" s="1128">
        <v>28.4</v>
      </c>
      <c r="Z550" s="1128">
        <v>55.55238319586401</v>
      </c>
      <c r="AA550" s="1128">
        <f t="shared" si="601"/>
        <v>48.964455560672945</v>
      </c>
      <c r="AB550" s="1128">
        <f t="shared" si="602"/>
        <v>47.952147556789477</v>
      </c>
      <c r="AC550" s="1128">
        <f t="shared" si="603"/>
        <v>50.484950558206094</v>
      </c>
      <c r="AD550" s="1128">
        <f t="shared" si="604"/>
        <v>55.902650430927828</v>
      </c>
      <c r="AE550" s="1128">
        <f t="shared" si="605"/>
        <v>62.793040213847519</v>
      </c>
      <c r="AF550" s="1128">
        <f t="shared" si="606"/>
        <v>69.360033625926434</v>
      </c>
      <c r="AG550" s="1128">
        <f t="shared" si="607"/>
        <v>73.891842633874418</v>
      </c>
      <c r="AH550" s="1128">
        <f t="shared" si="608"/>
        <v>75.207181382479035</v>
      </c>
      <c r="AI550" s="1128">
        <f t="shared" si="609"/>
        <v>72.96318655693284</v>
      </c>
      <c r="AJ550" s="1128">
        <f t="shared" si="610"/>
        <v>67.744789989521436</v>
      </c>
      <c r="AK550" s="1128">
        <f t="shared" si="611"/>
        <v>60.91224716346597</v>
      </c>
      <c r="AL550" s="1128">
        <f t="shared" si="612"/>
        <v>54.246565659049899</v>
      </c>
      <c r="AM550" s="1125">
        <f t="shared" si="613"/>
        <v>1</v>
      </c>
      <c r="AN550" s="1125">
        <f t="shared" si="614"/>
        <v>1</v>
      </c>
      <c r="AO550" s="1125">
        <f t="shared" si="615"/>
        <v>1</v>
      </c>
      <c r="AP550" s="1125">
        <f t="shared" si="616"/>
        <v>1</v>
      </c>
      <c r="AQ550" s="1125">
        <f t="shared" si="617"/>
        <v>0</v>
      </c>
      <c r="AR550" s="1125">
        <f t="shared" si="618"/>
        <v>0</v>
      </c>
      <c r="AS550" s="1125">
        <f t="shared" si="619"/>
        <v>0</v>
      </c>
      <c r="AT550" s="1125">
        <f t="shared" si="620"/>
        <v>0</v>
      </c>
      <c r="AU550" s="1125">
        <f t="shared" si="621"/>
        <v>0</v>
      </c>
      <c r="AV550" s="1125">
        <f t="shared" si="622"/>
        <v>1</v>
      </c>
      <c r="AW550" s="1125">
        <f t="shared" si="623"/>
        <v>1</v>
      </c>
      <c r="AX550" s="1125">
        <f t="shared" si="624"/>
        <v>1</v>
      </c>
      <c r="AY550" s="1125">
        <f t="shared" si="625"/>
        <v>0</v>
      </c>
      <c r="AZ550" s="1125">
        <f t="shared" si="626"/>
        <v>0</v>
      </c>
      <c r="BA550" s="1125">
        <f t="shared" si="627"/>
        <v>0</v>
      </c>
      <c r="BB550" s="1125">
        <f t="shared" si="628"/>
        <v>0</v>
      </c>
      <c r="BC550" s="1125">
        <f t="shared" si="629"/>
        <v>1</v>
      </c>
      <c r="BD550" s="1125">
        <f t="shared" si="630"/>
        <v>1</v>
      </c>
      <c r="BE550" s="1125">
        <f t="shared" si="631"/>
        <v>1</v>
      </c>
      <c r="BF550" s="1125">
        <f t="shared" si="632"/>
        <v>1</v>
      </c>
      <c r="BG550" s="1125">
        <f t="shared" si="633"/>
        <v>1</v>
      </c>
      <c r="BH550" s="1125">
        <f t="shared" si="634"/>
        <v>0</v>
      </c>
      <c r="BI550" s="1125">
        <f t="shared" si="635"/>
        <v>0</v>
      </c>
      <c r="BJ550" s="1125">
        <f t="shared" si="636"/>
        <v>0</v>
      </c>
      <c r="BK550" s="1125">
        <f t="shared" si="637"/>
        <v>1</v>
      </c>
      <c r="BL550" s="1125">
        <f t="shared" si="638"/>
        <v>1</v>
      </c>
      <c r="BM550" s="1125">
        <f t="shared" si="639"/>
        <v>1</v>
      </c>
      <c r="BN550" s="1125">
        <f t="shared" si="640"/>
        <v>1</v>
      </c>
      <c r="BO550" s="1125">
        <f t="shared" si="641"/>
        <v>1</v>
      </c>
      <c r="BP550" s="1125">
        <f t="shared" si="642"/>
        <v>0</v>
      </c>
      <c r="BQ550" s="1125">
        <f t="shared" si="643"/>
        <v>0</v>
      </c>
      <c r="BR550" s="1125">
        <f t="shared" si="644"/>
        <v>0</v>
      </c>
      <c r="BS550" s="1125">
        <f t="shared" si="645"/>
        <v>0</v>
      </c>
      <c r="BT550" s="1125">
        <f t="shared" si="646"/>
        <v>1</v>
      </c>
      <c r="BU550" s="1125">
        <f t="shared" si="647"/>
        <v>1</v>
      </c>
      <c r="BV550" s="1125">
        <f t="shared" si="648"/>
        <v>1</v>
      </c>
      <c r="BW550" s="1125">
        <f t="shared" si="649"/>
        <v>0</v>
      </c>
      <c r="BX550" s="1125">
        <f t="shared" si="650"/>
        <v>0</v>
      </c>
      <c r="BY550" s="1125">
        <f t="shared" si="651"/>
        <v>0</v>
      </c>
      <c r="BZ550" s="1125">
        <f t="shared" si="652"/>
        <v>1</v>
      </c>
      <c r="CA550" s="1125">
        <f t="shared" si="653"/>
        <v>1</v>
      </c>
      <c r="CB550" s="1125">
        <f t="shared" si="654"/>
        <v>1</v>
      </c>
      <c r="CC550" s="1125">
        <f t="shared" si="655"/>
        <v>1</v>
      </c>
      <c r="CD550" s="1125">
        <f t="shared" si="656"/>
        <v>1</v>
      </c>
      <c r="CE550" s="1125">
        <f t="shared" si="657"/>
        <v>1</v>
      </c>
      <c r="CF550" s="1125">
        <f t="shared" si="658"/>
        <v>1</v>
      </c>
      <c r="CG550" s="1125">
        <f t="shared" si="659"/>
        <v>0</v>
      </c>
      <c r="CH550" s="1125">
        <f t="shared" si="660"/>
        <v>0</v>
      </c>
      <c r="CI550" s="1125">
        <f t="shared" si="661"/>
        <v>0.85</v>
      </c>
      <c r="CJ550" s="1125">
        <f t="shared" si="662"/>
        <v>0.85</v>
      </c>
      <c r="CK550" s="1125">
        <f t="shared" si="663"/>
        <v>0.85</v>
      </c>
      <c r="CL550" s="1125">
        <f t="shared" si="664"/>
        <v>0.85</v>
      </c>
      <c r="CM550" s="1125">
        <f t="shared" si="665"/>
        <v>0.85</v>
      </c>
      <c r="CN550" s="1125">
        <f t="shared" si="666"/>
        <v>0.7</v>
      </c>
      <c r="CO550" s="1125">
        <f t="shared" si="667"/>
        <v>0.7</v>
      </c>
      <c r="CP550" s="1125">
        <f t="shared" si="668"/>
        <v>0.7</v>
      </c>
      <c r="CQ550" s="1125">
        <f t="shared" si="669"/>
        <v>0.7</v>
      </c>
      <c r="CR550" s="1125">
        <f t="shared" si="670"/>
        <v>0.85</v>
      </c>
      <c r="CS550" s="1125">
        <f t="shared" si="671"/>
        <v>0.85</v>
      </c>
      <c r="CT550" s="1125">
        <f t="shared" si="672"/>
        <v>0.85</v>
      </c>
      <c r="CU550" s="1125">
        <v>1</v>
      </c>
      <c r="CV550" s="1125"/>
      <c r="CW550" s="1125">
        <f t="shared" si="673"/>
        <v>214</v>
      </c>
      <c r="CX550" s="1125">
        <f t="shared" si="674"/>
        <v>151</v>
      </c>
      <c r="CY550" s="1136" t="s">
        <v>4881</v>
      </c>
      <c r="CZ550" s="1129" t="s">
        <v>4885</v>
      </c>
      <c r="DA550" s="1129"/>
      <c r="DB550" s="1129"/>
      <c r="DC550" s="1125" t="s">
        <v>5234</v>
      </c>
      <c r="DD550" s="1125" t="s">
        <v>256</v>
      </c>
      <c r="DE550" s="1120" t="str">
        <f t="shared" si="675"/>
        <v/>
      </c>
      <c r="DF550" s="1133">
        <v>0</v>
      </c>
      <c r="DG550" s="1120">
        <v>0</v>
      </c>
    </row>
    <row r="551" spans="1:111">
      <c r="A551" s="1125" t="s">
        <v>3829</v>
      </c>
      <c r="B551" s="1120" t="s">
        <v>5864</v>
      </c>
      <c r="C551" s="1120" t="s">
        <v>5865</v>
      </c>
      <c r="D551" s="1120" t="s">
        <v>540</v>
      </c>
      <c r="E551" s="1120">
        <v>620</v>
      </c>
      <c r="F551" s="1120">
        <v>-86.25</v>
      </c>
      <c r="G551" s="1120">
        <v>44.27</v>
      </c>
      <c r="H551" s="1120">
        <v>-5</v>
      </c>
      <c r="I551" s="1121">
        <v>6.9800006866455071</v>
      </c>
      <c r="J551" s="1121">
        <v>82.039998626708979</v>
      </c>
      <c r="K551" s="1122">
        <v>69.260001373291018</v>
      </c>
      <c r="L551" s="1120">
        <v>7029</v>
      </c>
      <c r="M551" s="1120">
        <v>649.80000000000007</v>
      </c>
      <c r="N551" s="1123">
        <v>22.1</v>
      </c>
      <c r="O551" s="1123">
        <v>28.039999914169311</v>
      </c>
      <c r="P551" s="1123">
        <v>30.919999957084656</v>
      </c>
      <c r="Q551" s="1123">
        <v>47.840000343322757</v>
      </c>
      <c r="R551" s="1123">
        <v>51.8</v>
      </c>
      <c r="S551" s="1123">
        <v>69.080000686645505</v>
      </c>
      <c r="T551" s="1123">
        <v>70.519999313354489</v>
      </c>
      <c r="U551" s="1123">
        <v>71.599999999999994</v>
      </c>
      <c r="V551" s="1123">
        <v>58.280000686645508</v>
      </c>
      <c r="W551" s="1123">
        <v>49.1</v>
      </c>
      <c r="X551" s="1123">
        <v>38.47999982833862</v>
      </c>
      <c r="Y551" s="1123">
        <v>23.9</v>
      </c>
      <c r="Z551" s="1123">
        <v>46.886739784462812</v>
      </c>
      <c r="AA551" s="1123">
        <f t="shared" si="601"/>
        <v>43.852298032143167</v>
      </c>
      <c r="AB551" s="1123">
        <f t="shared" si="602"/>
        <v>42.279290035734604</v>
      </c>
      <c r="AC551" s="1123">
        <f t="shared" si="603"/>
        <v>43.471277282080742</v>
      </c>
      <c r="AD551" s="1123">
        <f t="shared" si="604"/>
        <v>47.117549926341965</v>
      </c>
      <c r="AE551" s="1123">
        <f t="shared" si="605"/>
        <v>52.267650813029263</v>
      </c>
      <c r="AF551" s="1123">
        <f t="shared" si="606"/>
        <v>57.579126780570547</v>
      </c>
      <c r="AG551" s="1123">
        <f t="shared" si="607"/>
        <v>61.667459765703882</v>
      </c>
      <c r="AH551" s="1123">
        <f t="shared" si="608"/>
        <v>63.466962772735869</v>
      </c>
      <c r="AI551" s="1123">
        <f t="shared" si="609"/>
        <v>62.508567611702865</v>
      </c>
      <c r="AJ551" s="1123">
        <f t="shared" si="610"/>
        <v>59.042094750644623</v>
      </c>
      <c r="AK551" s="1123">
        <f t="shared" si="611"/>
        <v>53.97113376075977</v>
      </c>
      <c r="AL551" s="1123">
        <f t="shared" si="612"/>
        <v>48.617508769936094</v>
      </c>
      <c r="AM551" s="1120">
        <f t="shared" si="613"/>
        <v>1</v>
      </c>
      <c r="AN551" s="1120">
        <f t="shared" si="614"/>
        <v>1</v>
      </c>
      <c r="AO551" s="1120">
        <f t="shared" si="615"/>
        <v>1</v>
      </c>
      <c r="AP551" s="1120">
        <f t="shared" si="616"/>
        <v>1</v>
      </c>
      <c r="AQ551" s="1120">
        <f t="shared" si="617"/>
        <v>1</v>
      </c>
      <c r="AR551" s="1120">
        <f t="shared" si="618"/>
        <v>0</v>
      </c>
      <c r="AS551" s="1120">
        <f t="shared" si="619"/>
        <v>0</v>
      </c>
      <c r="AT551" s="1120">
        <f t="shared" si="620"/>
        <v>0</v>
      </c>
      <c r="AU551" s="1120">
        <f t="shared" si="621"/>
        <v>1</v>
      </c>
      <c r="AV551" s="1120">
        <f t="shared" si="622"/>
        <v>1</v>
      </c>
      <c r="AW551" s="1120">
        <f t="shared" si="623"/>
        <v>1</v>
      </c>
      <c r="AX551" s="1120">
        <f t="shared" si="624"/>
        <v>1</v>
      </c>
      <c r="AY551" s="1120">
        <f t="shared" si="625"/>
        <v>0</v>
      </c>
      <c r="AZ551" s="1120">
        <f t="shared" si="626"/>
        <v>0</v>
      </c>
      <c r="BA551" s="1120">
        <f t="shared" si="627"/>
        <v>0</v>
      </c>
      <c r="BB551" s="1120">
        <f t="shared" si="628"/>
        <v>0</v>
      </c>
      <c r="BC551" s="1120">
        <f t="shared" si="629"/>
        <v>0</v>
      </c>
      <c r="BD551" s="1120">
        <f t="shared" si="630"/>
        <v>1</v>
      </c>
      <c r="BE551" s="1120">
        <f t="shared" si="631"/>
        <v>1</v>
      </c>
      <c r="BF551" s="1120">
        <f t="shared" si="632"/>
        <v>1</v>
      </c>
      <c r="BG551" s="1120">
        <f t="shared" si="633"/>
        <v>0</v>
      </c>
      <c r="BH551" s="1120">
        <f t="shared" si="634"/>
        <v>0</v>
      </c>
      <c r="BI551" s="1120">
        <f t="shared" si="635"/>
        <v>0</v>
      </c>
      <c r="BJ551" s="1120">
        <f t="shared" si="636"/>
        <v>0</v>
      </c>
      <c r="BK551" s="1120">
        <f t="shared" si="637"/>
        <v>1</v>
      </c>
      <c r="BL551" s="1120">
        <f t="shared" si="638"/>
        <v>1</v>
      </c>
      <c r="BM551" s="1120">
        <f t="shared" si="639"/>
        <v>1</v>
      </c>
      <c r="BN551" s="1120">
        <f t="shared" si="640"/>
        <v>1</v>
      </c>
      <c r="BO551" s="1120">
        <f t="shared" si="641"/>
        <v>1</v>
      </c>
      <c r="BP551" s="1120">
        <f t="shared" si="642"/>
        <v>1</v>
      </c>
      <c r="BQ551" s="1120">
        <f t="shared" si="643"/>
        <v>0</v>
      </c>
      <c r="BR551" s="1120">
        <f t="shared" si="644"/>
        <v>0</v>
      </c>
      <c r="BS551" s="1120">
        <f t="shared" si="645"/>
        <v>1</v>
      </c>
      <c r="BT551" s="1120">
        <f t="shared" si="646"/>
        <v>1</v>
      </c>
      <c r="BU551" s="1120">
        <f t="shared" si="647"/>
        <v>1</v>
      </c>
      <c r="BV551" s="1120">
        <f t="shared" si="648"/>
        <v>1</v>
      </c>
      <c r="BW551" s="1120">
        <f t="shared" si="649"/>
        <v>0</v>
      </c>
      <c r="BX551" s="1120">
        <f t="shared" si="650"/>
        <v>0</v>
      </c>
      <c r="BY551" s="1120">
        <f t="shared" si="651"/>
        <v>0</v>
      </c>
      <c r="BZ551" s="1120">
        <f t="shared" si="652"/>
        <v>0</v>
      </c>
      <c r="CA551" s="1120">
        <f t="shared" si="653"/>
        <v>1</v>
      </c>
      <c r="CB551" s="1120">
        <f t="shared" si="654"/>
        <v>1</v>
      </c>
      <c r="CC551" s="1120">
        <f t="shared" si="655"/>
        <v>1</v>
      </c>
      <c r="CD551" s="1120">
        <f t="shared" si="656"/>
        <v>1</v>
      </c>
      <c r="CE551" s="1120">
        <f t="shared" si="657"/>
        <v>1</v>
      </c>
      <c r="CF551" s="1120">
        <f t="shared" si="658"/>
        <v>0</v>
      </c>
      <c r="CG551" s="1120">
        <f t="shared" si="659"/>
        <v>0</v>
      </c>
      <c r="CH551" s="1120">
        <f t="shared" si="660"/>
        <v>0</v>
      </c>
      <c r="CI551" s="1120">
        <f t="shared" si="661"/>
        <v>0.85</v>
      </c>
      <c r="CJ551" s="1120">
        <f t="shared" si="662"/>
        <v>0.85</v>
      </c>
      <c r="CK551" s="1120">
        <f t="shared" si="663"/>
        <v>0.85</v>
      </c>
      <c r="CL551" s="1120">
        <f t="shared" si="664"/>
        <v>0.85</v>
      </c>
      <c r="CM551" s="1120">
        <f t="shared" si="665"/>
        <v>0.85</v>
      </c>
      <c r="CN551" s="1120">
        <f t="shared" si="666"/>
        <v>0.85</v>
      </c>
      <c r="CO551" s="1120">
        <f t="shared" si="667"/>
        <v>0.7</v>
      </c>
      <c r="CP551" s="1120">
        <f t="shared" si="668"/>
        <v>0.7</v>
      </c>
      <c r="CQ551" s="1120">
        <f t="shared" si="669"/>
        <v>0.85</v>
      </c>
      <c r="CR551" s="1120">
        <f t="shared" si="670"/>
        <v>0.85</v>
      </c>
      <c r="CS551" s="1120">
        <f t="shared" si="671"/>
        <v>0.85</v>
      </c>
      <c r="CT551" s="1120">
        <f t="shared" si="672"/>
        <v>0.85</v>
      </c>
      <c r="CU551" s="1120">
        <v>1</v>
      </c>
      <c r="CV551" s="1120"/>
      <c r="CW551" s="1120">
        <f t="shared" si="673"/>
        <v>153</v>
      </c>
      <c r="CX551" s="1120">
        <f t="shared" si="674"/>
        <v>212</v>
      </c>
      <c r="CY551" s="1135" t="s">
        <v>4889</v>
      </c>
      <c r="CZ551" s="1124" t="s">
        <v>4899</v>
      </c>
      <c r="DA551" s="1124"/>
      <c r="DB551" s="1124"/>
      <c r="DC551" s="1120" t="s">
        <v>5742</v>
      </c>
      <c r="DD551" s="1120" t="s">
        <v>540</v>
      </c>
      <c r="DE551" s="1120" t="str">
        <f t="shared" si="675"/>
        <v/>
      </c>
      <c r="DF551" s="1133">
        <v>0</v>
      </c>
      <c r="DG551" s="1125">
        <v>0</v>
      </c>
    </row>
    <row r="552" spans="1:111">
      <c r="A552" s="1120" t="s">
        <v>3831</v>
      </c>
      <c r="B552" s="1125" t="s">
        <v>4622</v>
      </c>
      <c r="C552" s="1125" t="s">
        <v>4623</v>
      </c>
      <c r="D552" s="1125" t="s">
        <v>1278</v>
      </c>
      <c r="E552" s="1125">
        <v>649</v>
      </c>
      <c r="F552" s="1125">
        <v>-87.68</v>
      </c>
      <c r="G552" s="1125">
        <v>44.13</v>
      </c>
      <c r="H552" s="1125">
        <v>-6</v>
      </c>
      <c r="I552" s="1126">
        <v>0.49999999999999922</v>
      </c>
      <c r="J552" s="1126">
        <v>81.680000686645513</v>
      </c>
      <c r="K552" s="1127">
        <v>69.980000686645511</v>
      </c>
      <c r="L552" s="1125">
        <v>6980.4000000000005</v>
      </c>
      <c r="M552" s="1125">
        <v>390.6</v>
      </c>
      <c r="N552" s="1128">
        <v>16.880000686645506</v>
      </c>
      <c r="O552" s="1128">
        <v>25.879999828338622</v>
      </c>
      <c r="P552" s="1128">
        <v>32.540000021457672</v>
      </c>
      <c r="Q552" s="1128">
        <v>47.659999656677243</v>
      </c>
      <c r="R552" s="1128">
        <v>53.240000343322755</v>
      </c>
      <c r="S552" s="1128">
        <v>61.7</v>
      </c>
      <c r="T552" s="1128">
        <v>69.080000686645505</v>
      </c>
      <c r="U552" s="1128">
        <v>67.280000686645508</v>
      </c>
      <c r="V552" s="1128">
        <v>59.540000343322752</v>
      </c>
      <c r="W552" s="1128">
        <v>48.919999313354495</v>
      </c>
      <c r="X552" s="1128">
        <v>43.879999828338626</v>
      </c>
      <c r="Y552" s="1128">
        <v>28.220000171661376</v>
      </c>
      <c r="Z552" s="1128">
        <v>46.326027532179062</v>
      </c>
      <c r="AA552" s="1128">
        <f t="shared" si="601"/>
        <v>42.979752206100187</v>
      </c>
      <c r="AB552" s="1128">
        <f t="shared" si="602"/>
        <v>41.290628365771781</v>
      </c>
      <c r="AC552" s="1128">
        <f t="shared" si="603"/>
        <v>42.478051378816289</v>
      </c>
      <c r="AD552" s="1128">
        <f t="shared" si="604"/>
        <v>46.232501138141117</v>
      </c>
      <c r="AE552" s="1128">
        <f t="shared" si="605"/>
        <v>51.575322456156115</v>
      </c>
      <c r="AF552" s="1128">
        <f t="shared" si="606"/>
        <v>57.113826620951905</v>
      </c>
      <c r="AG552" s="1128">
        <f t="shared" si="607"/>
        <v>61.404317171041725</v>
      </c>
      <c r="AH552" s="1128">
        <f t="shared" si="608"/>
        <v>63.328411626083891</v>
      </c>
      <c r="AI552" s="1128">
        <f t="shared" si="609"/>
        <v>62.384565115178596</v>
      </c>
      <c r="AJ552" s="1128">
        <f t="shared" si="610"/>
        <v>58.818805776508299</v>
      </c>
      <c r="AK552" s="1128">
        <f t="shared" si="611"/>
        <v>53.560603731712149</v>
      </c>
      <c r="AL552" s="1128">
        <f t="shared" si="612"/>
        <v>47.98059037511257</v>
      </c>
      <c r="AM552" s="1125">
        <f t="shared" si="613"/>
        <v>1</v>
      </c>
      <c r="AN552" s="1125">
        <f t="shared" si="614"/>
        <v>1</v>
      </c>
      <c r="AO552" s="1125">
        <f t="shared" si="615"/>
        <v>1</v>
      </c>
      <c r="AP552" s="1125">
        <f t="shared" si="616"/>
        <v>1</v>
      </c>
      <c r="AQ552" s="1125">
        <f t="shared" si="617"/>
        <v>1</v>
      </c>
      <c r="AR552" s="1125">
        <f t="shared" si="618"/>
        <v>1</v>
      </c>
      <c r="AS552" s="1125">
        <f t="shared" si="619"/>
        <v>0</v>
      </c>
      <c r="AT552" s="1125">
        <f t="shared" si="620"/>
        <v>0</v>
      </c>
      <c r="AU552" s="1125">
        <f t="shared" si="621"/>
        <v>1</v>
      </c>
      <c r="AV552" s="1125">
        <f t="shared" si="622"/>
        <v>1</v>
      </c>
      <c r="AW552" s="1125">
        <f t="shared" si="623"/>
        <v>1</v>
      </c>
      <c r="AX552" s="1125">
        <f t="shared" si="624"/>
        <v>1</v>
      </c>
      <c r="AY552" s="1125">
        <f t="shared" si="625"/>
        <v>0</v>
      </c>
      <c r="AZ552" s="1125">
        <f t="shared" si="626"/>
        <v>0</v>
      </c>
      <c r="BA552" s="1125">
        <f t="shared" si="627"/>
        <v>0</v>
      </c>
      <c r="BB552" s="1125">
        <f t="shared" si="628"/>
        <v>0</v>
      </c>
      <c r="BC552" s="1125">
        <f t="shared" si="629"/>
        <v>0</v>
      </c>
      <c r="BD552" s="1125">
        <f t="shared" si="630"/>
        <v>0</v>
      </c>
      <c r="BE552" s="1125">
        <f t="shared" si="631"/>
        <v>1</v>
      </c>
      <c r="BF552" s="1125">
        <f t="shared" si="632"/>
        <v>1</v>
      </c>
      <c r="BG552" s="1125">
        <f t="shared" si="633"/>
        <v>0</v>
      </c>
      <c r="BH552" s="1125">
        <f t="shared" si="634"/>
        <v>0</v>
      </c>
      <c r="BI552" s="1125">
        <f t="shared" si="635"/>
        <v>0</v>
      </c>
      <c r="BJ552" s="1125">
        <f t="shared" si="636"/>
        <v>0</v>
      </c>
      <c r="BK552" s="1125">
        <f t="shared" si="637"/>
        <v>1</v>
      </c>
      <c r="BL552" s="1125">
        <f t="shared" si="638"/>
        <v>1</v>
      </c>
      <c r="BM552" s="1125">
        <f t="shared" si="639"/>
        <v>1</v>
      </c>
      <c r="BN552" s="1125">
        <f t="shared" si="640"/>
        <v>1</v>
      </c>
      <c r="BO552" s="1125">
        <f t="shared" si="641"/>
        <v>1</v>
      </c>
      <c r="BP552" s="1125">
        <f t="shared" si="642"/>
        <v>1</v>
      </c>
      <c r="BQ552" s="1125">
        <f t="shared" si="643"/>
        <v>1</v>
      </c>
      <c r="BR552" s="1125">
        <f t="shared" si="644"/>
        <v>0</v>
      </c>
      <c r="BS552" s="1125">
        <f t="shared" si="645"/>
        <v>1</v>
      </c>
      <c r="BT552" s="1125">
        <f t="shared" si="646"/>
        <v>1</v>
      </c>
      <c r="BU552" s="1125">
        <f t="shared" si="647"/>
        <v>1</v>
      </c>
      <c r="BV552" s="1125">
        <f t="shared" si="648"/>
        <v>1</v>
      </c>
      <c r="BW552" s="1125">
        <f t="shared" si="649"/>
        <v>0</v>
      </c>
      <c r="BX552" s="1125">
        <f t="shared" si="650"/>
        <v>0</v>
      </c>
      <c r="BY552" s="1125">
        <f t="shared" si="651"/>
        <v>0</v>
      </c>
      <c r="BZ552" s="1125">
        <f t="shared" si="652"/>
        <v>0</v>
      </c>
      <c r="CA552" s="1125">
        <f t="shared" si="653"/>
        <v>0</v>
      </c>
      <c r="CB552" s="1125">
        <f t="shared" si="654"/>
        <v>1</v>
      </c>
      <c r="CC552" s="1125">
        <f t="shared" si="655"/>
        <v>1</v>
      </c>
      <c r="CD552" s="1125">
        <f t="shared" si="656"/>
        <v>1</v>
      </c>
      <c r="CE552" s="1125">
        <f t="shared" si="657"/>
        <v>1</v>
      </c>
      <c r="CF552" s="1125">
        <f t="shared" si="658"/>
        <v>0</v>
      </c>
      <c r="CG552" s="1125">
        <f t="shared" si="659"/>
        <v>0</v>
      </c>
      <c r="CH552" s="1125">
        <f t="shared" si="660"/>
        <v>0</v>
      </c>
      <c r="CI552" s="1125">
        <f t="shared" si="661"/>
        <v>0.85</v>
      </c>
      <c r="CJ552" s="1125">
        <f t="shared" si="662"/>
        <v>0.85</v>
      </c>
      <c r="CK552" s="1125">
        <f t="shared" si="663"/>
        <v>0.85</v>
      </c>
      <c r="CL552" s="1125">
        <f t="shared" si="664"/>
        <v>0.85</v>
      </c>
      <c r="CM552" s="1125">
        <f t="shared" si="665"/>
        <v>0.85</v>
      </c>
      <c r="CN552" s="1125">
        <f t="shared" si="666"/>
        <v>0.85</v>
      </c>
      <c r="CO552" s="1125">
        <f t="shared" si="667"/>
        <v>0.85</v>
      </c>
      <c r="CP552" s="1125">
        <f t="shared" si="668"/>
        <v>0.7</v>
      </c>
      <c r="CQ552" s="1125">
        <f t="shared" si="669"/>
        <v>0.85</v>
      </c>
      <c r="CR552" s="1125">
        <f t="shared" si="670"/>
        <v>0.85</v>
      </c>
      <c r="CS552" s="1125">
        <f t="shared" si="671"/>
        <v>0.85</v>
      </c>
      <c r="CT552" s="1125">
        <f t="shared" si="672"/>
        <v>0.85</v>
      </c>
      <c r="CU552" s="1125">
        <v>1</v>
      </c>
      <c r="CV552" s="1125"/>
      <c r="CW552" s="1125">
        <f t="shared" si="673"/>
        <v>122</v>
      </c>
      <c r="CX552" s="1125">
        <f t="shared" si="674"/>
        <v>243</v>
      </c>
      <c r="CY552" s="1135" t="s">
        <v>4889</v>
      </c>
      <c r="CZ552" s="1124" t="s">
        <v>4899</v>
      </c>
      <c r="DA552" s="1124"/>
      <c r="DB552" s="1124"/>
      <c r="DC552" s="1120" t="s">
        <v>5679</v>
      </c>
      <c r="DD552" s="1120" t="s">
        <v>1278</v>
      </c>
      <c r="DE552" s="1120" t="str">
        <f t="shared" si="675"/>
        <v/>
      </c>
      <c r="DF552" s="1133">
        <v>0</v>
      </c>
      <c r="DG552" s="1120">
        <v>0</v>
      </c>
    </row>
    <row r="553" spans="1:111">
      <c r="A553" s="1125" t="s">
        <v>3833</v>
      </c>
      <c r="B553" s="1120" t="s">
        <v>3807</v>
      </c>
      <c r="C553" s="1120" t="s">
        <v>3808</v>
      </c>
      <c r="D553" s="1120" t="s">
        <v>934</v>
      </c>
      <c r="E553" s="1120">
        <v>1020</v>
      </c>
      <c r="F553" s="1120">
        <v>-93.92</v>
      </c>
      <c r="G553" s="1120">
        <v>44.22</v>
      </c>
      <c r="H553" s="1120">
        <v>-6</v>
      </c>
      <c r="I553" s="1121">
        <v>-8.1399986267089854</v>
      </c>
      <c r="J553" s="1121">
        <v>86.180000686645513</v>
      </c>
      <c r="K553" s="1122">
        <v>71.419999313354495</v>
      </c>
      <c r="L553" s="1120">
        <v>7507.8</v>
      </c>
      <c r="M553" s="1120">
        <v>721.80000000000007</v>
      </c>
      <c r="N553" s="1123">
        <v>13.640000343322754</v>
      </c>
      <c r="O553" s="1123">
        <v>25.879999828338622</v>
      </c>
      <c r="P553" s="1123">
        <v>25.520000171661376</v>
      </c>
      <c r="Q553" s="1123">
        <v>49.459999656677248</v>
      </c>
      <c r="R553" s="1123">
        <v>60.080000686645505</v>
      </c>
      <c r="S553" s="1123">
        <v>67.280000686645508</v>
      </c>
      <c r="T553" s="1123">
        <v>71.599999999999994</v>
      </c>
      <c r="U553" s="1123">
        <v>71.780000686645508</v>
      </c>
      <c r="V553" s="1123">
        <v>61.339998626708983</v>
      </c>
      <c r="W553" s="1123">
        <v>41.720000171661376</v>
      </c>
      <c r="X553" s="1123">
        <v>41.179999828338623</v>
      </c>
      <c r="Y553" s="1123">
        <v>19.220000171661376</v>
      </c>
      <c r="Z553" s="1123">
        <v>45.788493228285283</v>
      </c>
      <c r="AA553" s="1123">
        <f t="shared" si="601"/>
        <v>41.571226556951181</v>
      </c>
      <c r="AB553" s="1123">
        <f t="shared" si="602"/>
        <v>39.659125763700501</v>
      </c>
      <c r="AC553" s="1123">
        <f t="shared" si="603"/>
        <v>40.908731519304482</v>
      </c>
      <c r="AD553" s="1123">
        <f t="shared" si="604"/>
        <v>44.994314826557329</v>
      </c>
      <c r="AE553" s="1123">
        <f t="shared" si="605"/>
        <v>50.850905435679024</v>
      </c>
      <c r="AF553" s="1123">
        <f t="shared" si="606"/>
        <v>56.951892751608789</v>
      </c>
      <c r="AG553" s="1123">
        <f t="shared" si="607"/>
        <v>61.706960411389048</v>
      </c>
      <c r="AH553" s="1123">
        <f t="shared" si="608"/>
        <v>63.87662675168734</v>
      </c>
      <c r="AI553" s="1123">
        <f t="shared" si="609"/>
        <v>62.895334805334535</v>
      </c>
      <c r="AJ553" s="1123">
        <f t="shared" si="610"/>
        <v>59.018873440314117</v>
      </c>
      <c r="AK553" s="1123">
        <f t="shared" si="611"/>
        <v>53.257702049496558</v>
      </c>
      <c r="AL553" s="1123">
        <f t="shared" si="612"/>
        <v>47.113558738237003</v>
      </c>
      <c r="AM553" s="1120">
        <f t="shared" si="613"/>
        <v>1</v>
      </c>
      <c r="AN553" s="1120">
        <f t="shared" si="614"/>
        <v>1</v>
      </c>
      <c r="AO553" s="1120">
        <f t="shared" si="615"/>
        <v>1</v>
      </c>
      <c r="AP553" s="1120">
        <f t="shared" si="616"/>
        <v>1</v>
      </c>
      <c r="AQ553" s="1120">
        <f t="shared" si="617"/>
        <v>1</v>
      </c>
      <c r="AR553" s="1120">
        <f t="shared" si="618"/>
        <v>0</v>
      </c>
      <c r="AS553" s="1120">
        <f t="shared" si="619"/>
        <v>0</v>
      </c>
      <c r="AT553" s="1120">
        <f t="shared" si="620"/>
        <v>0</v>
      </c>
      <c r="AU553" s="1120">
        <f t="shared" si="621"/>
        <v>1</v>
      </c>
      <c r="AV553" s="1120">
        <f t="shared" si="622"/>
        <v>1</v>
      </c>
      <c r="AW553" s="1120">
        <f t="shared" si="623"/>
        <v>1</v>
      </c>
      <c r="AX553" s="1120">
        <f t="shared" si="624"/>
        <v>1</v>
      </c>
      <c r="AY553" s="1120">
        <f t="shared" si="625"/>
        <v>0</v>
      </c>
      <c r="AZ553" s="1120">
        <f t="shared" si="626"/>
        <v>0</v>
      </c>
      <c r="BA553" s="1120">
        <f t="shared" si="627"/>
        <v>0</v>
      </c>
      <c r="BB553" s="1120">
        <f t="shared" si="628"/>
        <v>0</v>
      </c>
      <c r="BC553" s="1120">
        <f t="shared" si="629"/>
        <v>0</v>
      </c>
      <c r="BD553" s="1120">
        <f t="shared" si="630"/>
        <v>1</v>
      </c>
      <c r="BE553" s="1120">
        <f t="shared" si="631"/>
        <v>1</v>
      </c>
      <c r="BF553" s="1120">
        <f t="shared" si="632"/>
        <v>1</v>
      </c>
      <c r="BG553" s="1120">
        <f t="shared" si="633"/>
        <v>0</v>
      </c>
      <c r="BH553" s="1120">
        <f t="shared" si="634"/>
        <v>0</v>
      </c>
      <c r="BI553" s="1120">
        <f t="shared" si="635"/>
        <v>0</v>
      </c>
      <c r="BJ553" s="1120">
        <f t="shared" si="636"/>
        <v>0</v>
      </c>
      <c r="BK553" s="1120">
        <f t="shared" si="637"/>
        <v>1</v>
      </c>
      <c r="BL553" s="1120">
        <f t="shared" si="638"/>
        <v>1</v>
      </c>
      <c r="BM553" s="1120">
        <f t="shared" si="639"/>
        <v>1</v>
      </c>
      <c r="BN553" s="1120">
        <f t="shared" si="640"/>
        <v>1</v>
      </c>
      <c r="BO553" s="1120">
        <f t="shared" si="641"/>
        <v>1</v>
      </c>
      <c r="BP553" s="1120">
        <f t="shared" si="642"/>
        <v>1</v>
      </c>
      <c r="BQ553" s="1120">
        <f t="shared" si="643"/>
        <v>0</v>
      </c>
      <c r="BR553" s="1120">
        <f t="shared" si="644"/>
        <v>0</v>
      </c>
      <c r="BS553" s="1120">
        <f t="shared" si="645"/>
        <v>1</v>
      </c>
      <c r="BT553" s="1120">
        <f t="shared" si="646"/>
        <v>1</v>
      </c>
      <c r="BU553" s="1120">
        <f t="shared" si="647"/>
        <v>1</v>
      </c>
      <c r="BV553" s="1120">
        <f t="shared" si="648"/>
        <v>1</v>
      </c>
      <c r="BW553" s="1120">
        <f t="shared" si="649"/>
        <v>0</v>
      </c>
      <c r="BX553" s="1120">
        <f t="shared" si="650"/>
        <v>0</v>
      </c>
      <c r="BY553" s="1120">
        <f t="shared" si="651"/>
        <v>0</v>
      </c>
      <c r="BZ553" s="1120">
        <f t="shared" si="652"/>
        <v>0</v>
      </c>
      <c r="CA553" s="1120">
        <f t="shared" si="653"/>
        <v>1</v>
      </c>
      <c r="CB553" s="1120">
        <f t="shared" si="654"/>
        <v>1</v>
      </c>
      <c r="CC553" s="1120">
        <f t="shared" si="655"/>
        <v>1</v>
      </c>
      <c r="CD553" s="1120">
        <f t="shared" si="656"/>
        <v>1</v>
      </c>
      <c r="CE553" s="1120">
        <f t="shared" si="657"/>
        <v>1</v>
      </c>
      <c r="CF553" s="1120">
        <f t="shared" si="658"/>
        <v>0</v>
      </c>
      <c r="CG553" s="1120">
        <f t="shared" si="659"/>
        <v>0</v>
      </c>
      <c r="CH553" s="1120">
        <f t="shared" si="660"/>
        <v>0</v>
      </c>
      <c r="CI553" s="1120">
        <f t="shared" si="661"/>
        <v>0.85</v>
      </c>
      <c r="CJ553" s="1120">
        <f t="shared" si="662"/>
        <v>0.85</v>
      </c>
      <c r="CK553" s="1120">
        <f t="shared" si="663"/>
        <v>0.85</v>
      </c>
      <c r="CL553" s="1120">
        <f t="shared" si="664"/>
        <v>0.85</v>
      </c>
      <c r="CM553" s="1120">
        <f t="shared" si="665"/>
        <v>0.85</v>
      </c>
      <c r="CN553" s="1120">
        <f t="shared" si="666"/>
        <v>0.85</v>
      </c>
      <c r="CO553" s="1120">
        <f t="shared" si="667"/>
        <v>0.7</v>
      </c>
      <c r="CP553" s="1120">
        <f t="shared" si="668"/>
        <v>0.7</v>
      </c>
      <c r="CQ553" s="1120">
        <f t="shared" si="669"/>
        <v>0.85</v>
      </c>
      <c r="CR553" s="1120">
        <f t="shared" si="670"/>
        <v>0.85</v>
      </c>
      <c r="CS553" s="1120">
        <f t="shared" si="671"/>
        <v>0.85</v>
      </c>
      <c r="CT553" s="1120">
        <f t="shared" si="672"/>
        <v>0.85</v>
      </c>
      <c r="CU553" s="1120">
        <v>1</v>
      </c>
      <c r="CV553" s="1120"/>
      <c r="CW553" s="1120">
        <f t="shared" si="673"/>
        <v>153</v>
      </c>
      <c r="CX553" s="1120">
        <f t="shared" si="674"/>
        <v>212</v>
      </c>
      <c r="CY553" s="1135" t="s">
        <v>4889</v>
      </c>
      <c r="CZ553" s="1124" t="s">
        <v>4899</v>
      </c>
      <c r="DA553" s="1124"/>
      <c r="DB553" s="1124"/>
      <c r="DC553" s="1120" t="s">
        <v>5756</v>
      </c>
      <c r="DD553" s="1120" t="s">
        <v>934</v>
      </c>
      <c r="DE553" s="1120" t="b">
        <f t="shared" si="675"/>
        <v>0</v>
      </c>
      <c r="DF553" s="1133">
        <v>0</v>
      </c>
      <c r="DG553" s="1125">
        <v>0</v>
      </c>
    </row>
    <row r="554" spans="1:111">
      <c r="A554" s="1120" t="s">
        <v>3835</v>
      </c>
      <c r="B554" s="1125" t="s">
        <v>4180</v>
      </c>
      <c r="C554" s="1125" t="s">
        <v>4181</v>
      </c>
      <c r="D554" s="1125" t="s">
        <v>229</v>
      </c>
      <c r="E554" s="1125">
        <v>1296</v>
      </c>
      <c r="F554" s="1125">
        <v>-82.52</v>
      </c>
      <c r="G554" s="1125">
        <v>40.82</v>
      </c>
      <c r="H554" s="1125">
        <v>-5</v>
      </c>
      <c r="I554" s="1126">
        <v>5.7199993133544913</v>
      </c>
      <c r="J554" s="1126">
        <v>85.460001373291021</v>
      </c>
      <c r="K554" s="1127">
        <v>71.780000686645508</v>
      </c>
      <c r="L554" s="1125">
        <v>6411.6</v>
      </c>
      <c r="M554" s="1125">
        <v>687.6</v>
      </c>
      <c r="N554" s="1128">
        <v>21.379999828338622</v>
      </c>
      <c r="O554" s="1128">
        <v>24.259999656677245</v>
      </c>
      <c r="P554" s="1128">
        <v>36.139999914169309</v>
      </c>
      <c r="Q554" s="1128">
        <v>48.559999656677249</v>
      </c>
      <c r="R554" s="1128">
        <v>58.640000343322754</v>
      </c>
      <c r="S554" s="1128">
        <v>67.099999999999994</v>
      </c>
      <c r="T554" s="1128">
        <v>73.039998626708979</v>
      </c>
      <c r="U554" s="1128">
        <v>69.980000686645511</v>
      </c>
      <c r="V554" s="1128">
        <v>62.060001373291016</v>
      </c>
      <c r="W554" s="1128">
        <v>50.180000686645506</v>
      </c>
      <c r="X554" s="1128">
        <v>40.820000171661377</v>
      </c>
      <c r="Y554" s="1128">
        <v>30.919999957084656</v>
      </c>
      <c r="Z554" s="1128">
        <v>48.723726103469119</v>
      </c>
      <c r="AA554" s="1128">
        <f t="shared" si="601"/>
        <v>44.704435023335414</v>
      </c>
      <c r="AB554" s="1128">
        <f t="shared" si="602"/>
        <v>43.171718482563222</v>
      </c>
      <c r="AC554" s="1128">
        <f t="shared" si="603"/>
        <v>44.650210750006266</v>
      </c>
      <c r="AD554" s="1128">
        <f t="shared" si="604"/>
        <v>48.754520031900007</v>
      </c>
      <c r="AE554" s="1128">
        <f t="shared" si="605"/>
        <v>54.414794864598257</v>
      </c>
      <c r="AF554" s="1128">
        <f t="shared" si="606"/>
        <v>60.155597385482693</v>
      </c>
      <c r="AG554" s="1128">
        <f t="shared" si="607"/>
        <v>64.480498949040026</v>
      </c>
      <c r="AH554" s="1128">
        <f t="shared" si="608"/>
        <v>66.262147313978502</v>
      </c>
      <c r="AI554" s="1128">
        <f t="shared" si="609"/>
        <v>65.036128377944522</v>
      </c>
      <c r="AJ554" s="1128">
        <f t="shared" si="610"/>
        <v>61.122022870139034</v>
      </c>
      <c r="AK554" s="1128">
        <f t="shared" si="611"/>
        <v>55.540102709363246</v>
      </c>
      <c r="AL554" s="1128">
        <f t="shared" si="612"/>
        <v>49.745381405516824</v>
      </c>
      <c r="AM554" s="1125">
        <f t="shared" si="613"/>
        <v>1</v>
      </c>
      <c r="AN554" s="1125">
        <f t="shared" si="614"/>
        <v>1</v>
      </c>
      <c r="AO554" s="1125">
        <f t="shared" si="615"/>
        <v>1</v>
      </c>
      <c r="AP554" s="1125">
        <f t="shared" si="616"/>
        <v>1</v>
      </c>
      <c r="AQ554" s="1125">
        <f t="shared" si="617"/>
        <v>1</v>
      </c>
      <c r="AR554" s="1125">
        <f t="shared" si="618"/>
        <v>0</v>
      </c>
      <c r="AS554" s="1125">
        <f t="shared" si="619"/>
        <v>0</v>
      </c>
      <c r="AT554" s="1125">
        <f t="shared" si="620"/>
        <v>0</v>
      </c>
      <c r="AU554" s="1125">
        <f t="shared" si="621"/>
        <v>1</v>
      </c>
      <c r="AV554" s="1125">
        <f t="shared" si="622"/>
        <v>1</v>
      </c>
      <c r="AW554" s="1125">
        <f t="shared" si="623"/>
        <v>1</v>
      </c>
      <c r="AX554" s="1125">
        <f t="shared" si="624"/>
        <v>1</v>
      </c>
      <c r="AY554" s="1125">
        <f t="shared" si="625"/>
        <v>0</v>
      </c>
      <c r="AZ554" s="1125">
        <f t="shared" si="626"/>
        <v>0</v>
      </c>
      <c r="BA554" s="1125">
        <f t="shared" si="627"/>
        <v>0</v>
      </c>
      <c r="BB554" s="1125">
        <f t="shared" si="628"/>
        <v>0</v>
      </c>
      <c r="BC554" s="1125">
        <f t="shared" si="629"/>
        <v>0</v>
      </c>
      <c r="BD554" s="1125">
        <f t="shared" si="630"/>
        <v>1</v>
      </c>
      <c r="BE554" s="1125">
        <f t="shared" si="631"/>
        <v>1</v>
      </c>
      <c r="BF554" s="1125">
        <f t="shared" si="632"/>
        <v>1</v>
      </c>
      <c r="BG554" s="1125">
        <f t="shared" si="633"/>
        <v>0</v>
      </c>
      <c r="BH554" s="1125">
        <f t="shared" si="634"/>
        <v>0</v>
      </c>
      <c r="BI554" s="1125">
        <f t="shared" si="635"/>
        <v>0</v>
      </c>
      <c r="BJ554" s="1125">
        <f t="shared" si="636"/>
        <v>0</v>
      </c>
      <c r="BK554" s="1125">
        <f t="shared" si="637"/>
        <v>1</v>
      </c>
      <c r="BL554" s="1125">
        <f t="shared" si="638"/>
        <v>1</v>
      </c>
      <c r="BM554" s="1125">
        <f t="shared" si="639"/>
        <v>1</v>
      </c>
      <c r="BN554" s="1125">
        <f t="shared" si="640"/>
        <v>1</v>
      </c>
      <c r="BO554" s="1125">
        <f t="shared" si="641"/>
        <v>1</v>
      </c>
      <c r="BP554" s="1125">
        <f t="shared" si="642"/>
        <v>1</v>
      </c>
      <c r="BQ554" s="1125">
        <f t="shared" si="643"/>
        <v>0</v>
      </c>
      <c r="BR554" s="1125">
        <f t="shared" si="644"/>
        <v>0</v>
      </c>
      <c r="BS554" s="1125">
        <f t="shared" si="645"/>
        <v>1</v>
      </c>
      <c r="BT554" s="1125">
        <f t="shared" si="646"/>
        <v>1</v>
      </c>
      <c r="BU554" s="1125">
        <f t="shared" si="647"/>
        <v>1</v>
      </c>
      <c r="BV554" s="1125">
        <f t="shared" si="648"/>
        <v>1</v>
      </c>
      <c r="BW554" s="1125">
        <f t="shared" si="649"/>
        <v>0</v>
      </c>
      <c r="BX554" s="1125">
        <f t="shared" si="650"/>
        <v>0</v>
      </c>
      <c r="BY554" s="1125">
        <f t="shared" si="651"/>
        <v>0</v>
      </c>
      <c r="BZ554" s="1125">
        <f t="shared" si="652"/>
        <v>0</v>
      </c>
      <c r="CA554" s="1125">
        <f t="shared" si="653"/>
        <v>1</v>
      </c>
      <c r="CB554" s="1125">
        <f t="shared" si="654"/>
        <v>1</v>
      </c>
      <c r="CC554" s="1125">
        <f t="shared" si="655"/>
        <v>1</v>
      </c>
      <c r="CD554" s="1125">
        <f t="shared" si="656"/>
        <v>1</v>
      </c>
      <c r="CE554" s="1125">
        <f t="shared" si="657"/>
        <v>1</v>
      </c>
      <c r="CF554" s="1125">
        <f t="shared" si="658"/>
        <v>0</v>
      </c>
      <c r="CG554" s="1125">
        <f t="shared" si="659"/>
        <v>0</v>
      </c>
      <c r="CH554" s="1125">
        <f t="shared" si="660"/>
        <v>0</v>
      </c>
      <c r="CI554" s="1125">
        <f t="shared" si="661"/>
        <v>0.85</v>
      </c>
      <c r="CJ554" s="1125">
        <f t="shared" si="662"/>
        <v>0.85</v>
      </c>
      <c r="CK554" s="1125">
        <f t="shared" si="663"/>
        <v>0.85</v>
      </c>
      <c r="CL554" s="1125">
        <f t="shared" si="664"/>
        <v>0.85</v>
      </c>
      <c r="CM554" s="1125">
        <f t="shared" si="665"/>
        <v>0.85</v>
      </c>
      <c r="CN554" s="1125">
        <f t="shared" si="666"/>
        <v>0.85</v>
      </c>
      <c r="CO554" s="1125">
        <f t="shared" si="667"/>
        <v>0.7</v>
      </c>
      <c r="CP554" s="1125">
        <f t="shared" si="668"/>
        <v>0.7</v>
      </c>
      <c r="CQ554" s="1125">
        <f t="shared" si="669"/>
        <v>0.85</v>
      </c>
      <c r="CR554" s="1125">
        <f t="shared" si="670"/>
        <v>0.85</v>
      </c>
      <c r="CS554" s="1125">
        <f t="shared" si="671"/>
        <v>0.85</v>
      </c>
      <c r="CT554" s="1125">
        <f t="shared" si="672"/>
        <v>0.85</v>
      </c>
      <c r="CU554" s="1125">
        <v>1</v>
      </c>
      <c r="CV554" s="1125"/>
      <c r="CW554" s="1125">
        <f t="shared" si="673"/>
        <v>153</v>
      </c>
      <c r="CX554" s="1125">
        <f t="shared" si="674"/>
        <v>212</v>
      </c>
      <c r="CY554" s="1135" t="s">
        <v>4889</v>
      </c>
      <c r="CZ554" s="1124" t="s">
        <v>4897</v>
      </c>
      <c r="DA554" s="1124"/>
      <c r="DB554" s="1124"/>
      <c r="DC554" s="1120" t="s">
        <v>5496</v>
      </c>
      <c r="DD554" s="1120" t="s">
        <v>229</v>
      </c>
      <c r="DE554" s="1120" t="str">
        <f t="shared" si="675"/>
        <v/>
      </c>
      <c r="DF554" s="1133">
        <v>0</v>
      </c>
      <c r="DG554" s="1120">
        <v>0</v>
      </c>
    </row>
    <row r="555" spans="1:111">
      <c r="A555" s="1125" t="s">
        <v>5892</v>
      </c>
      <c r="B555" s="1125" t="s">
        <v>3296</v>
      </c>
      <c r="C555" s="1125" t="s">
        <v>3297</v>
      </c>
      <c r="D555" s="1125" t="s">
        <v>594</v>
      </c>
      <c r="E555" s="1125">
        <v>7</v>
      </c>
      <c r="F555" s="1125">
        <v>-81.05</v>
      </c>
      <c r="G555" s="1125">
        <v>24.73</v>
      </c>
      <c r="H555" s="1125">
        <v>-5</v>
      </c>
      <c r="I555" s="1126">
        <v>56.659999656677243</v>
      </c>
      <c r="J555" s="1126">
        <v>91.039998626708993</v>
      </c>
      <c r="K555" s="1127">
        <v>79.880000686645502</v>
      </c>
      <c r="L555" s="1125">
        <v>106.2</v>
      </c>
      <c r="M555" s="1125">
        <v>5364</v>
      </c>
      <c r="N555" s="1128">
        <v>71.239998626708982</v>
      </c>
      <c r="O555" s="1128">
        <v>66.560001373291016</v>
      </c>
      <c r="P555" s="1128">
        <v>78.619999313354498</v>
      </c>
      <c r="Q555" s="1128">
        <v>78.619999313354498</v>
      </c>
      <c r="R555" s="1128">
        <v>80.960001373291021</v>
      </c>
      <c r="S555" s="1128">
        <v>83.119999313354498</v>
      </c>
      <c r="T555" s="1128">
        <v>85.460001373291021</v>
      </c>
      <c r="U555" s="1128">
        <v>87.980000686645511</v>
      </c>
      <c r="V555" s="1128">
        <v>83.119999313354498</v>
      </c>
      <c r="W555" s="1128">
        <v>81.680000686645513</v>
      </c>
      <c r="X555" s="1128">
        <v>77.539998626708979</v>
      </c>
      <c r="Y555" s="1128">
        <v>69.980000686645511</v>
      </c>
      <c r="Z555" s="1128">
        <v>78.819726083833885</v>
      </c>
      <c r="AA555" s="1128">
        <f t="shared" si="601"/>
        <v>76.806572238242993</v>
      </c>
      <c r="AB555" s="1128">
        <f t="shared" si="602"/>
        <v>77.838676664029151</v>
      </c>
      <c r="AC555" s="1128">
        <f t="shared" si="603"/>
        <v>80.690499202315422</v>
      </c>
      <c r="AD555" s="1128">
        <f t="shared" si="604"/>
        <v>84.618668360581907</v>
      </c>
      <c r="AE555" s="1128">
        <f t="shared" si="605"/>
        <v>88.59924631280731</v>
      </c>
      <c r="AF555" s="1128">
        <f t="shared" si="606"/>
        <v>91.594634073181027</v>
      </c>
      <c r="AG555" s="1128">
        <f t="shared" si="607"/>
        <v>92.824037661638997</v>
      </c>
      <c r="AH555" s="1128">
        <f t="shared" si="608"/>
        <v>91.966994087166881</v>
      </c>
      <c r="AI555" s="1128">
        <f t="shared" si="609"/>
        <v>89.246904964892082</v>
      </c>
      <c r="AJ555" s="1128">
        <f t="shared" si="610"/>
        <v>85.372803442377773</v>
      </c>
      <c r="AK555" s="1128">
        <f t="shared" si="611"/>
        <v>81.354533783178894</v>
      </c>
      <c r="AL555" s="1128">
        <f t="shared" si="612"/>
        <v>78.239519897375516</v>
      </c>
      <c r="AM555" s="1125">
        <f t="shared" si="613"/>
        <v>1</v>
      </c>
      <c r="AN555" s="1125">
        <f t="shared" si="614"/>
        <v>0</v>
      </c>
      <c r="AO555" s="1125">
        <f t="shared" si="615"/>
        <v>0</v>
      </c>
      <c r="AP555" s="1125">
        <f t="shared" si="616"/>
        <v>0</v>
      </c>
      <c r="AQ555" s="1125">
        <f t="shared" si="617"/>
        <v>0</v>
      </c>
      <c r="AR555" s="1125">
        <f t="shared" si="618"/>
        <v>0</v>
      </c>
      <c r="AS555" s="1125">
        <f t="shared" si="619"/>
        <v>0</v>
      </c>
      <c r="AT555" s="1125">
        <f t="shared" si="620"/>
        <v>0</v>
      </c>
      <c r="AU555" s="1125">
        <f t="shared" si="621"/>
        <v>0</v>
      </c>
      <c r="AV555" s="1125">
        <f t="shared" si="622"/>
        <v>0</v>
      </c>
      <c r="AW555" s="1125">
        <f t="shared" si="623"/>
        <v>0</v>
      </c>
      <c r="AX555" s="1125">
        <f t="shared" si="624"/>
        <v>0</v>
      </c>
      <c r="AY555" s="1125">
        <f t="shared" si="625"/>
        <v>1</v>
      </c>
      <c r="AZ555" s="1125">
        <f t="shared" si="626"/>
        <v>1</v>
      </c>
      <c r="BA555" s="1125">
        <f t="shared" si="627"/>
        <v>1</v>
      </c>
      <c r="BB555" s="1125">
        <f t="shared" si="628"/>
        <v>1</v>
      </c>
      <c r="BC555" s="1125">
        <f t="shared" si="629"/>
        <v>1</v>
      </c>
      <c r="BD555" s="1125">
        <f t="shared" si="630"/>
        <v>1</v>
      </c>
      <c r="BE555" s="1125">
        <f t="shared" si="631"/>
        <v>1</v>
      </c>
      <c r="BF555" s="1125">
        <f t="shared" si="632"/>
        <v>1</v>
      </c>
      <c r="BG555" s="1125">
        <f t="shared" si="633"/>
        <v>1</v>
      </c>
      <c r="BH555" s="1125">
        <f t="shared" si="634"/>
        <v>1</v>
      </c>
      <c r="BI555" s="1125">
        <f t="shared" si="635"/>
        <v>1</v>
      </c>
      <c r="BJ555" s="1125">
        <f t="shared" si="636"/>
        <v>1</v>
      </c>
      <c r="BK555" s="1125">
        <f t="shared" si="637"/>
        <v>1</v>
      </c>
      <c r="BL555" s="1125">
        <f t="shared" si="638"/>
        <v>0</v>
      </c>
      <c r="BM555" s="1125">
        <f t="shared" si="639"/>
        <v>0</v>
      </c>
      <c r="BN555" s="1125">
        <f t="shared" si="640"/>
        <v>0</v>
      </c>
      <c r="BO555" s="1125">
        <f t="shared" si="641"/>
        <v>0</v>
      </c>
      <c r="BP555" s="1125">
        <f t="shared" si="642"/>
        <v>0</v>
      </c>
      <c r="BQ555" s="1125">
        <f t="shared" si="643"/>
        <v>0</v>
      </c>
      <c r="BR555" s="1125">
        <f t="shared" si="644"/>
        <v>0</v>
      </c>
      <c r="BS555" s="1125">
        <f t="shared" si="645"/>
        <v>0</v>
      </c>
      <c r="BT555" s="1125">
        <f t="shared" si="646"/>
        <v>0</v>
      </c>
      <c r="BU555" s="1125">
        <f t="shared" si="647"/>
        <v>0</v>
      </c>
      <c r="BV555" s="1125">
        <f t="shared" si="648"/>
        <v>0</v>
      </c>
      <c r="BW555" s="1125">
        <f t="shared" si="649"/>
        <v>1</v>
      </c>
      <c r="BX555" s="1125">
        <f t="shared" si="650"/>
        <v>1</v>
      </c>
      <c r="BY555" s="1125">
        <f t="shared" si="651"/>
        <v>1</v>
      </c>
      <c r="BZ555" s="1125">
        <f t="shared" si="652"/>
        <v>1</v>
      </c>
      <c r="CA555" s="1125">
        <f t="shared" si="653"/>
        <v>1</v>
      </c>
      <c r="CB555" s="1125">
        <f t="shared" si="654"/>
        <v>1</v>
      </c>
      <c r="CC555" s="1125">
        <f t="shared" si="655"/>
        <v>1</v>
      </c>
      <c r="CD555" s="1125">
        <f t="shared" si="656"/>
        <v>1</v>
      </c>
      <c r="CE555" s="1125">
        <f t="shared" si="657"/>
        <v>1</v>
      </c>
      <c r="CF555" s="1125">
        <f t="shared" si="658"/>
        <v>1</v>
      </c>
      <c r="CG555" s="1125">
        <f t="shared" si="659"/>
        <v>1</v>
      </c>
      <c r="CH555" s="1125">
        <f t="shared" si="660"/>
        <v>1</v>
      </c>
      <c r="CI555" s="1125">
        <f t="shared" si="661"/>
        <v>0.85</v>
      </c>
      <c r="CJ555" s="1125">
        <f t="shared" si="662"/>
        <v>0.7</v>
      </c>
      <c r="CK555" s="1125">
        <f t="shared" si="663"/>
        <v>0.7</v>
      </c>
      <c r="CL555" s="1125">
        <f t="shared" si="664"/>
        <v>0.7</v>
      </c>
      <c r="CM555" s="1125">
        <f t="shared" si="665"/>
        <v>0.7</v>
      </c>
      <c r="CN555" s="1125">
        <f t="shared" si="666"/>
        <v>0.7</v>
      </c>
      <c r="CO555" s="1125">
        <f t="shared" si="667"/>
        <v>0.7</v>
      </c>
      <c r="CP555" s="1125">
        <f t="shared" si="668"/>
        <v>0.7</v>
      </c>
      <c r="CQ555" s="1125">
        <f t="shared" si="669"/>
        <v>0.7</v>
      </c>
      <c r="CR555" s="1125">
        <f t="shared" si="670"/>
        <v>0.7</v>
      </c>
      <c r="CS555" s="1125">
        <f t="shared" si="671"/>
        <v>0.7</v>
      </c>
      <c r="CT555" s="1125">
        <f t="shared" si="672"/>
        <v>0.7</v>
      </c>
      <c r="CU555" s="1125">
        <v>1</v>
      </c>
      <c r="CV555" s="1125"/>
      <c r="CW555" s="1125">
        <f t="shared" si="673"/>
        <v>365</v>
      </c>
      <c r="CX555" s="1125">
        <f t="shared" si="674"/>
        <v>0</v>
      </c>
      <c r="CY555" s="1136" t="s">
        <v>4883</v>
      </c>
      <c r="CZ555" s="1129" t="s">
        <v>4898</v>
      </c>
      <c r="DA555" s="1129"/>
      <c r="DB555" s="1129"/>
      <c r="DC555" s="1125" t="s">
        <v>5105</v>
      </c>
      <c r="DD555" s="1125" t="s">
        <v>594</v>
      </c>
      <c r="DE555" s="1120" t="str">
        <f t="shared" si="675"/>
        <v/>
      </c>
      <c r="DF555" s="1133">
        <v>1</v>
      </c>
      <c r="DG555" s="1125">
        <v>0</v>
      </c>
    </row>
    <row r="556" spans="1:111">
      <c r="A556" s="1120" t="s">
        <v>3837</v>
      </c>
      <c r="B556" s="1125" t="s">
        <v>3134</v>
      </c>
      <c r="C556" s="1125" t="s">
        <v>3135</v>
      </c>
      <c r="D556" s="1125" t="s">
        <v>954</v>
      </c>
      <c r="E556" s="1125">
        <v>1515</v>
      </c>
      <c r="F556" s="1125">
        <v>-117.25</v>
      </c>
      <c r="G556" s="1125">
        <v>33.9</v>
      </c>
      <c r="H556" s="1125">
        <v>-8</v>
      </c>
      <c r="I556" s="1126">
        <v>36.679999828338623</v>
      </c>
      <c r="J556" s="1126">
        <v>98.600000000000009</v>
      </c>
      <c r="K556" s="1127">
        <v>67.280000686645508</v>
      </c>
      <c r="L556" s="1125">
        <v>2124</v>
      </c>
      <c r="M556" s="1125">
        <v>1634.4</v>
      </c>
      <c r="N556" s="1128">
        <v>48.919999313354495</v>
      </c>
      <c r="O556" s="1128">
        <v>57.559999656677249</v>
      </c>
      <c r="P556" s="1128">
        <v>56.3</v>
      </c>
      <c r="Q556" s="1128">
        <v>54.859999656677246</v>
      </c>
      <c r="R556" s="1128">
        <v>67.639998626708987</v>
      </c>
      <c r="S556" s="1128">
        <v>73.580000686645505</v>
      </c>
      <c r="T556" s="1128">
        <v>75.560001373291016</v>
      </c>
      <c r="U556" s="1128">
        <v>75.919999313354495</v>
      </c>
      <c r="V556" s="1128">
        <v>73.760001373291018</v>
      </c>
      <c r="W556" s="1128">
        <v>69.439998626708984</v>
      </c>
      <c r="X556" s="1128">
        <v>51.259999656677245</v>
      </c>
      <c r="Y556" s="1128">
        <v>51.259999656677245</v>
      </c>
      <c r="Z556" s="1128">
        <v>63.045808043283962</v>
      </c>
      <c r="AA556" s="1128">
        <f t="shared" si="601"/>
        <v>61.373176801348123</v>
      </c>
      <c r="AB556" s="1128">
        <f t="shared" si="602"/>
        <v>61.306352402852845</v>
      </c>
      <c r="AC556" s="1128">
        <f t="shared" si="603"/>
        <v>63.256936385657589</v>
      </c>
      <c r="AD556" s="1128">
        <f t="shared" si="604"/>
        <v>66.716478975235233</v>
      </c>
      <c r="AE556" s="1128">
        <f t="shared" si="605"/>
        <v>70.783197082447273</v>
      </c>
      <c r="AF556" s="1128">
        <f t="shared" si="606"/>
        <v>74.397037962625859</v>
      </c>
      <c r="AG556" s="1128">
        <f t="shared" si="607"/>
        <v>76.615998299378731</v>
      </c>
      <c r="AH556" s="1128">
        <f t="shared" si="608"/>
        <v>76.861671885717385</v>
      </c>
      <c r="AI556" s="1128">
        <f t="shared" si="609"/>
        <v>75.070020115418075</v>
      </c>
      <c r="AJ556" s="1128">
        <f t="shared" si="610"/>
        <v>71.708064632598862</v>
      </c>
      <c r="AK556" s="1128">
        <f t="shared" si="611"/>
        <v>67.652150943158802</v>
      </c>
      <c r="AL556" s="1128">
        <f t="shared" si="612"/>
        <v>63.95951545377239</v>
      </c>
      <c r="AM556" s="1125">
        <f t="shared" si="613"/>
        <v>1</v>
      </c>
      <c r="AN556" s="1125">
        <f t="shared" si="614"/>
        <v>1</v>
      </c>
      <c r="AO556" s="1125">
        <f t="shared" si="615"/>
        <v>1</v>
      </c>
      <c r="AP556" s="1125">
        <f t="shared" si="616"/>
        <v>1</v>
      </c>
      <c r="AQ556" s="1125">
        <f t="shared" si="617"/>
        <v>0</v>
      </c>
      <c r="AR556" s="1125">
        <f t="shared" si="618"/>
        <v>0</v>
      </c>
      <c r="AS556" s="1125">
        <f t="shared" si="619"/>
        <v>0</v>
      </c>
      <c r="AT556" s="1125">
        <f t="shared" si="620"/>
        <v>0</v>
      </c>
      <c r="AU556" s="1125">
        <f t="shared" si="621"/>
        <v>0</v>
      </c>
      <c r="AV556" s="1125">
        <f t="shared" si="622"/>
        <v>0</v>
      </c>
      <c r="AW556" s="1125">
        <f t="shared" si="623"/>
        <v>1</v>
      </c>
      <c r="AX556" s="1125">
        <f t="shared" si="624"/>
        <v>1</v>
      </c>
      <c r="AY556" s="1125">
        <f t="shared" si="625"/>
        <v>0</v>
      </c>
      <c r="AZ556" s="1125">
        <f t="shared" si="626"/>
        <v>0</v>
      </c>
      <c r="BA556" s="1125">
        <f t="shared" si="627"/>
        <v>0</v>
      </c>
      <c r="BB556" s="1125">
        <f t="shared" si="628"/>
        <v>0</v>
      </c>
      <c r="BC556" s="1125">
        <f t="shared" si="629"/>
        <v>1</v>
      </c>
      <c r="BD556" s="1125">
        <f t="shared" si="630"/>
        <v>1</v>
      </c>
      <c r="BE556" s="1125">
        <f t="shared" si="631"/>
        <v>1</v>
      </c>
      <c r="BF556" s="1125">
        <f t="shared" si="632"/>
        <v>1</v>
      </c>
      <c r="BG556" s="1125">
        <f t="shared" si="633"/>
        <v>1</v>
      </c>
      <c r="BH556" s="1125">
        <f t="shared" si="634"/>
        <v>1</v>
      </c>
      <c r="BI556" s="1125">
        <f t="shared" si="635"/>
        <v>0</v>
      </c>
      <c r="BJ556" s="1125">
        <f t="shared" si="636"/>
        <v>0</v>
      </c>
      <c r="BK556" s="1125">
        <f t="shared" si="637"/>
        <v>1</v>
      </c>
      <c r="BL556" s="1125">
        <f t="shared" si="638"/>
        <v>1</v>
      </c>
      <c r="BM556" s="1125">
        <f t="shared" si="639"/>
        <v>1</v>
      </c>
      <c r="BN556" s="1125">
        <f t="shared" si="640"/>
        <v>1</v>
      </c>
      <c r="BO556" s="1125">
        <f t="shared" si="641"/>
        <v>1</v>
      </c>
      <c r="BP556" s="1125">
        <f t="shared" si="642"/>
        <v>0</v>
      </c>
      <c r="BQ556" s="1125">
        <f t="shared" si="643"/>
        <v>0</v>
      </c>
      <c r="BR556" s="1125">
        <f t="shared" si="644"/>
        <v>0</v>
      </c>
      <c r="BS556" s="1125">
        <f t="shared" si="645"/>
        <v>0</v>
      </c>
      <c r="BT556" s="1125">
        <f t="shared" si="646"/>
        <v>0</v>
      </c>
      <c r="BU556" s="1125">
        <f t="shared" si="647"/>
        <v>1</v>
      </c>
      <c r="BV556" s="1125">
        <f t="shared" si="648"/>
        <v>1</v>
      </c>
      <c r="BW556" s="1125">
        <f t="shared" si="649"/>
        <v>0</v>
      </c>
      <c r="BX556" s="1125">
        <f t="shared" si="650"/>
        <v>0</v>
      </c>
      <c r="BY556" s="1125">
        <f t="shared" si="651"/>
        <v>0</v>
      </c>
      <c r="BZ556" s="1125">
        <f t="shared" si="652"/>
        <v>1</v>
      </c>
      <c r="CA556" s="1125">
        <f t="shared" si="653"/>
        <v>1</v>
      </c>
      <c r="CB556" s="1125">
        <f t="shared" si="654"/>
        <v>1</v>
      </c>
      <c r="CC556" s="1125">
        <f t="shared" si="655"/>
        <v>1</v>
      </c>
      <c r="CD556" s="1125">
        <f t="shared" si="656"/>
        <v>1</v>
      </c>
      <c r="CE556" s="1125">
        <f t="shared" si="657"/>
        <v>1</v>
      </c>
      <c r="CF556" s="1125">
        <f t="shared" si="658"/>
        <v>1</v>
      </c>
      <c r="CG556" s="1125">
        <f t="shared" si="659"/>
        <v>1</v>
      </c>
      <c r="CH556" s="1125">
        <f t="shared" si="660"/>
        <v>0</v>
      </c>
      <c r="CI556" s="1125">
        <f t="shared" si="661"/>
        <v>0.85</v>
      </c>
      <c r="CJ556" s="1125">
        <f t="shared" si="662"/>
        <v>0.85</v>
      </c>
      <c r="CK556" s="1125">
        <f t="shared" si="663"/>
        <v>0.85</v>
      </c>
      <c r="CL556" s="1125">
        <f t="shared" si="664"/>
        <v>0.85</v>
      </c>
      <c r="CM556" s="1125">
        <f t="shared" si="665"/>
        <v>0.85</v>
      </c>
      <c r="CN556" s="1125">
        <f t="shared" si="666"/>
        <v>0.7</v>
      </c>
      <c r="CO556" s="1125">
        <f t="shared" si="667"/>
        <v>0.7</v>
      </c>
      <c r="CP556" s="1125">
        <f t="shared" si="668"/>
        <v>0.7</v>
      </c>
      <c r="CQ556" s="1125">
        <f t="shared" si="669"/>
        <v>0.7</v>
      </c>
      <c r="CR556" s="1125">
        <f t="shared" si="670"/>
        <v>0.7</v>
      </c>
      <c r="CS556" s="1125">
        <f t="shared" si="671"/>
        <v>0.85</v>
      </c>
      <c r="CT556" s="1125">
        <f t="shared" si="672"/>
        <v>0.85</v>
      </c>
      <c r="CU556" s="1125">
        <v>1</v>
      </c>
      <c r="CV556" s="1125"/>
      <c r="CW556" s="1125">
        <f t="shared" si="673"/>
        <v>244</v>
      </c>
      <c r="CX556" s="1125">
        <f t="shared" si="674"/>
        <v>121</v>
      </c>
      <c r="CY556" s="1135" t="s">
        <v>4886</v>
      </c>
      <c r="CZ556" s="1124" t="s">
        <v>4888</v>
      </c>
      <c r="DA556" s="1124"/>
      <c r="DB556" s="1124"/>
      <c r="DC556" s="1120" t="s">
        <v>5944</v>
      </c>
      <c r="DD556" s="1120" t="s">
        <v>954</v>
      </c>
      <c r="DE556" s="1120" t="b">
        <f t="shared" si="675"/>
        <v>0</v>
      </c>
      <c r="DF556" s="1133">
        <v>0</v>
      </c>
      <c r="DG556" s="1120">
        <v>0</v>
      </c>
    </row>
    <row r="557" spans="1:111">
      <c r="A557" s="1125" t="s">
        <v>5894</v>
      </c>
      <c r="B557" s="1120" t="s">
        <v>4428</v>
      </c>
      <c r="C557" s="1120" t="s">
        <v>4429</v>
      </c>
      <c r="D557" s="1120" t="s">
        <v>228</v>
      </c>
      <c r="E557" s="1120">
        <v>4831</v>
      </c>
      <c r="F557" s="1120">
        <v>-104.02</v>
      </c>
      <c r="G557" s="1120">
        <v>30.37</v>
      </c>
      <c r="H557" s="1120">
        <v>-6</v>
      </c>
      <c r="I557" s="1121">
        <v>19.040000343322752</v>
      </c>
      <c r="J557" s="1121">
        <v>91.4</v>
      </c>
      <c r="K557" s="1122">
        <v>60.8</v>
      </c>
      <c r="L557" s="1120">
        <v>3040.2000000000003</v>
      </c>
      <c r="M557" s="1120">
        <v>1243.8</v>
      </c>
      <c r="N557" s="1123">
        <v>45.5</v>
      </c>
      <c r="O557" s="1123">
        <v>45.5</v>
      </c>
      <c r="P557" s="1123">
        <v>50.9</v>
      </c>
      <c r="Q557" s="1123">
        <v>61.160001373291017</v>
      </c>
      <c r="R557" s="1123">
        <v>67.819999313354487</v>
      </c>
      <c r="S557" s="1123">
        <v>71.599999999999994</v>
      </c>
      <c r="T557" s="1123">
        <v>75.019999313354489</v>
      </c>
      <c r="U557" s="1123">
        <v>73.580000686645505</v>
      </c>
      <c r="V557" s="1123">
        <v>71.419999313354495</v>
      </c>
      <c r="W557" s="1123">
        <v>59.180000686645506</v>
      </c>
      <c r="X557" s="1123">
        <v>49.459999656677248</v>
      </c>
      <c r="Y557" s="1123">
        <v>41.720000171661376</v>
      </c>
      <c r="Z557" s="1123">
        <v>59.475397303071745</v>
      </c>
      <c r="AA557" s="1123">
        <f t="shared" si="601"/>
        <v>56.755241108656648</v>
      </c>
      <c r="AB557" s="1123">
        <f t="shared" si="602"/>
        <v>56.388421825225549</v>
      </c>
      <c r="AC557" s="1123">
        <f t="shared" si="603"/>
        <v>58.390262734625978</v>
      </c>
      <c r="AD557" s="1123">
        <f t="shared" si="604"/>
        <v>62.238953154520509</v>
      </c>
      <c r="AE557" s="1123">
        <f t="shared" si="605"/>
        <v>66.931272616848958</v>
      </c>
      <c r="AF557" s="1123">
        <f t="shared" si="606"/>
        <v>71.244095742923662</v>
      </c>
      <c r="AG557" s="1123">
        <f t="shared" si="607"/>
        <v>74.053218722317084</v>
      </c>
      <c r="AH557" s="1123">
        <f t="shared" si="608"/>
        <v>74.626400360554825</v>
      </c>
      <c r="AI557" s="1123">
        <f t="shared" si="609"/>
        <v>72.814232030633818</v>
      </c>
      <c r="AJ557" s="1123">
        <f t="shared" si="610"/>
        <v>69.089083334107244</v>
      </c>
      <c r="AK557" s="1123">
        <f t="shared" si="611"/>
        <v>64.421971685003854</v>
      </c>
      <c r="AL557" s="1123">
        <f t="shared" si="612"/>
        <v>60.02945165703003</v>
      </c>
      <c r="AM557" s="1120">
        <f t="shared" si="613"/>
        <v>1</v>
      </c>
      <c r="AN557" s="1120">
        <f t="shared" si="614"/>
        <v>1</v>
      </c>
      <c r="AO557" s="1120">
        <f t="shared" si="615"/>
        <v>1</v>
      </c>
      <c r="AP557" s="1120">
        <f t="shared" si="616"/>
        <v>1</v>
      </c>
      <c r="AQ557" s="1120">
        <f t="shared" si="617"/>
        <v>0</v>
      </c>
      <c r="AR557" s="1120">
        <f t="shared" si="618"/>
        <v>0</v>
      </c>
      <c r="AS557" s="1120">
        <f t="shared" si="619"/>
        <v>0</v>
      </c>
      <c r="AT557" s="1120">
        <f t="shared" si="620"/>
        <v>0</v>
      </c>
      <c r="AU557" s="1120">
        <f t="shared" si="621"/>
        <v>0</v>
      </c>
      <c r="AV557" s="1120">
        <f t="shared" si="622"/>
        <v>1</v>
      </c>
      <c r="AW557" s="1120">
        <f t="shared" si="623"/>
        <v>1</v>
      </c>
      <c r="AX557" s="1120">
        <f t="shared" si="624"/>
        <v>1</v>
      </c>
      <c r="AY557" s="1120">
        <f t="shared" si="625"/>
        <v>0</v>
      </c>
      <c r="AZ557" s="1120">
        <f t="shared" si="626"/>
        <v>0</v>
      </c>
      <c r="BA557" s="1120">
        <f t="shared" si="627"/>
        <v>0</v>
      </c>
      <c r="BB557" s="1120">
        <f t="shared" si="628"/>
        <v>0</v>
      </c>
      <c r="BC557" s="1120">
        <f t="shared" si="629"/>
        <v>1</v>
      </c>
      <c r="BD557" s="1120">
        <f t="shared" si="630"/>
        <v>1</v>
      </c>
      <c r="BE557" s="1120">
        <f t="shared" si="631"/>
        <v>1</v>
      </c>
      <c r="BF557" s="1120">
        <f t="shared" si="632"/>
        <v>1</v>
      </c>
      <c r="BG557" s="1120">
        <f t="shared" si="633"/>
        <v>1</v>
      </c>
      <c r="BH557" s="1120">
        <f t="shared" si="634"/>
        <v>0</v>
      </c>
      <c r="BI557" s="1120">
        <f t="shared" si="635"/>
        <v>0</v>
      </c>
      <c r="BJ557" s="1120">
        <f t="shared" si="636"/>
        <v>0</v>
      </c>
      <c r="BK557" s="1120">
        <f t="shared" si="637"/>
        <v>1</v>
      </c>
      <c r="BL557" s="1120">
        <f t="shared" si="638"/>
        <v>1</v>
      </c>
      <c r="BM557" s="1120">
        <f t="shared" si="639"/>
        <v>1</v>
      </c>
      <c r="BN557" s="1120">
        <f t="shared" si="640"/>
        <v>1</v>
      </c>
      <c r="BO557" s="1120">
        <f t="shared" si="641"/>
        <v>1</v>
      </c>
      <c r="BP557" s="1120">
        <f t="shared" si="642"/>
        <v>0</v>
      </c>
      <c r="BQ557" s="1120">
        <f t="shared" si="643"/>
        <v>0</v>
      </c>
      <c r="BR557" s="1120">
        <f t="shared" si="644"/>
        <v>0</v>
      </c>
      <c r="BS557" s="1120">
        <f t="shared" si="645"/>
        <v>0</v>
      </c>
      <c r="BT557" s="1120">
        <f t="shared" si="646"/>
        <v>1</v>
      </c>
      <c r="BU557" s="1120">
        <f t="shared" si="647"/>
        <v>1</v>
      </c>
      <c r="BV557" s="1120">
        <f t="shared" si="648"/>
        <v>1</v>
      </c>
      <c r="BW557" s="1120">
        <f t="shared" si="649"/>
        <v>0</v>
      </c>
      <c r="BX557" s="1120">
        <f t="shared" si="650"/>
        <v>0</v>
      </c>
      <c r="BY557" s="1120">
        <f t="shared" si="651"/>
        <v>0</v>
      </c>
      <c r="BZ557" s="1120">
        <f t="shared" si="652"/>
        <v>1</v>
      </c>
      <c r="CA557" s="1120">
        <f t="shared" si="653"/>
        <v>1</v>
      </c>
      <c r="CB557" s="1120">
        <f t="shared" si="654"/>
        <v>1</v>
      </c>
      <c r="CC557" s="1120">
        <f t="shared" si="655"/>
        <v>1</v>
      </c>
      <c r="CD557" s="1120">
        <f t="shared" si="656"/>
        <v>1</v>
      </c>
      <c r="CE557" s="1120">
        <f t="shared" si="657"/>
        <v>1</v>
      </c>
      <c r="CF557" s="1120">
        <f t="shared" si="658"/>
        <v>1</v>
      </c>
      <c r="CG557" s="1120">
        <f t="shared" si="659"/>
        <v>0</v>
      </c>
      <c r="CH557" s="1120">
        <f t="shared" si="660"/>
        <v>0</v>
      </c>
      <c r="CI557" s="1120">
        <f t="shared" si="661"/>
        <v>0.85</v>
      </c>
      <c r="CJ557" s="1120">
        <f t="shared" si="662"/>
        <v>0.85</v>
      </c>
      <c r="CK557" s="1120">
        <f t="shared" si="663"/>
        <v>0.85</v>
      </c>
      <c r="CL557" s="1120">
        <f t="shared" si="664"/>
        <v>0.85</v>
      </c>
      <c r="CM557" s="1120">
        <f t="shared" si="665"/>
        <v>0.85</v>
      </c>
      <c r="CN557" s="1120">
        <f t="shared" si="666"/>
        <v>0.7</v>
      </c>
      <c r="CO557" s="1120">
        <f t="shared" si="667"/>
        <v>0.7</v>
      </c>
      <c r="CP557" s="1120">
        <f t="shared" si="668"/>
        <v>0.7</v>
      </c>
      <c r="CQ557" s="1120">
        <f t="shared" si="669"/>
        <v>0.7</v>
      </c>
      <c r="CR557" s="1120">
        <f t="shared" si="670"/>
        <v>0.85</v>
      </c>
      <c r="CS557" s="1120">
        <f t="shared" si="671"/>
        <v>0.85</v>
      </c>
      <c r="CT557" s="1120">
        <f t="shared" si="672"/>
        <v>0.85</v>
      </c>
      <c r="CU557" s="1120">
        <v>1</v>
      </c>
      <c r="CV557" s="1120"/>
      <c r="CW557" s="1120">
        <f t="shared" si="673"/>
        <v>214</v>
      </c>
      <c r="CX557" s="1120">
        <f t="shared" si="674"/>
        <v>151</v>
      </c>
      <c r="CY557" s="1135" t="s">
        <v>4886</v>
      </c>
      <c r="CZ557" s="1124" t="s">
        <v>4888</v>
      </c>
      <c r="DA557" s="1124"/>
      <c r="DB557" s="1124"/>
      <c r="DC557" s="1120" t="s">
        <v>5604</v>
      </c>
      <c r="DD557" s="1120" t="s">
        <v>228</v>
      </c>
      <c r="DE557" s="1120" t="str">
        <f t="shared" si="675"/>
        <v/>
      </c>
      <c r="DF557" s="1133">
        <v>0</v>
      </c>
      <c r="DG557" s="1125">
        <v>0</v>
      </c>
    </row>
    <row r="558" spans="1:111">
      <c r="A558" s="1120" t="s">
        <v>5896</v>
      </c>
      <c r="B558" s="1120" t="s">
        <v>3370</v>
      </c>
      <c r="C558" s="1120" t="s">
        <v>3371</v>
      </c>
      <c r="D558" s="1120" t="s">
        <v>428</v>
      </c>
      <c r="E558" s="1120">
        <v>1082</v>
      </c>
      <c r="F558" s="1120">
        <v>-84.52</v>
      </c>
      <c r="G558" s="1120">
        <v>33.92</v>
      </c>
      <c r="H558" s="1120">
        <v>-5</v>
      </c>
      <c r="I558" s="1121">
        <v>24.979999828338624</v>
      </c>
      <c r="J558" s="1121">
        <v>91.039998626708993</v>
      </c>
      <c r="K558" s="1122">
        <v>73.760001373291018</v>
      </c>
      <c r="L558" s="1120">
        <v>3627</v>
      </c>
      <c r="M558" s="1120">
        <v>1405.8</v>
      </c>
      <c r="N558" s="1123">
        <v>37.220000171661376</v>
      </c>
      <c r="O558" s="1123">
        <v>44.6</v>
      </c>
      <c r="P558" s="1123">
        <v>47.119999313354491</v>
      </c>
      <c r="Q558" s="1123">
        <v>58.459999656677248</v>
      </c>
      <c r="R558" s="1123">
        <v>65.119999313354498</v>
      </c>
      <c r="S558" s="1123">
        <v>75.019999313354489</v>
      </c>
      <c r="T558" s="1123">
        <v>79.16000137329101</v>
      </c>
      <c r="U558" s="1123">
        <v>75.2</v>
      </c>
      <c r="V558" s="1123">
        <v>69.980000686645511</v>
      </c>
      <c r="W558" s="1123">
        <v>58.819999313354494</v>
      </c>
      <c r="X558" s="1123">
        <v>46.940000343322751</v>
      </c>
      <c r="Y558" s="1123">
        <v>41.179999828338623</v>
      </c>
      <c r="Z558" s="1123">
        <v>58.299232818394493</v>
      </c>
      <c r="AA558" s="1123">
        <f t="shared" si="601"/>
        <v>53.627584275373103</v>
      </c>
      <c r="AB558" s="1123">
        <f t="shared" si="602"/>
        <v>53.058174966011748</v>
      </c>
      <c r="AC558" s="1123">
        <f t="shared" si="603"/>
        <v>55.41892061581909</v>
      </c>
      <c r="AD558" s="1123">
        <f t="shared" si="604"/>
        <v>60.094456490981166</v>
      </c>
      <c r="AE558" s="1123">
        <f t="shared" si="605"/>
        <v>65.866032113448128</v>
      </c>
      <c r="AF558" s="1123">
        <f t="shared" si="606"/>
        <v>71.229197354551374</v>
      </c>
      <c r="AG558" s="1123">
        <f t="shared" si="607"/>
        <v>74.785960545319199</v>
      </c>
      <c r="AH558" s="1123">
        <f t="shared" si="608"/>
        <v>75.609196548698065</v>
      </c>
      <c r="AI558" s="1123">
        <f t="shared" si="609"/>
        <v>73.484316213956461</v>
      </c>
      <c r="AJ558" s="1123">
        <f t="shared" si="610"/>
        <v>68.965202345741929</v>
      </c>
      <c r="AK558" s="1123">
        <f t="shared" si="611"/>
        <v>63.229831615457343</v>
      </c>
      <c r="AL558" s="1123">
        <f t="shared" si="612"/>
        <v>57.773216788689709</v>
      </c>
      <c r="AM558" s="1120">
        <f t="shared" si="613"/>
        <v>1</v>
      </c>
      <c r="AN558" s="1120">
        <f t="shared" si="614"/>
        <v>1</v>
      </c>
      <c r="AO558" s="1120">
        <f t="shared" si="615"/>
        <v>1</v>
      </c>
      <c r="AP558" s="1120">
        <f t="shared" si="616"/>
        <v>1</v>
      </c>
      <c r="AQ558" s="1120">
        <f t="shared" si="617"/>
        <v>1</v>
      </c>
      <c r="AR558" s="1120">
        <f t="shared" si="618"/>
        <v>0</v>
      </c>
      <c r="AS558" s="1120">
        <f t="shared" si="619"/>
        <v>0</v>
      </c>
      <c r="AT558" s="1120">
        <f t="shared" si="620"/>
        <v>0</v>
      </c>
      <c r="AU558" s="1120">
        <f t="shared" si="621"/>
        <v>0</v>
      </c>
      <c r="AV558" s="1120">
        <f t="shared" si="622"/>
        <v>1</v>
      </c>
      <c r="AW558" s="1120">
        <f t="shared" si="623"/>
        <v>1</v>
      </c>
      <c r="AX558" s="1120">
        <f t="shared" si="624"/>
        <v>1</v>
      </c>
      <c r="AY558" s="1120">
        <f t="shared" si="625"/>
        <v>0</v>
      </c>
      <c r="AZ558" s="1120">
        <f t="shared" si="626"/>
        <v>0</v>
      </c>
      <c r="BA558" s="1120">
        <f t="shared" si="627"/>
        <v>0</v>
      </c>
      <c r="BB558" s="1120">
        <f t="shared" si="628"/>
        <v>0</v>
      </c>
      <c r="BC558" s="1120">
        <f t="shared" si="629"/>
        <v>0</v>
      </c>
      <c r="BD558" s="1120">
        <f t="shared" si="630"/>
        <v>1</v>
      </c>
      <c r="BE558" s="1120">
        <f t="shared" si="631"/>
        <v>1</v>
      </c>
      <c r="BF558" s="1120">
        <f t="shared" si="632"/>
        <v>1</v>
      </c>
      <c r="BG558" s="1120">
        <f t="shared" si="633"/>
        <v>1</v>
      </c>
      <c r="BH558" s="1120">
        <f t="shared" si="634"/>
        <v>0</v>
      </c>
      <c r="BI558" s="1120">
        <f t="shared" si="635"/>
        <v>0</v>
      </c>
      <c r="BJ558" s="1120">
        <f t="shared" si="636"/>
        <v>0</v>
      </c>
      <c r="BK558" s="1120">
        <f t="shared" si="637"/>
        <v>1</v>
      </c>
      <c r="BL558" s="1120">
        <f t="shared" si="638"/>
        <v>1</v>
      </c>
      <c r="BM558" s="1120">
        <f t="shared" si="639"/>
        <v>1</v>
      </c>
      <c r="BN558" s="1120">
        <f t="shared" si="640"/>
        <v>1</v>
      </c>
      <c r="BO558" s="1120">
        <f t="shared" si="641"/>
        <v>1</v>
      </c>
      <c r="BP558" s="1120">
        <f t="shared" si="642"/>
        <v>1</v>
      </c>
      <c r="BQ558" s="1120">
        <f t="shared" si="643"/>
        <v>0</v>
      </c>
      <c r="BR558" s="1120">
        <f t="shared" si="644"/>
        <v>0</v>
      </c>
      <c r="BS558" s="1120">
        <f t="shared" si="645"/>
        <v>0</v>
      </c>
      <c r="BT558" s="1120">
        <f t="shared" si="646"/>
        <v>1</v>
      </c>
      <c r="BU558" s="1120">
        <f t="shared" si="647"/>
        <v>1</v>
      </c>
      <c r="BV558" s="1120">
        <f t="shared" si="648"/>
        <v>1</v>
      </c>
      <c r="BW558" s="1120">
        <f t="shared" si="649"/>
        <v>0</v>
      </c>
      <c r="BX558" s="1120">
        <f t="shared" si="650"/>
        <v>0</v>
      </c>
      <c r="BY558" s="1120">
        <f t="shared" si="651"/>
        <v>0</v>
      </c>
      <c r="BZ558" s="1120">
        <f t="shared" si="652"/>
        <v>0</v>
      </c>
      <c r="CA558" s="1120">
        <f t="shared" si="653"/>
        <v>1</v>
      </c>
      <c r="CB558" s="1120">
        <f t="shared" si="654"/>
        <v>1</v>
      </c>
      <c r="CC558" s="1120">
        <f t="shared" si="655"/>
        <v>1</v>
      </c>
      <c r="CD558" s="1120">
        <f t="shared" si="656"/>
        <v>1</v>
      </c>
      <c r="CE558" s="1120">
        <f t="shared" si="657"/>
        <v>1</v>
      </c>
      <c r="CF558" s="1120">
        <f t="shared" si="658"/>
        <v>1</v>
      </c>
      <c r="CG558" s="1120">
        <f t="shared" si="659"/>
        <v>0</v>
      </c>
      <c r="CH558" s="1120">
        <f t="shared" si="660"/>
        <v>0</v>
      </c>
      <c r="CI558" s="1120">
        <f t="shared" si="661"/>
        <v>0.85</v>
      </c>
      <c r="CJ558" s="1120">
        <f t="shared" si="662"/>
        <v>0.85</v>
      </c>
      <c r="CK558" s="1120">
        <f t="shared" si="663"/>
        <v>0.85</v>
      </c>
      <c r="CL558" s="1120">
        <f t="shared" si="664"/>
        <v>0.85</v>
      </c>
      <c r="CM558" s="1120">
        <f t="shared" si="665"/>
        <v>0.85</v>
      </c>
      <c r="CN558" s="1120">
        <f t="shared" si="666"/>
        <v>0.85</v>
      </c>
      <c r="CO558" s="1120">
        <f t="shared" si="667"/>
        <v>0.7</v>
      </c>
      <c r="CP558" s="1120">
        <f t="shared" si="668"/>
        <v>0.7</v>
      </c>
      <c r="CQ558" s="1120">
        <f t="shared" si="669"/>
        <v>0.7</v>
      </c>
      <c r="CR558" s="1120">
        <f t="shared" si="670"/>
        <v>0.85</v>
      </c>
      <c r="CS558" s="1120">
        <f t="shared" si="671"/>
        <v>0.85</v>
      </c>
      <c r="CT558" s="1120">
        <f t="shared" si="672"/>
        <v>0.85</v>
      </c>
      <c r="CU558" s="1120">
        <v>1</v>
      </c>
      <c r="CV558" s="1120"/>
      <c r="CW558" s="1120">
        <f t="shared" si="673"/>
        <v>184</v>
      </c>
      <c r="CX558" s="1120">
        <f t="shared" si="674"/>
        <v>181</v>
      </c>
      <c r="CY558" s="1135" t="s">
        <v>4881</v>
      </c>
      <c r="CZ558" s="1124" t="s">
        <v>4882</v>
      </c>
      <c r="DA558" s="1124"/>
      <c r="DB558" s="1124"/>
      <c r="DC558" s="1120" t="s">
        <v>5959</v>
      </c>
      <c r="DD558" s="1120" t="s">
        <v>428</v>
      </c>
      <c r="DE558" s="1120" t="b">
        <f t="shared" si="675"/>
        <v>0</v>
      </c>
      <c r="DF558" s="1133">
        <v>1</v>
      </c>
      <c r="DG558" s="1120">
        <v>0</v>
      </c>
    </row>
    <row r="559" spans="1:111">
      <c r="A559" s="1125" t="s">
        <v>3839</v>
      </c>
      <c r="B559" s="1120" t="s">
        <v>4514</v>
      </c>
      <c r="C559" s="1120" t="s">
        <v>4515</v>
      </c>
      <c r="D559" s="1120" t="s">
        <v>501</v>
      </c>
      <c r="E559" s="1120">
        <v>2558</v>
      </c>
      <c r="F559" s="1120">
        <v>-81.349999999999994</v>
      </c>
      <c r="G559" s="1120">
        <v>36.9</v>
      </c>
      <c r="H559" s="1120">
        <v>-5</v>
      </c>
      <c r="I559" s="1121">
        <v>11.840000343322753</v>
      </c>
      <c r="J559" s="1121">
        <v>87.619999313354498</v>
      </c>
      <c r="K559" s="1122">
        <v>69.980000686645511</v>
      </c>
      <c r="L559" s="1120">
        <v>4750.2</v>
      </c>
      <c r="M559" s="1120">
        <v>727.2</v>
      </c>
      <c r="N559" s="1123">
        <v>31.1</v>
      </c>
      <c r="O559" s="1123">
        <v>38.299999999999997</v>
      </c>
      <c r="P559" s="1123">
        <v>48.919999313354495</v>
      </c>
      <c r="Q559" s="1123">
        <v>51.259999656677245</v>
      </c>
      <c r="R559" s="1123">
        <v>61.519999313354496</v>
      </c>
      <c r="S559" s="1123">
        <v>70.33999862670899</v>
      </c>
      <c r="T559" s="1123">
        <v>71.239998626708982</v>
      </c>
      <c r="U559" s="1123">
        <v>72.319999313354487</v>
      </c>
      <c r="V559" s="1123">
        <v>61.339998626708983</v>
      </c>
      <c r="W559" s="1123">
        <v>55.219999313354492</v>
      </c>
      <c r="X559" s="1123">
        <v>47.3</v>
      </c>
      <c r="Y559" s="1123">
        <v>30.740000021457671</v>
      </c>
      <c r="Z559" s="1123">
        <v>53.376602137676656</v>
      </c>
      <c r="AA559" s="1123">
        <f t="shared" si="601"/>
        <v>50.093133937866362</v>
      </c>
      <c r="AB559" s="1123">
        <f t="shared" si="602"/>
        <v>49.14030874439527</v>
      </c>
      <c r="AC559" s="1123">
        <f t="shared" si="603"/>
        <v>50.855731169939098</v>
      </c>
      <c r="AD559" s="1123">
        <f t="shared" si="604"/>
        <v>54.792249923820066</v>
      </c>
      <c r="AE559" s="1123">
        <f t="shared" si="605"/>
        <v>59.923750729248837</v>
      </c>
      <c r="AF559" s="1123">
        <f t="shared" si="606"/>
        <v>64.912628822469301</v>
      </c>
      <c r="AG559" s="1123">
        <f t="shared" si="607"/>
        <v>68.458456247544945</v>
      </c>
      <c r="AH559" s="1123">
        <f t="shared" si="608"/>
        <v>69.636958443275176</v>
      </c>
      <c r="AI559" s="1123">
        <f t="shared" si="609"/>
        <v>68.140940651074317</v>
      </c>
      <c r="AJ559" s="1123">
        <f t="shared" si="610"/>
        <v>64.360362962811564</v>
      </c>
      <c r="AK559" s="1123">
        <f t="shared" si="611"/>
        <v>59.280691213398299</v>
      </c>
      <c r="AL559" s="1123">
        <f t="shared" si="612"/>
        <v>54.226020124430278</v>
      </c>
      <c r="AM559" s="1120">
        <f t="shared" si="613"/>
        <v>1</v>
      </c>
      <c r="AN559" s="1120">
        <f t="shared" si="614"/>
        <v>1</v>
      </c>
      <c r="AO559" s="1120">
        <f t="shared" si="615"/>
        <v>1</v>
      </c>
      <c r="AP559" s="1120">
        <f t="shared" si="616"/>
        <v>1</v>
      </c>
      <c r="AQ559" s="1120">
        <f t="shared" si="617"/>
        <v>1</v>
      </c>
      <c r="AR559" s="1120">
        <f t="shared" si="618"/>
        <v>0</v>
      </c>
      <c r="AS559" s="1120">
        <f t="shared" si="619"/>
        <v>0</v>
      </c>
      <c r="AT559" s="1120">
        <f t="shared" si="620"/>
        <v>0</v>
      </c>
      <c r="AU559" s="1120">
        <f t="shared" si="621"/>
        <v>1</v>
      </c>
      <c r="AV559" s="1120">
        <f t="shared" si="622"/>
        <v>1</v>
      </c>
      <c r="AW559" s="1120">
        <f t="shared" si="623"/>
        <v>1</v>
      </c>
      <c r="AX559" s="1120">
        <f t="shared" si="624"/>
        <v>1</v>
      </c>
      <c r="AY559" s="1120">
        <f t="shared" si="625"/>
        <v>0</v>
      </c>
      <c r="AZ559" s="1120">
        <f t="shared" si="626"/>
        <v>0</v>
      </c>
      <c r="BA559" s="1120">
        <f t="shared" si="627"/>
        <v>0</v>
      </c>
      <c r="BB559" s="1120">
        <f t="shared" si="628"/>
        <v>0</v>
      </c>
      <c r="BC559" s="1120">
        <f t="shared" si="629"/>
        <v>0</v>
      </c>
      <c r="BD559" s="1120">
        <f t="shared" si="630"/>
        <v>1</v>
      </c>
      <c r="BE559" s="1120">
        <f t="shared" si="631"/>
        <v>1</v>
      </c>
      <c r="BF559" s="1120">
        <f t="shared" si="632"/>
        <v>1</v>
      </c>
      <c r="BG559" s="1120">
        <f t="shared" si="633"/>
        <v>0</v>
      </c>
      <c r="BH559" s="1120">
        <f t="shared" si="634"/>
        <v>0</v>
      </c>
      <c r="BI559" s="1120">
        <f t="shared" si="635"/>
        <v>0</v>
      </c>
      <c r="BJ559" s="1120">
        <f t="shared" si="636"/>
        <v>0</v>
      </c>
      <c r="BK559" s="1120">
        <f t="shared" si="637"/>
        <v>1</v>
      </c>
      <c r="BL559" s="1120">
        <f t="shared" si="638"/>
        <v>1</v>
      </c>
      <c r="BM559" s="1120">
        <f t="shared" si="639"/>
        <v>1</v>
      </c>
      <c r="BN559" s="1120">
        <f t="shared" si="640"/>
        <v>1</v>
      </c>
      <c r="BO559" s="1120">
        <f t="shared" si="641"/>
        <v>1</v>
      </c>
      <c r="BP559" s="1120">
        <f t="shared" si="642"/>
        <v>1</v>
      </c>
      <c r="BQ559" s="1120">
        <f t="shared" si="643"/>
        <v>0</v>
      </c>
      <c r="BR559" s="1120">
        <f t="shared" si="644"/>
        <v>0</v>
      </c>
      <c r="BS559" s="1120">
        <f t="shared" si="645"/>
        <v>1</v>
      </c>
      <c r="BT559" s="1120">
        <f t="shared" si="646"/>
        <v>1</v>
      </c>
      <c r="BU559" s="1120">
        <f t="shared" si="647"/>
        <v>1</v>
      </c>
      <c r="BV559" s="1120">
        <f t="shared" si="648"/>
        <v>1</v>
      </c>
      <c r="BW559" s="1120">
        <f t="shared" si="649"/>
        <v>0</v>
      </c>
      <c r="BX559" s="1120">
        <f t="shared" si="650"/>
        <v>0</v>
      </c>
      <c r="BY559" s="1120">
        <f t="shared" si="651"/>
        <v>0</v>
      </c>
      <c r="BZ559" s="1120">
        <f t="shared" si="652"/>
        <v>0</v>
      </c>
      <c r="CA559" s="1120">
        <f t="shared" si="653"/>
        <v>1</v>
      </c>
      <c r="CB559" s="1120">
        <f t="shared" si="654"/>
        <v>1</v>
      </c>
      <c r="CC559" s="1120">
        <f t="shared" si="655"/>
        <v>1</v>
      </c>
      <c r="CD559" s="1120">
        <f t="shared" si="656"/>
        <v>1</v>
      </c>
      <c r="CE559" s="1120">
        <f t="shared" si="657"/>
        <v>1</v>
      </c>
      <c r="CF559" s="1120">
        <f t="shared" si="658"/>
        <v>0</v>
      </c>
      <c r="CG559" s="1120">
        <f t="shared" si="659"/>
        <v>0</v>
      </c>
      <c r="CH559" s="1120">
        <f t="shared" si="660"/>
        <v>0</v>
      </c>
      <c r="CI559" s="1120">
        <f t="shared" si="661"/>
        <v>0.85</v>
      </c>
      <c r="CJ559" s="1120">
        <f t="shared" si="662"/>
        <v>0.85</v>
      </c>
      <c r="CK559" s="1120">
        <f t="shared" si="663"/>
        <v>0.85</v>
      </c>
      <c r="CL559" s="1120">
        <f t="shared" si="664"/>
        <v>0.85</v>
      </c>
      <c r="CM559" s="1120">
        <f t="shared" si="665"/>
        <v>0.85</v>
      </c>
      <c r="CN559" s="1120">
        <f t="shared" si="666"/>
        <v>0.85</v>
      </c>
      <c r="CO559" s="1120">
        <f t="shared" si="667"/>
        <v>0.7</v>
      </c>
      <c r="CP559" s="1120">
        <f t="shared" si="668"/>
        <v>0.7</v>
      </c>
      <c r="CQ559" s="1120">
        <f t="shared" si="669"/>
        <v>0.85</v>
      </c>
      <c r="CR559" s="1120">
        <f t="shared" si="670"/>
        <v>0.85</v>
      </c>
      <c r="CS559" s="1120">
        <f t="shared" si="671"/>
        <v>0.85</v>
      </c>
      <c r="CT559" s="1120">
        <f t="shared" si="672"/>
        <v>0.85</v>
      </c>
      <c r="CU559" s="1120">
        <v>1</v>
      </c>
      <c r="CV559" s="1120"/>
      <c r="CW559" s="1120">
        <f t="shared" si="673"/>
        <v>153</v>
      </c>
      <c r="CX559" s="1120">
        <f t="shared" si="674"/>
        <v>212</v>
      </c>
      <c r="CY559" s="1135" t="s">
        <v>4881</v>
      </c>
      <c r="CZ559" s="1124" t="s">
        <v>4885</v>
      </c>
      <c r="DA559" s="1124"/>
      <c r="DB559" s="1124"/>
      <c r="DC559" s="1120" t="s">
        <v>6011</v>
      </c>
      <c r="DD559" s="1120" t="s">
        <v>501</v>
      </c>
      <c r="DE559" s="1120" t="str">
        <f t="shared" si="675"/>
        <v/>
      </c>
      <c r="DF559" s="1133">
        <v>0</v>
      </c>
      <c r="DG559" s="1125">
        <v>0</v>
      </c>
    </row>
    <row r="560" spans="1:111">
      <c r="A560" s="1120" t="s">
        <v>3841</v>
      </c>
      <c r="B560" s="1120" t="s">
        <v>3513</v>
      </c>
      <c r="C560" s="1120" t="s">
        <v>3514</v>
      </c>
      <c r="D560" s="1120" t="s">
        <v>932</v>
      </c>
      <c r="E560" s="1120">
        <v>472</v>
      </c>
      <c r="F560" s="1120">
        <v>-89.02</v>
      </c>
      <c r="G560" s="1120">
        <v>37.75</v>
      </c>
      <c r="H560" s="1120">
        <v>-6</v>
      </c>
      <c r="I560" s="1121">
        <v>10.219999313354492</v>
      </c>
      <c r="J560" s="1121">
        <v>94.100000000000009</v>
      </c>
      <c r="K560" s="1122">
        <v>76.639998626708987</v>
      </c>
      <c r="L560" s="1120">
        <v>4473</v>
      </c>
      <c r="M560" s="1120">
        <v>1373.4</v>
      </c>
      <c r="N560" s="1123">
        <v>37.4</v>
      </c>
      <c r="O560" s="1123">
        <v>32.540000021457672</v>
      </c>
      <c r="P560" s="1123">
        <v>42.440000343322751</v>
      </c>
      <c r="Q560" s="1123">
        <v>52.519999313354489</v>
      </c>
      <c r="R560" s="1123">
        <v>62.419999313354495</v>
      </c>
      <c r="S560" s="1123">
        <v>77.900000000000006</v>
      </c>
      <c r="T560" s="1123">
        <v>80.060001373291016</v>
      </c>
      <c r="U560" s="1123">
        <v>74.3</v>
      </c>
      <c r="V560" s="1123">
        <v>66.739998626708982</v>
      </c>
      <c r="W560" s="1123">
        <v>57.919999313354495</v>
      </c>
      <c r="X560" s="1123">
        <v>49.640000343322754</v>
      </c>
      <c r="Y560" s="1123">
        <v>35.23999991416931</v>
      </c>
      <c r="Z560" s="1123">
        <v>55.885753307081252</v>
      </c>
      <c r="AA560" s="1123">
        <f t="shared" si="601"/>
        <v>50.520193681259506</v>
      </c>
      <c r="AB560" s="1123">
        <f t="shared" si="602"/>
        <v>49.644148533890984</v>
      </c>
      <c r="AC560" s="1123">
        <f t="shared" si="603"/>
        <v>51.959066319494418</v>
      </c>
      <c r="AD560" s="1123">
        <f t="shared" si="604"/>
        <v>56.86152804328934</v>
      </c>
      <c r="AE560" s="1123">
        <f t="shared" si="605"/>
        <v>63.073631507746605</v>
      </c>
      <c r="AF560" s="1123">
        <f t="shared" si="606"/>
        <v>68.976096213443256</v>
      </c>
      <c r="AG560" s="1123">
        <f t="shared" si="607"/>
        <v>73.030353775105027</v>
      </c>
      <c r="AH560" s="1123">
        <f t="shared" si="608"/>
        <v>74.179599481284555</v>
      </c>
      <c r="AI560" s="1123">
        <f t="shared" si="609"/>
        <v>72.124264728253735</v>
      </c>
      <c r="AJ560" s="1123">
        <f t="shared" si="610"/>
        <v>67.400104193057331</v>
      </c>
      <c r="AK560" s="1123">
        <f t="shared" si="611"/>
        <v>61.238543120711824</v>
      </c>
      <c r="AL560" s="1123">
        <f t="shared" si="612"/>
        <v>55.24568735725439</v>
      </c>
      <c r="AM560" s="1120">
        <f t="shared" si="613"/>
        <v>1</v>
      </c>
      <c r="AN560" s="1120">
        <f t="shared" si="614"/>
        <v>1</v>
      </c>
      <c r="AO560" s="1120">
        <f t="shared" si="615"/>
        <v>1</v>
      </c>
      <c r="AP560" s="1120">
        <f t="shared" si="616"/>
        <v>1</v>
      </c>
      <c r="AQ560" s="1120">
        <f t="shared" si="617"/>
        <v>1</v>
      </c>
      <c r="AR560" s="1120">
        <f t="shared" si="618"/>
        <v>0</v>
      </c>
      <c r="AS560" s="1120">
        <f t="shared" si="619"/>
        <v>0</v>
      </c>
      <c r="AT560" s="1120">
        <f t="shared" si="620"/>
        <v>0</v>
      </c>
      <c r="AU560" s="1120">
        <f t="shared" si="621"/>
        <v>0</v>
      </c>
      <c r="AV560" s="1120">
        <f t="shared" si="622"/>
        <v>1</v>
      </c>
      <c r="AW560" s="1120">
        <f t="shared" si="623"/>
        <v>1</v>
      </c>
      <c r="AX560" s="1120">
        <f t="shared" si="624"/>
        <v>1</v>
      </c>
      <c r="AY560" s="1120">
        <f t="shared" si="625"/>
        <v>0</v>
      </c>
      <c r="AZ560" s="1120">
        <f t="shared" si="626"/>
        <v>0</v>
      </c>
      <c r="BA560" s="1120">
        <f t="shared" si="627"/>
        <v>0</v>
      </c>
      <c r="BB560" s="1120">
        <f t="shared" si="628"/>
        <v>0</v>
      </c>
      <c r="BC560" s="1120">
        <f t="shared" si="629"/>
        <v>0</v>
      </c>
      <c r="BD560" s="1120">
        <f t="shared" si="630"/>
        <v>1</v>
      </c>
      <c r="BE560" s="1120">
        <f t="shared" si="631"/>
        <v>1</v>
      </c>
      <c r="BF560" s="1120">
        <f t="shared" si="632"/>
        <v>1</v>
      </c>
      <c r="BG560" s="1120">
        <f t="shared" si="633"/>
        <v>1</v>
      </c>
      <c r="BH560" s="1120">
        <f t="shared" si="634"/>
        <v>0</v>
      </c>
      <c r="BI560" s="1120">
        <f t="shared" si="635"/>
        <v>0</v>
      </c>
      <c r="BJ560" s="1120">
        <f t="shared" si="636"/>
        <v>0</v>
      </c>
      <c r="BK560" s="1120">
        <f t="shared" si="637"/>
        <v>1</v>
      </c>
      <c r="BL560" s="1120">
        <f t="shared" si="638"/>
        <v>1</v>
      </c>
      <c r="BM560" s="1120">
        <f t="shared" si="639"/>
        <v>1</v>
      </c>
      <c r="BN560" s="1120">
        <f t="shared" si="640"/>
        <v>1</v>
      </c>
      <c r="BO560" s="1120">
        <f t="shared" si="641"/>
        <v>1</v>
      </c>
      <c r="BP560" s="1120">
        <f t="shared" si="642"/>
        <v>1</v>
      </c>
      <c r="BQ560" s="1120">
        <f t="shared" si="643"/>
        <v>0</v>
      </c>
      <c r="BR560" s="1120">
        <f t="shared" si="644"/>
        <v>0</v>
      </c>
      <c r="BS560" s="1120">
        <f t="shared" si="645"/>
        <v>0</v>
      </c>
      <c r="BT560" s="1120">
        <f t="shared" si="646"/>
        <v>1</v>
      </c>
      <c r="BU560" s="1120">
        <f t="shared" si="647"/>
        <v>1</v>
      </c>
      <c r="BV560" s="1120">
        <f t="shared" si="648"/>
        <v>1</v>
      </c>
      <c r="BW560" s="1120">
        <f t="shared" si="649"/>
        <v>0</v>
      </c>
      <c r="BX560" s="1120">
        <f t="shared" si="650"/>
        <v>0</v>
      </c>
      <c r="BY560" s="1120">
        <f t="shared" si="651"/>
        <v>0</v>
      </c>
      <c r="BZ560" s="1120">
        <f t="shared" si="652"/>
        <v>0</v>
      </c>
      <c r="CA560" s="1120">
        <f t="shared" si="653"/>
        <v>1</v>
      </c>
      <c r="CB560" s="1120">
        <f t="shared" si="654"/>
        <v>1</v>
      </c>
      <c r="CC560" s="1120">
        <f t="shared" si="655"/>
        <v>1</v>
      </c>
      <c r="CD560" s="1120">
        <f t="shared" si="656"/>
        <v>1</v>
      </c>
      <c r="CE560" s="1120">
        <f t="shared" si="657"/>
        <v>1</v>
      </c>
      <c r="CF560" s="1120">
        <f t="shared" si="658"/>
        <v>1</v>
      </c>
      <c r="CG560" s="1120">
        <f t="shared" si="659"/>
        <v>0</v>
      </c>
      <c r="CH560" s="1120">
        <f t="shared" si="660"/>
        <v>0</v>
      </c>
      <c r="CI560" s="1120">
        <f t="shared" si="661"/>
        <v>0.85</v>
      </c>
      <c r="CJ560" s="1120">
        <f t="shared" si="662"/>
        <v>0.85</v>
      </c>
      <c r="CK560" s="1120">
        <f t="shared" si="663"/>
        <v>0.85</v>
      </c>
      <c r="CL560" s="1120">
        <f t="shared" si="664"/>
        <v>0.85</v>
      </c>
      <c r="CM560" s="1120">
        <f t="shared" si="665"/>
        <v>0.85</v>
      </c>
      <c r="CN560" s="1120">
        <f t="shared" si="666"/>
        <v>0.85</v>
      </c>
      <c r="CO560" s="1120">
        <f t="shared" si="667"/>
        <v>0.7</v>
      </c>
      <c r="CP560" s="1120">
        <f t="shared" si="668"/>
        <v>0.7</v>
      </c>
      <c r="CQ560" s="1120">
        <f t="shared" si="669"/>
        <v>0.7</v>
      </c>
      <c r="CR560" s="1120">
        <f t="shared" si="670"/>
        <v>0.85</v>
      </c>
      <c r="CS560" s="1120">
        <f t="shared" si="671"/>
        <v>0.85</v>
      </c>
      <c r="CT560" s="1120">
        <f t="shared" si="672"/>
        <v>0.85</v>
      </c>
      <c r="CU560" s="1120">
        <v>1</v>
      </c>
      <c r="CV560" s="1120"/>
      <c r="CW560" s="1120">
        <f t="shared" si="673"/>
        <v>184</v>
      </c>
      <c r="CX560" s="1120">
        <f t="shared" si="674"/>
        <v>181</v>
      </c>
      <c r="CY560" s="1136" t="s">
        <v>4881</v>
      </c>
      <c r="CZ560" s="1129" t="s">
        <v>4885</v>
      </c>
      <c r="DA560" s="1129"/>
      <c r="DB560" s="1129"/>
      <c r="DC560" s="1125" t="s">
        <v>5207</v>
      </c>
      <c r="DD560" s="1125" t="s">
        <v>932</v>
      </c>
      <c r="DE560" s="1120" t="str">
        <f t="shared" si="675"/>
        <v/>
      </c>
      <c r="DF560" s="1133">
        <v>0</v>
      </c>
      <c r="DG560" s="1120">
        <v>0</v>
      </c>
    </row>
    <row r="561" spans="1:111">
      <c r="A561" s="1125" t="s">
        <v>3843</v>
      </c>
      <c r="B561" s="1125" t="s">
        <v>3809</v>
      </c>
      <c r="C561" s="1125" t="s">
        <v>3810</v>
      </c>
      <c r="D561" s="1125" t="s">
        <v>934</v>
      </c>
      <c r="E561" s="1125">
        <v>1178</v>
      </c>
      <c r="F561" s="1125">
        <v>-95.82</v>
      </c>
      <c r="G561" s="1125">
        <v>44.45</v>
      </c>
      <c r="H561" s="1125">
        <v>-6</v>
      </c>
      <c r="I561" s="1126">
        <v>-8.1399986267089854</v>
      </c>
      <c r="J561" s="1126">
        <v>87.619999313354498</v>
      </c>
      <c r="K561" s="1127">
        <v>71.780000686645508</v>
      </c>
      <c r="L561" s="1125">
        <v>7534.8</v>
      </c>
      <c r="M561" s="1125">
        <v>756</v>
      </c>
      <c r="N561" s="1128">
        <v>16.880000686645506</v>
      </c>
      <c r="O561" s="1128">
        <v>28.4</v>
      </c>
      <c r="P561" s="1128">
        <v>24.979999828338624</v>
      </c>
      <c r="Q561" s="1128">
        <v>46.040000343322752</v>
      </c>
      <c r="R561" s="1128">
        <v>55.4</v>
      </c>
      <c r="S561" s="1128">
        <v>66.739998626708982</v>
      </c>
      <c r="T561" s="1128">
        <v>71.599999999999994</v>
      </c>
      <c r="U561" s="1128">
        <v>72.5</v>
      </c>
      <c r="V561" s="1128">
        <v>62.960001373291014</v>
      </c>
      <c r="W561" s="1128">
        <v>46.040000343322752</v>
      </c>
      <c r="X561" s="1128">
        <v>37.039999914169314</v>
      </c>
      <c r="Y561" s="1128">
        <v>21.020000171661376</v>
      </c>
      <c r="Z561" s="1128">
        <v>45.861972711380211</v>
      </c>
      <c r="AA561" s="1128">
        <f t="shared" si="601"/>
        <v>42.062417706067215</v>
      </c>
      <c r="AB561" s="1128">
        <f t="shared" si="602"/>
        <v>40.237129232229641</v>
      </c>
      <c r="AC561" s="1128">
        <f t="shared" si="603"/>
        <v>41.442035355493324</v>
      </c>
      <c r="AD561" s="1128">
        <f t="shared" si="604"/>
        <v>45.363058726664178</v>
      </c>
      <c r="AE561" s="1128">
        <f t="shared" si="605"/>
        <v>50.978124179247324</v>
      </c>
      <c r="AF561" s="1128">
        <f t="shared" si="606"/>
        <v>56.823578372249081</v>
      </c>
      <c r="AG561" s="1128">
        <f t="shared" si="607"/>
        <v>61.375713589087681</v>
      </c>
      <c r="AH561" s="1128">
        <f t="shared" si="608"/>
        <v>63.447945634967027</v>
      </c>
      <c r="AI561" s="1128">
        <f t="shared" si="609"/>
        <v>62.500115293066195</v>
      </c>
      <c r="AJ561" s="1128">
        <f t="shared" si="610"/>
        <v>58.779289148509342</v>
      </c>
      <c r="AK561" s="1128">
        <f t="shared" si="611"/>
        <v>53.255357875541769</v>
      </c>
      <c r="AL561" s="1128">
        <f t="shared" si="612"/>
        <v>47.368219286820114</v>
      </c>
      <c r="AM561" s="1125">
        <f t="shared" si="613"/>
        <v>1</v>
      </c>
      <c r="AN561" s="1125">
        <f t="shared" si="614"/>
        <v>1</v>
      </c>
      <c r="AO561" s="1125">
        <f t="shared" si="615"/>
        <v>1</v>
      </c>
      <c r="AP561" s="1125">
        <f t="shared" si="616"/>
        <v>1</v>
      </c>
      <c r="AQ561" s="1125">
        <f t="shared" si="617"/>
        <v>1</v>
      </c>
      <c r="AR561" s="1125">
        <f t="shared" si="618"/>
        <v>0</v>
      </c>
      <c r="AS561" s="1125">
        <f t="shared" si="619"/>
        <v>0</v>
      </c>
      <c r="AT561" s="1125">
        <f t="shared" si="620"/>
        <v>0</v>
      </c>
      <c r="AU561" s="1125">
        <f t="shared" si="621"/>
        <v>1</v>
      </c>
      <c r="AV561" s="1125">
        <f t="shared" si="622"/>
        <v>1</v>
      </c>
      <c r="AW561" s="1125">
        <f t="shared" si="623"/>
        <v>1</v>
      </c>
      <c r="AX561" s="1125">
        <f t="shared" si="624"/>
        <v>1</v>
      </c>
      <c r="AY561" s="1125">
        <f t="shared" si="625"/>
        <v>0</v>
      </c>
      <c r="AZ561" s="1125">
        <f t="shared" si="626"/>
        <v>0</v>
      </c>
      <c r="BA561" s="1125">
        <f t="shared" si="627"/>
        <v>0</v>
      </c>
      <c r="BB561" s="1125">
        <f t="shared" si="628"/>
        <v>0</v>
      </c>
      <c r="BC561" s="1125">
        <f t="shared" si="629"/>
        <v>0</v>
      </c>
      <c r="BD561" s="1125">
        <f t="shared" si="630"/>
        <v>1</v>
      </c>
      <c r="BE561" s="1125">
        <f t="shared" si="631"/>
        <v>1</v>
      </c>
      <c r="BF561" s="1125">
        <f t="shared" si="632"/>
        <v>1</v>
      </c>
      <c r="BG561" s="1125">
        <f t="shared" si="633"/>
        <v>0</v>
      </c>
      <c r="BH561" s="1125">
        <f t="shared" si="634"/>
        <v>0</v>
      </c>
      <c r="BI561" s="1125">
        <f t="shared" si="635"/>
        <v>0</v>
      </c>
      <c r="BJ561" s="1125">
        <f t="shared" si="636"/>
        <v>0</v>
      </c>
      <c r="BK561" s="1125">
        <f t="shared" si="637"/>
        <v>1</v>
      </c>
      <c r="BL561" s="1125">
        <f t="shared" si="638"/>
        <v>1</v>
      </c>
      <c r="BM561" s="1125">
        <f t="shared" si="639"/>
        <v>1</v>
      </c>
      <c r="BN561" s="1125">
        <f t="shared" si="640"/>
        <v>1</v>
      </c>
      <c r="BO561" s="1125">
        <f t="shared" si="641"/>
        <v>1</v>
      </c>
      <c r="BP561" s="1125">
        <f t="shared" si="642"/>
        <v>1</v>
      </c>
      <c r="BQ561" s="1125">
        <f t="shared" si="643"/>
        <v>0</v>
      </c>
      <c r="BR561" s="1125">
        <f t="shared" si="644"/>
        <v>0</v>
      </c>
      <c r="BS561" s="1125">
        <f t="shared" si="645"/>
        <v>1</v>
      </c>
      <c r="BT561" s="1125">
        <f t="shared" si="646"/>
        <v>1</v>
      </c>
      <c r="BU561" s="1125">
        <f t="shared" si="647"/>
        <v>1</v>
      </c>
      <c r="BV561" s="1125">
        <f t="shared" si="648"/>
        <v>1</v>
      </c>
      <c r="BW561" s="1125">
        <f t="shared" si="649"/>
        <v>0</v>
      </c>
      <c r="BX561" s="1125">
        <f t="shared" si="650"/>
        <v>0</v>
      </c>
      <c r="BY561" s="1125">
        <f t="shared" si="651"/>
        <v>0</v>
      </c>
      <c r="BZ561" s="1125">
        <f t="shared" si="652"/>
        <v>0</v>
      </c>
      <c r="CA561" s="1125">
        <f t="shared" si="653"/>
        <v>1</v>
      </c>
      <c r="CB561" s="1125">
        <f t="shared" si="654"/>
        <v>1</v>
      </c>
      <c r="CC561" s="1125">
        <f t="shared" si="655"/>
        <v>1</v>
      </c>
      <c r="CD561" s="1125">
        <f t="shared" si="656"/>
        <v>1</v>
      </c>
      <c r="CE561" s="1125">
        <f t="shared" si="657"/>
        <v>1</v>
      </c>
      <c r="CF561" s="1125">
        <f t="shared" si="658"/>
        <v>0</v>
      </c>
      <c r="CG561" s="1125">
        <f t="shared" si="659"/>
        <v>0</v>
      </c>
      <c r="CH561" s="1125">
        <f t="shared" si="660"/>
        <v>0</v>
      </c>
      <c r="CI561" s="1125">
        <f t="shared" si="661"/>
        <v>0.85</v>
      </c>
      <c r="CJ561" s="1125">
        <f t="shared" si="662"/>
        <v>0.85</v>
      </c>
      <c r="CK561" s="1125">
        <f t="shared" si="663"/>
        <v>0.85</v>
      </c>
      <c r="CL561" s="1125">
        <f t="shared" si="664"/>
        <v>0.85</v>
      </c>
      <c r="CM561" s="1125">
        <f t="shared" si="665"/>
        <v>0.85</v>
      </c>
      <c r="CN561" s="1125">
        <f t="shared" si="666"/>
        <v>0.85</v>
      </c>
      <c r="CO561" s="1125">
        <f t="shared" si="667"/>
        <v>0.7</v>
      </c>
      <c r="CP561" s="1125">
        <f t="shared" si="668"/>
        <v>0.7</v>
      </c>
      <c r="CQ561" s="1125">
        <f t="shared" si="669"/>
        <v>0.85</v>
      </c>
      <c r="CR561" s="1125">
        <f t="shared" si="670"/>
        <v>0.85</v>
      </c>
      <c r="CS561" s="1125">
        <f t="shared" si="671"/>
        <v>0.85</v>
      </c>
      <c r="CT561" s="1125">
        <f t="shared" si="672"/>
        <v>0.85</v>
      </c>
      <c r="CU561" s="1125">
        <v>1</v>
      </c>
      <c r="CV561" s="1125"/>
      <c r="CW561" s="1125">
        <f t="shared" si="673"/>
        <v>153</v>
      </c>
      <c r="CX561" s="1125">
        <f t="shared" si="674"/>
        <v>212</v>
      </c>
      <c r="CY561" s="1136" t="s">
        <v>4889</v>
      </c>
      <c r="CZ561" s="1129" t="s">
        <v>4899</v>
      </c>
      <c r="DA561" s="1129"/>
      <c r="DB561" s="1129"/>
      <c r="DC561" s="1125" t="s">
        <v>5977</v>
      </c>
      <c r="DD561" s="1125" t="s">
        <v>934</v>
      </c>
      <c r="DE561" s="1120" t="b">
        <f t="shared" si="675"/>
        <v>0</v>
      </c>
      <c r="DF561" s="1133">
        <v>0</v>
      </c>
      <c r="DG561" s="1125">
        <v>0</v>
      </c>
    </row>
    <row r="562" spans="1:111">
      <c r="A562" s="1120" t="s">
        <v>3844</v>
      </c>
      <c r="B562" s="1120" t="s">
        <v>4624</v>
      </c>
      <c r="C562" s="1120" t="s">
        <v>4625</v>
      </c>
      <c r="D562" s="1120" t="s">
        <v>1278</v>
      </c>
      <c r="E562" s="1120">
        <v>1276</v>
      </c>
      <c r="F562" s="1120">
        <v>-90.18</v>
      </c>
      <c r="G562" s="1120">
        <v>44.63</v>
      </c>
      <c r="H562" s="1120">
        <v>-6</v>
      </c>
      <c r="I562" s="1121">
        <v>-7.7800006866455087</v>
      </c>
      <c r="J562" s="1121">
        <v>84.2</v>
      </c>
      <c r="K562" s="1122">
        <v>71.239998626708982</v>
      </c>
      <c r="L562" s="1120">
        <v>7192.8</v>
      </c>
      <c r="M562" s="1120">
        <v>466.2</v>
      </c>
      <c r="N562" s="1123">
        <v>20.120000171661378</v>
      </c>
      <c r="O562" s="1123">
        <v>24.8</v>
      </c>
      <c r="P562" s="1123">
        <v>35.23999991416931</v>
      </c>
      <c r="Q562" s="1123">
        <v>46.759999656677245</v>
      </c>
      <c r="R562" s="1123">
        <v>54.859999656677246</v>
      </c>
      <c r="S562" s="1123">
        <v>66.2</v>
      </c>
      <c r="T562" s="1123">
        <v>67.280000686645508</v>
      </c>
      <c r="U562" s="1123">
        <v>69.8</v>
      </c>
      <c r="V562" s="1123">
        <v>63.5</v>
      </c>
      <c r="W562" s="1123">
        <v>46.940000343322751</v>
      </c>
      <c r="X562" s="1123">
        <v>37.76000008583069</v>
      </c>
      <c r="Y562" s="1123">
        <v>17.600000000000001</v>
      </c>
      <c r="Z562" s="1123">
        <v>45.994630181430139</v>
      </c>
      <c r="AA562" s="1123">
        <f t="shared" si="601"/>
        <v>42.755007846815602</v>
      </c>
      <c r="AB562" s="1123">
        <f t="shared" si="602"/>
        <v>41.048687583046743</v>
      </c>
      <c r="AC562" s="1123">
        <f t="shared" si="603"/>
        <v>42.195595939627921</v>
      </c>
      <c r="AD562" s="1123">
        <f t="shared" si="604"/>
        <v>45.896773579023474</v>
      </c>
      <c r="AE562" s="1123">
        <f t="shared" si="605"/>
        <v>51.187451512651045</v>
      </c>
      <c r="AF562" s="1123">
        <f t="shared" si="606"/>
        <v>56.688533005295696</v>
      </c>
      <c r="AG562" s="1123">
        <f t="shared" si="607"/>
        <v>60.966076391667706</v>
      </c>
      <c r="AH562" s="1123">
        <f t="shared" si="608"/>
        <v>62.905074069170276</v>
      </c>
      <c r="AI562" s="1123">
        <f t="shared" si="609"/>
        <v>62.000096412303662</v>
      </c>
      <c r="AJ562" s="1123">
        <f t="shared" si="610"/>
        <v>58.487039793457996</v>
      </c>
      <c r="AK562" s="1123">
        <f t="shared" si="611"/>
        <v>53.281636558176622</v>
      </c>
      <c r="AL562" s="1123">
        <f t="shared" si="612"/>
        <v>47.740755277427667</v>
      </c>
      <c r="AM562" s="1120">
        <f t="shared" si="613"/>
        <v>1</v>
      </c>
      <c r="AN562" s="1120">
        <f t="shared" si="614"/>
        <v>1</v>
      </c>
      <c r="AO562" s="1120">
        <f t="shared" si="615"/>
        <v>1</v>
      </c>
      <c r="AP562" s="1120">
        <f t="shared" si="616"/>
        <v>1</v>
      </c>
      <c r="AQ562" s="1120">
        <f t="shared" si="617"/>
        <v>1</v>
      </c>
      <c r="AR562" s="1120">
        <f t="shared" si="618"/>
        <v>0</v>
      </c>
      <c r="AS562" s="1120">
        <f t="shared" si="619"/>
        <v>0</v>
      </c>
      <c r="AT562" s="1120">
        <f t="shared" si="620"/>
        <v>0</v>
      </c>
      <c r="AU562" s="1120">
        <f t="shared" si="621"/>
        <v>1</v>
      </c>
      <c r="AV562" s="1120">
        <f t="shared" si="622"/>
        <v>1</v>
      </c>
      <c r="AW562" s="1120">
        <f t="shared" si="623"/>
        <v>1</v>
      </c>
      <c r="AX562" s="1120">
        <f t="shared" si="624"/>
        <v>1</v>
      </c>
      <c r="AY562" s="1120">
        <f t="shared" si="625"/>
        <v>0</v>
      </c>
      <c r="AZ562" s="1120">
        <f t="shared" si="626"/>
        <v>0</v>
      </c>
      <c r="BA562" s="1120">
        <f t="shared" si="627"/>
        <v>0</v>
      </c>
      <c r="BB562" s="1120">
        <f t="shared" si="628"/>
        <v>0</v>
      </c>
      <c r="BC562" s="1120">
        <f t="shared" si="629"/>
        <v>0</v>
      </c>
      <c r="BD562" s="1120">
        <f t="shared" si="630"/>
        <v>1</v>
      </c>
      <c r="BE562" s="1120">
        <f t="shared" si="631"/>
        <v>1</v>
      </c>
      <c r="BF562" s="1120">
        <f t="shared" si="632"/>
        <v>1</v>
      </c>
      <c r="BG562" s="1120">
        <f t="shared" si="633"/>
        <v>0</v>
      </c>
      <c r="BH562" s="1120">
        <f t="shared" si="634"/>
        <v>0</v>
      </c>
      <c r="BI562" s="1120">
        <f t="shared" si="635"/>
        <v>0</v>
      </c>
      <c r="BJ562" s="1120">
        <f t="shared" si="636"/>
        <v>0</v>
      </c>
      <c r="BK562" s="1120">
        <f t="shared" si="637"/>
        <v>1</v>
      </c>
      <c r="BL562" s="1120">
        <f t="shared" si="638"/>
        <v>1</v>
      </c>
      <c r="BM562" s="1120">
        <f t="shared" si="639"/>
        <v>1</v>
      </c>
      <c r="BN562" s="1120">
        <f t="shared" si="640"/>
        <v>1</v>
      </c>
      <c r="BO562" s="1120">
        <f t="shared" si="641"/>
        <v>1</v>
      </c>
      <c r="BP562" s="1120">
        <f t="shared" si="642"/>
        <v>1</v>
      </c>
      <c r="BQ562" s="1120">
        <f t="shared" si="643"/>
        <v>0</v>
      </c>
      <c r="BR562" s="1120">
        <f t="shared" si="644"/>
        <v>0</v>
      </c>
      <c r="BS562" s="1120">
        <f t="shared" si="645"/>
        <v>1</v>
      </c>
      <c r="BT562" s="1120">
        <f t="shared" si="646"/>
        <v>1</v>
      </c>
      <c r="BU562" s="1120">
        <f t="shared" si="647"/>
        <v>1</v>
      </c>
      <c r="BV562" s="1120">
        <f t="shared" si="648"/>
        <v>1</v>
      </c>
      <c r="BW562" s="1120">
        <f t="shared" si="649"/>
        <v>0</v>
      </c>
      <c r="BX562" s="1120">
        <f t="shared" si="650"/>
        <v>0</v>
      </c>
      <c r="BY562" s="1120">
        <f t="shared" si="651"/>
        <v>0</v>
      </c>
      <c r="BZ562" s="1120">
        <f t="shared" si="652"/>
        <v>0</v>
      </c>
      <c r="CA562" s="1120">
        <f t="shared" si="653"/>
        <v>1</v>
      </c>
      <c r="CB562" s="1120">
        <f t="shared" si="654"/>
        <v>1</v>
      </c>
      <c r="CC562" s="1120">
        <f t="shared" si="655"/>
        <v>1</v>
      </c>
      <c r="CD562" s="1120">
        <f t="shared" si="656"/>
        <v>1</v>
      </c>
      <c r="CE562" s="1120">
        <f t="shared" si="657"/>
        <v>1</v>
      </c>
      <c r="CF562" s="1120">
        <f t="shared" si="658"/>
        <v>0</v>
      </c>
      <c r="CG562" s="1120">
        <f t="shared" si="659"/>
        <v>0</v>
      </c>
      <c r="CH562" s="1120">
        <f t="shared" si="660"/>
        <v>0</v>
      </c>
      <c r="CI562" s="1120">
        <f t="shared" si="661"/>
        <v>0.85</v>
      </c>
      <c r="CJ562" s="1120">
        <f t="shared" si="662"/>
        <v>0.85</v>
      </c>
      <c r="CK562" s="1120">
        <f t="shared" si="663"/>
        <v>0.85</v>
      </c>
      <c r="CL562" s="1120">
        <f t="shared" si="664"/>
        <v>0.85</v>
      </c>
      <c r="CM562" s="1120">
        <f t="shared" si="665"/>
        <v>0.85</v>
      </c>
      <c r="CN562" s="1120">
        <f t="shared" si="666"/>
        <v>0.85</v>
      </c>
      <c r="CO562" s="1120">
        <f t="shared" si="667"/>
        <v>0.7</v>
      </c>
      <c r="CP562" s="1120">
        <f t="shared" si="668"/>
        <v>0.7</v>
      </c>
      <c r="CQ562" s="1120">
        <f t="shared" si="669"/>
        <v>0.85</v>
      </c>
      <c r="CR562" s="1120">
        <f t="shared" si="670"/>
        <v>0.85</v>
      </c>
      <c r="CS562" s="1120">
        <f t="shared" si="671"/>
        <v>0.85</v>
      </c>
      <c r="CT562" s="1120">
        <f t="shared" si="672"/>
        <v>0.85</v>
      </c>
      <c r="CU562" s="1120">
        <v>1</v>
      </c>
      <c r="CV562" s="1120"/>
      <c r="CW562" s="1120">
        <f t="shared" si="673"/>
        <v>153</v>
      </c>
      <c r="CX562" s="1120">
        <f t="shared" si="674"/>
        <v>212</v>
      </c>
      <c r="CY562" s="1136" t="s">
        <v>4889</v>
      </c>
      <c r="CZ562" s="1129" t="s">
        <v>4899</v>
      </c>
      <c r="DA562" s="1129"/>
      <c r="DB562" s="1129"/>
      <c r="DC562" s="1125" t="s">
        <v>5680</v>
      </c>
      <c r="DD562" s="1125" t="s">
        <v>1278</v>
      </c>
      <c r="DE562" s="1120" t="str">
        <f t="shared" si="675"/>
        <v/>
      </c>
      <c r="DF562" s="1133">
        <v>0</v>
      </c>
      <c r="DG562" s="1120">
        <v>0</v>
      </c>
    </row>
    <row r="563" spans="1:111">
      <c r="A563" s="1125" t="s">
        <v>3846</v>
      </c>
      <c r="B563" s="1120" t="s">
        <v>3657</v>
      </c>
      <c r="C563" s="1120" t="s">
        <v>3658</v>
      </c>
      <c r="D563" s="1120" t="s">
        <v>250</v>
      </c>
      <c r="E563" s="1120">
        <v>69</v>
      </c>
      <c r="F563" s="1120">
        <v>-70.62</v>
      </c>
      <c r="G563" s="1120">
        <v>41.4</v>
      </c>
      <c r="H563" s="1120">
        <v>-5</v>
      </c>
      <c r="I563" s="1121">
        <v>12.380000686645507</v>
      </c>
      <c r="J563" s="1121">
        <v>80.960001373291021</v>
      </c>
      <c r="K563" s="1122">
        <v>70.880000686645502</v>
      </c>
      <c r="L563" s="1120">
        <v>5243.4000000000005</v>
      </c>
      <c r="M563" s="1120">
        <v>408.6</v>
      </c>
      <c r="N563" s="1123">
        <v>37.579999828338622</v>
      </c>
      <c r="O563" s="1123">
        <v>30.740000021457671</v>
      </c>
      <c r="P563" s="1123">
        <v>40.820000171661377</v>
      </c>
      <c r="Q563" s="1123">
        <v>45.859999656677246</v>
      </c>
      <c r="R563" s="1123">
        <v>53.780000686645508</v>
      </c>
      <c r="S563" s="1123">
        <v>64.219999313354492</v>
      </c>
      <c r="T563" s="1123">
        <v>68.719999313354492</v>
      </c>
      <c r="U563" s="1123">
        <v>69.439998626708984</v>
      </c>
      <c r="V563" s="1123">
        <v>62.419999313354495</v>
      </c>
      <c r="W563" s="1123">
        <v>55.580000686645505</v>
      </c>
      <c r="X563" s="1123">
        <v>48.740000343322755</v>
      </c>
      <c r="Y563" s="1123">
        <v>34.880000042915341</v>
      </c>
      <c r="Z563" s="1123">
        <v>51.185534080675204</v>
      </c>
      <c r="AA563" s="1123">
        <f t="shared" si="601"/>
        <v>49.081262839977029</v>
      </c>
      <c r="AB563" s="1123">
        <f t="shared" si="602"/>
        <v>48.061590588653829</v>
      </c>
      <c r="AC563" s="1123">
        <f t="shared" si="603"/>
        <v>49.420214812751269</v>
      </c>
      <c r="AD563" s="1123">
        <f t="shared" si="604"/>
        <v>52.802989171225292</v>
      </c>
      <c r="AE563" s="1123">
        <f t="shared" si="605"/>
        <v>57.328141397408821</v>
      </c>
      <c r="AF563" s="1123">
        <f t="shared" si="606"/>
        <v>61.816120828840461</v>
      </c>
      <c r="AG563" s="1123">
        <f t="shared" si="607"/>
        <v>65.097066464861001</v>
      </c>
      <c r="AH563" s="1123">
        <f t="shared" si="608"/>
        <v>66.315749264538965</v>
      </c>
      <c r="AI563" s="1123">
        <f t="shared" si="609"/>
        <v>65.154500775667884</v>
      </c>
      <c r="AJ563" s="1123">
        <f t="shared" si="610"/>
        <v>61.916018312252902</v>
      </c>
      <c r="AK563" s="1123">
        <f t="shared" si="611"/>
        <v>57.444462234908556</v>
      </c>
      <c r="AL563" s="1123">
        <f t="shared" si="612"/>
        <v>52.905412543959628</v>
      </c>
      <c r="AM563" s="1120">
        <f t="shared" si="613"/>
        <v>1</v>
      </c>
      <c r="AN563" s="1120">
        <f t="shared" si="614"/>
        <v>1</v>
      </c>
      <c r="AO563" s="1120">
        <f t="shared" si="615"/>
        <v>1</v>
      </c>
      <c r="AP563" s="1120">
        <f t="shared" si="616"/>
        <v>1</v>
      </c>
      <c r="AQ563" s="1120">
        <f t="shared" si="617"/>
        <v>1</v>
      </c>
      <c r="AR563" s="1120">
        <f t="shared" si="618"/>
        <v>1</v>
      </c>
      <c r="AS563" s="1120">
        <f t="shared" si="619"/>
        <v>0</v>
      </c>
      <c r="AT563" s="1120">
        <f t="shared" si="620"/>
        <v>0</v>
      </c>
      <c r="AU563" s="1120">
        <f t="shared" si="621"/>
        <v>1</v>
      </c>
      <c r="AV563" s="1120">
        <f t="shared" si="622"/>
        <v>1</v>
      </c>
      <c r="AW563" s="1120">
        <f t="shared" si="623"/>
        <v>1</v>
      </c>
      <c r="AX563" s="1120">
        <f t="shared" si="624"/>
        <v>1</v>
      </c>
      <c r="AY563" s="1120">
        <f t="shared" si="625"/>
        <v>0</v>
      </c>
      <c r="AZ563" s="1120">
        <f t="shared" si="626"/>
        <v>0</v>
      </c>
      <c r="BA563" s="1120">
        <f t="shared" si="627"/>
        <v>0</v>
      </c>
      <c r="BB563" s="1120">
        <f t="shared" si="628"/>
        <v>0</v>
      </c>
      <c r="BC563" s="1120">
        <f t="shared" si="629"/>
        <v>0</v>
      </c>
      <c r="BD563" s="1120">
        <f t="shared" si="630"/>
        <v>0</v>
      </c>
      <c r="BE563" s="1120">
        <f t="shared" si="631"/>
        <v>1</v>
      </c>
      <c r="BF563" s="1120">
        <f t="shared" si="632"/>
        <v>1</v>
      </c>
      <c r="BG563" s="1120">
        <f t="shared" si="633"/>
        <v>0</v>
      </c>
      <c r="BH563" s="1120">
        <f t="shared" si="634"/>
        <v>0</v>
      </c>
      <c r="BI563" s="1120">
        <f t="shared" si="635"/>
        <v>0</v>
      </c>
      <c r="BJ563" s="1120">
        <f t="shared" si="636"/>
        <v>0</v>
      </c>
      <c r="BK563" s="1120">
        <f t="shared" si="637"/>
        <v>1</v>
      </c>
      <c r="BL563" s="1120">
        <f t="shared" si="638"/>
        <v>1</v>
      </c>
      <c r="BM563" s="1120">
        <f t="shared" si="639"/>
        <v>1</v>
      </c>
      <c r="BN563" s="1120">
        <f t="shared" si="640"/>
        <v>1</v>
      </c>
      <c r="BO563" s="1120">
        <f t="shared" si="641"/>
        <v>1</v>
      </c>
      <c r="BP563" s="1120">
        <f t="shared" si="642"/>
        <v>1</v>
      </c>
      <c r="BQ563" s="1120">
        <f t="shared" si="643"/>
        <v>1</v>
      </c>
      <c r="BR563" s="1120">
        <f t="shared" si="644"/>
        <v>0</v>
      </c>
      <c r="BS563" s="1120">
        <f t="shared" si="645"/>
        <v>1</v>
      </c>
      <c r="BT563" s="1120">
        <f t="shared" si="646"/>
        <v>1</v>
      </c>
      <c r="BU563" s="1120">
        <f t="shared" si="647"/>
        <v>1</v>
      </c>
      <c r="BV563" s="1120">
        <f t="shared" si="648"/>
        <v>1</v>
      </c>
      <c r="BW563" s="1120">
        <f t="shared" si="649"/>
        <v>0</v>
      </c>
      <c r="BX563" s="1120">
        <f t="shared" si="650"/>
        <v>0</v>
      </c>
      <c r="BY563" s="1120">
        <f t="shared" si="651"/>
        <v>0</v>
      </c>
      <c r="BZ563" s="1120">
        <f t="shared" si="652"/>
        <v>0</v>
      </c>
      <c r="CA563" s="1120">
        <f t="shared" si="653"/>
        <v>0</v>
      </c>
      <c r="CB563" s="1120">
        <f t="shared" si="654"/>
        <v>1</v>
      </c>
      <c r="CC563" s="1120">
        <f t="shared" si="655"/>
        <v>1</v>
      </c>
      <c r="CD563" s="1120">
        <f t="shared" si="656"/>
        <v>1</v>
      </c>
      <c r="CE563" s="1120">
        <f t="shared" si="657"/>
        <v>1</v>
      </c>
      <c r="CF563" s="1120">
        <f t="shared" si="658"/>
        <v>0</v>
      </c>
      <c r="CG563" s="1120">
        <f t="shared" si="659"/>
        <v>0</v>
      </c>
      <c r="CH563" s="1120">
        <f t="shared" si="660"/>
        <v>0</v>
      </c>
      <c r="CI563" s="1120">
        <f t="shared" si="661"/>
        <v>0.85</v>
      </c>
      <c r="CJ563" s="1120">
        <f t="shared" si="662"/>
        <v>0.85</v>
      </c>
      <c r="CK563" s="1120">
        <f t="shared" si="663"/>
        <v>0.85</v>
      </c>
      <c r="CL563" s="1120">
        <f t="shared" si="664"/>
        <v>0.85</v>
      </c>
      <c r="CM563" s="1120">
        <f t="shared" si="665"/>
        <v>0.85</v>
      </c>
      <c r="CN563" s="1120">
        <f t="shared" si="666"/>
        <v>0.85</v>
      </c>
      <c r="CO563" s="1120">
        <f t="shared" si="667"/>
        <v>0.85</v>
      </c>
      <c r="CP563" s="1120">
        <f t="shared" si="668"/>
        <v>0.7</v>
      </c>
      <c r="CQ563" s="1120">
        <f t="shared" si="669"/>
        <v>0.85</v>
      </c>
      <c r="CR563" s="1120">
        <f t="shared" si="670"/>
        <v>0.85</v>
      </c>
      <c r="CS563" s="1120">
        <f t="shared" si="671"/>
        <v>0.85</v>
      </c>
      <c r="CT563" s="1120">
        <f t="shared" si="672"/>
        <v>0.85</v>
      </c>
      <c r="CU563" s="1120">
        <v>1</v>
      </c>
      <c r="CV563" s="1120"/>
      <c r="CW563" s="1120">
        <f t="shared" si="673"/>
        <v>122</v>
      </c>
      <c r="CX563" s="1120">
        <f t="shared" si="674"/>
        <v>243</v>
      </c>
      <c r="CY563" s="1135" t="s">
        <v>4889</v>
      </c>
      <c r="CZ563" s="1124" t="s">
        <v>4897</v>
      </c>
      <c r="DA563" s="1124"/>
      <c r="DB563" s="1124"/>
      <c r="DC563" s="1120" t="s">
        <v>5270</v>
      </c>
      <c r="DD563" s="1120" t="s">
        <v>250</v>
      </c>
      <c r="DE563" s="1120" t="str">
        <f t="shared" si="675"/>
        <v/>
      </c>
      <c r="DF563" s="1133">
        <v>0</v>
      </c>
      <c r="DG563" s="1125">
        <v>0</v>
      </c>
    </row>
    <row r="564" spans="1:111">
      <c r="A564" s="1120" t="s">
        <v>3848</v>
      </c>
      <c r="B564" s="1120" t="s">
        <v>4657</v>
      </c>
      <c r="C564" s="1120" t="s">
        <v>4658</v>
      </c>
      <c r="D564" s="1120" t="s">
        <v>513</v>
      </c>
      <c r="E564" s="1120">
        <v>531</v>
      </c>
      <c r="F564" s="1120">
        <v>-77.98</v>
      </c>
      <c r="G564" s="1120">
        <v>39.4</v>
      </c>
      <c r="H564" s="1120">
        <v>-5</v>
      </c>
      <c r="I564" s="1121">
        <v>14.540000343322754</v>
      </c>
      <c r="J564" s="1121">
        <v>90.5</v>
      </c>
      <c r="K564" s="1122">
        <v>73.039998626708979</v>
      </c>
      <c r="L564" s="1120">
        <v>4206.6000000000004</v>
      </c>
      <c r="M564" s="1120">
        <v>828</v>
      </c>
      <c r="N564" s="1123">
        <v>32.720000010728839</v>
      </c>
      <c r="O564" s="1123">
        <v>41.179999828338623</v>
      </c>
      <c r="P564" s="1123">
        <v>45.320000171661377</v>
      </c>
      <c r="Q564" s="1123">
        <v>56.480000686645511</v>
      </c>
      <c r="R564" s="1123">
        <v>61.339998626708983</v>
      </c>
      <c r="S564" s="1123">
        <v>69.439998626708984</v>
      </c>
      <c r="T564" s="1123">
        <v>73.580000686645505</v>
      </c>
      <c r="U564" s="1123">
        <v>71.960001373291021</v>
      </c>
      <c r="V564" s="1123">
        <v>66.560001373291016</v>
      </c>
      <c r="W564" s="1123">
        <v>55.759999656677245</v>
      </c>
      <c r="X564" s="1123">
        <v>48.559999656677249</v>
      </c>
      <c r="Y564" s="1123">
        <v>38.47999982833862</v>
      </c>
      <c r="Z564" s="1123">
        <v>55.173150730051404</v>
      </c>
      <c r="AA564" s="1123">
        <f t="shared" si="601"/>
        <v>51.585096461736427</v>
      </c>
      <c r="AB564" s="1123">
        <f t="shared" si="602"/>
        <v>50.777413726289268</v>
      </c>
      <c r="AC564" s="1123">
        <f t="shared" si="603"/>
        <v>52.679540044029252</v>
      </c>
      <c r="AD564" s="1123">
        <f t="shared" si="604"/>
        <v>56.795656877583596</v>
      </c>
      <c r="AE564" s="1123">
        <f t="shared" si="605"/>
        <v>62.052834943005919</v>
      </c>
      <c r="AF564" s="1123">
        <f t="shared" si="606"/>
        <v>67.080709761977573</v>
      </c>
      <c r="AG564" s="1123">
        <f t="shared" si="607"/>
        <v>70.568688281037296</v>
      </c>
      <c r="AH564" s="1123">
        <f t="shared" si="608"/>
        <v>71.607575147816135</v>
      </c>
      <c r="AI564" s="1123">
        <f t="shared" si="609"/>
        <v>69.926568490756949</v>
      </c>
      <c r="AJ564" s="1123">
        <f t="shared" si="610"/>
        <v>65.963848600118979</v>
      </c>
      <c r="AK564" s="1123">
        <f t="shared" si="611"/>
        <v>60.752359482758983</v>
      </c>
      <c r="AL564" s="1123">
        <f t="shared" si="612"/>
        <v>55.65055608859516</v>
      </c>
      <c r="AM564" s="1120">
        <f t="shared" si="613"/>
        <v>1</v>
      </c>
      <c r="AN564" s="1120">
        <f t="shared" si="614"/>
        <v>1</v>
      </c>
      <c r="AO564" s="1120">
        <f t="shared" si="615"/>
        <v>1</v>
      </c>
      <c r="AP564" s="1120">
        <f t="shared" si="616"/>
        <v>1</v>
      </c>
      <c r="AQ564" s="1120">
        <f t="shared" si="617"/>
        <v>1</v>
      </c>
      <c r="AR564" s="1120">
        <f t="shared" si="618"/>
        <v>0</v>
      </c>
      <c r="AS564" s="1120">
        <f t="shared" si="619"/>
        <v>0</v>
      </c>
      <c r="AT564" s="1120">
        <f t="shared" si="620"/>
        <v>0</v>
      </c>
      <c r="AU564" s="1120">
        <f t="shared" si="621"/>
        <v>0</v>
      </c>
      <c r="AV564" s="1120">
        <f t="shared" si="622"/>
        <v>1</v>
      </c>
      <c r="AW564" s="1120">
        <f t="shared" si="623"/>
        <v>1</v>
      </c>
      <c r="AX564" s="1120">
        <f t="shared" si="624"/>
        <v>1</v>
      </c>
      <c r="AY564" s="1120">
        <f t="shared" si="625"/>
        <v>0</v>
      </c>
      <c r="AZ564" s="1120">
        <f t="shared" si="626"/>
        <v>0</v>
      </c>
      <c r="BA564" s="1120">
        <f t="shared" si="627"/>
        <v>0</v>
      </c>
      <c r="BB564" s="1120">
        <f t="shared" si="628"/>
        <v>0</v>
      </c>
      <c r="BC564" s="1120">
        <f t="shared" si="629"/>
        <v>0</v>
      </c>
      <c r="BD564" s="1120">
        <f t="shared" si="630"/>
        <v>1</v>
      </c>
      <c r="BE564" s="1120">
        <f t="shared" si="631"/>
        <v>1</v>
      </c>
      <c r="BF564" s="1120">
        <f t="shared" si="632"/>
        <v>1</v>
      </c>
      <c r="BG564" s="1120">
        <f t="shared" si="633"/>
        <v>1</v>
      </c>
      <c r="BH564" s="1120">
        <f t="shared" si="634"/>
        <v>0</v>
      </c>
      <c r="BI564" s="1120">
        <f t="shared" si="635"/>
        <v>0</v>
      </c>
      <c r="BJ564" s="1120">
        <f t="shared" si="636"/>
        <v>0</v>
      </c>
      <c r="BK564" s="1120">
        <f t="shared" si="637"/>
        <v>1</v>
      </c>
      <c r="BL564" s="1120">
        <f t="shared" si="638"/>
        <v>1</v>
      </c>
      <c r="BM564" s="1120">
        <f t="shared" si="639"/>
        <v>1</v>
      </c>
      <c r="BN564" s="1120">
        <f t="shared" si="640"/>
        <v>1</v>
      </c>
      <c r="BO564" s="1120">
        <f t="shared" si="641"/>
        <v>1</v>
      </c>
      <c r="BP564" s="1120">
        <f t="shared" si="642"/>
        <v>1</v>
      </c>
      <c r="BQ564" s="1120">
        <f t="shared" si="643"/>
        <v>0</v>
      </c>
      <c r="BR564" s="1120">
        <f t="shared" si="644"/>
        <v>0</v>
      </c>
      <c r="BS564" s="1120">
        <f t="shared" si="645"/>
        <v>0</v>
      </c>
      <c r="BT564" s="1120">
        <f t="shared" si="646"/>
        <v>1</v>
      </c>
      <c r="BU564" s="1120">
        <f t="shared" si="647"/>
        <v>1</v>
      </c>
      <c r="BV564" s="1120">
        <f t="shared" si="648"/>
        <v>1</v>
      </c>
      <c r="BW564" s="1120">
        <f t="shared" si="649"/>
        <v>0</v>
      </c>
      <c r="BX564" s="1120">
        <f t="shared" si="650"/>
        <v>0</v>
      </c>
      <c r="BY564" s="1120">
        <f t="shared" si="651"/>
        <v>0</v>
      </c>
      <c r="BZ564" s="1120">
        <f t="shared" si="652"/>
        <v>0</v>
      </c>
      <c r="CA564" s="1120">
        <f t="shared" si="653"/>
        <v>1</v>
      </c>
      <c r="CB564" s="1120">
        <f t="shared" si="654"/>
        <v>1</v>
      </c>
      <c r="CC564" s="1120">
        <f t="shared" si="655"/>
        <v>1</v>
      </c>
      <c r="CD564" s="1120">
        <f t="shared" si="656"/>
        <v>1</v>
      </c>
      <c r="CE564" s="1120">
        <f t="shared" si="657"/>
        <v>1</v>
      </c>
      <c r="CF564" s="1120">
        <f t="shared" si="658"/>
        <v>1</v>
      </c>
      <c r="CG564" s="1120">
        <f t="shared" si="659"/>
        <v>0</v>
      </c>
      <c r="CH564" s="1120">
        <f t="shared" si="660"/>
        <v>0</v>
      </c>
      <c r="CI564" s="1120">
        <f t="shared" si="661"/>
        <v>0.85</v>
      </c>
      <c r="CJ564" s="1120">
        <f t="shared" si="662"/>
        <v>0.85</v>
      </c>
      <c r="CK564" s="1120">
        <f t="shared" si="663"/>
        <v>0.85</v>
      </c>
      <c r="CL564" s="1120">
        <f t="shared" si="664"/>
        <v>0.85</v>
      </c>
      <c r="CM564" s="1120">
        <f t="shared" si="665"/>
        <v>0.85</v>
      </c>
      <c r="CN564" s="1120">
        <f t="shared" si="666"/>
        <v>0.85</v>
      </c>
      <c r="CO564" s="1120">
        <f t="shared" si="667"/>
        <v>0.7</v>
      </c>
      <c r="CP564" s="1120">
        <f t="shared" si="668"/>
        <v>0.7</v>
      </c>
      <c r="CQ564" s="1120">
        <f t="shared" si="669"/>
        <v>0.7</v>
      </c>
      <c r="CR564" s="1120">
        <f t="shared" si="670"/>
        <v>0.85</v>
      </c>
      <c r="CS564" s="1120">
        <f t="shared" si="671"/>
        <v>0.85</v>
      </c>
      <c r="CT564" s="1120">
        <f t="shared" si="672"/>
        <v>0.85</v>
      </c>
      <c r="CU564" s="1120">
        <v>1</v>
      </c>
      <c r="CV564" s="1120"/>
      <c r="CW564" s="1120">
        <f t="shared" si="673"/>
        <v>184</v>
      </c>
      <c r="CX564" s="1120">
        <f t="shared" si="674"/>
        <v>181</v>
      </c>
      <c r="CY564" s="1136" t="s">
        <v>4881</v>
      </c>
      <c r="CZ564" s="1129" t="s">
        <v>4885</v>
      </c>
      <c r="DA564" s="1129"/>
      <c r="DB564" s="1129"/>
      <c r="DC564" s="1125" t="s">
        <v>5691</v>
      </c>
      <c r="DD564" s="1125" t="s">
        <v>513</v>
      </c>
      <c r="DE564" s="1120" t="str">
        <f t="shared" si="675"/>
        <v/>
      </c>
      <c r="DF564" s="1133">
        <v>0</v>
      </c>
      <c r="DG564" s="1120">
        <v>0</v>
      </c>
    </row>
    <row r="565" spans="1:111">
      <c r="A565" s="1125" t="s">
        <v>5898</v>
      </c>
      <c r="B565" s="1125" t="s">
        <v>4516</v>
      </c>
      <c r="C565" s="1125" t="s">
        <v>4517</v>
      </c>
      <c r="D565" s="1125" t="s">
        <v>501</v>
      </c>
      <c r="E565" s="1125">
        <v>941</v>
      </c>
      <c r="F565" s="1125">
        <v>-80.02</v>
      </c>
      <c r="G565" s="1125">
        <v>36.630000000000003</v>
      </c>
      <c r="H565" s="1125">
        <v>-5</v>
      </c>
      <c r="I565" s="1126">
        <v>18.5</v>
      </c>
      <c r="J565" s="1126">
        <v>91.22000274658204</v>
      </c>
      <c r="K565" s="1127">
        <v>75.019999313354489</v>
      </c>
      <c r="L565" s="1125">
        <v>4393.8</v>
      </c>
      <c r="M565" s="1125">
        <v>1134</v>
      </c>
      <c r="N565" s="1128">
        <v>40.640000343322754</v>
      </c>
      <c r="O565" s="1128">
        <v>37.939999914169313</v>
      </c>
      <c r="P565" s="1128">
        <v>41.540000343322752</v>
      </c>
      <c r="Q565" s="1128">
        <v>54.5</v>
      </c>
      <c r="R565" s="1128">
        <v>62.060001373291016</v>
      </c>
      <c r="S565" s="1128">
        <v>72.139998626708987</v>
      </c>
      <c r="T565" s="1128">
        <v>75.739998626708982</v>
      </c>
      <c r="U565" s="1128">
        <v>77</v>
      </c>
      <c r="V565" s="1128">
        <v>65.66000137329101</v>
      </c>
      <c r="W565" s="1128">
        <v>56.119999313354491</v>
      </c>
      <c r="X565" s="1128">
        <v>41.179999828338623</v>
      </c>
      <c r="Y565" s="1128">
        <v>39.740000343322755</v>
      </c>
      <c r="Z565" s="1128">
        <v>55.465095898876449</v>
      </c>
      <c r="AA565" s="1128">
        <f t="shared" si="601"/>
        <v>52.227118416718376</v>
      </c>
      <c r="AB565" s="1128">
        <f t="shared" si="602"/>
        <v>51.476106119653991</v>
      </c>
      <c r="AC565" s="1128">
        <f t="shared" si="603"/>
        <v>53.328877943536014</v>
      </c>
      <c r="AD565" s="1128">
        <f t="shared" si="604"/>
        <v>57.30248036039152</v>
      </c>
      <c r="AE565" s="1128">
        <f t="shared" si="605"/>
        <v>62.361132665200309</v>
      </c>
      <c r="AF565" s="1128">
        <f t="shared" si="606"/>
        <v>67.186219178522236</v>
      </c>
      <c r="AG565" s="1128">
        <f t="shared" si="607"/>
        <v>70.520006743826016</v>
      </c>
      <c r="AH565" s="1128">
        <f t="shared" si="608"/>
        <v>71.493492256993719</v>
      </c>
      <c r="AI565" s="1128">
        <f t="shared" si="609"/>
        <v>69.852921717152313</v>
      </c>
      <c r="AJ565" s="1128">
        <f t="shared" si="610"/>
        <v>66.025935117468777</v>
      </c>
      <c r="AK565" s="1128">
        <f t="shared" si="611"/>
        <v>61.010095490799287</v>
      </c>
      <c r="AL565" s="1128">
        <f t="shared" si="612"/>
        <v>56.112858732263653</v>
      </c>
      <c r="AM565" s="1125">
        <f t="shared" si="613"/>
        <v>1</v>
      </c>
      <c r="AN565" s="1125">
        <f t="shared" si="614"/>
        <v>1</v>
      </c>
      <c r="AO565" s="1125">
        <f t="shared" si="615"/>
        <v>1</v>
      </c>
      <c r="AP565" s="1125">
        <f t="shared" si="616"/>
        <v>1</v>
      </c>
      <c r="AQ565" s="1125">
        <f t="shared" si="617"/>
        <v>1</v>
      </c>
      <c r="AR565" s="1125">
        <f t="shared" si="618"/>
        <v>0</v>
      </c>
      <c r="AS565" s="1125">
        <f t="shared" si="619"/>
        <v>0</v>
      </c>
      <c r="AT565" s="1125">
        <f t="shared" si="620"/>
        <v>0</v>
      </c>
      <c r="AU565" s="1125">
        <f t="shared" si="621"/>
        <v>1</v>
      </c>
      <c r="AV565" s="1125">
        <f t="shared" si="622"/>
        <v>1</v>
      </c>
      <c r="AW565" s="1125">
        <f t="shared" si="623"/>
        <v>1</v>
      </c>
      <c r="AX565" s="1125">
        <f t="shared" si="624"/>
        <v>1</v>
      </c>
      <c r="AY565" s="1125">
        <f t="shared" si="625"/>
        <v>0</v>
      </c>
      <c r="AZ565" s="1125">
        <f t="shared" si="626"/>
        <v>0</v>
      </c>
      <c r="BA565" s="1125">
        <f t="shared" si="627"/>
        <v>0</v>
      </c>
      <c r="BB565" s="1125">
        <f t="shared" si="628"/>
        <v>0</v>
      </c>
      <c r="BC565" s="1125">
        <f t="shared" si="629"/>
        <v>0</v>
      </c>
      <c r="BD565" s="1125">
        <f t="shared" si="630"/>
        <v>1</v>
      </c>
      <c r="BE565" s="1125">
        <f t="shared" si="631"/>
        <v>1</v>
      </c>
      <c r="BF565" s="1125">
        <f t="shared" si="632"/>
        <v>1</v>
      </c>
      <c r="BG565" s="1125">
        <f t="shared" si="633"/>
        <v>0</v>
      </c>
      <c r="BH565" s="1125">
        <f t="shared" si="634"/>
        <v>0</v>
      </c>
      <c r="BI565" s="1125">
        <f t="shared" si="635"/>
        <v>0</v>
      </c>
      <c r="BJ565" s="1125">
        <f t="shared" si="636"/>
        <v>0</v>
      </c>
      <c r="BK565" s="1125">
        <f t="shared" si="637"/>
        <v>1</v>
      </c>
      <c r="BL565" s="1125">
        <f t="shared" si="638"/>
        <v>1</v>
      </c>
      <c r="BM565" s="1125">
        <f t="shared" si="639"/>
        <v>1</v>
      </c>
      <c r="BN565" s="1125">
        <f t="shared" si="640"/>
        <v>1</v>
      </c>
      <c r="BO565" s="1125">
        <f t="shared" si="641"/>
        <v>1</v>
      </c>
      <c r="BP565" s="1125">
        <f t="shared" si="642"/>
        <v>1</v>
      </c>
      <c r="BQ565" s="1125">
        <f t="shared" si="643"/>
        <v>0</v>
      </c>
      <c r="BR565" s="1125">
        <f t="shared" si="644"/>
        <v>0</v>
      </c>
      <c r="BS565" s="1125">
        <f t="shared" si="645"/>
        <v>1</v>
      </c>
      <c r="BT565" s="1125">
        <f t="shared" si="646"/>
        <v>1</v>
      </c>
      <c r="BU565" s="1125">
        <f t="shared" si="647"/>
        <v>1</v>
      </c>
      <c r="BV565" s="1125">
        <f t="shared" si="648"/>
        <v>1</v>
      </c>
      <c r="BW565" s="1125">
        <f t="shared" si="649"/>
        <v>0</v>
      </c>
      <c r="BX565" s="1125">
        <f t="shared" si="650"/>
        <v>0</v>
      </c>
      <c r="BY565" s="1125">
        <f t="shared" si="651"/>
        <v>0</v>
      </c>
      <c r="BZ565" s="1125">
        <f t="shared" si="652"/>
        <v>0</v>
      </c>
      <c r="CA565" s="1125">
        <f t="shared" si="653"/>
        <v>1</v>
      </c>
      <c r="CB565" s="1125">
        <f t="shared" si="654"/>
        <v>1</v>
      </c>
      <c r="CC565" s="1125">
        <f t="shared" si="655"/>
        <v>1</v>
      </c>
      <c r="CD565" s="1125">
        <f t="shared" si="656"/>
        <v>1</v>
      </c>
      <c r="CE565" s="1125">
        <f t="shared" si="657"/>
        <v>1</v>
      </c>
      <c r="CF565" s="1125">
        <f t="shared" si="658"/>
        <v>0</v>
      </c>
      <c r="CG565" s="1125">
        <f t="shared" si="659"/>
        <v>0</v>
      </c>
      <c r="CH565" s="1125">
        <f t="shared" si="660"/>
        <v>0</v>
      </c>
      <c r="CI565" s="1125">
        <f t="shared" si="661"/>
        <v>0.85</v>
      </c>
      <c r="CJ565" s="1125">
        <f t="shared" si="662"/>
        <v>0.85</v>
      </c>
      <c r="CK565" s="1125">
        <f t="shared" si="663"/>
        <v>0.85</v>
      </c>
      <c r="CL565" s="1125">
        <f t="shared" si="664"/>
        <v>0.85</v>
      </c>
      <c r="CM565" s="1125">
        <f t="shared" si="665"/>
        <v>0.85</v>
      </c>
      <c r="CN565" s="1125">
        <f t="shared" si="666"/>
        <v>0.85</v>
      </c>
      <c r="CO565" s="1125">
        <f t="shared" si="667"/>
        <v>0.7</v>
      </c>
      <c r="CP565" s="1125">
        <f t="shared" si="668"/>
        <v>0.7</v>
      </c>
      <c r="CQ565" s="1125">
        <f t="shared" si="669"/>
        <v>0.85</v>
      </c>
      <c r="CR565" s="1125">
        <f t="shared" si="670"/>
        <v>0.85</v>
      </c>
      <c r="CS565" s="1125">
        <f t="shared" si="671"/>
        <v>0.85</v>
      </c>
      <c r="CT565" s="1125">
        <f t="shared" si="672"/>
        <v>0.85</v>
      </c>
      <c r="CU565" s="1125">
        <v>1</v>
      </c>
      <c r="CV565" s="1125"/>
      <c r="CW565" s="1125">
        <f t="shared" si="673"/>
        <v>153</v>
      </c>
      <c r="CX565" s="1125">
        <f t="shared" si="674"/>
        <v>212</v>
      </c>
      <c r="CY565" s="1136" t="s">
        <v>4881</v>
      </c>
      <c r="CZ565" s="1129" t="s">
        <v>4885</v>
      </c>
      <c r="DA565" s="1129"/>
      <c r="DB565" s="1129"/>
      <c r="DC565" s="1125" t="s">
        <v>5634</v>
      </c>
      <c r="DD565" s="1125" t="s">
        <v>501</v>
      </c>
      <c r="DE565" s="1120" t="str">
        <f t="shared" si="675"/>
        <v/>
      </c>
      <c r="DF565" s="1133">
        <v>0</v>
      </c>
      <c r="DG565" s="1125">
        <v>0</v>
      </c>
    </row>
    <row r="566" spans="1:111">
      <c r="A566" s="1120" t="s">
        <v>3850</v>
      </c>
      <c r="B566" s="1125" t="s">
        <v>3445</v>
      </c>
      <c r="C566" s="1125" t="s">
        <v>3446</v>
      </c>
      <c r="D566" s="1125" t="s">
        <v>566</v>
      </c>
      <c r="E566" s="1125">
        <v>1194</v>
      </c>
      <c r="F566" s="1125">
        <v>-93.33</v>
      </c>
      <c r="G566" s="1125">
        <v>43.15</v>
      </c>
      <c r="H566" s="1125">
        <v>-6</v>
      </c>
      <c r="I566" s="1126">
        <v>-7.9600013732910169</v>
      </c>
      <c r="J566" s="1126">
        <v>87.980000686645511</v>
      </c>
      <c r="K566" s="1127">
        <v>73.580000686645505</v>
      </c>
      <c r="L566" s="1125">
        <v>7695</v>
      </c>
      <c r="M566" s="1125">
        <v>729</v>
      </c>
      <c r="N566" s="1128">
        <v>14.180000686645508</v>
      </c>
      <c r="O566" s="1128">
        <v>16.159999656677247</v>
      </c>
      <c r="P566" s="1128">
        <v>34.700000000000003</v>
      </c>
      <c r="Q566" s="1128">
        <v>46.759999656677245</v>
      </c>
      <c r="R566" s="1128">
        <v>59.180000686645506</v>
      </c>
      <c r="S566" s="1128">
        <v>68.539998626708979</v>
      </c>
      <c r="T566" s="1128">
        <v>73.580000686645505</v>
      </c>
      <c r="U566" s="1128">
        <v>68.900000000000006</v>
      </c>
      <c r="V566" s="1128">
        <v>62.239998626708989</v>
      </c>
      <c r="W566" s="1128">
        <v>46.759999656677245</v>
      </c>
      <c r="X566" s="1128">
        <v>33.259999978542325</v>
      </c>
      <c r="Y566" s="1128">
        <v>17.600000000000001</v>
      </c>
      <c r="Z566" s="1128">
        <v>45.310630000715385</v>
      </c>
      <c r="AA566" s="1128">
        <f t="shared" si="601"/>
        <v>41.046231602280187</v>
      </c>
      <c r="AB566" s="1128">
        <f t="shared" si="602"/>
        <v>39.066093283398743</v>
      </c>
      <c r="AC566" s="1128">
        <f t="shared" si="603"/>
        <v>40.277682153908415</v>
      </c>
      <c r="AD566" s="1128">
        <f t="shared" si="604"/>
        <v>44.365178903561194</v>
      </c>
      <c r="AE566" s="1128">
        <f t="shared" si="605"/>
        <v>50.263114514328471</v>
      </c>
      <c r="AF566" s="1128">
        <f t="shared" si="606"/>
        <v>56.434101179324777</v>
      </c>
      <c r="AG566" s="1128">
        <f t="shared" si="607"/>
        <v>61.269576126535732</v>
      </c>
      <c r="AH566" s="1128">
        <f t="shared" si="608"/>
        <v>63.509098294046254</v>
      </c>
      <c r="AI566" s="1128">
        <f t="shared" si="609"/>
        <v>62.568901716813457</v>
      </c>
      <c r="AJ566" s="1128">
        <f t="shared" si="610"/>
        <v>58.694063121560902</v>
      </c>
      <c r="AK566" s="1128">
        <f t="shared" si="611"/>
        <v>52.894618901211402</v>
      </c>
      <c r="AL566" s="1128">
        <f t="shared" si="612"/>
        <v>46.682283563939784</v>
      </c>
      <c r="AM566" s="1125">
        <f t="shared" si="613"/>
        <v>1</v>
      </c>
      <c r="AN566" s="1125">
        <f t="shared" si="614"/>
        <v>1</v>
      </c>
      <c r="AO566" s="1125">
        <f t="shared" si="615"/>
        <v>1</v>
      </c>
      <c r="AP566" s="1125">
        <f t="shared" si="616"/>
        <v>1</v>
      </c>
      <c r="AQ566" s="1125">
        <f t="shared" si="617"/>
        <v>1</v>
      </c>
      <c r="AR566" s="1125">
        <f t="shared" si="618"/>
        <v>0</v>
      </c>
      <c r="AS566" s="1125">
        <f t="shared" si="619"/>
        <v>0</v>
      </c>
      <c r="AT566" s="1125">
        <f t="shared" si="620"/>
        <v>0</v>
      </c>
      <c r="AU566" s="1125">
        <f t="shared" si="621"/>
        <v>1</v>
      </c>
      <c r="AV566" s="1125">
        <f t="shared" si="622"/>
        <v>1</v>
      </c>
      <c r="AW566" s="1125">
        <f t="shared" si="623"/>
        <v>1</v>
      </c>
      <c r="AX566" s="1125">
        <f t="shared" si="624"/>
        <v>1</v>
      </c>
      <c r="AY566" s="1125">
        <f t="shared" si="625"/>
        <v>0</v>
      </c>
      <c r="AZ566" s="1125">
        <f t="shared" si="626"/>
        <v>0</v>
      </c>
      <c r="BA566" s="1125">
        <f t="shared" si="627"/>
        <v>0</v>
      </c>
      <c r="BB566" s="1125">
        <f t="shared" si="628"/>
        <v>0</v>
      </c>
      <c r="BC566" s="1125">
        <f t="shared" si="629"/>
        <v>0</v>
      </c>
      <c r="BD566" s="1125">
        <f t="shared" si="630"/>
        <v>1</v>
      </c>
      <c r="BE566" s="1125">
        <f t="shared" si="631"/>
        <v>1</v>
      </c>
      <c r="BF566" s="1125">
        <f t="shared" si="632"/>
        <v>1</v>
      </c>
      <c r="BG566" s="1125">
        <f t="shared" si="633"/>
        <v>0</v>
      </c>
      <c r="BH566" s="1125">
        <f t="shared" si="634"/>
        <v>0</v>
      </c>
      <c r="BI566" s="1125">
        <f t="shared" si="635"/>
        <v>0</v>
      </c>
      <c r="BJ566" s="1125">
        <f t="shared" si="636"/>
        <v>0</v>
      </c>
      <c r="BK566" s="1125">
        <f t="shared" si="637"/>
        <v>1</v>
      </c>
      <c r="BL566" s="1125">
        <f t="shared" si="638"/>
        <v>1</v>
      </c>
      <c r="BM566" s="1125">
        <f t="shared" si="639"/>
        <v>1</v>
      </c>
      <c r="BN566" s="1125">
        <f t="shared" si="640"/>
        <v>1</v>
      </c>
      <c r="BO566" s="1125">
        <f t="shared" si="641"/>
        <v>1</v>
      </c>
      <c r="BP566" s="1125">
        <f t="shared" si="642"/>
        <v>1</v>
      </c>
      <c r="BQ566" s="1125">
        <f t="shared" si="643"/>
        <v>0</v>
      </c>
      <c r="BR566" s="1125">
        <f t="shared" si="644"/>
        <v>0</v>
      </c>
      <c r="BS566" s="1125">
        <f t="shared" si="645"/>
        <v>1</v>
      </c>
      <c r="BT566" s="1125">
        <f t="shared" si="646"/>
        <v>1</v>
      </c>
      <c r="BU566" s="1125">
        <f t="shared" si="647"/>
        <v>1</v>
      </c>
      <c r="BV566" s="1125">
        <f t="shared" si="648"/>
        <v>1</v>
      </c>
      <c r="BW566" s="1125">
        <f t="shared" si="649"/>
        <v>0</v>
      </c>
      <c r="BX566" s="1125">
        <f t="shared" si="650"/>
        <v>0</v>
      </c>
      <c r="BY566" s="1125">
        <f t="shared" si="651"/>
        <v>0</v>
      </c>
      <c r="BZ566" s="1125">
        <f t="shared" si="652"/>
        <v>0</v>
      </c>
      <c r="CA566" s="1125">
        <f t="shared" si="653"/>
        <v>1</v>
      </c>
      <c r="CB566" s="1125">
        <f t="shared" si="654"/>
        <v>1</v>
      </c>
      <c r="CC566" s="1125">
        <f t="shared" si="655"/>
        <v>1</v>
      </c>
      <c r="CD566" s="1125">
        <f t="shared" si="656"/>
        <v>1</v>
      </c>
      <c r="CE566" s="1125">
        <f t="shared" si="657"/>
        <v>1</v>
      </c>
      <c r="CF566" s="1125">
        <f t="shared" si="658"/>
        <v>0</v>
      </c>
      <c r="CG566" s="1125">
        <f t="shared" si="659"/>
        <v>0</v>
      </c>
      <c r="CH566" s="1125">
        <f t="shared" si="660"/>
        <v>0</v>
      </c>
      <c r="CI566" s="1125">
        <f t="shared" si="661"/>
        <v>0.85</v>
      </c>
      <c r="CJ566" s="1125">
        <f t="shared" si="662"/>
        <v>0.85</v>
      </c>
      <c r="CK566" s="1125">
        <f t="shared" si="663"/>
        <v>0.85</v>
      </c>
      <c r="CL566" s="1125">
        <f t="shared" si="664"/>
        <v>0.85</v>
      </c>
      <c r="CM566" s="1125">
        <f t="shared" si="665"/>
        <v>0.85</v>
      </c>
      <c r="CN566" s="1125">
        <f t="shared" si="666"/>
        <v>0.85</v>
      </c>
      <c r="CO566" s="1125">
        <f t="shared" si="667"/>
        <v>0.7</v>
      </c>
      <c r="CP566" s="1125">
        <f t="shared" si="668"/>
        <v>0.7</v>
      </c>
      <c r="CQ566" s="1125">
        <f t="shared" si="669"/>
        <v>0.85</v>
      </c>
      <c r="CR566" s="1125">
        <f t="shared" si="670"/>
        <v>0.85</v>
      </c>
      <c r="CS566" s="1125">
        <f t="shared" si="671"/>
        <v>0.85</v>
      </c>
      <c r="CT566" s="1125">
        <f t="shared" si="672"/>
        <v>0.85</v>
      </c>
      <c r="CU566" s="1125">
        <v>1</v>
      </c>
      <c r="CV566" s="1125"/>
      <c r="CW566" s="1125">
        <f t="shared" si="673"/>
        <v>153</v>
      </c>
      <c r="CX566" s="1125">
        <f t="shared" si="674"/>
        <v>212</v>
      </c>
      <c r="CY566" s="1136" t="s">
        <v>4889</v>
      </c>
      <c r="CZ566" s="1129" t="s">
        <v>4899</v>
      </c>
      <c r="DA566" s="1129"/>
      <c r="DB566" s="1129"/>
      <c r="DC566" s="1125" t="s">
        <v>5178</v>
      </c>
      <c r="DD566" s="1125" t="s">
        <v>566</v>
      </c>
      <c r="DE566" s="1120" t="str">
        <f t="shared" si="675"/>
        <v/>
      </c>
      <c r="DF566" s="1133">
        <v>0</v>
      </c>
      <c r="DG566" s="1120">
        <v>0</v>
      </c>
    </row>
    <row r="567" spans="1:111">
      <c r="A567" s="1125" t="s">
        <v>3852</v>
      </c>
      <c r="B567" s="1120" t="s">
        <v>4132</v>
      </c>
      <c r="C567" s="1120" t="s">
        <v>4133</v>
      </c>
      <c r="D567" s="1120" t="s">
        <v>537</v>
      </c>
      <c r="E567" s="1120">
        <v>213</v>
      </c>
      <c r="F567" s="1120">
        <v>-74.849999999999994</v>
      </c>
      <c r="G567" s="1120">
        <v>44.93</v>
      </c>
      <c r="H567" s="1120">
        <v>-5</v>
      </c>
      <c r="I567" s="1121">
        <v>-8.8600013732910163</v>
      </c>
      <c r="J567" s="1121">
        <v>84.739998626708982</v>
      </c>
      <c r="K567" s="1122">
        <v>71.060001373291016</v>
      </c>
      <c r="L567" s="1120">
        <v>7651.8</v>
      </c>
      <c r="M567" s="1120">
        <v>442.8</v>
      </c>
      <c r="N567" s="1123">
        <v>17.419999313354491</v>
      </c>
      <c r="O567" s="1123">
        <v>19.220000171661376</v>
      </c>
      <c r="P567" s="1123">
        <v>30.559999978542329</v>
      </c>
      <c r="Q567" s="1123">
        <v>44.6</v>
      </c>
      <c r="R567" s="1123">
        <v>57.559999656677249</v>
      </c>
      <c r="S567" s="1123">
        <v>65.83999862670899</v>
      </c>
      <c r="T567" s="1123">
        <v>69.619999313354498</v>
      </c>
      <c r="U567" s="1123">
        <v>68.180000686645513</v>
      </c>
      <c r="V567" s="1123">
        <v>57.559999656677249</v>
      </c>
      <c r="W567" s="1123">
        <v>46.4</v>
      </c>
      <c r="X567" s="1123">
        <v>34.700000000000003</v>
      </c>
      <c r="Y567" s="1123">
        <v>22.459999656677248</v>
      </c>
      <c r="Z567" s="1123">
        <v>44.65030112348191</v>
      </c>
      <c r="AA567" s="1123">
        <f t="shared" si="601"/>
        <v>41.84087532970144</v>
      </c>
      <c r="AB567" s="1123">
        <f t="shared" si="602"/>
        <v>40.070282241909581</v>
      </c>
      <c r="AC567" s="1123">
        <f t="shared" si="603"/>
        <v>41.057534118625789</v>
      </c>
      <c r="AD567" s="1123">
        <f t="shared" si="604"/>
        <v>44.545288544172031</v>
      </c>
      <c r="AE567" s="1123">
        <f t="shared" si="605"/>
        <v>49.624408579607056</v>
      </c>
      <c r="AF567" s="1123">
        <f t="shared" si="606"/>
        <v>54.970943316085709</v>
      </c>
      <c r="AG567" s="1123">
        <f t="shared" si="607"/>
        <v>59.191236081950535</v>
      </c>
      <c r="AH567" s="1123">
        <f t="shared" si="608"/>
        <v>61.18520253109871</v>
      </c>
      <c r="AI567" s="1123">
        <f t="shared" si="609"/>
        <v>60.433084580606653</v>
      </c>
      <c r="AJ567" s="1123">
        <f t="shared" si="610"/>
        <v>57.130933364758569</v>
      </c>
      <c r="AK567" s="1123">
        <f t="shared" si="611"/>
        <v>52.13950548565586</v>
      </c>
      <c r="AL567" s="1123">
        <f t="shared" si="612"/>
        <v>46.759893540218627</v>
      </c>
      <c r="AM567" s="1120">
        <f t="shared" si="613"/>
        <v>1</v>
      </c>
      <c r="AN567" s="1120">
        <f t="shared" si="614"/>
        <v>1</v>
      </c>
      <c r="AO567" s="1120">
        <f t="shared" si="615"/>
        <v>1</v>
      </c>
      <c r="AP567" s="1120">
        <f t="shared" si="616"/>
        <v>1</v>
      </c>
      <c r="AQ567" s="1120">
        <f t="shared" si="617"/>
        <v>1</v>
      </c>
      <c r="AR567" s="1120">
        <f t="shared" si="618"/>
        <v>1</v>
      </c>
      <c r="AS567" s="1120">
        <f t="shared" si="619"/>
        <v>0</v>
      </c>
      <c r="AT567" s="1120">
        <f t="shared" si="620"/>
        <v>0</v>
      </c>
      <c r="AU567" s="1120">
        <f t="shared" si="621"/>
        <v>1</v>
      </c>
      <c r="AV567" s="1120">
        <f t="shared" si="622"/>
        <v>1</v>
      </c>
      <c r="AW567" s="1120">
        <f t="shared" si="623"/>
        <v>1</v>
      </c>
      <c r="AX567" s="1120">
        <f t="shared" si="624"/>
        <v>1</v>
      </c>
      <c r="AY567" s="1120">
        <f t="shared" si="625"/>
        <v>0</v>
      </c>
      <c r="AZ567" s="1120">
        <f t="shared" si="626"/>
        <v>0</v>
      </c>
      <c r="BA567" s="1120">
        <f t="shared" si="627"/>
        <v>0</v>
      </c>
      <c r="BB567" s="1120">
        <f t="shared" si="628"/>
        <v>0</v>
      </c>
      <c r="BC567" s="1120">
        <f t="shared" si="629"/>
        <v>0</v>
      </c>
      <c r="BD567" s="1120">
        <f t="shared" si="630"/>
        <v>0</v>
      </c>
      <c r="BE567" s="1120">
        <f t="shared" si="631"/>
        <v>1</v>
      </c>
      <c r="BF567" s="1120">
        <f t="shared" si="632"/>
        <v>1</v>
      </c>
      <c r="BG567" s="1120">
        <f t="shared" si="633"/>
        <v>0</v>
      </c>
      <c r="BH567" s="1120">
        <f t="shared" si="634"/>
        <v>0</v>
      </c>
      <c r="BI567" s="1120">
        <f t="shared" si="635"/>
        <v>0</v>
      </c>
      <c r="BJ567" s="1120">
        <f t="shared" si="636"/>
        <v>0</v>
      </c>
      <c r="BK567" s="1120">
        <f t="shared" si="637"/>
        <v>1</v>
      </c>
      <c r="BL567" s="1120">
        <f t="shared" si="638"/>
        <v>1</v>
      </c>
      <c r="BM567" s="1120">
        <f t="shared" si="639"/>
        <v>1</v>
      </c>
      <c r="BN567" s="1120">
        <f t="shared" si="640"/>
        <v>1</v>
      </c>
      <c r="BO567" s="1120">
        <f t="shared" si="641"/>
        <v>1</v>
      </c>
      <c r="BP567" s="1120">
        <f t="shared" si="642"/>
        <v>1</v>
      </c>
      <c r="BQ567" s="1120">
        <f t="shared" si="643"/>
        <v>1</v>
      </c>
      <c r="BR567" s="1120">
        <f t="shared" si="644"/>
        <v>0</v>
      </c>
      <c r="BS567" s="1120">
        <f t="shared" si="645"/>
        <v>1</v>
      </c>
      <c r="BT567" s="1120">
        <f t="shared" si="646"/>
        <v>1</v>
      </c>
      <c r="BU567" s="1120">
        <f t="shared" si="647"/>
        <v>1</v>
      </c>
      <c r="BV567" s="1120">
        <f t="shared" si="648"/>
        <v>1</v>
      </c>
      <c r="BW567" s="1120">
        <f t="shared" si="649"/>
        <v>0</v>
      </c>
      <c r="BX567" s="1120">
        <f t="shared" si="650"/>
        <v>0</v>
      </c>
      <c r="BY567" s="1120">
        <f t="shared" si="651"/>
        <v>0</v>
      </c>
      <c r="BZ567" s="1120">
        <f t="shared" si="652"/>
        <v>0</v>
      </c>
      <c r="CA567" s="1120">
        <f t="shared" si="653"/>
        <v>0</v>
      </c>
      <c r="CB567" s="1120">
        <f t="shared" si="654"/>
        <v>1</v>
      </c>
      <c r="CC567" s="1120">
        <f t="shared" si="655"/>
        <v>1</v>
      </c>
      <c r="CD567" s="1120">
        <f t="shared" si="656"/>
        <v>1</v>
      </c>
      <c r="CE567" s="1120">
        <f t="shared" si="657"/>
        <v>1</v>
      </c>
      <c r="CF567" s="1120">
        <f t="shared" si="658"/>
        <v>0</v>
      </c>
      <c r="CG567" s="1120">
        <f t="shared" si="659"/>
        <v>0</v>
      </c>
      <c r="CH567" s="1120">
        <f t="shared" si="660"/>
        <v>0</v>
      </c>
      <c r="CI567" s="1120">
        <f t="shared" si="661"/>
        <v>0.85</v>
      </c>
      <c r="CJ567" s="1120">
        <f t="shared" si="662"/>
        <v>0.85</v>
      </c>
      <c r="CK567" s="1120">
        <f t="shared" si="663"/>
        <v>0.85</v>
      </c>
      <c r="CL567" s="1120">
        <f t="shared" si="664"/>
        <v>0.85</v>
      </c>
      <c r="CM567" s="1120">
        <f t="shared" si="665"/>
        <v>0.85</v>
      </c>
      <c r="CN567" s="1120">
        <f t="shared" si="666"/>
        <v>0.85</v>
      </c>
      <c r="CO567" s="1120">
        <f t="shared" si="667"/>
        <v>0.85</v>
      </c>
      <c r="CP567" s="1120">
        <f t="shared" si="668"/>
        <v>0.7</v>
      </c>
      <c r="CQ567" s="1120">
        <f t="shared" si="669"/>
        <v>0.85</v>
      </c>
      <c r="CR567" s="1120">
        <f t="shared" si="670"/>
        <v>0.85</v>
      </c>
      <c r="CS567" s="1120">
        <f t="shared" si="671"/>
        <v>0.85</v>
      </c>
      <c r="CT567" s="1120">
        <f t="shared" si="672"/>
        <v>0.85</v>
      </c>
      <c r="CU567" s="1120">
        <v>1</v>
      </c>
      <c r="CV567" s="1120"/>
      <c r="CW567" s="1120">
        <f t="shared" si="673"/>
        <v>122</v>
      </c>
      <c r="CX567" s="1120">
        <f t="shared" si="674"/>
        <v>243</v>
      </c>
      <c r="CY567" s="1135" t="s">
        <v>4889</v>
      </c>
      <c r="CZ567" s="1124" t="s">
        <v>4899</v>
      </c>
      <c r="DA567" s="1124"/>
      <c r="DB567" s="1124"/>
      <c r="DC567" s="1120" t="s">
        <v>5477</v>
      </c>
      <c r="DD567" s="1120" t="s">
        <v>537</v>
      </c>
      <c r="DE567" s="1120" t="str">
        <f t="shared" si="675"/>
        <v/>
      </c>
      <c r="DF567" s="1133">
        <v>0</v>
      </c>
      <c r="DG567" s="1125">
        <v>0</v>
      </c>
    </row>
    <row r="568" spans="1:111">
      <c r="A568" s="1120" t="s">
        <v>3854</v>
      </c>
      <c r="B568" s="1125" t="s">
        <v>3010</v>
      </c>
      <c r="C568" s="1125" t="s">
        <v>3011</v>
      </c>
      <c r="D568" s="1125" t="s">
        <v>247</v>
      </c>
      <c r="E568" s="1125">
        <v>174</v>
      </c>
      <c r="F568" s="1125">
        <v>-86.35</v>
      </c>
      <c r="G568" s="1125">
        <v>32.380000000000003</v>
      </c>
      <c r="H568" s="1125">
        <v>-6</v>
      </c>
      <c r="I568" s="1126">
        <v>31.459999978542328</v>
      </c>
      <c r="J568" s="1126">
        <v>95.179997253417966</v>
      </c>
      <c r="K568" s="1127">
        <v>76.639998626708987</v>
      </c>
      <c r="L568" s="1125">
        <v>2518.2000000000003</v>
      </c>
      <c r="M568" s="1125">
        <v>2367</v>
      </c>
      <c r="N568" s="1128">
        <v>43.879999828338626</v>
      </c>
      <c r="O568" s="1128">
        <v>50.540000343322752</v>
      </c>
      <c r="P568" s="1128">
        <v>53.959999656677248</v>
      </c>
      <c r="Q568" s="1128">
        <v>63.139998626708987</v>
      </c>
      <c r="R568" s="1128">
        <v>74.119999313354498</v>
      </c>
      <c r="S568" s="1128">
        <v>79.519999313354489</v>
      </c>
      <c r="T568" s="1128">
        <v>82.039998626708979</v>
      </c>
      <c r="U568" s="1128">
        <v>80.239998626708982</v>
      </c>
      <c r="V568" s="1128">
        <v>76.099999999999994</v>
      </c>
      <c r="W568" s="1128">
        <v>64.039998626708979</v>
      </c>
      <c r="X568" s="1128">
        <v>52.340000343322757</v>
      </c>
      <c r="Y568" s="1128">
        <v>47.119999313354491</v>
      </c>
      <c r="Z568" s="1128">
        <v>63.987725402361725</v>
      </c>
      <c r="AA568" s="1128">
        <f t="shared" si="601"/>
        <v>58.921903200694523</v>
      </c>
      <c r="AB568" s="1128">
        <f t="shared" si="602"/>
        <v>58.920668834559429</v>
      </c>
      <c r="AC568" s="1128">
        <f t="shared" si="603"/>
        <v>61.804233311326172</v>
      </c>
      <c r="AD568" s="1128">
        <f t="shared" si="604"/>
        <v>66.820951113051805</v>
      </c>
      <c r="AE568" s="1128">
        <f t="shared" si="605"/>
        <v>72.663137434755086</v>
      </c>
      <c r="AF568" s="1128">
        <f t="shared" si="606"/>
        <v>77.807936380867602</v>
      </c>
      <c r="AG568" s="1128">
        <f t="shared" si="607"/>
        <v>80.914276822333491</v>
      </c>
      <c r="AH568" s="1128">
        <f t="shared" si="608"/>
        <v>81.172443252929426</v>
      </c>
      <c r="AI568" s="1128">
        <f t="shared" si="609"/>
        <v>78.515140614055468</v>
      </c>
      <c r="AJ568" s="1128">
        <f t="shared" si="610"/>
        <v>73.635035788807343</v>
      </c>
      <c r="AK568" s="1128">
        <f t="shared" si="611"/>
        <v>67.80420330457774</v>
      </c>
      <c r="AL568" s="1128">
        <f t="shared" si="612"/>
        <v>62.542539504229602</v>
      </c>
      <c r="AM568" s="1125">
        <f t="shared" si="613"/>
        <v>1</v>
      </c>
      <c r="AN568" s="1125">
        <f t="shared" si="614"/>
        <v>1</v>
      </c>
      <c r="AO568" s="1125">
        <f t="shared" si="615"/>
        <v>1</v>
      </c>
      <c r="AP568" s="1125">
        <f t="shared" si="616"/>
        <v>1</v>
      </c>
      <c r="AQ568" s="1125">
        <f t="shared" si="617"/>
        <v>0</v>
      </c>
      <c r="AR568" s="1125">
        <f t="shared" si="618"/>
        <v>0</v>
      </c>
      <c r="AS568" s="1125">
        <f t="shared" si="619"/>
        <v>0</v>
      </c>
      <c r="AT568" s="1125">
        <f t="shared" si="620"/>
        <v>0</v>
      </c>
      <c r="AU568" s="1125">
        <f t="shared" si="621"/>
        <v>0</v>
      </c>
      <c r="AV568" s="1125">
        <f t="shared" si="622"/>
        <v>1</v>
      </c>
      <c r="AW568" s="1125">
        <f t="shared" si="623"/>
        <v>1</v>
      </c>
      <c r="AX568" s="1125">
        <f t="shared" si="624"/>
        <v>1</v>
      </c>
      <c r="AY568" s="1125">
        <f t="shared" si="625"/>
        <v>0</v>
      </c>
      <c r="AZ568" s="1125">
        <f t="shared" si="626"/>
        <v>0</v>
      </c>
      <c r="BA568" s="1125">
        <f t="shared" si="627"/>
        <v>0</v>
      </c>
      <c r="BB568" s="1125">
        <f t="shared" si="628"/>
        <v>0</v>
      </c>
      <c r="BC568" s="1125">
        <f t="shared" si="629"/>
        <v>1</v>
      </c>
      <c r="BD568" s="1125">
        <f t="shared" si="630"/>
        <v>1</v>
      </c>
      <c r="BE568" s="1125">
        <f t="shared" si="631"/>
        <v>1</v>
      </c>
      <c r="BF568" s="1125">
        <f t="shared" si="632"/>
        <v>1</v>
      </c>
      <c r="BG568" s="1125">
        <f t="shared" si="633"/>
        <v>1</v>
      </c>
      <c r="BH568" s="1125">
        <f t="shared" si="634"/>
        <v>0</v>
      </c>
      <c r="BI568" s="1125">
        <f t="shared" si="635"/>
        <v>0</v>
      </c>
      <c r="BJ568" s="1125">
        <f t="shared" si="636"/>
        <v>0</v>
      </c>
      <c r="BK568" s="1125">
        <f t="shared" si="637"/>
        <v>1</v>
      </c>
      <c r="BL568" s="1125">
        <f t="shared" si="638"/>
        <v>1</v>
      </c>
      <c r="BM568" s="1125">
        <f t="shared" si="639"/>
        <v>1</v>
      </c>
      <c r="BN568" s="1125">
        <f t="shared" si="640"/>
        <v>1</v>
      </c>
      <c r="BO568" s="1125">
        <f t="shared" si="641"/>
        <v>1</v>
      </c>
      <c r="BP568" s="1125">
        <f t="shared" si="642"/>
        <v>0</v>
      </c>
      <c r="BQ568" s="1125">
        <f t="shared" si="643"/>
        <v>0</v>
      </c>
      <c r="BR568" s="1125">
        <f t="shared" si="644"/>
        <v>0</v>
      </c>
      <c r="BS568" s="1125">
        <f t="shared" si="645"/>
        <v>0</v>
      </c>
      <c r="BT568" s="1125">
        <f t="shared" si="646"/>
        <v>1</v>
      </c>
      <c r="BU568" s="1125">
        <f t="shared" si="647"/>
        <v>1</v>
      </c>
      <c r="BV568" s="1125">
        <f t="shared" si="648"/>
        <v>1</v>
      </c>
      <c r="BW568" s="1125">
        <f t="shared" si="649"/>
        <v>0</v>
      </c>
      <c r="BX568" s="1125">
        <f t="shared" si="650"/>
        <v>0</v>
      </c>
      <c r="BY568" s="1125">
        <f t="shared" si="651"/>
        <v>0</v>
      </c>
      <c r="BZ568" s="1125">
        <f t="shared" si="652"/>
        <v>1</v>
      </c>
      <c r="CA568" s="1125">
        <f t="shared" si="653"/>
        <v>1</v>
      </c>
      <c r="CB568" s="1125">
        <f t="shared" si="654"/>
        <v>1</v>
      </c>
      <c r="CC568" s="1125">
        <f t="shared" si="655"/>
        <v>1</v>
      </c>
      <c r="CD568" s="1125">
        <f t="shared" si="656"/>
        <v>1</v>
      </c>
      <c r="CE568" s="1125">
        <f t="shared" si="657"/>
        <v>1</v>
      </c>
      <c r="CF568" s="1125">
        <f t="shared" si="658"/>
        <v>1</v>
      </c>
      <c r="CG568" s="1125">
        <f t="shared" si="659"/>
        <v>0</v>
      </c>
      <c r="CH568" s="1125">
        <f t="shared" si="660"/>
        <v>0</v>
      </c>
      <c r="CI568" s="1125">
        <f t="shared" si="661"/>
        <v>0.85</v>
      </c>
      <c r="CJ568" s="1125">
        <f t="shared" si="662"/>
        <v>0.85</v>
      </c>
      <c r="CK568" s="1125">
        <f t="shared" si="663"/>
        <v>0.85</v>
      </c>
      <c r="CL568" s="1125">
        <f t="shared" si="664"/>
        <v>0.85</v>
      </c>
      <c r="CM568" s="1125">
        <f t="shared" si="665"/>
        <v>0.85</v>
      </c>
      <c r="CN568" s="1125">
        <f t="shared" si="666"/>
        <v>0.7</v>
      </c>
      <c r="CO568" s="1125">
        <f t="shared" si="667"/>
        <v>0.7</v>
      </c>
      <c r="CP568" s="1125">
        <f t="shared" si="668"/>
        <v>0.7</v>
      </c>
      <c r="CQ568" s="1125">
        <f t="shared" si="669"/>
        <v>0.7</v>
      </c>
      <c r="CR568" s="1125">
        <f t="shared" si="670"/>
        <v>0.85</v>
      </c>
      <c r="CS568" s="1125">
        <f t="shared" si="671"/>
        <v>0.85</v>
      </c>
      <c r="CT568" s="1125">
        <f t="shared" si="672"/>
        <v>0.85</v>
      </c>
      <c r="CU568" s="1125">
        <v>1</v>
      </c>
      <c r="CV568" s="1125"/>
      <c r="CW568" s="1125">
        <f t="shared" si="673"/>
        <v>214</v>
      </c>
      <c r="CX568" s="1125">
        <f t="shared" si="674"/>
        <v>151</v>
      </c>
      <c r="CY568" s="1136" t="s">
        <v>4883</v>
      </c>
      <c r="CZ568" s="1129" t="s">
        <v>4882</v>
      </c>
      <c r="DA568" s="1129"/>
      <c r="DB568" s="1129"/>
      <c r="DC568" s="1125" t="s">
        <v>5939</v>
      </c>
      <c r="DD568" s="1125" t="s">
        <v>247</v>
      </c>
      <c r="DE568" s="1125" t="b">
        <f t="shared" si="675"/>
        <v>0</v>
      </c>
      <c r="DF568" s="1125">
        <v>0</v>
      </c>
      <c r="DG568" s="1120">
        <v>0</v>
      </c>
    </row>
    <row r="569" spans="1:111">
      <c r="A569" s="1125" t="s">
        <v>3856</v>
      </c>
      <c r="B569" s="1120" t="s">
        <v>3298</v>
      </c>
      <c r="C569" s="1120" t="s">
        <v>3299</v>
      </c>
      <c r="D569" s="1120" t="s">
        <v>594</v>
      </c>
      <c r="E569" s="1120">
        <v>16</v>
      </c>
      <c r="F569" s="1120">
        <v>-81.42</v>
      </c>
      <c r="G569" s="1120">
        <v>30.4</v>
      </c>
      <c r="H569" s="1120">
        <v>-5</v>
      </c>
      <c r="I569" s="1121">
        <v>38.660000085830688</v>
      </c>
      <c r="J569" s="1121">
        <v>92.120002746582031</v>
      </c>
      <c r="K569" s="1122">
        <v>77.539998626708979</v>
      </c>
      <c r="L569" s="1120">
        <v>963</v>
      </c>
      <c r="M569" s="1120">
        <v>2809.8</v>
      </c>
      <c r="N569" s="1123">
        <v>55.040000343322752</v>
      </c>
      <c r="O569" s="1123">
        <v>57.2</v>
      </c>
      <c r="P569" s="1123">
        <v>64.039998626708979</v>
      </c>
      <c r="Q569" s="1123">
        <v>68.180000686645513</v>
      </c>
      <c r="R569" s="1123">
        <v>77</v>
      </c>
      <c r="S569" s="1123">
        <v>78.619999313354498</v>
      </c>
      <c r="T569" s="1123">
        <v>80.960001373291021</v>
      </c>
      <c r="U569" s="1123">
        <v>80.419999313354495</v>
      </c>
      <c r="V569" s="1123">
        <v>79.33999862670899</v>
      </c>
      <c r="W569" s="1123">
        <v>71.239998626708982</v>
      </c>
      <c r="X569" s="1123">
        <v>65.83999862670899</v>
      </c>
      <c r="Y569" s="1123">
        <v>55.040000343322752</v>
      </c>
      <c r="Z569" s="1123">
        <v>69.471068150768545</v>
      </c>
      <c r="AA569" s="1123">
        <f t="shared" si="601"/>
        <v>67.099845102803386</v>
      </c>
      <c r="AB569" s="1123">
        <f t="shared" si="602"/>
        <v>67.507113520766126</v>
      </c>
      <c r="AC569" s="1123">
        <f t="shared" si="603"/>
        <v>69.990309441294798</v>
      </c>
      <c r="AD569" s="1123">
        <f t="shared" si="604"/>
        <v>73.902149580496129</v>
      </c>
      <c r="AE569" s="1123">
        <f t="shared" si="605"/>
        <v>78.222952522805983</v>
      </c>
      <c r="AF569" s="1123">
        <f t="shared" si="606"/>
        <v>81.82643439572243</v>
      </c>
      <c r="AG569" s="1123">
        <f t="shared" si="607"/>
        <v>83.773292117733234</v>
      </c>
      <c r="AH569" s="1123">
        <f t="shared" si="608"/>
        <v>83.556047221610598</v>
      </c>
      <c r="AI569" s="1123">
        <f t="shared" si="609"/>
        <v>81.231327937374104</v>
      </c>
      <c r="AJ569" s="1123">
        <f t="shared" si="610"/>
        <v>77.405108171468555</v>
      </c>
      <c r="AK569" s="1123">
        <f t="shared" si="611"/>
        <v>73.074751069708668</v>
      </c>
      <c r="AL569" s="1123">
        <f t="shared" si="612"/>
        <v>69.369030943491069</v>
      </c>
      <c r="AM569" s="1120">
        <f t="shared" si="613"/>
        <v>1</v>
      </c>
      <c r="AN569" s="1120">
        <f t="shared" si="614"/>
        <v>1</v>
      </c>
      <c r="AO569" s="1120">
        <f t="shared" si="615"/>
        <v>1</v>
      </c>
      <c r="AP569" s="1120">
        <f t="shared" si="616"/>
        <v>0</v>
      </c>
      <c r="AQ569" s="1120">
        <f t="shared" si="617"/>
        <v>0</v>
      </c>
      <c r="AR569" s="1120">
        <f t="shared" si="618"/>
        <v>0</v>
      </c>
      <c r="AS569" s="1120">
        <f t="shared" si="619"/>
        <v>0</v>
      </c>
      <c r="AT569" s="1120">
        <f t="shared" si="620"/>
        <v>0</v>
      </c>
      <c r="AU569" s="1120">
        <f t="shared" si="621"/>
        <v>0</v>
      </c>
      <c r="AV569" s="1120">
        <f t="shared" si="622"/>
        <v>0</v>
      </c>
      <c r="AW569" s="1120">
        <f t="shared" si="623"/>
        <v>1</v>
      </c>
      <c r="AX569" s="1120">
        <f t="shared" si="624"/>
        <v>1</v>
      </c>
      <c r="AY569" s="1120">
        <f t="shared" si="625"/>
        <v>0</v>
      </c>
      <c r="AZ569" s="1120">
        <f t="shared" si="626"/>
        <v>0</v>
      </c>
      <c r="BA569" s="1120">
        <f t="shared" si="627"/>
        <v>0</v>
      </c>
      <c r="BB569" s="1120">
        <f t="shared" si="628"/>
        <v>1</v>
      </c>
      <c r="BC569" s="1120">
        <f t="shared" si="629"/>
        <v>1</v>
      </c>
      <c r="BD569" s="1120">
        <f t="shared" si="630"/>
        <v>1</v>
      </c>
      <c r="BE569" s="1120">
        <f t="shared" si="631"/>
        <v>1</v>
      </c>
      <c r="BF569" s="1120">
        <f t="shared" si="632"/>
        <v>1</v>
      </c>
      <c r="BG569" s="1120">
        <f t="shared" si="633"/>
        <v>1</v>
      </c>
      <c r="BH569" s="1120">
        <f t="shared" si="634"/>
        <v>1</v>
      </c>
      <c r="BI569" s="1120">
        <f t="shared" si="635"/>
        <v>0</v>
      </c>
      <c r="BJ569" s="1120">
        <f t="shared" si="636"/>
        <v>0</v>
      </c>
      <c r="BK569" s="1120">
        <f t="shared" si="637"/>
        <v>1</v>
      </c>
      <c r="BL569" s="1120">
        <f t="shared" si="638"/>
        <v>1</v>
      </c>
      <c r="BM569" s="1120">
        <f t="shared" si="639"/>
        <v>1</v>
      </c>
      <c r="BN569" s="1120">
        <f t="shared" si="640"/>
        <v>1</v>
      </c>
      <c r="BO569" s="1120">
        <f t="shared" si="641"/>
        <v>0</v>
      </c>
      <c r="BP569" s="1120">
        <f t="shared" si="642"/>
        <v>0</v>
      </c>
      <c r="BQ569" s="1120">
        <f t="shared" si="643"/>
        <v>0</v>
      </c>
      <c r="BR569" s="1120">
        <f t="shared" si="644"/>
        <v>0</v>
      </c>
      <c r="BS569" s="1120">
        <f t="shared" si="645"/>
        <v>0</v>
      </c>
      <c r="BT569" s="1120">
        <f t="shared" si="646"/>
        <v>0</v>
      </c>
      <c r="BU569" s="1120">
        <f t="shared" si="647"/>
        <v>1</v>
      </c>
      <c r="BV569" s="1120">
        <f t="shared" si="648"/>
        <v>1</v>
      </c>
      <c r="BW569" s="1120">
        <f t="shared" si="649"/>
        <v>0</v>
      </c>
      <c r="BX569" s="1120">
        <f t="shared" si="650"/>
        <v>0</v>
      </c>
      <c r="BY569" s="1120">
        <f t="shared" si="651"/>
        <v>1</v>
      </c>
      <c r="BZ569" s="1120">
        <f t="shared" si="652"/>
        <v>1</v>
      </c>
      <c r="CA569" s="1120">
        <f t="shared" si="653"/>
        <v>1</v>
      </c>
      <c r="CB569" s="1120">
        <f t="shared" si="654"/>
        <v>1</v>
      </c>
      <c r="CC569" s="1120">
        <f t="shared" si="655"/>
        <v>1</v>
      </c>
      <c r="CD569" s="1120">
        <f t="shared" si="656"/>
        <v>1</v>
      </c>
      <c r="CE569" s="1120">
        <f t="shared" si="657"/>
        <v>1</v>
      </c>
      <c r="CF569" s="1120">
        <f t="shared" si="658"/>
        <v>1</v>
      </c>
      <c r="CG569" s="1120">
        <f t="shared" si="659"/>
        <v>1</v>
      </c>
      <c r="CH569" s="1120">
        <f t="shared" si="660"/>
        <v>0</v>
      </c>
      <c r="CI569" s="1120">
        <f t="shared" si="661"/>
        <v>0.85</v>
      </c>
      <c r="CJ569" s="1120">
        <f t="shared" si="662"/>
        <v>0.85</v>
      </c>
      <c r="CK569" s="1120">
        <f t="shared" si="663"/>
        <v>0.85</v>
      </c>
      <c r="CL569" s="1120">
        <f t="shared" si="664"/>
        <v>0.85</v>
      </c>
      <c r="CM569" s="1120">
        <f t="shared" si="665"/>
        <v>0.7</v>
      </c>
      <c r="CN569" s="1120">
        <f t="shared" si="666"/>
        <v>0.7</v>
      </c>
      <c r="CO569" s="1120">
        <f t="shared" si="667"/>
        <v>0.7</v>
      </c>
      <c r="CP569" s="1120">
        <f t="shared" si="668"/>
        <v>0.7</v>
      </c>
      <c r="CQ569" s="1120">
        <f t="shared" si="669"/>
        <v>0.7</v>
      </c>
      <c r="CR569" s="1120">
        <f t="shared" si="670"/>
        <v>0.7</v>
      </c>
      <c r="CS569" s="1120">
        <f t="shared" si="671"/>
        <v>0.85</v>
      </c>
      <c r="CT569" s="1120">
        <f t="shared" si="672"/>
        <v>0.85</v>
      </c>
      <c r="CU569" s="1120">
        <v>1</v>
      </c>
      <c r="CV569" s="1120"/>
      <c r="CW569" s="1120">
        <f t="shared" si="673"/>
        <v>275</v>
      </c>
      <c r="CX569" s="1120">
        <f t="shared" si="674"/>
        <v>90</v>
      </c>
      <c r="CY569" s="1135" t="s">
        <v>4883</v>
      </c>
      <c r="CZ569" s="1124" t="s">
        <v>4884</v>
      </c>
      <c r="DA569" s="1124"/>
      <c r="DB569" s="1124"/>
      <c r="DC569" s="1120" t="s">
        <v>5106</v>
      </c>
      <c r="DD569" s="1120" t="s">
        <v>594</v>
      </c>
      <c r="DE569" s="1120" t="str">
        <f t="shared" si="675"/>
        <v/>
      </c>
      <c r="DF569" s="1133">
        <v>0</v>
      </c>
      <c r="DG569" s="1125">
        <v>0</v>
      </c>
    </row>
    <row r="570" spans="1:111">
      <c r="A570" s="1120" t="s">
        <v>3860</v>
      </c>
      <c r="B570" s="1125" t="s">
        <v>5927</v>
      </c>
      <c r="C570" s="1125" t="s">
        <v>5928</v>
      </c>
      <c r="D570" s="1125" t="s">
        <v>228</v>
      </c>
      <c r="E570" s="1125">
        <v>590</v>
      </c>
      <c r="F570" s="1125">
        <v>-97.32</v>
      </c>
      <c r="G570" s="1125">
        <v>31.48</v>
      </c>
      <c r="H570" s="1125">
        <v>-6</v>
      </c>
      <c r="I570" s="1126">
        <v>28.039999914169311</v>
      </c>
      <c r="J570" s="1126">
        <v>98.779997253417974</v>
      </c>
      <c r="K570" s="1127">
        <v>74.83999862670899</v>
      </c>
      <c r="L570" s="1125">
        <v>2233.8000000000002</v>
      </c>
      <c r="M570" s="1125">
        <v>2660.4</v>
      </c>
      <c r="N570" s="1128">
        <v>48.380000686645509</v>
      </c>
      <c r="O570" s="1128">
        <v>42.97999982833862</v>
      </c>
      <c r="P570" s="1128">
        <v>53.6</v>
      </c>
      <c r="Q570" s="1128">
        <v>65.3</v>
      </c>
      <c r="R570" s="1128">
        <v>70.519999313354489</v>
      </c>
      <c r="S570" s="1128">
        <v>80.780000686645508</v>
      </c>
      <c r="T570" s="1128">
        <v>83.83999862670899</v>
      </c>
      <c r="U570" s="1128">
        <v>82.4</v>
      </c>
      <c r="V570" s="1128">
        <v>78.260001373291018</v>
      </c>
      <c r="W570" s="1128">
        <v>67.639998626708987</v>
      </c>
      <c r="X570" s="1128">
        <v>61.160001373291017</v>
      </c>
      <c r="Y570" s="1128">
        <v>50.719999313354492</v>
      </c>
      <c r="Z570" s="1128">
        <v>65.585041073315764</v>
      </c>
      <c r="AA570" s="1128">
        <f t="shared" si="601"/>
        <v>59.337005907677344</v>
      </c>
      <c r="AB570" s="1128">
        <f t="shared" si="602"/>
        <v>59.512202735814334</v>
      </c>
      <c r="AC570" s="1128">
        <f t="shared" si="603"/>
        <v>62.834370924691477</v>
      </c>
      <c r="AD570" s="1128">
        <f t="shared" si="604"/>
        <v>68.437536139716457</v>
      </c>
      <c r="AE570" s="1128">
        <f t="shared" si="605"/>
        <v>74.861147020203362</v>
      </c>
      <c r="AF570" s="1128">
        <f t="shared" si="606"/>
        <v>80.430790399313153</v>
      </c>
      <c r="AG570" s="1128">
        <f t="shared" si="607"/>
        <v>83.694652899478328</v>
      </c>
      <c r="AH570" s="1128">
        <f t="shared" si="608"/>
        <v>83.801958462387205</v>
      </c>
      <c r="AI570" s="1128">
        <f t="shared" si="609"/>
        <v>80.724736239438812</v>
      </c>
      <c r="AJ570" s="1128">
        <f t="shared" si="610"/>
        <v>75.265111624474528</v>
      </c>
      <c r="AK570" s="1128">
        <f t="shared" si="611"/>
        <v>68.846219908746889</v>
      </c>
      <c r="AL570" s="1128">
        <f t="shared" si="612"/>
        <v>63.141244136075841</v>
      </c>
      <c r="AM570" s="1125">
        <f t="shared" si="613"/>
        <v>1</v>
      </c>
      <c r="AN570" s="1125">
        <f t="shared" si="614"/>
        <v>1</v>
      </c>
      <c r="AO570" s="1125">
        <f t="shared" si="615"/>
        <v>1</v>
      </c>
      <c r="AP570" s="1125">
        <f t="shared" si="616"/>
        <v>1</v>
      </c>
      <c r="AQ570" s="1125">
        <f t="shared" si="617"/>
        <v>0</v>
      </c>
      <c r="AR570" s="1125">
        <f t="shared" si="618"/>
        <v>0</v>
      </c>
      <c r="AS570" s="1125">
        <f t="shared" si="619"/>
        <v>0</v>
      </c>
      <c r="AT570" s="1125">
        <f t="shared" si="620"/>
        <v>0</v>
      </c>
      <c r="AU570" s="1125">
        <f t="shared" si="621"/>
        <v>0</v>
      </c>
      <c r="AV570" s="1125">
        <f t="shared" si="622"/>
        <v>0</v>
      </c>
      <c r="AW570" s="1125">
        <f t="shared" si="623"/>
        <v>1</v>
      </c>
      <c r="AX570" s="1125">
        <f t="shared" si="624"/>
        <v>1</v>
      </c>
      <c r="AY570" s="1125">
        <f t="shared" si="625"/>
        <v>0</v>
      </c>
      <c r="AZ570" s="1125">
        <f t="shared" si="626"/>
        <v>0</v>
      </c>
      <c r="BA570" s="1125">
        <f t="shared" si="627"/>
        <v>0</v>
      </c>
      <c r="BB570" s="1125">
        <f t="shared" si="628"/>
        <v>0</v>
      </c>
      <c r="BC570" s="1125">
        <f t="shared" si="629"/>
        <v>1</v>
      </c>
      <c r="BD570" s="1125">
        <f t="shared" si="630"/>
        <v>1</v>
      </c>
      <c r="BE570" s="1125">
        <f t="shared" si="631"/>
        <v>1</v>
      </c>
      <c r="BF570" s="1125">
        <f t="shared" si="632"/>
        <v>1</v>
      </c>
      <c r="BG570" s="1125">
        <f t="shared" si="633"/>
        <v>1</v>
      </c>
      <c r="BH570" s="1125">
        <f t="shared" si="634"/>
        <v>1</v>
      </c>
      <c r="BI570" s="1125">
        <f t="shared" si="635"/>
        <v>0</v>
      </c>
      <c r="BJ570" s="1125">
        <f t="shared" si="636"/>
        <v>0</v>
      </c>
      <c r="BK570" s="1125">
        <f t="shared" si="637"/>
        <v>1</v>
      </c>
      <c r="BL570" s="1125">
        <f t="shared" si="638"/>
        <v>1</v>
      </c>
      <c r="BM570" s="1125">
        <f t="shared" si="639"/>
        <v>1</v>
      </c>
      <c r="BN570" s="1125">
        <f t="shared" si="640"/>
        <v>1</v>
      </c>
      <c r="BO570" s="1125">
        <f t="shared" si="641"/>
        <v>1</v>
      </c>
      <c r="BP570" s="1125">
        <f t="shared" si="642"/>
        <v>0</v>
      </c>
      <c r="BQ570" s="1125">
        <f t="shared" si="643"/>
        <v>0</v>
      </c>
      <c r="BR570" s="1125">
        <f t="shared" si="644"/>
        <v>0</v>
      </c>
      <c r="BS570" s="1125">
        <f t="shared" si="645"/>
        <v>0</v>
      </c>
      <c r="BT570" s="1125">
        <f t="shared" si="646"/>
        <v>0</v>
      </c>
      <c r="BU570" s="1125">
        <f t="shared" si="647"/>
        <v>1</v>
      </c>
      <c r="BV570" s="1125">
        <f t="shared" si="648"/>
        <v>1</v>
      </c>
      <c r="BW570" s="1125">
        <f t="shared" si="649"/>
        <v>0</v>
      </c>
      <c r="BX570" s="1125">
        <f t="shared" si="650"/>
        <v>0</v>
      </c>
      <c r="BY570" s="1125">
        <f t="shared" si="651"/>
        <v>0</v>
      </c>
      <c r="BZ570" s="1125">
        <f t="shared" si="652"/>
        <v>1</v>
      </c>
      <c r="CA570" s="1125">
        <f t="shared" si="653"/>
        <v>1</v>
      </c>
      <c r="CB570" s="1125">
        <f t="shared" si="654"/>
        <v>1</v>
      </c>
      <c r="CC570" s="1125">
        <f t="shared" si="655"/>
        <v>1</v>
      </c>
      <c r="CD570" s="1125">
        <f t="shared" si="656"/>
        <v>1</v>
      </c>
      <c r="CE570" s="1125">
        <f t="shared" si="657"/>
        <v>1</v>
      </c>
      <c r="CF570" s="1125">
        <f t="shared" si="658"/>
        <v>1</v>
      </c>
      <c r="CG570" s="1125">
        <f t="shared" si="659"/>
        <v>1</v>
      </c>
      <c r="CH570" s="1125">
        <f t="shared" si="660"/>
        <v>0</v>
      </c>
      <c r="CI570" s="1125">
        <f t="shared" si="661"/>
        <v>0.85</v>
      </c>
      <c r="CJ570" s="1125">
        <f t="shared" si="662"/>
        <v>0.85</v>
      </c>
      <c r="CK570" s="1125">
        <f t="shared" si="663"/>
        <v>0.85</v>
      </c>
      <c r="CL570" s="1125">
        <f t="shared" si="664"/>
        <v>0.85</v>
      </c>
      <c r="CM570" s="1125">
        <f t="shared" si="665"/>
        <v>0.85</v>
      </c>
      <c r="CN570" s="1125">
        <f t="shared" si="666"/>
        <v>0.7</v>
      </c>
      <c r="CO570" s="1125">
        <f t="shared" si="667"/>
        <v>0.7</v>
      </c>
      <c r="CP570" s="1125">
        <f t="shared" si="668"/>
        <v>0.7</v>
      </c>
      <c r="CQ570" s="1125">
        <f t="shared" si="669"/>
        <v>0.7</v>
      </c>
      <c r="CR570" s="1125">
        <f t="shared" si="670"/>
        <v>0.7</v>
      </c>
      <c r="CS570" s="1125">
        <f t="shared" si="671"/>
        <v>0.85</v>
      </c>
      <c r="CT570" s="1125">
        <f t="shared" si="672"/>
        <v>0.85</v>
      </c>
      <c r="CU570" s="1125">
        <v>1</v>
      </c>
      <c r="CV570" s="1125"/>
      <c r="CW570" s="1125">
        <f t="shared" si="673"/>
        <v>244</v>
      </c>
      <c r="CX570" s="1125">
        <f t="shared" si="674"/>
        <v>121</v>
      </c>
      <c r="CY570" s="1136" t="s">
        <v>4883</v>
      </c>
      <c r="CZ570" s="1129" t="s">
        <v>4884</v>
      </c>
      <c r="DA570" s="1129"/>
      <c r="DB570" s="1129"/>
      <c r="DC570" s="1125" t="s">
        <v>5785</v>
      </c>
      <c r="DD570" s="1125" t="s">
        <v>228</v>
      </c>
      <c r="DE570" s="1120" t="str">
        <f t="shared" si="675"/>
        <v/>
      </c>
      <c r="DF570" s="1133">
        <v>1</v>
      </c>
      <c r="DG570" s="1120">
        <v>0</v>
      </c>
    </row>
    <row r="571" spans="1:111">
      <c r="A571" s="1125" t="s">
        <v>3862</v>
      </c>
      <c r="B571" s="1125" t="s">
        <v>4204</v>
      </c>
      <c r="C571" s="1125" t="s">
        <v>4205</v>
      </c>
      <c r="D571" s="1125" t="s">
        <v>61</v>
      </c>
      <c r="E571" s="1125">
        <v>761</v>
      </c>
      <c r="F571" s="1125">
        <v>-95.78</v>
      </c>
      <c r="G571" s="1125">
        <v>34.9</v>
      </c>
      <c r="H571" s="1125">
        <v>-6</v>
      </c>
      <c r="I571" s="1126">
        <v>19.399999999999999</v>
      </c>
      <c r="J571" s="1126">
        <v>96.439998626708984</v>
      </c>
      <c r="K571" s="1127">
        <v>75.560001373291016</v>
      </c>
      <c r="L571" s="1125">
        <v>2952</v>
      </c>
      <c r="M571" s="1125">
        <v>2154.6</v>
      </c>
      <c r="N571" s="1128">
        <v>39.379999828338626</v>
      </c>
      <c r="O571" s="1128">
        <v>45.859999656677246</v>
      </c>
      <c r="P571" s="1128">
        <v>53.419999313354495</v>
      </c>
      <c r="Q571" s="1128">
        <v>62.239998626708989</v>
      </c>
      <c r="R571" s="1128">
        <v>70.33999862670899</v>
      </c>
      <c r="S571" s="1128">
        <v>79.880000686645502</v>
      </c>
      <c r="T571" s="1128">
        <v>81.860001373291013</v>
      </c>
      <c r="U571" s="1128">
        <v>78.8</v>
      </c>
      <c r="V571" s="1128">
        <v>75.019999313354489</v>
      </c>
      <c r="W571" s="1128">
        <v>59</v>
      </c>
      <c r="X571" s="1128">
        <v>58.640000343322754</v>
      </c>
      <c r="Y571" s="1128">
        <v>41.359999656677246</v>
      </c>
      <c r="Z571" s="1128">
        <v>62.209424444486018</v>
      </c>
      <c r="AA571" s="1128">
        <f t="shared" si="601"/>
        <v>56.35828939378861</v>
      </c>
      <c r="AB571" s="1128">
        <f t="shared" si="602"/>
        <v>56.163812620228143</v>
      </c>
      <c r="AC571" s="1128">
        <f t="shared" si="603"/>
        <v>59.109210197157623</v>
      </c>
      <c r="AD571" s="1128">
        <f t="shared" si="604"/>
        <v>64.426718856199784</v>
      </c>
      <c r="AE571" s="1128">
        <f t="shared" si="605"/>
        <v>70.730248020086393</v>
      </c>
      <c r="AF571" s="1128">
        <f t="shared" si="606"/>
        <v>76.376685671925571</v>
      </c>
      <c r="AG571" s="1128">
        <f t="shared" si="607"/>
        <v>79.894200823527328</v>
      </c>
      <c r="AH571" s="1128">
        <f t="shared" si="608"/>
        <v>80.365898944077358</v>
      </c>
      <c r="AI571" s="1128">
        <f t="shared" si="609"/>
        <v>77.668824649366229</v>
      </c>
      <c r="AJ571" s="1128">
        <f t="shared" si="610"/>
        <v>72.506011917483363</v>
      </c>
      <c r="AK571" s="1128">
        <f t="shared" si="611"/>
        <v>66.223227448346563</v>
      </c>
      <c r="AL571" s="1128">
        <f t="shared" si="612"/>
        <v>60.458175834475725</v>
      </c>
      <c r="AM571" s="1125">
        <f t="shared" si="613"/>
        <v>1</v>
      </c>
      <c r="AN571" s="1125">
        <f t="shared" si="614"/>
        <v>1</v>
      </c>
      <c r="AO571" s="1125">
        <f t="shared" si="615"/>
        <v>1</v>
      </c>
      <c r="AP571" s="1125">
        <f t="shared" si="616"/>
        <v>1</v>
      </c>
      <c r="AQ571" s="1125">
        <f t="shared" si="617"/>
        <v>0</v>
      </c>
      <c r="AR571" s="1125">
        <f t="shared" si="618"/>
        <v>0</v>
      </c>
      <c r="AS571" s="1125">
        <f t="shared" si="619"/>
        <v>0</v>
      </c>
      <c r="AT571" s="1125">
        <f t="shared" si="620"/>
        <v>0</v>
      </c>
      <c r="AU571" s="1125">
        <f t="shared" si="621"/>
        <v>0</v>
      </c>
      <c r="AV571" s="1125">
        <f t="shared" si="622"/>
        <v>1</v>
      </c>
      <c r="AW571" s="1125">
        <f t="shared" si="623"/>
        <v>1</v>
      </c>
      <c r="AX571" s="1125">
        <f t="shared" si="624"/>
        <v>1</v>
      </c>
      <c r="AY571" s="1125">
        <f t="shared" si="625"/>
        <v>0</v>
      </c>
      <c r="AZ571" s="1125">
        <f t="shared" si="626"/>
        <v>0</v>
      </c>
      <c r="BA571" s="1125">
        <f t="shared" si="627"/>
        <v>0</v>
      </c>
      <c r="BB571" s="1125">
        <f t="shared" si="628"/>
        <v>0</v>
      </c>
      <c r="BC571" s="1125">
        <f t="shared" si="629"/>
        <v>1</v>
      </c>
      <c r="BD571" s="1125">
        <f t="shared" si="630"/>
        <v>1</v>
      </c>
      <c r="BE571" s="1125">
        <f t="shared" si="631"/>
        <v>1</v>
      </c>
      <c r="BF571" s="1125">
        <f t="shared" si="632"/>
        <v>1</v>
      </c>
      <c r="BG571" s="1125">
        <f t="shared" si="633"/>
        <v>1</v>
      </c>
      <c r="BH571" s="1125">
        <f t="shared" si="634"/>
        <v>0</v>
      </c>
      <c r="BI571" s="1125">
        <f t="shared" si="635"/>
        <v>0</v>
      </c>
      <c r="BJ571" s="1125">
        <f t="shared" si="636"/>
        <v>0</v>
      </c>
      <c r="BK571" s="1125">
        <f t="shared" si="637"/>
        <v>1</v>
      </c>
      <c r="BL571" s="1125">
        <f t="shared" si="638"/>
        <v>1</v>
      </c>
      <c r="BM571" s="1125">
        <f t="shared" si="639"/>
        <v>1</v>
      </c>
      <c r="BN571" s="1125">
        <f t="shared" si="640"/>
        <v>1</v>
      </c>
      <c r="BO571" s="1125">
        <f t="shared" si="641"/>
        <v>1</v>
      </c>
      <c r="BP571" s="1125">
        <f t="shared" si="642"/>
        <v>0</v>
      </c>
      <c r="BQ571" s="1125">
        <f t="shared" si="643"/>
        <v>0</v>
      </c>
      <c r="BR571" s="1125">
        <f t="shared" si="644"/>
        <v>0</v>
      </c>
      <c r="BS571" s="1125">
        <f t="shared" si="645"/>
        <v>0</v>
      </c>
      <c r="BT571" s="1125">
        <f t="shared" si="646"/>
        <v>1</v>
      </c>
      <c r="BU571" s="1125">
        <f t="shared" si="647"/>
        <v>1</v>
      </c>
      <c r="BV571" s="1125">
        <f t="shared" si="648"/>
        <v>1</v>
      </c>
      <c r="BW571" s="1125">
        <f t="shared" si="649"/>
        <v>0</v>
      </c>
      <c r="BX571" s="1125">
        <f t="shared" si="650"/>
        <v>0</v>
      </c>
      <c r="BY571" s="1125">
        <f t="shared" si="651"/>
        <v>0</v>
      </c>
      <c r="BZ571" s="1125">
        <f t="shared" si="652"/>
        <v>1</v>
      </c>
      <c r="CA571" s="1125">
        <f t="shared" si="653"/>
        <v>1</v>
      </c>
      <c r="CB571" s="1125">
        <f t="shared" si="654"/>
        <v>1</v>
      </c>
      <c r="CC571" s="1125">
        <f t="shared" si="655"/>
        <v>1</v>
      </c>
      <c r="CD571" s="1125">
        <f t="shared" si="656"/>
        <v>1</v>
      </c>
      <c r="CE571" s="1125">
        <f t="shared" si="657"/>
        <v>1</v>
      </c>
      <c r="CF571" s="1125">
        <f t="shared" si="658"/>
        <v>1</v>
      </c>
      <c r="CG571" s="1125">
        <f t="shared" si="659"/>
        <v>0</v>
      </c>
      <c r="CH571" s="1125">
        <f t="shared" si="660"/>
        <v>0</v>
      </c>
      <c r="CI571" s="1125">
        <f t="shared" si="661"/>
        <v>0.85</v>
      </c>
      <c r="CJ571" s="1125">
        <f t="shared" si="662"/>
        <v>0.85</v>
      </c>
      <c r="CK571" s="1125">
        <f t="shared" si="663"/>
        <v>0.85</v>
      </c>
      <c r="CL571" s="1125">
        <f t="shared" si="664"/>
        <v>0.85</v>
      </c>
      <c r="CM571" s="1125">
        <f t="shared" si="665"/>
        <v>0.85</v>
      </c>
      <c r="CN571" s="1125">
        <f t="shared" si="666"/>
        <v>0.7</v>
      </c>
      <c r="CO571" s="1125">
        <f t="shared" si="667"/>
        <v>0.7</v>
      </c>
      <c r="CP571" s="1125">
        <f t="shared" si="668"/>
        <v>0.7</v>
      </c>
      <c r="CQ571" s="1125">
        <f t="shared" si="669"/>
        <v>0.7</v>
      </c>
      <c r="CR571" s="1125">
        <f t="shared" si="670"/>
        <v>0.85</v>
      </c>
      <c r="CS571" s="1125">
        <f t="shared" si="671"/>
        <v>0.85</v>
      </c>
      <c r="CT571" s="1125">
        <f t="shared" si="672"/>
        <v>0.85</v>
      </c>
      <c r="CU571" s="1125">
        <v>1</v>
      </c>
      <c r="CV571" s="1125"/>
      <c r="CW571" s="1125">
        <f t="shared" si="673"/>
        <v>214</v>
      </c>
      <c r="CX571" s="1125">
        <f t="shared" si="674"/>
        <v>151</v>
      </c>
      <c r="CY571" s="1136" t="s">
        <v>4881</v>
      </c>
      <c r="CZ571" s="1129" t="s">
        <v>4882</v>
      </c>
      <c r="DA571" s="1129"/>
      <c r="DB571" s="1129"/>
      <c r="DC571" s="1125" t="s">
        <v>5506</v>
      </c>
      <c r="DD571" s="1125" t="s">
        <v>61</v>
      </c>
      <c r="DE571" s="1120" t="str">
        <f t="shared" si="675"/>
        <v/>
      </c>
      <c r="DF571" s="1133">
        <v>0</v>
      </c>
      <c r="DG571" s="1125">
        <v>0</v>
      </c>
    </row>
    <row r="572" spans="1:111">
      <c r="A572" s="1120" t="s">
        <v>3864</v>
      </c>
      <c r="B572" s="1120" t="s">
        <v>4430</v>
      </c>
      <c r="C572" s="1120" t="s">
        <v>4431</v>
      </c>
      <c r="D572" s="1120" t="s">
        <v>228</v>
      </c>
      <c r="E572" s="1120">
        <v>98</v>
      </c>
      <c r="F572" s="1120">
        <v>-98.17</v>
      </c>
      <c r="G572" s="1120">
        <v>26.31</v>
      </c>
      <c r="H572" s="1120">
        <v>-6</v>
      </c>
      <c r="I572" s="1121">
        <v>40.820000171661377</v>
      </c>
      <c r="J572" s="1121">
        <v>98.779997253417974</v>
      </c>
      <c r="K572" s="1122">
        <v>76.639998626708987</v>
      </c>
      <c r="L572" s="1120">
        <v>729</v>
      </c>
      <c r="M572" s="1120">
        <v>3783.6</v>
      </c>
      <c r="N572" s="1123">
        <v>62.239998626708989</v>
      </c>
      <c r="O572" s="1123">
        <v>64.219999313354492</v>
      </c>
      <c r="P572" s="1123">
        <v>66.560001373291016</v>
      </c>
      <c r="Q572" s="1123">
        <v>69.619999313354498</v>
      </c>
      <c r="R572" s="1123">
        <v>77.180000686645513</v>
      </c>
      <c r="S572" s="1123">
        <v>83.119999313354498</v>
      </c>
      <c r="T572" s="1123">
        <v>86.360001373291013</v>
      </c>
      <c r="U572" s="1123">
        <v>84.2</v>
      </c>
      <c r="V572" s="1123">
        <v>81.860001373291013</v>
      </c>
      <c r="W572" s="1123">
        <v>75.019999313354489</v>
      </c>
      <c r="X572" s="1123">
        <v>67.099999999999994</v>
      </c>
      <c r="Y572" s="1123">
        <v>55.219999313354492</v>
      </c>
      <c r="Z572" s="1123">
        <v>72.765315074136808</v>
      </c>
      <c r="AA572" s="1123">
        <f t="shared" si="601"/>
        <v>68.120121953055531</v>
      </c>
      <c r="AB572" s="1123">
        <f t="shared" si="602"/>
        <v>68.941557341047712</v>
      </c>
      <c r="AC572" s="1123">
        <f t="shared" si="603"/>
        <v>72.323706570858732</v>
      </c>
      <c r="AD572" s="1123">
        <f t="shared" si="604"/>
        <v>77.384960325241025</v>
      </c>
      <c r="AE572" s="1123">
        <f t="shared" si="605"/>
        <v>82.806024816833599</v>
      </c>
      <c r="AF572" s="1123">
        <f t="shared" si="606"/>
        <v>87.173816044770234</v>
      </c>
      <c r="AG572" s="1123">
        <f t="shared" si="607"/>
        <v>89.349801915788987</v>
      </c>
      <c r="AH572" s="1123">
        <f t="shared" si="608"/>
        <v>88.766778179651524</v>
      </c>
      <c r="AI572" s="1123">
        <f t="shared" si="609"/>
        <v>85.576718957849792</v>
      </c>
      <c r="AJ572" s="1123">
        <f t="shared" si="610"/>
        <v>80.611162346847109</v>
      </c>
      <c r="AK572" s="1123">
        <f t="shared" si="611"/>
        <v>75.164457198844971</v>
      </c>
      <c r="AL572" s="1123">
        <f t="shared" si="612"/>
        <v>70.656371146937218</v>
      </c>
      <c r="AM572" s="1120">
        <f t="shared" si="613"/>
        <v>1</v>
      </c>
      <c r="AN572" s="1120">
        <f t="shared" si="614"/>
        <v>1</v>
      </c>
      <c r="AO572" s="1120">
        <f t="shared" si="615"/>
        <v>0</v>
      </c>
      <c r="AP572" s="1120">
        <f t="shared" si="616"/>
        <v>0</v>
      </c>
      <c r="AQ572" s="1120">
        <f t="shared" si="617"/>
        <v>0</v>
      </c>
      <c r="AR572" s="1120">
        <f t="shared" si="618"/>
        <v>0</v>
      </c>
      <c r="AS572" s="1120">
        <f t="shared" si="619"/>
        <v>0</v>
      </c>
      <c r="AT572" s="1120">
        <f t="shared" si="620"/>
        <v>0</v>
      </c>
      <c r="AU572" s="1120">
        <f t="shared" si="621"/>
        <v>0</v>
      </c>
      <c r="AV572" s="1120">
        <f t="shared" si="622"/>
        <v>0</v>
      </c>
      <c r="AW572" s="1120">
        <f t="shared" si="623"/>
        <v>0</v>
      </c>
      <c r="AX572" s="1120">
        <f t="shared" si="624"/>
        <v>1</v>
      </c>
      <c r="AY572" s="1120">
        <f t="shared" si="625"/>
        <v>0</v>
      </c>
      <c r="AZ572" s="1120">
        <f t="shared" si="626"/>
        <v>0</v>
      </c>
      <c r="BA572" s="1120">
        <f t="shared" si="627"/>
        <v>1</v>
      </c>
      <c r="BB572" s="1120">
        <f t="shared" si="628"/>
        <v>1</v>
      </c>
      <c r="BC572" s="1120">
        <f t="shared" si="629"/>
        <v>1</v>
      </c>
      <c r="BD572" s="1120">
        <f t="shared" si="630"/>
        <v>1</v>
      </c>
      <c r="BE572" s="1120">
        <f t="shared" si="631"/>
        <v>1</v>
      </c>
      <c r="BF572" s="1120">
        <f t="shared" si="632"/>
        <v>1</v>
      </c>
      <c r="BG572" s="1120">
        <f t="shared" si="633"/>
        <v>1</v>
      </c>
      <c r="BH572" s="1120">
        <f t="shared" si="634"/>
        <v>1</v>
      </c>
      <c r="BI572" s="1120">
        <f t="shared" si="635"/>
        <v>1</v>
      </c>
      <c r="BJ572" s="1120">
        <f t="shared" si="636"/>
        <v>0</v>
      </c>
      <c r="BK572" s="1120">
        <f t="shared" si="637"/>
        <v>1</v>
      </c>
      <c r="BL572" s="1120">
        <f t="shared" si="638"/>
        <v>1</v>
      </c>
      <c r="BM572" s="1120">
        <f t="shared" si="639"/>
        <v>1</v>
      </c>
      <c r="BN572" s="1120">
        <f t="shared" si="640"/>
        <v>0</v>
      </c>
      <c r="BO572" s="1120">
        <f t="shared" si="641"/>
        <v>0</v>
      </c>
      <c r="BP572" s="1120">
        <f t="shared" si="642"/>
        <v>0</v>
      </c>
      <c r="BQ572" s="1120">
        <f t="shared" si="643"/>
        <v>0</v>
      </c>
      <c r="BR572" s="1120">
        <f t="shared" si="644"/>
        <v>0</v>
      </c>
      <c r="BS572" s="1120">
        <f t="shared" si="645"/>
        <v>0</v>
      </c>
      <c r="BT572" s="1120">
        <f t="shared" si="646"/>
        <v>0</v>
      </c>
      <c r="BU572" s="1120">
        <f t="shared" si="647"/>
        <v>0</v>
      </c>
      <c r="BV572" s="1120">
        <f t="shared" si="648"/>
        <v>1</v>
      </c>
      <c r="BW572" s="1120">
        <f t="shared" si="649"/>
        <v>0</v>
      </c>
      <c r="BX572" s="1120">
        <f t="shared" si="650"/>
        <v>1</v>
      </c>
      <c r="BY572" s="1120">
        <f t="shared" si="651"/>
        <v>1</v>
      </c>
      <c r="BZ572" s="1120">
        <f t="shared" si="652"/>
        <v>1</v>
      </c>
      <c r="CA572" s="1120">
        <f t="shared" si="653"/>
        <v>1</v>
      </c>
      <c r="CB572" s="1120">
        <f t="shared" si="654"/>
        <v>1</v>
      </c>
      <c r="CC572" s="1120">
        <f t="shared" si="655"/>
        <v>1</v>
      </c>
      <c r="CD572" s="1120">
        <f t="shared" si="656"/>
        <v>1</v>
      </c>
      <c r="CE572" s="1120">
        <f t="shared" si="657"/>
        <v>1</v>
      </c>
      <c r="CF572" s="1120">
        <f t="shared" si="658"/>
        <v>1</v>
      </c>
      <c r="CG572" s="1120">
        <f t="shared" si="659"/>
        <v>1</v>
      </c>
      <c r="CH572" s="1120">
        <f t="shared" si="660"/>
        <v>1</v>
      </c>
      <c r="CI572" s="1120">
        <f t="shared" si="661"/>
        <v>0.85</v>
      </c>
      <c r="CJ572" s="1120">
        <f t="shared" si="662"/>
        <v>0.85</v>
      </c>
      <c r="CK572" s="1120">
        <f t="shared" si="663"/>
        <v>0.85</v>
      </c>
      <c r="CL572" s="1120">
        <f t="shared" si="664"/>
        <v>0.7</v>
      </c>
      <c r="CM572" s="1120">
        <f t="shared" si="665"/>
        <v>0.7</v>
      </c>
      <c r="CN572" s="1120">
        <f t="shared" si="666"/>
        <v>0.7</v>
      </c>
      <c r="CO572" s="1120">
        <f t="shared" si="667"/>
        <v>0.7</v>
      </c>
      <c r="CP572" s="1120">
        <f t="shared" si="668"/>
        <v>0.7</v>
      </c>
      <c r="CQ572" s="1120">
        <f t="shared" si="669"/>
        <v>0.7</v>
      </c>
      <c r="CR572" s="1120">
        <f t="shared" si="670"/>
        <v>0.7</v>
      </c>
      <c r="CS572" s="1120">
        <f t="shared" si="671"/>
        <v>0.7</v>
      </c>
      <c r="CT572" s="1120">
        <f t="shared" si="672"/>
        <v>0.85</v>
      </c>
      <c r="CU572" s="1120">
        <v>1</v>
      </c>
      <c r="CV572" s="1120"/>
      <c r="CW572" s="1120">
        <f t="shared" si="673"/>
        <v>334</v>
      </c>
      <c r="CX572" s="1120">
        <f t="shared" si="674"/>
        <v>31</v>
      </c>
      <c r="CY572" s="1135" t="s">
        <v>4883</v>
      </c>
      <c r="CZ572" s="1124" t="s">
        <v>4884</v>
      </c>
      <c r="DA572" s="1124"/>
      <c r="DB572" s="1124"/>
      <c r="DC572" s="1120" t="s">
        <v>5605</v>
      </c>
      <c r="DD572" s="1120" t="s">
        <v>228</v>
      </c>
      <c r="DE572" s="1120" t="b">
        <f t="shared" si="675"/>
        <v>0</v>
      </c>
      <c r="DF572" s="1133">
        <v>0</v>
      </c>
      <c r="DG572" s="1120">
        <v>0</v>
      </c>
    </row>
    <row r="573" spans="1:111">
      <c r="A573" s="1125" t="s">
        <v>3866</v>
      </c>
      <c r="B573" s="1120" t="s">
        <v>3886</v>
      </c>
      <c r="C573" s="1120" t="s">
        <v>3887</v>
      </c>
      <c r="D573" s="1120" t="s">
        <v>460</v>
      </c>
      <c r="E573" s="1120">
        <v>413</v>
      </c>
      <c r="F573" s="1120">
        <v>-90.47</v>
      </c>
      <c r="G573" s="1120">
        <v>31.23</v>
      </c>
      <c r="H573" s="1120">
        <v>-6</v>
      </c>
      <c r="I573" s="1121">
        <v>28.4</v>
      </c>
      <c r="J573" s="1121">
        <v>92.660001373291024</v>
      </c>
      <c r="K573" s="1122">
        <v>76.099999999999994</v>
      </c>
      <c r="L573" s="1120">
        <v>2032.2</v>
      </c>
      <c r="M573" s="1120">
        <v>2251.8000000000002</v>
      </c>
      <c r="N573" s="1123">
        <v>48.380000686645509</v>
      </c>
      <c r="O573" s="1123">
        <v>51.440000343322751</v>
      </c>
      <c r="P573" s="1123">
        <v>57.2</v>
      </c>
      <c r="Q573" s="1123">
        <v>68.539998626708979</v>
      </c>
      <c r="R573" s="1123">
        <v>70.7</v>
      </c>
      <c r="S573" s="1123">
        <v>78.080000686645505</v>
      </c>
      <c r="T573" s="1123">
        <v>79.16000137329101</v>
      </c>
      <c r="U573" s="1123">
        <v>80.419999313354495</v>
      </c>
      <c r="V573" s="1123">
        <v>77.539998626708979</v>
      </c>
      <c r="W573" s="1123">
        <v>65.480000686645511</v>
      </c>
      <c r="X573" s="1123">
        <v>53.6</v>
      </c>
      <c r="Y573" s="1123">
        <v>48.740000343322755</v>
      </c>
      <c r="Z573" s="1123">
        <v>65.001643896756107</v>
      </c>
      <c r="AA573" s="1123">
        <f t="shared" si="601"/>
        <v>61.511366944772647</v>
      </c>
      <c r="AB573" s="1123">
        <f t="shared" si="602"/>
        <v>61.597365639478674</v>
      </c>
      <c r="AC573" s="1123">
        <f t="shared" si="603"/>
        <v>64.134734386258827</v>
      </c>
      <c r="AD573" s="1123">
        <f t="shared" si="604"/>
        <v>68.462068919228869</v>
      </c>
      <c r="AE573" s="1123">
        <f t="shared" si="605"/>
        <v>73.451382806126432</v>
      </c>
      <c r="AF573" s="1123">
        <f t="shared" si="606"/>
        <v>77.802134494677276</v>
      </c>
      <c r="AG573" s="1123">
        <f t="shared" si="607"/>
        <v>80.380233510147647</v>
      </c>
      <c r="AH573" s="1123">
        <f t="shared" si="608"/>
        <v>80.513658614446712</v>
      </c>
      <c r="AI573" s="1123">
        <f t="shared" si="609"/>
        <v>78.167630497995859</v>
      </c>
      <c r="AJ573" s="1123">
        <f t="shared" si="610"/>
        <v>73.953677542735605</v>
      </c>
      <c r="AK573" s="1123">
        <f t="shared" si="611"/>
        <v>68.970231525435281</v>
      </c>
      <c r="AL573" s="1123">
        <f t="shared" si="612"/>
        <v>64.516304447731954</v>
      </c>
      <c r="AM573" s="1120">
        <f t="shared" si="613"/>
        <v>1</v>
      </c>
      <c r="AN573" s="1120">
        <f t="shared" si="614"/>
        <v>1</v>
      </c>
      <c r="AO573" s="1120">
        <f t="shared" si="615"/>
        <v>1</v>
      </c>
      <c r="AP573" s="1120">
        <f t="shared" si="616"/>
        <v>0</v>
      </c>
      <c r="AQ573" s="1120">
        <f t="shared" si="617"/>
        <v>0</v>
      </c>
      <c r="AR573" s="1120">
        <f t="shared" si="618"/>
        <v>0</v>
      </c>
      <c r="AS573" s="1120">
        <f t="shared" si="619"/>
        <v>0</v>
      </c>
      <c r="AT573" s="1120">
        <f t="shared" si="620"/>
        <v>0</v>
      </c>
      <c r="AU573" s="1120">
        <f t="shared" si="621"/>
        <v>0</v>
      </c>
      <c r="AV573" s="1120">
        <f t="shared" si="622"/>
        <v>1</v>
      </c>
      <c r="AW573" s="1120">
        <f t="shared" si="623"/>
        <v>1</v>
      </c>
      <c r="AX573" s="1120">
        <f t="shared" si="624"/>
        <v>1</v>
      </c>
      <c r="AY573" s="1120">
        <f t="shared" si="625"/>
        <v>0</v>
      </c>
      <c r="AZ573" s="1120">
        <f t="shared" si="626"/>
        <v>0</v>
      </c>
      <c r="BA573" s="1120">
        <f t="shared" si="627"/>
        <v>0</v>
      </c>
      <c r="BB573" s="1120">
        <f t="shared" si="628"/>
        <v>1</v>
      </c>
      <c r="BC573" s="1120">
        <f t="shared" si="629"/>
        <v>1</v>
      </c>
      <c r="BD573" s="1120">
        <f t="shared" si="630"/>
        <v>1</v>
      </c>
      <c r="BE573" s="1120">
        <f t="shared" si="631"/>
        <v>1</v>
      </c>
      <c r="BF573" s="1120">
        <f t="shared" si="632"/>
        <v>1</v>
      </c>
      <c r="BG573" s="1120">
        <f t="shared" si="633"/>
        <v>1</v>
      </c>
      <c r="BH573" s="1120">
        <f t="shared" si="634"/>
        <v>0</v>
      </c>
      <c r="BI573" s="1120">
        <f t="shared" si="635"/>
        <v>0</v>
      </c>
      <c r="BJ573" s="1120">
        <f t="shared" si="636"/>
        <v>0</v>
      </c>
      <c r="BK573" s="1120">
        <f t="shared" si="637"/>
        <v>1</v>
      </c>
      <c r="BL573" s="1120">
        <f t="shared" si="638"/>
        <v>1</v>
      </c>
      <c r="BM573" s="1120">
        <f t="shared" si="639"/>
        <v>1</v>
      </c>
      <c r="BN573" s="1120">
        <f t="shared" si="640"/>
        <v>1</v>
      </c>
      <c r="BO573" s="1120">
        <f t="shared" si="641"/>
        <v>0</v>
      </c>
      <c r="BP573" s="1120">
        <f t="shared" si="642"/>
        <v>0</v>
      </c>
      <c r="BQ573" s="1120">
        <f t="shared" si="643"/>
        <v>0</v>
      </c>
      <c r="BR573" s="1120">
        <f t="shared" si="644"/>
        <v>0</v>
      </c>
      <c r="BS573" s="1120">
        <f t="shared" si="645"/>
        <v>0</v>
      </c>
      <c r="BT573" s="1120">
        <f t="shared" si="646"/>
        <v>1</v>
      </c>
      <c r="BU573" s="1120">
        <f t="shared" si="647"/>
        <v>1</v>
      </c>
      <c r="BV573" s="1120">
        <f t="shared" si="648"/>
        <v>1</v>
      </c>
      <c r="BW573" s="1120">
        <f t="shared" si="649"/>
        <v>0</v>
      </c>
      <c r="BX573" s="1120">
        <f t="shared" si="650"/>
        <v>0</v>
      </c>
      <c r="BY573" s="1120">
        <f t="shared" si="651"/>
        <v>1</v>
      </c>
      <c r="BZ573" s="1120">
        <f t="shared" si="652"/>
        <v>1</v>
      </c>
      <c r="CA573" s="1120">
        <f t="shared" si="653"/>
        <v>1</v>
      </c>
      <c r="CB573" s="1120">
        <f t="shared" si="654"/>
        <v>1</v>
      </c>
      <c r="CC573" s="1120">
        <f t="shared" si="655"/>
        <v>1</v>
      </c>
      <c r="CD573" s="1120">
        <f t="shared" si="656"/>
        <v>1</v>
      </c>
      <c r="CE573" s="1120">
        <f t="shared" si="657"/>
        <v>1</v>
      </c>
      <c r="CF573" s="1120">
        <f t="shared" si="658"/>
        <v>1</v>
      </c>
      <c r="CG573" s="1120">
        <f t="shared" si="659"/>
        <v>0</v>
      </c>
      <c r="CH573" s="1120">
        <f t="shared" si="660"/>
        <v>0</v>
      </c>
      <c r="CI573" s="1120">
        <f t="shared" si="661"/>
        <v>0.85</v>
      </c>
      <c r="CJ573" s="1120">
        <f t="shared" si="662"/>
        <v>0.85</v>
      </c>
      <c r="CK573" s="1120">
        <f t="shared" si="663"/>
        <v>0.85</v>
      </c>
      <c r="CL573" s="1120">
        <f t="shared" si="664"/>
        <v>0.85</v>
      </c>
      <c r="CM573" s="1120">
        <f t="shared" si="665"/>
        <v>0.7</v>
      </c>
      <c r="CN573" s="1120">
        <f t="shared" si="666"/>
        <v>0.7</v>
      </c>
      <c r="CO573" s="1120">
        <f t="shared" si="667"/>
        <v>0.7</v>
      </c>
      <c r="CP573" s="1120">
        <f t="shared" si="668"/>
        <v>0.7</v>
      </c>
      <c r="CQ573" s="1120">
        <f t="shared" si="669"/>
        <v>0.7</v>
      </c>
      <c r="CR573" s="1120">
        <f t="shared" si="670"/>
        <v>0.85</v>
      </c>
      <c r="CS573" s="1120">
        <f t="shared" si="671"/>
        <v>0.85</v>
      </c>
      <c r="CT573" s="1120">
        <f t="shared" si="672"/>
        <v>0.85</v>
      </c>
      <c r="CU573" s="1120">
        <v>1</v>
      </c>
      <c r="CV573" s="1120"/>
      <c r="CW573" s="1120">
        <f t="shared" si="673"/>
        <v>245</v>
      </c>
      <c r="CX573" s="1120">
        <f t="shared" si="674"/>
        <v>120</v>
      </c>
      <c r="CY573" s="1135" t="s">
        <v>4883</v>
      </c>
      <c r="CZ573" s="1124" t="s">
        <v>4882</v>
      </c>
      <c r="DA573" s="1124"/>
      <c r="DB573" s="1124"/>
      <c r="DC573" s="1120" t="s">
        <v>5368</v>
      </c>
      <c r="DD573" s="1120" t="s">
        <v>460</v>
      </c>
      <c r="DE573" s="1120" t="str">
        <f t="shared" si="675"/>
        <v/>
      </c>
      <c r="DF573" s="1133">
        <v>0</v>
      </c>
      <c r="DG573" s="1125">
        <v>0</v>
      </c>
    </row>
    <row r="574" spans="1:111">
      <c r="A574" s="1120" t="s">
        <v>3858</v>
      </c>
      <c r="B574" s="1120" t="s">
        <v>3587</v>
      </c>
      <c r="C574" s="1120" t="s">
        <v>3588</v>
      </c>
      <c r="D574" s="1120" t="s">
        <v>256</v>
      </c>
      <c r="E574" s="1120">
        <v>1358</v>
      </c>
      <c r="F574" s="1120">
        <v>-97.27</v>
      </c>
      <c r="G574" s="1120">
        <v>37.619999999999997</v>
      </c>
      <c r="H574" s="1120">
        <v>-6</v>
      </c>
      <c r="I574" s="1121">
        <v>11.659999656677245</v>
      </c>
      <c r="J574" s="1121">
        <v>96.979997253417977</v>
      </c>
      <c r="K574" s="1122">
        <v>73.400000000000006</v>
      </c>
      <c r="L574" s="1120">
        <v>4707</v>
      </c>
      <c r="M574" s="1120">
        <v>1971</v>
      </c>
      <c r="N574" s="1123">
        <v>32.180000002682206</v>
      </c>
      <c r="O574" s="1123">
        <v>35.23999991416931</v>
      </c>
      <c r="P574" s="1123">
        <v>41</v>
      </c>
      <c r="Q574" s="1123">
        <v>53.419999313354495</v>
      </c>
      <c r="R574" s="1123">
        <v>68</v>
      </c>
      <c r="S574" s="1123">
        <v>78.260001373291018</v>
      </c>
      <c r="T574" s="1123">
        <v>83.3</v>
      </c>
      <c r="U574" s="1123">
        <v>76.639998626708987</v>
      </c>
      <c r="V574" s="1123">
        <v>74.3</v>
      </c>
      <c r="W574" s="1123">
        <v>60.8</v>
      </c>
      <c r="X574" s="1123">
        <v>40.820000171661377</v>
      </c>
      <c r="Y574" s="1123">
        <v>37.220000171661376</v>
      </c>
      <c r="Z574" s="1123">
        <v>56.887835578571448</v>
      </c>
      <c r="AA574" s="1123">
        <f t="shared" si="601"/>
        <v>50.336670056783305</v>
      </c>
      <c r="AB574" s="1123">
        <f t="shared" si="602"/>
        <v>49.494054281555442</v>
      </c>
      <c r="AC574" s="1123">
        <f t="shared" si="603"/>
        <v>52.142734005812393</v>
      </c>
      <c r="AD574" s="1123">
        <f t="shared" si="604"/>
        <v>57.59229004203651</v>
      </c>
      <c r="AE574" s="1123">
        <f t="shared" si="605"/>
        <v>64.422211629185384</v>
      </c>
      <c r="AF574" s="1123">
        <f t="shared" si="606"/>
        <v>70.85217445329107</v>
      </c>
      <c r="AG574" s="1123">
        <f t="shared" si="607"/>
        <v>75.206109615523872</v>
      </c>
      <c r="AH574" s="1123">
        <f t="shared" si="608"/>
        <v>76.349096819676021</v>
      </c>
      <c r="AI574" s="1123">
        <f t="shared" si="609"/>
        <v>73.983198837019245</v>
      </c>
      <c r="AJ574" s="1123">
        <f t="shared" si="610"/>
        <v>68.725123436324566</v>
      </c>
      <c r="AK574" s="1123">
        <f t="shared" si="611"/>
        <v>61.945469000177717</v>
      </c>
      <c r="AL574" s="1123">
        <f t="shared" si="612"/>
        <v>55.411456934997773</v>
      </c>
      <c r="AM574" s="1120">
        <f t="shared" si="613"/>
        <v>1</v>
      </c>
      <c r="AN574" s="1120">
        <f t="shared" si="614"/>
        <v>1</v>
      </c>
      <c r="AO574" s="1120">
        <f t="shared" si="615"/>
        <v>1</v>
      </c>
      <c r="AP574" s="1120">
        <f t="shared" si="616"/>
        <v>1</v>
      </c>
      <c r="AQ574" s="1120">
        <f t="shared" si="617"/>
        <v>0</v>
      </c>
      <c r="AR574" s="1120">
        <f t="shared" si="618"/>
        <v>0</v>
      </c>
      <c r="AS574" s="1120">
        <f t="shared" si="619"/>
        <v>0</v>
      </c>
      <c r="AT574" s="1120">
        <f t="shared" si="620"/>
        <v>0</v>
      </c>
      <c r="AU574" s="1120">
        <f t="shared" si="621"/>
        <v>0</v>
      </c>
      <c r="AV574" s="1120">
        <f t="shared" si="622"/>
        <v>1</v>
      </c>
      <c r="AW574" s="1120">
        <f t="shared" si="623"/>
        <v>1</v>
      </c>
      <c r="AX574" s="1120">
        <f t="shared" si="624"/>
        <v>1</v>
      </c>
      <c r="AY574" s="1120">
        <f t="shared" si="625"/>
        <v>0</v>
      </c>
      <c r="AZ574" s="1120">
        <f t="shared" si="626"/>
        <v>0</v>
      </c>
      <c r="BA574" s="1120">
        <f t="shared" si="627"/>
        <v>0</v>
      </c>
      <c r="BB574" s="1120">
        <f t="shared" si="628"/>
        <v>0</v>
      </c>
      <c r="BC574" s="1120">
        <f t="shared" si="629"/>
        <v>1</v>
      </c>
      <c r="BD574" s="1120">
        <f t="shared" si="630"/>
        <v>1</v>
      </c>
      <c r="BE574" s="1120">
        <f t="shared" si="631"/>
        <v>1</v>
      </c>
      <c r="BF574" s="1120">
        <f t="shared" si="632"/>
        <v>1</v>
      </c>
      <c r="BG574" s="1120">
        <f t="shared" si="633"/>
        <v>1</v>
      </c>
      <c r="BH574" s="1120">
        <f t="shared" si="634"/>
        <v>0</v>
      </c>
      <c r="BI574" s="1120">
        <f t="shared" si="635"/>
        <v>0</v>
      </c>
      <c r="BJ574" s="1120">
        <f t="shared" si="636"/>
        <v>0</v>
      </c>
      <c r="BK574" s="1120">
        <f t="shared" si="637"/>
        <v>1</v>
      </c>
      <c r="BL574" s="1120">
        <f t="shared" si="638"/>
        <v>1</v>
      </c>
      <c r="BM574" s="1120">
        <f t="shared" si="639"/>
        <v>1</v>
      </c>
      <c r="BN574" s="1120">
        <f t="shared" si="640"/>
        <v>1</v>
      </c>
      <c r="BO574" s="1120">
        <f t="shared" si="641"/>
        <v>1</v>
      </c>
      <c r="BP574" s="1120">
        <f t="shared" si="642"/>
        <v>0</v>
      </c>
      <c r="BQ574" s="1120">
        <f t="shared" si="643"/>
        <v>0</v>
      </c>
      <c r="BR574" s="1120">
        <f t="shared" si="644"/>
        <v>0</v>
      </c>
      <c r="BS574" s="1120">
        <f t="shared" si="645"/>
        <v>0</v>
      </c>
      <c r="BT574" s="1120">
        <f t="shared" si="646"/>
        <v>1</v>
      </c>
      <c r="BU574" s="1120">
        <f t="shared" si="647"/>
        <v>1</v>
      </c>
      <c r="BV574" s="1120">
        <f t="shared" si="648"/>
        <v>1</v>
      </c>
      <c r="BW574" s="1120">
        <f t="shared" si="649"/>
        <v>0</v>
      </c>
      <c r="BX574" s="1120">
        <f t="shared" si="650"/>
        <v>0</v>
      </c>
      <c r="BY574" s="1120">
        <f t="shared" si="651"/>
        <v>0</v>
      </c>
      <c r="BZ574" s="1120">
        <f t="shared" si="652"/>
        <v>1</v>
      </c>
      <c r="CA574" s="1120">
        <f t="shared" si="653"/>
        <v>1</v>
      </c>
      <c r="CB574" s="1120">
        <f t="shared" si="654"/>
        <v>1</v>
      </c>
      <c r="CC574" s="1120">
        <f t="shared" si="655"/>
        <v>1</v>
      </c>
      <c r="CD574" s="1120">
        <f t="shared" si="656"/>
        <v>1</v>
      </c>
      <c r="CE574" s="1120">
        <f t="shared" si="657"/>
        <v>1</v>
      </c>
      <c r="CF574" s="1120">
        <f t="shared" si="658"/>
        <v>1</v>
      </c>
      <c r="CG574" s="1120">
        <f t="shared" si="659"/>
        <v>0</v>
      </c>
      <c r="CH574" s="1120">
        <f t="shared" si="660"/>
        <v>0</v>
      </c>
      <c r="CI574" s="1120">
        <f t="shared" si="661"/>
        <v>0.85</v>
      </c>
      <c r="CJ574" s="1120">
        <f t="shared" si="662"/>
        <v>0.85</v>
      </c>
      <c r="CK574" s="1120">
        <f t="shared" si="663"/>
        <v>0.85</v>
      </c>
      <c r="CL574" s="1120">
        <f t="shared" si="664"/>
        <v>0.85</v>
      </c>
      <c r="CM574" s="1120">
        <f t="shared" si="665"/>
        <v>0.85</v>
      </c>
      <c r="CN574" s="1120">
        <f t="shared" si="666"/>
        <v>0.7</v>
      </c>
      <c r="CO574" s="1120">
        <f t="shared" si="667"/>
        <v>0.7</v>
      </c>
      <c r="CP574" s="1120">
        <f t="shared" si="668"/>
        <v>0.7</v>
      </c>
      <c r="CQ574" s="1120">
        <f t="shared" si="669"/>
        <v>0.7</v>
      </c>
      <c r="CR574" s="1120">
        <f t="shared" si="670"/>
        <v>0.85</v>
      </c>
      <c r="CS574" s="1120">
        <f t="shared" si="671"/>
        <v>0.85</v>
      </c>
      <c r="CT574" s="1120">
        <f t="shared" si="672"/>
        <v>0.85</v>
      </c>
      <c r="CU574" s="1120">
        <v>1</v>
      </c>
      <c r="CV574" s="1120"/>
      <c r="CW574" s="1120">
        <f t="shared" si="673"/>
        <v>214</v>
      </c>
      <c r="CX574" s="1120">
        <f t="shared" si="674"/>
        <v>151</v>
      </c>
      <c r="CY574" s="1135" t="s">
        <v>4881</v>
      </c>
      <c r="CZ574" s="1124" t="s">
        <v>4885</v>
      </c>
      <c r="DA574" s="1124"/>
      <c r="DB574" s="1124"/>
      <c r="DC574" s="1120" t="s">
        <v>5235</v>
      </c>
      <c r="DD574" s="1120" t="s">
        <v>256</v>
      </c>
      <c r="DE574" s="1120" t="str">
        <f t="shared" si="675"/>
        <v/>
      </c>
      <c r="DF574" s="1133">
        <v>0</v>
      </c>
      <c r="DG574" s="1120">
        <v>0</v>
      </c>
    </row>
    <row r="575" spans="1:111">
      <c r="A575" s="1125" t="s">
        <v>3868</v>
      </c>
      <c r="B575" s="1120" t="s">
        <v>4016</v>
      </c>
      <c r="C575" s="1120" t="s">
        <v>4017</v>
      </c>
      <c r="D575" s="1120" t="s">
        <v>771</v>
      </c>
      <c r="E575" s="1120">
        <v>2578</v>
      </c>
      <c r="F575" s="1120">
        <v>-100.58</v>
      </c>
      <c r="G575" s="1120">
        <v>40.200000000000003</v>
      </c>
      <c r="H575" s="1120">
        <v>-6</v>
      </c>
      <c r="I575" s="1121">
        <v>7.1599996566772459</v>
      </c>
      <c r="J575" s="1121">
        <v>98.600000000000009</v>
      </c>
      <c r="K575" s="1122">
        <v>70.7</v>
      </c>
      <c r="L575" s="1120">
        <v>5661</v>
      </c>
      <c r="M575" s="1120">
        <v>12.6</v>
      </c>
      <c r="N575" s="1123">
        <v>29.660000085830688</v>
      </c>
      <c r="O575" s="1123">
        <v>29.119999957084655</v>
      </c>
      <c r="P575" s="1123">
        <v>44.959999656677248</v>
      </c>
      <c r="Q575" s="1123">
        <v>51.619999313354491</v>
      </c>
      <c r="R575" s="1123">
        <v>64.760001373291018</v>
      </c>
      <c r="S575" s="1123">
        <v>69.080000686645505</v>
      </c>
      <c r="T575" s="1123">
        <v>77.539998626708979</v>
      </c>
      <c r="U575" s="1123">
        <v>78.619999313354498</v>
      </c>
      <c r="V575" s="1123">
        <v>67.460001373291021</v>
      </c>
      <c r="W575" s="1123">
        <v>51.619999313354491</v>
      </c>
      <c r="X575" s="1123">
        <v>36.679999828338623</v>
      </c>
      <c r="Y575" s="1123">
        <v>26.420000171661378</v>
      </c>
      <c r="Z575" s="1123">
        <v>52.442575314012295</v>
      </c>
      <c r="AA575" s="1123">
        <f t="shared" si="601"/>
        <v>47.096677817602682</v>
      </c>
      <c r="AB575" s="1123">
        <f t="shared" si="602"/>
        <v>45.821244622651818</v>
      </c>
      <c r="AC575" s="1123">
        <f t="shared" si="603"/>
        <v>47.835755772997501</v>
      </c>
      <c r="AD575" s="1123">
        <f t="shared" si="604"/>
        <v>52.615097892745581</v>
      </c>
      <c r="AE575" s="1123">
        <f t="shared" si="605"/>
        <v>58.913461806492244</v>
      </c>
      <c r="AF575" s="1123">
        <f t="shared" si="606"/>
        <v>65.089081899393506</v>
      </c>
      <c r="AG575" s="1123">
        <f t="shared" si="607"/>
        <v>69.532187625048266</v>
      </c>
      <c r="AH575" s="1123">
        <f t="shared" si="608"/>
        <v>71.084615005732815</v>
      </c>
      <c r="AI575" s="1123">
        <f t="shared" si="609"/>
        <v>69.341699921041609</v>
      </c>
      <c r="AJ575" s="1123">
        <f t="shared" si="610"/>
        <v>64.757760046933896</v>
      </c>
      <c r="AK575" s="1123">
        <f t="shared" si="611"/>
        <v>58.527669952247585</v>
      </c>
      <c r="AL575" s="1123">
        <f t="shared" si="612"/>
        <v>52.275398628757188</v>
      </c>
      <c r="AM575" s="1120">
        <f t="shared" si="613"/>
        <v>1</v>
      </c>
      <c r="AN575" s="1120">
        <f t="shared" si="614"/>
        <v>1</v>
      </c>
      <c r="AO575" s="1120">
        <f t="shared" si="615"/>
        <v>1</v>
      </c>
      <c r="AP575" s="1120">
        <f t="shared" si="616"/>
        <v>1</v>
      </c>
      <c r="AQ575" s="1120">
        <f t="shared" si="617"/>
        <v>1</v>
      </c>
      <c r="AR575" s="1120">
        <f t="shared" si="618"/>
        <v>0</v>
      </c>
      <c r="AS575" s="1120">
        <f t="shared" si="619"/>
        <v>0</v>
      </c>
      <c r="AT575" s="1120">
        <f t="shared" si="620"/>
        <v>0</v>
      </c>
      <c r="AU575" s="1120">
        <f t="shared" si="621"/>
        <v>0</v>
      </c>
      <c r="AV575" s="1120">
        <f t="shared" si="622"/>
        <v>1</v>
      </c>
      <c r="AW575" s="1120">
        <f t="shared" si="623"/>
        <v>1</v>
      </c>
      <c r="AX575" s="1120">
        <f t="shared" si="624"/>
        <v>1</v>
      </c>
      <c r="AY575" s="1120">
        <f t="shared" si="625"/>
        <v>0</v>
      </c>
      <c r="AZ575" s="1120">
        <f t="shared" si="626"/>
        <v>0</v>
      </c>
      <c r="BA575" s="1120">
        <f t="shared" si="627"/>
        <v>0</v>
      </c>
      <c r="BB575" s="1120">
        <f t="shared" si="628"/>
        <v>0</v>
      </c>
      <c r="BC575" s="1120">
        <f t="shared" si="629"/>
        <v>0</v>
      </c>
      <c r="BD575" s="1120">
        <f t="shared" si="630"/>
        <v>1</v>
      </c>
      <c r="BE575" s="1120">
        <f t="shared" si="631"/>
        <v>1</v>
      </c>
      <c r="BF575" s="1120">
        <f t="shared" si="632"/>
        <v>1</v>
      </c>
      <c r="BG575" s="1120">
        <f t="shared" si="633"/>
        <v>1</v>
      </c>
      <c r="BH575" s="1120">
        <f t="shared" si="634"/>
        <v>0</v>
      </c>
      <c r="BI575" s="1120">
        <f t="shared" si="635"/>
        <v>0</v>
      </c>
      <c r="BJ575" s="1120">
        <f t="shared" si="636"/>
        <v>0</v>
      </c>
      <c r="BK575" s="1120">
        <f t="shared" si="637"/>
        <v>1</v>
      </c>
      <c r="BL575" s="1120">
        <f t="shared" si="638"/>
        <v>1</v>
      </c>
      <c r="BM575" s="1120">
        <f t="shared" si="639"/>
        <v>1</v>
      </c>
      <c r="BN575" s="1120">
        <f t="shared" si="640"/>
        <v>1</v>
      </c>
      <c r="BO575" s="1120">
        <f t="shared" si="641"/>
        <v>1</v>
      </c>
      <c r="BP575" s="1120">
        <f t="shared" si="642"/>
        <v>1</v>
      </c>
      <c r="BQ575" s="1120">
        <f t="shared" si="643"/>
        <v>0</v>
      </c>
      <c r="BR575" s="1120">
        <f t="shared" si="644"/>
        <v>0</v>
      </c>
      <c r="BS575" s="1120">
        <f t="shared" si="645"/>
        <v>0</v>
      </c>
      <c r="BT575" s="1120">
        <f t="shared" si="646"/>
        <v>1</v>
      </c>
      <c r="BU575" s="1120">
        <f t="shared" si="647"/>
        <v>1</v>
      </c>
      <c r="BV575" s="1120">
        <f t="shared" si="648"/>
        <v>1</v>
      </c>
      <c r="BW575" s="1120">
        <f t="shared" si="649"/>
        <v>0</v>
      </c>
      <c r="BX575" s="1120">
        <f t="shared" si="650"/>
        <v>0</v>
      </c>
      <c r="BY575" s="1120">
        <f t="shared" si="651"/>
        <v>0</v>
      </c>
      <c r="BZ575" s="1120">
        <f t="shared" si="652"/>
        <v>0</v>
      </c>
      <c r="CA575" s="1120">
        <f t="shared" si="653"/>
        <v>1</v>
      </c>
      <c r="CB575" s="1120">
        <f t="shared" si="654"/>
        <v>1</v>
      </c>
      <c r="CC575" s="1120">
        <f t="shared" si="655"/>
        <v>1</v>
      </c>
      <c r="CD575" s="1120">
        <f t="shared" si="656"/>
        <v>1</v>
      </c>
      <c r="CE575" s="1120">
        <f t="shared" si="657"/>
        <v>1</v>
      </c>
      <c r="CF575" s="1120">
        <f t="shared" si="658"/>
        <v>1</v>
      </c>
      <c r="CG575" s="1120">
        <f t="shared" si="659"/>
        <v>0</v>
      </c>
      <c r="CH575" s="1120">
        <f t="shared" si="660"/>
        <v>0</v>
      </c>
      <c r="CI575" s="1120">
        <f t="shared" si="661"/>
        <v>0.85</v>
      </c>
      <c r="CJ575" s="1120">
        <f t="shared" si="662"/>
        <v>0.85</v>
      </c>
      <c r="CK575" s="1120">
        <f t="shared" si="663"/>
        <v>0.85</v>
      </c>
      <c r="CL575" s="1120">
        <f t="shared" si="664"/>
        <v>0.85</v>
      </c>
      <c r="CM575" s="1120">
        <f t="shared" si="665"/>
        <v>0.85</v>
      </c>
      <c r="CN575" s="1120">
        <f t="shared" si="666"/>
        <v>0.85</v>
      </c>
      <c r="CO575" s="1120">
        <f t="shared" si="667"/>
        <v>0.7</v>
      </c>
      <c r="CP575" s="1120">
        <f t="shared" si="668"/>
        <v>0.7</v>
      </c>
      <c r="CQ575" s="1120">
        <f t="shared" si="669"/>
        <v>0.7</v>
      </c>
      <c r="CR575" s="1120">
        <f t="shared" si="670"/>
        <v>0.85</v>
      </c>
      <c r="CS575" s="1120">
        <f t="shared" si="671"/>
        <v>0.85</v>
      </c>
      <c r="CT575" s="1120">
        <f t="shared" si="672"/>
        <v>0.85</v>
      </c>
      <c r="CU575" s="1120">
        <v>1</v>
      </c>
      <c r="CV575" s="1120"/>
      <c r="CW575" s="1120">
        <f t="shared" si="673"/>
        <v>184</v>
      </c>
      <c r="CX575" s="1120">
        <f t="shared" si="674"/>
        <v>181</v>
      </c>
      <c r="CY575" s="1136" t="s">
        <v>4889</v>
      </c>
      <c r="CZ575" s="1129" t="s">
        <v>4897</v>
      </c>
      <c r="DA575" s="1129"/>
      <c r="DB575" s="1129"/>
      <c r="DC575" s="1125" t="s">
        <v>5423</v>
      </c>
      <c r="DD575" s="1125" t="s">
        <v>771</v>
      </c>
      <c r="DE575" s="1120" t="str">
        <f t="shared" si="675"/>
        <v/>
      </c>
      <c r="DF575" s="1133">
        <v>1</v>
      </c>
      <c r="DG575" s="1125">
        <v>0</v>
      </c>
    </row>
    <row r="576" spans="1:111">
      <c r="A576" s="1120" t="s">
        <v>3872</v>
      </c>
      <c r="B576" s="1120" t="s">
        <v>2964</v>
      </c>
      <c r="C576" s="1120" t="s">
        <v>2965</v>
      </c>
      <c r="D576" s="1120" t="s">
        <v>953</v>
      </c>
      <c r="E576" s="1120">
        <v>344</v>
      </c>
      <c r="F576" s="1120">
        <v>-155.6</v>
      </c>
      <c r="G576" s="1120">
        <v>62.95</v>
      </c>
      <c r="H576" s="1120">
        <v>-9</v>
      </c>
      <c r="I576" s="1121">
        <v>-40.720002746582033</v>
      </c>
      <c r="J576" s="1121">
        <v>74.66000137329101</v>
      </c>
      <c r="K576" s="1122">
        <v>59</v>
      </c>
      <c r="L576" s="1120">
        <v>13636.800000000001</v>
      </c>
      <c r="M576" s="1120">
        <v>1.8</v>
      </c>
      <c r="N576" s="1123">
        <v>0.31999931335449139</v>
      </c>
      <c r="O576" s="1123">
        <v>0.13999862670898358</v>
      </c>
      <c r="P576" s="1123">
        <v>10.040000343322752</v>
      </c>
      <c r="Q576" s="1123">
        <v>29.119999957084655</v>
      </c>
      <c r="R576" s="1123">
        <v>46.040000343322752</v>
      </c>
      <c r="S576" s="1123">
        <v>55.759999656677245</v>
      </c>
      <c r="T576" s="1123">
        <v>58.819999313354494</v>
      </c>
      <c r="U576" s="1123">
        <v>56.840000343322757</v>
      </c>
      <c r="V576" s="1123">
        <v>41.720000171661376</v>
      </c>
      <c r="W576" s="1123">
        <v>26.420000171661378</v>
      </c>
      <c r="X576" s="1123">
        <v>3.380000686645507</v>
      </c>
      <c r="Y576" s="1123">
        <v>-5.9800006866455089</v>
      </c>
      <c r="Z576" s="1123">
        <v>27.04334232630795</v>
      </c>
      <c r="AA576" s="1123">
        <f t="shared" si="601"/>
        <v>32</v>
      </c>
      <c r="AB576" s="1123">
        <f t="shared" si="602"/>
        <v>32</v>
      </c>
      <c r="AC576" s="1123">
        <f t="shared" si="603"/>
        <v>32</v>
      </c>
      <c r="AD576" s="1123">
        <f t="shared" si="604"/>
        <v>32</v>
      </c>
      <c r="AE576" s="1123">
        <f t="shared" si="605"/>
        <v>32</v>
      </c>
      <c r="AF576" s="1123">
        <f t="shared" si="606"/>
        <v>33.91062361991154</v>
      </c>
      <c r="AG576" s="1123">
        <f t="shared" si="607"/>
        <v>37.458162829784307</v>
      </c>
      <c r="AH576" s="1123">
        <f t="shared" si="608"/>
        <v>39.854911040982614</v>
      </c>
      <c r="AI576" s="1123">
        <f t="shared" si="609"/>
        <v>40.476118897249684</v>
      </c>
      <c r="AJ576" s="1123">
        <f t="shared" si="610"/>
        <v>39.159858997746653</v>
      </c>
      <c r="AK576" s="1123">
        <f t="shared" si="611"/>
        <v>36.249234769458049</v>
      </c>
      <c r="AL576" s="1123">
        <f t="shared" si="612"/>
        <v>32.502945271564357</v>
      </c>
      <c r="AM576" s="1120">
        <f t="shared" si="613"/>
        <v>1</v>
      </c>
      <c r="AN576" s="1120">
        <f t="shared" si="614"/>
        <v>1</v>
      </c>
      <c r="AO576" s="1120">
        <f t="shared" si="615"/>
        <v>1</v>
      </c>
      <c r="AP576" s="1120">
        <f t="shared" si="616"/>
        <v>1</v>
      </c>
      <c r="AQ576" s="1120">
        <f t="shared" si="617"/>
        <v>1</v>
      </c>
      <c r="AR576" s="1120">
        <f t="shared" si="618"/>
        <v>1</v>
      </c>
      <c r="AS576" s="1120">
        <f t="shared" si="619"/>
        <v>1</v>
      </c>
      <c r="AT576" s="1120">
        <f t="shared" si="620"/>
        <v>1</v>
      </c>
      <c r="AU576" s="1120">
        <f t="shared" si="621"/>
        <v>1</v>
      </c>
      <c r="AV576" s="1120">
        <f t="shared" si="622"/>
        <v>1</v>
      </c>
      <c r="AW576" s="1120">
        <f t="shared" si="623"/>
        <v>1</v>
      </c>
      <c r="AX576" s="1120">
        <f t="shared" si="624"/>
        <v>1</v>
      </c>
      <c r="AY576" s="1120">
        <f t="shared" si="625"/>
        <v>0</v>
      </c>
      <c r="AZ576" s="1120">
        <f t="shared" si="626"/>
        <v>0</v>
      </c>
      <c r="BA576" s="1120">
        <f t="shared" si="627"/>
        <v>0</v>
      </c>
      <c r="BB576" s="1120">
        <f t="shared" si="628"/>
        <v>0</v>
      </c>
      <c r="BC576" s="1120">
        <f t="shared" si="629"/>
        <v>0</v>
      </c>
      <c r="BD576" s="1120">
        <f t="shared" si="630"/>
        <v>0</v>
      </c>
      <c r="BE576" s="1120">
        <f t="shared" si="631"/>
        <v>1</v>
      </c>
      <c r="BF576" s="1120">
        <f t="shared" si="632"/>
        <v>1</v>
      </c>
      <c r="BG576" s="1120">
        <f t="shared" si="633"/>
        <v>0</v>
      </c>
      <c r="BH576" s="1120">
        <f t="shared" si="634"/>
        <v>0</v>
      </c>
      <c r="BI576" s="1120">
        <f t="shared" si="635"/>
        <v>0</v>
      </c>
      <c r="BJ576" s="1120">
        <f t="shared" si="636"/>
        <v>0</v>
      </c>
      <c r="BK576" s="1120">
        <f t="shared" si="637"/>
        <v>1</v>
      </c>
      <c r="BL576" s="1120">
        <f t="shared" si="638"/>
        <v>1</v>
      </c>
      <c r="BM576" s="1120">
        <f t="shared" si="639"/>
        <v>1</v>
      </c>
      <c r="BN576" s="1120">
        <f t="shared" si="640"/>
        <v>1</v>
      </c>
      <c r="BO576" s="1120">
        <f t="shared" si="641"/>
        <v>1</v>
      </c>
      <c r="BP576" s="1120">
        <f t="shared" si="642"/>
        <v>1</v>
      </c>
      <c r="BQ576" s="1120">
        <f t="shared" si="643"/>
        <v>1</v>
      </c>
      <c r="BR576" s="1120">
        <f t="shared" si="644"/>
        <v>1</v>
      </c>
      <c r="BS576" s="1120">
        <f t="shared" si="645"/>
        <v>1</v>
      </c>
      <c r="BT576" s="1120">
        <f t="shared" si="646"/>
        <v>1</v>
      </c>
      <c r="BU576" s="1120">
        <f t="shared" si="647"/>
        <v>1</v>
      </c>
      <c r="BV576" s="1120">
        <f t="shared" si="648"/>
        <v>1</v>
      </c>
      <c r="BW576" s="1120">
        <f t="shared" si="649"/>
        <v>0</v>
      </c>
      <c r="BX576" s="1120">
        <f t="shared" si="650"/>
        <v>0</v>
      </c>
      <c r="BY576" s="1120">
        <f t="shared" si="651"/>
        <v>0</v>
      </c>
      <c r="BZ576" s="1120">
        <f t="shared" si="652"/>
        <v>0</v>
      </c>
      <c r="CA576" s="1120">
        <f t="shared" si="653"/>
        <v>0</v>
      </c>
      <c r="CB576" s="1120">
        <f t="shared" si="654"/>
        <v>0</v>
      </c>
      <c r="CC576" s="1120">
        <f t="shared" si="655"/>
        <v>1</v>
      </c>
      <c r="CD576" s="1120">
        <f t="shared" si="656"/>
        <v>1</v>
      </c>
      <c r="CE576" s="1120">
        <f t="shared" si="657"/>
        <v>0</v>
      </c>
      <c r="CF576" s="1120">
        <f t="shared" si="658"/>
        <v>0</v>
      </c>
      <c r="CG576" s="1120">
        <f t="shared" si="659"/>
        <v>0</v>
      </c>
      <c r="CH576" s="1120">
        <f t="shared" si="660"/>
        <v>0</v>
      </c>
      <c r="CI576" s="1120">
        <f t="shared" si="661"/>
        <v>0.85</v>
      </c>
      <c r="CJ576" s="1120">
        <f t="shared" si="662"/>
        <v>0.85</v>
      </c>
      <c r="CK576" s="1120">
        <f t="shared" si="663"/>
        <v>0.85</v>
      </c>
      <c r="CL576" s="1120">
        <f t="shared" si="664"/>
        <v>0.85</v>
      </c>
      <c r="CM576" s="1120">
        <f t="shared" si="665"/>
        <v>0.85</v>
      </c>
      <c r="CN576" s="1120">
        <f t="shared" si="666"/>
        <v>0.85</v>
      </c>
      <c r="CO576" s="1120">
        <f t="shared" si="667"/>
        <v>0.85</v>
      </c>
      <c r="CP576" s="1120">
        <f t="shared" si="668"/>
        <v>0.85</v>
      </c>
      <c r="CQ576" s="1120">
        <f t="shared" si="669"/>
        <v>0.85</v>
      </c>
      <c r="CR576" s="1120">
        <f t="shared" si="670"/>
        <v>0.85</v>
      </c>
      <c r="CS576" s="1120">
        <f t="shared" si="671"/>
        <v>0.85</v>
      </c>
      <c r="CT576" s="1120">
        <f t="shared" si="672"/>
        <v>0.85</v>
      </c>
      <c r="CU576" s="1120">
        <v>1</v>
      </c>
      <c r="CV576" s="1120"/>
      <c r="CW576" s="1120">
        <f t="shared" si="673"/>
        <v>62</v>
      </c>
      <c r="CX576" s="1120">
        <f t="shared" si="674"/>
        <v>303</v>
      </c>
      <c r="CY576" s="1135" t="s">
        <v>4880</v>
      </c>
      <c r="CZ576" s="1124">
        <v>8</v>
      </c>
      <c r="DA576" s="1124"/>
      <c r="DB576" s="1124"/>
      <c r="DC576" s="1120" t="s">
        <v>4945</v>
      </c>
      <c r="DD576" s="1120" t="s">
        <v>953</v>
      </c>
      <c r="DE576" s="1120" t="str">
        <f t="shared" si="675"/>
        <v/>
      </c>
      <c r="DF576" s="1120">
        <v>0</v>
      </c>
      <c r="DG576" s="1120">
        <v>0</v>
      </c>
    </row>
    <row r="577" spans="1:111">
      <c r="A577" s="1125" t="s">
        <v>3874</v>
      </c>
      <c r="B577" s="1125" t="s">
        <v>4058</v>
      </c>
      <c r="C577" s="1125" t="s">
        <v>4059</v>
      </c>
      <c r="D577" s="1125" t="s">
        <v>589</v>
      </c>
      <c r="E577" s="1125">
        <v>148</v>
      </c>
      <c r="F577" s="1125">
        <v>-74.599999999999994</v>
      </c>
      <c r="G577" s="1125">
        <v>40.020000000000003</v>
      </c>
      <c r="H577" s="1125">
        <v>-5</v>
      </c>
      <c r="I577" s="1126">
        <v>15.080000686645507</v>
      </c>
      <c r="J577" s="1126">
        <v>90.320002746582034</v>
      </c>
      <c r="K577" s="1127">
        <v>74.66000137329101</v>
      </c>
      <c r="L577" s="1125">
        <v>4863.6000000000004</v>
      </c>
      <c r="M577" s="1125">
        <v>1126.8</v>
      </c>
      <c r="N577" s="1128">
        <v>30.740000021457671</v>
      </c>
      <c r="O577" s="1128">
        <v>34.339999914169312</v>
      </c>
      <c r="P577" s="1128">
        <v>43.340000343322757</v>
      </c>
      <c r="Q577" s="1128">
        <v>51.619999313354491</v>
      </c>
      <c r="R577" s="1128">
        <v>58.819999313354494</v>
      </c>
      <c r="S577" s="1128">
        <v>72.860001373291013</v>
      </c>
      <c r="T577" s="1128">
        <v>75.919999313354495</v>
      </c>
      <c r="U577" s="1128">
        <v>71.780000686645508</v>
      </c>
      <c r="V577" s="1128">
        <v>68.539998626708979</v>
      </c>
      <c r="W577" s="1128">
        <v>60.259999656677245</v>
      </c>
      <c r="X577" s="1128">
        <v>40.820000171661377</v>
      </c>
      <c r="Y577" s="1128">
        <v>39.379999828338626</v>
      </c>
      <c r="Z577" s="1128">
        <v>54.148383441657238</v>
      </c>
      <c r="AA577" s="1128">
        <f t="shared" si="601"/>
        <v>49.840172209183933</v>
      </c>
      <c r="AB577" s="1128">
        <f t="shared" si="602"/>
        <v>48.864297184174326</v>
      </c>
      <c r="AC577" s="1128">
        <f t="shared" si="603"/>
        <v>50.829793135210565</v>
      </c>
      <c r="AD577" s="1128">
        <f t="shared" si="604"/>
        <v>55.224323253445604</v>
      </c>
      <c r="AE577" s="1128">
        <f t="shared" si="605"/>
        <v>60.902385541802438</v>
      </c>
      <c r="AF577" s="1128">
        <f t="shared" si="606"/>
        <v>66.383905563232346</v>
      </c>
      <c r="AG577" s="1128">
        <f t="shared" si="607"/>
        <v>70.240040651369114</v>
      </c>
      <c r="AH577" s="1128">
        <f t="shared" si="608"/>
        <v>71.465629770649414</v>
      </c>
      <c r="AI577" s="1128">
        <f t="shared" si="609"/>
        <v>69.74120423023281</v>
      </c>
      <c r="AJ577" s="1128">
        <f t="shared" si="610"/>
        <v>65.516262121430856</v>
      </c>
      <c r="AK577" s="1128">
        <f t="shared" si="611"/>
        <v>59.892099713231495</v>
      </c>
      <c r="AL577" s="1128">
        <f t="shared" si="612"/>
        <v>54.33474160829811</v>
      </c>
      <c r="AM577" s="1125">
        <f t="shared" si="613"/>
        <v>1</v>
      </c>
      <c r="AN577" s="1125">
        <f t="shared" si="614"/>
        <v>1</v>
      </c>
      <c r="AO577" s="1125">
        <f t="shared" si="615"/>
        <v>1</v>
      </c>
      <c r="AP577" s="1125">
        <f t="shared" si="616"/>
        <v>1</v>
      </c>
      <c r="AQ577" s="1125">
        <f t="shared" si="617"/>
        <v>1</v>
      </c>
      <c r="AR577" s="1125">
        <f t="shared" si="618"/>
        <v>0</v>
      </c>
      <c r="AS577" s="1125">
        <f t="shared" si="619"/>
        <v>0</v>
      </c>
      <c r="AT577" s="1125">
        <f t="shared" si="620"/>
        <v>0</v>
      </c>
      <c r="AU577" s="1125">
        <f t="shared" si="621"/>
        <v>0</v>
      </c>
      <c r="AV577" s="1125">
        <f t="shared" si="622"/>
        <v>1</v>
      </c>
      <c r="AW577" s="1125">
        <f t="shared" si="623"/>
        <v>1</v>
      </c>
      <c r="AX577" s="1125">
        <f t="shared" si="624"/>
        <v>1</v>
      </c>
      <c r="AY577" s="1125">
        <f t="shared" si="625"/>
        <v>0</v>
      </c>
      <c r="AZ577" s="1125">
        <f t="shared" si="626"/>
        <v>0</v>
      </c>
      <c r="BA577" s="1125">
        <f t="shared" si="627"/>
        <v>0</v>
      </c>
      <c r="BB577" s="1125">
        <f t="shared" si="628"/>
        <v>0</v>
      </c>
      <c r="BC577" s="1125">
        <f t="shared" si="629"/>
        <v>0</v>
      </c>
      <c r="BD577" s="1125">
        <f t="shared" si="630"/>
        <v>1</v>
      </c>
      <c r="BE577" s="1125">
        <f t="shared" si="631"/>
        <v>1</v>
      </c>
      <c r="BF577" s="1125">
        <f t="shared" si="632"/>
        <v>1</v>
      </c>
      <c r="BG577" s="1125">
        <f t="shared" si="633"/>
        <v>1</v>
      </c>
      <c r="BH577" s="1125">
        <f t="shared" si="634"/>
        <v>0</v>
      </c>
      <c r="BI577" s="1125">
        <f t="shared" si="635"/>
        <v>0</v>
      </c>
      <c r="BJ577" s="1125">
        <f t="shared" si="636"/>
        <v>0</v>
      </c>
      <c r="BK577" s="1125">
        <f t="shared" si="637"/>
        <v>1</v>
      </c>
      <c r="BL577" s="1125">
        <f t="shared" si="638"/>
        <v>1</v>
      </c>
      <c r="BM577" s="1125">
        <f t="shared" si="639"/>
        <v>1</v>
      </c>
      <c r="BN577" s="1125">
        <f t="shared" si="640"/>
        <v>1</v>
      </c>
      <c r="BO577" s="1125">
        <f t="shared" si="641"/>
        <v>1</v>
      </c>
      <c r="BP577" s="1125">
        <f t="shared" si="642"/>
        <v>1</v>
      </c>
      <c r="BQ577" s="1125">
        <f t="shared" si="643"/>
        <v>0</v>
      </c>
      <c r="BR577" s="1125">
        <f t="shared" si="644"/>
        <v>0</v>
      </c>
      <c r="BS577" s="1125">
        <f t="shared" si="645"/>
        <v>0</v>
      </c>
      <c r="BT577" s="1125">
        <f t="shared" si="646"/>
        <v>1</v>
      </c>
      <c r="BU577" s="1125">
        <f t="shared" si="647"/>
        <v>1</v>
      </c>
      <c r="BV577" s="1125">
        <f t="shared" si="648"/>
        <v>1</v>
      </c>
      <c r="BW577" s="1125">
        <f t="shared" si="649"/>
        <v>0</v>
      </c>
      <c r="BX577" s="1125">
        <f t="shared" si="650"/>
        <v>0</v>
      </c>
      <c r="BY577" s="1125">
        <f t="shared" si="651"/>
        <v>0</v>
      </c>
      <c r="BZ577" s="1125">
        <f t="shared" si="652"/>
        <v>0</v>
      </c>
      <c r="CA577" s="1125">
        <f t="shared" si="653"/>
        <v>1</v>
      </c>
      <c r="CB577" s="1125">
        <f t="shared" si="654"/>
        <v>1</v>
      </c>
      <c r="CC577" s="1125">
        <f t="shared" si="655"/>
        <v>1</v>
      </c>
      <c r="CD577" s="1125">
        <f t="shared" si="656"/>
        <v>1</v>
      </c>
      <c r="CE577" s="1125">
        <f t="shared" si="657"/>
        <v>1</v>
      </c>
      <c r="CF577" s="1125">
        <f t="shared" si="658"/>
        <v>1</v>
      </c>
      <c r="CG577" s="1125">
        <f t="shared" si="659"/>
        <v>0</v>
      </c>
      <c r="CH577" s="1125">
        <f t="shared" si="660"/>
        <v>0</v>
      </c>
      <c r="CI577" s="1125">
        <f t="shared" si="661"/>
        <v>0.85</v>
      </c>
      <c r="CJ577" s="1125">
        <f t="shared" si="662"/>
        <v>0.85</v>
      </c>
      <c r="CK577" s="1125">
        <f t="shared" si="663"/>
        <v>0.85</v>
      </c>
      <c r="CL577" s="1125">
        <f t="shared" si="664"/>
        <v>0.85</v>
      </c>
      <c r="CM577" s="1125">
        <f t="shared" si="665"/>
        <v>0.85</v>
      </c>
      <c r="CN577" s="1125">
        <f t="shared" si="666"/>
        <v>0.85</v>
      </c>
      <c r="CO577" s="1125">
        <f t="shared" si="667"/>
        <v>0.7</v>
      </c>
      <c r="CP577" s="1125">
        <f t="shared" si="668"/>
        <v>0.7</v>
      </c>
      <c r="CQ577" s="1125">
        <f t="shared" si="669"/>
        <v>0.7</v>
      </c>
      <c r="CR577" s="1125">
        <f t="shared" si="670"/>
        <v>0.85</v>
      </c>
      <c r="CS577" s="1125">
        <f t="shared" si="671"/>
        <v>0.85</v>
      </c>
      <c r="CT577" s="1125">
        <f t="shared" si="672"/>
        <v>0.85</v>
      </c>
      <c r="CU577" s="1125">
        <v>1</v>
      </c>
      <c r="CV577" s="1125"/>
      <c r="CW577" s="1125">
        <f t="shared" si="673"/>
        <v>184</v>
      </c>
      <c r="CX577" s="1125">
        <f t="shared" si="674"/>
        <v>181</v>
      </c>
      <c r="CY577" s="1136" t="s">
        <v>4881</v>
      </c>
      <c r="CZ577" s="1129" t="s">
        <v>4885</v>
      </c>
      <c r="DA577" s="1129"/>
      <c r="DB577" s="1129"/>
      <c r="DC577" s="1125" t="s">
        <v>5441</v>
      </c>
      <c r="DD577" s="1125" t="s">
        <v>589</v>
      </c>
      <c r="DE577" s="1120" t="str">
        <f t="shared" si="675"/>
        <v/>
      </c>
      <c r="DF577" s="1133">
        <v>0</v>
      </c>
      <c r="DG577" s="1125">
        <v>0</v>
      </c>
    </row>
    <row r="578" spans="1:111">
      <c r="A578" s="1120" t="s">
        <v>3876</v>
      </c>
      <c r="B578" s="1120" t="s">
        <v>4236</v>
      </c>
      <c r="C578" s="1120" t="s">
        <v>4237</v>
      </c>
      <c r="D578" s="1120" t="s">
        <v>427</v>
      </c>
      <c r="E578" s="1120">
        <v>1952</v>
      </c>
      <c r="F578" s="1120">
        <v>-122.7</v>
      </c>
      <c r="G578" s="1120">
        <v>42.19</v>
      </c>
      <c r="H578" s="1120">
        <v>-8</v>
      </c>
      <c r="I578" s="1121">
        <v>25.7</v>
      </c>
      <c r="J578" s="1121">
        <v>95.360001373291013</v>
      </c>
      <c r="K578" s="1122">
        <v>65.83999862670899</v>
      </c>
      <c r="L578" s="1120">
        <v>4563</v>
      </c>
      <c r="M578" s="1120">
        <v>597.6</v>
      </c>
      <c r="N578" s="1123">
        <v>37.579999828338622</v>
      </c>
      <c r="O578" s="1123">
        <v>42.97999982833862</v>
      </c>
      <c r="P578" s="1123">
        <v>45.859999656677246</v>
      </c>
      <c r="Q578" s="1123">
        <v>51.259999656677245</v>
      </c>
      <c r="R578" s="1123">
        <v>55.759999656677245</v>
      </c>
      <c r="S578" s="1123">
        <v>66.380000686645502</v>
      </c>
      <c r="T578" s="1123">
        <v>72.5</v>
      </c>
      <c r="U578" s="1123">
        <v>69.619999313354498</v>
      </c>
      <c r="V578" s="1123">
        <v>63.680000686645506</v>
      </c>
      <c r="W578" s="1123">
        <v>55.580000686645505</v>
      </c>
      <c r="X578" s="1123">
        <v>42.079999828338622</v>
      </c>
      <c r="Y578" s="1123">
        <v>38.47999982833862</v>
      </c>
      <c r="Z578" s="1123">
        <v>53.540328737023756</v>
      </c>
      <c r="AA578" s="1123">
        <f t="shared" si="601"/>
        <v>51.707600006385583</v>
      </c>
      <c r="AB578" s="1123">
        <f t="shared" si="602"/>
        <v>50.916977050595769</v>
      </c>
      <c r="AC578" s="1123">
        <f t="shared" si="603"/>
        <v>52.374163601745444</v>
      </c>
      <c r="AD578" s="1123">
        <f t="shared" si="604"/>
        <v>55.69932152935295</v>
      </c>
      <c r="AE578" s="1123">
        <f t="shared" si="605"/>
        <v>60.025697177352647</v>
      </c>
      <c r="AF578" s="1123">
        <f t="shared" si="606"/>
        <v>64.225554061626539</v>
      </c>
      <c r="AG578" s="1123">
        <f t="shared" si="607"/>
        <v>67.204134763534938</v>
      </c>
      <c r="AH578" s="1123">
        <f t="shared" si="608"/>
        <v>68.185026321807385</v>
      </c>
      <c r="AI578" s="1123">
        <f t="shared" si="609"/>
        <v>66.912544235783713</v>
      </c>
      <c r="AJ578" s="1123">
        <f t="shared" si="610"/>
        <v>63.718380570728485</v>
      </c>
      <c r="AK578" s="1123">
        <f t="shared" si="611"/>
        <v>59.435143309490428</v>
      </c>
      <c r="AL578" s="1123">
        <f t="shared" si="612"/>
        <v>55.179324250895441</v>
      </c>
      <c r="AM578" s="1120">
        <f t="shared" si="613"/>
        <v>1</v>
      </c>
      <c r="AN578" s="1120">
        <f t="shared" si="614"/>
        <v>1</v>
      </c>
      <c r="AO578" s="1120">
        <f t="shared" si="615"/>
        <v>1</v>
      </c>
      <c r="AP578" s="1120">
        <f t="shared" si="616"/>
        <v>1</v>
      </c>
      <c r="AQ578" s="1120">
        <f t="shared" si="617"/>
        <v>1</v>
      </c>
      <c r="AR578" s="1120">
        <f t="shared" si="618"/>
        <v>0</v>
      </c>
      <c r="AS578" s="1120">
        <f t="shared" si="619"/>
        <v>0</v>
      </c>
      <c r="AT578" s="1120">
        <f t="shared" si="620"/>
        <v>0</v>
      </c>
      <c r="AU578" s="1120">
        <f t="shared" si="621"/>
        <v>1</v>
      </c>
      <c r="AV578" s="1120">
        <f t="shared" si="622"/>
        <v>1</v>
      </c>
      <c r="AW578" s="1120">
        <f t="shared" si="623"/>
        <v>1</v>
      </c>
      <c r="AX578" s="1120">
        <f t="shared" si="624"/>
        <v>1</v>
      </c>
      <c r="AY578" s="1120">
        <f t="shared" si="625"/>
        <v>0</v>
      </c>
      <c r="AZ578" s="1120">
        <f t="shared" si="626"/>
        <v>0</v>
      </c>
      <c r="BA578" s="1120">
        <f t="shared" si="627"/>
        <v>0</v>
      </c>
      <c r="BB578" s="1120">
        <f t="shared" si="628"/>
        <v>0</v>
      </c>
      <c r="BC578" s="1120">
        <f t="shared" si="629"/>
        <v>0</v>
      </c>
      <c r="BD578" s="1120">
        <f t="shared" si="630"/>
        <v>1</v>
      </c>
      <c r="BE578" s="1120">
        <f t="shared" si="631"/>
        <v>1</v>
      </c>
      <c r="BF578" s="1120">
        <f t="shared" si="632"/>
        <v>1</v>
      </c>
      <c r="BG578" s="1120">
        <f t="shared" si="633"/>
        <v>0</v>
      </c>
      <c r="BH578" s="1120">
        <f t="shared" si="634"/>
        <v>0</v>
      </c>
      <c r="BI578" s="1120">
        <f t="shared" si="635"/>
        <v>0</v>
      </c>
      <c r="BJ578" s="1120">
        <f t="shared" si="636"/>
        <v>0</v>
      </c>
      <c r="BK578" s="1120">
        <f t="shared" si="637"/>
        <v>1</v>
      </c>
      <c r="BL578" s="1120">
        <f t="shared" si="638"/>
        <v>1</v>
      </c>
      <c r="BM578" s="1120">
        <f t="shared" si="639"/>
        <v>1</v>
      </c>
      <c r="BN578" s="1120">
        <f t="shared" si="640"/>
        <v>1</v>
      </c>
      <c r="BO578" s="1120">
        <f t="shared" si="641"/>
        <v>1</v>
      </c>
      <c r="BP578" s="1120">
        <f t="shared" si="642"/>
        <v>1</v>
      </c>
      <c r="BQ578" s="1120">
        <f t="shared" si="643"/>
        <v>0</v>
      </c>
      <c r="BR578" s="1120">
        <f t="shared" si="644"/>
        <v>0</v>
      </c>
      <c r="BS578" s="1120">
        <f t="shared" si="645"/>
        <v>1</v>
      </c>
      <c r="BT578" s="1120">
        <f t="shared" si="646"/>
        <v>1</v>
      </c>
      <c r="BU578" s="1120">
        <f t="shared" si="647"/>
        <v>1</v>
      </c>
      <c r="BV578" s="1120">
        <f t="shared" si="648"/>
        <v>1</v>
      </c>
      <c r="BW578" s="1120">
        <f t="shared" si="649"/>
        <v>0</v>
      </c>
      <c r="BX578" s="1120">
        <f t="shared" si="650"/>
        <v>0</v>
      </c>
      <c r="BY578" s="1120">
        <f t="shared" si="651"/>
        <v>0</v>
      </c>
      <c r="BZ578" s="1120">
        <f t="shared" si="652"/>
        <v>0</v>
      </c>
      <c r="CA578" s="1120">
        <f t="shared" si="653"/>
        <v>1</v>
      </c>
      <c r="CB578" s="1120">
        <f t="shared" si="654"/>
        <v>1</v>
      </c>
      <c r="CC578" s="1120">
        <f t="shared" si="655"/>
        <v>1</v>
      </c>
      <c r="CD578" s="1120">
        <f t="shared" si="656"/>
        <v>1</v>
      </c>
      <c r="CE578" s="1120">
        <f t="shared" si="657"/>
        <v>1</v>
      </c>
      <c r="CF578" s="1120">
        <f t="shared" si="658"/>
        <v>0</v>
      </c>
      <c r="CG578" s="1120">
        <f t="shared" si="659"/>
        <v>0</v>
      </c>
      <c r="CH578" s="1120">
        <f t="shared" si="660"/>
        <v>0</v>
      </c>
      <c r="CI578" s="1120">
        <f t="shared" si="661"/>
        <v>0.85</v>
      </c>
      <c r="CJ578" s="1120">
        <f t="shared" si="662"/>
        <v>0.85</v>
      </c>
      <c r="CK578" s="1120">
        <f t="shared" si="663"/>
        <v>0.85</v>
      </c>
      <c r="CL578" s="1120">
        <f t="shared" si="664"/>
        <v>0.85</v>
      </c>
      <c r="CM578" s="1120">
        <f t="shared" si="665"/>
        <v>0.85</v>
      </c>
      <c r="CN578" s="1120">
        <f t="shared" si="666"/>
        <v>0.85</v>
      </c>
      <c r="CO578" s="1120">
        <f t="shared" si="667"/>
        <v>0.7</v>
      </c>
      <c r="CP578" s="1120">
        <f t="shared" si="668"/>
        <v>0.7</v>
      </c>
      <c r="CQ578" s="1120">
        <f t="shared" si="669"/>
        <v>0.85</v>
      </c>
      <c r="CR578" s="1120">
        <f t="shared" si="670"/>
        <v>0.85</v>
      </c>
      <c r="CS578" s="1120">
        <f t="shared" si="671"/>
        <v>0.85</v>
      </c>
      <c r="CT578" s="1120">
        <f t="shared" si="672"/>
        <v>0.85</v>
      </c>
      <c r="CU578" s="1120">
        <v>1</v>
      </c>
      <c r="CV578" s="1120"/>
      <c r="CW578" s="1120">
        <f t="shared" si="673"/>
        <v>153</v>
      </c>
      <c r="CX578" s="1120">
        <f t="shared" si="674"/>
        <v>212</v>
      </c>
      <c r="CY578" s="1135" t="s">
        <v>4893</v>
      </c>
      <c r="CZ578" s="1124" t="s">
        <v>4894</v>
      </c>
      <c r="DA578" s="1124"/>
      <c r="DB578" s="1124"/>
      <c r="DC578" s="1120" t="s">
        <v>5521</v>
      </c>
      <c r="DD578" s="1120" t="s">
        <v>427</v>
      </c>
      <c r="DE578" s="1120" t="str">
        <f t="shared" si="675"/>
        <v/>
      </c>
      <c r="DF578" s="1133">
        <v>0</v>
      </c>
      <c r="DG578" s="1120">
        <v>0</v>
      </c>
    </row>
    <row r="579" spans="1:111">
      <c r="A579" s="1125" t="s">
        <v>3878</v>
      </c>
      <c r="B579" s="1125" t="s">
        <v>1193</v>
      </c>
      <c r="C579" s="1125" t="s">
        <v>1194</v>
      </c>
      <c r="D579" s="1125" t="s">
        <v>953</v>
      </c>
      <c r="E579" s="1125">
        <v>49</v>
      </c>
      <c r="F579" s="1125">
        <v>-166.27</v>
      </c>
      <c r="G579" s="1125">
        <v>60.37</v>
      </c>
      <c r="H579" s="1125">
        <v>-9</v>
      </c>
      <c r="I579" s="1126">
        <v>-10.480000686645509</v>
      </c>
      <c r="J579" s="1126">
        <v>57.2</v>
      </c>
      <c r="K579" s="1127">
        <v>52.340000343322757</v>
      </c>
      <c r="L579" s="1125">
        <v>11230.2</v>
      </c>
      <c r="M579" s="1125">
        <v>0</v>
      </c>
      <c r="N579" s="1128">
        <v>13.819999313354492</v>
      </c>
      <c r="O579" s="1128">
        <v>26.23999991416931</v>
      </c>
      <c r="P579" s="1128">
        <v>29.480000042915343</v>
      </c>
      <c r="Q579" s="1128">
        <v>28.4</v>
      </c>
      <c r="R579" s="1128">
        <v>35.6</v>
      </c>
      <c r="S579" s="1128">
        <v>41.179999828338623</v>
      </c>
      <c r="T579" s="1128">
        <v>47.119999313354491</v>
      </c>
      <c r="U579" s="1128">
        <v>47.659999656677243</v>
      </c>
      <c r="V579" s="1128">
        <v>43.340000343322757</v>
      </c>
      <c r="W579" s="1128">
        <v>32</v>
      </c>
      <c r="X579" s="1128">
        <v>31.279999989271165</v>
      </c>
      <c r="Y579" s="1128">
        <v>26.779999828338624</v>
      </c>
      <c r="Z579" s="1128">
        <v>33.608164233475513</v>
      </c>
      <c r="AA579" s="1128">
        <f t="shared" ref="AA579:AA642" si="676">MAX($Z579+6+(0.4+0.01*($Z579-44))*(MAX($N579:$Y579)-MIN($N579:$Y579))/2*SIN((0.986*((1*30-15)-15-(35-1*($Z579-44)))-90)*PI()/180),32)</f>
        <v>36.050738442173405</v>
      </c>
      <c r="AB579" s="1128">
        <f t="shared" ref="AB579:AB642" si="677">MAX($Z579+6+(0.4+0.01*($Z579-44))*(MAX($N579:$Y579)-MIN($N579:$Y579))/2*SIN((0.986*((2*30-15)-15-(35-1*($Z579-44)))-90)*PI()/180),32)</f>
        <v>34.773177956153049</v>
      </c>
      <c r="AC579" s="1128">
        <f t="shared" ref="AC579:AC642" si="678">MAX($Z579+6+(0.4+0.01*($Z579-44))*(MAX($N579:$Y579)-MIN($N579:$Y579))/2*SIN((0.986*((3*30-15)-15-(35-1*($Z579-44)))-90)*PI()/180),32)</f>
        <v>34.755931152710708</v>
      </c>
      <c r="AD579" s="1128">
        <f t="shared" ref="AD579:AD642" si="679">MAX($Z579+6+(0.4+0.01*($Z579-44))*(MAX($N579:$Y579)-MIN($N579:$Y579))/2*SIN((0.986*((4*30-15)-15-(35-1*($Z579-44)))-90)*PI()/180),32)</f>
        <v>36.003493676944913</v>
      </c>
      <c r="AE579" s="1128">
        <f t="shared" ref="AE579:AE642" si="680">MAX($Z579+6+(0.4+0.01*($Z579-44))*(MAX($N579:$Y579)-MIN($N579:$Y579))/2*SIN((0.986*((5*30-15)-15-(35-1*($Z579-44)))-90)*PI()/180),32)</f>
        <v>38.19066913139357</v>
      </c>
      <c r="AF579" s="1128">
        <f t="shared" ref="AF579:AF642" si="681">MAX($Z579+6+(0.4+0.01*($Z579-44))*(MAX($N579:$Y579)-MIN($N579:$Y579))/2*SIN((0.986*((6*30-15)-15-(35-1*($Z579-44)))-90)*PI()/180),32)</f>
        <v>40.747336528460629</v>
      </c>
      <c r="AG579" s="1128">
        <f t="shared" ref="AG579:AG642" si="682">MAX($Z579+6+(0.4+0.01*($Z579-44))*(MAX($N579:$Y579)-MIN($N579:$Y579))/2*SIN((0.986*((7*30-15)-15-(35-1*($Z579-44)))-90)*PI()/180),32)</f>
        <v>43.007061111663361</v>
      </c>
      <c r="AH579" s="1128">
        <f t="shared" ref="AH579:AH642" si="683">MAX($Z579+6+(0.4+0.01*($Z579-44))*(MAX($N579:$Y579)-MIN($N579:$Y579))/2*SIN((0.986*((8*30-15)-15-(35-1*($Z579-44)))-90)*PI()/180),32)</f>
        <v>44.380810844980047</v>
      </c>
      <c r="AI579" s="1128">
        <f t="shared" ref="AI579:AI642" si="684">MAX($Z579+6+(0.4+0.01*($Z579-44))*(MAX($N579:$Y579)-MIN($N579:$Y579))/2*SIN((0.986*((9*30-15)-15-(35-1*($Z579-44)))-90)*PI()/180),32)</f>
        <v>44.510496690297494</v>
      </c>
      <c r="AJ579" s="1128">
        <f t="shared" ref="AJ579:AJ642" si="685">MAX($Z579+6+(0.4+0.01*($Z579-44))*(MAX($N579:$Y579)-MIN($N579:$Y579))/2*SIN((0.986*((10*30-15)-15-(35-1*($Z579-44)))-90)*PI()/180),32)</f>
        <v>43.362314033514338</v>
      </c>
      <c r="AK579" s="1128">
        <f t="shared" ref="AK579:AK642" si="686">MAX($Z579+6+(0.4+0.01*($Z579-44))*(MAX($N579:$Y579)-MIN($N579:$Y579))/2*SIN((0.986*((11*30-15)-15-(35-1*($Z579-44)))-90)*PI()/180),32)</f>
        <v>41.235554378151441</v>
      </c>
      <c r="AL579" s="1128">
        <f t="shared" ref="AL579:AL642" si="687">MAX($Z579+6+(0.4+0.01*($Z579-44))*(MAX($N579:$Y579)-MIN($N579:$Y579))/2*SIN((0.986*((12*30-15)-15-(35-1*($Z579-44)))-90)*PI()/180),32)</f>
        <v>38.684590402737506</v>
      </c>
      <c r="AM579" s="1125">
        <f t="shared" ref="AM579:AM642" si="688">IF(AND(OR(LEFT(AM$1,3)="Jan",LEFT(AM$1,3)="Dec"),I579&lt;59),1,IF(N579&lt;66,1,0))</f>
        <v>1</v>
      </c>
      <c r="AN579" s="1125">
        <f t="shared" ref="AN579:AN642" si="689">IF(AND(OR(LEFT(AN$1,3)="Jan",LEFT(AN$1,3)="Dec"),J579&lt;59),1,IF(O579&lt;66,1,0))</f>
        <v>1</v>
      </c>
      <c r="AO579" s="1125">
        <f t="shared" ref="AO579:AO642" si="690">IF(AND(OR(LEFT(AO$1,3)="Jan",LEFT(AO$1,3)="Dec"),K579&lt;59),1,IF(P579&lt;66,1,0))</f>
        <v>1</v>
      </c>
      <c r="AP579" s="1125">
        <f t="shared" ref="AP579:AP642" si="691">IF(AND(OR(LEFT(AP$1,3)="Jan",LEFT(AP$1,3)="Dec"),L579&lt;59),1,IF(Q579&lt;66,1,0))</f>
        <v>1</v>
      </c>
      <c r="AQ579" s="1125">
        <f t="shared" ref="AQ579:AQ642" si="692">IF(AND(OR(LEFT(AQ$1,3)="Jan",LEFT(AQ$1,3)="Dec"),M579&lt;59),1,IF(R579&lt;66,1,0))</f>
        <v>1</v>
      </c>
      <c r="AR579" s="1125">
        <f t="shared" ref="AR579:AR642" si="693">IF(AND(OR(LEFT(AR$1,3)="Jan",LEFT(AR$1,3)="Dec"),N579&lt;59),1,IF(S579&lt;66,1,0))</f>
        <v>1</v>
      </c>
      <c r="AS579" s="1125">
        <f t="shared" ref="AS579:AS642" si="694">IF(AND(OR(LEFT(AS$1,3)="Jan",LEFT(AS$1,3)="Dec"),O579&lt;59),1,IF(T579&lt;66,1,0))</f>
        <v>1</v>
      </c>
      <c r="AT579" s="1125">
        <f t="shared" ref="AT579:AT642" si="695">IF(AND(OR(LEFT(AT$1,3)="Jan",LEFT(AT$1,3)="Dec"),P579&lt;59),1,IF(U579&lt;66,1,0))</f>
        <v>1</v>
      </c>
      <c r="AU579" s="1125">
        <f t="shared" ref="AU579:AU642" si="696">IF(AND(OR(LEFT(AU$1,3)="Jan",LEFT(AU$1,3)="Dec"),Q579&lt;59),1,IF(V579&lt;66,1,0))</f>
        <v>1</v>
      </c>
      <c r="AV579" s="1125">
        <f t="shared" ref="AV579:AV642" si="697">IF(AND(OR(LEFT(AV$1,3)="Jan",LEFT(AV$1,3)="Dec"),R579&lt;59),1,IF(W579&lt;66,1,0))</f>
        <v>1</v>
      </c>
      <c r="AW579" s="1125">
        <f t="shared" ref="AW579:AW642" si="698">IF(AND(OR(LEFT(AW$1,3)="Jan",LEFT(AW$1,3)="Dec"),S579&lt;59),1,IF(X579&lt;66,1,0))</f>
        <v>1</v>
      </c>
      <c r="AX579" s="1125">
        <f t="shared" ref="AX579:AX642" si="699">IF(AND(OR(LEFT(AX$1,3)="Jan",LEFT(AX$1,3)="Dec"),T579&lt;59),1,IF(Y579&lt;66,1,0))</f>
        <v>1</v>
      </c>
      <c r="AY579" s="1125">
        <f t="shared" ref="AY579:AY642" si="700">IF(OR(LEFT(AY$1,3)="Jul", LEFT(AY$1,3)="Aug"),1,IF(N579&gt;66,1,0))</f>
        <v>0</v>
      </c>
      <c r="AZ579" s="1125">
        <f t="shared" ref="AZ579:AZ642" si="701">IF(OR(LEFT(AZ$1,3)="Jul", LEFT(AZ$1,3)="Aug"),1,IF(O579&gt;66,1,0))</f>
        <v>0</v>
      </c>
      <c r="BA579" s="1125">
        <f t="shared" ref="BA579:BA642" si="702">IF(OR(LEFT(BA$1,3)="Jul", LEFT(BA$1,3)="Aug"),1,IF(P579&gt;66,1,0))</f>
        <v>0</v>
      </c>
      <c r="BB579" s="1125">
        <f t="shared" ref="BB579:BB642" si="703">IF(OR(LEFT(BB$1,3)="Jul", LEFT(BB$1,3)="Aug"),1,IF(Q579&gt;66,1,0))</f>
        <v>0</v>
      </c>
      <c r="BC579" s="1125">
        <f t="shared" ref="BC579:BC642" si="704">IF(OR(LEFT(BC$1,3)="Jul", LEFT(BC$1,3)="Aug"),1,IF(R579&gt;66,1,0))</f>
        <v>0</v>
      </c>
      <c r="BD579" s="1125">
        <f t="shared" ref="BD579:BD642" si="705">IF(OR(LEFT(BD$1,3)="Jul", LEFT(BD$1,3)="Aug"),1,IF(S579&gt;66,1,0))</f>
        <v>0</v>
      </c>
      <c r="BE579" s="1125">
        <f t="shared" ref="BE579:BE642" si="706">IF(OR(LEFT(BE$1,3)="Jul", LEFT(BE$1,3)="Aug"),1,IF(T579&gt;66,1,0))</f>
        <v>1</v>
      </c>
      <c r="BF579" s="1125">
        <f t="shared" ref="BF579:BF642" si="707">IF(OR(LEFT(BF$1,3)="Jul", LEFT(BF$1,3)="Aug"),1,IF(U579&gt;66,1,0))</f>
        <v>1</v>
      </c>
      <c r="BG579" s="1125">
        <f t="shared" ref="BG579:BG642" si="708">IF(OR(LEFT(BG$1,3)="Jul", LEFT(BG$1,3)="Aug"),1,IF(V579&gt;66,1,0))</f>
        <v>0</v>
      </c>
      <c r="BH579" s="1125">
        <f t="shared" ref="BH579:BH642" si="709">IF(OR(LEFT(BH$1,3)="Jul", LEFT(BH$1,3)="Aug"),1,IF(W579&gt;66,1,0))</f>
        <v>0</v>
      </c>
      <c r="BI579" s="1125">
        <f t="shared" ref="BI579:BI642" si="710">IF(OR(LEFT(BI$1,3)="Jul", LEFT(BI$1,3)="Aug"),1,IF(X579&gt;66,1,0))</f>
        <v>0</v>
      </c>
      <c r="BJ579" s="1125">
        <f t="shared" ref="BJ579:BJ642" si="711">IF(OR(LEFT(BJ$1,3)="Jul", LEFT(BJ$1,3)="Aug"),1,IF(Y579&gt;66,1,0))</f>
        <v>0</v>
      </c>
      <c r="BK579" s="1125">
        <f t="shared" ref="BK579:BK642" si="712">IF(AND(AY579=1,BJ579=0),1,AM579)</f>
        <v>1</v>
      </c>
      <c r="BL579" s="1125">
        <f t="shared" ref="BL579:BL642" si="713">IF(AND(AY579=0,AZ579=1),1,AN579)</f>
        <v>1</v>
      </c>
      <c r="BM579" s="1125">
        <f t="shared" ref="BM579:BM642" si="714">IF(AND(AZ579=0,BA579=1),1,AO579)</f>
        <v>1</v>
      </c>
      <c r="BN579" s="1125">
        <f t="shared" ref="BN579:BN642" si="715">IF(AND(BA579=0,BB579=1),1,AP579)</f>
        <v>1</v>
      </c>
      <c r="BO579" s="1125">
        <f t="shared" ref="BO579:BO642" si="716">IF(AND(BB579=0,BC579=1),1,AQ579)</f>
        <v>1</v>
      </c>
      <c r="BP579" s="1125">
        <f t="shared" ref="BP579:BP642" si="717">IF(AND(BC579=0,BD579=1),1,AR579)</f>
        <v>1</v>
      </c>
      <c r="BQ579" s="1125">
        <f t="shared" ref="BQ579:BQ642" si="718">IF(AND(BD579=0,BE579=1),1,AS579)</f>
        <v>1</v>
      </c>
      <c r="BR579" s="1125">
        <f t="shared" ref="BR579:BR642" si="719">IF(AND(BE579=0,BF579=1),1,AT579)</f>
        <v>1</v>
      </c>
      <c r="BS579" s="1125">
        <f t="shared" ref="BS579:BS642" si="720">IF(AND(BF579=0,BG579=1),1,AU579)</f>
        <v>1</v>
      </c>
      <c r="BT579" s="1125">
        <f t="shared" ref="BT579:BT642" si="721">IF(AND(BG579=0,BH579=1),1,AV579)</f>
        <v>1</v>
      </c>
      <c r="BU579" s="1125">
        <f t="shared" ref="BU579:BU642" si="722">IF(AND(BH579=0,BI579=1),1,AW579)</f>
        <v>1</v>
      </c>
      <c r="BV579" s="1125">
        <f t="shared" ref="BV579:BV642" si="723">IF(AND(BI579=0,BJ579=1),1,AX579)</f>
        <v>1</v>
      </c>
      <c r="BW579" s="1125">
        <f t="shared" ref="BW579:BW642" si="724">IF(OR(AND(AX579=0,AM579=1),AND(AM579=1,AN579=0)),1,AY579)</f>
        <v>0</v>
      </c>
      <c r="BX579" s="1125">
        <f t="shared" ref="BX579:BX642" si="725">IF(OR(AND(AM579=0,AN579=1),AND(AN579=1,AO579=0)),1,AZ579)</f>
        <v>0</v>
      </c>
      <c r="BY579" s="1125">
        <f t="shared" ref="BY579:BY642" si="726">IF(OR(AND(AN579=0,AO579=1),AND(AO579=1,AP579=0)),1,BA579)</f>
        <v>0</v>
      </c>
      <c r="BZ579" s="1125">
        <f t="shared" ref="BZ579:BZ642" si="727">IF(OR(AND(AO579=0,AP579=1),AND(AP579=1,AQ579=0)),1,BB579)</f>
        <v>0</v>
      </c>
      <c r="CA579" s="1125">
        <f t="shared" ref="CA579:CA642" si="728">IF(OR(AND(AP579=0,AQ579=1),AND(AQ579=1,AR579=0)),1,BC579)</f>
        <v>0</v>
      </c>
      <c r="CB579" s="1125">
        <f t="shared" ref="CB579:CB642" si="729">IF(OR(AND(AQ579=0,AR579=1),AND(AR579=1,AS579=0)),1,BD579)</f>
        <v>0</v>
      </c>
      <c r="CC579" s="1125">
        <f t="shared" ref="CC579:CC642" si="730">IF(OR(AND(AR579=0,AS579=1),AND(AS579=1,AT579=0)),1,BE579)</f>
        <v>1</v>
      </c>
      <c r="CD579" s="1125">
        <f t="shared" ref="CD579:CD642" si="731">IF(OR(AND(AS579=0,AT579=1),AND(AT579=1,AU579=0)),1,BF579)</f>
        <v>1</v>
      </c>
      <c r="CE579" s="1125">
        <f t="shared" ref="CE579:CE642" si="732">IF(OR(AND(AT579=0,AU579=1),AND(AU579=1,AV579=0)),1,BG579)</f>
        <v>0</v>
      </c>
      <c r="CF579" s="1125">
        <f t="shared" ref="CF579:CF642" si="733">IF(OR(AND(AU579=0,AV579=1),AND(AV579=1,AW579=0)),1,BH579)</f>
        <v>0</v>
      </c>
      <c r="CG579" s="1125">
        <f t="shared" ref="CG579:CG642" si="734">IF(OR(AND(AV579=0,AW579=1),AND(AW579=1,AX579=0)),1,BI579)</f>
        <v>0</v>
      </c>
      <c r="CH579" s="1125">
        <f t="shared" ref="CH579:CH642" si="735">IF(OR(AND(AW579=0,AX579=1),AND(AX579=1,AM579=0)),1,BJ579)</f>
        <v>0</v>
      </c>
      <c r="CI579" s="1125">
        <f t="shared" ref="CI579:CI642" si="736">IF(BK579=1,0.85,0.7)</f>
        <v>0.85</v>
      </c>
      <c r="CJ579" s="1125">
        <f t="shared" ref="CJ579:CJ642" si="737">IF(BL579=1,0.85,0.7)</f>
        <v>0.85</v>
      </c>
      <c r="CK579" s="1125">
        <f t="shared" ref="CK579:CK642" si="738">IF(BM579=1,0.85,0.7)</f>
        <v>0.85</v>
      </c>
      <c r="CL579" s="1125">
        <f t="shared" ref="CL579:CL642" si="739">IF(BN579=1,0.85,0.7)</f>
        <v>0.85</v>
      </c>
      <c r="CM579" s="1125">
        <f t="shared" ref="CM579:CM642" si="740">IF(BO579=1,0.85,0.7)</f>
        <v>0.85</v>
      </c>
      <c r="CN579" s="1125">
        <f t="shared" ref="CN579:CN642" si="741">IF(BP579=1,0.85,0.7)</f>
        <v>0.85</v>
      </c>
      <c r="CO579" s="1125">
        <f t="shared" ref="CO579:CO642" si="742">IF(BQ579=1,0.85,0.7)</f>
        <v>0.85</v>
      </c>
      <c r="CP579" s="1125">
        <f t="shared" ref="CP579:CP642" si="743">IF(BR579=1,0.85,0.7)</f>
        <v>0.85</v>
      </c>
      <c r="CQ579" s="1125">
        <f t="shared" ref="CQ579:CQ642" si="744">IF(BS579=1,0.85,0.7)</f>
        <v>0.85</v>
      </c>
      <c r="CR579" s="1125">
        <f t="shared" ref="CR579:CR642" si="745">IF(BT579=1,0.85,0.7)</f>
        <v>0.85</v>
      </c>
      <c r="CS579" s="1125">
        <f t="shared" ref="CS579:CS642" si="746">IF(BU579=1,0.85,0.7)</f>
        <v>0.85</v>
      </c>
      <c r="CT579" s="1125">
        <f t="shared" ref="CT579:CT642" si="747">IF(BV579=1,0.85,0.7)</f>
        <v>0.85</v>
      </c>
      <c r="CU579" s="1125">
        <v>1</v>
      </c>
      <c r="CV579" s="1125"/>
      <c r="CW579" s="1125">
        <f t="shared" ref="CW579:CW642" si="748">BW579*31+BX579*28+BY579*31+BZ579*30+CA579*31+CB579*30+CC579*31+CD579*31+CE579*30+CF579*31+CG579*30+CH579*31</f>
        <v>62</v>
      </c>
      <c r="CX579" s="1125">
        <f t="shared" ref="CX579:CX642" si="749">365-CW579</f>
        <v>303</v>
      </c>
      <c r="CY579" s="1136" t="s">
        <v>4880</v>
      </c>
      <c r="CZ579" s="1129">
        <v>8</v>
      </c>
      <c r="DA579" s="1129"/>
      <c r="DB579" s="1129"/>
      <c r="DC579" s="1125" t="s">
        <v>4946</v>
      </c>
      <c r="DD579" s="1125" t="s">
        <v>953</v>
      </c>
      <c r="DE579" s="1125" t="str">
        <f t="shared" si="675"/>
        <v/>
      </c>
      <c r="DF579" s="1125">
        <v>0</v>
      </c>
      <c r="DG579" s="1125">
        <v>0</v>
      </c>
    </row>
    <row r="580" spans="1:111">
      <c r="A580" s="1120" t="s">
        <v>3880</v>
      </c>
      <c r="B580" s="1125" t="s">
        <v>3300</v>
      </c>
      <c r="C580" s="1125" t="s">
        <v>3301</v>
      </c>
      <c r="D580" s="1125" t="s">
        <v>594</v>
      </c>
      <c r="E580" s="1125">
        <v>36</v>
      </c>
      <c r="F580" s="1125">
        <v>-80.650000000000006</v>
      </c>
      <c r="G580" s="1125">
        <v>28.12</v>
      </c>
      <c r="H580" s="1125">
        <v>-5</v>
      </c>
      <c r="I580" s="1126">
        <v>43.340000343322757</v>
      </c>
      <c r="J580" s="1126">
        <v>90.860001373291013</v>
      </c>
      <c r="K580" s="1127">
        <v>78.439998626708984</v>
      </c>
      <c r="L580" s="1125">
        <v>336.6</v>
      </c>
      <c r="M580" s="1125">
        <v>153</v>
      </c>
      <c r="N580" s="1128">
        <v>65.66000137329101</v>
      </c>
      <c r="O580" s="1128">
        <v>63.319999313354494</v>
      </c>
      <c r="P580" s="1128">
        <v>69.080000686645505</v>
      </c>
      <c r="Q580" s="1128">
        <v>73.580000686645505</v>
      </c>
      <c r="R580" s="1128">
        <v>76.460001373291021</v>
      </c>
      <c r="S580" s="1128">
        <v>78.080000686645505</v>
      </c>
      <c r="T580" s="1128">
        <v>80.060001373291016</v>
      </c>
      <c r="U580" s="1128">
        <v>80.419999313354495</v>
      </c>
      <c r="V580" s="1128">
        <v>80.060001373291016</v>
      </c>
      <c r="W580" s="1128">
        <v>74.83999862670899</v>
      </c>
      <c r="X580" s="1128">
        <v>67.280000686645508</v>
      </c>
      <c r="Y580" s="1128">
        <v>63.5</v>
      </c>
      <c r="Z580" s="1128">
        <v>72.749534709355601</v>
      </c>
      <c r="AA580" s="1128">
        <f t="shared" si="676"/>
        <v>72.905421433437567</v>
      </c>
      <c r="AB580" s="1128">
        <f t="shared" si="677"/>
        <v>73.355589379845696</v>
      </c>
      <c r="AC580" s="1128">
        <f t="shared" si="678"/>
        <v>75.211772299604235</v>
      </c>
      <c r="AD580" s="1128">
        <f t="shared" si="679"/>
        <v>77.99012751003346</v>
      </c>
      <c r="AE580" s="1128">
        <f t="shared" si="680"/>
        <v>80.966433909785181</v>
      </c>
      <c r="AF580" s="1128">
        <f t="shared" si="681"/>
        <v>83.364871369494139</v>
      </c>
      <c r="AG580" s="1128">
        <f t="shared" si="682"/>
        <v>84.560250204247126</v>
      </c>
      <c r="AH580" s="1128">
        <f t="shared" si="683"/>
        <v>84.240976499420341</v>
      </c>
      <c r="AI580" s="1128">
        <f t="shared" si="684"/>
        <v>82.490273866333595</v>
      </c>
      <c r="AJ580" s="1128">
        <f t="shared" si="685"/>
        <v>79.764489925445176</v>
      </c>
      <c r="AK580" s="1128">
        <f t="shared" si="686"/>
        <v>76.774142266549688</v>
      </c>
      <c r="AL580" s="1128">
        <f t="shared" si="687"/>
        <v>74.298711089590569</v>
      </c>
      <c r="AM580" s="1125">
        <f t="shared" si="688"/>
        <v>1</v>
      </c>
      <c r="AN580" s="1125">
        <f t="shared" si="689"/>
        <v>1</v>
      </c>
      <c r="AO580" s="1125">
        <f t="shared" si="690"/>
        <v>0</v>
      </c>
      <c r="AP580" s="1125">
        <f t="shared" si="691"/>
        <v>0</v>
      </c>
      <c r="AQ580" s="1125">
        <f t="shared" si="692"/>
        <v>0</v>
      </c>
      <c r="AR580" s="1125">
        <f t="shared" si="693"/>
        <v>0</v>
      </c>
      <c r="AS580" s="1125">
        <f t="shared" si="694"/>
        <v>0</v>
      </c>
      <c r="AT580" s="1125">
        <f t="shared" si="695"/>
        <v>0</v>
      </c>
      <c r="AU580" s="1125">
        <f t="shared" si="696"/>
        <v>0</v>
      </c>
      <c r="AV580" s="1125">
        <f t="shared" si="697"/>
        <v>0</v>
      </c>
      <c r="AW580" s="1125">
        <f t="shared" si="698"/>
        <v>0</v>
      </c>
      <c r="AX580" s="1125">
        <f t="shared" si="699"/>
        <v>1</v>
      </c>
      <c r="AY580" s="1125">
        <f t="shared" si="700"/>
        <v>0</v>
      </c>
      <c r="AZ580" s="1125">
        <f t="shared" si="701"/>
        <v>0</v>
      </c>
      <c r="BA580" s="1125">
        <f t="shared" si="702"/>
        <v>1</v>
      </c>
      <c r="BB580" s="1125">
        <f t="shared" si="703"/>
        <v>1</v>
      </c>
      <c r="BC580" s="1125">
        <f t="shared" si="704"/>
        <v>1</v>
      </c>
      <c r="BD580" s="1125">
        <f t="shared" si="705"/>
        <v>1</v>
      </c>
      <c r="BE580" s="1125">
        <f t="shared" si="706"/>
        <v>1</v>
      </c>
      <c r="BF580" s="1125">
        <f t="shared" si="707"/>
        <v>1</v>
      </c>
      <c r="BG580" s="1125">
        <f t="shared" si="708"/>
        <v>1</v>
      </c>
      <c r="BH580" s="1125">
        <f t="shared" si="709"/>
        <v>1</v>
      </c>
      <c r="BI580" s="1125">
        <f t="shared" si="710"/>
        <v>1</v>
      </c>
      <c r="BJ580" s="1125">
        <f t="shared" si="711"/>
        <v>0</v>
      </c>
      <c r="BK580" s="1125">
        <f t="shared" si="712"/>
        <v>1</v>
      </c>
      <c r="BL580" s="1125">
        <f t="shared" si="713"/>
        <v>1</v>
      </c>
      <c r="BM580" s="1125">
        <f t="shared" si="714"/>
        <v>1</v>
      </c>
      <c r="BN580" s="1125">
        <f t="shared" si="715"/>
        <v>0</v>
      </c>
      <c r="BO580" s="1125">
        <f t="shared" si="716"/>
        <v>0</v>
      </c>
      <c r="BP580" s="1125">
        <f t="shared" si="717"/>
        <v>0</v>
      </c>
      <c r="BQ580" s="1125">
        <f t="shared" si="718"/>
        <v>0</v>
      </c>
      <c r="BR580" s="1125">
        <f t="shared" si="719"/>
        <v>0</v>
      </c>
      <c r="BS580" s="1125">
        <f t="shared" si="720"/>
        <v>0</v>
      </c>
      <c r="BT580" s="1125">
        <f t="shared" si="721"/>
        <v>0</v>
      </c>
      <c r="BU580" s="1125">
        <f t="shared" si="722"/>
        <v>0</v>
      </c>
      <c r="BV580" s="1125">
        <f t="shared" si="723"/>
        <v>1</v>
      </c>
      <c r="BW580" s="1125">
        <f t="shared" si="724"/>
        <v>0</v>
      </c>
      <c r="BX580" s="1125">
        <f t="shared" si="725"/>
        <v>1</v>
      </c>
      <c r="BY580" s="1125">
        <f t="shared" si="726"/>
        <v>1</v>
      </c>
      <c r="BZ580" s="1125">
        <f t="shared" si="727"/>
        <v>1</v>
      </c>
      <c r="CA580" s="1125">
        <f t="shared" si="728"/>
        <v>1</v>
      </c>
      <c r="CB580" s="1125">
        <f t="shared" si="729"/>
        <v>1</v>
      </c>
      <c r="CC580" s="1125">
        <f t="shared" si="730"/>
        <v>1</v>
      </c>
      <c r="CD580" s="1125">
        <f t="shared" si="731"/>
        <v>1</v>
      </c>
      <c r="CE580" s="1125">
        <f t="shared" si="732"/>
        <v>1</v>
      </c>
      <c r="CF580" s="1125">
        <f t="shared" si="733"/>
        <v>1</v>
      </c>
      <c r="CG580" s="1125">
        <f t="shared" si="734"/>
        <v>1</v>
      </c>
      <c r="CH580" s="1125">
        <f t="shared" si="735"/>
        <v>1</v>
      </c>
      <c r="CI580" s="1125">
        <f t="shared" si="736"/>
        <v>0.85</v>
      </c>
      <c r="CJ580" s="1125">
        <f t="shared" si="737"/>
        <v>0.85</v>
      </c>
      <c r="CK580" s="1125">
        <f t="shared" si="738"/>
        <v>0.85</v>
      </c>
      <c r="CL580" s="1125">
        <f t="shared" si="739"/>
        <v>0.7</v>
      </c>
      <c r="CM580" s="1125">
        <f t="shared" si="740"/>
        <v>0.7</v>
      </c>
      <c r="CN580" s="1125">
        <f t="shared" si="741"/>
        <v>0.7</v>
      </c>
      <c r="CO580" s="1125">
        <f t="shared" si="742"/>
        <v>0.7</v>
      </c>
      <c r="CP580" s="1125">
        <f t="shared" si="743"/>
        <v>0.7</v>
      </c>
      <c r="CQ580" s="1125">
        <f t="shared" si="744"/>
        <v>0.7</v>
      </c>
      <c r="CR580" s="1125">
        <f t="shared" si="745"/>
        <v>0.7</v>
      </c>
      <c r="CS580" s="1125">
        <f t="shared" si="746"/>
        <v>0.7</v>
      </c>
      <c r="CT580" s="1125">
        <f t="shared" si="747"/>
        <v>0.85</v>
      </c>
      <c r="CU580" s="1125">
        <v>1</v>
      </c>
      <c r="CV580" s="1125"/>
      <c r="CW580" s="1125">
        <f t="shared" si="748"/>
        <v>334</v>
      </c>
      <c r="CX580" s="1125">
        <f t="shared" si="749"/>
        <v>31</v>
      </c>
      <c r="CY580" s="1136" t="s">
        <v>4883</v>
      </c>
      <c r="CZ580" s="1129" t="s">
        <v>4884</v>
      </c>
      <c r="DA580" s="1129"/>
      <c r="DB580" s="1129"/>
      <c r="DC580" s="1125" t="s">
        <v>5107</v>
      </c>
      <c r="DD580" s="1125" t="s">
        <v>594</v>
      </c>
      <c r="DE580" s="1120" t="str">
        <f t="shared" si="675"/>
        <v/>
      </c>
      <c r="DF580" s="1133">
        <v>0</v>
      </c>
      <c r="DG580" s="1120">
        <v>0</v>
      </c>
    </row>
    <row r="581" spans="1:111">
      <c r="A581" s="1125" t="s">
        <v>3882</v>
      </c>
      <c r="B581" s="1120" t="s">
        <v>4518</v>
      </c>
      <c r="C581" s="1120" t="s">
        <v>4519</v>
      </c>
      <c r="D581" s="1120" t="s">
        <v>501</v>
      </c>
      <c r="E581" s="1120">
        <v>49</v>
      </c>
      <c r="F581" s="1120">
        <v>-75.77</v>
      </c>
      <c r="G581" s="1120">
        <v>37.65</v>
      </c>
      <c r="H581" s="1120">
        <v>-5</v>
      </c>
      <c r="I581" s="1121">
        <v>23.179999828338623</v>
      </c>
      <c r="J581" s="1121">
        <v>91.039998626708993</v>
      </c>
      <c r="K581" s="1122">
        <v>77</v>
      </c>
      <c r="L581" s="1120">
        <v>3675.6</v>
      </c>
      <c r="M581" s="1120">
        <v>1470.6000000000001</v>
      </c>
      <c r="N581" s="1123">
        <v>37.579999828338622</v>
      </c>
      <c r="O581" s="1123">
        <v>38.120000171661374</v>
      </c>
      <c r="P581" s="1123">
        <v>42.079999828338622</v>
      </c>
      <c r="Q581" s="1123">
        <v>55.040000343322752</v>
      </c>
      <c r="R581" s="1123">
        <v>66.019999313354489</v>
      </c>
      <c r="S581" s="1123">
        <v>72.860001373291013</v>
      </c>
      <c r="T581" s="1123">
        <v>78.439998626708984</v>
      </c>
      <c r="U581" s="1123">
        <v>77.719999313354492</v>
      </c>
      <c r="V581" s="1123">
        <v>69.619999313354498</v>
      </c>
      <c r="W581" s="1123">
        <v>61.160001373291017</v>
      </c>
      <c r="X581" s="1123">
        <v>53.780000686645508</v>
      </c>
      <c r="Y581" s="1123">
        <v>46.580000686645505</v>
      </c>
      <c r="Z581" s="1123">
        <v>58.365315135276482</v>
      </c>
      <c r="AA581" s="1123">
        <f t="shared" si="676"/>
        <v>53.951422346172833</v>
      </c>
      <c r="AB581" s="1123">
        <f t="shared" si="677"/>
        <v>53.402418882109579</v>
      </c>
      <c r="AC581" s="1123">
        <f t="shared" si="678"/>
        <v>55.711063269779402</v>
      </c>
      <c r="AD581" s="1123">
        <f t="shared" si="679"/>
        <v>60.275571772249258</v>
      </c>
      <c r="AE581" s="1123">
        <f t="shared" si="680"/>
        <v>65.90613490714513</v>
      </c>
      <c r="AF581" s="1123">
        <f t="shared" si="681"/>
        <v>71.135059623751999</v>
      </c>
      <c r="AG581" s="1123">
        <f t="shared" si="682"/>
        <v>74.599346114517274</v>
      </c>
      <c r="AH581" s="1123">
        <f t="shared" si="683"/>
        <v>75.395974719352182</v>
      </c>
      <c r="AI581" s="1123">
        <f t="shared" si="684"/>
        <v>73.317291915988079</v>
      </c>
      <c r="AJ581" s="1123">
        <f t="shared" si="685"/>
        <v>68.905138410593466</v>
      </c>
      <c r="AK581" s="1123">
        <f t="shared" si="686"/>
        <v>63.309610007693131</v>
      </c>
      <c r="AL581" s="1123">
        <f t="shared" si="687"/>
        <v>57.989267415205859</v>
      </c>
      <c r="AM581" s="1120">
        <f t="shared" si="688"/>
        <v>1</v>
      </c>
      <c r="AN581" s="1120">
        <f t="shared" si="689"/>
        <v>1</v>
      </c>
      <c r="AO581" s="1120">
        <f t="shared" si="690"/>
        <v>1</v>
      </c>
      <c r="AP581" s="1120">
        <f t="shared" si="691"/>
        <v>1</v>
      </c>
      <c r="AQ581" s="1120">
        <f t="shared" si="692"/>
        <v>0</v>
      </c>
      <c r="AR581" s="1120">
        <f t="shared" si="693"/>
        <v>0</v>
      </c>
      <c r="AS581" s="1120">
        <f t="shared" si="694"/>
        <v>0</v>
      </c>
      <c r="AT581" s="1120">
        <f t="shared" si="695"/>
        <v>0</v>
      </c>
      <c r="AU581" s="1120">
        <f t="shared" si="696"/>
        <v>0</v>
      </c>
      <c r="AV581" s="1120">
        <f t="shared" si="697"/>
        <v>1</v>
      </c>
      <c r="AW581" s="1120">
        <f t="shared" si="698"/>
        <v>1</v>
      </c>
      <c r="AX581" s="1120">
        <f t="shared" si="699"/>
        <v>1</v>
      </c>
      <c r="AY581" s="1120">
        <f t="shared" si="700"/>
        <v>0</v>
      </c>
      <c r="AZ581" s="1120">
        <f t="shared" si="701"/>
        <v>0</v>
      </c>
      <c r="BA581" s="1120">
        <f t="shared" si="702"/>
        <v>0</v>
      </c>
      <c r="BB581" s="1120">
        <f t="shared" si="703"/>
        <v>0</v>
      </c>
      <c r="BC581" s="1120">
        <f t="shared" si="704"/>
        <v>1</v>
      </c>
      <c r="BD581" s="1120">
        <f t="shared" si="705"/>
        <v>1</v>
      </c>
      <c r="BE581" s="1120">
        <f t="shared" si="706"/>
        <v>1</v>
      </c>
      <c r="BF581" s="1120">
        <f t="shared" si="707"/>
        <v>1</v>
      </c>
      <c r="BG581" s="1120">
        <f t="shared" si="708"/>
        <v>1</v>
      </c>
      <c r="BH581" s="1120">
        <f t="shared" si="709"/>
        <v>0</v>
      </c>
      <c r="BI581" s="1120">
        <f t="shared" si="710"/>
        <v>0</v>
      </c>
      <c r="BJ581" s="1120">
        <f t="shared" si="711"/>
        <v>0</v>
      </c>
      <c r="BK581" s="1120">
        <f t="shared" si="712"/>
        <v>1</v>
      </c>
      <c r="BL581" s="1120">
        <f t="shared" si="713"/>
        <v>1</v>
      </c>
      <c r="BM581" s="1120">
        <f t="shared" si="714"/>
        <v>1</v>
      </c>
      <c r="BN581" s="1120">
        <f t="shared" si="715"/>
        <v>1</v>
      </c>
      <c r="BO581" s="1120">
        <f t="shared" si="716"/>
        <v>1</v>
      </c>
      <c r="BP581" s="1120">
        <f t="shared" si="717"/>
        <v>0</v>
      </c>
      <c r="BQ581" s="1120">
        <f t="shared" si="718"/>
        <v>0</v>
      </c>
      <c r="BR581" s="1120">
        <f t="shared" si="719"/>
        <v>0</v>
      </c>
      <c r="BS581" s="1120">
        <f t="shared" si="720"/>
        <v>0</v>
      </c>
      <c r="BT581" s="1120">
        <f t="shared" si="721"/>
        <v>1</v>
      </c>
      <c r="BU581" s="1120">
        <f t="shared" si="722"/>
        <v>1</v>
      </c>
      <c r="BV581" s="1120">
        <f t="shared" si="723"/>
        <v>1</v>
      </c>
      <c r="BW581" s="1120">
        <f t="shared" si="724"/>
        <v>0</v>
      </c>
      <c r="BX581" s="1120">
        <f t="shared" si="725"/>
        <v>0</v>
      </c>
      <c r="BY581" s="1120">
        <f t="shared" si="726"/>
        <v>0</v>
      </c>
      <c r="BZ581" s="1120">
        <f t="shared" si="727"/>
        <v>1</v>
      </c>
      <c r="CA581" s="1120">
        <f t="shared" si="728"/>
        <v>1</v>
      </c>
      <c r="CB581" s="1120">
        <f t="shared" si="729"/>
        <v>1</v>
      </c>
      <c r="CC581" s="1120">
        <f t="shared" si="730"/>
        <v>1</v>
      </c>
      <c r="CD581" s="1120">
        <f t="shared" si="731"/>
        <v>1</v>
      </c>
      <c r="CE581" s="1120">
        <f t="shared" si="732"/>
        <v>1</v>
      </c>
      <c r="CF581" s="1120">
        <f t="shared" si="733"/>
        <v>1</v>
      </c>
      <c r="CG581" s="1120">
        <f t="shared" si="734"/>
        <v>0</v>
      </c>
      <c r="CH581" s="1120">
        <f t="shared" si="735"/>
        <v>0</v>
      </c>
      <c r="CI581" s="1120">
        <f t="shared" si="736"/>
        <v>0.85</v>
      </c>
      <c r="CJ581" s="1120">
        <f t="shared" si="737"/>
        <v>0.85</v>
      </c>
      <c r="CK581" s="1120">
        <f t="shared" si="738"/>
        <v>0.85</v>
      </c>
      <c r="CL581" s="1120">
        <f t="shared" si="739"/>
        <v>0.85</v>
      </c>
      <c r="CM581" s="1120">
        <f t="shared" si="740"/>
        <v>0.85</v>
      </c>
      <c r="CN581" s="1120">
        <f t="shared" si="741"/>
        <v>0.7</v>
      </c>
      <c r="CO581" s="1120">
        <f t="shared" si="742"/>
        <v>0.7</v>
      </c>
      <c r="CP581" s="1120">
        <f t="shared" si="743"/>
        <v>0.7</v>
      </c>
      <c r="CQ581" s="1120">
        <f t="shared" si="744"/>
        <v>0.7</v>
      </c>
      <c r="CR581" s="1120">
        <f t="shared" si="745"/>
        <v>0.85</v>
      </c>
      <c r="CS581" s="1120">
        <f t="shared" si="746"/>
        <v>0.85</v>
      </c>
      <c r="CT581" s="1120">
        <f t="shared" si="747"/>
        <v>0.85</v>
      </c>
      <c r="CU581" s="1120">
        <v>1</v>
      </c>
      <c r="CV581" s="1120"/>
      <c r="CW581" s="1120">
        <f t="shared" si="748"/>
        <v>214</v>
      </c>
      <c r="CX581" s="1120">
        <f t="shared" si="749"/>
        <v>151</v>
      </c>
      <c r="CY581" s="1135" t="s">
        <v>4881</v>
      </c>
      <c r="CZ581" s="1124" t="s">
        <v>4885</v>
      </c>
      <c r="DA581" s="1124"/>
      <c r="DB581" s="1124"/>
      <c r="DC581" s="1120" t="s">
        <v>6012</v>
      </c>
      <c r="DD581" s="1120" t="s">
        <v>501</v>
      </c>
      <c r="DE581" s="1120" t="str">
        <f t="shared" si="675"/>
        <v/>
      </c>
      <c r="DF581" s="1133">
        <v>0</v>
      </c>
      <c r="DG581" s="1125">
        <v>0</v>
      </c>
    </row>
    <row r="582" spans="1:111">
      <c r="A582" s="1120" t="s">
        <v>3884</v>
      </c>
      <c r="B582" s="1120" t="s">
        <v>3032</v>
      </c>
      <c r="C582" s="1120" t="s">
        <v>3033</v>
      </c>
      <c r="D582" s="1120" t="s">
        <v>1176</v>
      </c>
      <c r="E582" s="1120">
        <v>554</v>
      </c>
      <c r="F582" s="1120">
        <v>-93.1</v>
      </c>
      <c r="G582" s="1120">
        <v>34.47</v>
      </c>
      <c r="H582" s="1120">
        <v>-6</v>
      </c>
      <c r="I582" s="1121">
        <v>17.779999828338624</v>
      </c>
      <c r="J582" s="1121">
        <v>96.979997253417977</v>
      </c>
      <c r="K582" s="1122">
        <v>75.739998626708982</v>
      </c>
      <c r="L582" s="1120">
        <v>3133.8</v>
      </c>
      <c r="M582" s="1120">
        <v>2143.8000000000002</v>
      </c>
      <c r="N582" s="1123">
        <v>43.340000343322757</v>
      </c>
      <c r="O582" s="1123">
        <v>41.720000171661376</v>
      </c>
      <c r="P582" s="1123">
        <v>48.380000686645509</v>
      </c>
      <c r="Q582" s="1123">
        <v>62.419999313354495</v>
      </c>
      <c r="R582" s="1123">
        <v>71.239998626708982</v>
      </c>
      <c r="S582" s="1123">
        <v>76.819999313354487</v>
      </c>
      <c r="T582" s="1123">
        <v>80.060001373291016</v>
      </c>
      <c r="U582" s="1123">
        <v>81.5</v>
      </c>
      <c r="V582" s="1123">
        <v>78.260001373291018</v>
      </c>
      <c r="W582" s="1123">
        <v>61.7</v>
      </c>
      <c r="X582" s="1123">
        <v>49.640000343322754</v>
      </c>
      <c r="Y582" s="1123">
        <v>43.879999828338626</v>
      </c>
      <c r="Z582" s="1123">
        <v>61.68619189510607</v>
      </c>
      <c r="AA582" s="1123">
        <f t="shared" si="676"/>
        <v>56.71794793313174</v>
      </c>
      <c r="AB582" s="1123">
        <f t="shared" si="677"/>
        <v>56.484755095499764</v>
      </c>
      <c r="AC582" s="1123">
        <f t="shared" si="678"/>
        <v>59.171389379051405</v>
      </c>
      <c r="AD582" s="1123">
        <f t="shared" si="679"/>
        <v>64.077538155491368</v>
      </c>
      <c r="AE582" s="1123">
        <f t="shared" si="680"/>
        <v>69.924338140199382</v>
      </c>
      <c r="AF582" s="1123">
        <f t="shared" si="681"/>
        <v>75.187730815246141</v>
      </c>
      <c r="AG582" s="1123">
        <f t="shared" si="682"/>
        <v>78.495731768544388</v>
      </c>
      <c r="AH582" s="1123">
        <f t="shared" si="683"/>
        <v>78.986059573779158</v>
      </c>
      <c r="AI582" s="1123">
        <f t="shared" si="684"/>
        <v>76.530902732335804</v>
      </c>
      <c r="AJ582" s="1123">
        <f t="shared" si="685"/>
        <v>71.770235710048709</v>
      </c>
      <c r="AK582" s="1123">
        <f t="shared" si="686"/>
        <v>65.944999730376566</v>
      </c>
      <c r="AL582" s="1123">
        <f t="shared" si="687"/>
        <v>60.573632321024611</v>
      </c>
      <c r="AM582" s="1120">
        <f t="shared" si="688"/>
        <v>1</v>
      </c>
      <c r="AN582" s="1120">
        <f t="shared" si="689"/>
        <v>1</v>
      </c>
      <c r="AO582" s="1120">
        <f t="shared" si="690"/>
        <v>1</v>
      </c>
      <c r="AP582" s="1120">
        <f t="shared" si="691"/>
        <v>1</v>
      </c>
      <c r="AQ582" s="1120">
        <f t="shared" si="692"/>
        <v>0</v>
      </c>
      <c r="AR582" s="1120">
        <f t="shared" si="693"/>
        <v>0</v>
      </c>
      <c r="AS582" s="1120">
        <f t="shared" si="694"/>
        <v>0</v>
      </c>
      <c r="AT582" s="1120">
        <f t="shared" si="695"/>
        <v>0</v>
      </c>
      <c r="AU582" s="1120">
        <f t="shared" si="696"/>
        <v>0</v>
      </c>
      <c r="AV582" s="1120">
        <f t="shared" si="697"/>
        <v>1</v>
      </c>
      <c r="AW582" s="1120">
        <f t="shared" si="698"/>
        <v>1</v>
      </c>
      <c r="AX582" s="1120">
        <f t="shared" si="699"/>
        <v>1</v>
      </c>
      <c r="AY582" s="1120">
        <f t="shared" si="700"/>
        <v>0</v>
      </c>
      <c r="AZ582" s="1120">
        <f t="shared" si="701"/>
        <v>0</v>
      </c>
      <c r="BA582" s="1120">
        <f t="shared" si="702"/>
        <v>0</v>
      </c>
      <c r="BB582" s="1120">
        <f t="shared" si="703"/>
        <v>0</v>
      </c>
      <c r="BC582" s="1120">
        <f t="shared" si="704"/>
        <v>1</v>
      </c>
      <c r="BD582" s="1120">
        <f t="shared" si="705"/>
        <v>1</v>
      </c>
      <c r="BE582" s="1120">
        <f t="shared" si="706"/>
        <v>1</v>
      </c>
      <c r="BF582" s="1120">
        <f t="shared" si="707"/>
        <v>1</v>
      </c>
      <c r="BG582" s="1120">
        <f t="shared" si="708"/>
        <v>1</v>
      </c>
      <c r="BH582" s="1120">
        <f t="shared" si="709"/>
        <v>0</v>
      </c>
      <c r="BI582" s="1120">
        <f t="shared" si="710"/>
        <v>0</v>
      </c>
      <c r="BJ582" s="1120">
        <f t="shared" si="711"/>
        <v>0</v>
      </c>
      <c r="BK582" s="1120">
        <f t="shared" si="712"/>
        <v>1</v>
      </c>
      <c r="BL582" s="1120">
        <f t="shared" si="713"/>
        <v>1</v>
      </c>
      <c r="BM582" s="1120">
        <f t="shared" si="714"/>
        <v>1</v>
      </c>
      <c r="BN582" s="1120">
        <f t="shared" si="715"/>
        <v>1</v>
      </c>
      <c r="BO582" s="1120">
        <f t="shared" si="716"/>
        <v>1</v>
      </c>
      <c r="BP582" s="1120">
        <f t="shared" si="717"/>
        <v>0</v>
      </c>
      <c r="BQ582" s="1120">
        <f t="shared" si="718"/>
        <v>0</v>
      </c>
      <c r="BR582" s="1120">
        <f t="shared" si="719"/>
        <v>0</v>
      </c>
      <c r="BS582" s="1120">
        <f t="shared" si="720"/>
        <v>0</v>
      </c>
      <c r="BT582" s="1120">
        <f t="shared" si="721"/>
        <v>1</v>
      </c>
      <c r="BU582" s="1120">
        <f t="shared" si="722"/>
        <v>1</v>
      </c>
      <c r="BV582" s="1120">
        <f t="shared" si="723"/>
        <v>1</v>
      </c>
      <c r="BW582" s="1120">
        <f t="shared" si="724"/>
        <v>0</v>
      </c>
      <c r="BX582" s="1120">
        <f t="shared" si="725"/>
        <v>0</v>
      </c>
      <c r="BY582" s="1120">
        <f t="shared" si="726"/>
        <v>0</v>
      </c>
      <c r="BZ582" s="1120">
        <f t="shared" si="727"/>
        <v>1</v>
      </c>
      <c r="CA582" s="1120">
        <f t="shared" si="728"/>
        <v>1</v>
      </c>
      <c r="CB582" s="1120">
        <f t="shared" si="729"/>
        <v>1</v>
      </c>
      <c r="CC582" s="1120">
        <f t="shared" si="730"/>
        <v>1</v>
      </c>
      <c r="CD582" s="1120">
        <f t="shared" si="731"/>
        <v>1</v>
      </c>
      <c r="CE582" s="1120">
        <f t="shared" si="732"/>
        <v>1</v>
      </c>
      <c r="CF582" s="1120">
        <f t="shared" si="733"/>
        <v>1</v>
      </c>
      <c r="CG582" s="1120">
        <f t="shared" si="734"/>
        <v>0</v>
      </c>
      <c r="CH582" s="1120">
        <f t="shared" si="735"/>
        <v>0</v>
      </c>
      <c r="CI582" s="1120">
        <f t="shared" si="736"/>
        <v>0.85</v>
      </c>
      <c r="CJ582" s="1120">
        <f t="shared" si="737"/>
        <v>0.85</v>
      </c>
      <c r="CK582" s="1120">
        <f t="shared" si="738"/>
        <v>0.85</v>
      </c>
      <c r="CL582" s="1120">
        <f t="shared" si="739"/>
        <v>0.85</v>
      </c>
      <c r="CM582" s="1120">
        <f t="shared" si="740"/>
        <v>0.85</v>
      </c>
      <c r="CN582" s="1120">
        <f t="shared" si="741"/>
        <v>0.7</v>
      </c>
      <c r="CO582" s="1120">
        <f t="shared" si="742"/>
        <v>0.7</v>
      </c>
      <c r="CP582" s="1120">
        <f t="shared" si="743"/>
        <v>0.7</v>
      </c>
      <c r="CQ582" s="1120">
        <f t="shared" si="744"/>
        <v>0.7</v>
      </c>
      <c r="CR582" s="1120">
        <f t="shared" si="745"/>
        <v>0.85</v>
      </c>
      <c r="CS582" s="1120">
        <f t="shared" si="746"/>
        <v>0.85</v>
      </c>
      <c r="CT582" s="1120">
        <f t="shared" si="747"/>
        <v>0.85</v>
      </c>
      <c r="CU582" s="1120">
        <v>1</v>
      </c>
      <c r="CV582" s="1120"/>
      <c r="CW582" s="1120">
        <f t="shared" si="748"/>
        <v>214</v>
      </c>
      <c r="CX582" s="1120">
        <f t="shared" si="749"/>
        <v>151</v>
      </c>
      <c r="CY582" s="1135" t="s">
        <v>4881</v>
      </c>
      <c r="CZ582" s="1124" t="s">
        <v>4882</v>
      </c>
      <c r="DA582" s="1124"/>
      <c r="DB582" s="1124"/>
      <c r="DC582" s="1120" t="s">
        <v>4991</v>
      </c>
      <c r="DD582" s="1120" t="s">
        <v>1176</v>
      </c>
      <c r="DE582" s="1120" t="str">
        <f t="shared" si="675"/>
        <v/>
      </c>
      <c r="DF582" s="1120">
        <v>0</v>
      </c>
      <c r="DG582" s="1120">
        <v>0</v>
      </c>
    </row>
    <row r="583" spans="1:111">
      <c r="A583" s="1125" t="s">
        <v>3870</v>
      </c>
      <c r="B583" s="1125" t="s">
        <v>4348</v>
      </c>
      <c r="C583" s="1125" t="s">
        <v>4349</v>
      </c>
      <c r="D583" s="1125" t="s">
        <v>560</v>
      </c>
      <c r="E583" s="1125">
        <v>266</v>
      </c>
      <c r="F583" s="1125">
        <v>-89.98</v>
      </c>
      <c r="G583" s="1125">
        <v>35.07</v>
      </c>
      <c r="H583" s="1125">
        <v>-6</v>
      </c>
      <c r="I583" s="1126">
        <v>21.740000343322755</v>
      </c>
      <c r="J583" s="1126">
        <v>93.920002746582028</v>
      </c>
      <c r="K583" s="1127">
        <v>76.819999313354487</v>
      </c>
      <c r="L583" s="1125">
        <v>2851.2000000000003</v>
      </c>
      <c r="M583" s="1125">
        <v>2221.2000000000003</v>
      </c>
      <c r="N583" s="1128">
        <v>39.379999828338626</v>
      </c>
      <c r="O583" s="1128">
        <v>43.879999828338626</v>
      </c>
      <c r="P583" s="1128">
        <v>54.319999313354494</v>
      </c>
      <c r="Q583" s="1128">
        <v>62.239998626708989</v>
      </c>
      <c r="R583" s="1128">
        <v>71.780000686645508</v>
      </c>
      <c r="S583" s="1128">
        <v>78.8</v>
      </c>
      <c r="T583" s="1128">
        <v>82.939998626708984</v>
      </c>
      <c r="U583" s="1128">
        <v>81.5</v>
      </c>
      <c r="V583" s="1128">
        <v>75.739998626708982</v>
      </c>
      <c r="W583" s="1128">
        <v>62.060001373291016</v>
      </c>
      <c r="X583" s="1128">
        <v>53.780000686645508</v>
      </c>
      <c r="Y583" s="1128">
        <v>44.240000343322755</v>
      </c>
      <c r="Z583" s="1128">
        <v>62.652766955388735</v>
      </c>
      <c r="AA583" s="1128">
        <f t="shared" si="676"/>
        <v>56.380360746579726</v>
      </c>
      <c r="AB583" s="1128">
        <f t="shared" si="677"/>
        <v>56.229162702728836</v>
      </c>
      <c r="AC583" s="1128">
        <f t="shared" si="678"/>
        <v>59.316368560870529</v>
      </c>
      <c r="AD583" s="1128">
        <f t="shared" si="679"/>
        <v>64.837250538797804</v>
      </c>
      <c r="AE583" s="1128">
        <f t="shared" si="680"/>
        <v>71.352705669597313</v>
      </c>
      <c r="AF583" s="1128">
        <f t="shared" si="681"/>
        <v>77.164380167223328</v>
      </c>
      <c r="AG583" s="1128">
        <f t="shared" si="682"/>
        <v>80.75737151325464</v>
      </c>
      <c r="AH583" s="1128">
        <f t="shared" si="683"/>
        <v>81.195111143675518</v>
      </c>
      <c r="AI583" s="1128">
        <f t="shared" si="684"/>
        <v>78.363495478044868</v>
      </c>
      <c r="AJ583" s="1128">
        <f t="shared" si="685"/>
        <v>73.000628776127584</v>
      </c>
      <c r="AK583" s="1128">
        <f t="shared" si="686"/>
        <v>66.504424888055908</v>
      </c>
      <c r="AL583" s="1128">
        <f t="shared" si="687"/>
        <v>60.568219466787937</v>
      </c>
      <c r="AM583" s="1125">
        <f t="shared" si="688"/>
        <v>1</v>
      </c>
      <c r="AN583" s="1125">
        <f t="shared" si="689"/>
        <v>1</v>
      </c>
      <c r="AO583" s="1125">
        <f t="shared" si="690"/>
        <v>1</v>
      </c>
      <c r="AP583" s="1125">
        <f t="shared" si="691"/>
        <v>1</v>
      </c>
      <c r="AQ583" s="1125">
        <f t="shared" si="692"/>
        <v>0</v>
      </c>
      <c r="AR583" s="1125">
        <f t="shared" si="693"/>
        <v>0</v>
      </c>
      <c r="AS583" s="1125">
        <f t="shared" si="694"/>
        <v>0</v>
      </c>
      <c r="AT583" s="1125">
        <f t="shared" si="695"/>
        <v>0</v>
      </c>
      <c r="AU583" s="1125">
        <f t="shared" si="696"/>
        <v>0</v>
      </c>
      <c r="AV583" s="1125">
        <f t="shared" si="697"/>
        <v>1</v>
      </c>
      <c r="AW583" s="1125">
        <f t="shared" si="698"/>
        <v>1</v>
      </c>
      <c r="AX583" s="1125">
        <f t="shared" si="699"/>
        <v>1</v>
      </c>
      <c r="AY583" s="1125">
        <f t="shared" si="700"/>
        <v>0</v>
      </c>
      <c r="AZ583" s="1125">
        <f t="shared" si="701"/>
        <v>0</v>
      </c>
      <c r="BA583" s="1125">
        <f t="shared" si="702"/>
        <v>0</v>
      </c>
      <c r="BB583" s="1125">
        <f t="shared" si="703"/>
        <v>0</v>
      </c>
      <c r="BC583" s="1125">
        <f t="shared" si="704"/>
        <v>1</v>
      </c>
      <c r="BD583" s="1125">
        <f t="shared" si="705"/>
        <v>1</v>
      </c>
      <c r="BE583" s="1125">
        <f t="shared" si="706"/>
        <v>1</v>
      </c>
      <c r="BF583" s="1125">
        <f t="shared" si="707"/>
        <v>1</v>
      </c>
      <c r="BG583" s="1125">
        <f t="shared" si="708"/>
        <v>1</v>
      </c>
      <c r="BH583" s="1125">
        <f t="shared" si="709"/>
        <v>0</v>
      </c>
      <c r="BI583" s="1125">
        <f t="shared" si="710"/>
        <v>0</v>
      </c>
      <c r="BJ583" s="1125">
        <f t="shared" si="711"/>
        <v>0</v>
      </c>
      <c r="BK583" s="1125">
        <f t="shared" si="712"/>
        <v>1</v>
      </c>
      <c r="BL583" s="1125">
        <f t="shared" si="713"/>
        <v>1</v>
      </c>
      <c r="BM583" s="1125">
        <f t="shared" si="714"/>
        <v>1</v>
      </c>
      <c r="BN583" s="1125">
        <f t="shared" si="715"/>
        <v>1</v>
      </c>
      <c r="BO583" s="1125">
        <f t="shared" si="716"/>
        <v>1</v>
      </c>
      <c r="BP583" s="1125">
        <f t="shared" si="717"/>
        <v>0</v>
      </c>
      <c r="BQ583" s="1125">
        <f t="shared" si="718"/>
        <v>0</v>
      </c>
      <c r="BR583" s="1125">
        <f t="shared" si="719"/>
        <v>0</v>
      </c>
      <c r="BS583" s="1125">
        <f t="shared" si="720"/>
        <v>0</v>
      </c>
      <c r="BT583" s="1125">
        <f t="shared" si="721"/>
        <v>1</v>
      </c>
      <c r="BU583" s="1125">
        <f t="shared" si="722"/>
        <v>1</v>
      </c>
      <c r="BV583" s="1125">
        <f t="shared" si="723"/>
        <v>1</v>
      </c>
      <c r="BW583" s="1125">
        <f t="shared" si="724"/>
        <v>0</v>
      </c>
      <c r="BX583" s="1125">
        <f t="shared" si="725"/>
        <v>0</v>
      </c>
      <c r="BY583" s="1125">
        <f t="shared" si="726"/>
        <v>0</v>
      </c>
      <c r="BZ583" s="1125">
        <f t="shared" si="727"/>
        <v>1</v>
      </c>
      <c r="CA583" s="1125">
        <f t="shared" si="728"/>
        <v>1</v>
      </c>
      <c r="CB583" s="1125">
        <f t="shared" si="729"/>
        <v>1</v>
      </c>
      <c r="CC583" s="1125">
        <f t="shared" si="730"/>
        <v>1</v>
      </c>
      <c r="CD583" s="1125">
        <f t="shared" si="731"/>
        <v>1</v>
      </c>
      <c r="CE583" s="1125">
        <f t="shared" si="732"/>
        <v>1</v>
      </c>
      <c r="CF583" s="1125">
        <f t="shared" si="733"/>
        <v>1</v>
      </c>
      <c r="CG583" s="1125">
        <f t="shared" si="734"/>
        <v>0</v>
      </c>
      <c r="CH583" s="1125">
        <f t="shared" si="735"/>
        <v>0</v>
      </c>
      <c r="CI583" s="1125">
        <f t="shared" si="736"/>
        <v>0.85</v>
      </c>
      <c r="CJ583" s="1125">
        <f t="shared" si="737"/>
        <v>0.85</v>
      </c>
      <c r="CK583" s="1125">
        <f t="shared" si="738"/>
        <v>0.85</v>
      </c>
      <c r="CL583" s="1125">
        <f t="shared" si="739"/>
        <v>0.85</v>
      </c>
      <c r="CM583" s="1125">
        <f t="shared" si="740"/>
        <v>0.85</v>
      </c>
      <c r="CN583" s="1125">
        <f t="shared" si="741"/>
        <v>0.7</v>
      </c>
      <c r="CO583" s="1125">
        <f t="shared" si="742"/>
        <v>0.7</v>
      </c>
      <c r="CP583" s="1125">
        <f t="shared" si="743"/>
        <v>0.7</v>
      </c>
      <c r="CQ583" s="1125">
        <f t="shared" si="744"/>
        <v>0.7</v>
      </c>
      <c r="CR583" s="1125">
        <f t="shared" si="745"/>
        <v>0.85</v>
      </c>
      <c r="CS583" s="1125">
        <f t="shared" si="746"/>
        <v>0.85</v>
      </c>
      <c r="CT583" s="1125">
        <f t="shared" si="747"/>
        <v>0.85</v>
      </c>
      <c r="CU583" s="1125">
        <v>1</v>
      </c>
      <c r="CV583" s="1125"/>
      <c r="CW583" s="1125">
        <f t="shared" si="748"/>
        <v>214</v>
      </c>
      <c r="CX583" s="1125">
        <f t="shared" si="749"/>
        <v>151</v>
      </c>
      <c r="CY583" s="1136" t="s">
        <v>4881</v>
      </c>
      <c r="CZ583" s="1129" t="s">
        <v>4882</v>
      </c>
      <c r="DA583" s="1129"/>
      <c r="DB583" s="1129"/>
      <c r="DC583" s="1125" t="s">
        <v>5570</v>
      </c>
      <c r="DD583" s="1125" t="s">
        <v>560</v>
      </c>
      <c r="DE583" s="1120" t="str">
        <f t="shared" si="675"/>
        <v/>
      </c>
      <c r="DF583" s="1133">
        <v>0</v>
      </c>
      <c r="DG583" s="1125">
        <v>0</v>
      </c>
    </row>
    <row r="584" spans="1:111">
      <c r="A584" s="1120" t="s">
        <v>3886</v>
      </c>
      <c r="B584" s="1125" t="s">
        <v>5866</v>
      </c>
      <c r="C584" s="1125" t="s">
        <v>5867</v>
      </c>
      <c r="D584" s="1125" t="s">
        <v>540</v>
      </c>
      <c r="E584" s="1125">
        <v>626</v>
      </c>
      <c r="F584" s="1125">
        <v>-87.63</v>
      </c>
      <c r="G584" s="1125">
        <v>45.13</v>
      </c>
      <c r="H584" s="1125">
        <v>-6</v>
      </c>
      <c r="I584" s="1126">
        <v>-2.0199993133544929</v>
      </c>
      <c r="J584" s="1126">
        <v>82.4</v>
      </c>
      <c r="K584" s="1127">
        <v>68.180000686645513</v>
      </c>
      <c r="L584" s="1125">
        <v>7464.6</v>
      </c>
      <c r="M584" s="1125">
        <v>514.80000000000007</v>
      </c>
      <c r="N584" s="1128">
        <v>15.980000686645507</v>
      </c>
      <c r="O584" s="1128">
        <v>21.379999828338622</v>
      </c>
      <c r="P584" s="1128">
        <v>28.580000042915344</v>
      </c>
      <c r="Q584" s="1128">
        <v>46.040000343322752</v>
      </c>
      <c r="R584" s="1128">
        <v>49.280000686645508</v>
      </c>
      <c r="S584" s="1128">
        <v>64.400000000000006</v>
      </c>
      <c r="T584" s="1128">
        <v>69.8</v>
      </c>
      <c r="U584" s="1128">
        <v>68.719999313354492</v>
      </c>
      <c r="V584" s="1128">
        <v>62.239998626708989</v>
      </c>
      <c r="W584" s="1128">
        <v>48.380000686645509</v>
      </c>
      <c r="X584" s="1128">
        <v>41.179999828338623</v>
      </c>
      <c r="Y584" s="1128">
        <v>26.960000085830689</v>
      </c>
      <c r="Z584" s="1128">
        <v>45.35106850878833</v>
      </c>
      <c r="AA584" s="1128">
        <f t="shared" si="676"/>
        <v>42.037557838265435</v>
      </c>
      <c r="AB584" s="1128">
        <f t="shared" si="677"/>
        <v>40.245427583215118</v>
      </c>
      <c r="AC584" s="1128">
        <f t="shared" si="678"/>
        <v>41.348153778522573</v>
      </c>
      <c r="AD584" s="1128">
        <f t="shared" si="679"/>
        <v>45.058293847855865</v>
      </c>
      <c r="AE584" s="1128">
        <f t="shared" si="680"/>
        <v>50.408742607154117</v>
      </c>
      <c r="AF584" s="1128">
        <f t="shared" si="681"/>
        <v>56.004823134395046</v>
      </c>
      <c r="AG584" s="1128">
        <f t="shared" si="682"/>
        <v>60.387830801941959</v>
      </c>
      <c r="AH584" s="1128">
        <f t="shared" si="683"/>
        <v>62.415267117056061</v>
      </c>
      <c r="AI584" s="1128">
        <f t="shared" si="684"/>
        <v>61.558649560463493</v>
      </c>
      <c r="AJ584" s="1128">
        <f t="shared" si="685"/>
        <v>58.041268699166253</v>
      </c>
      <c r="AK584" s="1128">
        <f t="shared" si="686"/>
        <v>52.779984059141277</v>
      </c>
      <c r="AL584" s="1128">
        <f t="shared" si="687"/>
        <v>47.146230560661643</v>
      </c>
      <c r="AM584" s="1125">
        <f t="shared" si="688"/>
        <v>1</v>
      </c>
      <c r="AN584" s="1125">
        <f t="shared" si="689"/>
        <v>1</v>
      </c>
      <c r="AO584" s="1125">
        <f t="shared" si="690"/>
        <v>1</v>
      </c>
      <c r="AP584" s="1125">
        <f t="shared" si="691"/>
        <v>1</v>
      </c>
      <c r="AQ584" s="1125">
        <f t="shared" si="692"/>
        <v>1</v>
      </c>
      <c r="AR584" s="1125">
        <f t="shared" si="693"/>
        <v>1</v>
      </c>
      <c r="AS584" s="1125">
        <f t="shared" si="694"/>
        <v>0</v>
      </c>
      <c r="AT584" s="1125">
        <f t="shared" si="695"/>
        <v>0</v>
      </c>
      <c r="AU584" s="1125">
        <f t="shared" si="696"/>
        <v>1</v>
      </c>
      <c r="AV584" s="1125">
        <f t="shared" si="697"/>
        <v>1</v>
      </c>
      <c r="AW584" s="1125">
        <f t="shared" si="698"/>
        <v>1</v>
      </c>
      <c r="AX584" s="1125">
        <f t="shared" si="699"/>
        <v>1</v>
      </c>
      <c r="AY584" s="1125">
        <f t="shared" si="700"/>
        <v>0</v>
      </c>
      <c r="AZ584" s="1125">
        <f t="shared" si="701"/>
        <v>0</v>
      </c>
      <c r="BA584" s="1125">
        <f t="shared" si="702"/>
        <v>0</v>
      </c>
      <c r="BB584" s="1125">
        <f t="shared" si="703"/>
        <v>0</v>
      </c>
      <c r="BC584" s="1125">
        <f t="shared" si="704"/>
        <v>0</v>
      </c>
      <c r="BD584" s="1125">
        <f t="shared" si="705"/>
        <v>0</v>
      </c>
      <c r="BE584" s="1125">
        <f t="shared" si="706"/>
        <v>1</v>
      </c>
      <c r="BF584" s="1125">
        <f t="shared" si="707"/>
        <v>1</v>
      </c>
      <c r="BG584" s="1125">
        <f t="shared" si="708"/>
        <v>0</v>
      </c>
      <c r="BH584" s="1125">
        <f t="shared" si="709"/>
        <v>0</v>
      </c>
      <c r="BI584" s="1125">
        <f t="shared" si="710"/>
        <v>0</v>
      </c>
      <c r="BJ584" s="1125">
        <f t="shared" si="711"/>
        <v>0</v>
      </c>
      <c r="BK584" s="1125">
        <f t="shared" si="712"/>
        <v>1</v>
      </c>
      <c r="BL584" s="1125">
        <f t="shared" si="713"/>
        <v>1</v>
      </c>
      <c r="BM584" s="1125">
        <f t="shared" si="714"/>
        <v>1</v>
      </c>
      <c r="BN584" s="1125">
        <f t="shared" si="715"/>
        <v>1</v>
      </c>
      <c r="BO584" s="1125">
        <f t="shared" si="716"/>
        <v>1</v>
      </c>
      <c r="BP584" s="1125">
        <f t="shared" si="717"/>
        <v>1</v>
      </c>
      <c r="BQ584" s="1125">
        <f t="shared" si="718"/>
        <v>1</v>
      </c>
      <c r="BR584" s="1125">
        <f t="shared" si="719"/>
        <v>0</v>
      </c>
      <c r="BS584" s="1125">
        <f t="shared" si="720"/>
        <v>1</v>
      </c>
      <c r="BT584" s="1125">
        <f t="shared" si="721"/>
        <v>1</v>
      </c>
      <c r="BU584" s="1125">
        <f t="shared" si="722"/>
        <v>1</v>
      </c>
      <c r="BV584" s="1125">
        <f t="shared" si="723"/>
        <v>1</v>
      </c>
      <c r="BW584" s="1125">
        <f t="shared" si="724"/>
        <v>0</v>
      </c>
      <c r="BX584" s="1125">
        <f t="shared" si="725"/>
        <v>0</v>
      </c>
      <c r="BY584" s="1125">
        <f t="shared" si="726"/>
        <v>0</v>
      </c>
      <c r="BZ584" s="1125">
        <f t="shared" si="727"/>
        <v>0</v>
      </c>
      <c r="CA584" s="1125">
        <f t="shared" si="728"/>
        <v>0</v>
      </c>
      <c r="CB584" s="1125">
        <f t="shared" si="729"/>
        <v>1</v>
      </c>
      <c r="CC584" s="1125">
        <f t="shared" si="730"/>
        <v>1</v>
      </c>
      <c r="CD584" s="1125">
        <f t="shared" si="731"/>
        <v>1</v>
      </c>
      <c r="CE584" s="1125">
        <f t="shared" si="732"/>
        <v>1</v>
      </c>
      <c r="CF584" s="1125">
        <f t="shared" si="733"/>
        <v>0</v>
      </c>
      <c r="CG584" s="1125">
        <f t="shared" si="734"/>
        <v>0</v>
      </c>
      <c r="CH584" s="1125">
        <f t="shared" si="735"/>
        <v>0</v>
      </c>
      <c r="CI584" s="1125">
        <f t="shared" si="736"/>
        <v>0.85</v>
      </c>
      <c r="CJ584" s="1125">
        <f t="shared" si="737"/>
        <v>0.85</v>
      </c>
      <c r="CK584" s="1125">
        <f t="shared" si="738"/>
        <v>0.85</v>
      </c>
      <c r="CL584" s="1125">
        <f t="shared" si="739"/>
        <v>0.85</v>
      </c>
      <c r="CM584" s="1125">
        <f t="shared" si="740"/>
        <v>0.85</v>
      </c>
      <c r="CN584" s="1125">
        <f t="shared" si="741"/>
        <v>0.85</v>
      </c>
      <c r="CO584" s="1125">
        <f t="shared" si="742"/>
        <v>0.85</v>
      </c>
      <c r="CP584" s="1125">
        <f t="shared" si="743"/>
        <v>0.7</v>
      </c>
      <c r="CQ584" s="1125">
        <f t="shared" si="744"/>
        <v>0.85</v>
      </c>
      <c r="CR584" s="1125">
        <f t="shared" si="745"/>
        <v>0.85</v>
      </c>
      <c r="CS584" s="1125">
        <f t="shared" si="746"/>
        <v>0.85</v>
      </c>
      <c r="CT584" s="1125">
        <f t="shared" si="747"/>
        <v>0.85</v>
      </c>
      <c r="CU584" s="1125">
        <v>1</v>
      </c>
      <c r="CV584" s="1125"/>
      <c r="CW584" s="1125">
        <f t="shared" si="748"/>
        <v>122</v>
      </c>
      <c r="CX584" s="1125">
        <f t="shared" si="749"/>
        <v>243</v>
      </c>
      <c r="CY584" s="1136" t="s">
        <v>4889</v>
      </c>
      <c r="CZ584" s="1129" t="s">
        <v>4899</v>
      </c>
      <c r="DA584" s="1129"/>
      <c r="DB584" s="1129"/>
      <c r="DC584" s="1125" t="s">
        <v>5743</v>
      </c>
      <c r="DD584" s="1125" t="s">
        <v>540</v>
      </c>
      <c r="DE584" s="1120" t="str">
        <f t="shared" si="675"/>
        <v/>
      </c>
      <c r="DF584" s="1133">
        <v>1</v>
      </c>
      <c r="DG584" s="1120">
        <v>0</v>
      </c>
    </row>
    <row r="585" spans="1:111">
      <c r="A585" s="1125" t="s">
        <v>3888</v>
      </c>
      <c r="B585" s="1120" t="s">
        <v>3136</v>
      </c>
      <c r="C585" s="1120" t="s">
        <v>3137</v>
      </c>
      <c r="D585" s="1120" t="s">
        <v>954</v>
      </c>
      <c r="E585" s="1120">
        <v>154</v>
      </c>
      <c r="F585" s="1120">
        <v>-120.52</v>
      </c>
      <c r="G585" s="1120">
        <v>37.28</v>
      </c>
      <c r="H585" s="1120">
        <v>-8</v>
      </c>
      <c r="I585" s="1121">
        <v>30.019999957084657</v>
      </c>
      <c r="J585" s="1121">
        <v>102.37999725341797</v>
      </c>
      <c r="K585" s="1122">
        <v>62.780000686645508</v>
      </c>
      <c r="L585" s="1120">
        <v>2246.4</v>
      </c>
      <c r="M585" s="1120">
        <v>1490.4</v>
      </c>
      <c r="N585" s="1123">
        <v>45.859999656677246</v>
      </c>
      <c r="O585" s="1123">
        <v>51.8</v>
      </c>
      <c r="P585" s="1123">
        <v>58.459999656677248</v>
      </c>
      <c r="Q585" s="1123">
        <v>62.960001373291014</v>
      </c>
      <c r="R585" s="1123">
        <v>66.560001373291016</v>
      </c>
      <c r="S585" s="1123">
        <v>74.66000137329101</v>
      </c>
      <c r="T585" s="1123">
        <v>78.980000686645511</v>
      </c>
      <c r="U585" s="1123">
        <v>76.639998626708987</v>
      </c>
      <c r="V585" s="1123">
        <v>69.260001373291018</v>
      </c>
      <c r="W585" s="1123">
        <v>61.880000686645509</v>
      </c>
      <c r="X585" s="1123">
        <v>52.880000686645509</v>
      </c>
      <c r="Y585" s="1123">
        <v>47.480000686645511</v>
      </c>
      <c r="Z585" s="1123">
        <v>62.342082703472819</v>
      </c>
      <c r="AA585" s="1123">
        <f t="shared" si="676"/>
        <v>59.074896600710503</v>
      </c>
      <c r="AB585" s="1123">
        <f t="shared" si="677"/>
        <v>58.934181015896399</v>
      </c>
      <c r="AC585" s="1123">
        <f t="shared" si="678"/>
        <v>61.245779986102605</v>
      </c>
      <c r="AD585" s="1123">
        <f t="shared" si="679"/>
        <v>65.407139616926443</v>
      </c>
      <c r="AE585" s="1123">
        <f t="shared" si="680"/>
        <v>70.333537392100624</v>
      </c>
      <c r="AF585" s="1123">
        <f t="shared" si="681"/>
        <v>74.740831813438263</v>
      </c>
      <c r="AG585" s="1123">
        <f t="shared" si="682"/>
        <v>77.480193671554787</v>
      </c>
      <c r="AH585" s="1123">
        <f t="shared" si="683"/>
        <v>77.837566083288067</v>
      </c>
      <c r="AI585" s="1123">
        <f t="shared" si="684"/>
        <v>75.719794422244249</v>
      </c>
      <c r="AJ585" s="1123">
        <f t="shared" si="685"/>
        <v>71.678908507723577</v>
      </c>
      <c r="AK585" s="1123">
        <f t="shared" si="686"/>
        <v>66.768227525282768</v>
      </c>
      <c r="AL585" s="1123">
        <f t="shared" si="687"/>
        <v>62.267796148879647</v>
      </c>
      <c r="AM585" s="1120">
        <f t="shared" si="688"/>
        <v>1</v>
      </c>
      <c r="AN585" s="1120">
        <f t="shared" si="689"/>
        <v>1</v>
      </c>
      <c r="AO585" s="1120">
        <f t="shared" si="690"/>
        <v>1</v>
      </c>
      <c r="AP585" s="1120">
        <f t="shared" si="691"/>
        <v>1</v>
      </c>
      <c r="AQ585" s="1120">
        <f t="shared" si="692"/>
        <v>0</v>
      </c>
      <c r="AR585" s="1120">
        <f t="shared" si="693"/>
        <v>0</v>
      </c>
      <c r="AS585" s="1120">
        <f t="shared" si="694"/>
        <v>0</v>
      </c>
      <c r="AT585" s="1120">
        <f t="shared" si="695"/>
        <v>0</v>
      </c>
      <c r="AU585" s="1120">
        <f t="shared" si="696"/>
        <v>0</v>
      </c>
      <c r="AV585" s="1120">
        <f t="shared" si="697"/>
        <v>1</v>
      </c>
      <c r="AW585" s="1120">
        <f t="shared" si="698"/>
        <v>1</v>
      </c>
      <c r="AX585" s="1120">
        <f t="shared" si="699"/>
        <v>1</v>
      </c>
      <c r="AY585" s="1120">
        <f t="shared" si="700"/>
        <v>0</v>
      </c>
      <c r="AZ585" s="1120">
        <f t="shared" si="701"/>
        <v>0</v>
      </c>
      <c r="BA585" s="1120">
        <f t="shared" si="702"/>
        <v>0</v>
      </c>
      <c r="BB585" s="1120">
        <f t="shared" si="703"/>
        <v>0</v>
      </c>
      <c r="BC585" s="1120">
        <f t="shared" si="704"/>
        <v>1</v>
      </c>
      <c r="BD585" s="1120">
        <f t="shared" si="705"/>
        <v>1</v>
      </c>
      <c r="BE585" s="1120">
        <f t="shared" si="706"/>
        <v>1</v>
      </c>
      <c r="BF585" s="1120">
        <f t="shared" si="707"/>
        <v>1</v>
      </c>
      <c r="BG585" s="1120">
        <f t="shared" si="708"/>
        <v>1</v>
      </c>
      <c r="BH585" s="1120">
        <f t="shared" si="709"/>
        <v>0</v>
      </c>
      <c r="BI585" s="1120">
        <f t="shared" si="710"/>
        <v>0</v>
      </c>
      <c r="BJ585" s="1120">
        <f t="shared" si="711"/>
        <v>0</v>
      </c>
      <c r="BK585" s="1120">
        <f t="shared" si="712"/>
        <v>1</v>
      </c>
      <c r="BL585" s="1120">
        <f t="shared" si="713"/>
        <v>1</v>
      </c>
      <c r="BM585" s="1120">
        <f t="shared" si="714"/>
        <v>1</v>
      </c>
      <c r="BN585" s="1120">
        <f t="shared" si="715"/>
        <v>1</v>
      </c>
      <c r="BO585" s="1120">
        <f t="shared" si="716"/>
        <v>1</v>
      </c>
      <c r="BP585" s="1120">
        <f t="shared" si="717"/>
        <v>0</v>
      </c>
      <c r="BQ585" s="1120">
        <f t="shared" si="718"/>
        <v>0</v>
      </c>
      <c r="BR585" s="1120">
        <f t="shared" si="719"/>
        <v>0</v>
      </c>
      <c r="BS585" s="1120">
        <f t="shared" si="720"/>
        <v>0</v>
      </c>
      <c r="BT585" s="1120">
        <f t="shared" si="721"/>
        <v>1</v>
      </c>
      <c r="BU585" s="1120">
        <f t="shared" si="722"/>
        <v>1</v>
      </c>
      <c r="BV585" s="1120">
        <f t="shared" si="723"/>
        <v>1</v>
      </c>
      <c r="BW585" s="1120">
        <f t="shared" si="724"/>
        <v>0</v>
      </c>
      <c r="BX585" s="1120">
        <f t="shared" si="725"/>
        <v>0</v>
      </c>
      <c r="BY585" s="1120">
        <f t="shared" si="726"/>
        <v>0</v>
      </c>
      <c r="BZ585" s="1120">
        <f t="shared" si="727"/>
        <v>1</v>
      </c>
      <c r="CA585" s="1120">
        <f t="shared" si="728"/>
        <v>1</v>
      </c>
      <c r="CB585" s="1120">
        <f t="shared" si="729"/>
        <v>1</v>
      </c>
      <c r="CC585" s="1120">
        <f t="shared" si="730"/>
        <v>1</v>
      </c>
      <c r="CD585" s="1120">
        <f t="shared" si="731"/>
        <v>1</v>
      </c>
      <c r="CE585" s="1120">
        <f t="shared" si="732"/>
        <v>1</v>
      </c>
      <c r="CF585" s="1120">
        <f t="shared" si="733"/>
        <v>1</v>
      </c>
      <c r="CG585" s="1120">
        <f t="shared" si="734"/>
        <v>0</v>
      </c>
      <c r="CH585" s="1120">
        <f t="shared" si="735"/>
        <v>0</v>
      </c>
      <c r="CI585" s="1120">
        <f t="shared" si="736"/>
        <v>0.85</v>
      </c>
      <c r="CJ585" s="1120">
        <f t="shared" si="737"/>
        <v>0.85</v>
      </c>
      <c r="CK585" s="1120">
        <f t="shared" si="738"/>
        <v>0.85</v>
      </c>
      <c r="CL585" s="1120">
        <f t="shared" si="739"/>
        <v>0.85</v>
      </c>
      <c r="CM585" s="1120">
        <f t="shared" si="740"/>
        <v>0.85</v>
      </c>
      <c r="CN585" s="1120">
        <f t="shared" si="741"/>
        <v>0.7</v>
      </c>
      <c r="CO585" s="1120">
        <f t="shared" si="742"/>
        <v>0.7</v>
      </c>
      <c r="CP585" s="1120">
        <f t="shared" si="743"/>
        <v>0.7</v>
      </c>
      <c r="CQ585" s="1120">
        <f t="shared" si="744"/>
        <v>0.7</v>
      </c>
      <c r="CR585" s="1120">
        <f t="shared" si="745"/>
        <v>0.85</v>
      </c>
      <c r="CS585" s="1120">
        <f t="shared" si="746"/>
        <v>0.85</v>
      </c>
      <c r="CT585" s="1120">
        <f t="shared" si="747"/>
        <v>0.85</v>
      </c>
      <c r="CU585" s="1120">
        <v>1</v>
      </c>
      <c r="CV585" s="1120"/>
      <c r="CW585" s="1120">
        <f t="shared" si="748"/>
        <v>214</v>
      </c>
      <c r="CX585" s="1120">
        <f t="shared" si="749"/>
        <v>151</v>
      </c>
      <c r="CY585" s="1136" t="s">
        <v>4886</v>
      </c>
      <c r="CZ585" s="1129" t="s">
        <v>4888</v>
      </c>
      <c r="DA585" s="1129"/>
      <c r="DB585" s="1129"/>
      <c r="DC585" s="1125" t="s">
        <v>5945</v>
      </c>
      <c r="DD585" s="1125" t="s">
        <v>954</v>
      </c>
      <c r="DE585" s="1120" t="str">
        <f t="shared" si="675"/>
        <v/>
      </c>
      <c r="DF585" s="1133">
        <v>0</v>
      </c>
      <c r="DG585" s="1125">
        <v>0</v>
      </c>
    </row>
    <row r="586" spans="1:111">
      <c r="A586" s="1120" t="s">
        <v>3890</v>
      </c>
      <c r="B586" s="1120" t="s">
        <v>4108</v>
      </c>
      <c r="C586" s="1120" t="s">
        <v>4109</v>
      </c>
      <c r="D586" s="1120" t="s">
        <v>450</v>
      </c>
      <c r="E586" s="1120">
        <v>3067</v>
      </c>
      <c r="F586" s="1120">
        <v>-116.02</v>
      </c>
      <c r="G586" s="1120">
        <v>36.630000000000003</v>
      </c>
      <c r="H586" s="1120">
        <v>-8</v>
      </c>
      <c r="I586" s="1121">
        <v>28.76000008583069</v>
      </c>
      <c r="J586" s="1121">
        <v>101.47999725341798</v>
      </c>
      <c r="K586" s="1122">
        <v>64.939998626708984</v>
      </c>
      <c r="L586" s="1120">
        <v>2869.2000000000003</v>
      </c>
      <c r="M586" s="1120">
        <v>2680.2000000000003</v>
      </c>
      <c r="N586" s="1123">
        <v>44.240000343322755</v>
      </c>
      <c r="O586" s="1123">
        <v>46.580000686645505</v>
      </c>
      <c r="P586" s="1123">
        <v>56.480000686645511</v>
      </c>
      <c r="Q586" s="1123">
        <v>57.559999656677249</v>
      </c>
      <c r="R586" s="1123">
        <v>71.960001373291021</v>
      </c>
      <c r="S586" s="1123">
        <v>82.219999313354492</v>
      </c>
      <c r="T586" s="1123">
        <v>86.719999313354492</v>
      </c>
      <c r="U586" s="1123">
        <v>86.719999313354492</v>
      </c>
      <c r="V586" s="1123">
        <v>77.900000000000006</v>
      </c>
      <c r="W586" s="1123">
        <v>63.139998626708987</v>
      </c>
      <c r="X586" s="1123">
        <v>50.180000686645506</v>
      </c>
      <c r="Y586" s="1123">
        <v>41.540000343322752</v>
      </c>
      <c r="Z586" s="1123">
        <v>63.876273997058611</v>
      </c>
      <c r="AA586" s="1123">
        <f t="shared" si="676"/>
        <v>56.80575118248057</v>
      </c>
      <c r="AB586" s="1123">
        <f t="shared" si="677"/>
        <v>56.791047448795965</v>
      </c>
      <c r="AC586" s="1123">
        <f t="shared" si="678"/>
        <v>60.187209664361006</v>
      </c>
      <c r="AD586" s="1123">
        <f t="shared" si="679"/>
        <v>66.108975811244704</v>
      </c>
      <c r="AE586" s="1123">
        <f t="shared" si="680"/>
        <v>73.012746286083186</v>
      </c>
      <c r="AF586" s="1123">
        <f t="shared" si="681"/>
        <v>79.098946924286352</v>
      </c>
      <c r="AG586" s="1123">
        <f t="shared" si="682"/>
        <v>82.781115738315691</v>
      </c>
      <c r="AH586" s="1123">
        <f t="shared" si="683"/>
        <v>83.099438682855407</v>
      </c>
      <c r="AI586" s="1123">
        <f t="shared" si="684"/>
        <v>79.970939976906152</v>
      </c>
      <c r="AJ586" s="1123">
        <f t="shared" si="685"/>
        <v>74.211111019798025</v>
      </c>
      <c r="AK586" s="1123">
        <f t="shared" si="686"/>
        <v>67.321339990852266</v>
      </c>
      <c r="AL586" s="1123">
        <f t="shared" si="687"/>
        <v>61.097551883349034</v>
      </c>
      <c r="AM586" s="1120">
        <f t="shared" si="688"/>
        <v>1</v>
      </c>
      <c r="AN586" s="1120">
        <f t="shared" si="689"/>
        <v>1</v>
      </c>
      <c r="AO586" s="1120">
        <f t="shared" si="690"/>
        <v>1</v>
      </c>
      <c r="AP586" s="1120">
        <f t="shared" si="691"/>
        <v>1</v>
      </c>
      <c r="AQ586" s="1120">
        <f t="shared" si="692"/>
        <v>0</v>
      </c>
      <c r="AR586" s="1120">
        <f t="shared" si="693"/>
        <v>0</v>
      </c>
      <c r="AS586" s="1120">
        <f t="shared" si="694"/>
        <v>0</v>
      </c>
      <c r="AT586" s="1120">
        <f t="shared" si="695"/>
        <v>0</v>
      </c>
      <c r="AU586" s="1120">
        <f t="shared" si="696"/>
        <v>0</v>
      </c>
      <c r="AV586" s="1120">
        <f t="shared" si="697"/>
        <v>1</v>
      </c>
      <c r="AW586" s="1120">
        <f t="shared" si="698"/>
        <v>1</v>
      </c>
      <c r="AX586" s="1120">
        <f t="shared" si="699"/>
        <v>1</v>
      </c>
      <c r="AY586" s="1120">
        <f t="shared" si="700"/>
        <v>0</v>
      </c>
      <c r="AZ586" s="1120">
        <f t="shared" si="701"/>
        <v>0</v>
      </c>
      <c r="BA586" s="1120">
        <f t="shared" si="702"/>
        <v>0</v>
      </c>
      <c r="BB586" s="1120">
        <f t="shared" si="703"/>
        <v>0</v>
      </c>
      <c r="BC586" s="1120">
        <f t="shared" si="704"/>
        <v>1</v>
      </c>
      <c r="BD586" s="1120">
        <f t="shared" si="705"/>
        <v>1</v>
      </c>
      <c r="BE586" s="1120">
        <f t="shared" si="706"/>
        <v>1</v>
      </c>
      <c r="BF586" s="1120">
        <f t="shared" si="707"/>
        <v>1</v>
      </c>
      <c r="BG586" s="1120">
        <f t="shared" si="708"/>
        <v>1</v>
      </c>
      <c r="BH586" s="1120">
        <f t="shared" si="709"/>
        <v>0</v>
      </c>
      <c r="BI586" s="1120">
        <f t="shared" si="710"/>
        <v>0</v>
      </c>
      <c r="BJ586" s="1120">
        <f t="shared" si="711"/>
        <v>0</v>
      </c>
      <c r="BK586" s="1120">
        <f t="shared" si="712"/>
        <v>1</v>
      </c>
      <c r="BL586" s="1120">
        <f t="shared" si="713"/>
        <v>1</v>
      </c>
      <c r="BM586" s="1120">
        <f t="shared" si="714"/>
        <v>1</v>
      </c>
      <c r="BN586" s="1120">
        <f t="shared" si="715"/>
        <v>1</v>
      </c>
      <c r="BO586" s="1120">
        <f t="shared" si="716"/>
        <v>1</v>
      </c>
      <c r="BP586" s="1120">
        <f t="shared" si="717"/>
        <v>0</v>
      </c>
      <c r="BQ586" s="1120">
        <f t="shared" si="718"/>
        <v>0</v>
      </c>
      <c r="BR586" s="1120">
        <f t="shared" si="719"/>
        <v>0</v>
      </c>
      <c r="BS586" s="1120">
        <f t="shared" si="720"/>
        <v>0</v>
      </c>
      <c r="BT586" s="1120">
        <f t="shared" si="721"/>
        <v>1</v>
      </c>
      <c r="BU586" s="1120">
        <f t="shared" si="722"/>
        <v>1</v>
      </c>
      <c r="BV586" s="1120">
        <f t="shared" si="723"/>
        <v>1</v>
      </c>
      <c r="BW586" s="1120">
        <f t="shared" si="724"/>
        <v>0</v>
      </c>
      <c r="BX586" s="1120">
        <f t="shared" si="725"/>
        <v>0</v>
      </c>
      <c r="BY586" s="1120">
        <f t="shared" si="726"/>
        <v>0</v>
      </c>
      <c r="BZ586" s="1120">
        <f t="shared" si="727"/>
        <v>1</v>
      </c>
      <c r="CA586" s="1120">
        <f t="shared" si="728"/>
        <v>1</v>
      </c>
      <c r="CB586" s="1120">
        <f t="shared" si="729"/>
        <v>1</v>
      </c>
      <c r="CC586" s="1120">
        <f t="shared" si="730"/>
        <v>1</v>
      </c>
      <c r="CD586" s="1120">
        <f t="shared" si="731"/>
        <v>1</v>
      </c>
      <c r="CE586" s="1120">
        <f t="shared" si="732"/>
        <v>1</v>
      </c>
      <c r="CF586" s="1120">
        <f t="shared" si="733"/>
        <v>1</v>
      </c>
      <c r="CG586" s="1120">
        <f t="shared" si="734"/>
        <v>0</v>
      </c>
      <c r="CH586" s="1120">
        <f t="shared" si="735"/>
        <v>0</v>
      </c>
      <c r="CI586" s="1120">
        <f t="shared" si="736"/>
        <v>0.85</v>
      </c>
      <c r="CJ586" s="1120">
        <f t="shared" si="737"/>
        <v>0.85</v>
      </c>
      <c r="CK586" s="1120">
        <f t="shared" si="738"/>
        <v>0.85</v>
      </c>
      <c r="CL586" s="1120">
        <f t="shared" si="739"/>
        <v>0.85</v>
      </c>
      <c r="CM586" s="1120">
        <f t="shared" si="740"/>
        <v>0.85</v>
      </c>
      <c r="CN586" s="1120">
        <f t="shared" si="741"/>
        <v>0.7</v>
      </c>
      <c r="CO586" s="1120">
        <f t="shared" si="742"/>
        <v>0.7</v>
      </c>
      <c r="CP586" s="1120">
        <f t="shared" si="743"/>
        <v>0.7</v>
      </c>
      <c r="CQ586" s="1120">
        <f t="shared" si="744"/>
        <v>0.7</v>
      </c>
      <c r="CR586" s="1120">
        <f t="shared" si="745"/>
        <v>0.85</v>
      </c>
      <c r="CS586" s="1120">
        <f t="shared" si="746"/>
        <v>0.85</v>
      </c>
      <c r="CT586" s="1120">
        <f t="shared" si="747"/>
        <v>0.85</v>
      </c>
      <c r="CU586" s="1120">
        <v>1</v>
      </c>
      <c r="CV586" s="1120"/>
      <c r="CW586" s="1120">
        <f t="shared" si="748"/>
        <v>214</v>
      </c>
      <c r="CX586" s="1120">
        <f t="shared" si="749"/>
        <v>151</v>
      </c>
      <c r="CY586" s="1135" t="s">
        <v>4889</v>
      </c>
      <c r="CZ586" s="1124" t="s">
        <v>4890</v>
      </c>
      <c r="DA586" s="1124"/>
      <c r="DB586" s="1124"/>
      <c r="DC586" s="1120" t="s">
        <v>5465</v>
      </c>
      <c r="DD586" s="1120" t="s">
        <v>450</v>
      </c>
      <c r="DE586" s="1120" t="b">
        <f t="shared" si="675"/>
        <v>0</v>
      </c>
      <c r="DF586" s="1133">
        <v>0</v>
      </c>
      <c r="DG586" s="1120">
        <v>0</v>
      </c>
    </row>
    <row r="587" spans="1:111">
      <c r="A587" s="1125" t="s">
        <v>3892</v>
      </c>
      <c r="B587" s="1125" t="s">
        <v>3888</v>
      </c>
      <c r="C587" s="1125" t="s">
        <v>3889</v>
      </c>
      <c r="D587" s="1125" t="s">
        <v>460</v>
      </c>
      <c r="E587" s="1125">
        <v>295</v>
      </c>
      <c r="F587" s="1125">
        <v>-88.75</v>
      </c>
      <c r="G587" s="1125">
        <v>32.33</v>
      </c>
      <c r="H587" s="1125">
        <v>-6</v>
      </c>
      <c r="I587" s="1126">
        <v>25.879999828338622</v>
      </c>
      <c r="J587" s="1126">
        <v>93.560001373291016</v>
      </c>
      <c r="K587" s="1127">
        <v>76.099999999999994</v>
      </c>
      <c r="L587" s="1125">
        <v>2406.6</v>
      </c>
      <c r="M587" s="1125">
        <v>2032.2</v>
      </c>
      <c r="N587" s="1128">
        <v>43.340000343322757</v>
      </c>
      <c r="O587" s="1128">
        <v>50</v>
      </c>
      <c r="P587" s="1128">
        <v>59.180000686645506</v>
      </c>
      <c r="Q587" s="1128">
        <v>64.219999313354492</v>
      </c>
      <c r="R587" s="1128">
        <v>71.239998626708982</v>
      </c>
      <c r="S587" s="1128">
        <v>77.180000686645513</v>
      </c>
      <c r="T587" s="1128">
        <v>79.880000686645502</v>
      </c>
      <c r="U587" s="1128">
        <v>79.7</v>
      </c>
      <c r="V587" s="1128">
        <v>73.939998626708984</v>
      </c>
      <c r="W587" s="1128">
        <v>61.339998626708983</v>
      </c>
      <c r="X587" s="1128">
        <v>52.7</v>
      </c>
      <c r="Y587" s="1128">
        <v>46.759999656677245</v>
      </c>
      <c r="Z587" s="1128">
        <v>63.358465523915747</v>
      </c>
      <c r="AA587" s="1128">
        <f t="shared" si="676"/>
        <v>58.904186042857248</v>
      </c>
      <c r="AB587" s="1128">
        <f t="shared" si="677"/>
        <v>58.843059704634015</v>
      </c>
      <c r="AC587" s="1128">
        <f t="shared" si="678"/>
        <v>61.522935940515382</v>
      </c>
      <c r="AD587" s="1128">
        <f t="shared" si="679"/>
        <v>66.245263711475985</v>
      </c>
      <c r="AE587" s="1128">
        <f t="shared" si="680"/>
        <v>71.779095510741158</v>
      </c>
      <c r="AF587" s="1128">
        <f t="shared" si="681"/>
        <v>76.681952800903034</v>
      </c>
      <c r="AG587" s="1128">
        <f t="shared" si="682"/>
        <v>79.675830273963044</v>
      </c>
      <c r="AH587" s="1128">
        <f t="shared" si="683"/>
        <v>79.980327629519692</v>
      </c>
      <c r="AI587" s="1128">
        <f t="shared" si="684"/>
        <v>77.516072939400829</v>
      </c>
      <c r="AJ587" s="1128">
        <f t="shared" si="685"/>
        <v>72.925412163900219</v>
      </c>
      <c r="AK587" s="1128">
        <f t="shared" si="686"/>
        <v>67.404971778376051</v>
      </c>
      <c r="AL587" s="1128">
        <f t="shared" si="687"/>
        <v>62.393739641876699</v>
      </c>
      <c r="AM587" s="1125">
        <f t="shared" si="688"/>
        <v>1</v>
      </c>
      <c r="AN587" s="1125">
        <f t="shared" si="689"/>
        <v>1</v>
      </c>
      <c r="AO587" s="1125">
        <f t="shared" si="690"/>
        <v>1</v>
      </c>
      <c r="AP587" s="1125">
        <f t="shared" si="691"/>
        <v>1</v>
      </c>
      <c r="AQ587" s="1125">
        <f t="shared" si="692"/>
        <v>0</v>
      </c>
      <c r="AR587" s="1125">
        <f t="shared" si="693"/>
        <v>0</v>
      </c>
      <c r="AS587" s="1125">
        <f t="shared" si="694"/>
        <v>0</v>
      </c>
      <c r="AT587" s="1125">
        <f t="shared" si="695"/>
        <v>0</v>
      </c>
      <c r="AU587" s="1125">
        <f t="shared" si="696"/>
        <v>0</v>
      </c>
      <c r="AV587" s="1125">
        <f t="shared" si="697"/>
        <v>1</v>
      </c>
      <c r="AW587" s="1125">
        <f t="shared" si="698"/>
        <v>1</v>
      </c>
      <c r="AX587" s="1125">
        <f t="shared" si="699"/>
        <v>1</v>
      </c>
      <c r="AY587" s="1125">
        <f t="shared" si="700"/>
        <v>0</v>
      </c>
      <c r="AZ587" s="1125">
        <f t="shared" si="701"/>
        <v>0</v>
      </c>
      <c r="BA587" s="1125">
        <f t="shared" si="702"/>
        <v>0</v>
      </c>
      <c r="BB587" s="1125">
        <f t="shared" si="703"/>
        <v>0</v>
      </c>
      <c r="BC587" s="1125">
        <f t="shared" si="704"/>
        <v>1</v>
      </c>
      <c r="BD587" s="1125">
        <f t="shared" si="705"/>
        <v>1</v>
      </c>
      <c r="BE587" s="1125">
        <f t="shared" si="706"/>
        <v>1</v>
      </c>
      <c r="BF587" s="1125">
        <f t="shared" si="707"/>
        <v>1</v>
      </c>
      <c r="BG587" s="1125">
        <f t="shared" si="708"/>
        <v>1</v>
      </c>
      <c r="BH587" s="1125">
        <f t="shared" si="709"/>
        <v>0</v>
      </c>
      <c r="BI587" s="1125">
        <f t="shared" si="710"/>
        <v>0</v>
      </c>
      <c r="BJ587" s="1125">
        <f t="shared" si="711"/>
        <v>0</v>
      </c>
      <c r="BK587" s="1125">
        <f t="shared" si="712"/>
        <v>1</v>
      </c>
      <c r="BL587" s="1125">
        <f t="shared" si="713"/>
        <v>1</v>
      </c>
      <c r="BM587" s="1125">
        <f t="shared" si="714"/>
        <v>1</v>
      </c>
      <c r="BN587" s="1125">
        <f t="shared" si="715"/>
        <v>1</v>
      </c>
      <c r="BO587" s="1125">
        <f t="shared" si="716"/>
        <v>1</v>
      </c>
      <c r="BP587" s="1125">
        <f t="shared" si="717"/>
        <v>0</v>
      </c>
      <c r="BQ587" s="1125">
        <f t="shared" si="718"/>
        <v>0</v>
      </c>
      <c r="BR587" s="1125">
        <f t="shared" si="719"/>
        <v>0</v>
      </c>
      <c r="BS587" s="1125">
        <f t="shared" si="720"/>
        <v>0</v>
      </c>
      <c r="BT587" s="1125">
        <f t="shared" si="721"/>
        <v>1</v>
      </c>
      <c r="BU587" s="1125">
        <f t="shared" si="722"/>
        <v>1</v>
      </c>
      <c r="BV587" s="1125">
        <f t="shared" si="723"/>
        <v>1</v>
      </c>
      <c r="BW587" s="1125">
        <f t="shared" si="724"/>
        <v>0</v>
      </c>
      <c r="BX587" s="1125">
        <f t="shared" si="725"/>
        <v>0</v>
      </c>
      <c r="BY587" s="1125">
        <f t="shared" si="726"/>
        <v>0</v>
      </c>
      <c r="BZ587" s="1125">
        <f t="shared" si="727"/>
        <v>1</v>
      </c>
      <c r="CA587" s="1125">
        <f t="shared" si="728"/>
        <v>1</v>
      </c>
      <c r="CB587" s="1125">
        <f t="shared" si="729"/>
        <v>1</v>
      </c>
      <c r="CC587" s="1125">
        <f t="shared" si="730"/>
        <v>1</v>
      </c>
      <c r="CD587" s="1125">
        <f t="shared" si="731"/>
        <v>1</v>
      </c>
      <c r="CE587" s="1125">
        <f t="shared" si="732"/>
        <v>1</v>
      </c>
      <c r="CF587" s="1125">
        <f t="shared" si="733"/>
        <v>1</v>
      </c>
      <c r="CG587" s="1125">
        <f t="shared" si="734"/>
        <v>0</v>
      </c>
      <c r="CH587" s="1125">
        <f t="shared" si="735"/>
        <v>0</v>
      </c>
      <c r="CI587" s="1125">
        <f t="shared" si="736"/>
        <v>0.85</v>
      </c>
      <c r="CJ587" s="1125">
        <f t="shared" si="737"/>
        <v>0.85</v>
      </c>
      <c r="CK587" s="1125">
        <f t="shared" si="738"/>
        <v>0.85</v>
      </c>
      <c r="CL587" s="1125">
        <f t="shared" si="739"/>
        <v>0.85</v>
      </c>
      <c r="CM587" s="1125">
        <f t="shared" si="740"/>
        <v>0.85</v>
      </c>
      <c r="CN587" s="1125">
        <f t="shared" si="741"/>
        <v>0.7</v>
      </c>
      <c r="CO587" s="1125">
        <f t="shared" si="742"/>
        <v>0.7</v>
      </c>
      <c r="CP587" s="1125">
        <f t="shared" si="743"/>
        <v>0.7</v>
      </c>
      <c r="CQ587" s="1125">
        <f t="shared" si="744"/>
        <v>0.7</v>
      </c>
      <c r="CR587" s="1125">
        <f t="shared" si="745"/>
        <v>0.85</v>
      </c>
      <c r="CS587" s="1125">
        <f t="shared" si="746"/>
        <v>0.85</v>
      </c>
      <c r="CT587" s="1125">
        <f t="shared" si="747"/>
        <v>0.85</v>
      </c>
      <c r="CU587" s="1125">
        <v>1</v>
      </c>
      <c r="CV587" s="1125"/>
      <c r="CW587" s="1125">
        <f t="shared" si="748"/>
        <v>214</v>
      </c>
      <c r="CX587" s="1125">
        <f t="shared" si="749"/>
        <v>151</v>
      </c>
      <c r="CY587" s="1136" t="s">
        <v>4881</v>
      </c>
      <c r="CZ587" s="1129" t="s">
        <v>4882</v>
      </c>
      <c r="DA587" s="1129"/>
      <c r="DB587" s="1129"/>
      <c r="DC587" s="1125" t="s">
        <v>5369</v>
      </c>
      <c r="DD587" s="1125" t="s">
        <v>460</v>
      </c>
      <c r="DE587" s="1120" t="str">
        <f t="shared" si="675"/>
        <v/>
      </c>
      <c r="DF587" s="1133">
        <v>1</v>
      </c>
      <c r="DG587" s="1125">
        <v>0</v>
      </c>
    </row>
    <row r="588" spans="1:111">
      <c r="A588" s="1120" t="s">
        <v>3894</v>
      </c>
      <c r="B588" s="1120" t="s">
        <v>3890</v>
      </c>
      <c r="C588" s="1120" t="s">
        <v>3891</v>
      </c>
      <c r="D588" s="1120" t="s">
        <v>460</v>
      </c>
      <c r="E588" s="1120">
        <v>272</v>
      </c>
      <c r="F588" s="1120">
        <v>-88.57</v>
      </c>
      <c r="G588" s="1120">
        <v>32.549999999999997</v>
      </c>
      <c r="H588" s="1120">
        <v>-6</v>
      </c>
      <c r="I588" s="1121">
        <v>25.520000171661376</v>
      </c>
      <c r="J588" s="1121">
        <v>95</v>
      </c>
      <c r="K588" s="1122">
        <v>76.639998626708987</v>
      </c>
      <c r="L588" s="1120">
        <v>2197.8000000000002</v>
      </c>
      <c r="M588" s="1120">
        <v>2082.6</v>
      </c>
      <c r="N588" s="1123">
        <v>44.240000343322755</v>
      </c>
      <c r="O588" s="1123">
        <v>49.459999656677248</v>
      </c>
      <c r="P588" s="1123">
        <v>57.380000686645509</v>
      </c>
      <c r="Q588" s="1123">
        <v>65.66000137329101</v>
      </c>
      <c r="R588" s="1123">
        <v>72.319999313354487</v>
      </c>
      <c r="S588" s="1123">
        <v>76.280000686645508</v>
      </c>
      <c r="T588" s="1123">
        <v>80.419999313354495</v>
      </c>
      <c r="U588" s="1123">
        <v>79.33999862670899</v>
      </c>
      <c r="V588" s="1123">
        <v>71.599999999999994</v>
      </c>
      <c r="W588" s="1123">
        <v>65.66000137329101</v>
      </c>
      <c r="X588" s="1123">
        <v>58.280000686645508</v>
      </c>
      <c r="Y588" s="1123">
        <v>47.480000686645511</v>
      </c>
      <c r="Z588" s="1123">
        <v>64.086356392951856</v>
      </c>
      <c r="AA588" s="1123">
        <f t="shared" si="676"/>
        <v>59.572755615689026</v>
      </c>
      <c r="AB588" s="1123">
        <f t="shared" si="677"/>
        <v>59.581002781820899</v>
      </c>
      <c r="AC588" s="1123">
        <f t="shared" si="678"/>
        <v>62.32763225909364</v>
      </c>
      <c r="AD588" s="1123">
        <f t="shared" si="679"/>
        <v>67.09669274741465</v>
      </c>
      <c r="AE588" s="1123">
        <f t="shared" si="680"/>
        <v>72.645055137056303</v>
      </c>
      <c r="AF588" s="1123">
        <f t="shared" si="681"/>
        <v>77.526453268305929</v>
      </c>
      <c r="AG588" s="1123">
        <f t="shared" si="682"/>
        <v>80.468475493631075</v>
      </c>
      <c r="AH588" s="1123">
        <f t="shared" si="683"/>
        <v>80.704238382065881</v>
      </c>
      <c r="AI588" s="1123">
        <f t="shared" si="684"/>
        <v>78.172286703523739</v>
      </c>
      <c r="AJ588" s="1123">
        <f t="shared" si="685"/>
        <v>73.532612681573099</v>
      </c>
      <c r="AK588" s="1123">
        <f t="shared" si="686"/>
        <v>67.994618849576341</v>
      </c>
      <c r="AL588" s="1123">
        <f t="shared" si="687"/>
        <v>63.001868642911695</v>
      </c>
      <c r="AM588" s="1120">
        <f t="shared" si="688"/>
        <v>1</v>
      </c>
      <c r="AN588" s="1120">
        <f t="shared" si="689"/>
        <v>1</v>
      </c>
      <c r="AO588" s="1120">
        <f t="shared" si="690"/>
        <v>1</v>
      </c>
      <c r="AP588" s="1120">
        <f t="shared" si="691"/>
        <v>1</v>
      </c>
      <c r="AQ588" s="1120">
        <f t="shared" si="692"/>
        <v>0</v>
      </c>
      <c r="AR588" s="1120">
        <f t="shared" si="693"/>
        <v>0</v>
      </c>
      <c r="AS588" s="1120">
        <f t="shared" si="694"/>
        <v>0</v>
      </c>
      <c r="AT588" s="1120">
        <f t="shared" si="695"/>
        <v>0</v>
      </c>
      <c r="AU588" s="1120">
        <f t="shared" si="696"/>
        <v>0</v>
      </c>
      <c r="AV588" s="1120">
        <f t="shared" si="697"/>
        <v>1</v>
      </c>
      <c r="AW588" s="1120">
        <f t="shared" si="698"/>
        <v>1</v>
      </c>
      <c r="AX588" s="1120">
        <f t="shared" si="699"/>
        <v>1</v>
      </c>
      <c r="AY588" s="1120">
        <f t="shared" si="700"/>
        <v>0</v>
      </c>
      <c r="AZ588" s="1120">
        <f t="shared" si="701"/>
        <v>0</v>
      </c>
      <c r="BA588" s="1120">
        <f t="shared" si="702"/>
        <v>0</v>
      </c>
      <c r="BB588" s="1120">
        <f t="shared" si="703"/>
        <v>0</v>
      </c>
      <c r="BC588" s="1120">
        <f t="shared" si="704"/>
        <v>1</v>
      </c>
      <c r="BD588" s="1120">
        <f t="shared" si="705"/>
        <v>1</v>
      </c>
      <c r="BE588" s="1120">
        <f t="shared" si="706"/>
        <v>1</v>
      </c>
      <c r="BF588" s="1120">
        <f t="shared" si="707"/>
        <v>1</v>
      </c>
      <c r="BG588" s="1120">
        <f t="shared" si="708"/>
        <v>1</v>
      </c>
      <c r="BH588" s="1120">
        <f t="shared" si="709"/>
        <v>0</v>
      </c>
      <c r="BI588" s="1120">
        <f t="shared" si="710"/>
        <v>0</v>
      </c>
      <c r="BJ588" s="1120">
        <f t="shared" si="711"/>
        <v>0</v>
      </c>
      <c r="BK588" s="1120">
        <f t="shared" si="712"/>
        <v>1</v>
      </c>
      <c r="BL588" s="1120">
        <f t="shared" si="713"/>
        <v>1</v>
      </c>
      <c r="BM588" s="1120">
        <f t="shared" si="714"/>
        <v>1</v>
      </c>
      <c r="BN588" s="1120">
        <f t="shared" si="715"/>
        <v>1</v>
      </c>
      <c r="BO588" s="1120">
        <f t="shared" si="716"/>
        <v>1</v>
      </c>
      <c r="BP588" s="1120">
        <f t="shared" si="717"/>
        <v>0</v>
      </c>
      <c r="BQ588" s="1120">
        <f t="shared" si="718"/>
        <v>0</v>
      </c>
      <c r="BR588" s="1120">
        <f t="shared" si="719"/>
        <v>0</v>
      </c>
      <c r="BS588" s="1120">
        <f t="shared" si="720"/>
        <v>0</v>
      </c>
      <c r="BT588" s="1120">
        <f t="shared" si="721"/>
        <v>1</v>
      </c>
      <c r="BU588" s="1120">
        <f t="shared" si="722"/>
        <v>1</v>
      </c>
      <c r="BV588" s="1120">
        <f t="shared" si="723"/>
        <v>1</v>
      </c>
      <c r="BW588" s="1120">
        <f t="shared" si="724"/>
        <v>0</v>
      </c>
      <c r="BX588" s="1120">
        <f t="shared" si="725"/>
        <v>0</v>
      </c>
      <c r="BY588" s="1120">
        <f t="shared" si="726"/>
        <v>0</v>
      </c>
      <c r="BZ588" s="1120">
        <f t="shared" si="727"/>
        <v>1</v>
      </c>
      <c r="CA588" s="1120">
        <f t="shared" si="728"/>
        <v>1</v>
      </c>
      <c r="CB588" s="1120">
        <f t="shared" si="729"/>
        <v>1</v>
      </c>
      <c r="CC588" s="1120">
        <f t="shared" si="730"/>
        <v>1</v>
      </c>
      <c r="CD588" s="1120">
        <f t="shared" si="731"/>
        <v>1</v>
      </c>
      <c r="CE588" s="1120">
        <f t="shared" si="732"/>
        <v>1</v>
      </c>
      <c r="CF588" s="1120">
        <f t="shared" si="733"/>
        <v>1</v>
      </c>
      <c r="CG588" s="1120">
        <f t="shared" si="734"/>
        <v>0</v>
      </c>
      <c r="CH588" s="1120">
        <f t="shared" si="735"/>
        <v>0</v>
      </c>
      <c r="CI588" s="1120">
        <f t="shared" si="736"/>
        <v>0.85</v>
      </c>
      <c r="CJ588" s="1120">
        <f t="shared" si="737"/>
        <v>0.85</v>
      </c>
      <c r="CK588" s="1120">
        <f t="shared" si="738"/>
        <v>0.85</v>
      </c>
      <c r="CL588" s="1120">
        <f t="shared" si="739"/>
        <v>0.85</v>
      </c>
      <c r="CM588" s="1120">
        <f t="shared" si="740"/>
        <v>0.85</v>
      </c>
      <c r="CN588" s="1120">
        <f t="shared" si="741"/>
        <v>0.7</v>
      </c>
      <c r="CO588" s="1120">
        <f t="shared" si="742"/>
        <v>0.7</v>
      </c>
      <c r="CP588" s="1120">
        <f t="shared" si="743"/>
        <v>0.7</v>
      </c>
      <c r="CQ588" s="1120">
        <f t="shared" si="744"/>
        <v>0.7</v>
      </c>
      <c r="CR588" s="1120">
        <f t="shared" si="745"/>
        <v>0.85</v>
      </c>
      <c r="CS588" s="1120">
        <f t="shared" si="746"/>
        <v>0.85</v>
      </c>
      <c r="CT588" s="1120">
        <f t="shared" si="747"/>
        <v>0.85</v>
      </c>
      <c r="CU588" s="1120">
        <v>1</v>
      </c>
      <c r="CV588" s="1120"/>
      <c r="CW588" s="1120">
        <f t="shared" si="748"/>
        <v>214</v>
      </c>
      <c r="CX588" s="1120">
        <f t="shared" si="749"/>
        <v>151</v>
      </c>
      <c r="CY588" s="1135" t="s">
        <v>4881</v>
      </c>
      <c r="CZ588" s="1124" t="s">
        <v>4882</v>
      </c>
      <c r="DA588" s="1124"/>
      <c r="DB588" s="1124"/>
      <c r="DC588" s="1120" t="s">
        <v>5370</v>
      </c>
      <c r="DD588" s="1120" t="s">
        <v>460</v>
      </c>
      <c r="DE588" s="1120" t="str">
        <f t="shared" si="675"/>
        <v/>
      </c>
      <c r="DF588" s="1133">
        <v>0</v>
      </c>
      <c r="DG588" s="1120">
        <v>0</v>
      </c>
    </row>
    <row r="589" spans="1:111">
      <c r="A589" s="1125" t="s">
        <v>3896</v>
      </c>
      <c r="B589" s="1120" t="s">
        <v>3306</v>
      </c>
      <c r="C589" s="1120" t="s">
        <v>3307</v>
      </c>
      <c r="D589" s="1120" t="s">
        <v>594</v>
      </c>
      <c r="E589" s="1120">
        <v>36</v>
      </c>
      <c r="F589" s="1120">
        <v>-80.3</v>
      </c>
      <c r="G589" s="1120">
        <v>25.82</v>
      </c>
      <c r="H589" s="1120">
        <v>-5</v>
      </c>
      <c r="I589" s="1121">
        <v>51.619999313354491</v>
      </c>
      <c r="J589" s="1121">
        <v>90.679997253417966</v>
      </c>
      <c r="K589" s="1122">
        <v>77.539998626708979</v>
      </c>
      <c r="L589" s="1120">
        <v>120.60000000000001</v>
      </c>
      <c r="M589" s="1120">
        <v>4395.6000000000004</v>
      </c>
      <c r="N589" s="1123">
        <v>66.919999313354495</v>
      </c>
      <c r="O589" s="1123">
        <v>69.619999313354498</v>
      </c>
      <c r="P589" s="1123">
        <v>70.880000686645502</v>
      </c>
      <c r="Q589" s="1123">
        <v>75.380000686645502</v>
      </c>
      <c r="R589" s="1123">
        <v>79.519999313354489</v>
      </c>
      <c r="S589" s="1123">
        <v>81.860001373291013</v>
      </c>
      <c r="T589" s="1123">
        <v>82.580000686645505</v>
      </c>
      <c r="U589" s="1123">
        <v>82.4</v>
      </c>
      <c r="V589" s="1123">
        <v>81.5</v>
      </c>
      <c r="W589" s="1123">
        <v>79.33999862670899</v>
      </c>
      <c r="X589" s="1123">
        <v>74.480000686645511</v>
      </c>
      <c r="Y589" s="1123">
        <v>68.539998626708979</v>
      </c>
      <c r="Z589" s="1123">
        <v>76.113808158979026</v>
      </c>
      <c r="AA589" s="1123">
        <f t="shared" si="676"/>
        <v>76.474259861915499</v>
      </c>
      <c r="AB589" s="1123">
        <f t="shared" si="677"/>
        <v>77.070892134852102</v>
      </c>
      <c r="AC589" s="1123">
        <f t="shared" si="678"/>
        <v>78.982038183165699</v>
      </c>
      <c r="AD589" s="1123">
        <f t="shared" si="679"/>
        <v>81.709528337711248</v>
      </c>
      <c r="AE589" s="1123">
        <f t="shared" si="680"/>
        <v>84.542400257810868</v>
      </c>
      <c r="AF589" s="1123">
        <f t="shared" si="681"/>
        <v>86.742222221612863</v>
      </c>
      <c r="AG589" s="1123">
        <f t="shared" si="682"/>
        <v>87.735576733969623</v>
      </c>
      <c r="AH589" s="1123">
        <f t="shared" si="683"/>
        <v>87.263530633178945</v>
      </c>
      <c r="AI589" s="1123">
        <f t="shared" si="684"/>
        <v>85.449130009862543</v>
      </c>
      <c r="AJ589" s="1123">
        <f t="shared" si="685"/>
        <v>82.765326347247793</v>
      </c>
      <c r="AK589" s="1123">
        <f t="shared" si="686"/>
        <v>79.91169442866159</v>
      </c>
      <c r="AL589" s="1123">
        <f t="shared" si="687"/>
        <v>77.632077389482447</v>
      </c>
      <c r="AM589" s="1120">
        <f t="shared" si="688"/>
        <v>1</v>
      </c>
      <c r="AN589" s="1120">
        <f t="shared" si="689"/>
        <v>0</v>
      </c>
      <c r="AO589" s="1120">
        <f t="shared" si="690"/>
        <v>0</v>
      </c>
      <c r="AP589" s="1120">
        <f t="shared" si="691"/>
        <v>0</v>
      </c>
      <c r="AQ589" s="1120">
        <f t="shared" si="692"/>
        <v>0</v>
      </c>
      <c r="AR589" s="1120">
        <f t="shared" si="693"/>
        <v>0</v>
      </c>
      <c r="AS589" s="1120">
        <f t="shared" si="694"/>
        <v>0</v>
      </c>
      <c r="AT589" s="1120">
        <f t="shared" si="695"/>
        <v>0</v>
      </c>
      <c r="AU589" s="1120">
        <f t="shared" si="696"/>
        <v>0</v>
      </c>
      <c r="AV589" s="1120">
        <f t="shared" si="697"/>
        <v>0</v>
      </c>
      <c r="AW589" s="1120">
        <f t="shared" si="698"/>
        <v>0</v>
      </c>
      <c r="AX589" s="1120">
        <f t="shared" si="699"/>
        <v>0</v>
      </c>
      <c r="AY589" s="1120">
        <f t="shared" si="700"/>
        <v>1</v>
      </c>
      <c r="AZ589" s="1120">
        <f t="shared" si="701"/>
        <v>1</v>
      </c>
      <c r="BA589" s="1120">
        <f t="shared" si="702"/>
        <v>1</v>
      </c>
      <c r="BB589" s="1120">
        <f t="shared" si="703"/>
        <v>1</v>
      </c>
      <c r="BC589" s="1120">
        <f t="shared" si="704"/>
        <v>1</v>
      </c>
      <c r="BD589" s="1120">
        <f t="shared" si="705"/>
        <v>1</v>
      </c>
      <c r="BE589" s="1120">
        <f t="shared" si="706"/>
        <v>1</v>
      </c>
      <c r="BF589" s="1120">
        <f t="shared" si="707"/>
        <v>1</v>
      </c>
      <c r="BG589" s="1120">
        <f t="shared" si="708"/>
        <v>1</v>
      </c>
      <c r="BH589" s="1120">
        <f t="shared" si="709"/>
        <v>1</v>
      </c>
      <c r="BI589" s="1120">
        <f t="shared" si="710"/>
        <v>1</v>
      </c>
      <c r="BJ589" s="1120">
        <f t="shared" si="711"/>
        <v>1</v>
      </c>
      <c r="BK589" s="1120">
        <f t="shared" si="712"/>
        <v>1</v>
      </c>
      <c r="BL589" s="1120">
        <f t="shared" si="713"/>
        <v>0</v>
      </c>
      <c r="BM589" s="1120">
        <f t="shared" si="714"/>
        <v>0</v>
      </c>
      <c r="BN589" s="1120">
        <f t="shared" si="715"/>
        <v>0</v>
      </c>
      <c r="BO589" s="1120">
        <f t="shared" si="716"/>
        <v>0</v>
      </c>
      <c r="BP589" s="1120">
        <f t="shared" si="717"/>
        <v>0</v>
      </c>
      <c r="BQ589" s="1120">
        <f t="shared" si="718"/>
        <v>0</v>
      </c>
      <c r="BR589" s="1120">
        <f t="shared" si="719"/>
        <v>0</v>
      </c>
      <c r="BS589" s="1120">
        <f t="shared" si="720"/>
        <v>0</v>
      </c>
      <c r="BT589" s="1120">
        <f t="shared" si="721"/>
        <v>0</v>
      </c>
      <c r="BU589" s="1120">
        <f t="shared" si="722"/>
        <v>0</v>
      </c>
      <c r="BV589" s="1120">
        <f t="shared" si="723"/>
        <v>0</v>
      </c>
      <c r="BW589" s="1120">
        <f t="shared" si="724"/>
        <v>1</v>
      </c>
      <c r="BX589" s="1120">
        <f t="shared" si="725"/>
        <v>1</v>
      </c>
      <c r="BY589" s="1120">
        <f t="shared" si="726"/>
        <v>1</v>
      </c>
      <c r="BZ589" s="1120">
        <f t="shared" si="727"/>
        <v>1</v>
      </c>
      <c r="CA589" s="1120">
        <f t="shared" si="728"/>
        <v>1</v>
      </c>
      <c r="CB589" s="1120">
        <f t="shared" si="729"/>
        <v>1</v>
      </c>
      <c r="CC589" s="1120">
        <f t="shared" si="730"/>
        <v>1</v>
      </c>
      <c r="CD589" s="1120">
        <f t="shared" si="731"/>
        <v>1</v>
      </c>
      <c r="CE589" s="1120">
        <f t="shared" si="732"/>
        <v>1</v>
      </c>
      <c r="CF589" s="1120">
        <f t="shared" si="733"/>
        <v>1</v>
      </c>
      <c r="CG589" s="1120">
        <f t="shared" si="734"/>
        <v>1</v>
      </c>
      <c r="CH589" s="1120">
        <f t="shared" si="735"/>
        <v>1</v>
      </c>
      <c r="CI589" s="1120">
        <f t="shared" si="736"/>
        <v>0.85</v>
      </c>
      <c r="CJ589" s="1120">
        <f t="shared" si="737"/>
        <v>0.7</v>
      </c>
      <c r="CK589" s="1120">
        <f t="shared" si="738"/>
        <v>0.7</v>
      </c>
      <c r="CL589" s="1120">
        <f t="shared" si="739"/>
        <v>0.7</v>
      </c>
      <c r="CM589" s="1120">
        <f t="shared" si="740"/>
        <v>0.7</v>
      </c>
      <c r="CN589" s="1120">
        <f t="shared" si="741"/>
        <v>0.7</v>
      </c>
      <c r="CO589" s="1120">
        <f t="shared" si="742"/>
        <v>0.7</v>
      </c>
      <c r="CP589" s="1120">
        <f t="shared" si="743"/>
        <v>0.7</v>
      </c>
      <c r="CQ589" s="1120">
        <f t="shared" si="744"/>
        <v>0.7</v>
      </c>
      <c r="CR589" s="1120">
        <f t="shared" si="745"/>
        <v>0.7</v>
      </c>
      <c r="CS589" s="1120">
        <f t="shared" si="746"/>
        <v>0.7</v>
      </c>
      <c r="CT589" s="1120">
        <f t="shared" si="747"/>
        <v>0.7</v>
      </c>
      <c r="CU589" s="1120">
        <v>1</v>
      </c>
      <c r="CV589" s="1120"/>
      <c r="CW589" s="1120">
        <f t="shared" si="748"/>
        <v>365</v>
      </c>
      <c r="CX589" s="1120">
        <f t="shared" si="749"/>
        <v>0</v>
      </c>
      <c r="CY589" s="1136" t="s">
        <v>4883</v>
      </c>
      <c r="CZ589" s="1129" t="s">
        <v>4898</v>
      </c>
      <c r="DA589" s="1129"/>
      <c r="DB589" s="1129"/>
      <c r="DC589" s="1125" t="s">
        <v>5108</v>
      </c>
      <c r="DD589" s="1125" t="s">
        <v>594</v>
      </c>
      <c r="DE589" s="1120" t="str">
        <f t="shared" si="675"/>
        <v/>
      </c>
      <c r="DF589" s="1133">
        <v>0</v>
      </c>
      <c r="DG589" s="1125">
        <v>0</v>
      </c>
    </row>
    <row r="590" spans="1:111">
      <c r="A590" s="1120" t="s">
        <v>3898</v>
      </c>
      <c r="B590" s="1125" t="s">
        <v>3302</v>
      </c>
      <c r="C590" s="1125" t="s">
        <v>3303</v>
      </c>
      <c r="D590" s="1125" t="s">
        <v>594</v>
      </c>
      <c r="E590" s="1125">
        <v>10</v>
      </c>
      <c r="F590" s="1125">
        <v>-80.430000000000007</v>
      </c>
      <c r="G590" s="1125">
        <v>25.65</v>
      </c>
      <c r="H590" s="1125">
        <v>-5</v>
      </c>
      <c r="I590" s="1126">
        <v>48.919999313354495</v>
      </c>
      <c r="J590" s="1126">
        <v>91.22000274658204</v>
      </c>
      <c r="K590" s="1127">
        <v>77.539998626708979</v>
      </c>
      <c r="L590" s="1125">
        <v>226.8</v>
      </c>
      <c r="M590" s="1125">
        <v>3645</v>
      </c>
      <c r="N590" s="1128">
        <v>65.480000686645511</v>
      </c>
      <c r="O590" s="1128">
        <v>68.180000686645513</v>
      </c>
      <c r="P590" s="1128">
        <v>68.180000686645513</v>
      </c>
      <c r="Q590" s="1128">
        <v>74.66000137329101</v>
      </c>
      <c r="R590" s="1128">
        <v>77.719999313354492</v>
      </c>
      <c r="S590" s="1128">
        <v>78.439998626708984</v>
      </c>
      <c r="T590" s="1128">
        <v>80.780000686645508</v>
      </c>
      <c r="U590" s="1128">
        <v>80.960001373291021</v>
      </c>
      <c r="V590" s="1128">
        <v>78.619999313354498</v>
      </c>
      <c r="W590" s="1128">
        <v>75.380000686645502</v>
      </c>
      <c r="X590" s="1128">
        <v>71.419999313354495</v>
      </c>
      <c r="Y590" s="1128">
        <v>64.760001373291018</v>
      </c>
      <c r="Z590" s="1128">
        <v>73.737808567203885</v>
      </c>
      <c r="AA590" s="1128">
        <f t="shared" si="676"/>
        <v>74.112191668995635</v>
      </c>
      <c r="AB590" s="1128">
        <f t="shared" si="677"/>
        <v>74.59322588590129</v>
      </c>
      <c r="AC590" s="1128">
        <f t="shared" si="678"/>
        <v>76.41527485910737</v>
      </c>
      <c r="AD590" s="1128">
        <f t="shared" si="679"/>
        <v>79.103393445123132</v>
      </c>
      <c r="AE590" s="1128">
        <f t="shared" si="680"/>
        <v>81.956882109342203</v>
      </c>
      <c r="AF590" s="1128">
        <f t="shared" si="681"/>
        <v>84.23193505784451</v>
      </c>
      <c r="AG590" s="1128">
        <f t="shared" si="682"/>
        <v>85.335524679975734</v>
      </c>
      <c r="AH590" s="1128">
        <f t="shared" si="683"/>
        <v>84.979983333896499</v>
      </c>
      <c r="AI590" s="1128">
        <f t="shared" si="684"/>
        <v>83.257988350520364</v>
      </c>
      <c r="AJ590" s="1128">
        <f t="shared" si="685"/>
        <v>80.618404259010262</v>
      </c>
      <c r="AK590" s="1128">
        <f t="shared" si="686"/>
        <v>77.749279330040451</v>
      </c>
      <c r="AL590" s="1128">
        <f t="shared" si="687"/>
        <v>75.39849519090042</v>
      </c>
      <c r="AM590" s="1125">
        <f t="shared" si="688"/>
        <v>1</v>
      </c>
      <c r="AN590" s="1125">
        <f t="shared" si="689"/>
        <v>0</v>
      </c>
      <c r="AO590" s="1125">
        <f t="shared" si="690"/>
        <v>0</v>
      </c>
      <c r="AP590" s="1125">
        <f t="shared" si="691"/>
        <v>0</v>
      </c>
      <c r="AQ590" s="1125">
        <f t="shared" si="692"/>
        <v>0</v>
      </c>
      <c r="AR590" s="1125">
        <f t="shared" si="693"/>
        <v>0</v>
      </c>
      <c r="AS590" s="1125">
        <f t="shared" si="694"/>
        <v>0</v>
      </c>
      <c r="AT590" s="1125">
        <f t="shared" si="695"/>
        <v>0</v>
      </c>
      <c r="AU590" s="1125">
        <f t="shared" si="696"/>
        <v>0</v>
      </c>
      <c r="AV590" s="1125">
        <f t="shared" si="697"/>
        <v>0</v>
      </c>
      <c r="AW590" s="1125">
        <f t="shared" si="698"/>
        <v>0</v>
      </c>
      <c r="AX590" s="1125">
        <f t="shared" si="699"/>
        <v>1</v>
      </c>
      <c r="AY590" s="1125">
        <f t="shared" si="700"/>
        <v>0</v>
      </c>
      <c r="AZ590" s="1125">
        <f t="shared" si="701"/>
        <v>1</v>
      </c>
      <c r="BA590" s="1125">
        <f t="shared" si="702"/>
        <v>1</v>
      </c>
      <c r="BB590" s="1125">
        <f t="shared" si="703"/>
        <v>1</v>
      </c>
      <c r="BC590" s="1125">
        <f t="shared" si="704"/>
        <v>1</v>
      </c>
      <c r="BD590" s="1125">
        <f t="shared" si="705"/>
        <v>1</v>
      </c>
      <c r="BE590" s="1125">
        <f t="shared" si="706"/>
        <v>1</v>
      </c>
      <c r="BF590" s="1125">
        <f t="shared" si="707"/>
        <v>1</v>
      </c>
      <c r="BG590" s="1125">
        <f t="shared" si="708"/>
        <v>1</v>
      </c>
      <c r="BH590" s="1125">
        <f t="shared" si="709"/>
        <v>1</v>
      </c>
      <c r="BI590" s="1125">
        <f t="shared" si="710"/>
        <v>1</v>
      </c>
      <c r="BJ590" s="1125">
        <f t="shared" si="711"/>
        <v>0</v>
      </c>
      <c r="BK590" s="1125">
        <f t="shared" si="712"/>
        <v>1</v>
      </c>
      <c r="BL590" s="1125">
        <f t="shared" si="713"/>
        <v>1</v>
      </c>
      <c r="BM590" s="1125">
        <f t="shared" si="714"/>
        <v>0</v>
      </c>
      <c r="BN590" s="1125">
        <f t="shared" si="715"/>
        <v>0</v>
      </c>
      <c r="BO590" s="1125">
        <f t="shared" si="716"/>
        <v>0</v>
      </c>
      <c r="BP590" s="1125">
        <f t="shared" si="717"/>
        <v>0</v>
      </c>
      <c r="BQ590" s="1125">
        <f t="shared" si="718"/>
        <v>0</v>
      </c>
      <c r="BR590" s="1125">
        <f t="shared" si="719"/>
        <v>0</v>
      </c>
      <c r="BS590" s="1125">
        <f t="shared" si="720"/>
        <v>0</v>
      </c>
      <c r="BT590" s="1125">
        <f t="shared" si="721"/>
        <v>0</v>
      </c>
      <c r="BU590" s="1125">
        <f t="shared" si="722"/>
        <v>0</v>
      </c>
      <c r="BV590" s="1125">
        <f t="shared" si="723"/>
        <v>1</v>
      </c>
      <c r="BW590" s="1125">
        <f t="shared" si="724"/>
        <v>1</v>
      </c>
      <c r="BX590" s="1125">
        <f t="shared" si="725"/>
        <v>1</v>
      </c>
      <c r="BY590" s="1125">
        <f t="shared" si="726"/>
        <v>1</v>
      </c>
      <c r="BZ590" s="1125">
        <f t="shared" si="727"/>
        <v>1</v>
      </c>
      <c r="CA590" s="1125">
        <f t="shared" si="728"/>
        <v>1</v>
      </c>
      <c r="CB590" s="1125">
        <f t="shared" si="729"/>
        <v>1</v>
      </c>
      <c r="CC590" s="1125">
        <f t="shared" si="730"/>
        <v>1</v>
      </c>
      <c r="CD590" s="1125">
        <f t="shared" si="731"/>
        <v>1</v>
      </c>
      <c r="CE590" s="1125">
        <f t="shared" si="732"/>
        <v>1</v>
      </c>
      <c r="CF590" s="1125">
        <f t="shared" si="733"/>
        <v>1</v>
      </c>
      <c r="CG590" s="1125">
        <f t="shared" si="734"/>
        <v>1</v>
      </c>
      <c r="CH590" s="1125">
        <f t="shared" si="735"/>
        <v>1</v>
      </c>
      <c r="CI590" s="1125">
        <f t="shared" si="736"/>
        <v>0.85</v>
      </c>
      <c r="CJ590" s="1125">
        <f t="shared" si="737"/>
        <v>0.85</v>
      </c>
      <c r="CK590" s="1125">
        <f t="shared" si="738"/>
        <v>0.7</v>
      </c>
      <c r="CL590" s="1125">
        <f t="shared" si="739"/>
        <v>0.7</v>
      </c>
      <c r="CM590" s="1125">
        <f t="shared" si="740"/>
        <v>0.7</v>
      </c>
      <c r="CN590" s="1125">
        <f t="shared" si="741"/>
        <v>0.7</v>
      </c>
      <c r="CO590" s="1125">
        <f t="shared" si="742"/>
        <v>0.7</v>
      </c>
      <c r="CP590" s="1125">
        <f t="shared" si="743"/>
        <v>0.7</v>
      </c>
      <c r="CQ590" s="1125">
        <f t="shared" si="744"/>
        <v>0.7</v>
      </c>
      <c r="CR590" s="1125">
        <f t="shared" si="745"/>
        <v>0.7</v>
      </c>
      <c r="CS590" s="1125">
        <f t="shared" si="746"/>
        <v>0.7</v>
      </c>
      <c r="CT590" s="1125">
        <f t="shared" si="747"/>
        <v>0.85</v>
      </c>
      <c r="CU590" s="1125">
        <v>1</v>
      </c>
      <c r="CV590" s="1125"/>
      <c r="CW590" s="1125">
        <f t="shared" si="748"/>
        <v>365</v>
      </c>
      <c r="CX590" s="1125">
        <f t="shared" si="749"/>
        <v>0</v>
      </c>
      <c r="CY590" s="1135" t="s">
        <v>4883</v>
      </c>
      <c r="CZ590" s="1124" t="s">
        <v>4898</v>
      </c>
      <c r="DA590" s="1124"/>
      <c r="DB590" s="1124"/>
      <c r="DC590" s="1120" t="s">
        <v>6030</v>
      </c>
      <c r="DD590" s="1120" t="s">
        <v>594</v>
      </c>
      <c r="DE590" s="1120" t="str">
        <f t="shared" si="675"/>
        <v/>
      </c>
      <c r="DF590" s="1133">
        <v>0</v>
      </c>
      <c r="DG590" s="1120">
        <v>0</v>
      </c>
    </row>
    <row r="591" spans="1:111">
      <c r="A591" s="1125" t="s">
        <v>3900</v>
      </c>
      <c r="B591" s="1120" t="s">
        <v>3304</v>
      </c>
      <c r="C591" s="1120" t="s">
        <v>3305</v>
      </c>
      <c r="D591" s="1120" t="s">
        <v>594</v>
      </c>
      <c r="E591" s="1120">
        <v>10</v>
      </c>
      <c r="F591" s="1120">
        <v>-80.28</v>
      </c>
      <c r="G591" s="1120">
        <v>25.9</v>
      </c>
      <c r="H591" s="1120">
        <v>-5</v>
      </c>
      <c r="I591" s="1121">
        <v>23.720000171661376</v>
      </c>
      <c r="J591" s="1121">
        <v>93.379997253417969</v>
      </c>
      <c r="K591" s="1122">
        <v>82.580000686645505</v>
      </c>
      <c r="L591" s="1120">
        <v>187.20000000000002</v>
      </c>
      <c r="M591" s="1120">
        <v>4129.2</v>
      </c>
      <c r="N591" s="1123">
        <v>66.919999313354495</v>
      </c>
      <c r="O591" s="1123">
        <v>68</v>
      </c>
      <c r="P591" s="1123">
        <v>70.33999862670899</v>
      </c>
      <c r="Q591" s="1123">
        <v>70.33999862670899</v>
      </c>
      <c r="R591" s="1123">
        <v>78.980000686645511</v>
      </c>
      <c r="S591" s="1123">
        <v>79.7</v>
      </c>
      <c r="T591" s="1123">
        <v>83.480000686645511</v>
      </c>
      <c r="U591" s="1123">
        <v>83.83999862670899</v>
      </c>
      <c r="V591" s="1123">
        <v>82.4</v>
      </c>
      <c r="W591" s="1123">
        <v>78.260001373291018</v>
      </c>
      <c r="X591" s="1123">
        <v>72.139998626708987</v>
      </c>
      <c r="Y591" s="1123">
        <v>67.639998626708987</v>
      </c>
      <c r="Z591" s="1123">
        <v>75.218246174642488</v>
      </c>
      <c r="AA591" s="1123">
        <f t="shared" si="676"/>
        <v>75.205937585612702</v>
      </c>
      <c r="AB591" s="1123">
        <f t="shared" si="677"/>
        <v>75.796113558703581</v>
      </c>
      <c r="AC591" s="1123">
        <f t="shared" si="678"/>
        <v>77.799651955731804</v>
      </c>
      <c r="AD591" s="1123">
        <f t="shared" si="679"/>
        <v>80.694299618050692</v>
      </c>
      <c r="AE591" s="1123">
        <f t="shared" si="680"/>
        <v>83.725522024606065</v>
      </c>
      <c r="AF591" s="1123">
        <f t="shared" si="681"/>
        <v>86.103184342578018</v>
      </c>
      <c r="AG591" s="1123">
        <f t="shared" si="682"/>
        <v>87.207512247901732</v>
      </c>
      <c r="AH591" s="1123">
        <f t="shared" si="683"/>
        <v>86.750645653846405</v>
      </c>
      <c r="AI591" s="1123">
        <f t="shared" si="684"/>
        <v>84.851673878679904</v>
      </c>
      <c r="AJ591" s="1123">
        <f t="shared" si="685"/>
        <v>82.005593179640243</v>
      </c>
      <c r="AK591" s="1123">
        <f t="shared" si="686"/>
        <v>78.954278350363296</v>
      </c>
      <c r="AL591" s="1123">
        <f t="shared" si="687"/>
        <v>76.493101623284971</v>
      </c>
      <c r="AM591" s="1120">
        <f t="shared" si="688"/>
        <v>1</v>
      </c>
      <c r="AN591" s="1120">
        <f t="shared" si="689"/>
        <v>0</v>
      </c>
      <c r="AO591" s="1120">
        <f t="shared" si="690"/>
        <v>0</v>
      </c>
      <c r="AP591" s="1120">
        <f t="shared" si="691"/>
        <v>0</v>
      </c>
      <c r="AQ591" s="1120">
        <f t="shared" si="692"/>
        <v>0</v>
      </c>
      <c r="AR591" s="1120">
        <f t="shared" si="693"/>
        <v>0</v>
      </c>
      <c r="AS591" s="1120">
        <f t="shared" si="694"/>
        <v>0</v>
      </c>
      <c r="AT591" s="1120">
        <f t="shared" si="695"/>
        <v>0</v>
      </c>
      <c r="AU591" s="1120">
        <f t="shared" si="696"/>
        <v>0</v>
      </c>
      <c r="AV591" s="1120">
        <f t="shared" si="697"/>
        <v>0</v>
      </c>
      <c r="AW591" s="1120">
        <f t="shared" si="698"/>
        <v>0</v>
      </c>
      <c r="AX591" s="1120">
        <f t="shared" si="699"/>
        <v>0</v>
      </c>
      <c r="AY591" s="1120">
        <f t="shared" si="700"/>
        <v>1</v>
      </c>
      <c r="AZ591" s="1120">
        <f t="shared" si="701"/>
        <v>1</v>
      </c>
      <c r="BA591" s="1120">
        <f t="shared" si="702"/>
        <v>1</v>
      </c>
      <c r="BB591" s="1120">
        <f t="shared" si="703"/>
        <v>1</v>
      </c>
      <c r="BC591" s="1120">
        <f t="shared" si="704"/>
        <v>1</v>
      </c>
      <c r="BD591" s="1120">
        <f t="shared" si="705"/>
        <v>1</v>
      </c>
      <c r="BE591" s="1120">
        <f t="shared" si="706"/>
        <v>1</v>
      </c>
      <c r="BF591" s="1120">
        <f t="shared" si="707"/>
        <v>1</v>
      </c>
      <c r="BG591" s="1120">
        <f t="shared" si="708"/>
        <v>1</v>
      </c>
      <c r="BH591" s="1120">
        <f t="shared" si="709"/>
        <v>1</v>
      </c>
      <c r="BI591" s="1120">
        <f t="shared" si="710"/>
        <v>1</v>
      </c>
      <c r="BJ591" s="1120">
        <f t="shared" si="711"/>
        <v>1</v>
      </c>
      <c r="BK591" s="1120">
        <f t="shared" si="712"/>
        <v>1</v>
      </c>
      <c r="BL591" s="1120">
        <f t="shared" si="713"/>
        <v>0</v>
      </c>
      <c r="BM591" s="1120">
        <f t="shared" si="714"/>
        <v>0</v>
      </c>
      <c r="BN591" s="1120">
        <f t="shared" si="715"/>
        <v>0</v>
      </c>
      <c r="BO591" s="1120">
        <f t="shared" si="716"/>
        <v>0</v>
      </c>
      <c r="BP591" s="1120">
        <f t="shared" si="717"/>
        <v>0</v>
      </c>
      <c r="BQ591" s="1120">
        <f t="shared" si="718"/>
        <v>0</v>
      </c>
      <c r="BR591" s="1120">
        <f t="shared" si="719"/>
        <v>0</v>
      </c>
      <c r="BS591" s="1120">
        <f t="shared" si="720"/>
        <v>0</v>
      </c>
      <c r="BT591" s="1120">
        <f t="shared" si="721"/>
        <v>0</v>
      </c>
      <c r="BU591" s="1120">
        <f t="shared" si="722"/>
        <v>0</v>
      </c>
      <c r="BV591" s="1120">
        <f t="shared" si="723"/>
        <v>0</v>
      </c>
      <c r="BW591" s="1120">
        <f t="shared" si="724"/>
        <v>1</v>
      </c>
      <c r="BX591" s="1120">
        <f t="shared" si="725"/>
        <v>1</v>
      </c>
      <c r="BY591" s="1120">
        <f t="shared" si="726"/>
        <v>1</v>
      </c>
      <c r="BZ591" s="1120">
        <f t="shared" si="727"/>
        <v>1</v>
      </c>
      <c r="CA591" s="1120">
        <f t="shared" si="728"/>
        <v>1</v>
      </c>
      <c r="CB591" s="1120">
        <f t="shared" si="729"/>
        <v>1</v>
      </c>
      <c r="CC591" s="1120">
        <f t="shared" si="730"/>
        <v>1</v>
      </c>
      <c r="CD591" s="1120">
        <f t="shared" si="731"/>
        <v>1</v>
      </c>
      <c r="CE591" s="1120">
        <f t="shared" si="732"/>
        <v>1</v>
      </c>
      <c r="CF591" s="1120">
        <f t="shared" si="733"/>
        <v>1</v>
      </c>
      <c r="CG591" s="1120">
        <f t="shared" si="734"/>
        <v>1</v>
      </c>
      <c r="CH591" s="1120">
        <f t="shared" si="735"/>
        <v>1</v>
      </c>
      <c r="CI591" s="1120">
        <f t="shared" si="736"/>
        <v>0.85</v>
      </c>
      <c r="CJ591" s="1120">
        <f t="shared" si="737"/>
        <v>0.7</v>
      </c>
      <c r="CK591" s="1120">
        <f t="shared" si="738"/>
        <v>0.7</v>
      </c>
      <c r="CL591" s="1120">
        <f t="shared" si="739"/>
        <v>0.7</v>
      </c>
      <c r="CM591" s="1120">
        <f t="shared" si="740"/>
        <v>0.7</v>
      </c>
      <c r="CN591" s="1120">
        <f t="shared" si="741"/>
        <v>0.7</v>
      </c>
      <c r="CO591" s="1120">
        <f t="shared" si="742"/>
        <v>0.7</v>
      </c>
      <c r="CP591" s="1120">
        <f t="shared" si="743"/>
        <v>0.7</v>
      </c>
      <c r="CQ591" s="1120">
        <f t="shared" si="744"/>
        <v>0.7</v>
      </c>
      <c r="CR591" s="1120">
        <f t="shared" si="745"/>
        <v>0.7</v>
      </c>
      <c r="CS591" s="1120">
        <f t="shared" si="746"/>
        <v>0.7</v>
      </c>
      <c r="CT591" s="1120">
        <f t="shared" si="747"/>
        <v>0.7</v>
      </c>
      <c r="CU591" s="1120">
        <v>1</v>
      </c>
      <c r="CV591" s="1120"/>
      <c r="CW591" s="1120">
        <f t="shared" si="748"/>
        <v>365</v>
      </c>
      <c r="CX591" s="1120">
        <f t="shared" si="749"/>
        <v>0</v>
      </c>
      <c r="CY591" s="1136" t="s">
        <v>4883</v>
      </c>
      <c r="CZ591" s="1129" t="s">
        <v>4898</v>
      </c>
      <c r="DA591" s="1129"/>
      <c r="DB591" s="1129"/>
      <c r="DC591" s="1125" t="s">
        <v>5958</v>
      </c>
      <c r="DD591" s="1125" t="s">
        <v>594</v>
      </c>
      <c r="DE591" s="1120" t="str">
        <f t="shared" si="675"/>
        <v/>
      </c>
      <c r="DF591" s="1133">
        <v>0</v>
      </c>
      <c r="DG591" s="1125">
        <v>0</v>
      </c>
    </row>
    <row r="592" spans="1:111">
      <c r="A592" s="1120" t="s">
        <v>3902</v>
      </c>
      <c r="B592" s="1120" t="s">
        <v>2966</v>
      </c>
      <c r="C592" s="1120" t="s">
        <v>2967</v>
      </c>
      <c r="D592" s="1120" t="s">
        <v>953</v>
      </c>
      <c r="E592" s="1120">
        <v>46</v>
      </c>
      <c r="F592" s="1120">
        <v>-146.32</v>
      </c>
      <c r="G592" s="1120">
        <v>59.47</v>
      </c>
      <c r="H592" s="1120">
        <v>-9</v>
      </c>
      <c r="I592" s="1121">
        <v>22.640000343322754</v>
      </c>
      <c r="J592" s="1121">
        <v>61.339998626708983</v>
      </c>
      <c r="K592" s="1122">
        <v>54.319999313354494</v>
      </c>
      <c r="L592" s="1120">
        <v>8071.2</v>
      </c>
      <c r="M592" s="1120">
        <v>0</v>
      </c>
      <c r="N592" s="1123">
        <v>35.060000085830687</v>
      </c>
      <c r="O592" s="1123">
        <v>35.779999828338624</v>
      </c>
      <c r="P592" s="1123">
        <v>35.060000085830687</v>
      </c>
      <c r="Q592" s="1123">
        <v>37.4</v>
      </c>
      <c r="R592" s="1123">
        <v>35.6</v>
      </c>
      <c r="S592" s="1123">
        <v>50.359999656677246</v>
      </c>
      <c r="T592" s="1123">
        <v>55.040000343322752</v>
      </c>
      <c r="U592" s="1123">
        <v>55.4</v>
      </c>
      <c r="V592" s="1123">
        <v>51.980000686645511</v>
      </c>
      <c r="W592" s="1123">
        <v>43.879999828338626</v>
      </c>
      <c r="X592" s="1123">
        <v>37.76000008583069</v>
      </c>
      <c r="Y592" s="1123">
        <v>33.799999999999997</v>
      </c>
      <c r="Z592" s="1123">
        <v>42.290082243044083</v>
      </c>
      <c r="AA592" s="1123">
        <f t="shared" si="676"/>
        <v>44.95286455844824</v>
      </c>
      <c r="AB592" s="1123">
        <f t="shared" si="677"/>
        <v>44.182291869011856</v>
      </c>
      <c r="AC592" s="1123">
        <f t="shared" si="678"/>
        <v>44.482478043532801</v>
      </c>
      <c r="AD592" s="1123">
        <f t="shared" si="679"/>
        <v>45.775174929613215</v>
      </c>
      <c r="AE592" s="1123">
        <f t="shared" si="680"/>
        <v>47.723421162834214</v>
      </c>
      <c r="AF592" s="1123">
        <f t="shared" si="681"/>
        <v>49.819376339123494</v>
      </c>
      <c r="AG592" s="1123">
        <f t="shared" si="682"/>
        <v>51.51669744213428</v>
      </c>
      <c r="AH592" s="1123">
        <f t="shared" si="683"/>
        <v>52.372951569856866</v>
      </c>
      <c r="AI592" s="1123">
        <f t="shared" si="684"/>
        <v>52.164942888624843</v>
      </c>
      <c r="AJ592" s="1123">
        <f t="shared" si="685"/>
        <v>50.946892066712131</v>
      </c>
      <c r="AK592" s="1123">
        <f t="shared" si="686"/>
        <v>49.036302821581636</v>
      </c>
      <c r="AL592" s="1123">
        <f t="shared" si="687"/>
        <v>46.931199683048121</v>
      </c>
      <c r="AM592" s="1120">
        <f t="shared" si="688"/>
        <v>1</v>
      </c>
      <c r="AN592" s="1120">
        <f t="shared" si="689"/>
        <v>1</v>
      </c>
      <c r="AO592" s="1120">
        <f t="shared" si="690"/>
        <v>1</v>
      </c>
      <c r="AP592" s="1120">
        <f t="shared" si="691"/>
        <v>1</v>
      </c>
      <c r="AQ592" s="1120">
        <f t="shared" si="692"/>
        <v>1</v>
      </c>
      <c r="AR592" s="1120">
        <f t="shared" si="693"/>
        <v>1</v>
      </c>
      <c r="AS592" s="1120">
        <f t="shared" si="694"/>
        <v>1</v>
      </c>
      <c r="AT592" s="1120">
        <f t="shared" si="695"/>
        <v>1</v>
      </c>
      <c r="AU592" s="1120">
        <f t="shared" si="696"/>
        <v>1</v>
      </c>
      <c r="AV592" s="1120">
        <f t="shared" si="697"/>
        <v>1</v>
      </c>
      <c r="AW592" s="1120">
        <f t="shared" si="698"/>
        <v>1</v>
      </c>
      <c r="AX592" s="1120">
        <f t="shared" si="699"/>
        <v>1</v>
      </c>
      <c r="AY592" s="1120">
        <f t="shared" si="700"/>
        <v>0</v>
      </c>
      <c r="AZ592" s="1120">
        <f t="shared" si="701"/>
        <v>0</v>
      </c>
      <c r="BA592" s="1120">
        <f t="shared" si="702"/>
        <v>0</v>
      </c>
      <c r="BB592" s="1120">
        <f t="shared" si="703"/>
        <v>0</v>
      </c>
      <c r="BC592" s="1120">
        <f t="shared" si="704"/>
        <v>0</v>
      </c>
      <c r="BD592" s="1120">
        <f t="shared" si="705"/>
        <v>0</v>
      </c>
      <c r="BE592" s="1120">
        <f t="shared" si="706"/>
        <v>1</v>
      </c>
      <c r="BF592" s="1120">
        <f t="shared" si="707"/>
        <v>1</v>
      </c>
      <c r="BG592" s="1120">
        <f t="shared" si="708"/>
        <v>0</v>
      </c>
      <c r="BH592" s="1120">
        <f t="shared" si="709"/>
        <v>0</v>
      </c>
      <c r="BI592" s="1120">
        <f t="shared" si="710"/>
        <v>0</v>
      </c>
      <c r="BJ592" s="1120">
        <f t="shared" si="711"/>
        <v>0</v>
      </c>
      <c r="BK592" s="1120">
        <f t="shared" si="712"/>
        <v>1</v>
      </c>
      <c r="BL592" s="1120">
        <f t="shared" si="713"/>
        <v>1</v>
      </c>
      <c r="BM592" s="1120">
        <f t="shared" si="714"/>
        <v>1</v>
      </c>
      <c r="BN592" s="1120">
        <f t="shared" si="715"/>
        <v>1</v>
      </c>
      <c r="BO592" s="1120">
        <f t="shared" si="716"/>
        <v>1</v>
      </c>
      <c r="BP592" s="1120">
        <f t="shared" si="717"/>
        <v>1</v>
      </c>
      <c r="BQ592" s="1120">
        <f t="shared" si="718"/>
        <v>1</v>
      </c>
      <c r="BR592" s="1120">
        <f t="shared" si="719"/>
        <v>1</v>
      </c>
      <c r="BS592" s="1120">
        <f t="shared" si="720"/>
        <v>1</v>
      </c>
      <c r="BT592" s="1120">
        <f t="shared" si="721"/>
        <v>1</v>
      </c>
      <c r="BU592" s="1120">
        <f t="shared" si="722"/>
        <v>1</v>
      </c>
      <c r="BV592" s="1120">
        <f t="shared" si="723"/>
        <v>1</v>
      </c>
      <c r="BW592" s="1120">
        <f t="shared" si="724"/>
        <v>0</v>
      </c>
      <c r="BX592" s="1120">
        <f t="shared" si="725"/>
        <v>0</v>
      </c>
      <c r="BY592" s="1120">
        <f t="shared" si="726"/>
        <v>0</v>
      </c>
      <c r="BZ592" s="1120">
        <f t="shared" si="727"/>
        <v>0</v>
      </c>
      <c r="CA592" s="1120">
        <f t="shared" si="728"/>
        <v>0</v>
      </c>
      <c r="CB592" s="1120">
        <f t="shared" si="729"/>
        <v>0</v>
      </c>
      <c r="CC592" s="1120">
        <f t="shared" si="730"/>
        <v>1</v>
      </c>
      <c r="CD592" s="1120">
        <f t="shared" si="731"/>
        <v>1</v>
      </c>
      <c r="CE592" s="1120">
        <f t="shared" si="732"/>
        <v>0</v>
      </c>
      <c r="CF592" s="1120">
        <f t="shared" si="733"/>
        <v>0</v>
      </c>
      <c r="CG592" s="1120">
        <f t="shared" si="734"/>
        <v>0</v>
      </c>
      <c r="CH592" s="1120">
        <f t="shared" si="735"/>
        <v>0</v>
      </c>
      <c r="CI592" s="1120">
        <f t="shared" si="736"/>
        <v>0.85</v>
      </c>
      <c r="CJ592" s="1120">
        <f t="shared" si="737"/>
        <v>0.85</v>
      </c>
      <c r="CK592" s="1120">
        <f t="shared" si="738"/>
        <v>0.85</v>
      </c>
      <c r="CL592" s="1120">
        <f t="shared" si="739"/>
        <v>0.85</v>
      </c>
      <c r="CM592" s="1120">
        <f t="shared" si="740"/>
        <v>0.85</v>
      </c>
      <c r="CN592" s="1120">
        <f t="shared" si="741"/>
        <v>0.85</v>
      </c>
      <c r="CO592" s="1120">
        <f t="shared" si="742"/>
        <v>0.85</v>
      </c>
      <c r="CP592" s="1120">
        <f t="shared" si="743"/>
        <v>0.85</v>
      </c>
      <c r="CQ592" s="1120">
        <f t="shared" si="744"/>
        <v>0.85</v>
      </c>
      <c r="CR592" s="1120">
        <f t="shared" si="745"/>
        <v>0.85</v>
      </c>
      <c r="CS592" s="1120">
        <f t="shared" si="746"/>
        <v>0.85</v>
      </c>
      <c r="CT592" s="1120">
        <f t="shared" si="747"/>
        <v>0.85</v>
      </c>
      <c r="CU592" s="1120">
        <v>1</v>
      </c>
      <c r="CV592" s="1120"/>
      <c r="CW592" s="1120">
        <f t="shared" si="748"/>
        <v>62</v>
      </c>
      <c r="CX592" s="1120">
        <f t="shared" si="749"/>
        <v>303</v>
      </c>
      <c r="CY592" s="1135" t="s">
        <v>4879</v>
      </c>
      <c r="CZ592" s="1124">
        <v>7</v>
      </c>
      <c r="DA592" s="1124"/>
      <c r="DB592" s="1124"/>
      <c r="DC592" s="1120" t="s">
        <v>4947</v>
      </c>
      <c r="DD592" s="1120" t="s">
        <v>953</v>
      </c>
      <c r="DE592" s="1120" t="b">
        <f t="shared" si="675"/>
        <v>0</v>
      </c>
      <c r="DF592" s="1120">
        <v>0</v>
      </c>
      <c r="DG592" s="1120">
        <v>0</v>
      </c>
    </row>
    <row r="593" spans="1:111">
      <c r="A593" s="1125" t="s">
        <v>3904</v>
      </c>
      <c r="B593" s="1120" t="s">
        <v>4268</v>
      </c>
      <c r="C593" s="1120" t="s">
        <v>4269</v>
      </c>
      <c r="D593" s="1120" t="s">
        <v>539</v>
      </c>
      <c r="E593" s="1120">
        <v>302</v>
      </c>
      <c r="F593" s="1120">
        <v>-76.77</v>
      </c>
      <c r="G593" s="1120">
        <v>40.200000000000003</v>
      </c>
      <c r="H593" s="1120">
        <v>-5</v>
      </c>
      <c r="I593" s="1121">
        <v>14.9</v>
      </c>
      <c r="J593" s="1121">
        <v>89.779997253417974</v>
      </c>
      <c r="K593" s="1122">
        <v>73.939998626708984</v>
      </c>
      <c r="L593" s="1120">
        <v>5893.2</v>
      </c>
      <c r="M593" s="1120">
        <v>1175.4000000000001</v>
      </c>
      <c r="N593" s="1123">
        <v>21.379999828338622</v>
      </c>
      <c r="O593" s="1123">
        <v>27.320000171661377</v>
      </c>
      <c r="P593" s="1123">
        <v>37.4</v>
      </c>
      <c r="Q593" s="1123">
        <v>53.059999656677249</v>
      </c>
      <c r="R593" s="1123">
        <v>59.9</v>
      </c>
      <c r="S593" s="1123">
        <v>72.5</v>
      </c>
      <c r="T593" s="1123">
        <v>78.619999313354498</v>
      </c>
      <c r="U593" s="1123">
        <v>73.580000686645505</v>
      </c>
      <c r="V593" s="1123">
        <v>64.939998626708984</v>
      </c>
      <c r="W593" s="1123">
        <v>53.780000686645508</v>
      </c>
      <c r="X593" s="1123">
        <v>42.97999982833862</v>
      </c>
      <c r="Y593" s="1123">
        <v>30.740000021457671</v>
      </c>
      <c r="Z593" s="1123">
        <v>51.470575245994411</v>
      </c>
      <c r="AA593" s="1123">
        <f t="shared" si="676"/>
        <v>45.380832004182707</v>
      </c>
      <c r="AB593" s="1123">
        <f t="shared" si="677"/>
        <v>43.896774048996868</v>
      </c>
      <c r="AC593" s="1123">
        <f t="shared" si="678"/>
        <v>45.950936554416671</v>
      </c>
      <c r="AD593" s="1123">
        <f t="shared" si="679"/>
        <v>51.007870407802017</v>
      </c>
      <c r="AE593" s="1123">
        <f t="shared" si="680"/>
        <v>57.749407870558436</v>
      </c>
      <c r="AF593" s="1123">
        <f t="shared" si="681"/>
        <v>64.418263312781434</v>
      </c>
      <c r="AG593" s="1123">
        <f t="shared" si="682"/>
        <v>69.276096793282377</v>
      </c>
      <c r="AH593" s="1123">
        <f t="shared" si="683"/>
        <v>71.056639153888753</v>
      </c>
      <c r="AI593" s="1123">
        <f t="shared" si="684"/>
        <v>69.295764589320129</v>
      </c>
      <c r="AJ593" s="1123">
        <f t="shared" si="685"/>
        <v>64.452472190729779</v>
      </c>
      <c r="AK593" s="1123">
        <f t="shared" si="686"/>
        <v>57.789240759205384</v>
      </c>
      <c r="AL593" s="1123">
        <f t="shared" si="687"/>
        <v>51.04294425087835</v>
      </c>
      <c r="AM593" s="1120">
        <f t="shared" si="688"/>
        <v>1</v>
      </c>
      <c r="AN593" s="1120">
        <f t="shared" si="689"/>
        <v>1</v>
      </c>
      <c r="AO593" s="1120">
        <f t="shared" si="690"/>
        <v>1</v>
      </c>
      <c r="AP593" s="1120">
        <f t="shared" si="691"/>
        <v>1</v>
      </c>
      <c r="AQ593" s="1120">
        <f t="shared" si="692"/>
        <v>1</v>
      </c>
      <c r="AR593" s="1120">
        <f t="shared" si="693"/>
        <v>0</v>
      </c>
      <c r="AS593" s="1120">
        <f t="shared" si="694"/>
        <v>0</v>
      </c>
      <c r="AT593" s="1120">
        <f t="shared" si="695"/>
        <v>0</v>
      </c>
      <c r="AU593" s="1120">
        <f t="shared" si="696"/>
        <v>1</v>
      </c>
      <c r="AV593" s="1120">
        <f t="shared" si="697"/>
        <v>1</v>
      </c>
      <c r="AW593" s="1120">
        <f t="shared" si="698"/>
        <v>1</v>
      </c>
      <c r="AX593" s="1120">
        <f t="shared" si="699"/>
        <v>1</v>
      </c>
      <c r="AY593" s="1120">
        <f t="shared" si="700"/>
        <v>0</v>
      </c>
      <c r="AZ593" s="1120">
        <f t="shared" si="701"/>
        <v>0</v>
      </c>
      <c r="BA593" s="1120">
        <f t="shared" si="702"/>
        <v>0</v>
      </c>
      <c r="BB593" s="1120">
        <f t="shared" si="703"/>
        <v>0</v>
      </c>
      <c r="BC593" s="1120">
        <f t="shared" si="704"/>
        <v>0</v>
      </c>
      <c r="BD593" s="1120">
        <f t="shared" si="705"/>
        <v>1</v>
      </c>
      <c r="BE593" s="1120">
        <f t="shared" si="706"/>
        <v>1</v>
      </c>
      <c r="BF593" s="1120">
        <f t="shared" si="707"/>
        <v>1</v>
      </c>
      <c r="BG593" s="1120">
        <f t="shared" si="708"/>
        <v>0</v>
      </c>
      <c r="BH593" s="1120">
        <f t="shared" si="709"/>
        <v>0</v>
      </c>
      <c r="BI593" s="1120">
        <f t="shared" si="710"/>
        <v>0</v>
      </c>
      <c r="BJ593" s="1120">
        <f t="shared" si="711"/>
        <v>0</v>
      </c>
      <c r="BK593" s="1120">
        <f t="shared" si="712"/>
        <v>1</v>
      </c>
      <c r="BL593" s="1120">
        <f t="shared" si="713"/>
        <v>1</v>
      </c>
      <c r="BM593" s="1120">
        <f t="shared" si="714"/>
        <v>1</v>
      </c>
      <c r="BN593" s="1120">
        <f t="shared" si="715"/>
        <v>1</v>
      </c>
      <c r="BO593" s="1120">
        <f t="shared" si="716"/>
        <v>1</v>
      </c>
      <c r="BP593" s="1120">
        <f t="shared" si="717"/>
        <v>1</v>
      </c>
      <c r="BQ593" s="1120">
        <f t="shared" si="718"/>
        <v>0</v>
      </c>
      <c r="BR593" s="1120">
        <f t="shared" si="719"/>
        <v>0</v>
      </c>
      <c r="BS593" s="1120">
        <f t="shared" si="720"/>
        <v>1</v>
      </c>
      <c r="BT593" s="1120">
        <f t="shared" si="721"/>
        <v>1</v>
      </c>
      <c r="BU593" s="1120">
        <f t="shared" si="722"/>
        <v>1</v>
      </c>
      <c r="BV593" s="1120">
        <f t="shared" si="723"/>
        <v>1</v>
      </c>
      <c r="BW593" s="1120">
        <f t="shared" si="724"/>
        <v>0</v>
      </c>
      <c r="BX593" s="1120">
        <f t="shared" si="725"/>
        <v>0</v>
      </c>
      <c r="BY593" s="1120">
        <f t="shared" si="726"/>
        <v>0</v>
      </c>
      <c r="BZ593" s="1120">
        <f t="shared" si="727"/>
        <v>0</v>
      </c>
      <c r="CA593" s="1120">
        <f t="shared" si="728"/>
        <v>1</v>
      </c>
      <c r="CB593" s="1120">
        <f t="shared" si="729"/>
        <v>1</v>
      </c>
      <c r="CC593" s="1120">
        <f t="shared" si="730"/>
        <v>1</v>
      </c>
      <c r="CD593" s="1120">
        <f t="shared" si="731"/>
        <v>1</v>
      </c>
      <c r="CE593" s="1120">
        <f t="shared" si="732"/>
        <v>1</v>
      </c>
      <c r="CF593" s="1120">
        <f t="shared" si="733"/>
        <v>0</v>
      </c>
      <c r="CG593" s="1120">
        <f t="shared" si="734"/>
        <v>0</v>
      </c>
      <c r="CH593" s="1120">
        <f t="shared" si="735"/>
        <v>0</v>
      </c>
      <c r="CI593" s="1120">
        <f t="shared" si="736"/>
        <v>0.85</v>
      </c>
      <c r="CJ593" s="1120">
        <f t="shared" si="737"/>
        <v>0.85</v>
      </c>
      <c r="CK593" s="1120">
        <f t="shared" si="738"/>
        <v>0.85</v>
      </c>
      <c r="CL593" s="1120">
        <f t="shared" si="739"/>
        <v>0.85</v>
      </c>
      <c r="CM593" s="1120">
        <f t="shared" si="740"/>
        <v>0.85</v>
      </c>
      <c r="CN593" s="1120">
        <f t="shared" si="741"/>
        <v>0.85</v>
      </c>
      <c r="CO593" s="1120">
        <f t="shared" si="742"/>
        <v>0.7</v>
      </c>
      <c r="CP593" s="1120">
        <f t="shared" si="743"/>
        <v>0.7</v>
      </c>
      <c r="CQ593" s="1120">
        <f t="shared" si="744"/>
        <v>0.85</v>
      </c>
      <c r="CR593" s="1120">
        <f t="shared" si="745"/>
        <v>0.85</v>
      </c>
      <c r="CS593" s="1120">
        <f t="shared" si="746"/>
        <v>0.85</v>
      </c>
      <c r="CT593" s="1120">
        <f t="shared" si="747"/>
        <v>0.85</v>
      </c>
      <c r="CU593" s="1120">
        <v>1</v>
      </c>
      <c r="CV593" s="1120"/>
      <c r="CW593" s="1120">
        <f t="shared" si="748"/>
        <v>153</v>
      </c>
      <c r="CX593" s="1120">
        <f t="shared" si="749"/>
        <v>212</v>
      </c>
      <c r="CY593" s="1135" t="s">
        <v>4889</v>
      </c>
      <c r="CZ593" s="1124" t="s">
        <v>4897</v>
      </c>
      <c r="DA593" s="1124"/>
      <c r="DB593" s="1124"/>
      <c r="DC593" s="1120" t="s">
        <v>5538</v>
      </c>
      <c r="DD593" s="1120" t="s">
        <v>539</v>
      </c>
      <c r="DE593" s="1120" t="str">
        <f t="shared" si="675"/>
        <v/>
      </c>
      <c r="DF593" s="1133">
        <v>0</v>
      </c>
      <c r="DG593" s="1125">
        <v>0</v>
      </c>
    </row>
    <row r="594" spans="1:111">
      <c r="A594" s="1120" t="s">
        <v>3906</v>
      </c>
      <c r="B594" s="1125" t="s">
        <v>4432</v>
      </c>
      <c r="C594" s="1125" t="s">
        <v>4433</v>
      </c>
      <c r="D594" s="1125" t="s">
        <v>228</v>
      </c>
      <c r="E594" s="1125">
        <v>2860</v>
      </c>
      <c r="F594" s="1125">
        <v>-102.18</v>
      </c>
      <c r="G594" s="1125">
        <v>31.95</v>
      </c>
      <c r="H594" s="1125">
        <v>-6</v>
      </c>
      <c r="I594" s="1126">
        <v>23.179999828338623</v>
      </c>
      <c r="J594" s="1126">
        <v>98.060001373291016</v>
      </c>
      <c r="K594" s="1127">
        <v>67.460001373291021</v>
      </c>
      <c r="L594" s="1125">
        <v>2511</v>
      </c>
      <c r="M594" s="1125">
        <v>25.2</v>
      </c>
      <c r="N594" s="1128">
        <v>44.959999656677248</v>
      </c>
      <c r="O594" s="1128">
        <v>47.119999313354491</v>
      </c>
      <c r="P594" s="1128">
        <v>57.380000686645509</v>
      </c>
      <c r="Q594" s="1128">
        <v>62.060001373291016</v>
      </c>
      <c r="R594" s="1128">
        <v>72.860001373291013</v>
      </c>
      <c r="S594" s="1128">
        <v>79.7</v>
      </c>
      <c r="T594" s="1128">
        <v>82.219999313354492</v>
      </c>
      <c r="U594" s="1128">
        <v>80.060001373291016</v>
      </c>
      <c r="V594" s="1128">
        <v>72.680000686645513</v>
      </c>
      <c r="W594" s="1128">
        <v>60.440000343322751</v>
      </c>
      <c r="X594" s="1128">
        <v>54.5</v>
      </c>
      <c r="Y594" s="1128">
        <v>45.140000343322754</v>
      </c>
      <c r="Z594" s="1128">
        <v>63.349096269476902</v>
      </c>
      <c r="AA594" s="1128">
        <f t="shared" si="676"/>
        <v>58.690978200981533</v>
      </c>
      <c r="AB594" s="1128">
        <f t="shared" si="677"/>
        <v>58.627747117298085</v>
      </c>
      <c r="AC594" s="1128">
        <f t="shared" si="678"/>
        <v>61.359200911121683</v>
      </c>
      <c r="AD594" s="1128">
        <f t="shared" si="679"/>
        <v>66.173344058115092</v>
      </c>
      <c r="AE594" s="1128">
        <f t="shared" si="680"/>
        <v>71.815295958822929</v>
      </c>
      <c r="AF594" s="1128">
        <f t="shared" si="681"/>
        <v>76.814394905215096</v>
      </c>
      <c r="AG594" s="1128">
        <f t="shared" si="682"/>
        <v>79.867548718467788</v>
      </c>
      <c r="AH594" s="1128">
        <f t="shared" si="683"/>
        <v>80.178905806632216</v>
      </c>
      <c r="AI594" s="1128">
        <f t="shared" si="684"/>
        <v>77.66730614652036</v>
      </c>
      <c r="AJ594" s="1128">
        <f t="shared" si="685"/>
        <v>72.987436894462704</v>
      </c>
      <c r="AK594" s="1128">
        <f t="shared" si="686"/>
        <v>67.359178089976297</v>
      </c>
      <c r="AL594" s="1128">
        <f t="shared" si="687"/>
        <v>62.249622124544103</v>
      </c>
      <c r="AM594" s="1125">
        <f t="shared" si="688"/>
        <v>1</v>
      </c>
      <c r="AN594" s="1125">
        <f t="shared" si="689"/>
        <v>1</v>
      </c>
      <c r="AO594" s="1125">
        <f t="shared" si="690"/>
        <v>1</v>
      </c>
      <c r="AP594" s="1125">
        <f t="shared" si="691"/>
        <v>1</v>
      </c>
      <c r="AQ594" s="1125">
        <f t="shared" si="692"/>
        <v>0</v>
      </c>
      <c r="AR594" s="1125">
        <f t="shared" si="693"/>
        <v>0</v>
      </c>
      <c r="AS594" s="1125">
        <f t="shared" si="694"/>
        <v>0</v>
      </c>
      <c r="AT594" s="1125">
        <f t="shared" si="695"/>
        <v>0</v>
      </c>
      <c r="AU594" s="1125">
        <f t="shared" si="696"/>
        <v>0</v>
      </c>
      <c r="AV594" s="1125">
        <f t="shared" si="697"/>
        <v>1</v>
      </c>
      <c r="AW594" s="1125">
        <f t="shared" si="698"/>
        <v>1</v>
      </c>
      <c r="AX594" s="1125">
        <f t="shared" si="699"/>
        <v>1</v>
      </c>
      <c r="AY594" s="1125">
        <f t="shared" si="700"/>
        <v>0</v>
      </c>
      <c r="AZ594" s="1125">
        <f t="shared" si="701"/>
        <v>0</v>
      </c>
      <c r="BA594" s="1125">
        <f t="shared" si="702"/>
        <v>0</v>
      </c>
      <c r="BB594" s="1125">
        <f t="shared" si="703"/>
        <v>0</v>
      </c>
      <c r="BC594" s="1125">
        <f t="shared" si="704"/>
        <v>1</v>
      </c>
      <c r="BD594" s="1125">
        <f t="shared" si="705"/>
        <v>1</v>
      </c>
      <c r="BE594" s="1125">
        <f t="shared" si="706"/>
        <v>1</v>
      </c>
      <c r="BF594" s="1125">
        <f t="shared" si="707"/>
        <v>1</v>
      </c>
      <c r="BG594" s="1125">
        <f t="shared" si="708"/>
        <v>1</v>
      </c>
      <c r="BH594" s="1125">
        <f t="shared" si="709"/>
        <v>0</v>
      </c>
      <c r="BI594" s="1125">
        <f t="shared" si="710"/>
        <v>0</v>
      </c>
      <c r="BJ594" s="1125">
        <f t="shared" si="711"/>
        <v>0</v>
      </c>
      <c r="BK594" s="1125">
        <f t="shared" si="712"/>
        <v>1</v>
      </c>
      <c r="BL594" s="1125">
        <f t="shared" si="713"/>
        <v>1</v>
      </c>
      <c r="BM594" s="1125">
        <f t="shared" si="714"/>
        <v>1</v>
      </c>
      <c r="BN594" s="1125">
        <f t="shared" si="715"/>
        <v>1</v>
      </c>
      <c r="BO594" s="1125">
        <f t="shared" si="716"/>
        <v>1</v>
      </c>
      <c r="BP594" s="1125">
        <f t="shared" si="717"/>
        <v>0</v>
      </c>
      <c r="BQ594" s="1125">
        <f t="shared" si="718"/>
        <v>0</v>
      </c>
      <c r="BR594" s="1125">
        <f t="shared" si="719"/>
        <v>0</v>
      </c>
      <c r="BS594" s="1125">
        <f t="shared" si="720"/>
        <v>0</v>
      </c>
      <c r="BT594" s="1125">
        <f t="shared" si="721"/>
        <v>1</v>
      </c>
      <c r="BU594" s="1125">
        <f t="shared" si="722"/>
        <v>1</v>
      </c>
      <c r="BV594" s="1125">
        <f t="shared" si="723"/>
        <v>1</v>
      </c>
      <c r="BW594" s="1125">
        <f t="shared" si="724"/>
        <v>0</v>
      </c>
      <c r="BX594" s="1125">
        <f t="shared" si="725"/>
        <v>0</v>
      </c>
      <c r="BY594" s="1125">
        <f t="shared" si="726"/>
        <v>0</v>
      </c>
      <c r="BZ594" s="1125">
        <f t="shared" si="727"/>
        <v>1</v>
      </c>
      <c r="CA594" s="1125">
        <f t="shared" si="728"/>
        <v>1</v>
      </c>
      <c r="CB594" s="1125">
        <f t="shared" si="729"/>
        <v>1</v>
      </c>
      <c r="CC594" s="1125">
        <f t="shared" si="730"/>
        <v>1</v>
      </c>
      <c r="CD594" s="1125">
        <f t="shared" si="731"/>
        <v>1</v>
      </c>
      <c r="CE594" s="1125">
        <f t="shared" si="732"/>
        <v>1</v>
      </c>
      <c r="CF594" s="1125">
        <f t="shared" si="733"/>
        <v>1</v>
      </c>
      <c r="CG594" s="1125">
        <f t="shared" si="734"/>
        <v>0</v>
      </c>
      <c r="CH594" s="1125">
        <f t="shared" si="735"/>
        <v>0</v>
      </c>
      <c r="CI594" s="1125">
        <f t="shared" si="736"/>
        <v>0.85</v>
      </c>
      <c r="CJ594" s="1125">
        <f t="shared" si="737"/>
        <v>0.85</v>
      </c>
      <c r="CK594" s="1125">
        <f t="shared" si="738"/>
        <v>0.85</v>
      </c>
      <c r="CL594" s="1125">
        <f t="shared" si="739"/>
        <v>0.85</v>
      </c>
      <c r="CM594" s="1125">
        <f t="shared" si="740"/>
        <v>0.85</v>
      </c>
      <c r="CN594" s="1125">
        <f t="shared" si="741"/>
        <v>0.7</v>
      </c>
      <c r="CO594" s="1125">
        <f t="shared" si="742"/>
        <v>0.7</v>
      </c>
      <c r="CP594" s="1125">
        <f t="shared" si="743"/>
        <v>0.7</v>
      </c>
      <c r="CQ594" s="1125">
        <f t="shared" si="744"/>
        <v>0.7</v>
      </c>
      <c r="CR594" s="1125">
        <f t="shared" si="745"/>
        <v>0.85</v>
      </c>
      <c r="CS594" s="1125">
        <f t="shared" si="746"/>
        <v>0.85</v>
      </c>
      <c r="CT594" s="1125">
        <f t="shared" si="747"/>
        <v>0.85</v>
      </c>
      <c r="CU594" s="1125">
        <v>1</v>
      </c>
      <c r="CV594" s="1125"/>
      <c r="CW594" s="1125">
        <f t="shared" si="748"/>
        <v>214</v>
      </c>
      <c r="CX594" s="1125">
        <f t="shared" si="749"/>
        <v>151</v>
      </c>
      <c r="CY594" s="1136" t="s">
        <v>4886</v>
      </c>
      <c r="CZ594" s="1129" t="s">
        <v>4888</v>
      </c>
      <c r="DA594" s="1129"/>
      <c r="DB594" s="1129"/>
      <c r="DC594" s="1125" t="s">
        <v>5606</v>
      </c>
      <c r="DD594" s="1125" t="s">
        <v>228</v>
      </c>
      <c r="DE594" s="1120" t="str">
        <f t="shared" si="675"/>
        <v/>
      </c>
      <c r="DF594" s="1133">
        <v>0</v>
      </c>
      <c r="DG594" s="1120">
        <v>0</v>
      </c>
    </row>
    <row r="595" spans="1:111">
      <c r="A595" s="1125" t="s">
        <v>3908</v>
      </c>
      <c r="B595" s="1125" t="s">
        <v>3920</v>
      </c>
      <c r="C595" s="1125" t="s">
        <v>3921</v>
      </c>
      <c r="D595" s="1125" t="s">
        <v>1108</v>
      </c>
      <c r="E595" s="1125">
        <v>2627</v>
      </c>
      <c r="F595" s="1125">
        <v>-105.88</v>
      </c>
      <c r="G595" s="1125">
        <v>46.43</v>
      </c>
      <c r="H595" s="1125">
        <v>-7</v>
      </c>
      <c r="I595" s="1126">
        <v>-11.560001373291017</v>
      </c>
      <c r="J595" s="1126">
        <v>94.639998626708987</v>
      </c>
      <c r="K595" s="1127">
        <v>64.939998626708984</v>
      </c>
      <c r="L595" s="1125">
        <v>7426.8</v>
      </c>
      <c r="M595" s="1125">
        <v>754.2</v>
      </c>
      <c r="N595" s="1128">
        <v>14</v>
      </c>
      <c r="O595" s="1128">
        <v>22.820000171661377</v>
      </c>
      <c r="P595" s="1128">
        <v>32</v>
      </c>
      <c r="Q595" s="1128">
        <v>47.659999656677243</v>
      </c>
      <c r="R595" s="1128">
        <v>59.719999313354492</v>
      </c>
      <c r="S595" s="1128">
        <v>68</v>
      </c>
      <c r="T595" s="1128">
        <v>75.560001373291016</v>
      </c>
      <c r="U595" s="1128">
        <v>68.360001373291013</v>
      </c>
      <c r="V595" s="1128">
        <v>59.540000343322752</v>
      </c>
      <c r="W595" s="1128">
        <v>46.580000686645505</v>
      </c>
      <c r="X595" s="1128">
        <v>33.259999978542325</v>
      </c>
      <c r="Y595" s="1128">
        <v>24.440000343322755</v>
      </c>
      <c r="Z595" s="1128">
        <v>46.118411232739277</v>
      </c>
      <c r="AA595" s="1128">
        <f t="shared" si="676"/>
        <v>41.175080758220382</v>
      </c>
      <c r="AB595" s="1128">
        <f t="shared" si="677"/>
        <v>39.170300511392483</v>
      </c>
      <c r="AC595" s="1128">
        <f t="shared" si="678"/>
        <v>40.540644860509758</v>
      </c>
      <c r="AD595" s="1128">
        <f t="shared" si="679"/>
        <v>44.928912433329145</v>
      </c>
      <c r="AE595" s="1128">
        <f t="shared" si="680"/>
        <v>51.191233661744981</v>
      </c>
      <c r="AF595" s="1128">
        <f t="shared" si="681"/>
        <v>57.69523801227934</v>
      </c>
      <c r="AG595" s="1128">
        <f t="shared" si="682"/>
        <v>62.745556521224486</v>
      </c>
      <c r="AH595" s="1128">
        <f t="shared" si="683"/>
        <v>65.025745841459809</v>
      </c>
      <c r="AI595" s="1128">
        <f t="shared" si="684"/>
        <v>63.941439487884914</v>
      </c>
      <c r="AJ595" s="1128">
        <f t="shared" si="685"/>
        <v>59.775278621225794</v>
      </c>
      <c r="AK595" s="1128">
        <f t="shared" si="686"/>
        <v>53.613237273859497</v>
      </c>
      <c r="AL595" s="1128">
        <f t="shared" si="687"/>
        <v>47.061546482908639</v>
      </c>
      <c r="AM595" s="1125">
        <f t="shared" si="688"/>
        <v>1</v>
      </c>
      <c r="AN595" s="1125">
        <f t="shared" si="689"/>
        <v>1</v>
      </c>
      <c r="AO595" s="1125">
        <f t="shared" si="690"/>
        <v>1</v>
      </c>
      <c r="AP595" s="1125">
        <f t="shared" si="691"/>
        <v>1</v>
      </c>
      <c r="AQ595" s="1125">
        <f t="shared" si="692"/>
        <v>1</v>
      </c>
      <c r="AR595" s="1125">
        <f t="shared" si="693"/>
        <v>0</v>
      </c>
      <c r="AS595" s="1125">
        <f t="shared" si="694"/>
        <v>0</v>
      </c>
      <c r="AT595" s="1125">
        <f t="shared" si="695"/>
        <v>0</v>
      </c>
      <c r="AU595" s="1125">
        <f t="shared" si="696"/>
        <v>1</v>
      </c>
      <c r="AV595" s="1125">
        <f t="shared" si="697"/>
        <v>1</v>
      </c>
      <c r="AW595" s="1125">
        <f t="shared" si="698"/>
        <v>1</v>
      </c>
      <c r="AX595" s="1125">
        <f t="shared" si="699"/>
        <v>1</v>
      </c>
      <c r="AY595" s="1125">
        <f t="shared" si="700"/>
        <v>0</v>
      </c>
      <c r="AZ595" s="1125">
        <f t="shared" si="701"/>
        <v>0</v>
      </c>
      <c r="BA595" s="1125">
        <f t="shared" si="702"/>
        <v>0</v>
      </c>
      <c r="BB595" s="1125">
        <f t="shared" si="703"/>
        <v>0</v>
      </c>
      <c r="BC595" s="1125">
        <f t="shared" si="704"/>
        <v>0</v>
      </c>
      <c r="BD595" s="1125">
        <f t="shared" si="705"/>
        <v>1</v>
      </c>
      <c r="BE595" s="1125">
        <f t="shared" si="706"/>
        <v>1</v>
      </c>
      <c r="BF595" s="1125">
        <f t="shared" si="707"/>
        <v>1</v>
      </c>
      <c r="BG595" s="1125">
        <f t="shared" si="708"/>
        <v>0</v>
      </c>
      <c r="BH595" s="1125">
        <f t="shared" si="709"/>
        <v>0</v>
      </c>
      <c r="BI595" s="1125">
        <f t="shared" si="710"/>
        <v>0</v>
      </c>
      <c r="BJ595" s="1125">
        <f t="shared" si="711"/>
        <v>0</v>
      </c>
      <c r="BK595" s="1125">
        <f t="shared" si="712"/>
        <v>1</v>
      </c>
      <c r="BL595" s="1125">
        <f t="shared" si="713"/>
        <v>1</v>
      </c>
      <c r="BM595" s="1125">
        <f t="shared" si="714"/>
        <v>1</v>
      </c>
      <c r="BN595" s="1125">
        <f t="shared" si="715"/>
        <v>1</v>
      </c>
      <c r="BO595" s="1125">
        <f t="shared" si="716"/>
        <v>1</v>
      </c>
      <c r="BP595" s="1125">
        <f t="shared" si="717"/>
        <v>1</v>
      </c>
      <c r="BQ595" s="1125">
        <f t="shared" si="718"/>
        <v>0</v>
      </c>
      <c r="BR595" s="1125">
        <f t="shared" si="719"/>
        <v>0</v>
      </c>
      <c r="BS595" s="1125">
        <f t="shared" si="720"/>
        <v>1</v>
      </c>
      <c r="BT595" s="1125">
        <f t="shared" si="721"/>
        <v>1</v>
      </c>
      <c r="BU595" s="1125">
        <f t="shared" si="722"/>
        <v>1</v>
      </c>
      <c r="BV595" s="1125">
        <f t="shared" si="723"/>
        <v>1</v>
      </c>
      <c r="BW595" s="1125">
        <f t="shared" si="724"/>
        <v>0</v>
      </c>
      <c r="BX595" s="1125">
        <f t="shared" si="725"/>
        <v>0</v>
      </c>
      <c r="BY595" s="1125">
        <f t="shared" si="726"/>
        <v>0</v>
      </c>
      <c r="BZ595" s="1125">
        <f t="shared" si="727"/>
        <v>0</v>
      </c>
      <c r="CA595" s="1125">
        <f t="shared" si="728"/>
        <v>1</v>
      </c>
      <c r="CB595" s="1125">
        <f t="shared" si="729"/>
        <v>1</v>
      </c>
      <c r="CC595" s="1125">
        <f t="shared" si="730"/>
        <v>1</v>
      </c>
      <c r="CD595" s="1125">
        <f t="shared" si="731"/>
        <v>1</v>
      </c>
      <c r="CE595" s="1125">
        <f t="shared" si="732"/>
        <v>1</v>
      </c>
      <c r="CF595" s="1125">
        <f t="shared" si="733"/>
        <v>0</v>
      </c>
      <c r="CG595" s="1125">
        <f t="shared" si="734"/>
        <v>0</v>
      </c>
      <c r="CH595" s="1125">
        <f t="shared" si="735"/>
        <v>0</v>
      </c>
      <c r="CI595" s="1125">
        <f t="shared" si="736"/>
        <v>0.85</v>
      </c>
      <c r="CJ595" s="1125">
        <f t="shared" si="737"/>
        <v>0.85</v>
      </c>
      <c r="CK595" s="1125">
        <f t="shared" si="738"/>
        <v>0.85</v>
      </c>
      <c r="CL595" s="1125">
        <f t="shared" si="739"/>
        <v>0.85</v>
      </c>
      <c r="CM595" s="1125">
        <f t="shared" si="740"/>
        <v>0.85</v>
      </c>
      <c r="CN595" s="1125">
        <f t="shared" si="741"/>
        <v>0.85</v>
      </c>
      <c r="CO595" s="1125">
        <f t="shared" si="742"/>
        <v>0.7</v>
      </c>
      <c r="CP595" s="1125">
        <f t="shared" si="743"/>
        <v>0.7</v>
      </c>
      <c r="CQ595" s="1125">
        <f t="shared" si="744"/>
        <v>0.85</v>
      </c>
      <c r="CR595" s="1125">
        <f t="shared" si="745"/>
        <v>0.85</v>
      </c>
      <c r="CS595" s="1125">
        <f t="shared" si="746"/>
        <v>0.85</v>
      </c>
      <c r="CT595" s="1125">
        <f t="shared" si="747"/>
        <v>0.85</v>
      </c>
      <c r="CU595" s="1125">
        <v>1</v>
      </c>
      <c r="CV595" s="1125"/>
      <c r="CW595" s="1125">
        <f t="shared" si="748"/>
        <v>153</v>
      </c>
      <c r="CX595" s="1125">
        <f t="shared" si="749"/>
        <v>212</v>
      </c>
      <c r="CY595" s="1136" t="s">
        <v>4889</v>
      </c>
      <c r="CZ595" s="1129" t="s">
        <v>4896</v>
      </c>
      <c r="DA595" s="1129"/>
      <c r="DB595" s="1129"/>
      <c r="DC595" s="1125" t="s">
        <v>5382</v>
      </c>
      <c r="DD595" s="1125" t="s">
        <v>1108</v>
      </c>
      <c r="DE595" s="1120" t="str">
        <f t="shared" si="675"/>
        <v/>
      </c>
      <c r="DF595" s="1133">
        <v>0</v>
      </c>
      <c r="DG595" s="1125">
        <v>0</v>
      </c>
    </row>
    <row r="596" spans="1:111">
      <c r="A596" s="1120" t="s">
        <v>3910</v>
      </c>
      <c r="B596" s="1125" t="s">
        <v>3699</v>
      </c>
      <c r="C596" s="1125" t="s">
        <v>3700</v>
      </c>
      <c r="D596" s="1125" t="s">
        <v>903</v>
      </c>
      <c r="E596" s="1125">
        <v>407</v>
      </c>
      <c r="F596" s="1125">
        <v>-68.680000000000007</v>
      </c>
      <c r="G596" s="1125">
        <v>45.65</v>
      </c>
      <c r="H596" s="1125">
        <v>-5</v>
      </c>
      <c r="I596" s="1126">
        <v>-11.200000000000001</v>
      </c>
      <c r="J596" s="1126">
        <v>89.239998626708982</v>
      </c>
      <c r="K596" s="1127">
        <v>69.980000686645511</v>
      </c>
      <c r="L596" s="1125">
        <v>7614</v>
      </c>
      <c r="M596" s="1125">
        <v>396</v>
      </c>
      <c r="N596" s="1128">
        <v>19.399999999999999</v>
      </c>
      <c r="O596" s="1128">
        <v>18.140000343322754</v>
      </c>
      <c r="P596" s="1128">
        <v>32.360000005364419</v>
      </c>
      <c r="Q596" s="1128">
        <v>42.259999656677245</v>
      </c>
      <c r="R596" s="1128">
        <v>57.019999313354489</v>
      </c>
      <c r="S596" s="1128">
        <v>63.5</v>
      </c>
      <c r="T596" s="1128">
        <v>66.919999313354495</v>
      </c>
      <c r="U596" s="1128">
        <v>67.639998626708987</v>
      </c>
      <c r="V596" s="1128">
        <v>62.419999313354495</v>
      </c>
      <c r="W596" s="1128">
        <v>47.119999313354491</v>
      </c>
      <c r="X596" s="1128">
        <v>31.639999994635581</v>
      </c>
      <c r="Y596" s="1128">
        <v>25.339999914169312</v>
      </c>
      <c r="Z596" s="1128">
        <v>44.636492793502875</v>
      </c>
      <c r="AA596" s="1128">
        <f t="shared" si="676"/>
        <v>42.286897032143294</v>
      </c>
      <c r="AB596" s="1128">
        <f t="shared" si="677"/>
        <v>40.607303619402103</v>
      </c>
      <c r="AC596" s="1128">
        <f t="shared" si="678"/>
        <v>41.541972919373762</v>
      </c>
      <c r="AD596" s="1128">
        <f t="shared" si="679"/>
        <v>44.847268975330778</v>
      </c>
      <c r="AE596" s="1128">
        <f t="shared" si="680"/>
        <v>49.661615434133886</v>
      </c>
      <c r="AF596" s="1128">
        <f t="shared" si="681"/>
        <v>54.730078699971379</v>
      </c>
      <c r="AG596" s="1128">
        <f t="shared" si="682"/>
        <v>58.731485715219499</v>
      </c>
      <c r="AH596" s="1128">
        <f t="shared" si="683"/>
        <v>60.622808077805182</v>
      </c>
      <c r="AI596" s="1128">
        <f t="shared" si="684"/>
        <v>59.911043467760614</v>
      </c>
      <c r="AJ596" s="1128">
        <f t="shared" si="685"/>
        <v>56.781724299318562</v>
      </c>
      <c r="AK596" s="1128">
        <f t="shared" si="686"/>
        <v>52.050555838001571</v>
      </c>
      <c r="AL596" s="1128">
        <f t="shared" si="687"/>
        <v>46.950790052764866</v>
      </c>
      <c r="AM596" s="1125">
        <f t="shared" si="688"/>
        <v>1</v>
      </c>
      <c r="AN596" s="1125">
        <f t="shared" si="689"/>
        <v>1</v>
      </c>
      <c r="AO596" s="1125">
        <f t="shared" si="690"/>
        <v>1</v>
      </c>
      <c r="AP596" s="1125">
        <f t="shared" si="691"/>
        <v>1</v>
      </c>
      <c r="AQ596" s="1125">
        <f t="shared" si="692"/>
        <v>1</v>
      </c>
      <c r="AR596" s="1125">
        <f t="shared" si="693"/>
        <v>1</v>
      </c>
      <c r="AS596" s="1125">
        <f t="shared" si="694"/>
        <v>0</v>
      </c>
      <c r="AT596" s="1125">
        <f t="shared" si="695"/>
        <v>0</v>
      </c>
      <c r="AU596" s="1125">
        <f t="shared" si="696"/>
        <v>1</v>
      </c>
      <c r="AV596" s="1125">
        <f t="shared" si="697"/>
        <v>1</v>
      </c>
      <c r="AW596" s="1125">
        <f t="shared" si="698"/>
        <v>1</v>
      </c>
      <c r="AX596" s="1125">
        <f t="shared" si="699"/>
        <v>1</v>
      </c>
      <c r="AY596" s="1125">
        <f t="shared" si="700"/>
        <v>0</v>
      </c>
      <c r="AZ596" s="1125">
        <f t="shared" si="701"/>
        <v>0</v>
      </c>
      <c r="BA596" s="1125">
        <f t="shared" si="702"/>
        <v>0</v>
      </c>
      <c r="BB596" s="1125">
        <f t="shared" si="703"/>
        <v>0</v>
      </c>
      <c r="BC596" s="1125">
        <f t="shared" si="704"/>
        <v>0</v>
      </c>
      <c r="BD596" s="1125">
        <f t="shared" si="705"/>
        <v>0</v>
      </c>
      <c r="BE596" s="1125">
        <f t="shared" si="706"/>
        <v>1</v>
      </c>
      <c r="BF596" s="1125">
        <f t="shared" si="707"/>
        <v>1</v>
      </c>
      <c r="BG596" s="1125">
        <f t="shared" si="708"/>
        <v>0</v>
      </c>
      <c r="BH596" s="1125">
        <f t="shared" si="709"/>
        <v>0</v>
      </c>
      <c r="BI596" s="1125">
        <f t="shared" si="710"/>
        <v>0</v>
      </c>
      <c r="BJ596" s="1125">
        <f t="shared" si="711"/>
        <v>0</v>
      </c>
      <c r="BK596" s="1125">
        <f t="shared" si="712"/>
        <v>1</v>
      </c>
      <c r="BL596" s="1125">
        <f t="shared" si="713"/>
        <v>1</v>
      </c>
      <c r="BM596" s="1125">
        <f t="shared" si="714"/>
        <v>1</v>
      </c>
      <c r="BN596" s="1125">
        <f t="shared" si="715"/>
        <v>1</v>
      </c>
      <c r="BO596" s="1125">
        <f t="shared" si="716"/>
        <v>1</v>
      </c>
      <c r="BP596" s="1125">
        <f t="shared" si="717"/>
        <v>1</v>
      </c>
      <c r="BQ596" s="1125">
        <f t="shared" si="718"/>
        <v>1</v>
      </c>
      <c r="BR596" s="1125">
        <f t="shared" si="719"/>
        <v>0</v>
      </c>
      <c r="BS596" s="1125">
        <f t="shared" si="720"/>
        <v>1</v>
      </c>
      <c r="BT596" s="1125">
        <f t="shared" si="721"/>
        <v>1</v>
      </c>
      <c r="BU596" s="1125">
        <f t="shared" si="722"/>
        <v>1</v>
      </c>
      <c r="BV596" s="1125">
        <f t="shared" si="723"/>
        <v>1</v>
      </c>
      <c r="BW596" s="1125">
        <f t="shared" si="724"/>
        <v>0</v>
      </c>
      <c r="BX596" s="1125">
        <f t="shared" si="725"/>
        <v>0</v>
      </c>
      <c r="BY596" s="1125">
        <f t="shared" si="726"/>
        <v>0</v>
      </c>
      <c r="BZ596" s="1125">
        <f t="shared" si="727"/>
        <v>0</v>
      </c>
      <c r="CA596" s="1125">
        <f t="shared" si="728"/>
        <v>0</v>
      </c>
      <c r="CB596" s="1125">
        <f t="shared" si="729"/>
        <v>1</v>
      </c>
      <c r="CC596" s="1125">
        <f t="shared" si="730"/>
        <v>1</v>
      </c>
      <c r="CD596" s="1125">
        <f t="shared" si="731"/>
        <v>1</v>
      </c>
      <c r="CE596" s="1125">
        <f t="shared" si="732"/>
        <v>1</v>
      </c>
      <c r="CF596" s="1125">
        <f t="shared" si="733"/>
        <v>0</v>
      </c>
      <c r="CG596" s="1125">
        <f t="shared" si="734"/>
        <v>0</v>
      </c>
      <c r="CH596" s="1125">
        <f t="shared" si="735"/>
        <v>0</v>
      </c>
      <c r="CI596" s="1125">
        <f t="shared" si="736"/>
        <v>0.85</v>
      </c>
      <c r="CJ596" s="1125">
        <f t="shared" si="737"/>
        <v>0.85</v>
      </c>
      <c r="CK596" s="1125">
        <f t="shared" si="738"/>
        <v>0.85</v>
      </c>
      <c r="CL596" s="1125">
        <f t="shared" si="739"/>
        <v>0.85</v>
      </c>
      <c r="CM596" s="1125">
        <f t="shared" si="740"/>
        <v>0.85</v>
      </c>
      <c r="CN596" s="1125">
        <f t="shared" si="741"/>
        <v>0.85</v>
      </c>
      <c r="CO596" s="1125">
        <f t="shared" si="742"/>
        <v>0.85</v>
      </c>
      <c r="CP596" s="1125">
        <f t="shared" si="743"/>
        <v>0.7</v>
      </c>
      <c r="CQ596" s="1125">
        <f t="shared" si="744"/>
        <v>0.85</v>
      </c>
      <c r="CR596" s="1125">
        <f t="shared" si="745"/>
        <v>0.85</v>
      </c>
      <c r="CS596" s="1125">
        <f t="shared" si="746"/>
        <v>0.85</v>
      </c>
      <c r="CT596" s="1125">
        <f t="shared" si="747"/>
        <v>0.85</v>
      </c>
      <c r="CU596" s="1125">
        <v>1</v>
      </c>
      <c r="CV596" s="1125"/>
      <c r="CW596" s="1125">
        <f t="shared" si="748"/>
        <v>122</v>
      </c>
      <c r="CX596" s="1125">
        <f t="shared" si="749"/>
        <v>243</v>
      </c>
      <c r="CY596" s="1135" t="s">
        <v>4889</v>
      </c>
      <c r="CZ596" s="1124" t="s">
        <v>4899</v>
      </c>
      <c r="DA596" s="1124"/>
      <c r="DB596" s="1124"/>
      <c r="DC596" s="1120" t="s">
        <v>5290</v>
      </c>
      <c r="DD596" s="1120" t="s">
        <v>903</v>
      </c>
      <c r="DE596" s="1120" t="str">
        <f t="shared" ref="DE596:DE659" si="750">IF(AND(C596=DC596,D596=DD596),"",FALSE)</f>
        <v/>
      </c>
      <c r="DF596" s="1133">
        <v>0</v>
      </c>
      <c r="DG596" s="1120">
        <v>0</v>
      </c>
    </row>
    <row r="597" spans="1:111">
      <c r="A597" s="1125" t="s">
        <v>3912</v>
      </c>
      <c r="B597" s="1120" t="s">
        <v>4060</v>
      </c>
      <c r="C597" s="1120" t="s">
        <v>4061</v>
      </c>
      <c r="D597" s="1120" t="s">
        <v>589</v>
      </c>
      <c r="E597" s="1120">
        <v>69</v>
      </c>
      <c r="F597" s="1120">
        <v>-75.08</v>
      </c>
      <c r="G597" s="1120">
        <v>39.369999999999997</v>
      </c>
      <c r="H597" s="1120">
        <v>-5</v>
      </c>
      <c r="I597" s="1121">
        <v>15.259999656677246</v>
      </c>
      <c r="J597" s="1121">
        <v>89.419999313354495</v>
      </c>
      <c r="K597" s="1122">
        <v>74.119999313354498</v>
      </c>
      <c r="L597" s="1120">
        <v>4453.2</v>
      </c>
      <c r="M597" s="1120">
        <v>1058.4000000000001</v>
      </c>
      <c r="N597" s="1123">
        <v>33.799999999999997</v>
      </c>
      <c r="O597" s="1123">
        <v>39.379999828338626</v>
      </c>
      <c r="P597" s="1123">
        <v>38.120000171661374</v>
      </c>
      <c r="Q597" s="1123">
        <v>54.319999313354494</v>
      </c>
      <c r="R597" s="1123">
        <v>67.280000686645508</v>
      </c>
      <c r="S597" s="1123">
        <v>68.180000686645513</v>
      </c>
      <c r="T597" s="1123">
        <v>75.919999313354495</v>
      </c>
      <c r="U597" s="1123">
        <v>71.419999313354495</v>
      </c>
      <c r="V597" s="1123">
        <v>64.400000000000006</v>
      </c>
      <c r="W597" s="1123">
        <v>57.019999313354489</v>
      </c>
      <c r="X597" s="1123">
        <v>49.280000686645508</v>
      </c>
      <c r="Y597" s="1123">
        <v>40.820000171661377</v>
      </c>
      <c r="Z597" s="1123">
        <v>55.078958859900908</v>
      </c>
      <c r="AA597" s="1123">
        <f t="shared" si="676"/>
        <v>51.220394526172548</v>
      </c>
      <c r="AB597" s="1123">
        <f t="shared" si="677"/>
        <v>50.380538957473327</v>
      </c>
      <c r="AC597" s="1123">
        <f t="shared" si="678"/>
        <v>52.32939140398306</v>
      </c>
      <c r="AD597" s="1123">
        <f t="shared" si="679"/>
        <v>56.558953442793687</v>
      </c>
      <c r="AE597" s="1123">
        <f t="shared" si="680"/>
        <v>61.966724548965246</v>
      </c>
      <c r="AF597" s="1123">
        <f t="shared" si="681"/>
        <v>67.143085847398794</v>
      </c>
      <c r="AG597" s="1123">
        <f t="shared" si="682"/>
        <v>70.738738995515405</v>
      </c>
      <c r="AH597" s="1123">
        <f t="shared" si="683"/>
        <v>71.816421589566204</v>
      </c>
      <c r="AI597" s="1123">
        <f t="shared" si="684"/>
        <v>70.095219053820358</v>
      </c>
      <c r="AJ597" s="1123">
        <f t="shared" si="685"/>
        <v>66.023789353753997</v>
      </c>
      <c r="AK597" s="1123">
        <f t="shared" si="686"/>
        <v>60.663413383320304</v>
      </c>
      <c r="AL597" s="1123">
        <f t="shared" si="687"/>
        <v>55.411355745106974</v>
      </c>
      <c r="AM597" s="1120">
        <f t="shared" si="688"/>
        <v>1</v>
      </c>
      <c r="AN597" s="1120">
        <f t="shared" si="689"/>
        <v>1</v>
      </c>
      <c r="AO597" s="1120">
        <f t="shared" si="690"/>
        <v>1</v>
      </c>
      <c r="AP597" s="1120">
        <f t="shared" si="691"/>
        <v>1</v>
      </c>
      <c r="AQ597" s="1120">
        <f t="shared" si="692"/>
        <v>0</v>
      </c>
      <c r="AR597" s="1120">
        <f t="shared" si="693"/>
        <v>0</v>
      </c>
      <c r="AS597" s="1120">
        <f t="shared" si="694"/>
        <v>0</v>
      </c>
      <c r="AT597" s="1120">
        <f t="shared" si="695"/>
        <v>0</v>
      </c>
      <c r="AU597" s="1120">
        <f t="shared" si="696"/>
        <v>1</v>
      </c>
      <c r="AV597" s="1120">
        <f t="shared" si="697"/>
        <v>1</v>
      </c>
      <c r="AW597" s="1120">
        <f t="shared" si="698"/>
        <v>1</v>
      </c>
      <c r="AX597" s="1120">
        <f t="shared" si="699"/>
        <v>1</v>
      </c>
      <c r="AY597" s="1120">
        <f t="shared" si="700"/>
        <v>0</v>
      </c>
      <c r="AZ597" s="1120">
        <f t="shared" si="701"/>
        <v>0</v>
      </c>
      <c r="BA597" s="1120">
        <f t="shared" si="702"/>
        <v>0</v>
      </c>
      <c r="BB597" s="1120">
        <f t="shared" si="703"/>
        <v>0</v>
      </c>
      <c r="BC597" s="1120">
        <f t="shared" si="704"/>
        <v>1</v>
      </c>
      <c r="BD597" s="1120">
        <f t="shared" si="705"/>
        <v>1</v>
      </c>
      <c r="BE597" s="1120">
        <f t="shared" si="706"/>
        <v>1</v>
      </c>
      <c r="BF597" s="1120">
        <f t="shared" si="707"/>
        <v>1</v>
      </c>
      <c r="BG597" s="1120">
        <f t="shared" si="708"/>
        <v>0</v>
      </c>
      <c r="BH597" s="1120">
        <f t="shared" si="709"/>
        <v>0</v>
      </c>
      <c r="BI597" s="1120">
        <f t="shared" si="710"/>
        <v>0</v>
      </c>
      <c r="BJ597" s="1120">
        <f t="shared" si="711"/>
        <v>0</v>
      </c>
      <c r="BK597" s="1120">
        <f t="shared" si="712"/>
        <v>1</v>
      </c>
      <c r="BL597" s="1120">
        <f t="shared" si="713"/>
        <v>1</v>
      </c>
      <c r="BM597" s="1120">
        <f t="shared" si="714"/>
        <v>1</v>
      </c>
      <c r="BN597" s="1120">
        <f t="shared" si="715"/>
        <v>1</v>
      </c>
      <c r="BO597" s="1120">
        <f t="shared" si="716"/>
        <v>1</v>
      </c>
      <c r="BP597" s="1120">
        <f t="shared" si="717"/>
        <v>0</v>
      </c>
      <c r="BQ597" s="1120">
        <f t="shared" si="718"/>
        <v>0</v>
      </c>
      <c r="BR597" s="1120">
        <f t="shared" si="719"/>
        <v>0</v>
      </c>
      <c r="BS597" s="1120">
        <f t="shared" si="720"/>
        <v>1</v>
      </c>
      <c r="BT597" s="1120">
        <f t="shared" si="721"/>
        <v>1</v>
      </c>
      <c r="BU597" s="1120">
        <f t="shared" si="722"/>
        <v>1</v>
      </c>
      <c r="BV597" s="1120">
        <f t="shared" si="723"/>
        <v>1</v>
      </c>
      <c r="BW597" s="1120">
        <f t="shared" si="724"/>
        <v>0</v>
      </c>
      <c r="BX597" s="1120">
        <f t="shared" si="725"/>
        <v>0</v>
      </c>
      <c r="BY597" s="1120">
        <f t="shared" si="726"/>
        <v>0</v>
      </c>
      <c r="BZ597" s="1120">
        <f t="shared" si="727"/>
        <v>1</v>
      </c>
      <c r="CA597" s="1120">
        <f t="shared" si="728"/>
        <v>1</v>
      </c>
      <c r="CB597" s="1120">
        <f t="shared" si="729"/>
        <v>1</v>
      </c>
      <c r="CC597" s="1120">
        <f t="shared" si="730"/>
        <v>1</v>
      </c>
      <c r="CD597" s="1120">
        <f t="shared" si="731"/>
        <v>1</v>
      </c>
      <c r="CE597" s="1120">
        <f t="shared" si="732"/>
        <v>1</v>
      </c>
      <c r="CF597" s="1120">
        <f t="shared" si="733"/>
        <v>0</v>
      </c>
      <c r="CG597" s="1120">
        <f t="shared" si="734"/>
        <v>0</v>
      </c>
      <c r="CH597" s="1120">
        <f t="shared" si="735"/>
        <v>0</v>
      </c>
      <c r="CI597" s="1120">
        <f t="shared" si="736"/>
        <v>0.85</v>
      </c>
      <c r="CJ597" s="1120">
        <f t="shared" si="737"/>
        <v>0.85</v>
      </c>
      <c r="CK597" s="1120">
        <f t="shared" si="738"/>
        <v>0.85</v>
      </c>
      <c r="CL597" s="1120">
        <f t="shared" si="739"/>
        <v>0.85</v>
      </c>
      <c r="CM597" s="1120">
        <f t="shared" si="740"/>
        <v>0.85</v>
      </c>
      <c r="CN597" s="1120">
        <f t="shared" si="741"/>
        <v>0.7</v>
      </c>
      <c r="CO597" s="1120">
        <f t="shared" si="742"/>
        <v>0.7</v>
      </c>
      <c r="CP597" s="1120">
        <f t="shared" si="743"/>
        <v>0.7</v>
      </c>
      <c r="CQ597" s="1120">
        <f t="shared" si="744"/>
        <v>0.85</v>
      </c>
      <c r="CR597" s="1120">
        <f t="shared" si="745"/>
        <v>0.85</v>
      </c>
      <c r="CS597" s="1120">
        <f t="shared" si="746"/>
        <v>0.85</v>
      </c>
      <c r="CT597" s="1120">
        <f t="shared" si="747"/>
        <v>0.85</v>
      </c>
      <c r="CU597" s="1120">
        <v>1</v>
      </c>
      <c r="CV597" s="1120"/>
      <c r="CW597" s="1120">
        <f t="shared" si="748"/>
        <v>183</v>
      </c>
      <c r="CX597" s="1120">
        <f t="shared" si="749"/>
        <v>182</v>
      </c>
      <c r="CY597" s="1135" t="s">
        <v>4881</v>
      </c>
      <c r="CZ597" s="1124" t="s">
        <v>4885</v>
      </c>
      <c r="DA597" s="1124"/>
      <c r="DB597" s="1124"/>
      <c r="DC597" s="1120" t="s">
        <v>5442</v>
      </c>
      <c r="DD597" s="1120" t="s">
        <v>589</v>
      </c>
      <c r="DE597" s="1120" t="str">
        <f t="shared" si="750"/>
        <v/>
      </c>
      <c r="DF597" s="1133">
        <v>1</v>
      </c>
      <c r="DG597" s="1125">
        <v>0</v>
      </c>
    </row>
    <row r="598" spans="1:111">
      <c r="A598" s="1120" t="s">
        <v>3914</v>
      </c>
      <c r="B598" s="1125" t="s">
        <v>4626</v>
      </c>
      <c r="C598" s="1125" t="s">
        <v>4627</v>
      </c>
      <c r="D598" s="1125" t="s">
        <v>1278</v>
      </c>
      <c r="E598" s="1125">
        <v>672</v>
      </c>
      <c r="F598" s="1125">
        <v>-87.9</v>
      </c>
      <c r="G598" s="1125">
        <v>42.95</v>
      </c>
      <c r="H598" s="1125">
        <v>-6</v>
      </c>
      <c r="I598" s="1126">
        <v>1.7600013732910149</v>
      </c>
      <c r="J598" s="1126">
        <v>86.719999313354492</v>
      </c>
      <c r="K598" s="1127">
        <v>72.680000686645513</v>
      </c>
      <c r="L598" s="1125">
        <v>7113.6</v>
      </c>
      <c r="M598" s="1125">
        <v>604.80000000000007</v>
      </c>
      <c r="N598" s="1128">
        <v>18.5</v>
      </c>
      <c r="O598" s="1128">
        <v>21.740000343322755</v>
      </c>
      <c r="P598" s="1128">
        <v>34.880000042915341</v>
      </c>
      <c r="Q598" s="1128">
        <v>45.320000171661377</v>
      </c>
      <c r="R598" s="1128">
        <v>55.219999313354492</v>
      </c>
      <c r="S598" s="1128">
        <v>65.3</v>
      </c>
      <c r="T598" s="1128">
        <v>71.060001373291016</v>
      </c>
      <c r="U598" s="1128">
        <v>70.16000137329101</v>
      </c>
      <c r="V598" s="1128">
        <v>63.139998626708987</v>
      </c>
      <c r="W598" s="1128">
        <v>50</v>
      </c>
      <c r="X598" s="1128">
        <v>37.76000008583069</v>
      </c>
      <c r="Y598" s="1128">
        <v>24.259999656677245</v>
      </c>
      <c r="Z598" s="1128">
        <v>46.577534330642386</v>
      </c>
      <c r="AA598" s="1128">
        <f t="shared" si="676"/>
        <v>43.085151878798037</v>
      </c>
      <c r="AB598" s="1128">
        <f t="shared" si="677"/>
        <v>41.397879595289801</v>
      </c>
      <c r="AC598" s="1128">
        <f t="shared" si="678"/>
        <v>42.624756602245675</v>
      </c>
      <c r="AD598" s="1128">
        <f t="shared" si="679"/>
        <v>46.445978501055627</v>
      </c>
      <c r="AE598" s="1128">
        <f t="shared" si="680"/>
        <v>51.865484916982894</v>
      </c>
      <c r="AF598" s="1128">
        <f t="shared" si="681"/>
        <v>57.470597985594118</v>
      </c>
      <c r="AG598" s="1128">
        <f t="shared" si="682"/>
        <v>61.800258608148788</v>
      </c>
      <c r="AH598" s="1128">
        <f t="shared" si="683"/>
        <v>63.725874021288163</v>
      </c>
      <c r="AI598" s="1128">
        <f t="shared" si="684"/>
        <v>62.745502892945709</v>
      </c>
      <c r="AJ598" s="1128">
        <f t="shared" si="685"/>
        <v>59.114694065700284</v>
      </c>
      <c r="AK598" s="1128">
        <f t="shared" si="686"/>
        <v>53.779873812831113</v>
      </c>
      <c r="AL598" s="1128">
        <f t="shared" si="687"/>
        <v>48.131645245317173</v>
      </c>
      <c r="AM598" s="1125">
        <f t="shared" si="688"/>
        <v>1</v>
      </c>
      <c r="AN598" s="1125">
        <f t="shared" si="689"/>
        <v>1</v>
      </c>
      <c r="AO598" s="1125">
        <f t="shared" si="690"/>
        <v>1</v>
      </c>
      <c r="AP598" s="1125">
        <f t="shared" si="691"/>
        <v>1</v>
      </c>
      <c r="AQ598" s="1125">
        <f t="shared" si="692"/>
        <v>1</v>
      </c>
      <c r="AR598" s="1125">
        <f t="shared" si="693"/>
        <v>1</v>
      </c>
      <c r="AS598" s="1125">
        <f t="shared" si="694"/>
        <v>0</v>
      </c>
      <c r="AT598" s="1125">
        <f t="shared" si="695"/>
        <v>0</v>
      </c>
      <c r="AU598" s="1125">
        <f t="shared" si="696"/>
        <v>1</v>
      </c>
      <c r="AV598" s="1125">
        <f t="shared" si="697"/>
        <v>1</v>
      </c>
      <c r="AW598" s="1125">
        <f t="shared" si="698"/>
        <v>1</v>
      </c>
      <c r="AX598" s="1125">
        <f t="shared" si="699"/>
        <v>1</v>
      </c>
      <c r="AY598" s="1125">
        <f t="shared" si="700"/>
        <v>0</v>
      </c>
      <c r="AZ598" s="1125">
        <f t="shared" si="701"/>
        <v>0</v>
      </c>
      <c r="BA598" s="1125">
        <f t="shared" si="702"/>
        <v>0</v>
      </c>
      <c r="BB598" s="1125">
        <f t="shared" si="703"/>
        <v>0</v>
      </c>
      <c r="BC598" s="1125">
        <f t="shared" si="704"/>
        <v>0</v>
      </c>
      <c r="BD598" s="1125">
        <f t="shared" si="705"/>
        <v>0</v>
      </c>
      <c r="BE598" s="1125">
        <f t="shared" si="706"/>
        <v>1</v>
      </c>
      <c r="BF598" s="1125">
        <f t="shared" si="707"/>
        <v>1</v>
      </c>
      <c r="BG598" s="1125">
        <f t="shared" si="708"/>
        <v>0</v>
      </c>
      <c r="BH598" s="1125">
        <f t="shared" si="709"/>
        <v>0</v>
      </c>
      <c r="BI598" s="1125">
        <f t="shared" si="710"/>
        <v>0</v>
      </c>
      <c r="BJ598" s="1125">
        <f t="shared" si="711"/>
        <v>0</v>
      </c>
      <c r="BK598" s="1125">
        <f t="shared" si="712"/>
        <v>1</v>
      </c>
      <c r="BL598" s="1125">
        <f t="shared" si="713"/>
        <v>1</v>
      </c>
      <c r="BM598" s="1125">
        <f t="shared" si="714"/>
        <v>1</v>
      </c>
      <c r="BN598" s="1125">
        <f t="shared" si="715"/>
        <v>1</v>
      </c>
      <c r="BO598" s="1125">
        <f t="shared" si="716"/>
        <v>1</v>
      </c>
      <c r="BP598" s="1125">
        <f t="shared" si="717"/>
        <v>1</v>
      </c>
      <c r="BQ598" s="1125">
        <f t="shared" si="718"/>
        <v>1</v>
      </c>
      <c r="BR598" s="1125">
        <f t="shared" si="719"/>
        <v>0</v>
      </c>
      <c r="BS598" s="1125">
        <f t="shared" si="720"/>
        <v>1</v>
      </c>
      <c r="BT598" s="1125">
        <f t="shared" si="721"/>
        <v>1</v>
      </c>
      <c r="BU598" s="1125">
        <f t="shared" si="722"/>
        <v>1</v>
      </c>
      <c r="BV598" s="1125">
        <f t="shared" si="723"/>
        <v>1</v>
      </c>
      <c r="BW598" s="1125">
        <f t="shared" si="724"/>
        <v>0</v>
      </c>
      <c r="BX598" s="1125">
        <f t="shared" si="725"/>
        <v>0</v>
      </c>
      <c r="BY598" s="1125">
        <f t="shared" si="726"/>
        <v>0</v>
      </c>
      <c r="BZ598" s="1125">
        <f t="shared" si="727"/>
        <v>0</v>
      </c>
      <c r="CA598" s="1125">
        <f t="shared" si="728"/>
        <v>0</v>
      </c>
      <c r="CB598" s="1125">
        <f t="shared" si="729"/>
        <v>1</v>
      </c>
      <c r="CC598" s="1125">
        <f t="shared" si="730"/>
        <v>1</v>
      </c>
      <c r="CD598" s="1125">
        <f t="shared" si="731"/>
        <v>1</v>
      </c>
      <c r="CE598" s="1125">
        <f t="shared" si="732"/>
        <v>1</v>
      </c>
      <c r="CF598" s="1125">
        <f t="shared" si="733"/>
        <v>0</v>
      </c>
      <c r="CG598" s="1125">
        <f t="shared" si="734"/>
        <v>0</v>
      </c>
      <c r="CH598" s="1125">
        <f t="shared" si="735"/>
        <v>0</v>
      </c>
      <c r="CI598" s="1125">
        <f t="shared" si="736"/>
        <v>0.85</v>
      </c>
      <c r="CJ598" s="1125">
        <f t="shared" si="737"/>
        <v>0.85</v>
      </c>
      <c r="CK598" s="1125">
        <f t="shared" si="738"/>
        <v>0.85</v>
      </c>
      <c r="CL598" s="1125">
        <f t="shared" si="739"/>
        <v>0.85</v>
      </c>
      <c r="CM598" s="1125">
        <f t="shared" si="740"/>
        <v>0.85</v>
      </c>
      <c r="CN598" s="1125">
        <f t="shared" si="741"/>
        <v>0.85</v>
      </c>
      <c r="CO598" s="1125">
        <f t="shared" si="742"/>
        <v>0.85</v>
      </c>
      <c r="CP598" s="1125">
        <f t="shared" si="743"/>
        <v>0.7</v>
      </c>
      <c r="CQ598" s="1125">
        <f t="shared" si="744"/>
        <v>0.85</v>
      </c>
      <c r="CR598" s="1125">
        <f t="shared" si="745"/>
        <v>0.85</v>
      </c>
      <c r="CS598" s="1125">
        <f t="shared" si="746"/>
        <v>0.85</v>
      </c>
      <c r="CT598" s="1125">
        <f t="shared" si="747"/>
        <v>0.85</v>
      </c>
      <c r="CU598" s="1125">
        <v>1</v>
      </c>
      <c r="CV598" s="1125"/>
      <c r="CW598" s="1125">
        <f t="shared" si="748"/>
        <v>122</v>
      </c>
      <c r="CX598" s="1125">
        <f t="shared" si="749"/>
        <v>243</v>
      </c>
      <c r="CY598" s="1135" t="s">
        <v>4889</v>
      </c>
      <c r="CZ598" s="1124" t="s">
        <v>4899</v>
      </c>
      <c r="DA598" s="1124"/>
      <c r="DB598" s="1124"/>
      <c r="DC598" s="1120" t="s">
        <v>5681</v>
      </c>
      <c r="DD598" s="1120" t="s">
        <v>1278</v>
      </c>
      <c r="DE598" s="1120" t="str">
        <f t="shared" si="750"/>
        <v/>
      </c>
      <c r="DF598" s="1133">
        <v>0</v>
      </c>
      <c r="DG598" s="1120">
        <v>0</v>
      </c>
    </row>
    <row r="599" spans="1:111">
      <c r="A599" s="1125" t="s">
        <v>3916</v>
      </c>
      <c r="B599" s="1125" t="s">
        <v>1197</v>
      </c>
      <c r="C599" s="1125" t="s">
        <v>1198</v>
      </c>
      <c r="D599" s="1125" t="s">
        <v>953</v>
      </c>
      <c r="E599" s="1125">
        <v>699</v>
      </c>
      <c r="F599" s="1125">
        <v>-152.28</v>
      </c>
      <c r="G599" s="1125">
        <v>63.88</v>
      </c>
      <c r="H599" s="1125">
        <v>-9</v>
      </c>
      <c r="I599" s="1126">
        <v>-36.039998626708986</v>
      </c>
      <c r="J599" s="1126">
        <v>73.219999313354492</v>
      </c>
      <c r="K599" s="1127">
        <v>57.380000686645509</v>
      </c>
      <c r="L599" s="1125">
        <v>12477.6</v>
      </c>
      <c r="M599" s="1125">
        <v>48.6</v>
      </c>
      <c r="N599" s="1128">
        <v>-5.8000000000000007</v>
      </c>
      <c r="O599" s="1128">
        <v>12.2</v>
      </c>
      <c r="P599" s="1128">
        <v>21.559999656677245</v>
      </c>
      <c r="Q599" s="1128">
        <v>42.8</v>
      </c>
      <c r="R599" s="1128">
        <v>45.5</v>
      </c>
      <c r="S599" s="1128">
        <v>60.619999313354491</v>
      </c>
      <c r="T599" s="1128">
        <v>58.280000686645508</v>
      </c>
      <c r="U599" s="1128">
        <v>55.4</v>
      </c>
      <c r="V599" s="1128">
        <v>37.579999828338622</v>
      </c>
      <c r="W599" s="1128">
        <v>32.180000002682206</v>
      </c>
      <c r="X599" s="1128">
        <v>11.119999313354493</v>
      </c>
      <c r="Y599" s="1128">
        <v>-7.9600013732910169</v>
      </c>
      <c r="Z599" s="1128">
        <v>30.35386279946729</v>
      </c>
      <c r="AA599" s="1128">
        <f t="shared" si="676"/>
        <v>32</v>
      </c>
      <c r="AB599" s="1128">
        <f t="shared" si="677"/>
        <v>32</v>
      </c>
      <c r="AC599" s="1128">
        <f t="shared" si="678"/>
        <v>32</v>
      </c>
      <c r="AD599" s="1128">
        <f t="shared" si="679"/>
        <v>32</v>
      </c>
      <c r="AE599" s="1128">
        <f t="shared" si="680"/>
        <v>33.315775482192265</v>
      </c>
      <c r="AF599" s="1128">
        <f t="shared" si="681"/>
        <v>37.912964875112259</v>
      </c>
      <c r="AG599" s="1128">
        <f t="shared" si="682"/>
        <v>42.10375028552513</v>
      </c>
      <c r="AH599" s="1128">
        <f t="shared" si="683"/>
        <v>44.795738914248716</v>
      </c>
      <c r="AI599" s="1128">
        <f t="shared" si="684"/>
        <v>45.287222440405699</v>
      </c>
      <c r="AJ599" s="1128">
        <f t="shared" si="685"/>
        <v>43.450088108912873</v>
      </c>
      <c r="AK599" s="1128">
        <f t="shared" si="686"/>
        <v>39.76321329437085</v>
      </c>
      <c r="AL599" s="1128">
        <f t="shared" si="687"/>
        <v>35.187638733650743</v>
      </c>
      <c r="AM599" s="1125">
        <f t="shared" si="688"/>
        <v>1</v>
      </c>
      <c r="AN599" s="1125">
        <f t="shared" si="689"/>
        <v>1</v>
      </c>
      <c r="AO599" s="1125">
        <f t="shared" si="690"/>
        <v>1</v>
      </c>
      <c r="AP599" s="1125">
        <f t="shared" si="691"/>
        <v>1</v>
      </c>
      <c r="AQ599" s="1125">
        <f t="shared" si="692"/>
        <v>1</v>
      </c>
      <c r="AR599" s="1125">
        <f t="shared" si="693"/>
        <v>1</v>
      </c>
      <c r="AS599" s="1125">
        <f t="shared" si="694"/>
        <v>1</v>
      </c>
      <c r="AT599" s="1125">
        <f t="shared" si="695"/>
        <v>1</v>
      </c>
      <c r="AU599" s="1125">
        <f t="shared" si="696"/>
        <v>1</v>
      </c>
      <c r="AV599" s="1125">
        <f t="shared" si="697"/>
        <v>1</v>
      </c>
      <c r="AW599" s="1125">
        <f t="shared" si="698"/>
        <v>1</v>
      </c>
      <c r="AX599" s="1125">
        <f t="shared" si="699"/>
        <v>1</v>
      </c>
      <c r="AY599" s="1125">
        <f t="shared" si="700"/>
        <v>0</v>
      </c>
      <c r="AZ599" s="1125">
        <f t="shared" si="701"/>
        <v>0</v>
      </c>
      <c r="BA599" s="1125">
        <f t="shared" si="702"/>
        <v>0</v>
      </c>
      <c r="BB599" s="1125">
        <f t="shared" si="703"/>
        <v>0</v>
      </c>
      <c r="BC599" s="1125">
        <f t="shared" si="704"/>
        <v>0</v>
      </c>
      <c r="BD599" s="1125">
        <f t="shared" si="705"/>
        <v>0</v>
      </c>
      <c r="BE599" s="1125">
        <f t="shared" si="706"/>
        <v>1</v>
      </c>
      <c r="BF599" s="1125">
        <f t="shared" si="707"/>
        <v>1</v>
      </c>
      <c r="BG599" s="1125">
        <f t="shared" si="708"/>
        <v>0</v>
      </c>
      <c r="BH599" s="1125">
        <f t="shared" si="709"/>
        <v>0</v>
      </c>
      <c r="BI599" s="1125">
        <f t="shared" si="710"/>
        <v>0</v>
      </c>
      <c r="BJ599" s="1125">
        <f t="shared" si="711"/>
        <v>0</v>
      </c>
      <c r="BK599" s="1125">
        <f t="shared" si="712"/>
        <v>1</v>
      </c>
      <c r="BL599" s="1125">
        <f t="shared" si="713"/>
        <v>1</v>
      </c>
      <c r="BM599" s="1125">
        <f t="shared" si="714"/>
        <v>1</v>
      </c>
      <c r="BN599" s="1125">
        <f t="shared" si="715"/>
        <v>1</v>
      </c>
      <c r="BO599" s="1125">
        <f t="shared" si="716"/>
        <v>1</v>
      </c>
      <c r="BP599" s="1125">
        <f t="shared" si="717"/>
        <v>1</v>
      </c>
      <c r="BQ599" s="1125">
        <f t="shared" si="718"/>
        <v>1</v>
      </c>
      <c r="BR599" s="1125">
        <f t="shared" si="719"/>
        <v>1</v>
      </c>
      <c r="BS599" s="1125">
        <f t="shared" si="720"/>
        <v>1</v>
      </c>
      <c r="BT599" s="1125">
        <f t="shared" si="721"/>
        <v>1</v>
      </c>
      <c r="BU599" s="1125">
        <f t="shared" si="722"/>
        <v>1</v>
      </c>
      <c r="BV599" s="1125">
        <f t="shared" si="723"/>
        <v>1</v>
      </c>
      <c r="BW599" s="1125">
        <f t="shared" si="724"/>
        <v>0</v>
      </c>
      <c r="BX599" s="1125">
        <f t="shared" si="725"/>
        <v>0</v>
      </c>
      <c r="BY599" s="1125">
        <f t="shared" si="726"/>
        <v>0</v>
      </c>
      <c r="BZ599" s="1125">
        <f t="shared" si="727"/>
        <v>0</v>
      </c>
      <c r="CA599" s="1125">
        <f t="shared" si="728"/>
        <v>0</v>
      </c>
      <c r="CB599" s="1125">
        <f t="shared" si="729"/>
        <v>0</v>
      </c>
      <c r="CC599" s="1125">
        <f t="shared" si="730"/>
        <v>1</v>
      </c>
      <c r="CD599" s="1125">
        <f t="shared" si="731"/>
        <v>1</v>
      </c>
      <c r="CE599" s="1125">
        <f t="shared" si="732"/>
        <v>0</v>
      </c>
      <c r="CF599" s="1125">
        <f t="shared" si="733"/>
        <v>0</v>
      </c>
      <c r="CG599" s="1125">
        <f t="shared" si="734"/>
        <v>0</v>
      </c>
      <c r="CH599" s="1125">
        <f t="shared" si="735"/>
        <v>0</v>
      </c>
      <c r="CI599" s="1125">
        <f t="shared" si="736"/>
        <v>0.85</v>
      </c>
      <c r="CJ599" s="1125">
        <f t="shared" si="737"/>
        <v>0.85</v>
      </c>
      <c r="CK599" s="1125">
        <f t="shared" si="738"/>
        <v>0.85</v>
      </c>
      <c r="CL599" s="1125">
        <f t="shared" si="739"/>
        <v>0.85</v>
      </c>
      <c r="CM599" s="1125">
        <f t="shared" si="740"/>
        <v>0.85</v>
      </c>
      <c r="CN599" s="1125">
        <f t="shared" si="741"/>
        <v>0.85</v>
      </c>
      <c r="CO599" s="1125">
        <f t="shared" si="742"/>
        <v>0.85</v>
      </c>
      <c r="CP599" s="1125">
        <f t="shared" si="743"/>
        <v>0.85</v>
      </c>
      <c r="CQ599" s="1125">
        <f t="shared" si="744"/>
        <v>0.85</v>
      </c>
      <c r="CR599" s="1125">
        <f t="shared" si="745"/>
        <v>0.85</v>
      </c>
      <c r="CS599" s="1125">
        <f t="shared" si="746"/>
        <v>0.85</v>
      </c>
      <c r="CT599" s="1125">
        <f t="shared" si="747"/>
        <v>0.85</v>
      </c>
      <c r="CU599" s="1125">
        <v>1</v>
      </c>
      <c r="CV599" s="1125"/>
      <c r="CW599" s="1125">
        <f t="shared" si="748"/>
        <v>62</v>
      </c>
      <c r="CX599" s="1125">
        <f t="shared" si="749"/>
        <v>303</v>
      </c>
      <c r="CY599" s="1136" t="s">
        <v>4880</v>
      </c>
      <c r="CZ599" s="1129">
        <v>8</v>
      </c>
      <c r="DA599" s="1129"/>
      <c r="DB599" s="1129"/>
      <c r="DC599" s="1125" t="s">
        <v>4948</v>
      </c>
      <c r="DD599" s="1125" t="s">
        <v>953</v>
      </c>
      <c r="DE599" s="1125" t="str">
        <f t="shared" si="750"/>
        <v/>
      </c>
      <c r="DF599" s="1125">
        <v>0</v>
      </c>
      <c r="DG599" s="1125">
        <v>0</v>
      </c>
    </row>
    <row r="600" spans="1:111">
      <c r="A600" s="1120" t="s">
        <v>3918</v>
      </c>
      <c r="B600" s="1120" t="s">
        <v>4434</v>
      </c>
      <c r="C600" s="1120" t="s">
        <v>4435</v>
      </c>
      <c r="D600" s="1120" t="s">
        <v>228</v>
      </c>
      <c r="E600" s="1120">
        <v>932</v>
      </c>
      <c r="F600" s="1120">
        <v>-98.07</v>
      </c>
      <c r="G600" s="1120">
        <v>32.78</v>
      </c>
      <c r="H600" s="1120">
        <v>-6</v>
      </c>
      <c r="I600" s="1121">
        <v>24.079999828338622</v>
      </c>
      <c r="J600" s="1121">
        <v>102.37999725341797</v>
      </c>
      <c r="K600" s="1122">
        <v>75.380000686645502</v>
      </c>
      <c r="L600" s="1120">
        <v>2329.2000000000003</v>
      </c>
      <c r="M600" s="1120">
        <v>2498.4</v>
      </c>
      <c r="N600" s="1123">
        <v>41.9</v>
      </c>
      <c r="O600" s="1123">
        <v>55.219999313354492</v>
      </c>
      <c r="P600" s="1123">
        <v>52.7</v>
      </c>
      <c r="Q600" s="1123">
        <v>64.580000686645505</v>
      </c>
      <c r="R600" s="1123">
        <v>71.239998626708982</v>
      </c>
      <c r="S600" s="1123">
        <v>78.260001373291018</v>
      </c>
      <c r="T600" s="1123">
        <v>85.1</v>
      </c>
      <c r="U600" s="1123">
        <v>84.2</v>
      </c>
      <c r="V600" s="1123">
        <v>73.400000000000006</v>
      </c>
      <c r="W600" s="1123">
        <v>68.900000000000006</v>
      </c>
      <c r="X600" s="1123">
        <v>54.859999656677246</v>
      </c>
      <c r="Y600" s="1123">
        <v>47.659999656677243</v>
      </c>
      <c r="Z600" s="1123">
        <v>64.881808161800862</v>
      </c>
      <c r="AA600" s="1123">
        <f t="shared" si="676"/>
        <v>58.11756282083077</v>
      </c>
      <c r="AB600" s="1123">
        <f t="shared" si="677"/>
        <v>58.21944417868977</v>
      </c>
      <c r="AC600" s="1123">
        <f t="shared" si="678"/>
        <v>61.621965841682268</v>
      </c>
      <c r="AD600" s="1123">
        <f t="shared" si="679"/>
        <v>67.438208103903293</v>
      </c>
      <c r="AE600" s="1123">
        <f t="shared" si="680"/>
        <v>74.152077788698534</v>
      </c>
      <c r="AF600" s="1123">
        <f t="shared" si="681"/>
        <v>80.013501298862465</v>
      </c>
      <c r="AG600" s="1123">
        <f t="shared" si="682"/>
        <v>83.494608269200384</v>
      </c>
      <c r="AH600" s="1123">
        <f t="shared" si="683"/>
        <v>83.687994522411458</v>
      </c>
      <c r="AI600" s="1123">
        <f t="shared" si="684"/>
        <v>80.543250951423857</v>
      </c>
      <c r="AJ600" s="1123">
        <f t="shared" si="685"/>
        <v>74.880103429980835</v>
      </c>
      <c r="AK600" s="1123">
        <f t="shared" si="686"/>
        <v>68.174738631291532</v>
      </c>
      <c r="AL600" s="1123">
        <f t="shared" si="687"/>
        <v>62.175013222933742</v>
      </c>
      <c r="AM600" s="1120">
        <f t="shared" si="688"/>
        <v>1</v>
      </c>
      <c r="AN600" s="1120">
        <f t="shared" si="689"/>
        <v>1</v>
      </c>
      <c r="AO600" s="1120">
        <f t="shared" si="690"/>
        <v>1</v>
      </c>
      <c r="AP600" s="1120">
        <f t="shared" si="691"/>
        <v>1</v>
      </c>
      <c r="AQ600" s="1120">
        <f t="shared" si="692"/>
        <v>0</v>
      </c>
      <c r="AR600" s="1120">
        <f t="shared" si="693"/>
        <v>0</v>
      </c>
      <c r="AS600" s="1120">
        <f t="shared" si="694"/>
        <v>0</v>
      </c>
      <c r="AT600" s="1120">
        <f t="shared" si="695"/>
        <v>0</v>
      </c>
      <c r="AU600" s="1120">
        <f t="shared" si="696"/>
        <v>0</v>
      </c>
      <c r="AV600" s="1120">
        <f t="shared" si="697"/>
        <v>0</v>
      </c>
      <c r="AW600" s="1120">
        <f t="shared" si="698"/>
        <v>1</v>
      </c>
      <c r="AX600" s="1120">
        <f t="shared" si="699"/>
        <v>1</v>
      </c>
      <c r="AY600" s="1120">
        <f t="shared" si="700"/>
        <v>0</v>
      </c>
      <c r="AZ600" s="1120">
        <f t="shared" si="701"/>
        <v>0</v>
      </c>
      <c r="BA600" s="1120">
        <f t="shared" si="702"/>
        <v>0</v>
      </c>
      <c r="BB600" s="1120">
        <f t="shared" si="703"/>
        <v>0</v>
      </c>
      <c r="BC600" s="1120">
        <f t="shared" si="704"/>
        <v>1</v>
      </c>
      <c r="BD600" s="1120">
        <f t="shared" si="705"/>
        <v>1</v>
      </c>
      <c r="BE600" s="1120">
        <f t="shared" si="706"/>
        <v>1</v>
      </c>
      <c r="BF600" s="1120">
        <f t="shared" si="707"/>
        <v>1</v>
      </c>
      <c r="BG600" s="1120">
        <f t="shared" si="708"/>
        <v>1</v>
      </c>
      <c r="BH600" s="1120">
        <f t="shared" si="709"/>
        <v>1</v>
      </c>
      <c r="BI600" s="1120">
        <f t="shared" si="710"/>
        <v>0</v>
      </c>
      <c r="BJ600" s="1120">
        <f t="shared" si="711"/>
        <v>0</v>
      </c>
      <c r="BK600" s="1120">
        <f t="shared" si="712"/>
        <v>1</v>
      </c>
      <c r="BL600" s="1120">
        <f t="shared" si="713"/>
        <v>1</v>
      </c>
      <c r="BM600" s="1120">
        <f t="shared" si="714"/>
        <v>1</v>
      </c>
      <c r="BN600" s="1120">
        <f t="shared" si="715"/>
        <v>1</v>
      </c>
      <c r="BO600" s="1120">
        <f t="shared" si="716"/>
        <v>1</v>
      </c>
      <c r="BP600" s="1120">
        <f t="shared" si="717"/>
        <v>0</v>
      </c>
      <c r="BQ600" s="1120">
        <f t="shared" si="718"/>
        <v>0</v>
      </c>
      <c r="BR600" s="1120">
        <f t="shared" si="719"/>
        <v>0</v>
      </c>
      <c r="BS600" s="1120">
        <f t="shared" si="720"/>
        <v>0</v>
      </c>
      <c r="BT600" s="1120">
        <f t="shared" si="721"/>
        <v>0</v>
      </c>
      <c r="BU600" s="1120">
        <f t="shared" si="722"/>
        <v>1</v>
      </c>
      <c r="BV600" s="1120">
        <f t="shared" si="723"/>
        <v>1</v>
      </c>
      <c r="BW600" s="1120">
        <f t="shared" si="724"/>
        <v>0</v>
      </c>
      <c r="BX600" s="1120">
        <f t="shared" si="725"/>
        <v>0</v>
      </c>
      <c r="BY600" s="1120">
        <f t="shared" si="726"/>
        <v>0</v>
      </c>
      <c r="BZ600" s="1120">
        <f t="shared" si="727"/>
        <v>1</v>
      </c>
      <c r="CA600" s="1120">
        <f t="shared" si="728"/>
        <v>1</v>
      </c>
      <c r="CB600" s="1120">
        <f t="shared" si="729"/>
        <v>1</v>
      </c>
      <c r="CC600" s="1120">
        <f t="shared" si="730"/>
        <v>1</v>
      </c>
      <c r="CD600" s="1120">
        <f t="shared" si="731"/>
        <v>1</v>
      </c>
      <c r="CE600" s="1120">
        <f t="shared" si="732"/>
        <v>1</v>
      </c>
      <c r="CF600" s="1120">
        <f t="shared" si="733"/>
        <v>1</v>
      </c>
      <c r="CG600" s="1120">
        <f t="shared" si="734"/>
        <v>1</v>
      </c>
      <c r="CH600" s="1120">
        <f t="shared" si="735"/>
        <v>0</v>
      </c>
      <c r="CI600" s="1120">
        <f t="shared" si="736"/>
        <v>0.85</v>
      </c>
      <c r="CJ600" s="1120">
        <f t="shared" si="737"/>
        <v>0.85</v>
      </c>
      <c r="CK600" s="1120">
        <f t="shared" si="738"/>
        <v>0.85</v>
      </c>
      <c r="CL600" s="1120">
        <f t="shared" si="739"/>
        <v>0.85</v>
      </c>
      <c r="CM600" s="1120">
        <f t="shared" si="740"/>
        <v>0.85</v>
      </c>
      <c r="CN600" s="1120">
        <f t="shared" si="741"/>
        <v>0.7</v>
      </c>
      <c r="CO600" s="1120">
        <f t="shared" si="742"/>
        <v>0.7</v>
      </c>
      <c r="CP600" s="1120">
        <f t="shared" si="743"/>
        <v>0.7</v>
      </c>
      <c r="CQ600" s="1120">
        <f t="shared" si="744"/>
        <v>0.7</v>
      </c>
      <c r="CR600" s="1120">
        <f t="shared" si="745"/>
        <v>0.7</v>
      </c>
      <c r="CS600" s="1120">
        <f t="shared" si="746"/>
        <v>0.85</v>
      </c>
      <c r="CT600" s="1120">
        <f t="shared" si="747"/>
        <v>0.85</v>
      </c>
      <c r="CU600" s="1120">
        <v>1</v>
      </c>
      <c r="CV600" s="1120"/>
      <c r="CW600" s="1120">
        <f t="shared" si="748"/>
        <v>244</v>
      </c>
      <c r="CX600" s="1120">
        <f t="shared" si="749"/>
        <v>121</v>
      </c>
      <c r="CY600" s="1135" t="s">
        <v>4881</v>
      </c>
      <c r="CZ600" s="1124" t="s">
        <v>4882</v>
      </c>
      <c r="DA600" s="1124"/>
      <c r="DB600" s="1124"/>
      <c r="DC600" s="1120" t="s">
        <v>5607</v>
      </c>
      <c r="DD600" s="1120" t="s">
        <v>228</v>
      </c>
      <c r="DE600" s="1120" t="str">
        <f t="shared" si="750"/>
        <v/>
      </c>
      <c r="DF600" s="1133">
        <v>0</v>
      </c>
      <c r="DG600" s="1120">
        <v>0</v>
      </c>
    </row>
    <row r="601" spans="1:111">
      <c r="A601" s="1125" t="s">
        <v>3920</v>
      </c>
      <c r="B601" s="1120" t="s">
        <v>3811</v>
      </c>
      <c r="C601" s="1120" t="s">
        <v>3812</v>
      </c>
      <c r="D601" s="1120" t="s">
        <v>934</v>
      </c>
      <c r="E601" s="1120">
        <v>869</v>
      </c>
      <c r="F601" s="1120">
        <v>-93.35</v>
      </c>
      <c r="G601" s="1120">
        <v>45.07</v>
      </c>
      <c r="H601" s="1120">
        <v>-6</v>
      </c>
      <c r="I601" s="1121">
        <v>-3.8199993133544932</v>
      </c>
      <c r="J601" s="1121">
        <v>88.16000137329101</v>
      </c>
      <c r="K601" s="1122">
        <v>72.680000686645513</v>
      </c>
      <c r="L601" s="1120">
        <v>8141.4000000000005</v>
      </c>
      <c r="M601" s="1120">
        <v>691.2</v>
      </c>
      <c r="N601" s="1123">
        <v>12.380000686645507</v>
      </c>
      <c r="O601" s="1123">
        <v>14.9</v>
      </c>
      <c r="P601" s="1123">
        <v>30.559999978542329</v>
      </c>
      <c r="Q601" s="1123">
        <v>47.3</v>
      </c>
      <c r="R601" s="1123">
        <v>57.2</v>
      </c>
      <c r="S601" s="1123">
        <v>64.760001373291018</v>
      </c>
      <c r="T601" s="1123">
        <v>71.239998626708982</v>
      </c>
      <c r="U601" s="1123">
        <v>69.439998626708984</v>
      </c>
      <c r="V601" s="1123">
        <v>63.5</v>
      </c>
      <c r="W601" s="1123">
        <v>41.179999828338623</v>
      </c>
      <c r="X601" s="1123">
        <v>35.6</v>
      </c>
      <c r="Y601" s="1123">
        <v>18.140000343322754</v>
      </c>
      <c r="Z601" s="1123">
        <v>43.989972553416472</v>
      </c>
      <c r="AA601" s="1123">
        <f t="shared" si="676"/>
        <v>40.29310579995051</v>
      </c>
      <c r="AB601" s="1123">
        <f t="shared" si="677"/>
        <v>38.26463910409332</v>
      </c>
      <c r="AC601" s="1123">
        <f t="shared" si="678"/>
        <v>39.292561264660179</v>
      </c>
      <c r="AD601" s="1123">
        <f t="shared" si="679"/>
        <v>43.108928529739359</v>
      </c>
      <c r="AE601" s="1123">
        <f t="shared" si="680"/>
        <v>48.718945959688185</v>
      </c>
      <c r="AF601" s="1123">
        <f t="shared" si="681"/>
        <v>54.660276058405003</v>
      </c>
      <c r="AG601" s="1123">
        <f t="shared" si="682"/>
        <v>59.384219576990986</v>
      </c>
      <c r="AH601" s="1123">
        <f t="shared" si="683"/>
        <v>61.659407839153488</v>
      </c>
      <c r="AI601" s="1123">
        <f t="shared" si="684"/>
        <v>60.892777962647443</v>
      </c>
      <c r="AJ601" s="1123">
        <f t="shared" si="685"/>
        <v>57.284163838908142</v>
      </c>
      <c r="AK601" s="1123">
        <f t="shared" si="686"/>
        <v>51.774206349715207</v>
      </c>
      <c r="AL601" s="1123">
        <f t="shared" si="687"/>
        <v>45.799160825641891</v>
      </c>
      <c r="AM601" s="1120">
        <f t="shared" si="688"/>
        <v>1</v>
      </c>
      <c r="AN601" s="1120">
        <f t="shared" si="689"/>
        <v>1</v>
      </c>
      <c r="AO601" s="1120">
        <f t="shared" si="690"/>
        <v>1</v>
      </c>
      <c r="AP601" s="1120">
        <f t="shared" si="691"/>
        <v>1</v>
      </c>
      <c r="AQ601" s="1120">
        <f t="shared" si="692"/>
        <v>1</v>
      </c>
      <c r="AR601" s="1120">
        <f t="shared" si="693"/>
        <v>1</v>
      </c>
      <c r="AS601" s="1120">
        <f t="shared" si="694"/>
        <v>0</v>
      </c>
      <c r="AT601" s="1120">
        <f t="shared" si="695"/>
        <v>0</v>
      </c>
      <c r="AU601" s="1120">
        <f t="shared" si="696"/>
        <v>1</v>
      </c>
      <c r="AV601" s="1120">
        <f t="shared" si="697"/>
        <v>1</v>
      </c>
      <c r="AW601" s="1120">
        <f t="shared" si="698"/>
        <v>1</v>
      </c>
      <c r="AX601" s="1120">
        <f t="shared" si="699"/>
        <v>1</v>
      </c>
      <c r="AY601" s="1120">
        <f t="shared" si="700"/>
        <v>0</v>
      </c>
      <c r="AZ601" s="1120">
        <f t="shared" si="701"/>
        <v>0</v>
      </c>
      <c r="BA601" s="1120">
        <f t="shared" si="702"/>
        <v>0</v>
      </c>
      <c r="BB601" s="1120">
        <f t="shared" si="703"/>
        <v>0</v>
      </c>
      <c r="BC601" s="1120">
        <f t="shared" si="704"/>
        <v>0</v>
      </c>
      <c r="BD601" s="1120">
        <f t="shared" si="705"/>
        <v>0</v>
      </c>
      <c r="BE601" s="1120">
        <f t="shared" si="706"/>
        <v>1</v>
      </c>
      <c r="BF601" s="1120">
        <f t="shared" si="707"/>
        <v>1</v>
      </c>
      <c r="BG601" s="1120">
        <f t="shared" si="708"/>
        <v>0</v>
      </c>
      <c r="BH601" s="1120">
        <f t="shared" si="709"/>
        <v>0</v>
      </c>
      <c r="BI601" s="1120">
        <f t="shared" si="710"/>
        <v>0</v>
      </c>
      <c r="BJ601" s="1120">
        <f t="shared" si="711"/>
        <v>0</v>
      </c>
      <c r="BK601" s="1120">
        <f t="shared" si="712"/>
        <v>1</v>
      </c>
      <c r="BL601" s="1120">
        <f t="shared" si="713"/>
        <v>1</v>
      </c>
      <c r="BM601" s="1120">
        <f t="shared" si="714"/>
        <v>1</v>
      </c>
      <c r="BN601" s="1120">
        <f t="shared" si="715"/>
        <v>1</v>
      </c>
      <c r="BO601" s="1120">
        <f t="shared" si="716"/>
        <v>1</v>
      </c>
      <c r="BP601" s="1120">
        <f t="shared" si="717"/>
        <v>1</v>
      </c>
      <c r="BQ601" s="1120">
        <f t="shared" si="718"/>
        <v>1</v>
      </c>
      <c r="BR601" s="1120">
        <f t="shared" si="719"/>
        <v>0</v>
      </c>
      <c r="BS601" s="1120">
        <f t="shared" si="720"/>
        <v>1</v>
      </c>
      <c r="BT601" s="1120">
        <f t="shared" si="721"/>
        <v>1</v>
      </c>
      <c r="BU601" s="1120">
        <f t="shared" si="722"/>
        <v>1</v>
      </c>
      <c r="BV601" s="1120">
        <f t="shared" si="723"/>
        <v>1</v>
      </c>
      <c r="BW601" s="1120">
        <f t="shared" si="724"/>
        <v>0</v>
      </c>
      <c r="BX601" s="1120">
        <f t="shared" si="725"/>
        <v>0</v>
      </c>
      <c r="BY601" s="1120">
        <f t="shared" si="726"/>
        <v>0</v>
      </c>
      <c r="BZ601" s="1120">
        <f t="shared" si="727"/>
        <v>0</v>
      </c>
      <c r="CA601" s="1120">
        <f t="shared" si="728"/>
        <v>0</v>
      </c>
      <c r="CB601" s="1120">
        <f t="shared" si="729"/>
        <v>1</v>
      </c>
      <c r="CC601" s="1120">
        <f t="shared" si="730"/>
        <v>1</v>
      </c>
      <c r="CD601" s="1120">
        <f t="shared" si="731"/>
        <v>1</v>
      </c>
      <c r="CE601" s="1120">
        <f t="shared" si="732"/>
        <v>1</v>
      </c>
      <c r="CF601" s="1120">
        <f t="shared" si="733"/>
        <v>0</v>
      </c>
      <c r="CG601" s="1120">
        <f t="shared" si="734"/>
        <v>0</v>
      </c>
      <c r="CH601" s="1120">
        <f t="shared" si="735"/>
        <v>0</v>
      </c>
      <c r="CI601" s="1120">
        <f t="shared" si="736"/>
        <v>0.85</v>
      </c>
      <c r="CJ601" s="1120">
        <f t="shared" si="737"/>
        <v>0.85</v>
      </c>
      <c r="CK601" s="1120">
        <f t="shared" si="738"/>
        <v>0.85</v>
      </c>
      <c r="CL601" s="1120">
        <f t="shared" si="739"/>
        <v>0.85</v>
      </c>
      <c r="CM601" s="1120">
        <f t="shared" si="740"/>
        <v>0.85</v>
      </c>
      <c r="CN601" s="1120">
        <f t="shared" si="741"/>
        <v>0.85</v>
      </c>
      <c r="CO601" s="1120">
        <f t="shared" si="742"/>
        <v>0.85</v>
      </c>
      <c r="CP601" s="1120">
        <f t="shared" si="743"/>
        <v>0.7</v>
      </c>
      <c r="CQ601" s="1120">
        <f t="shared" si="744"/>
        <v>0.85</v>
      </c>
      <c r="CR601" s="1120">
        <f t="shared" si="745"/>
        <v>0.85</v>
      </c>
      <c r="CS601" s="1120">
        <f t="shared" si="746"/>
        <v>0.85</v>
      </c>
      <c r="CT601" s="1120">
        <f t="shared" si="747"/>
        <v>0.85</v>
      </c>
      <c r="CU601" s="1120">
        <v>1</v>
      </c>
      <c r="CV601" s="1120"/>
      <c r="CW601" s="1120">
        <f t="shared" si="748"/>
        <v>122</v>
      </c>
      <c r="CX601" s="1120">
        <f t="shared" si="749"/>
        <v>243</v>
      </c>
      <c r="CY601" s="1135" t="s">
        <v>4889</v>
      </c>
      <c r="CZ601" s="1124" t="s">
        <v>4899</v>
      </c>
      <c r="DA601" s="1124"/>
      <c r="DB601" s="1124"/>
      <c r="DC601" s="1120" t="s">
        <v>5978</v>
      </c>
      <c r="DD601" s="1120" t="s">
        <v>934</v>
      </c>
      <c r="DE601" s="1120" t="str">
        <f t="shared" si="750"/>
        <v/>
      </c>
      <c r="DF601" s="1133">
        <v>0</v>
      </c>
      <c r="DG601" s="1125">
        <v>0</v>
      </c>
    </row>
    <row r="602" spans="1:111">
      <c r="A602" s="1120" t="s">
        <v>3922</v>
      </c>
      <c r="B602" s="1125" t="s">
        <v>3813</v>
      </c>
      <c r="C602" s="1125" t="s">
        <v>3814</v>
      </c>
      <c r="D602" s="1125" t="s">
        <v>934</v>
      </c>
      <c r="E602" s="1125">
        <v>833</v>
      </c>
      <c r="F602" s="1125">
        <v>-93.23</v>
      </c>
      <c r="G602" s="1125">
        <v>44.88</v>
      </c>
      <c r="H602" s="1125">
        <v>-6</v>
      </c>
      <c r="I602" s="1126">
        <v>-7.6000000000000014</v>
      </c>
      <c r="J602" s="1126">
        <v>87.8</v>
      </c>
      <c r="K602" s="1127">
        <v>72.319999313354487</v>
      </c>
      <c r="L602" s="1125">
        <v>7563.6</v>
      </c>
      <c r="M602" s="1125">
        <v>817.2</v>
      </c>
      <c r="N602" s="1128">
        <v>11.480000686645507</v>
      </c>
      <c r="O602" s="1128">
        <v>23.359999656677246</v>
      </c>
      <c r="P602" s="1128">
        <v>35.6</v>
      </c>
      <c r="Q602" s="1128">
        <v>45.5</v>
      </c>
      <c r="R602" s="1128">
        <v>61.7</v>
      </c>
      <c r="S602" s="1128">
        <v>68.719999313354492</v>
      </c>
      <c r="T602" s="1128">
        <v>74.83999862670899</v>
      </c>
      <c r="U602" s="1128">
        <v>69.080000686645505</v>
      </c>
      <c r="V602" s="1128">
        <v>60.440000343322751</v>
      </c>
      <c r="W602" s="1128">
        <v>46.759999656677245</v>
      </c>
      <c r="X602" s="1128">
        <v>32.540000021457672</v>
      </c>
      <c r="Y602" s="1128">
        <v>19.399999999999999</v>
      </c>
      <c r="Z602" s="1128">
        <v>45.903397178323303</v>
      </c>
      <c r="AA602" s="1128">
        <f t="shared" si="676"/>
        <v>40.72399764884247</v>
      </c>
      <c r="AB602" s="1128">
        <f t="shared" si="677"/>
        <v>38.647245735288017</v>
      </c>
      <c r="AC602" s="1128">
        <f t="shared" si="678"/>
        <v>40.025913978838055</v>
      </c>
      <c r="AD602" s="1128">
        <f t="shared" si="679"/>
        <v>44.500631255890525</v>
      </c>
      <c r="AE602" s="1128">
        <f t="shared" si="680"/>
        <v>50.904993550701143</v>
      </c>
      <c r="AF602" s="1128">
        <f t="shared" si="681"/>
        <v>57.569605136917104</v>
      </c>
      <c r="AG602" s="1128">
        <f t="shared" si="682"/>
        <v>62.757232299817829</v>
      </c>
      <c r="AH602" s="1128">
        <f t="shared" si="683"/>
        <v>65.11564007563878</v>
      </c>
      <c r="AI602" s="1128">
        <f t="shared" si="684"/>
        <v>64.030073133448283</v>
      </c>
      <c r="AJ602" s="1128">
        <f t="shared" si="685"/>
        <v>59.783501225821247</v>
      </c>
      <c r="AK602" s="1128">
        <f t="shared" si="686"/>
        <v>53.482858762134668</v>
      </c>
      <c r="AL602" s="1128">
        <f t="shared" si="687"/>
        <v>46.770505296387874</v>
      </c>
      <c r="AM602" s="1125">
        <f t="shared" si="688"/>
        <v>1</v>
      </c>
      <c r="AN602" s="1125">
        <f t="shared" si="689"/>
        <v>1</v>
      </c>
      <c r="AO602" s="1125">
        <f t="shared" si="690"/>
        <v>1</v>
      </c>
      <c r="AP602" s="1125">
        <f t="shared" si="691"/>
        <v>1</v>
      </c>
      <c r="AQ602" s="1125">
        <f t="shared" si="692"/>
        <v>1</v>
      </c>
      <c r="AR602" s="1125">
        <f t="shared" si="693"/>
        <v>0</v>
      </c>
      <c r="AS602" s="1125">
        <f t="shared" si="694"/>
        <v>0</v>
      </c>
      <c r="AT602" s="1125">
        <f t="shared" si="695"/>
        <v>0</v>
      </c>
      <c r="AU602" s="1125">
        <f t="shared" si="696"/>
        <v>1</v>
      </c>
      <c r="AV602" s="1125">
        <f t="shared" si="697"/>
        <v>1</v>
      </c>
      <c r="AW602" s="1125">
        <f t="shared" si="698"/>
        <v>1</v>
      </c>
      <c r="AX602" s="1125">
        <f t="shared" si="699"/>
        <v>1</v>
      </c>
      <c r="AY602" s="1125">
        <f t="shared" si="700"/>
        <v>0</v>
      </c>
      <c r="AZ602" s="1125">
        <f t="shared" si="701"/>
        <v>0</v>
      </c>
      <c r="BA602" s="1125">
        <f t="shared" si="702"/>
        <v>0</v>
      </c>
      <c r="BB602" s="1125">
        <f t="shared" si="703"/>
        <v>0</v>
      </c>
      <c r="BC602" s="1125">
        <f t="shared" si="704"/>
        <v>0</v>
      </c>
      <c r="BD602" s="1125">
        <f t="shared" si="705"/>
        <v>1</v>
      </c>
      <c r="BE602" s="1125">
        <f t="shared" si="706"/>
        <v>1</v>
      </c>
      <c r="BF602" s="1125">
        <f t="shared" si="707"/>
        <v>1</v>
      </c>
      <c r="BG602" s="1125">
        <f t="shared" si="708"/>
        <v>0</v>
      </c>
      <c r="BH602" s="1125">
        <f t="shared" si="709"/>
        <v>0</v>
      </c>
      <c r="BI602" s="1125">
        <f t="shared" si="710"/>
        <v>0</v>
      </c>
      <c r="BJ602" s="1125">
        <f t="shared" si="711"/>
        <v>0</v>
      </c>
      <c r="BK602" s="1125">
        <f t="shared" si="712"/>
        <v>1</v>
      </c>
      <c r="BL602" s="1125">
        <f t="shared" si="713"/>
        <v>1</v>
      </c>
      <c r="BM602" s="1125">
        <f t="shared" si="714"/>
        <v>1</v>
      </c>
      <c r="BN602" s="1125">
        <f t="shared" si="715"/>
        <v>1</v>
      </c>
      <c r="BO602" s="1125">
        <f t="shared" si="716"/>
        <v>1</v>
      </c>
      <c r="BP602" s="1125">
        <f t="shared" si="717"/>
        <v>1</v>
      </c>
      <c r="BQ602" s="1125">
        <f t="shared" si="718"/>
        <v>0</v>
      </c>
      <c r="BR602" s="1125">
        <f t="shared" si="719"/>
        <v>0</v>
      </c>
      <c r="BS602" s="1125">
        <f t="shared" si="720"/>
        <v>1</v>
      </c>
      <c r="BT602" s="1125">
        <f t="shared" si="721"/>
        <v>1</v>
      </c>
      <c r="BU602" s="1125">
        <f t="shared" si="722"/>
        <v>1</v>
      </c>
      <c r="BV602" s="1125">
        <f t="shared" si="723"/>
        <v>1</v>
      </c>
      <c r="BW602" s="1125">
        <f t="shared" si="724"/>
        <v>0</v>
      </c>
      <c r="BX602" s="1125">
        <f t="shared" si="725"/>
        <v>0</v>
      </c>
      <c r="BY602" s="1125">
        <f t="shared" si="726"/>
        <v>0</v>
      </c>
      <c r="BZ602" s="1125">
        <f t="shared" si="727"/>
        <v>0</v>
      </c>
      <c r="CA602" s="1125">
        <f t="shared" si="728"/>
        <v>1</v>
      </c>
      <c r="CB602" s="1125">
        <f t="shared" si="729"/>
        <v>1</v>
      </c>
      <c r="CC602" s="1125">
        <f t="shared" si="730"/>
        <v>1</v>
      </c>
      <c r="CD602" s="1125">
        <f t="shared" si="731"/>
        <v>1</v>
      </c>
      <c r="CE602" s="1125">
        <f t="shared" si="732"/>
        <v>1</v>
      </c>
      <c r="CF602" s="1125">
        <f t="shared" si="733"/>
        <v>0</v>
      </c>
      <c r="CG602" s="1125">
        <f t="shared" si="734"/>
        <v>0</v>
      </c>
      <c r="CH602" s="1125">
        <f t="shared" si="735"/>
        <v>0</v>
      </c>
      <c r="CI602" s="1125">
        <f t="shared" si="736"/>
        <v>0.85</v>
      </c>
      <c r="CJ602" s="1125">
        <f t="shared" si="737"/>
        <v>0.85</v>
      </c>
      <c r="CK602" s="1125">
        <f t="shared" si="738"/>
        <v>0.85</v>
      </c>
      <c r="CL602" s="1125">
        <f t="shared" si="739"/>
        <v>0.85</v>
      </c>
      <c r="CM602" s="1125">
        <f t="shared" si="740"/>
        <v>0.85</v>
      </c>
      <c r="CN602" s="1125">
        <f t="shared" si="741"/>
        <v>0.85</v>
      </c>
      <c r="CO602" s="1125">
        <f t="shared" si="742"/>
        <v>0.7</v>
      </c>
      <c r="CP602" s="1125">
        <f t="shared" si="743"/>
        <v>0.7</v>
      </c>
      <c r="CQ602" s="1125">
        <f t="shared" si="744"/>
        <v>0.85</v>
      </c>
      <c r="CR602" s="1125">
        <f t="shared" si="745"/>
        <v>0.85</v>
      </c>
      <c r="CS602" s="1125">
        <f t="shared" si="746"/>
        <v>0.85</v>
      </c>
      <c r="CT602" s="1125">
        <f t="shared" si="747"/>
        <v>0.85</v>
      </c>
      <c r="CU602" s="1125">
        <v>1</v>
      </c>
      <c r="CV602" s="1125"/>
      <c r="CW602" s="1125">
        <f t="shared" si="748"/>
        <v>153</v>
      </c>
      <c r="CX602" s="1125">
        <f t="shared" si="749"/>
        <v>212</v>
      </c>
      <c r="CY602" s="1136" t="s">
        <v>4889</v>
      </c>
      <c r="CZ602" s="1129" t="s">
        <v>4899</v>
      </c>
      <c r="DA602" s="1129"/>
      <c r="DB602" s="1129"/>
      <c r="DC602" s="1125" t="s">
        <v>6037</v>
      </c>
      <c r="DD602" s="1125" t="s">
        <v>934</v>
      </c>
      <c r="DE602" s="1120" t="b">
        <f t="shared" si="750"/>
        <v>0</v>
      </c>
      <c r="DF602" s="1133">
        <v>0</v>
      </c>
      <c r="DG602" s="1120">
        <v>0</v>
      </c>
    </row>
    <row r="603" spans="1:111">
      <c r="A603" s="1125" t="s">
        <v>3924</v>
      </c>
      <c r="B603" s="1120" t="s">
        <v>4628</v>
      </c>
      <c r="C603" s="1120" t="s">
        <v>4629</v>
      </c>
      <c r="D603" s="1120" t="s">
        <v>1278</v>
      </c>
      <c r="E603" s="1120">
        <v>1627</v>
      </c>
      <c r="F603" s="1120">
        <v>-89.73</v>
      </c>
      <c r="G603" s="1120">
        <v>45.93</v>
      </c>
      <c r="H603" s="1120">
        <v>-6</v>
      </c>
      <c r="I603" s="1121">
        <v>-16.780000686645508</v>
      </c>
      <c r="J603" s="1121">
        <v>89.060001373291016</v>
      </c>
      <c r="K603" s="1122">
        <v>73.219999313354492</v>
      </c>
      <c r="L603" s="1120">
        <v>8445.6</v>
      </c>
      <c r="M603" s="1120">
        <v>471.6</v>
      </c>
      <c r="N603" s="1123">
        <v>12.380000686645507</v>
      </c>
      <c r="O603" s="1123">
        <v>18.859999656677246</v>
      </c>
      <c r="P603" s="1123">
        <v>25.520000171661376</v>
      </c>
      <c r="Q603" s="1123">
        <v>46.040000343322752</v>
      </c>
      <c r="R603" s="1123">
        <v>56.659999656677243</v>
      </c>
      <c r="S603" s="1123">
        <v>65.3</v>
      </c>
      <c r="T603" s="1123">
        <v>68.900000000000006</v>
      </c>
      <c r="U603" s="1123">
        <v>66.380000686645502</v>
      </c>
      <c r="V603" s="1123">
        <v>57.2</v>
      </c>
      <c r="W603" s="1123">
        <v>48.2</v>
      </c>
      <c r="X603" s="1123">
        <v>32.720000010728839</v>
      </c>
      <c r="Y603" s="1123">
        <v>11.299999999999999</v>
      </c>
      <c r="Z603" s="1123">
        <v>42.562794625367204</v>
      </c>
      <c r="AA603" s="1123">
        <f t="shared" si="676"/>
        <v>39.569482891791615</v>
      </c>
      <c r="AB603" s="1123">
        <f t="shared" si="677"/>
        <v>37.524785159718711</v>
      </c>
      <c r="AC603" s="1123">
        <f t="shared" si="678"/>
        <v>38.357314695741863</v>
      </c>
      <c r="AD603" s="1123">
        <f t="shared" si="679"/>
        <v>41.850059846628135</v>
      </c>
      <c r="AE603" s="1123">
        <f t="shared" si="680"/>
        <v>47.092582763966981</v>
      </c>
      <c r="AF603" s="1123">
        <f t="shared" si="681"/>
        <v>52.718339059630388</v>
      </c>
      <c r="AG603" s="1123">
        <f t="shared" si="682"/>
        <v>57.260888659624925</v>
      </c>
      <c r="AH603" s="1123">
        <f t="shared" si="683"/>
        <v>59.53614600790371</v>
      </c>
      <c r="AI603" s="1123">
        <f t="shared" si="684"/>
        <v>58.951030213860804</v>
      </c>
      <c r="AJ603" s="1123">
        <f t="shared" si="685"/>
        <v>55.658060726120809</v>
      </c>
      <c r="AK603" s="1123">
        <f t="shared" si="686"/>
        <v>50.515600787859043</v>
      </c>
      <c r="AL603" s="1123">
        <f t="shared" si="687"/>
        <v>44.86411182968989</v>
      </c>
      <c r="AM603" s="1120">
        <f t="shared" si="688"/>
        <v>1</v>
      </c>
      <c r="AN603" s="1120">
        <f t="shared" si="689"/>
        <v>1</v>
      </c>
      <c r="AO603" s="1120">
        <f t="shared" si="690"/>
        <v>1</v>
      </c>
      <c r="AP603" s="1120">
        <f t="shared" si="691"/>
        <v>1</v>
      </c>
      <c r="AQ603" s="1120">
        <f t="shared" si="692"/>
        <v>1</v>
      </c>
      <c r="AR603" s="1120">
        <f t="shared" si="693"/>
        <v>1</v>
      </c>
      <c r="AS603" s="1120">
        <f t="shared" si="694"/>
        <v>0</v>
      </c>
      <c r="AT603" s="1120">
        <f t="shared" si="695"/>
        <v>0</v>
      </c>
      <c r="AU603" s="1120">
        <f t="shared" si="696"/>
        <v>1</v>
      </c>
      <c r="AV603" s="1120">
        <f t="shared" si="697"/>
        <v>1</v>
      </c>
      <c r="AW603" s="1120">
        <f t="shared" si="698"/>
        <v>1</v>
      </c>
      <c r="AX603" s="1120">
        <f t="shared" si="699"/>
        <v>1</v>
      </c>
      <c r="AY603" s="1120">
        <f t="shared" si="700"/>
        <v>0</v>
      </c>
      <c r="AZ603" s="1120">
        <f t="shared" si="701"/>
        <v>0</v>
      </c>
      <c r="BA603" s="1120">
        <f t="shared" si="702"/>
        <v>0</v>
      </c>
      <c r="BB603" s="1120">
        <f t="shared" si="703"/>
        <v>0</v>
      </c>
      <c r="BC603" s="1120">
        <f t="shared" si="704"/>
        <v>0</v>
      </c>
      <c r="BD603" s="1120">
        <f t="shared" si="705"/>
        <v>0</v>
      </c>
      <c r="BE603" s="1120">
        <f t="shared" si="706"/>
        <v>1</v>
      </c>
      <c r="BF603" s="1120">
        <f t="shared" si="707"/>
        <v>1</v>
      </c>
      <c r="BG603" s="1120">
        <f t="shared" si="708"/>
        <v>0</v>
      </c>
      <c r="BH603" s="1120">
        <f t="shared" si="709"/>
        <v>0</v>
      </c>
      <c r="BI603" s="1120">
        <f t="shared" si="710"/>
        <v>0</v>
      </c>
      <c r="BJ603" s="1120">
        <f t="shared" si="711"/>
        <v>0</v>
      </c>
      <c r="BK603" s="1120">
        <f t="shared" si="712"/>
        <v>1</v>
      </c>
      <c r="BL603" s="1120">
        <f t="shared" si="713"/>
        <v>1</v>
      </c>
      <c r="BM603" s="1120">
        <f t="shared" si="714"/>
        <v>1</v>
      </c>
      <c r="BN603" s="1120">
        <f t="shared" si="715"/>
        <v>1</v>
      </c>
      <c r="BO603" s="1120">
        <f t="shared" si="716"/>
        <v>1</v>
      </c>
      <c r="BP603" s="1120">
        <f t="shared" si="717"/>
        <v>1</v>
      </c>
      <c r="BQ603" s="1120">
        <f t="shared" si="718"/>
        <v>1</v>
      </c>
      <c r="BR603" s="1120">
        <f t="shared" si="719"/>
        <v>0</v>
      </c>
      <c r="BS603" s="1120">
        <f t="shared" si="720"/>
        <v>1</v>
      </c>
      <c r="BT603" s="1120">
        <f t="shared" si="721"/>
        <v>1</v>
      </c>
      <c r="BU603" s="1120">
        <f t="shared" si="722"/>
        <v>1</v>
      </c>
      <c r="BV603" s="1120">
        <f t="shared" si="723"/>
        <v>1</v>
      </c>
      <c r="BW603" s="1120">
        <f t="shared" si="724"/>
        <v>0</v>
      </c>
      <c r="BX603" s="1120">
        <f t="shared" si="725"/>
        <v>0</v>
      </c>
      <c r="BY603" s="1120">
        <f t="shared" si="726"/>
        <v>0</v>
      </c>
      <c r="BZ603" s="1120">
        <f t="shared" si="727"/>
        <v>0</v>
      </c>
      <c r="CA603" s="1120">
        <f t="shared" si="728"/>
        <v>0</v>
      </c>
      <c r="CB603" s="1120">
        <f t="shared" si="729"/>
        <v>1</v>
      </c>
      <c r="CC603" s="1120">
        <f t="shared" si="730"/>
        <v>1</v>
      </c>
      <c r="CD603" s="1120">
        <f t="shared" si="731"/>
        <v>1</v>
      </c>
      <c r="CE603" s="1120">
        <f t="shared" si="732"/>
        <v>1</v>
      </c>
      <c r="CF603" s="1120">
        <f t="shared" si="733"/>
        <v>0</v>
      </c>
      <c r="CG603" s="1120">
        <f t="shared" si="734"/>
        <v>0</v>
      </c>
      <c r="CH603" s="1120">
        <f t="shared" si="735"/>
        <v>0</v>
      </c>
      <c r="CI603" s="1120">
        <f t="shared" si="736"/>
        <v>0.85</v>
      </c>
      <c r="CJ603" s="1120">
        <f t="shared" si="737"/>
        <v>0.85</v>
      </c>
      <c r="CK603" s="1120">
        <f t="shared" si="738"/>
        <v>0.85</v>
      </c>
      <c r="CL603" s="1120">
        <f t="shared" si="739"/>
        <v>0.85</v>
      </c>
      <c r="CM603" s="1120">
        <f t="shared" si="740"/>
        <v>0.85</v>
      </c>
      <c r="CN603" s="1120">
        <f t="shared" si="741"/>
        <v>0.85</v>
      </c>
      <c r="CO603" s="1120">
        <f t="shared" si="742"/>
        <v>0.85</v>
      </c>
      <c r="CP603" s="1120">
        <f t="shared" si="743"/>
        <v>0.7</v>
      </c>
      <c r="CQ603" s="1120">
        <f t="shared" si="744"/>
        <v>0.85</v>
      </c>
      <c r="CR603" s="1120">
        <f t="shared" si="745"/>
        <v>0.85</v>
      </c>
      <c r="CS603" s="1120">
        <f t="shared" si="746"/>
        <v>0.85</v>
      </c>
      <c r="CT603" s="1120">
        <f t="shared" si="747"/>
        <v>0.85</v>
      </c>
      <c r="CU603" s="1120">
        <v>1</v>
      </c>
      <c r="CV603" s="1120"/>
      <c r="CW603" s="1120">
        <f t="shared" si="748"/>
        <v>122</v>
      </c>
      <c r="CX603" s="1120">
        <f t="shared" si="749"/>
        <v>243</v>
      </c>
      <c r="CY603" s="1136" t="s">
        <v>4879</v>
      </c>
      <c r="CZ603" s="1129">
        <v>7</v>
      </c>
      <c r="DA603" s="1129"/>
      <c r="DB603" s="1129"/>
      <c r="DC603" s="1125" t="s">
        <v>6021</v>
      </c>
      <c r="DD603" s="1125" t="s">
        <v>1278</v>
      </c>
      <c r="DE603" s="1120" t="str">
        <f t="shared" si="750"/>
        <v/>
      </c>
      <c r="DF603" s="1133">
        <v>0</v>
      </c>
      <c r="DG603" s="1125">
        <v>0</v>
      </c>
    </row>
    <row r="604" spans="1:111">
      <c r="A604" s="1120" t="s">
        <v>3926</v>
      </c>
      <c r="B604" s="1120" t="s">
        <v>3982</v>
      </c>
      <c r="C604" s="1120" t="s">
        <v>3983</v>
      </c>
      <c r="D604" s="1120" t="s">
        <v>248</v>
      </c>
      <c r="E604" s="1120">
        <v>1630</v>
      </c>
      <c r="F604" s="1120">
        <v>-101.35</v>
      </c>
      <c r="G604" s="1120">
        <v>48.42</v>
      </c>
      <c r="H604" s="1120">
        <v>-6</v>
      </c>
      <c r="I604" s="1121">
        <v>-17.319999313354494</v>
      </c>
      <c r="J604" s="1121">
        <v>89.239998626708982</v>
      </c>
      <c r="K604" s="1122">
        <v>67.819999313354487</v>
      </c>
      <c r="L604" s="1120">
        <v>8559</v>
      </c>
      <c r="M604" s="1120">
        <v>5.4</v>
      </c>
      <c r="N604" s="1123">
        <v>16.880000686645506</v>
      </c>
      <c r="O604" s="1123">
        <v>19.940000343322755</v>
      </c>
      <c r="P604" s="1123">
        <v>23.179999828338623</v>
      </c>
      <c r="Q604" s="1123">
        <v>37.220000171661376</v>
      </c>
      <c r="R604" s="1123">
        <v>50.180000686645506</v>
      </c>
      <c r="S604" s="1123">
        <v>60.440000343322751</v>
      </c>
      <c r="T604" s="1123">
        <v>69.980000686645511</v>
      </c>
      <c r="U604" s="1123">
        <v>65.119999313354498</v>
      </c>
      <c r="V604" s="1123">
        <v>54.319999313354494</v>
      </c>
      <c r="W604" s="1123">
        <v>42.8</v>
      </c>
      <c r="X604" s="1123">
        <v>36.320000171661377</v>
      </c>
      <c r="Y604" s="1123">
        <v>24.620000171661378</v>
      </c>
      <c r="Z604" s="1123">
        <v>41.870904252561807</v>
      </c>
      <c r="AA604" s="1123">
        <f t="shared" si="676"/>
        <v>39.799767206150449</v>
      </c>
      <c r="AB604" s="1123">
        <f t="shared" si="677"/>
        <v>37.891753253251892</v>
      </c>
      <c r="AC604" s="1123">
        <f t="shared" si="678"/>
        <v>38.58495879169535</v>
      </c>
      <c r="AD604" s="1123">
        <f t="shared" si="679"/>
        <v>41.69868911526482</v>
      </c>
      <c r="AE604" s="1123">
        <f t="shared" si="680"/>
        <v>46.421302431085174</v>
      </c>
      <c r="AF604" s="1123">
        <f t="shared" si="681"/>
        <v>51.521776800713681</v>
      </c>
      <c r="AG604" s="1123">
        <f t="shared" si="682"/>
        <v>55.670594979017409</v>
      </c>
      <c r="AH604" s="1123">
        <f t="shared" si="683"/>
        <v>57.786303572598058</v>
      </c>
      <c r="AI604" s="1123">
        <f t="shared" si="684"/>
        <v>57.317410532482498</v>
      </c>
      <c r="AJ604" s="1123">
        <f t="shared" si="685"/>
        <v>54.386140055437309</v>
      </c>
      <c r="AK604" s="1123">
        <f t="shared" si="686"/>
        <v>49.756572963549736</v>
      </c>
      <c r="AL604" s="1123">
        <f t="shared" si="687"/>
        <v>44.635477263108712</v>
      </c>
      <c r="AM604" s="1120">
        <f t="shared" si="688"/>
        <v>1</v>
      </c>
      <c r="AN604" s="1120">
        <f t="shared" si="689"/>
        <v>1</v>
      </c>
      <c r="AO604" s="1120">
        <f t="shared" si="690"/>
        <v>1</v>
      </c>
      <c r="AP604" s="1120">
        <f t="shared" si="691"/>
        <v>1</v>
      </c>
      <c r="AQ604" s="1120">
        <f t="shared" si="692"/>
        <v>1</v>
      </c>
      <c r="AR604" s="1120">
        <f t="shared" si="693"/>
        <v>1</v>
      </c>
      <c r="AS604" s="1120">
        <f t="shared" si="694"/>
        <v>0</v>
      </c>
      <c r="AT604" s="1120">
        <f t="shared" si="695"/>
        <v>1</v>
      </c>
      <c r="AU604" s="1120">
        <f t="shared" si="696"/>
        <v>1</v>
      </c>
      <c r="AV604" s="1120">
        <f t="shared" si="697"/>
        <v>1</v>
      </c>
      <c r="AW604" s="1120">
        <f t="shared" si="698"/>
        <v>1</v>
      </c>
      <c r="AX604" s="1120">
        <f t="shared" si="699"/>
        <v>1</v>
      </c>
      <c r="AY604" s="1120">
        <f t="shared" si="700"/>
        <v>0</v>
      </c>
      <c r="AZ604" s="1120">
        <f t="shared" si="701"/>
        <v>0</v>
      </c>
      <c r="BA604" s="1120">
        <f t="shared" si="702"/>
        <v>0</v>
      </c>
      <c r="BB604" s="1120">
        <f t="shared" si="703"/>
        <v>0</v>
      </c>
      <c r="BC604" s="1120">
        <f t="shared" si="704"/>
        <v>0</v>
      </c>
      <c r="BD604" s="1120">
        <f t="shared" si="705"/>
        <v>0</v>
      </c>
      <c r="BE604" s="1120">
        <f t="shared" si="706"/>
        <v>1</v>
      </c>
      <c r="BF604" s="1120">
        <f t="shared" si="707"/>
        <v>1</v>
      </c>
      <c r="BG604" s="1120">
        <f t="shared" si="708"/>
        <v>0</v>
      </c>
      <c r="BH604" s="1120">
        <f t="shared" si="709"/>
        <v>0</v>
      </c>
      <c r="BI604" s="1120">
        <f t="shared" si="710"/>
        <v>0</v>
      </c>
      <c r="BJ604" s="1120">
        <f t="shared" si="711"/>
        <v>0</v>
      </c>
      <c r="BK604" s="1120">
        <f t="shared" si="712"/>
        <v>1</v>
      </c>
      <c r="BL604" s="1120">
        <f t="shared" si="713"/>
        <v>1</v>
      </c>
      <c r="BM604" s="1120">
        <f t="shared" si="714"/>
        <v>1</v>
      </c>
      <c r="BN604" s="1120">
        <f t="shared" si="715"/>
        <v>1</v>
      </c>
      <c r="BO604" s="1120">
        <f t="shared" si="716"/>
        <v>1</v>
      </c>
      <c r="BP604" s="1120">
        <f t="shared" si="717"/>
        <v>1</v>
      </c>
      <c r="BQ604" s="1120">
        <f t="shared" si="718"/>
        <v>1</v>
      </c>
      <c r="BR604" s="1120">
        <f t="shared" si="719"/>
        <v>1</v>
      </c>
      <c r="BS604" s="1120">
        <f t="shared" si="720"/>
        <v>1</v>
      </c>
      <c r="BT604" s="1120">
        <f t="shared" si="721"/>
        <v>1</v>
      </c>
      <c r="BU604" s="1120">
        <f t="shared" si="722"/>
        <v>1</v>
      </c>
      <c r="BV604" s="1120">
        <f t="shared" si="723"/>
        <v>1</v>
      </c>
      <c r="BW604" s="1120">
        <f t="shared" si="724"/>
        <v>0</v>
      </c>
      <c r="BX604" s="1120">
        <f t="shared" si="725"/>
        <v>0</v>
      </c>
      <c r="BY604" s="1120">
        <f t="shared" si="726"/>
        <v>0</v>
      </c>
      <c r="BZ604" s="1120">
        <f t="shared" si="727"/>
        <v>0</v>
      </c>
      <c r="CA604" s="1120">
        <f t="shared" si="728"/>
        <v>0</v>
      </c>
      <c r="CB604" s="1120">
        <f t="shared" si="729"/>
        <v>1</v>
      </c>
      <c r="CC604" s="1120">
        <f t="shared" si="730"/>
        <v>1</v>
      </c>
      <c r="CD604" s="1120">
        <f t="shared" si="731"/>
        <v>1</v>
      </c>
      <c r="CE604" s="1120">
        <f t="shared" si="732"/>
        <v>0</v>
      </c>
      <c r="CF604" s="1120">
        <f t="shared" si="733"/>
        <v>0</v>
      </c>
      <c r="CG604" s="1120">
        <f t="shared" si="734"/>
        <v>0</v>
      </c>
      <c r="CH604" s="1120">
        <f t="shared" si="735"/>
        <v>0</v>
      </c>
      <c r="CI604" s="1120">
        <f t="shared" si="736"/>
        <v>0.85</v>
      </c>
      <c r="CJ604" s="1120">
        <f t="shared" si="737"/>
        <v>0.85</v>
      </c>
      <c r="CK604" s="1120">
        <f t="shared" si="738"/>
        <v>0.85</v>
      </c>
      <c r="CL604" s="1120">
        <f t="shared" si="739"/>
        <v>0.85</v>
      </c>
      <c r="CM604" s="1120">
        <f t="shared" si="740"/>
        <v>0.85</v>
      </c>
      <c r="CN604" s="1120">
        <f t="shared" si="741"/>
        <v>0.85</v>
      </c>
      <c r="CO604" s="1120">
        <f t="shared" si="742"/>
        <v>0.85</v>
      </c>
      <c r="CP604" s="1120">
        <f t="shared" si="743"/>
        <v>0.85</v>
      </c>
      <c r="CQ604" s="1120">
        <f t="shared" si="744"/>
        <v>0.85</v>
      </c>
      <c r="CR604" s="1120">
        <f t="shared" si="745"/>
        <v>0.85</v>
      </c>
      <c r="CS604" s="1120">
        <f t="shared" si="746"/>
        <v>0.85</v>
      </c>
      <c r="CT604" s="1120">
        <f t="shared" si="747"/>
        <v>0.85</v>
      </c>
      <c r="CU604" s="1120">
        <v>1</v>
      </c>
      <c r="CV604" s="1120"/>
      <c r="CW604" s="1120">
        <f t="shared" si="748"/>
        <v>92</v>
      </c>
      <c r="CX604" s="1120">
        <f t="shared" si="749"/>
        <v>273</v>
      </c>
      <c r="CY604" s="1135" t="s">
        <v>4879</v>
      </c>
      <c r="CZ604" s="1124">
        <v>7</v>
      </c>
      <c r="DA604" s="1124"/>
      <c r="DB604" s="1124"/>
      <c r="DC604" s="1120" t="s">
        <v>5408</v>
      </c>
      <c r="DD604" s="1120" t="s">
        <v>248</v>
      </c>
      <c r="DE604" s="1120" t="str">
        <f t="shared" si="750"/>
        <v/>
      </c>
      <c r="DF604" s="1133">
        <v>0</v>
      </c>
      <c r="DG604" s="1120">
        <v>0</v>
      </c>
    </row>
    <row r="605" spans="1:111">
      <c r="A605" s="1125" t="s">
        <v>3928</v>
      </c>
      <c r="B605" s="1125" t="s">
        <v>3984</v>
      </c>
      <c r="C605" s="1125" t="s">
        <v>3985</v>
      </c>
      <c r="D605" s="1125" t="s">
        <v>248</v>
      </c>
      <c r="E605" s="1125">
        <v>1715</v>
      </c>
      <c r="F605" s="1125">
        <v>-101.28</v>
      </c>
      <c r="G605" s="1125">
        <v>48.27</v>
      </c>
      <c r="H605" s="1125">
        <v>-6</v>
      </c>
      <c r="I605" s="1126">
        <v>-14.980000686645509</v>
      </c>
      <c r="J605" s="1126">
        <v>87.980000686645511</v>
      </c>
      <c r="K605" s="1127">
        <v>68.180000686645513</v>
      </c>
      <c r="L605" s="1125">
        <v>8733.6</v>
      </c>
      <c r="M605" s="1125">
        <v>478.8</v>
      </c>
      <c r="N605" s="1128">
        <v>9.1400003433227539</v>
      </c>
      <c r="O605" s="1128">
        <v>16.340000343322753</v>
      </c>
      <c r="P605" s="1128">
        <v>22.459999656677248</v>
      </c>
      <c r="Q605" s="1128">
        <v>47.480000686645511</v>
      </c>
      <c r="R605" s="1128">
        <v>56.659999656677243</v>
      </c>
      <c r="S605" s="1128">
        <v>66.019999313354489</v>
      </c>
      <c r="T605" s="1128">
        <v>70.33999862670899</v>
      </c>
      <c r="U605" s="1128">
        <v>66.2</v>
      </c>
      <c r="V605" s="1128">
        <v>57.559999656677249</v>
      </c>
      <c r="W605" s="1128">
        <v>45.5</v>
      </c>
      <c r="X605" s="1128">
        <v>28.4</v>
      </c>
      <c r="Y605" s="1128">
        <v>13.819999313354492</v>
      </c>
      <c r="Z605" s="1128">
        <v>41.778191574828263</v>
      </c>
      <c r="AA605" s="1128">
        <f t="shared" si="676"/>
        <v>38.50964864509853</v>
      </c>
      <c r="AB605" s="1128">
        <f t="shared" si="677"/>
        <v>36.307226089007862</v>
      </c>
      <c r="AC605" s="1128">
        <f t="shared" si="678"/>
        <v>37.094887459725292</v>
      </c>
      <c r="AD605" s="1128">
        <f t="shared" si="679"/>
        <v>40.667316682744179</v>
      </c>
      <c r="AE605" s="1128">
        <f t="shared" si="680"/>
        <v>46.093305028283879</v>
      </c>
      <c r="AF605" s="1128">
        <f t="shared" si="681"/>
        <v>51.958485017068014</v>
      </c>
      <c r="AG605" s="1128">
        <f t="shared" si="682"/>
        <v>56.73400709986042</v>
      </c>
      <c r="AH605" s="1128">
        <f t="shared" si="683"/>
        <v>59.175057852758329</v>
      </c>
      <c r="AI605" s="1128">
        <f t="shared" si="684"/>
        <v>58.645339779288122</v>
      </c>
      <c r="AJ605" s="1128">
        <f t="shared" si="685"/>
        <v>55.282932058502404</v>
      </c>
      <c r="AK605" s="1128">
        <f t="shared" si="686"/>
        <v>49.964298079095435</v>
      </c>
      <c r="AL605" s="1128">
        <f t="shared" si="687"/>
        <v>44.075821750430229</v>
      </c>
      <c r="AM605" s="1125">
        <f t="shared" si="688"/>
        <v>1</v>
      </c>
      <c r="AN605" s="1125">
        <f t="shared" si="689"/>
        <v>1</v>
      </c>
      <c r="AO605" s="1125">
        <f t="shared" si="690"/>
        <v>1</v>
      </c>
      <c r="AP605" s="1125">
        <f t="shared" si="691"/>
        <v>1</v>
      </c>
      <c r="AQ605" s="1125">
        <f t="shared" si="692"/>
        <v>1</v>
      </c>
      <c r="AR605" s="1125">
        <f t="shared" si="693"/>
        <v>0</v>
      </c>
      <c r="AS605" s="1125">
        <f t="shared" si="694"/>
        <v>0</v>
      </c>
      <c r="AT605" s="1125">
        <f t="shared" si="695"/>
        <v>0</v>
      </c>
      <c r="AU605" s="1125">
        <f t="shared" si="696"/>
        <v>1</v>
      </c>
      <c r="AV605" s="1125">
        <f t="shared" si="697"/>
        <v>1</v>
      </c>
      <c r="AW605" s="1125">
        <f t="shared" si="698"/>
        <v>1</v>
      </c>
      <c r="AX605" s="1125">
        <f t="shared" si="699"/>
        <v>1</v>
      </c>
      <c r="AY605" s="1125">
        <f t="shared" si="700"/>
        <v>0</v>
      </c>
      <c r="AZ605" s="1125">
        <f t="shared" si="701"/>
        <v>0</v>
      </c>
      <c r="BA605" s="1125">
        <f t="shared" si="702"/>
        <v>0</v>
      </c>
      <c r="BB605" s="1125">
        <f t="shared" si="703"/>
        <v>0</v>
      </c>
      <c r="BC605" s="1125">
        <f t="shared" si="704"/>
        <v>0</v>
      </c>
      <c r="BD605" s="1125">
        <f t="shared" si="705"/>
        <v>1</v>
      </c>
      <c r="BE605" s="1125">
        <f t="shared" si="706"/>
        <v>1</v>
      </c>
      <c r="BF605" s="1125">
        <f t="shared" si="707"/>
        <v>1</v>
      </c>
      <c r="BG605" s="1125">
        <f t="shared" si="708"/>
        <v>0</v>
      </c>
      <c r="BH605" s="1125">
        <f t="shared" si="709"/>
        <v>0</v>
      </c>
      <c r="BI605" s="1125">
        <f t="shared" si="710"/>
        <v>0</v>
      </c>
      <c r="BJ605" s="1125">
        <f t="shared" si="711"/>
        <v>0</v>
      </c>
      <c r="BK605" s="1125">
        <f t="shared" si="712"/>
        <v>1</v>
      </c>
      <c r="BL605" s="1125">
        <f t="shared" si="713"/>
        <v>1</v>
      </c>
      <c r="BM605" s="1125">
        <f t="shared" si="714"/>
        <v>1</v>
      </c>
      <c r="BN605" s="1125">
        <f t="shared" si="715"/>
        <v>1</v>
      </c>
      <c r="BO605" s="1125">
        <f t="shared" si="716"/>
        <v>1</v>
      </c>
      <c r="BP605" s="1125">
        <f t="shared" si="717"/>
        <v>1</v>
      </c>
      <c r="BQ605" s="1125">
        <f t="shared" si="718"/>
        <v>0</v>
      </c>
      <c r="BR605" s="1125">
        <f t="shared" si="719"/>
        <v>0</v>
      </c>
      <c r="BS605" s="1125">
        <f t="shared" si="720"/>
        <v>1</v>
      </c>
      <c r="BT605" s="1125">
        <f t="shared" si="721"/>
        <v>1</v>
      </c>
      <c r="BU605" s="1125">
        <f t="shared" si="722"/>
        <v>1</v>
      </c>
      <c r="BV605" s="1125">
        <f t="shared" si="723"/>
        <v>1</v>
      </c>
      <c r="BW605" s="1125">
        <f t="shared" si="724"/>
        <v>0</v>
      </c>
      <c r="BX605" s="1125">
        <f t="shared" si="725"/>
        <v>0</v>
      </c>
      <c r="BY605" s="1125">
        <f t="shared" si="726"/>
        <v>0</v>
      </c>
      <c r="BZ605" s="1125">
        <f t="shared" si="727"/>
        <v>0</v>
      </c>
      <c r="CA605" s="1125">
        <f t="shared" si="728"/>
        <v>1</v>
      </c>
      <c r="CB605" s="1125">
        <f t="shared" si="729"/>
        <v>1</v>
      </c>
      <c r="CC605" s="1125">
        <f t="shared" si="730"/>
        <v>1</v>
      </c>
      <c r="CD605" s="1125">
        <f t="shared" si="731"/>
        <v>1</v>
      </c>
      <c r="CE605" s="1125">
        <f t="shared" si="732"/>
        <v>1</v>
      </c>
      <c r="CF605" s="1125">
        <f t="shared" si="733"/>
        <v>0</v>
      </c>
      <c r="CG605" s="1125">
        <f t="shared" si="734"/>
        <v>0</v>
      </c>
      <c r="CH605" s="1125">
        <f t="shared" si="735"/>
        <v>0</v>
      </c>
      <c r="CI605" s="1125">
        <f t="shared" si="736"/>
        <v>0.85</v>
      </c>
      <c r="CJ605" s="1125">
        <f t="shared" si="737"/>
        <v>0.85</v>
      </c>
      <c r="CK605" s="1125">
        <f t="shared" si="738"/>
        <v>0.85</v>
      </c>
      <c r="CL605" s="1125">
        <f t="shared" si="739"/>
        <v>0.85</v>
      </c>
      <c r="CM605" s="1125">
        <f t="shared" si="740"/>
        <v>0.85</v>
      </c>
      <c r="CN605" s="1125">
        <f t="shared" si="741"/>
        <v>0.85</v>
      </c>
      <c r="CO605" s="1125">
        <f t="shared" si="742"/>
        <v>0.7</v>
      </c>
      <c r="CP605" s="1125">
        <f t="shared" si="743"/>
        <v>0.7</v>
      </c>
      <c r="CQ605" s="1125">
        <f t="shared" si="744"/>
        <v>0.85</v>
      </c>
      <c r="CR605" s="1125">
        <f t="shared" si="745"/>
        <v>0.85</v>
      </c>
      <c r="CS605" s="1125">
        <f t="shared" si="746"/>
        <v>0.85</v>
      </c>
      <c r="CT605" s="1125">
        <f t="shared" si="747"/>
        <v>0.85</v>
      </c>
      <c r="CU605" s="1125">
        <v>1</v>
      </c>
      <c r="CV605" s="1125"/>
      <c r="CW605" s="1125">
        <f t="shared" si="748"/>
        <v>153</v>
      </c>
      <c r="CX605" s="1125">
        <f t="shared" si="749"/>
        <v>212</v>
      </c>
      <c r="CY605" s="1136" t="s">
        <v>4879</v>
      </c>
      <c r="CZ605" s="1129">
        <v>7</v>
      </c>
      <c r="DA605" s="1129"/>
      <c r="DB605" s="1129"/>
      <c r="DC605" s="1125" t="s">
        <v>5409</v>
      </c>
      <c r="DD605" s="1125" t="s">
        <v>248</v>
      </c>
      <c r="DE605" s="1120" t="str">
        <f t="shared" si="750"/>
        <v/>
      </c>
      <c r="DF605" s="1133">
        <v>0</v>
      </c>
      <c r="DG605" s="1125">
        <v>0</v>
      </c>
    </row>
    <row r="606" spans="1:111">
      <c r="A606" s="1120" t="s">
        <v>3930</v>
      </c>
      <c r="B606" s="1120" t="s">
        <v>3922</v>
      </c>
      <c r="C606" s="1120" t="s">
        <v>3923</v>
      </c>
      <c r="D606" s="1120" t="s">
        <v>1108</v>
      </c>
      <c r="E606" s="1120">
        <v>3191</v>
      </c>
      <c r="F606" s="1120">
        <v>-114.1</v>
      </c>
      <c r="G606" s="1120">
        <v>46.92</v>
      </c>
      <c r="H606" s="1120">
        <v>-7</v>
      </c>
      <c r="I606" s="1121">
        <v>1.7600013732910149</v>
      </c>
      <c r="J606" s="1121">
        <v>89.239998626708982</v>
      </c>
      <c r="K606" s="1122">
        <v>61.7</v>
      </c>
      <c r="L606" s="1120">
        <v>7203.6</v>
      </c>
      <c r="M606" s="1120">
        <v>318.60000000000002</v>
      </c>
      <c r="N606" s="1123">
        <v>25.879999828338622</v>
      </c>
      <c r="O606" s="1123">
        <v>31.1</v>
      </c>
      <c r="P606" s="1123">
        <v>37.4</v>
      </c>
      <c r="Q606" s="1123">
        <v>44.6</v>
      </c>
      <c r="R606" s="1123">
        <v>52.340000343322757</v>
      </c>
      <c r="S606" s="1123">
        <v>62.239998626708989</v>
      </c>
      <c r="T606" s="1123">
        <v>66.919999313354495</v>
      </c>
      <c r="U606" s="1123">
        <v>67.460001373291021</v>
      </c>
      <c r="V606" s="1123">
        <v>57.019999313354489</v>
      </c>
      <c r="W606" s="1123">
        <v>42.440000343322751</v>
      </c>
      <c r="X606" s="1123">
        <v>33.980000042915343</v>
      </c>
      <c r="Y606" s="1123">
        <v>24.259999656677245</v>
      </c>
      <c r="Z606" s="1123">
        <v>45.544383468758568</v>
      </c>
      <c r="AA606" s="1123">
        <f t="shared" si="676"/>
        <v>44.017411578674867</v>
      </c>
      <c r="AB606" s="1123">
        <f t="shared" si="677"/>
        <v>42.586658641105181</v>
      </c>
      <c r="AC606" s="1123">
        <f t="shared" si="678"/>
        <v>43.490874722581466</v>
      </c>
      <c r="AD606" s="1123">
        <f t="shared" si="679"/>
        <v>46.494361967075314</v>
      </c>
      <c r="AE606" s="1123">
        <f t="shared" si="680"/>
        <v>50.814215139169939</v>
      </c>
      <c r="AF606" s="1123">
        <f t="shared" si="681"/>
        <v>55.324397938606396</v>
      </c>
      <c r="AG606" s="1123">
        <f t="shared" si="682"/>
        <v>58.849261714690769</v>
      </c>
      <c r="AH606" s="1123">
        <f t="shared" si="683"/>
        <v>60.469996404391637</v>
      </c>
      <c r="AI606" s="1123">
        <f t="shared" si="684"/>
        <v>59.764132534560865</v>
      </c>
      <c r="AJ606" s="1123">
        <f t="shared" si="685"/>
        <v>56.915664400561347</v>
      </c>
      <c r="AK606" s="1123">
        <f t="shared" si="686"/>
        <v>52.667089117742734</v>
      </c>
      <c r="AL606" s="1123">
        <f t="shared" si="687"/>
        <v>48.125863306098637</v>
      </c>
      <c r="AM606" s="1120">
        <f t="shared" si="688"/>
        <v>1</v>
      </c>
      <c r="AN606" s="1120">
        <f t="shared" si="689"/>
        <v>1</v>
      </c>
      <c r="AO606" s="1120">
        <f t="shared" si="690"/>
        <v>1</v>
      </c>
      <c r="AP606" s="1120">
        <f t="shared" si="691"/>
        <v>1</v>
      </c>
      <c r="AQ606" s="1120">
        <f t="shared" si="692"/>
        <v>1</v>
      </c>
      <c r="AR606" s="1120">
        <f t="shared" si="693"/>
        <v>1</v>
      </c>
      <c r="AS606" s="1120">
        <f t="shared" si="694"/>
        <v>0</v>
      </c>
      <c r="AT606" s="1120">
        <f t="shared" si="695"/>
        <v>0</v>
      </c>
      <c r="AU606" s="1120">
        <f t="shared" si="696"/>
        <v>1</v>
      </c>
      <c r="AV606" s="1120">
        <f t="shared" si="697"/>
        <v>1</v>
      </c>
      <c r="AW606" s="1120">
        <f t="shared" si="698"/>
        <v>1</v>
      </c>
      <c r="AX606" s="1120">
        <f t="shared" si="699"/>
        <v>1</v>
      </c>
      <c r="AY606" s="1120">
        <f t="shared" si="700"/>
        <v>0</v>
      </c>
      <c r="AZ606" s="1120">
        <f t="shared" si="701"/>
        <v>0</v>
      </c>
      <c r="BA606" s="1120">
        <f t="shared" si="702"/>
        <v>0</v>
      </c>
      <c r="BB606" s="1120">
        <f t="shared" si="703"/>
        <v>0</v>
      </c>
      <c r="BC606" s="1120">
        <f t="shared" si="704"/>
        <v>0</v>
      </c>
      <c r="BD606" s="1120">
        <f t="shared" si="705"/>
        <v>0</v>
      </c>
      <c r="BE606" s="1120">
        <f t="shared" si="706"/>
        <v>1</v>
      </c>
      <c r="BF606" s="1120">
        <f t="shared" si="707"/>
        <v>1</v>
      </c>
      <c r="BG606" s="1120">
        <f t="shared" si="708"/>
        <v>0</v>
      </c>
      <c r="BH606" s="1120">
        <f t="shared" si="709"/>
        <v>0</v>
      </c>
      <c r="BI606" s="1120">
        <f t="shared" si="710"/>
        <v>0</v>
      </c>
      <c r="BJ606" s="1120">
        <f t="shared" si="711"/>
        <v>0</v>
      </c>
      <c r="BK606" s="1120">
        <f t="shared" si="712"/>
        <v>1</v>
      </c>
      <c r="BL606" s="1120">
        <f t="shared" si="713"/>
        <v>1</v>
      </c>
      <c r="BM606" s="1120">
        <f t="shared" si="714"/>
        <v>1</v>
      </c>
      <c r="BN606" s="1120">
        <f t="shared" si="715"/>
        <v>1</v>
      </c>
      <c r="BO606" s="1120">
        <f t="shared" si="716"/>
        <v>1</v>
      </c>
      <c r="BP606" s="1120">
        <f t="shared" si="717"/>
        <v>1</v>
      </c>
      <c r="BQ606" s="1120">
        <f t="shared" si="718"/>
        <v>1</v>
      </c>
      <c r="BR606" s="1120">
        <f t="shared" si="719"/>
        <v>0</v>
      </c>
      <c r="BS606" s="1120">
        <f t="shared" si="720"/>
        <v>1</v>
      </c>
      <c r="BT606" s="1120">
        <f t="shared" si="721"/>
        <v>1</v>
      </c>
      <c r="BU606" s="1120">
        <f t="shared" si="722"/>
        <v>1</v>
      </c>
      <c r="BV606" s="1120">
        <f t="shared" si="723"/>
        <v>1</v>
      </c>
      <c r="BW606" s="1120">
        <f t="shared" si="724"/>
        <v>0</v>
      </c>
      <c r="BX606" s="1120">
        <f t="shared" si="725"/>
        <v>0</v>
      </c>
      <c r="BY606" s="1120">
        <f t="shared" si="726"/>
        <v>0</v>
      </c>
      <c r="BZ606" s="1120">
        <f t="shared" si="727"/>
        <v>0</v>
      </c>
      <c r="CA606" s="1120">
        <f t="shared" si="728"/>
        <v>0</v>
      </c>
      <c r="CB606" s="1120">
        <f t="shared" si="729"/>
        <v>1</v>
      </c>
      <c r="CC606" s="1120">
        <f t="shared" si="730"/>
        <v>1</v>
      </c>
      <c r="CD606" s="1120">
        <f t="shared" si="731"/>
        <v>1</v>
      </c>
      <c r="CE606" s="1120">
        <f t="shared" si="732"/>
        <v>1</v>
      </c>
      <c r="CF606" s="1120">
        <f t="shared" si="733"/>
        <v>0</v>
      </c>
      <c r="CG606" s="1120">
        <f t="shared" si="734"/>
        <v>0</v>
      </c>
      <c r="CH606" s="1120">
        <f t="shared" si="735"/>
        <v>0</v>
      </c>
      <c r="CI606" s="1120">
        <f t="shared" si="736"/>
        <v>0.85</v>
      </c>
      <c r="CJ606" s="1120">
        <f t="shared" si="737"/>
        <v>0.85</v>
      </c>
      <c r="CK606" s="1120">
        <f t="shared" si="738"/>
        <v>0.85</v>
      </c>
      <c r="CL606" s="1120">
        <f t="shared" si="739"/>
        <v>0.85</v>
      </c>
      <c r="CM606" s="1120">
        <f t="shared" si="740"/>
        <v>0.85</v>
      </c>
      <c r="CN606" s="1120">
        <f t="shared" si="741"/>
        <v>0.85</v>
      </c>
      <c r="CO606" s="1120">
        <f t="shared" si="742"/>
        <v>0.85</v>
      </c>
      <c r="CP606" s="1120">
        <f t="shared" si="743"/>
        <v>0.7</v>
      </c>
      <c r="CQ606" s="1120">
        <f t="shared" si="744"/>
        <v>0.85</v>
      </c>
      <c r="CR606" s="1120">
        <f t="shared" si="745"/>
        <v>0.85</v>
      </c>
      <c r="CS606" s="1120">
        <f t="shared" si="746"/>
        <v>0.85</v>
      </c>
      <c r="CT606" s="1120">
        <f t="shared" si="747"/>
        <v>0.85</v>
      </c>
      <c r="CU606" s="1120">
        <v>1</v>
      </c>
      <c r="CV606" s="1120"/>
      <c r="CW606" s="1120">
        <f t="shared" si="748"/>
        <v>122</v>
      </c>
      <c r="CX606" s="1120">
        <f t="shared" si="749"/>
        <v>243</v>
      </c>
      <c r="CY606" s="1135" t="s">
        <v>4889</v>
      </c>
      <c r="CZ606" s="1124" t="s">
        <v>4896</v>
      </c>
      <c r="DA606" s="1124"/>
      <c r="DB606" s="1124"/>
      <c r="DC606" s="1120" t="s">
        <v>5383</v>
      </c>
      <c r="DD606" s="1120" t="s">
        <v>1108</v>
      </c>
      <c r="DE606" s="1120" t="str">
        <f t="shared" si="750"/>
        <v/>
      </c>
      <c r="DF606" s="1133">
        <v>0</v>
      </c>
      <c r="DG606" s="1120">
        <v>0</v>
      </c>
    </row>
    <row r="607" spans="1:111">
      <c r="A607" s="1125" t="s">
        <v>3932</v>
      </c>
      <c r="B607" s="1125" t="s">
        <v>5921</v>
      </c>
      <c r="C607" s="1125" t="s">
        <v>5922</v>
      </c>
      <c r="D607" s="1125" t="s">
        <v>1147</v>
      </c>
      <c r="E607" s="1125">
        <v>1302</v>
      </c>
      <c r="F607" s="1125">
        <v>-98.03</v>
      </c>
      <c r="G607" s="1125">
        <v>43.77</v>
      </c>
      <c r="H607" s="1125">
        <v>-6</v>
      </c>
      <c r="I607" s="1126">
        <v>-6.1600013732910162</v>
      </c>
      <c r="J607" s="1126">
        <v>90.320002746582034</v>
      </c>
      <c r="K607" s="1127">
        <v>73.219999313354492</v>
      </c>
      <c r="L607" s="1125">
        <v>7720.2</v>
      </c>
      <c r="M607" s="1125">
        <v>984.6</v>
      </c>
      <c r="N607" s="1128">
        <v>20.3</v>
      </c>
      <c r="O607" s="1128">
        <v>23.540000343322752</v>
      </c>
      <c r="P607" s="1128">
        <v>26.060000085830687</v>
      </c>
      <c r="Q607" s="1128">
        <v>49.819999313354494</v>
      </c>
      <c r="R607" s="1128">
        <v>54.680000686645506</v>
      </c>
      <c r="S607" s="1128">
        <v>67.280000686645508</v>
      </c>
      <c r="T607" s="1128">
        <v>77.180000686645513</v>
      </c>
      <c r="U607" s="1128">
        <v>75.380000686645502</v>
      </c>
      <c r="V607" s="1128">
        <v>63.680000686645506</v>
      </c>
      <c r="W607" s="1128">
        <v>42.440000343322751</v>
      </c>
      <c r="X607" s="1128">
        <v>24.8</v>
      </c>
      <c r="Y607" s="1128">
        <v>24.8</v>
      </c>
      <c r="Z607" s="1128">
        <v>45.952219472258058</v>
      </c>
      <c r="AA607" s="1128">
        <f t="shared" si="676"/>
        <v>41.899071825633861</v>
      </c>
      <c r="AB607" s="1128">
        <f t="shared" si="677"/>
        <v>40.037415176418889</v>
      </c>
      <c r="AC607" s="1128">
        <f t="shared" si="678"/>
        <v>41.281535879606508</v>
      </c>
      <c r="AD607" s="1128">
        <f t="shared" si="679"/>
        <v>45.307134701430478</v>
      </c>
      <c r="AE607" s="1128">
        <f t="shared" si="680"/>
        <v>51.06487727262671</v>
      </c>
      <c r="AF607" s="1128">
        <f t="shared" si="681"/>
        <v>57.053919262514071</v>
      </c>
      <c r="AG607" s="1128">
        <f t="shared" si="682"/>
        <v>61.713124582497642</v>
      </c>
      <c r="AH607" s="1128">
        <f t="shared" si="683"/>
        <v>63.82799956539634</v>
      </c>
      <c r="AI607" s="1128">
        <f t="shared" si="684"/>
        <v>62.847269455707597</v>
      </c>
      <c r="AJ607" s="1128">
        <f t="shared" si="685"/>
        <v>59.026576670030266</v>
      </c>
      <c r="AK607" s="1128">
        <f t="shared" si="686"/>
        <v>53.361843661609214</v>
      </c>
      <c r="AL607" s="1128">
        <f t="shared" si="687"/>
        <v>47.329670385267477</v>
      </c>
      <c r="AM607" s="1125">
        <f t="shared" si="688"/>
        <v>1</v>
      </c>
      <c r="AN607" s="1125">
        <f t="shared" si="689"/>
        <v>1</v>
      </c>
      <c r="AO607" s="1125">
        <f t="shared" si="690"/>
        <v>1</v>
      </c>
      <c r="AP607" s="1125">
        <f t="shared" si="691"/>
        <v>1</v>
      </c>
      <c r="AQ607" s="1125">
        <f t="shared" si="692"/>
        <v>1</v>
      </c>
      <c r="AR607" s="1125">
        <f t="shared" si="693"/>
        <v>0</v>
      </c>
      <c r="AS607" s="1125">
        <f t="shared" si="694"/>
        <v>0</v>
      </c>
      <c r="AT607" s="1125">
        <f t="shared" si="695"/>
        <v>0</v>
      </c>
      <c r="AU607" s="1125">
        <f t="shared" si="696"/>
        <v>1</v>
      </c>
      <c r="AV607" s="1125">
        <f t="shared" si="697"/>
        <v>1</v>
      </c>
      <c r="AW607" s="1125">
        <f t="shared" si="698"/>
        <v>1</v>
      </c>
      <c r="AX607" s="1125">
        <f t="shared" si="699"/>
        <v>1</v>
      </c>
      <c r="AY607" s="1125">
        <f t="shared" si="700"/>
        <v>0</v>
      </c>
      <c r="AZ607" s="1125">
        <f t="shared" si="701"/>
        <v>0</v>
      </c>
      <c r="BA607" s="1125">
        <f t="shared" si="702"/>
        <v>0</v>
      </c>
      <c r="BB607" s="1125">
        <f t="shared" si="703"/>
        <v>0</v>
      </c>
      <c r="BC607" s="1125">
        <f t="shared" si="704"/>
        <v>0</v>
      </c>
      <c r="BD607" s="1125">
        <f t="shared" si="705"/>
        <v>1</v>
      </c>
      <c r="BE607" s="1125">
        <f t="shared" si="706"/>
        <v>1</v>
      </c>
      <c r="BF607" s="1125">
        <f t="shared" si="707"/>
        <v>1</v>
      </c>
      <c r="BG607" s="1125">
        <f t="shared" si="708"/>
        <v>0</v>
      </c>
      <c r="BH607" s="1125">
        <f t="shared" si="709"/>
        <v>0</v>
      </c>
      <c r="BI607" s="1125">
        <f t="shared" si="710"/>
        <v>0</v>
      </c>
      <c r="BJ607" s="1125">
        <f t="shared" si="711"/>
        <v>0</v>
      </c>
      <c r="BK607" s="1125">
        <f t="shared" si="712"/>
        <v>1</v>
      </c>
      <c r="BL607" s="1125">
        <f t="shared" si="713"/>
        <v>1</v>
      </c>
      <c r="BM607" s="1125">
        <f t="shared" si="714"/>
        <v>1</v>
      </c>
      <c r="BN607" s="1125">
        <f t="shared" si="715"/>
        <v>1</v>
      </c>
      <c r="BO607" s="1125">
        <f t="shared" si="716"/>
        <v>1</v>
      </c>
      <c r="BP607" s="1125">
        <f t="shared" si="717"/>
        <v>1</v>
      </c>
      <c r="BQ607" s="1125">
        <f t="shared" si="718"/>
        <v>0</v>
      </c>
      <c r="BR607" s="1125">
        <f t="shared" si="719"/>
        <v>0</v>
      </c>
      <c r="BS607" s="1125">
        <f t="shared" si="720"/>
        <v>1</v>
      </c>
      <c r="BT607" s="1125">
        <f t="shared" si="721"/>
        <v>1</v>
      </c>
      <c r="BU607" s="1125">
        <f t="shared" si="722"/>
        <v>1</v>
      </c>
      <c r="BV607" s="1125">
        <f t="shared" si="723"/>
        <v>1</v>
      </c>
      <c r="BW607" s="1125">
        <f t="shared" si="724"/>
        <v>0</v>
      </c>
      <c r="BX607" s="1125">
        <f t="shared" si="725"/>
        <v>0</v>
      </c>
      <c r="BY607" s="1125">
        <f t="shared" si="726"/>
        <v>0</v>
      </c>
      <c r="BZ607" s="1125">
        <f t="shared" si="727"/>
        <v>0</v>
      </c>
      <c r="CA607" s="1125">
        <f t="shared" si="728"/>
        <v>1</v>
      </c>
      <c r="CB607" s="1125">
        <f t="shared" si="729"/>
        <v>1</v>
      </c>
      <c r="CC607" s="1125">
        <f t="shared" si="730"/>
        <v>1</v>
      </c>
      <c r="CD607" s="1125">
        <f t="shared" si="731"/>
        <v>1</v>
      </c>
      <c r="CE607" s="1125">
        <f t="shared" si="732"/>
        <v>1</v>
      </c>
      <c r="CF607" s="1125">
        <f t="shared" si="733"/>
        <v>0</v>
      </c>
      <c r="CG607" s="1125">
        <f t="shared" si="734"/>
        <v>0</v>
      </c>
      <c r="CH607" s="1125">
        <f t="shared" si="735"/>
        <v>0</v>
      </c>
      <c r="CI607" s="1125">
        <f t="shared" si="736"/>
        <v>0.85</v>
      </c>
      <c r="CJ607" s="1125">
        <f t="shared" si="737"/>
        <v>0.85</v>
      </c>
      <c r="CK607" s="1125">
        <f t="shared" si="738"/>
        <v>0.85</v>
      </c>
      <c r="CL607" s="1125">
        <f t="shared" si="739"/>
        <v>0.85</v>
      </c>
      <c r="CM607" s="1125">
        <f t="shared" si="740"/>
        <v>0.85</v>
      </c>
      <c r="CN607" s="1125">
        <f t="shared" si="741"/>
        <v>0.85</v>
      </c>
      <c r="CO607" s="1125">
        <f t="shared" si="742"/>
        <v>0.7</v>
      </c>
      <c r="CP607" s="1125">
        <f t="shared" si="743"/>
        <v>0.7</v>
      </c>
      <c r="CQ607" s="1125">
        <f t="shared" si="744"/>
        <v>0.85</v>
      </c>
      <c r="CR607" s="1125">
        <f t="shared" si="745"/>
        <v>0.85</v>
      </c>
      <c r="CS607" s="1125">
        <f t="shared" si="746"/>
        <v>0.85</v>
      </c>
      <c r="CT607" s="1125">
        <f t="shared" si="747"/>
        <v>0.85</v>
      </c>
      <c r="CU607" s="1125">
        <v>1</v>
      </c>
      <c r="CV607" s="1125"/>
      <c r="CW607" s="1125">
        <f t="shared" si="748"/>
        <v>153</v>
      </c>
      <c r="CX607" s="1125">
        <f t="shared" si="749"/>
        <v>212</v>
      </c>
      <c r="CY607" s="1136" t="s">
        <v>4889</v>
      </c>
      <c r="CZ607" s="1129" t="s">
        <v>4899</v>
      </c>
      <c r="DA607" s="1129"/>
      <c r="DB607" s="1129"/>
      <c r="DC607" s="1125" t="s">
        <v>5782</v>
      </c>
      <c r="DD607" s="1125" t="s">
        <v>1147</v>
      </c>
      <c r="DE607" s="1120" t="str">
        <f t="shared" si="750"/>
        <v/>
      </c>
      <c r="DF607" s="1133">
        <v>0</v>
      </c>
      <c r="DG607" s="1125">
        <v>0</v>
      </c>
    </row>
    <row r="608" spans="1:111">
      <c r="A608" s="1120" t="s">
        <v>3934</v>
      </c>
      <c r="B608" s="1125" t="s">
        <v>4472</v>
      </c>
      <c r="C608" s="1125" t="s">
        <v>4473</v>
      </c>
      <c r="D608" s="1125" t="s">
        <v>905</v>
      </c>
      <c r="E608" s="1125">
        <v>3280</v>
      </c>
      <c r="F608" s="1125">
        <v>-109.54</v>
      </c>
      <c r="G608" s="1125">
        <v>38.58</v>
      </c>
      <c r="H608" s="1125">
        <v>-7</v>
      </c>
      <c r="I608" s="1126">
        <v>12.019999313354491</v>
      </c>
      <c r="J608" s="1126">
        <v>98.779997253417974</v>
      </c>
      <c r="K608" s="1127">
        <v>60.980000686645511</v>
      </c>
      <c r="L608" s="1125">
        <v>4980.6000000000004</v>
      </c>
      <c r="M608" s="1125">
        <v>1515.6000000000001</v>
      </c>
      <c r="N608" s="1128">
        <v>33.440000021457671</v>
      </c>
      <c r="O608" s="1128">
        <v>35.419999957084656</v>
      </c>
      <c r="P608" s="1128">
        <v>46.580000686645505</v>
      </c>
      <c r="Q608" s="1128">
        <v>54.319999313354494</v>
      </c>
      <c r="R608" s="1128">
        <v>66.380000686645502</v>
      </c>
      <c r="S608" s="1128">
        <v>75.560001373291016</v>
      </c>
      <c r="T608" s="1128">
        <v>81.139998626708987</v>
      </c>
      <c r="U608" s="1128">
        <v>78.439998626708984</v>
      </c>
      <c r="V608" s="1128">
        <v>66.380000686645502</v>
      </c>
      <c r="W608" s="1128">
        <v>53.6</v>
      </c>
      <c r="X608" s="1128">
        <v>37.4</v>
      </c>
      <c r="Y608" s="1128">
        <v>28.939999914169313</v>
      </c>
      <c r="Z608" s="1128">
        <v>54.919671220354836</v>
      </c>
      <c r="AA608" s="1128">
        <f t="shared" si="676"/>
        <v>48.754515895976411</v>
      </c>
      <c r="AB608" s="1128">
        <f t="shared" si="677"/>
        <v>47.698538151586298</v>
      </c>
      <c r="AC608" s="1128">
        <f t="shared" si="678"/>
        <v>50.088852485398569</v>
      </c>
      <c r="AD608" s="1128">
        <f t="shared" si="679"/>
        <v>55.302386630446158</v>
      </c>
      <c r="AE608" s="1128">
        <f t="shared" si="680"/>
        <v>61.980152568829276</v>
      </c>
      <c r="AF608" s="1128">
        <f t="shared" si="681"/>
        <v>68.381487701220266</v>
      </c>
      <c r="AG608" s="1128">
        <f t="shared" si="682"/>
        <v>72.837785377800998</v>
      </c>
      <c r="AH608" s="1128">
        <f t="shared" si="683"/>
        <v>74.187442935544752</v>
      </c>
      <c r="AI608" s="1128">
        <f t="shared" si="684"/>
        <v>72.078651333173113</v>
      </c>
      <c r="AJ608" s="1128">
        <f t="shared" si="685"/>
        <v>67.061099599306502</v>
      </c>
      <c r="AK608" s="1128">
        <f t="shared" si="686"/>
        <v>60.442689916190034</v>
      </c>
      <c r="AL608" s="1128">
        <f t="shared" si="687"/>
        <v>53.94861276050851</v>
      </c>
      <c r="AM608" s="1125">
        <f t="shared" si="688"/>
        <v>1</v>
      </c>
      <c r="AN608" s="1125">
        <f t="shared" si="689"/>
        <v>1</v>
      </c>
      <c r="AO608" s="1125">
        <f t="shared" si="690"/>
        <v>1</v>
      </c>
      <c r="AP608" s="1125">
        <f t="shared" si="691"/>
        <v>1</v>
      </c>
      <c r="AQ608" s="1125">
        <f t="shared" si="692"/>
        <v>0</v>
      </c>
      <c r="AR608" s="1125">
        <f t="shared" si="693"/>
        <v>0</v>
      </c>
      <c r="AS608" s="1125">
        <f t="shared" si="694"/>
        <v>0</v>
      </c>
      <c r="AT608" s="1125">
        <f t="shared" si="695"/>
        <v>0</v>
      </c>
      <c r="AU608" s="1125">
        <f t="shared" si="696"/>
        <v>0</v>
      </c>
      <c r="AV608" s="1125">
        <f t="shared" si="697"/>
        <v>1</v>
      </c>
      <c r="AW608" s="1125">
        <f t="shared" si="698"/>
        <v>1</v>
      </c>
      <c r="AX608" s="1125">
        <f t="shared" si="699"/>
        <v>1</v>
      </c>
      <c r="AY608" s="1125">
        <f t="shared" si="700"/>
        <v>0</v>
      </c>
      <c r="AZ608" s="1125">
        <f t="shared" si="701"/>
        <v>0</v>
      </c>
      <c r="BA608" s="1125">
        <f t="shared" si="702"/>
        <v>0</v>
      </c>
      <c r="BB608" s="1125">
        <f t="shared" si="703"/>
        <v>0</v>
      </c>
      <c r="BC608" s="1125">
        <f t="shared" si="704"/>
        <v>1</v>
      </c>
      <c r="BD608" s="1125">
        <f t="shared" si="705"/>
        <v>1</v>
      </c>
      <c r="BE608" s="1125">
        <f t="shared" si="706"/>
        <v>1</v>
      </c>
      <c r="BF608" s="1125">
        <f t="shared" si="707"/>
        <v>1</v>
      </c>
      <c r="BG608" s="1125">
        <f t="shared" si="708"/>
        <v>1</v>
      </c>
      <c r="BH608" s="1125">
        <f t="shared" si="709"/>
        <v>0</v>
      </c>
      <c r="BI608" s="1125">
        <f t="shared" si="710"/>
        <v>0</v>
      </c>
      <c r="BJ608" s="1125">
        <f t="shared" si="711"/>
        <v>0</v>
      </c>
      <c r="BK608" s="1125">
        <f t="shared" si="712"/>
        <v>1</v>
      </c>
      <c r="BL608" s="1125">
        <f t="shared" si="713"/>
        <v>1</v>
      </c>
      <c r="BM608" s="1125">
        <f t="shared" si="714"/>
        <v>1</v>
      </c>
      <c r="BN608" s="1125">
        <f t="shared" si="715"/>
        <v>1</v>
      </c>
      <c r="BO608" s="1125">
        <f t="shared" si="716"/>
        <v>1</v>
      </c>
      <c r="BP608" s="1125">
        <f t="shared" si="717"/>
        <v>0</v>
      </c>
      <c r="BQ608" s="1125">
        <f t="shared" si="718"/>
        <v>0</v>
      </c>
      <c r="BR608" s="1125">
        <f t="shared" si="719"/>
        <v>0</v>
      </c>
      <c r="BS608" s="1125">
        <f t="shared" si="720"/>
        <v>0</v>
      </c>
      <c r="BT608" s="1125">
        <f t="shared" si="721"/>
        <v>1</v>
      </c>
      <c r="BU608" s="1125">
        <f t="shared" si="722"/>
        <v>1</v>
      </c>
      <c r="BV608" s="1125">
        <f t="shared" si="723"/>
        <v>1</v>
      </c>
      <c r="BW608" s="1125">
        <f t="shared" si="724"/>
        <v>0</v>
      </c>
      <c r="BX608" s="1125">
        <f t="shared" si="725"/>
        <v>0</v>
      </c>
      <c r="BY608" s="1125">
        <f t="shared" si="726"/>
        <v>0</v>
      </c>
      <c r="BZ608" s="1125">
        <f t="shared" si="727"/>
        <v>1</v>
      </c>
      <c r="CA608" s="1125">
        <f t="shared" si="728"/>
        <v>1</v>
      </c>
      <c r="CB608" s="1125">
        <f t="shared" si="729"/>
        <v>1</v>
      </c>
      <c r="CC608" s="1125">
        <f t="shared" si="730"/>
        <v>1</v>
      </c>
      <c r="CD608" s="1125">
        <f t="shared" si="731"/>
        <v>1</v>
      </c>
      <c r="CE608" s="1125">
        <f t="shared" si="732"/>
        <v>1</v>
      </c>
      <c r="CF608" s="1125">
        <f t="shared" si="733"/>
        <v>1</v>
      </c>
      <c r="CG608" s="1125">
        <f t="shared" si="734"/>
        <v>0</v>
      </c>
      <c r="CH608" s="1125">
        <f t="shared" si="735"/>
        <v>0</v>
      </c>
      <c r="CI608" s="1125">
        <f t="shared" si="736"/>
        <v>0.85</v>
      </c>
      <c r="CJ608" s="1125">
        <f t="shared" si="737"/>
        <v>0.85</v>
      </c>
      <c r="CK608" s="1125">
        <f t="shared" si="738"/>
        <v>0.85</v>
      </c>
      <c r="CL608" s="1125">
        <f t="shared" si="739"/>
        <v>0.85</v>
      </c>
      <c r="CM608" s="1125">
        <f t="shared" si="740"/>
        <v>0.85</v>
      </c>
      <c r="CN608" s="1125">
        <f t="shared" si="741"/>
        <v>0.7</v>
      </c>
      <c r="CO608" s="1125">
        <f t="shared" si="742"/>
        <v>0.7</v>
      </c>
      <c r="CP608" s="1125">
        <f t="shared" si="743"/>
        <v>0.7</v>
      </c>
      <c r="CQ608" s="1125">
        <f t="shared" si="744"/>
        <v>0.7</v>
      </c>
      <c r="CR608" s="1125">
        <f t="shared" si="745"/>
        <v>0.85</v>
      </c>
      <c r="CS608" s="1125">
        <f t="shared" si="746"/>
        <v>0.85</v>
      </c>
      <c r="CT608" s="1125">
        <f t="shared" si="747"/>
        <v>0.85</v>
      </c>
      <c r="CU608" s="1125">
        <v>1</v>
      </c>
      <c r="CV608" s="1125"/>
      <c r="CW608" s="1125">
        <f t="shared" si="748"/>
        <v>214</v>
      </c>
      <c r="CX608" s="1125">
        <f t="shared" si="749"/>
        <v>151</v>
      </c>
      <c r="CY608" s="1135" t="s">
        <v>4889</v>
      </c>
      <c r="CZ608" s="1124" t="s">
        <v>4890</v>
      </c>
      <c r="DA608" s="1124"/>
      <c r="DB608" s="1124"/>
      <c r="DC608" s="1120" t="s">
        <v>6006</v>
      </c>
      <c r="DD608" s="1120" t="s">
        <v>905</v>
      </c>
      <c r="DE608" s="1120" t="b">
        <f t="shared" si="750"/>
        <v>0</v>
      </c>
      <c r="DF608" s="1133">
        <v>1</v>
      </c>
      <c r="DG608" s="1120">
        <v>0</v>
      </c>
    </row>
    <row r="609" spans="1:111">
      <c r="A609" s="1125" t="s">
        <v>3952</v>
      </c>
      <c r="B609" s="1120" t="s">
        <v>3012</v>
      </c>
      <c r="C609" s="1120" t="s">
        <v>3013</v>
      </c>
      <c r="D609" s="1120" t="s">
        <v>247</v>
      </c>
      <c r="E609" s="1120">
        <v>26</v>
      </c>
      <c r="F609" s="1120">
        <v>-88.07</v>
      </c>
      <c r="G609" s="1120">
        <v>30.63</v>
      </c>
      <c r="H609" s="1120">
        <v>-6</v>
      </c>
      <c r="I609" s="1121">
        <v>28.220000171661376</v>
      </c>
      <c r="J609" s="1121">
        <v>93.020002746582037</v>
      </c>
      <c r="K609" s="1122">
        <v>78.980000686645511</v>
      </c>
      <c r="L609" s="1120">
        <v>1578.6000000000001</v>
      </c>
      <c r="M609" s="1120">
        <v>2464.2000000000003</v>
      </c>
      <c r="N609" s="1123">
        <v>54.140000343322754</v>
      </c>
      <c r="O609" s="1123">
        <v>54.5</v>
      </c>
      <c r="P609" s="1123">
        <v>56.480000686645511</v>
      </c>
      <c r="Q609" s="1123">
        <v>65.66000137329101</v>
      </c>
      <c r="R609" s="1123">
        <v>76.099999999999994</v>
      </c>
      <c r="S609" s="1123">
        <v>77.719999313354492</v>
      </c>
      <c r="T609" s="1123">
        <v>80.239998626708982</v>
      </c>
      <c r="U609" s="1123">
        <v>81.860001373291013</v>
      </c>
      <c r="V609" s="1123">
        <v>77</v>
      </c>
      <c r="W609" s="1123">
        <v>67.460001373291021</v>
      </c>
      <c r="X609" s="1123">
        <v>59</v>
      </c>
      <c r="Y609" s="1123">
        <v>50.9</v>
      </c>
      <c r="Z609" s="1123">
        <v>66.821863274247676</v>
      </c>
      <c r="AA609" s="1123">
        <f t="shared" si="676"/>
        <v>63.309818954809096</v>
      </c>
      <c r="AB609" s="1123">
        <f t="shared" si="677"/>
        <v>63.550833379536009</v>
      </c>
      <c r="AC609" s="1123">
        <f t="shared" si="678"/>
        <v>66.208484617214864</v>
      </c>
      <c r="AD609" s="1123">
        <f t="shared" si="679"/>
        <v>70.590014917099367</v>
      </c>
      <c r="AE609" s="1123">
        <f t="shared" si="680"/>
        <v>75.553310885098867</v>
      </c>
      <c r="AF609" s="1123">
        <f t="shared" si="681"/>
        <v>79.804612940448166</v>
      </c>
      <c r="AG609" s="1123">
        <f t="shared" si="682"/>
        <v>82.235753687872716</v>
      </c>
      <c r="AH609" s="1123">
        <f t="shared" si="683"/>
        <v>82.213018826543305</v>
      </c>
      <c r="AI609" s="1123">
        <f t="shared" si="684"/>
        <v>79.742334548420288</v>
      </c>
      <c r="AJ609" s="1123">
        <f t="shared" si="685"/>
        <v>75.46772278499364</v>
      </c>
      <c r="AK609" s="1123">
        <f t="shared" si="686"/>
        <v>70.503426966161783</v>
      </c>
      <c r="AL609" s="1123">
        <f t="shared" si="687"/>
        <v>66.143467299217505</v>
      </c>
      <c r="AM609" s="1120">
        <f t="shared" si="688"/>
        <v>1</v>
      </c>
      <c r="AN609" s="1120">
        <f t="shared" si="689"/>
        <v>1</v>
      </c>
      <c r="AO609" s="1120">
        <f t="shared" si="690"/>
        <v>1</v>
      </c>
      <c r="AP609" s="1120">
        <f t="shared" si="691"/>
        <v>1</v>
      </c>
      <c r="AQ609" s="1120">
        <f t="shared" si="692"/>
        <v>0</v>
      </c>
      <c r="AR609" s="1120">
        <f t="shared" si="693"/>
        <v>0</v>
      </c>
      <c r="AS609" s="1120">
        <f t="shared" si="694"/>
        <v>0</v>
      </c>
      <c r="AT609" s="1120">
        <f t="shared" si="695"/>
        <v>0</v>
      </c>
      <c r="AU609" s="1120">
        <f t="shared" si="696"/>
        <v>0</v>
      </c>
      <c r="AV609" s="1120">
        <f t="shared" si="697"/>
        <v>0</v>
      </c>
      <c r="AW609" s="1120">
        <f t="shared" si="698"/>
        <v>1</v>
      </c>
      <c r="AX609" s="1120">
        <f t="shared" si="699"/>
        <v>1</v>
      </c>
      <c r="AY609" s="1120">
        <f t="shared" si="700"/>
        <v>0</v>
      </c>
      <c r="AZ609" s="1120">
        <f t="shared" si="701"/>
        <v>0</v>
      </c>
      <c r="BA609" s="1120">
        <f t="shared" si="702"/>
        <v>0</v>
      </c>
      <c r="BB609" s="1120">
        <f t="shared" si="703"/>
        <v>0</v>
      </c>
      <c r="BC609" s="1120">
        <f t="shared" si="704"/>
        <v>1</v>
      </c>
      <c r="BD609" s="1120">
        <f t="shared" si="705"/>
        <v>1</v>
      </c>
      <c r="BE609" s="1120">
        <f t="shared" si="706"/>
        <v>1</v>
      </c>
      <c r="BF609" s="1120">
        <f t="shared" si="707"/>
        <v>1</v>
      </c>
      <c r="BG609" s="1120">
        <f t="shared" si="708"/>
        <v>1</v>
      </c>
      <c r="BH609" s="1120">
        <f t="shared" si="709"/>
        <v>1</v>
      </c>
      <c r="BI609" s="1120">
        <f t="shared" si="710"/>
        <v>0</v>
      </c>
      <c r="BJ609" s="1120">
        <f t="shared" si="711"/>
        <v>0</v>
      </c>
      <c r="BK609" s="1120">
        <f t="shared" si="712"/>
        <v>1</v>
      </c>
      <c r="BL609" s="1120">
        <f t="shared" si="713"/>
        <v>1</v>
      </c>
      <c r="BM609" s="1120">
        <f t="shared" si="714"/>
        <v>1</v>
      </c>
      <c r="BN609" s="1120">
        <f t="shared" si="715"/>
        <v>1</v>
      </c>
      <c r="BO609" s="1120">
        <f t="shared" si="716"/>
        <v>1</v>
      </c>
      <c r="BP609" s="1120">
        <f t="shared" si="717"/>
        <v>0</v>
      </c>
      <c r="BQ609" s="1120">
        <f t="shared" si="718"/>
        <v>0</v>
      </c>
      <c r="BR609" s="1120">
        <f t="shared" si="719"/>
        <v>0</v>
      </c>
      <c r="BS609" s="1120">
        <f t="shared" si="720"/>
        <v>0</v>
      </c>
      <c r="BT609" s="1120">
        <f t="shared" si="721"/>
        <v>0</v>
      </c>
      <c r="BU609" s="1120">
        <f t="shared" si="722"/>
        <v>1</v>
      </c>
      <c r="BV609" s="1120">
        <f t="shared" si="723"/>
        <v>1</v>
      </c>
      <c r="BW609" s="1120">
        <f t="shared" si="724"/>
        <v>0</v>
      </c>
      <c r="BX609" s="1120">
        <f t="shared" si="725"/>
        <v>0</v>
      </c>
      <c r="BY609" s="1120">
        <f t="shared" si="726"/>
        <v>0</v>
      </c>
      <c r="BZ609" s="1120">
        <f t="shared" si="727"/>
        <v>1</v>
      </c>
      <c r="CA609" s="1120">
        <f t="shared" si="728"/>
        <v>1</v>
      </c>
      <c r="CB609" s="1120">
        <f t="shared" si="729"/>
        <v>1</v>
      </c>
      <c r="CC609" s="1120">
        <f t="shared" si="730"/>
        <v>1</v>
      </c>
      <c r="CD609" s="1120">
        <f t="shared" si="731"/>
        <v>1</v>
      </c>
      <c r="CE609" s="1120">
        <f t="shared" si="732"/>
        <v>1</v>
      </c>
      <c r="CF609" s="1120">
        <f t="shared" si="733"/>
        <v>1</v>
      </c>
      <c r="CG609" s="1120">
        <f t="shared" si="734"/>
        <v>1</v>
      </c>
      <c r="CH609" s="1120">
        <f t="shared" si="735"/>
        <v>0</v>
      </c>
      <c r="CI609" s="1120">
        <f t="shared" si="736"/>
        <v>0.85</v>
      </c>
      <c r="CJ609" s="1120">
        <f t="shared" si="737"/>
        <v>0.85</v>
      </c>
      <c r="CK609" s="1120">
        <f t="shared" si="738"/>
        <v>0.85</v>
      </c>
      <c r="CL609" s="1120">
        <f t="shared" si="739"/>
        <v>0.85</v>
      </c>
      <c r="CM609" s="1120">
        <f t="shared" si="740"/>
        <v>0.85</v>
      </c>
      <c r="CN609" s="1120">
        <f t="shared" si="741"/>
        <v>0.7</v>
      </c>
      <c r="CO609" s="1120">
        <f t="shared" si="742"/>
        <v>0.7</v>
      </c>
      <c r="CP609" s="1120">
        <f t="shared" si="743"/>
        <v>0.7</v>
      </c>
      <c r="CQ609" s="1120">
        <f t="shared" si="744"/>
        <v>0.7</v>
      </c>
      <c r="CR609" s="1120">
        <f t="shared" si="745"/>
        <v>0.7</v>
      </c>
      <c r="CS609" s="1120">
        <f t="shared" si="746"/>
        <v>0.85</v>
      </c>
      <c r="CT609" s="1120">
        <f t="shared" si="747"/>
        <v>0.85</v>
      </c>
      <c r="CU609" s="1120">
        <v>1</v>
      </c>
      <c r="CV609" s="1120"/>
      <c r="CW609" s="1120">
        <f t="shared" si="748"/>
        <v>244</v>
      </c>
      <c r="CX609" s="1120">
        <f t="shared" si="749"/>
        <v>121</v>
      </c>
      <c r="CY609" s="1135" t="s">
        <v>4883</v>
      </c>
      <c r="CZ609" s="1124" t="s">
        <v>4884</v>
      </c>
      <c r="DA609" s="1124"/>
      <c r="DB609" s="1124"/>
      <c r="DC609" s="1120" t="s">
        <v>4978</v>
      </c>
      <c r="DD609" s="1120" t="s">
        <v>247</v>
      </c>
      <c r="DE609" s="1120" t="str">
        <f t="shared" si="750"/>
        <v/>
      </c>
      <c r="DF609" s="1120">
        <v>0</v>
      </c>
      <c r="DG609" s="1125">
        <v>0</v>
      </c>
    </row>
    <row r="610" spans="1:111">
      <c r="A610" s="1120" t="s">
        <v>3936</v>
      </c>
      <c r="B610" s="1125" t="s">
        <v>3014</v>
      </c>
      <c r="C610" s="1125" t="s">
        <v>3015</v>
      </c>
      <c r="D610" s="1125" t="s">
        <v>247</v>
      </c>
      <c r="E610" s="1125">
        <v>216</v>
      </c>
      <c r="F610" s="1125">
        <v>-88.25</v>
      </c>
      <c r="G610" s="1125">
        <v>30.68</v>
      </c>
      <c r="H610" s="1125">
        <v>-6</v>
      </c>
      <c r="I610" s="1126">
        <v>30.740000021457671</v>
      </c>
      <c r="J610" s="1126">
        <v>91.760001373291018</v>
      </c>
      <c r="K610" s="1127">
        <v>76.460001373291021</v>
      </c>
      <c r="L610" s="1125">
        <v>1674</v>
      </c>
      <c r="M610" s="1125">
        <v>2493</v>
      </c>
      <c r="N610" s="1128">
        <v>46.759999656677245</v>
      </c>
      <c r="O610" s="1128">
        <v>53.419999313354495</v>
      </c>
      <c r="P610" s="1128">
        <v>60.980000686645511</v>
      </c>
      <c r="Q610" s="1128">
        <v>67.280000686645508</v>
      </c>
      <c r="R610" s="1128">
        <v>73.760001373291018</v>
      </c>
      <c r="S610" s="1128">
        <v>79.519999313354489</v>
      </c>
      <c r="T610" s="1128">
        <v>80.599999999999994</v>
      </c>
      <c r="U610" s="1128">
        <v>79.519999313354489</v>
      </c>
      <c r="V610" s="1128">
        <v>77.360001373291013</v>
      </c>
      <c r="W610" s="1128">
        <v>66.739998626708982</v>
      </c>
      <c r="X610" s="1128">
        <v>59</v>
      </c>
      <c r="Y610" s="1128">
        <v>53.959999656677248</v>
      </c>
      <c r="Z610" s="1128">
        <v>66.636931508730541</v>
      </c>
      <c r="AA610" s="1128">
        <f t="shared" si="676"/>
        <v>62.277721456175065</v>
      </c>
      <c r="AB610" s="1128">
        <f t="shared" si="677"/>
        <v>62.523179127289218</v>
      </c>
      <c r="AC610" s="1128">
        <f t="shared" si="678"/>
        <v>65.404942214268019</v>
      </c>
      <c r="AD610" s="1128">
        <f t="shared" si="679"/>
        <v>70.171834759177017</v>
      </c>
      <c r="AE610" s="1128">
        <f t="shared" si="680"/>
        <v>75.581292760147946</v>
      </c>
      <c r="AF610" s="1128">
        <f t="shared" si="681"/>
        <v>80.223257626956581</v>
      </c>
      <c r="AG610" s="1128">
        <f t="shared" si="682"/>
        <v>82.887729682225327</v>
      </c>
      <c r="AH610" s="1128">
        <f t="shared" si="683"/>
        <v>82.880173223991093</v>
      </c>
      <c r="AI610" s="1128">
        <f t="shared" si="684"/>
        <v>80.202557959541195</v>
      </c>
      <c r="AJ610" s="1128">
        <f t="shared" si="685"/>
        <v>75.552845570854757</v>
      </c>
      <c r="AK610" s="1128">
        <f t="shared" si="686"/>
        <v>70.143055246279744</v>
      </c>
      <c r="AL610" s="1128">
        <f t="shared" si="687"/>
        <v>65.383332201309059</v>
      </c>
      <c r="AM610" s="1125">
        <f t="shared" si="688"/>
        <v>1</v>
      </c>
      <c r="AN610" s="1125">
        <f t="shared" si="689"/>
        <v>1</v>
      </c>
      <c r="AO610" s="1125">
        <f t="shared" si="690"/>
        <v>1</v>
      </c>
      <c r="AP610" s="1125">
        <f t="shared" si="691"/>
        <v>0</v>
      </c>
      <c r="AQ610" s="1125">
        <f t="shared" si="692"/>
        <v>0</v>
      </c>
      <c r="AR610" s="1125">
        <f t="shared" si="693"/>
        <v>0</v>
      </c>
      <c r="AS610" s="1125">
        <f t="shared" si="694"/>
        <v>0</v>
      </c>
      <c r="AT610" s="1125">
        <f t="shared" si="695"/>
        <v>0</v>
      </c>
      <c r="AU610" s="1125">
        <f t="shared" si="696"/>
        <v>0</v>
      </c>
      <c r="AV610" s="1125">
        <f t="shared" si="697"/>
        <v>0</v>
      </c>
      <c r="AW610" s="1125">
        <f t="shared" si="698"/>
        <v>1</v>
      </c>
      <c r="AX610" s="1125">
        <f t="shared" si="699"/>
        <v>1</v>
      </c>
      <c r="AY610" s="1125">
        <f t="shared" si="700"/>
        <v>0</v>
      </c>
      <c r="AZ610" s="1125">
        <f t="shared" si="701"/>
        <v>0</v>
      </c>
      <c r="BA610" s="1125">
        <f t="shared" si="702"/>
        <v>0</v>
      </c>
      <c r="BB610" s="1125">
        <f t="shared" si="703"/>
        <v>1</v>
      </c>
      <c r="BC610" s="1125">
        <f t="shared" si="704"/>
        <v>1</v>
      </c>
      <c r="BD610" s="1125">
        <f t="shared" si="705"/>
        <v>1</v>
      </c>
      <c r="BE610" s="1125">
        <f t="shared" si="706"/>
        <v>1</v>
      </c>
      <c r="BF610" s="1125">
        <f t="shared" si="707"/>
        <v>1</v>
      </c>
      <c r="BG610" s="1125">
        <f t="shared" si="708"/>
        <v>1</v>
      </c>
      <c r="BH610" s="1125">
        <f t="shared" si="709"/>
        <v>1</v>
      </c>
      <c r="BI610" s="1125">
        <f t="shared" si="710"/>
        <v>0</v>
      </c>
      <c r="BJ610" s="1125">
        <f t="shared" si="711"/>
        <v>0</v>
      </c>
      <c r="BK610" s="1125">
        <f t="shared" si="712"/>
        <v>1</v>
      </c>
      <c r="BL610" s="1125">
        <f t="shared" si="713"/>
        <v>1</v>
      </c>
      <c r="BM610" s="1125">
        <f t="shared" si="714"/>
        <v>1</v>
      </c>
      <c r="BN610" s="1125">
        <f t="shared" si="715"/>
        <v>1</v>
      </c>
      <c r="BO610" s="1125">
        <f t="shared" si="716"/>
        <v>0</v>
      </c>
      <c r="BP610" s="1125">
        <f t="shared" si="717"/>
        <v>0</v>
      </c>
      <c r="BQ610" s="1125">
        <f t="shared" si="718"/>
        <v>0</v>
      </c>
      <c r="BR610" s="1125">
        <f t="shared" si="719"/>
        <v>0</v>
      </c>
      <c r="BS610" s="1125">
        <f t="shared" si="720"/>
        <v>0</v>
      </c>
      <c r="BT610" s="1125">
        <f t="shared" si="721"/>
        <v>0</v>
      </c>
      <c r="BU610" s="1125">
        <f t="shared" si="722"/>
        <v>1</v>
      </c>
      <c r="BV610" s="1125">
        <f t="shared" si="723"/>
        <v>1</v>
      </c>
      <c r="BW610" s="1125">
        <f t="shared" si="724"/>
        <v>0</v>
      </c>
      <c r="BX610" s="1125">
        <f t="shared" si="725"/>
        <v>0</v>
      </c>
      <c r="BY610" s="1125">
        <f t="shared" si="726"/>
        <v>1</v>
      </c>
      <c r="BZ610" s="1125">
        <f t="shared" si="727"/>
        <v>1</v>
      </c>
      <c r="CA610" s="1125">
        <f t="shared" si="728"/>
        <v>1</v>
      </c>
      <c r="CB610" s="1125">
        <f t="shared" si="729"/>
        <v>1</v>
      </c>
      <c r="CC610" s="1125">
        <f t="shared" si="730"/>
        <v>1</v>
      </c>
      <c r="CD610" s="1125">
        <f t="shared" si="731"/>
        <v>1</v>
      </c>
      <c r="CE610" s="1125">
        <f t="shared" si="732"/>
        <v>1</v>
      </c>
      <c r="CF610" s="1125">
        <f t="shared" si="733"/>
        <v>1</v>
      </c>
      <c r="CG610" s="1125">
        <f t="shared" si="734"/>
        <v>1</v>
      </c>
      <c r="CH610" s="1125">
        <f t="shared" si="735"/>
        <v>0</v>
      </c>
      <c r="CI610" s="1125">
        <f t="shared" si="736"/>
        <v>0.85</v>
      </c>
      <c r="CJ610" s="1125">
        <f t="shared" si="737"/>
        <v>0.85</v>
      </c>
      <c r="CK610" s="1125">
        <f t="shared" si="738"/>
        <v>0.85</v>
      </c>
      <c r="CL610" s="1125">
        <f t="shared" si="739"/>
        <v>0.85</v>
      </c>
      <c r="CM610" s="1125">
        <f t="shared" si="740"/>
        <v>0.7</v>
      </c>
      <c r="CN610" s="1125">
        <f t="shared" si="741"/>
        <v>0.7</v>
      </c>
      <c r="CO610" s="1125">
        <f t="shared" si="742"/>
        <v>0.7</v>
      </c>
      <c r="CP610" s="1125">
        <f t="shared" si="743"/>
        <v>0.7</v>
      </c>
      <c r="CQ610" s="1125">
        <f t="shared" si="744"/>
        <v>0.7</v>
      </c>
      <c r="CR610" s="1125">
        <f t="shared" si="745"/>
        <v>0.7</v>
      </c>
      <c r="CS610" s="1125">
        <f t="shared" si="746"/>
        <v>0.85</v>
      </c>
      <c r="CT610" s="1125">
        <f t="shared" si="747"/>
        <v>0.85</v>
      </c>
      <c r="CU610" s="1125">
        <v>1</v>
      </c>
      <c r="CV610" s="1125"/>
      <c r="CW610" s="1125">
        <f t="shared" si="748"/>
        <v>275</v>
      </c>
      <c r="CX610" s="1125">
        <f t="shared" si="749"/>
        <v>90</v>
      </c>
      <c r="CY610" s="1136" t="s">
        <v>4883</v>
      </c>
      <c r="CZ610" s="1129" t="s">
        <v>4884</v>
      </c>
      <c r="DA610" s="1129"/>
      <c r="DB610" s="1129"/>
      <c r="DC610" s="1125" t="s">
        <v>4979</v>
      </c>
      <c r="DD610" s="1125" t="s">
        <v>247</v>
      </c>
      <c r="DE610" s="1125" t="str">
        <f t="shared" si="750"/>
        <v/>
      </c>
      <c r="DF610" s="1125">
        <v>0</v>
      </c>
      <c r="DG610" s="1120">
        <v>0</v>
      </c>
    </row>
    <row r="611" spans="1:111">
      <c r="A611" s="1125" t="s">
        <v>3938</v>
      </c>
      <c r="B611" s="1120" t="s">
        <v>4324</v>
      </c>
      <c r="C611" s="1120" t="s">
        <v>4325</v>
      </c>
      <c r="D611" s="1120" t="s">
        <v>1147</v>
      </c>
      <c r="E611" s="1120">
        <v>1666</v>
      </c>
      <c r="F611" s="1120">
        <v>-100.43</v>
      </c>
      <c r="G611" s="1120">
        <v>45.53</v>
      </c>
      <c r="H611" s="1120">
        <v>-7</v>
      </c>
      <c r="I611" s="1121">
        <v>-10.119999313354493</v>
      </c>
      <c r="J611" s="1121">
        <v>91.039998626708993</v>
      </c>
      <c r="K611" s="1122">
        <v>69.619999313354498</v>
      </c>
      <c r="L611" s="1120">
        <v>8294.4</v>
      </c>
      <c r="M611" s="1120">
        <v>797.4</v>
      </c>
      <c r="N611" s="1123">
        <v>17.600000000000001</v>
      </c>
      <c r="O611" s="1123">
        <v>23.359999656677246</v>
      </c>
      <c r="P611" s="1123">
        <v>27.860000085830688</v>
      </c>
      <c r="Q611" s="1123">
        <v>48.380000686645509</v>
      </c>
      <c r="R611" s="1123">
        <v>55.4</v>
      </c>
      <c r="S611" s="1123">
        <v>64.219999313354492</v>
      </c>
      <c r="T611" s="1123">
        <v>74.3</v>
      </c>
      <c r="U611" s="1123">
        <v>74.119999313354498</v>
      </c>
      <c r="V611" s="1123">
        <v>61.880000686645509</v>
      </c>
      <c r="W611" s="1123">
        <v>38.839999914169312</v>
      </c>
      <c r="X611" s="1123">
        <v>24.8</v>
      </c>
      <c r="Y611" s="1123">
        <v>14.359999656677246</v>
      </c>
      <c r="Z611" s="1123">
        <v>43.861260216595376</v>
      </c>
      <c r="AA611" s="1123">
        <f t="shared" si="676"/>
        <v>40.033271638433689</v>
      </c>
      <c r="AB611" s="1123">
        <f t="shared" si="677"/>
        <v>37.9615221489546</v>
      </c>
      <c r="AC611" s="1123">
        <f t="shared" si="678"/>
        <v>38.991622767320585</v>
      </c>
      <c r="AD611" s="1123">
        <f t="shared" si="679"/>
        <v>42.855061893023503</v>
      </c>
      <c r="AE611" s="1123">
        <f t="shared" si="680"/>
        <v>48.544774580549785</v>
      </c>
      <c r="AF611" s="1123">
        <f t="shared" si="681"/>
        <v>54.577649536769108</v>
      </c>
      <c r="AG611" s="1123">
        <f t="shared" si="682"/>
        <v>59.381124934925666</v>
      </c>
      <c r="AH611" s="1123">
        <f t="shared" si="683"/>
        <v>61.703100888693378</v>
      </c>
      <c r="AI611" s="1123">
        <f t="shared" si="684"/>
        <v>60.938318582990121</v>
      </c>
      <c r="AJ611" s="1123">
        <f t="shared" si="685"/>
        <v>57.286130311449519</v>
      </c>
      <c r="AK611" s="1123">
        <f t="shared" si="686"/>
        <v>51.698535228973547</v>
      </c>
      <c r="AL611" s="1123">
        <f t="shared" si="687"/>
        <v>45.632026101256216</v>
      </c>
      <c r="AM611" s="1120">
        <f t="shared" si="688"/>
        <v>1</v>
      </c>
      <c r="AN611" s="1120">
        <f t="shared" si="689"/>
        <v>1</v>
      </c>
      <c r="AO611" s="1120">
        <f t="shared" si="690"/>
        <v>1</v>
      </c>
      <c r="AP611" s="1120">
        <f t="shared" si="691"/>
        <v>1</v>
      </c>
      <c r="AQ611" s="1120">
        <f t="shared" si="692"/>
        <v>1</v>
      </c>
      <c r="AR611" s="1120">
        <f t="shared" si="693"/>
        <v>1</v>
      </c>
      <c r="AS611" s="1120">
        <f t="shared" si="694"/>
        <v>0</v>
      </c>
      <c r="AT611" s="1120">
        <f t="shared" si="695"/>
        <v>0</v>
      </c>
      <c r="AU611" s="1120">
        <f t="shared" si="696"/>
        <v>1</v>
      </c>
      <c r="AV611" s="1120">
        <f t="shared" si="697"/>
        <v>1</v>
      </c>
      <c r="AW611" s="1120">
        <f t="shared" si="698"/>
        <v>1</v>
      </c>
      <c r="AX611" s="1120">
        <f t="shared" si="699"/>
        <v>1</v>
      </c>
      <c r="AY611" s="1120">
        <f t="shared" si="700"/>
        <v>0</v>
      </c>
      <c r="AZ611" s="1120">
        <f t="shared" si="701"/>
        <v>0</v>
      </c>
      <c r="BA611" s="1120">
        <f t="shared" si="702"/>
        <v>0</v>
      </c>
      <c r="BB611" s="1120">
        <f t="shared" si="703"/>
        <v>0</v>
      </c>
      <c r="BC611" s="1120">
        <f t="shared" si="704"/>
        <v>0</v>
      </c>
      <c r="BD611" s="1120">
        <f t="shared" si="705"/>
        <v>0</v>
      </c>
      <c r="BE611" s="1120">
        <f t="shared" si="706"/>
        <v>1</v>
      </c>
      <c r="BF611" s="1120">
        <f t="shared" si="707"/>
        <v>1</v>
      </c>
      <c r="BG611" s="1120">
        <f t="shared" si="708"/>
        <v>0</v>
      </c>
      <c r="BH611" s="1120">
        <f t="shared" si="709"/>
        <v>0</v>
      </c>
      <c r="BI611" s="1120">
        <f t="shared" si="710"/>
        <v>0</v>
      </c>
      <c r="BJ611" s="1120">
        <f t="shared" si="711"/>
        <v>0</v>
      </c>
      <c r="BK611" s="1120">
        <f t="shared" si="712"/>
        <v>1</v>
      </c>
      <c r="BL611" s="1120">
        <f t="shared" si="713"/>
        <v>1</v>
      </c>
      <c r="BM611" s="1120">
        <f t="shared" si="714"/>
        <v>1</v>
      </c>
      <c r="BN611" s="1120">
        <f t="shared" si="715"/>
        <v>1</v>
      </c>
      <c r="BO611" s="1120">
        <f t="shared" si="716"/>
        <v>1</v>
      </c>
      <c r="BP611" s="1120">
        <f t="shared" si="717"/>
        <v>1</v>
      </c>
      <c r="BQ611" s="1120">
        <f t="shared" si="718"/>
        <v>1</v>
      </c>
      <c r="BR611" s="1120">
        <f t="shared" si="719"/>
        <v>0</v>
      </c>
      <c r="BS611" s="1120">
        <f t="shared" si="720"/>
        <v>1</v>
      </c>
      <c r="BT611" s="1120">
        <f t="shared" si="721"/>
        <v>1</v>
      </c>
      <c r="BU611" s="1120">
        <f t="shared" si="722"/>
        <v>1</v>
      </c>
      <c r="BV611" s="1120">
        <f t="shared" si="723"/>
        <v>1</v>
      </c>
      <c r="BW611" s="1120">
        <f t="shared" si="724"/>
        <v>0</v>
      </c>
      <c r="BX611" s="1120">
        <f t="shared" si="725"/>
        <v>0</v>
      </c>
      <c r="BY611" s="1120">
        <f t="shared" si="726"/>
        <v>0</v>
      </c>
      <c r="BZ611" s="1120">
        <f t="shared" si="727"/>
        <v>0</v>
      </c>
      <c r="CA611" s="1120">
        <f t="shared" si="728"/>
        <v>0</v>
      </c>
      <c r="CB611" s="1120">
        <f t="shared" si="729"/>
        <v>1</v>
      </c>
      <c r="CC611" s="1120">
        <f t="shared" si="730"/>
        <v>1</v>
      </c>
      <c r="CD611" s="1120">
        <f t="shared" si="731"/>
        <v>1</v>
      </c>
      <c r="CE611" s="1120">
        <f t="shared" si="732"/>
        <v>1</v>
      </c>
      <c r="CF611" s="1120">
        <f t="shared" si="733"/>
        <v>0</v>
      </c>
      <c r="CG611" s="1120">
        <f t="shared" si="734"/>
        <v>0</v>
      </c>
      <c r="CH611" s="1120">
        <f t="shared" si="735"/>
        <v>0</v>
      </c>
      <c r="CI611" s="1120">
        <f t="shared" si="736"/>
        <v>0.85</v>
      </c>
      <c r="CJ611" s="1120">
        <f t="shared" si="737"/>
        <v>0.85</v>
      </c>
      <c r="CK611" s="1120">
        <f t="shared" si="738"/>
        <v>0.85</v>
      </c>
      <c r="CL611" s="1120">
        <f t="shared" si="739"/>
        <v>0.85</v>
      </c>
      <c r="CM611" s="1120">
        <f t="shared" si="740"/>
        <v>0.85</v>
      </c>
      <c r="CN611" s="1120">
        <f t="shared" si="741"/>
        <v>0.85</v>
      </c>
      <c r="CO611" s="1120">
        <f t="shared" si="742"/>
        <v>0.85</v>
      </c>
      <c r="CP611" s="1120">
        <f t="shared" si="743"/>
        <v>0.7</v>
      </c>
      <c r="CQ611" s="1120">
        <f t="shared" si="744"/>
        <v>0.85</v>
      </c>
      <c r="CR611" s="1120">
        <f t="shared" si="745"/>
        <v>0.85</v>
      </c>
      <c r="CS611" s="1120">
        <f t="shared" si="746"/>
        <v>0.85</v>
      </c>
      <c r="CT611" s="1120">
        <f t="shared" si="747"/>
        <v>0.85</v>
      </c>
      <c r="CU611" s="1120">
        <v>1</v>
      </c>
      <c r="CV611" s="1120"/>
      <c r="CW611" s="1120">
        <f t="shared" si="748"/>
        <v>122</v>
      </c>
      <c r="CX611" s="1120">
        <f t="shared" si="749"/>
        <v>243</v>
      </c>
      <c r="CY611" s="1135" t="s">
        <v>4889</v>
      </c>
      <c r="CZ611" s="1124" t="s">
        <v>4899</v>
      </c>
      <c r="DA611" s="1124"/>
      <c r="DB611" s="1124"/>
      <c r="DC611" s="1120" t="s">
        <v>5560</v>
      </c>
      <c r="DD611" s="1120" t="s">
        <v>1147</v>
      </c>
      <c r="DE611" s="1120" t="str">
        <f t="shared" si="750"/>
        <v/>
      </c>
      <c r="DF611" s="1133">
        <v>0</v>
      </c>
      <c r="DG611" s="1125">
        <v>0</v>
      </c>
    </row>
    <row r="612" spans="1:111">
      <c r="A612" s="1120" t="s">
        <v>3940</v>
      </c>
      <c r="B612" s="1125" t="s">
        <v>3138</v>
      </c>
      <c r="C612" s="1125" t="s">
        <v>3139</v>
      </c>
      <c r="D612" s="1125" t="s">
        <v>954</v>
      </c>
      <c r="E612" s="1125">
        <v>98</v>
      </c>
      <c r="F612" s="1125">
        <v>-120.95</v>
      </c>
      <c r="G612" s="1125">
        <v>37.630000000000003</v>
      </c>
      <c r="H612" s="1125">
        <v>-8</v>
      </c>
      <c r="I612" s="1126">
        <v>33.619999957084659</v>
      </c>
      <c r="J612" s="1126">
        <v>98.239998626708982</v>
      </c>
      <c r="K612" s="1127">
        <v>69.260001373291018</v>
      </c>
      <c r="L612" s="1125">
        <v>2196</v>
      </c>
      <c r="M612" s="1125">
        <v>1479.6000000000001</v>
      </c>
      <c r="N612" s="1128">
        <v>46.040000343322752</v>
      </c>
      <c r="O612" s="1128">
        <v>52.7</v>
      </c>
      <c r="P612" s="1128">
        <v>56.480000686645511</v>
      </c>
      <c r="Q612" s="1128">
        <v>63.680000686645506</v>
      </c>
      <c r="R612" s="1128">
        <v>67.099999999999994</v>
      </c>
      <c r="S612" s="1128">
        <v>73.580000686645505</v>
      </c>
      <c r="T612" s="1128">
        <v>76.460001373291021</v>
      </c>
      <c r="U612" s="1128">
        <v>76.639998626708987</v>
      </c>
      <c r="V612" s="1128">
        <v>71.780000686645508</v>
      </c>
      <c r="W612" s="1128">
        <v>63.5</v>
      </c>
      <c r="X612" s="1128">
        <v>52.880000686645509</v>
      </c>
      <c r="Y612" s="1128">
        <v>47.840000343322757</v>
      </c>
      <c r="Z612" s="1128">
        <v>62.435781164299954</v>
      </c>
      <c r="AA612" s="1128">
        <f t="shared" si="676"/>
        <v>59.855891784587264</v>
      </c>
      <c r="AB612" s="1128">
        <f t="shared" si="677"/>
        <v>59.733031559484544</v>
      </c>
      <c r="AC612" s="1128">
        <f t="shared" si="678"/>
        <v>61.878677132307956</v>
      </c>
      <c r="AD612" s="1128">
        <f t="shared" si="679"/>
        <v>65.733532919101904</v>
      </c>
      <c r="AE612" s="1128">
        <f t="shared" si="680"/>
        <v>70.292771353912713</v>
      </c>
      <c r="AF612" s="1128">
        <f t="shared" si="681"/>
        <v>74.367956678715899</v>
      </c>
      <c r="AG612" s="1128">
        <f t="shared" si="682"/>
        <v>76.896829038094694</v>
      </c>
      <c r="AH612" s="1128">
        <f t="shared" si="683"/>
        <v>77.220198880474328</v>
      </c>
      <c r="AI612" s="1128">
        <f t="shared" si="684"/>
        <v>75.253774873158434</v>
      </c>
      <c r="AJ612" s="1128">
        <f t="shared" si="685"/>
        <v>71.510135737165129</v>
      </c>
      <c r="AK612" s="1128">
        <f t="shared" si="686"/>
        <v>66.965118704516442</v>
      </c>
      <c r="AL612" s="1128">
        <f t="shared" si="687"/>
        <v>62.803452505604866</v>
      </c>
      <c r="AM612" s="1125">
        <f t="shared" si="688"/>
        <v>1</v>
      </c>
      <c r="AN612" s="1125">
        <f t="shared" si="689"/>
        <v>1</v>
      </c>
      <c r="AO612" s="1125">
        <f t="shared" si="690"/>
        <v>1</v>
      </c>
      <c r="AP612" s="1125">
        <f t="shared" si="691"/>
        <v>1</v>
      </c>
      <c r="AQ612" s="1125">
        <f t="shared" si="692"/>
        <v>0</v>
      </c>
      <c r="AR612" s="1125">
        <f t="shared" si="693"/>
        <v>0</v>
      </c>
      <c r="AS612" s="1125">
        <f t="shared" si="694"/>
        <v>0</v>
      </c>
      <c r="AT612" s="1125">
        <f t="shared" si="695"/>
        <v>0</v>
      </c>
      <c r="AU612" s="1125">
        <f t="shared" si="696"/>
        <v>0</v>
      </c>
      <c r="AV612" s="1125">
        <f t="shared" si="697"/>
        <v>1</v>
      </c>
      <c r="AW612" s="1125">
        <f t="shared" si="698"/>
        <v>1</v>
      </c>
      <c r="AX612" s="1125">
        <f t="shared" si="699"/>
        <v>1</v>
      </c>
      <c r="AY612" s="1125">
        <f t="shared" si="700"/>
        <v>0</v>
      </c>
      <c r="AZ612" s="1125">
        <f t="shared" si="701"/>
        <v>0</v>
      </c>
      <c r="BA612" s="1125">
        <f t="shared" si="702"/>
        <v>0</v>
      </c>
      <c r="BB612" s="1125">
        <f t="shared" si="703"/>
        <v>0</v>
      </c>
      <c r="BC612" s="1125">
        <f t="shared" si="704"/>
        <v>1</v>
      </c>
      <c r="BD612" s="1125">
        <f t="shared" si="705"/>
        <v>1</v>
      </c>
      <c r="BE612" s="1125">
        <f t="shared" si="706"/>
        <v>1</v>
      </c>
      <c r="BF612" s="1125">
        <f t="shared" si="707"/>
        <v>1</v>
      </c>
      <c r="BG612" s="1125">
        <f t="shared" si="708"/>
        <v>1</v>
      </c>
      <c r="BH612" s="1125">
        <f t="shared" si="709"/>
        <v>0</v>
      </c>
      <c r="BI612" s="1125">
        <f t="shared" si="710"/>
        <v>0</v>
      </c>
      <c r="BJ612" s="1125">
        <f t="shared" si="711"/>
        <v>0</v>
      </c>
      <c r="BK612" s="1125">
        <f t="shared" si="712"/>
        <v>1</v>
      </c>
      <c r="BL612" s="1125">
        <f t="shared" si="713"/>
        <v>1</v>
      </c>
      <c r="BM612" s="1125">
        <f t="shared" si="714"/>
        <v>1</v>
      </c>
      <c r="BN612" s="1125">
        <f t="shared" si="715"/>
        <v>1</v>
      </c>
      <c r="BO612" s="1125">
        <f t="shared" si="716"/>
        <v>1</v>
      </c>
      <c r="BP612" s="1125">
        <f t="shared" si="717"/>
        <v>0</v>
      </c>
      <c r="BQ612" s="1125">
        <f t="shared" si="718"/>
        <v>0</v>
      </c>
      <c r="BR612" s="1125">
        <f t="shared" si="719"/>
        <v>0</v>
      </c>
      <c r="BS612" s="1125">
        <f t="shared" si="720"/>
        <v>0</v>
      </c>
      <c r="BT612" s="1125">
        <f t="shared" si="721"/>
        <v>1</v>
      </c>
      <c r="BU612" s="1125">
        <f t="shared" si="722"/>
        <v>1</v>
      </c>
      <c r="BV612" s="1125">
        <f t="shared" si="723"/>
        <v>1</v>
      </c>
      <c r="BW612" s="1125">
        <f t="shared" si="724"/>
        <v>0</v>
      </c>
      <c r="BX612" s="1125">
        <f t="shared" si="725"/>
        <v>0</v>
      </c>
      <c r="BY612" s="1125">
        <f t="shared" si="726"/>
        <v>0</v>
      </c>
      <c r="BZ612" s="1125">
        <f t="shared" si="727"/>
        <v>1</v>
      </c>
      <c r="CA612" s="1125">
        <f t="shared" si="728"/>
        <v>1</v>
      </c>
      <c r="CB612" s="1125">
        <f t="shared" si="729"/>
        <v>1</v>
      </c>
      <c r="CC612" s="1125">
        <f t="shared" si="730"/>
        <v>1</v>
      </c>
      <c r="CD612" s="1125">
        <f t="shared" si="731"/>
        <v>1</v>
      </c>
      <c r="CE612" s="1125">
        <f t="shared" si="732"/>
        <v>1</v>
      </c>
      <c r="CF612" s="1125">
        <f t="shared" si="733"/>
        <v>1</v>
      </c>
      <c r="CG612" s="1125">
        <f t="shared" si="734"/>
        <v>0</v>
      </c>
      <c r="CH612" s="1125">
        <f t="shared" si="735"/>
        <v>0</v>
      </c>
      <c r="CI612" s="1125">
        <f t="shared" si="736"/>
        <v>0.85</v>
      </c>
      <c r="CJ612" s="1125">
        <f t="shared" si="737"/>
        <v>0.85</v>
      </c>
      <c r="CK612" s="1125">
        <f t="shared" si="738"/>
        <v>0.85</v>
      </c>
      <c r="CL612" s="1125">
        <f t="shared" si="739"/>
        <v>0.85</v>
      </c>
      <c r="CM612" s="1125">
        <f t="shared" si="740"/>
        <v>0.85</v>
      </c>
      <c r="CN612" s="1125">
        <f t="shared" si="741"/>
        <v>0.7</v>
      </c>
      <c r="CO612" s="1125">
        <f t="shared" si="742"/>
        <v>0.7</v>
      </c>
      <c r="CP612" s="1125">
        <f t="shared" si="743"/>
        <v>0.7</v>
      </c>
      <c r="CQ612" s="1125">
        <f t="shared" si="744"/>
        <v>0.7</v>
      </c>
      <c r="CR612" s="1125">
        <f t="shared" si="745"/>
        <v>0.85</v>
      </c>
      <c r="CS612" s="1125">
        <f t="shared" si="746"/>
        <v>0.85</v>
      </c>
      <c r="CT612" s="1125">
        <f t="shared" si="747"/>
        <v>0.85</v>
      </c>
      <c r="CU612" s="1125">
        <v>1</v>
      </c>
      <c r="CV612" s="1125"/>
      <c r="CW612" s="1125">
        <f t="shared" si="748"/>
        <v>214</v>
      </c>
      <c r="CX612" s="1125">
        <f t="shared" si="749"/>
        <v>151</v>
      </c>
      <c r="CY612" s="1135" t="s">
        <v>4886</v>
      </c>
      <c r="CZ612" s="1124" t="s">
        <v>4888</v>
      </c>
      <c r="DA612" s="1124"/>
      <c r="DB612" s="1124"/>
      <c r="DC612" s="1120" t="s">
        <v>5034</v>
      </c>
      <c r="DD612" s="1120" t="s">
        <v>954</v>
      </c>
      <c r="DE612" s="1120" t="b">
        <f t="shared" si="750"/>
        <v>0</v>
      </c>
      <c r="DF612" s="1133">
        <v>0</v>
      </c>
      <c r="DG612" s="1120">
        <v>0</v>
      </c>
    </row>
    <row r="613" spans="1:111">
      <c r="A613" s="1125" t="s">
        <v>3942</v>
      </c>
      <c r="B613" s="1125" t="s">
        <v>3515</v>
      </c>
      <c r="C613" s="1125" t="s">
        <v>3516</v>
      </c>
      <c r="D613" s="1125" t="s">
        <v>932</v>
      </c>
      <c r="E613" s="1125">
        <v>590</v>
      </c>
      <c r="F613" s="1125">
        <v>-90.52</v>
      </c>
      <c r="G613" s="1125">
        <v>41.47</v>
      </c>
      <c r="H613" s="1125">
        <v>-6</v>
      </c>
      <c r="I613" s="1126">
        <v>-3.9998626708985165E-2</v>
      </c>
      <c r="J613" s="1126">
        <v>90.679997253417966</v>
      </c>
      <c r="K613" s="1127">
        <v>75.2</v>
      </c>
      <c r="L613" s="1125">
        <v>6238.8</v>
      </c>
      <c r="M613" s="1125">
        <v>1081.8</v>
      </c>
      <c r="N613" s="1128">
        <v>22.279999828338624</v>
      </c>
      <c r="O613" s="1128">
        <v>27.679999828338623</v>
      </c>
      <c r="P613" s="1128">
        <v>38.839999914169312</v>
      </c>
      <c r="Q613" s="1128">
        <v>50</v>
      </c>
      <c r="R613" s="1128">
        <v>62.960001373291014</v>
      </c>
      <c r="S613" s="1128">
        <v>71.960001373291021</v>
      </c>
      <c r="T613" s="1128">
        <v>75.2</v>
      </c>
      <c r="U613" s="1128">
        <v>73.580000686645505</v>
      </c>
      <c r="V613" s="1128">
        <v>65.480000686645511</v>
      </c>
      <c r="W613" s="1128">
        <v>50.719999313354492</v>
      </c>
      <c r="X613" s="1128">
        <v>37.76000008583069</v>
      </c>
      <c r="Y613" s="1128">
        <v>25.7</v>
      </c>
      <c r="Z613" s="1128">
        <v>50.297863271661001</v>
      </c>
      <c r="AA613" s="1128">
        <f t="shared" si="676"/>
        <v>45.511681691503796</v>
      </c>
      <c r="AB613" s="1128">
        <f t="shared" si="677"/>
        <v>44.050504018089079</v>
      </c>
      <c r="AC613" s="1128">
        <f t="shared" si="678"/>
        <v>45.781789271637024</v>
      </c>
      <c r="AD613" s="1128">
        <f t="shared" si="679"/>
        <v>50.254251270897001</v>
      </c>
      <c r="AE613" s="1128">
        <f t="shared" si="680"/>
        <v>56.302073873036214</v>
      </c>
      <c r="AF613" s="1128">
        <f t="shared" si="681"/>
        <v>62.348798917039645</v>
      </c>
      <c r="AG613" s="1128">
        <f t="shared" si="682"/>
        <v>66.818254337334253</v>
      </c>
      <c r="AH613" s="1128">
        <f t="shared" si="683"/>
        <v>68.545407702227351</v>
      </c>
      <c r="AI613" s="1128">
        <f t="shared" si="684"/>
        <v>67.080049870920533</v>
      </c>
      <c r="AJ613" s="1128">
        <f t="shared" si="685"/>
        <v>62.804148943991642</v>
      </c>
      <c r="AK613" s="1128">
        <f t="shared" si="686"/>
        <v>56.832284391672559</v>
      </c>
      <c r="AL613" s="1128">
        <f t="shared" si="687"/>
        <v>50.721114738743729</v>
      </c>
      <c r="AM613" s="1125">
        <f t="shared" si="688"/>
        <v>1</v>
      </c>
      <c r="AN613" s="1125">
        <f t="shared" si="689"/>
        <v>1</v>
      </c>
      <c r="AO613" s="1125">
        <f t="shared" si="690"/>
        <v>1</v>
      </c>
      <c r="AP613" s="1125">
        <f t="shared" si="691"/>
        <v>1</v>
      </c>
      <c r="AQ613" s="1125">
        <f t="shared" si="692"/>
        <v>1</v>
      </c>
      <c r="AR613" s="1125">
        <f t="shared" si="693"/>
        <v>0</v>
      </c>
      <c r="AS613" s="1125">
        <f t="shared" si="694"/>
        <v>0</v>
      </c>
      <c r="AT613" s="1125">
        <f t="shared" si="695"/>
        <v>0</v>
      </c>
      <c r="AU613" s="1125">
        <f t="shared" si="696"/>
        <v>1</v>
      </c>
      <c r="AV613" s="1125">
        <f t="shared" si="697"/>
        <v>1</v>
      </c>
      <c r="AW613" s="1125">
        <f t="shared" si="698"/>
        <v>1</v>
      </c>
      <c r="AX613" s="1125">
        <f t="shared" si="699"/>
        <v>1</v>
      </c>
      <c r="AY613" s="1125">
        <f t="shared" si="700"/>
        <v>0</v>
      </c>
      <c r="AZ613" s="1125">
        <f t="shared" si="701"/>
        <v>0</v>
      </c>
      <c r="BA613" s="1125">
        <f t="shared" si="702"/>
        <v>0</v>
      </c>
      <c r="BB613" s="1125">
        <f t="shared" si="703"/>
        <v>0</v>
      </c>
      <c r="BC613" s="1125">
        <f t="shared" si="704"/>
        <v>0</v>
      </c>
      <c r="BD613" s="1125">
        <f t="shared" si="705"/>
        <v>1</v>
      </c>
      <c r="BE613" s="1125">
        <f t="shared" si="706"/>
        <v>1</v>
      </c>
      <c r="BF613" s="1125">
        <f t="shared" si="707"/>
        <v>1</v>
      </c>
      <c r="BG613" s="1125">
        <f t="shared" si="708"/>
        <v>0</v>
      </c>
      <c r="BH613" s="1125">
        <f t="shared" si="709"/>
        <v>0</v>
      </c>
      <c r="BI613" s="1125">
        <f t="shared" si="710"/>
        <v>0</v>
      </c>
      <c r="BJ613" s="1125">
        <f t="shared" si="711"/>
        <v>0</v>
      </c>
      <c r="BK613" s="1125">
        <f t="shared" si="712"/>
        <v>1</v>
      </c>
      <c r="BL613" s="1125">
        <f t="shared" si="713"/>
        <v>1</v>
      </c>
      <c r="BM613" s="1125">
        <f t="shared" si="714"/>
        <v>1</v>
      </c>
      <c r="BN613" s="1125">
        <f t="shared" si="715"/>
        <v>1</v>
      </c>
      <c r="BO613" s="1125">
        <f t="shared" si="716"/>
        <v>1</v>
      </c>
      <c r="BP613" s="1125">
        <f t="shared" si="717"/>
        <v>1</v>
      </c>
      <c r="BQ613" s="1125">
        <f t="shared" si="718"/>
        <v>0</v>
      </c>
      <c r="BR613" s="1125">
        <f t="shared" si="719"/>
        <v>0</v>
      </c>
      <c r="BS613" s="1125">
        <f t="shared" si="720"/>
        <v>1</v>
      </c>
      <c r="BT613" s="1125">
        <f t="shared" si="721"/>
        <v>1</v>
      </c>
      <c r="BU613" s="1125">
        <f t="shared" si="722"/>
        <v>1</v>
      </c>
      <c r="BV613" s="1125">
        <f t="shared" si="723"/>
        <v>1</v>
      </c>
      <c r="BW613" s="1125">
        <f t="shared" si="724"/>
        <v>0</v>
      </c>
      <c r="BX613" s="1125">
        <f t="shared" si="725"/>
        <v>0</v>
      </c>
      <c r="BY613" s="1125">
        <f t="shared" si="726"/>
        <v>0</v>
      </c>
      <c r="BZ613" s="1125">
        <f t="shared" si="727"/>
        <v>0</v>
      </c>
      <c r="CA613" s="1125">
        <f t="shared" si="728"/>
        <v>1</v>
      </c>
      <c r="CB613" s="1125">
        <f t="shared" si="729"/>
        <v>1</v>
      </c>
      <c r="CC613" s="1125">
        <f t="shared" si="730"/>
        <v>1</v>
      </c>
      <c r="CD613" s="1125">
        <f t="shared" si="731"/>
        <v>1</v>
      </c>
      <c r="CE613" s="1125">
        <f t="shared" si="732"/>
        <v>1</v>
      </c>
      <c r="CF613" s="1125">
        <f t="shared" si="733"/>
        <v>0</v>
      </c>
      <c r="CG613" s="1125">
        <f t="shared" si="734"/>
        <v>0</v>
      </c>
      <c r="CH613" s="1125">
        <f t="shared" si="735"/>
        <v>0</v>
      </c>
      <c r="CI613" s="1125">
        <f t="shared" si="736"/>
        <v>0.85</v>
      </c>
      <c r="CJ613" s="1125">
        <f t="shared" si="737"/>
        <v>0.85</v>
      </c>
      <c r="CK613" s="1125">
        <f t="shared" si="738"/>
        <v>0.85</v>
      </c>
      <c r="CL613" s="1125">
        <f t="shared" si="739"/>
        <v>0.85</v>
      </c>
      <c r="CM613" s="1125">
        <f t="shared" si="740"/>
        <v>0.85</v>
      </c>
      <c r="CN613" s="1125">
        <f t="shared" si="741"/>
        <v>0.85</v>
      </c>
      <c r="CO613" s="1125">
        <f t="shared" si="742"/>
        <v>0.7</v>
      </c>
      <c r="CP613" s="1125">
        <f t="shared" si="743"/>
        <v>0.7</v>
      </c>
      <c r="CQ613" s="1125">
        <f t="shared" si="744"/>
        <v>0.85</v>
      </c>
      <c r="CR613" s="1125">
        <f t="shared" si="745"/>
        <v>0.85</v>
      </c>
      <c r="CS613" s="1125">
        <f t="shared" si="746"/>
        <v>0.85</v>
      </c>
      <c r="CT613" s="1125">
        <f t="shared" si="747"/>
        <v>0.85</v>
      </c>
      <c r="CU613" s="1125">
        <v>1</v>
      </c>
      <c r="CV613" s="1125"/>
      <c r="CW613" s="1125">
        <f t="shared" si="748"/>
        <v>153</v>
      </c>
      <c r="CX613" s="1125">
        <f t="shared" si="749"/>
        <v>212</v>
      </c>
      <c r="CY613" s="1135" t="s">
        <v>4889</v>
      </c>
      <c r="CZ613" s="1124" t="s">
        <v>4897</v>
      </c>
      <c r="DA613" s="1124"/>
      <c r="DB613" s="1124"/>
      <c r="DC613" s="1120" t="s">
        <v>5208</v>
      </c>
      <c r="DD613" s="1120" t="s">
        <v>932</v>
      </c>
      <c r="DE613" s="1120" t="str">
        <f t="shared" si="750"/>
        <v/>
      </c>
      <c r="DF613" s="1133">
        <v>0</v>
      </c>
      <c r="DG613" s="1125">
        <v>0</v>
      </c>
    </row>
    <row r="614" spans="1:111">
      <c r="A614" s="1120" t="s">
        <v>3944</v>
      </c>
      <c r="B614" s="1125" t="s">
        <v>3402</v>
      </c>
      <c r="C614" s="1125" t="s">
        <v>3403</v>
      </c>
      <c r="D614" s="1125" t="s">
        <v>122</v>
      </c>
      <c r="E614" s="1125">
        <v>449</v>
      </c>
      <c r="F614" s="1125">
        <v>-157.1</v>
      </c>
      <c r="G614" s="1125">
        <v>21.15</v>
      </c>
      <c r="H614" s="1125">
        <v>-10</v>
      </c>
      <c r="I614" s="1126">
        <v>61.7</v>
      </c>
      <c r="J614" s="1126">
        <v>86.360001373291013</v>
      </c>
      <c r="K614" s="1127">
        <v>72.5</v>
      </c>
      <c r="L614" s="1125">
        <v>36</v>
      </c>
      <c r="M614" s="1125">
        <v>3789</v>
      </c>
      <c r="N614" s="1128">
        <v>71.060001373291016</v>
      </c>
      <c r="O614" s="1128">
        <v>70.519999313354489</v>
      </c>
      <c r="P614" s="1128">
        <v>70.519999313354489</v>
      </c>
      <c r="Q614" s="1128">
        <v>75.019999313354489</v>
      </c>
      <c r="R614" s="1128">
        <v>75.2</v>
      </c>
      <c r="S614" s="1128">
        <v>76.819999313354487</v>
      </c>
      <c r="T614" s="1128">
        <v>78.619999313354498</v>
      </c>
      <c r="U614" s="1128">
        <v>78.080000686645505</v>
      </c>
      <c r="V614" s="1128">
        <v>77.900000000000006</v>
      </c>
      <c r="W614" s="1128">
        <v>76.819999313354487</v>
      </c>
      <c r="X614" s="1128">
        <v>74.119999313354498</v>
      </c>
      <c r="Y614" s="1128">
        <v>71.239998626708982</v>
      </c>
      <c r="Z614" s="1128">
        <v>74.679725688777552</v>
      </c>
      <c r="AA614" s="1128">
        <f t="shared" si="676"/>
        <v>77.82510451388427</v>
      </c>
      <c r="AB614" s="1128">
        <f t="shared" si="677"/>
        <v>78.092194926427638</v>
      </c>
      <c r="AC614" s="1128">
        <f t="shared" si="678"/>
        <v>79.033765107233577</v>
      </c>
      <c r="AD614" s="1128">
        <f t="shared" si="679"/>
        <v>80.404380278639309</v>
      </c>
      <c r="AE614" s="1128">
        <f t="shared" si="680"/>
        <v>81.846768474398772</v>
      </c>
      <c r="AF614" s="1128">
        <f t="shared" si="681"/>
        <v>82.984948983412352</v>
      </c>
      <c r="AG614" s="1128">
        <f t="shared" si="682"/>
        <v>83.52223751611308</v>
      </c>
      <c r="AH614" s="1128">
        <f t="shared" si="683"/>
        <v>83.318581536585597</v>
      </c>
      <c r="AI614" s="1128">
        <f t="shared" si="684"/>
        <v>82.427067114327386</v>
      </c>
      <c r="AJ614" s="1128">
        <f t="shared" si="685"/>
        <v>81.08008122215314</v>
      </c>
      <c r="AK614" s="1128">
        <f t="shared" si="686"/>
        <v>79.62873649053904</v>
      </c>
      <c r="AL614" s="1128">
        <f t="shared" si="687"/>
        <v>78.451348289679601</v>
      </c>
      <c r="AM614" s="1125">
        <f t="shared" si="688"/>
        <v>0</v>
      </c>
      <c r="AN614" s="1125">
        <f t="shared" si="689"/>
        <v>0</v>
      </c>
      <c r="AO614" s="1125">
        <f t="shared" si="690"/>
        <v>0</v>
      </c>
      <c r="AP614" s="1125">
        <f t="shared" si="691"/>
        <v>0</v>
      </c>
      <c r="AQ614" s="1125">
        <f t="shared" si="692"/>
        <v>0</v>
      </c>
      <c r="AR614" s="1125">
        <f t="shared" si="693"/>
        <v>0</v>
      </c>
      <c r="AS614" s="1125">
        <f t="shared" si="694"/>
        <v>0</v>
      </c>
      <c r="AT614" s="1125">
        <f t="shared" si="695"/>
        <v>0</v>
      </c>
      <c r="AU614" s="1125">
        <f t="shared" si="696"/>
        <v>0</v>
      </c>
      <c r="AV614" s="1125">
        <f t="shared" si="697"/>
        <v>0</v>
      </c>
      <c r="AW614" s="1125">
        <f t="shared" si="698"/>
        <v>0</v>
      </c>
      <c r="AX614" s="1125">
        <f t="shared" si="699"/>
        <v>0</v>
      </c>
      <c r="AY614" s="1125">
        <f t="shared" si="700"/>
        <v>1</v>
      </c>
      <c r="AZ614" s="1125">
        <f t="shared" si="701"/>
        <v>1</v>
      </c>
      <c r="BA614" s="1125">
        <f t="shared" si="702"/>
        <v>1</v>
      </c>
      <c r="BB614" s="1125">
        <f t="shared" si="703"/>
        <v>1</v>
      </c>
      <c r="BC614" s="1125">
        <f t="shared" si="704"/>
        <v>1</v>
      </c>
      <c r="BD614" s="1125">
        <f t="shared" si="705"/>
        <v>1</v>
      </c>
      <c r="BE614" s="1125">
        <f t="shared" si="706"/>
        <v>1</v>
      </c>
      <c r="BF614" s="1125">
        <f t="shared" si="707"/>
        <v>1</v>
      </c>
      <c r="BG614" s="1125">
        <f t="shared" si="708"/>
        <v>1</v>
      </c>
      <c r="BH614" s="1125">
        <f t="shared" si="709"/>
        <v>1</v>
      </c>
      <c r="BI614" s="1125">
        <f t="shared" si="710"/>
        <v>1</v>
      </c>
      <c r="BJ614" s="1125">
        <f t="shared" si="711"/>
        <v>1</v>
      </c>
      <c r="BK614" s="1125">
        <f t="shared" si="712"/>
        <v>0</v>
      </c>
      <c r="BL614" s="1125">
        <f t="shared" si="713"/>
        <v>0</v>
      </c>
      <c r="BM614" s="1125">
        <f t="shared" si="714"/>
        <v>0</v>
      </c>
      <c r="BN614" s="1125">
        <f t="shared" si="715"/>
        <v>0</v>
      </c>
      <c r="BO614" s="1125">
        <f t="shared" si="716"/>
        <v>0</v>
      </c>
      <c r="BP614" s="1125">
        <f t="shared" si="717"/>
        <v>0</v>
      </c>
      <c r="BQ614" s="1125">
        <f t="shared" si="718"/>
        <v>0</v>
      </c>
      <c r="BR614" s="1125">
        <f t="shared" si="719"/>
        <v>0</v>
      </c>
      <c r="BS614" s="1125">
        <f t="shared" si="720"/>
        <v>0</v>
      </c>
      <c r="BT614" s="1125">
        <f t="shared" si="721"/>
        <v>0</v>
      </c>
      <c r="BU614" s="1125">
        <f t="shared" si="722"/>
        <v>0</v>
      </c>
      <c r="BV614" s="1125">
        <f t="shared" si="723"/>
        <v>0</v>
      </c>
      <c r="BW614" s="1125">
        <f t="shared" si="724"/>
        <v>1</v>
      </c>
      <c r="BX614" s="1125">
        <f t="shared" si="725"/>
        <v>1</v>
      </c>
      <c r="BY614" s="1125">
        <f t="shared" si="726"/>
        <v>1</v>
      </c>
      <c r="BZ614" s="1125">
        <f t="shared" si="727"/>
        <v>1</v>
      </c>
      <c r="CA614" s="1125">
        <f t="shared" si="728"/>
        <v>1</v>
      </c>
      <c r="CB614" s="1125">
        <f t="shared" si="729"/>
        <v>1</v>
      </c>
      <c r="CC614" s="1125">
        <f t="shared" si="730"/>
        <v>1</v>
      </c>
      <c r="CD614" s="1125">
        <f t="shared" si="731"/>
        <v>1</v>
      </c>
      <c r="CE614" s="1125">
        <f t="shared" si="732"/>
        <v>1</v>
      </c>
      <c r="CF614" s="1125">
        <f t="shared" si="733"/>
        <v>1</v>
      </c>
      <c r="CG614" s="1125">
        <f t="shared" si="734"/>
        <v>1</v>
      </c>
      <c r="CH614" s="1125">
        <f t="shared" si="735"/>
        <v>1</v>
      </c>
      <c r="CI614" s="1125">
        <f t="shared" si="736"/>
        <v>0.7</v>
      </c>
      <c r="CJ614" s="1125">
        <f t="shared" si="737"/>
        <v>0.7</v>
      </c>
      <c r="CK614" s="1125">
        <f t="shared" si="738"/>
        <v>0.7</v>
      </c>
      <c r="CL614" s="1125">
        <f t="shared" si="739"/>
        <v>0.7</v>
      </c>
      <c r="CM614" s="1125">
        <f t="shared" si="740"/>
        <v>0.7</v>
      </c>
      <c r="CN614" s="1125">
        <f t="shared" si="741"/>
        <v>0.7</v>
      </c>
      <c r="CO614" s="1125">
        <f t="shared" si="742"/>
        <v>0.7</v>
      </c>
      <c r="CP614" s="1125">
        <f t="shared" si="743"/>
        <v>0.7</v>
      </c>
      <c r="CQ614" s="1125">
        <f t="shared" si="744"/>
        <v>0.7</v>
      </c>
      <c r="CR614" s="1125">
        <f t="shared" si="745"/>
        <v>0.7</v>
      </c>
      <c r="CS614" s="1125">
        <f t="shared" si="746"/>
        <v>0.7</v>
      </c>
      <c r="CT614" s="1125">
        <f t="shared" si="747"/>
        <v>0.7</v>
      </c>
      <c r="CU614" s="1125">
        <v>1</v>
      </c>
      <c r="CV614" s="1125"/>
      <c r="CW614" s="1125">
        <f t="shared" si="748"/>
        <v>365</v>
      </c>
      <c r="CX614" s="1125">
        <f t="shared" si="749"/>
        <v>0</v>
      </c>
      <c r="CY614" s="1136" t="s">
        <v>4883</v>
      </c>
      <c r="CZ614" s="1129" t="s">
        <v>4898</v>
      </c>
      <c r="DA614" s="1129"/>
      <c r="DB614" s="1129"/>
      <c r="DC614" s="1125" t="s">
        <v>5156</v>
      </c>
      <c r="DD614" s="1125" t="s">
        <v>122</v>
      </c>
      <c r="DE614" s="1120" t="b">
        <f t="shared" si="750"/>
        <v>0</v>
      </c>
      <c r="DF614" s="1133">
        <v>1</v>
      </c>
      <c r="DG614" s="1120">
        <v>0</v>
      </c>
    </row>
    <row r="615" spans="1:111">
      <c r="A615" s="1125" t="s">
        <v>3946</v>
      </c>
      <c r="B615" s="1120" t="s">
        <v>3545</v>
      </c>
      <c r="C615" s="1120" t="s">
        <v>3546</v>
      </c>
      <c r="D615" s="1120" t="s">
        <v>283</v>
      </c>
      <c r="E615" s="1120">
        <v>866</v>
      </c>
      <c r="F615" s="1120">
        <v>-86.62</v>
      </c>
      <c r="G615" s="1120">
        <v>39.130000000000003</v>
      </c>
      <c r="H615" s="1120">
        <v>-5</v>
      </c>
      <c r="I615" s="1121">
        <v>10.219999313354492</v>
      </c>
      <c r="J615" s="1121">
        <v>89.6</v>
      </c>
      <c r="K615" s="1122">
        <v>76.099999999999994</v>
      </c>
      <c r="L615" s="1120">
        <v>5211</v>
      </c>
      <c r="M615" s="1120">
        <v>1069.2</v>
      </c>
      <c r="N615" s="1123">
        <v>29.3</v>
      </c>
      <c r="O615" s="1123">
        <v>31.81999999731779</v>
      </c>
      <c r="P615" s="1123">
        <v>44.240000343322755</v>
      </c>
      <c r="Q615" s="1123">
        <v>55.219999313354492</v>
      </c>
      <c r="R615" s="1123">
        <v>61.519999313354496</v>
      </c>
      <c r="S615" s="1123">
        <v>70.7</v>
      </c>
      <c r="T615" s="1123">
        <v>74.480000686645511</v>
      </c>
      <c r="U615" s="1123">
        <v>76.280000686645508</v>
      </c>
      <c r="V615" s="1123">
        <v>63.5</v>
      </c>
      <c r="W615" s="1123">
        <v>52.7</v>
      </c>
      <c r="X615" s="1123">
        <v>47.840000343322757</v>
      </c>
      <c r="Y615" s="1123">
        <v>28.039999914169311</v>
      </c>
      <c r="Z615" s="1123">
        <v>53.074301421625975</v>
      </c>
      <c r="AA615" s="1123">
        <f t="shared" si="676"/>
        <v>48.39623694863625</v>
      </c>
      <c r="AB615" s="1123">
        <f t="shared" si="677"/>
        <v>47.266662674880749</v>
      </c>
      <c r="AC615" s="1123">
        <f t="shared" si="678"/>
        <v>49.214931401685391</v>
      </c>
      <c r="AD615" s="1123">
        <f t="shared" si="679"/>
        <v>53.733196861678671</v>
      </c>
      <c r="AE615" s="1123">
        <f t="shared" si="680"/>
        <v>59.64370353413495</v>
      </c>
      <c r="AF615" s="1123">
        <f t="shared" si="681"/>
        <v>65.405786771213599</v>
      </c>
      <c r="AG615" s="1123">
        <f t="shared" si="682"/>
        <v>69.517470780779547</v>
      </c>
      <c r="AH615" s="1123">
        <f t="shared" si="683"/>
        <v>70.906981762770855</v>
      </c>
      <c r="AI615" s="1123">
        <f t="shared" si="684"/>
        <v>69.212122266719092</v>
      </c>
      <c r="AJ615" s="1123">
        <f t="shared" si="685"/>
        <v>64.874683538845588</v>
      </c>
      <c r="AK615" s="1123">
        <f t="shared" si="686"/>
        <v>59.025285825524648</v>
      </c>
      <c r="AL615" s="1123">
        <f t="shared" si="687"/>
        <v>53.188664782680725</v>
      </c>
      <c r="AM615" s="1120">
        <f t="shared" si="688"/>
        <v>1</v>
      </c>
      <c r="AN615" s="1120">
        <f t="shared" si="689"/>
        <v>1</v>
      </c>
      <c r="AO615" s="1120">
        <f t="shared" si="690"/>
        <v>1</v>
      </c>
      <c r="AP615" s="1120">
        <f t="shared" si="691"/>
        <v>1</v>
      </c>
      <c r="AQ615" s="1120">
        <f t="shared" si="692"/>
        <v>1</v>
      </c>
      <c r="AR615" s="1120">
        <f t="shared" si="693"/>
        <v>0</v>
      </c>
      <c r="AS615" s="1120">
        <f t="shared" si="694"/>
        <v>0</v>
      </c>
      <c r="AT615" s="1120">
        <f t="shared" si="695"/>
        <v>0</v>
      </c>
      <c r="AU615" s="1120">
        <f t="shared" si="696"/>
        <v>1</v>
      </c>
      <c r="AV615" s="1120">
        <f t="shared" si="697"/>
        <v>1</v>
      </c>
      <c r="AW615" s="1120">
        <f t="shared" si="698"/>
        <v>1</v>
      </c>
      <c r="AX615" s="1120">
        <f t="shared" si="699"/>
        <v>1</v>
      </c>
      <c r="AY615" s="1120">
        <f t="shared" si="700"/>
        <v>0</v>
      </c>
      <c r="AZ615" s="1120">
        <f t="shared" si="701"/>
        <v>0</v>
      </c>
      <c r="BA615" s="1120">
        <f t="shared" si="702"/>
        <v>0</v>
      </c>
      <c r="BB615" s="1120">
        <f t="shared" si="703"/>
        <v>0</v>
      </c>
      <c r="BC615" s="1120">
        <f t="shared" si="704"/>
        <v>0</v>
      </c>
      <c r="BD615" s="1120">
        <f t="shared" si="705"/>
        <v>1</v>
      </c>
      <c r="BE615" s="1120">
        <f t="shared" si="706"/>
        <v>1</v>
      </c>
      <c r="BF615" s="1120">
        <f t="shared" si="707"/>
        <v>1</v>
      </c>
      <c r="BG615" s="1120">
        <f t="shared" si="708"/>
        <v>0</v>
      </c>
      <c r="BH615" s="1120">
        <f t="shared" si="709"/>
        <v>0</v>
      </c>
      <c r="BI615" s="1120">
        <f t="shared" si="710"/>
        <v>0</v>
      </c>
      <c r="BJ615" s="1120">
        <f t="shared" si="711"/>
        <v>0</v>
      </c>
      <c r="BK615" s="1120">
        <f t="shared" si="712"/>
        <v>1</v>
      </c>
      <c r="BL615" s="1120">
        <f t="shared" si="713"/>
        <v>1</v>
      </c>
      <c r="BM615" s="1120">
        <f t="shared" si="714"/>
        <v>1</v>
      </c>
      <c r="BN615" s="1120">
        <f t="shared" si="715"/>
        <v>1</v>
      </c>
      <c r="BO615" s="1120">
        <f t="shared" si="716"/>
        <v>1</v>
      </c>
      <c r="BP615" s="1120">
        <f t="shared" si="717"/>
        <v>1</v>
      </c>
      <c r="BQ615" s="1120">
        <f t="shared" si="718"/>
        <v>0</v>
      </c>
      <c r="BR615" s="1120">
        <f t="shared" si="719"/>
        <v>0</v>
      </c>
      <c r="BS615" s="1120">
        <f t="shared" si="720"/>
        <v>1</v>
      </c>
      <c r="BT615" s="1120">
        <f t="shared" si="721"/>
        <v>1</v>
      </c>
      <c r="BU615" s="1120">
        <f t="shared" si="722"/>
        <v>1</v>
      </c>
      <c r="BV615" s="1120">
        <f t="shared" si="723"/>
        <v>1</v>
      </c>
      <c r="BW615" s="1120">
        <f t="shared" si="724"/>
        <v>0</v>
      </c>
      <c r="BX615" s="1120">
        <f t="shared" si="725"/>
        <v>0</v>
      </c>
      <c r="BY615" s="1120">
        <f t="shared" si="726"/>
        <v>0</v>
      </c>
      <c r="BZ615" s="1120">
        <f t="shared" si="727"/>
        <v>0</v>
      </c>
      <c r="CA615" s="1120">
        <f t="shared" si="728"/>
        <v>1</v>
      </c>
      <c r="CB615" s="1120">
        <f t="shared" si="729"/>
        <v>1</v>
      </c>
      <c r="CC615" s="1120">
        <f t="shared" si="730"/>
        <v>1</v>
      </c>
      <c r="CD615" s="1120">
        <f t="shared" si="731"/>
        <v>1</v>
      </c>
      <c r="CE615" s="1120">
        <f t="shared" si="732"/>
        <v>1</v>
      </c>
      <c r="CF615" s="1120">
        <f t="shared" si="733"/>
        <v>0</v>
      </c>
      <c r="CG615" s="1120">
        <f t="shared" si="734"/>
        <v>0</v>
      </c>
      <c r="CH615" s="1120">
        <f t="shared" si="735"/>
        <v>0</v>
      </c>
      <c r="CI615" s="1120">
        <f t="shared" si="736"/>
        <v>0.85</v>
      </c>
      <c r="CJ615" s="1120">
        <f t="shared" si="737"/>
        <v>0.85</v>
      </c>
      <c r="CK615" s="1120">
        <f t="shared" si="738"/>
        <v>0.85</v>
      </c>
      <c r="CL615" s="1120">
        <f t="shared" si="739"/>
        <v>0.85</v>
      </c>
      <c r="CM615" s="1120">
        <f t="shared" si="740"/>
        <v>0.85</v>
      </c>
      <c r="CN615" s="1120">
        <f t="shared" si="741"/>
        <v>0.85</v>
      </c>
      <c r="CO615" s="1120">
        <f t="shared" si="742"/>
        <v>0.7</v>
      </c>
      <c r="CP615" s="1120">
        <f t="shared" si="743"/>
        <v>0.7</v>
      </c>
      <c r="CQ615" s="1120">
        <f t="shared" si="744"/>
        <v>0.85</v>
      </c>
      <c r="CR615" s="1120">
        <f t="shared" si="745"/>
        <v>0.85</v>
      </c>
      <c r="CS615" s="1120">
        <f t="shared" si="746"/>
        <v>0.85</v>
      </c>
      <c r="CT615" s="1120">
        <f t="shared" si="747"/>
        <v>0.85</v>
      </c>
      <c r="CU615" s="1120">
        <v>1</v>
      </c>
      <c r="CV615" s="1120"/>
      <c r="CW615" s="1120">
        <f t="shared" si="748"/>
        <v>153</v>
      </c>
      <c r="CX615" s="1120">
        <f t="shared" si="749"/>
        <v>212</v>
      </c>
      <c r="CY615" s="1135" t="s">
        <v>4881</v>
      </c>
      <c r="CZ615" s="1124" t="s">
        <v>4885</v>
      </c>
      <c r="DA615" s="1124"/>
      <c r="DB615" s="1124"/>
      <c r="DC615" s="1120" t="s">
        <v>5223</v>
      </c>
      <c r="DD615" s="1120" t="s">
        <v>283</v>
      </c>
      <c r="DE615" s="1120" t="str">
        <f t="shared" si="750"/>
        <v/>
      </c>
      <c r="DF615" s="1133">
        <v>0</v>
      </c>
      <c r="DG615" s="1125">
        <v>0</v>
      </c>
    </row>
    <row r="616" spans="1:111">
      <c r="A616" s="1120" t="s">
        <v>3948</v>
      </c>
      <c r="B616" s="1125" t="s">
        <v>3633</v>
      </c>
      <c r="C616" s="1125" t="s">
        <v>3634</v>
      </c>
      <c r="D616" s="1125" t="s">
        <v>591</v>
      </c>
      <c r="E616" s="1125">
        <v>131</v>
      </c>
      <c r="F616" s="1125">
        <v>-92.03</v>
      </c>
      <c r="G616" s="1125">
        <v>32.520000000000003</v>
      </c>
      <c r="H616" s="1125">
        <v>-6</v>
      </c>
      <c r="I616" s="1126">
        <v>27.139999914169312</v>
      </c>
      <c r="J616" s="1126">
        <v>94.639998626708987</v>
      </c>
      <c r="K616" s="1127">
        <v>77.719999313354492</v>
      </c>
      <c r="L616" s="1125">
        <v>2187</v>
      </c>
      <c r="M616" s="1125">
        <v>2296.8000000000002</v>
      </c>
      <c r="N616" s="1128">
        <v>44.6</v>
      </c>
      <c r="O616" s="1128">
        <v>55.580000686645505</v>
      </c>
      <c r="P616" s="1128">
        <v>54.859999656677246</v>
      </c>
      <c r="Q616" s="1128">
        <v>63.5</v>
      </c>
      <c r="R616" s="1128">
        <v>72.319999313354487</v>
      </c>
      <c r="S616" s="1128">
        <v>77.180000686645513</v>
      </c>
      <c r="T616" s="1128">
        <v>82.580000686645505</v>
      </c>
      <c r="U616" s="1128">
        <v>81.5</v>
      </c>
      <c r="V616" s="1128">
        <v>73.580000686645505</v>
      </c>
      <c r="W616" s="1128">
        <v>66.019999313354489</v>
      </c>
      <c r="X616" s="1128">
        <v>57.380000686645509</v>
      </c>
      <c r="Y616" s="1128">
        <v>46.759999656677245</v>
      </c>
      <c r="Z616" s="1128">
        <v>64.693917913567532</v>
      </c>
      <c r="AA616" s="1128">
        <f t="shared" si="676"/>
        <v>59.515675216496156</v>
      </c>
      <c r="AB616" s="1128">
        <f t="shared" si="677"/>
        <v>59.585944238299021</v>
      </c>
      <c r="AC616" s="1128">
        <f t="shared" si="678"/>
        <v>62.551677777616511</v>
      </c>
      <c r="AD616" s="1128">
        <f t="shared" si="679"/>
        <v>67.639811684088244</v>
      </c>
      <c r="AE616" s="1128">
        <f t="shared" si="680"/>
        <v>73.524045444475405</v>
      </c>
      <c r="AF616" s="1128">
        <f t="shared" si="681"/>
        <v>78.670562850346002</v>
      </c>
      <c r="AG616" s="1128">
        <f t="shared" si="682"/>
        <v>81.737844829625942</v>
      </c>
      <c r="AH616" s="1128">
        <f t="shared" si="683"/>
        <v>81.926357066169814</v>
      </c>
      <c r="AI616" s="1128">
        <f t="shared" si="684"/>
        <v>79.186960940460949</v>
      </c>
      <c r="AJ616" s="1128">
        <f t="shared" si="685"/>
        <v>74.233722268037525</v>
      </c>
      <c r="AK616" s="1128">
        <f t="shared" si="686"/>
        <v>68.357779040585172</v>
      </c>
      <c r="AL616" s="1128">
        <f t="shared" si="687"/>
        <v>63.090786411365443</v>
      </c>
      <c r="AM616" s="1125">
        <f t="shared" si="688"/>
        <v>1</v>
      </c>
      <c r="AN616" s="1125">
        <f t="shared" si="689"/>
        <v>1</v>
      </c>
      <c r="AO616" s="1125">
        <f t="shared" si="690"/>
        <v>1</v>
      </c>
      <c r="AP616" s="1125">
        <f t="shared" si="691"/>
        <v>1</v>
      </c>
      <c r="AQ616" s="1125">
        <f t="shared" si="692"/>
        <v>0</v>
      </c>
      <c r="AR616" s="1125">
        <f t="shared" si="693"/>
        <v>0</v>
      </c>
      <c r="AS616" s="1125">
        <f t="shared" si="694"/>
        <v>0</v>
      </c>
      <c r="AT616" s="1125">
        <f t="shared" si="695"/>
        <v>0</v>
      </c>
      <c r="AU616" s="1125">
        <f t="shared" si="696"/>
        <v>0</v>
      </c>
      <c r="AV616" s="1125">
        <f t="shared" si="697"/>
        <v>0</v>
      </c>
      <c r="AW616" s="1125">
        <f t="shared" si="698"/>
        <v>1</v>
      </c>
      <c r="AX616" s="1125">
        <f t="shared" si="699"/>
        <v>1</v>
      </c>
      <c r="AY616" s="1125">
        <f t="shared" si="700"/>
        <v>0</v>
      </c>
      <c r="AZ616" s="1125">
        <f t="shared" si="701"/>
        <v>0</v>
      </c>
      <c r="BA616" s="1125">
        <f t="shared" si="702"/>
        <v>0</v>
      </c>
      <c r="BB616" s="1125">
        <f t="shared" si="703"/>
        <v>0</v>
      </c>
      <c r="BC616" s="1125">
        <f t="shared" si="704"/>
        <v>1</v>
      </c>
      <c r="BD616" s="1125">
        <f t="shared" si="705"/>
        <v>1</v>
      </c>
      <c r="BE616" s="1125">
        <f t="shared" si="706"/>
        <v>1</v>
      </c>
      <c r="BF616" s="1125">
        <f t="shared" si="707"/>
        <v>1</v>
      </c>
      <c r="BG616" s="1125">
        <f t="shared" si="708"/>
        <v>1</v>
      </c>
      <c r="BH616" s="1125">
        <f t="shared" si="709"/>
        <v>1</v>
      </c>
      <c r="BI616" s="1125">
        <f t="shared" si="710"/>
        <v>0</v>
      </c>
      <c r="BJ616" s="1125">
        <f t="shared" si="711"/>
        <v>0</v>
      </c>
      <c r="BK616" s="1125">
        <f t="shared" si="712"/>
        <v>1</v>
      </c>
      <c r="BL616" s="1125">
        <f t="shared" si="713"/>
        <v>1</v>
      </c>
      <c r="BM616" s="1125">
        <f t="shared" si="714"/>
        <v>1</v>
      </c>
      <c r="BN616" s="1125">
        <f t="shared" si="715"/>
        <v>1</v>
      </c>
      <c r="BO616" s="1125">
        <f t="shared" si="716"/>
        <v>1</v>
      </c>
      <c r="BP616" s="1125">
        <f t="shared" si="717"/>
        <v>0</v>
      </c>
      <c r="BQ616" s="1125">
        <f t="shared" si="718"/>
        <v>0</v>
      </c>
      <c r="BR616" s="1125">
        <f t="shared" si="719"/>
        <v>0</v>
      </c>
      <c r="BS616" s="1125">
        <f t="shared" si="720"/>
        <v>0</v>
      </c>
      <c r="BT616" s="1125">
        <f t="shared" si="721"/>
        <v>0</v>
      </c>
      <c r="BU616" s="1125">
        <f t="shared" si="722"/>
        <v>1</v>
      </c>
      <c r="BV616" s="1125">
        <f t="shared" si="723"/>
        <v>1</v>
      </c>
      <c r="BW616" s="1125">
        <f t="shared" si="724"/>
        <v>0</v>
      </c>
      <c r="BX616" s="1125">
        <f t="shared" si="725"/>
        <v>0</v>
      </c>
      <c r="BY616" s="1125">
        <f t="shared" si="726"/>
        <v>0</v>
      </c>
      <c r="BZ616" s="1125">
        <f t="shared" si="727"/>
        <v>1</v>
      </c>
      <c r="CA616" s="1125">
        <f t="shared" si="728"/>
        <v>1</v>
      </c>
      <c r="CB616" s="1125">
        <f t="shared" si="729"/>
        <v>1</v>
      </c>
      <c r="CC616" s="1125">
        <f t="shared" si="730"/>
        <v>1</v>
      </c>
      <c r="CD616" s="1125">
        <f t="shared" si="731"/>
        <v>1</v>
      </c>
      <c r="CE616" s="1125">
        <f t="shared" si="732"/>
        <v>1</v>
      </c>
      <c r="CF616" s="1125">
        <f t="shared" si="733"/>
        <v>1</v>
      </c>
      <c r="CG616" s="1125">
        <f t="shared" si="734"/>
        <v>1</v>
      </c>
      <c r="CH616" s="1125">
        <f t="shared" si="735"/>
        <v>0</v>
      </c>
      <c r="CI616" s="1125">
        <f t="shared" si="736"/>
        <v>0.85</v>
      </c>
      <c r="CJ616" s="1125">
        <f t="shared" si="737"/>
        <v>0.85</v>
      </c>
      <c r="CK616" s="1125">
        <f t="shared" si="738"/>
        <v>0.85</v>
      </c>
      <c r="CL616" s="1125">
        <f t="shared" si="739"/>
        <v>0.85</v>
      </c>
      <c r="CM616" s="1125">
        <f t="shared" si="740"/>
        <v>0.85</v>
      </c>
      <c r="CN616" s="1125">
        <f t="shared" si="741"/>
        <v>0.7</v>
      </c>
      <c r="CO616" s="1125">
        <f t="shared" si="742"/>
        <v>0.7</v>
      </c>
      <c r="CP616" s="1125">
        <f t="shared" si="743"/>
        <v>0.7</v>
      </c>
      <c r="CQ616" s="1125">
        <f t="shared" si="744"/>
        <v>0.7</v>
      </c>
      <c r="CR616" s="1125">
        <f t="shared" si="745"/>
        <v>0.7</v>
      </c>
      <c r="CS616" s="1125">
        <f t="shared" si="746"/>
        <v>0.85</v>
      </c>
      <c r="CT616" s="1125">
        <f t="shared" si="747"/>
        <v>0.85</v>
      </c>
      <c r="CU616" s="1125">
        <v>1</v>
      </c>
      <c r="CV616" s="1125"/>
      <c r="CW616" s="1125">
        <f t="shared" si="748"/>
        <v>244</v>
      </c>
      <c r="CX616" s="1125">
        <f t="shared" si="749"/>
        <v>121</v>
      </c>
      <c r="CY616" s="1136" t="s">
        <v>4900</v>
      </c>
      <c r="CZ616" s="1129" t="s">
        <v>4882</v>
      </c>
      <c r="DA616" s="1129"/>
      <c r="DB616" s="1129"/>
      <c r="DC616" s="1125" t="s">
        <v>5257</v>
      </c>
      <c r="DD616" s="1125" t="s">
        <v>591</v>
      </c>
      <c r="DE616" s="1120" t="str">
        <f t="shared" si="750"/>
        <v/>
      </c>
      <c r="DF616" s="1133">
        <v>0</v>
      </c>
      <c r="DG616" s="1120">
        <v>0</v>
      </c>
    </row>
    <row r="617" spans="1:111">
      <c r="A617" s="1125" t="s">
        <v>5900</v>
      </c>
      <c r="B617" s="1120" t="s">
        <v>3140</v>
      </c>
      <c r="C617" s="1120" t="s">
        <v>3141</v>
      </c>
      <c r="D617" s="1120" t="s">
        <v>954</v>
      </c>
      <c r="E617" s="1120">
        <v>2634</v>
      </c>
      <c r="F617" s="1120">
        <v>-122.47</v>
      </c>
      <c r="G617" s="1120">
        <v>41.78</v>
      </c>
      <c r="H617" s="1120">
        <v>-8</v>
      </c>
      <c r="I617" s="1121">
        <v>19.759999656677245</v>
      </c>
      <c r="J617" s="1121">
        <v>92.660001373291024</v>
      </c>
      <c r="K617" s="1122">
        <v>62.6</v>
      </c>
      <c r="L617" s="1120">
        <v>5000.4000000000005</v>
      </c>
      <c r="M617" s="1120">
        <v>637.20000000000005</v>
      </c>
      <c r="N617" s="1123">
        <v>36.5</v>
      </c>
      <c r="O617" s="1123">
        <v>38.839999914169312</v>
      </c>
      <c r="P617" s="1123">
        <v>43.7</v>
      </c>
      <c r="Q617" s="1123">
        <v>50.180000686645506</v>
      </c>
      <c r="R617" s="1123">
        <v>56.3</v>
      </c>
      <c r="S617" s="1123">
        <v>64.219999313354492</v>
      </c>
      <c r="T617" s="1123">
        <v>71.960001373291021</v>
      </c>
      <c r="U617" s="1123">
        <v>72.5</v>
      </c>
      <c r="V617" s="1123">
        <v>64.400000000000006</v>
      </c>
      <c r="W617" s="1123">
        <v>50.9</v>
      </c>
      <c r="X617" s="1123">
        <v>44.779999828338624</v>
      </c>
      <c r="Y617" s="1123">
        <v>34.160000085830688</v>
      </c>
      <c r="Z617" s="1123">
        <v>52.442575445697734</v>
      </c>
      <c r="AA617" s="1123">
        <f t="shared" si="676"/>
        <v>50.109209203200322</v>
      </c>
      <c r="AB617" s="1123">
        <f t="shared" si="677"/>
        <v>49.172425506416424</v>
      </c>
      <c r="AC617" s="1123">
        <f t="shared" si="678"/>
        <v>50.652049248641013</v>
      </c>
      <c r="AD617" s="1123">
        <f t="shared" si="679"/>
        <v>54.162393699771187</v>
      </c>
      <c r="AE617" s="1123">
        <f t="shared" si="680"/>
        <v>58.788433482574405</v>
      </c>
      <c r="AF617" s="1123">
        <f t="shared" si="681"/>
        <v>63.324320038232031</v>
      </c>
      <c r="AG617" s="1123">
        <f t="shared" si="682"/>
        <v>66.587704635884236</v>
      </c>
      <c r="AH617" s="1123">
        <f t="shared" si="683"/>
        <v>67.727935789874039</v>
      </c>
      <c r="AI617" s="1123">
        <f t="shared" si="684"/>
        <v>66.447794678420038</v>
      </c>
      <c r="AJ617" s="1123">
        <f t="shared" si="685"/>
        <v>63.080969809794382</v>
      </c>
      <c r="AK617" s="1123">
        <f t="shared" si="686"/>
        <v>58.50507597034612</v>
      </c>
      <c r="AL617" s="1123">
        <f t="shared" si="687"/>
        <v>53.912890405986005</v>
      </c>
      <c r="AM617" s="1120">
        <f t="shared" si="688"/>
        <v>1</v>
      </c>
      <c r="AN617" s="1120">
        <f t="shared" si="689"/>
        <v>1</v>
      </c>
      <c r="AO617" s="1120">
        <f t="shared" si="690"/>
        <v>1</v>
      </c>
      <c r="AP617" s="1120">
        <f t="shared" si="691"/>
        <v>1</v>
      </c>
      <c r="AQ617" s="1120">
        <f t="shared" si="692"/>
        <v>1</v>
      </c>
      <c r="AR617" s="1120">
        <f t="shared" si="693"/>
        <v>1</v>
      </c>
      <c r="AS617" s="1120">
        <f t="shared" si="694"/>
        <v>0</v>
      </c>
      <c r="AT617" s="1120">
        <f t="shared" si="695"/>
        <v>0</v>
      </c>
      <c r="AU617" s="1120">
        <f t="shared" si="696"/>
        <v>1</v>
      </c>
      <c r="AV617" s="1120">
        <f t="shared" si="697"/>
        <v>1</v>
      </c>
      <c r="AW617" s="1120">
        <f t="shared" si="698"/>
        <v>1</v>
      </c>
      <c r="AX617" s="1120">
        <f t="shared" si="699"/>
        <v>1</v>
      </c>
      <c r="AY617" s="1120">
        <f t="shared" si="700"/>
        <v>0</v>
      </c>
      <c r="AZ617" s="1120">
        <f t="shared" si="701"/>
        <v>0</v>
      </c>
      <c r="BA617" s="1120">
        <f t="shared" si="702"/>
        <v>0</v>
      </c>
      <c r="BB617" s="1120">
        <f t="shared" si="703"/>
        <v>0</v>
      </c>
      <c r="BC617" s="1120">
        <f t="shared" si="704"/>
        <v>0</v>
      </c>
      <c r="BD617" s="1120">
        <f t="shared" si="705"/>
        <v>0</v>
      </c>
      <c r="BE617" s="1120">
        <f t="shared" si="706"/>
        <v>1</v>
      </c>
      <c r="BF617" s="1120">
        <f t="shared" si="707"/>
        <v>1</v>
      </c>
      <c r="BG617" s="1120">
        <f t="shared" si="708"/>
        <v>0</v>
      </c>
      <c r="BH617" s="1120">
        <f t="shared" si="709"/>
        <v>0</v>
      </c>
      <c r="BI617" s="1120">
        <f t="shared" si="710"/>
        <v>0</v>
      </c>
      <c r="BJ617" s="1120">
        <f t="shared" si="711"/>
        <v>0</v>
      </c>
      <c r="BK617" s="1120">
        <f t="shared" si="712"/>
        <v>1</v>
      </c>
      <c r="BL617" s="1120">
        <f t="shared" si="713"/>
        <v>1</v>
      </c>
      <c r="BM617" s="1120">
        <f t="shared" si="714"/>
        <v>1</v>
      </c>
      <c r="BN617" s="1120">
        <f t="shared" si="715"/>
        <v>1</v>
      </c>
      <c r="BO617" s="1120">
        <f t="shared" si="716"/>
        <v>1</v>
      </c>
      <c r="BP617" s="1120">
        <f t="shared" si="717"/>
        <v>1</v>
      </c>
      <c r="BQ617" s="1120">
        <f t="shared" si="718"/>
        <v>1</v>
      </c>
      <c r="BR617" s="1120">
        <f t="shared" si="719"/>
        <v>0</v>
      </c>
      <c r="BS617" s="1120">
        <f t="shared" si="720"/>
        <v>1</v>
      </c>
      <c r="BT617" s="1120">
        <f t="shared" si="721"/>
        <v>1</v>
      </c>
      <c r="BU617" s="1120">
        <f t="shared" si="722"/>
        <v>1</v>
      </c>
      <c r="BV617" s="1120">
        <f t="shared" si="723"/>
        <v>1</v>
      </c>
      <c r="BW617" s="1120">
        <f t="shared" si="724"/>
        <v>0</v>
      </c>
      <c r="BX617" s="1120">
        <f t="shared" si="725"/>
        <v>0</v>
      </c>
      <c r="BY617" s="1120">
        <f t="shared" si="726"/>
        <v>0</v>
      </c>
      <c r="BZ617" s="1120">
        <f t="shared" si="727"/>
        <v>0</v>
      </c>
      <c r="CA617" s="1120">
        <f t="shared" si="728"/>
        <v>0</v>
      </c>
      <c r="CB617" s="1120">
        <f t="shared" si="729"/>
        <v>1</v>
      </c>
      <c r="CC617" s="1120">
        <f t="shared" si="730"/>
        <v>1</v>
      </c>
      <c r="CD617" s="1120">
        <f t="shared" si="731"/>
        <v>1</v>
      </c>
      <c r="CE617" s="1120">
        <f t="shared" si="732"/>
        <v>1</v>
      </c>
      <c r="CF617" s="1120">
        <f t="shared" si="733"/>
        <v>0</v>
      </c>
      <c r="CG617" s="1120">
        <f t="shared" si="734"/>
        <v>0</v>
      </c>
      <c r="CH617" s="1120">
        <f t="shared" si="735"/>
        <v>0</v>
      </c>
      <c r="CI617" s="1120">
        <f t="shared" si="736"/>
        <v>0.85</v>
      </c>
      <c r="CJ617" s="1120">
        <f t="shared" si="737"/>
        <v>0.85</v>
      </c>
      <c r="CK617" s="1120">
        <f t="shared" si="738"/>
        <v>0.85</v>
      </c>
      <c r="CL617" s="1120">
        <f t="shared" si="739"/>
        <v>0.85</v>
      </c>
      <c r="CM617" s="1120">
        <f t="shared" si="740"/>
        <v>0.85</v>
      </c>
      <c r="CN617" s="1120">
        <f t="shared" si="741"/>
        <v>0.85</v>
      </c>
      <c r="CO617" s="1120">
        <f t="shared" si="742"/>
        <v>0.85</v>
      </c>
      <c r="CP617" s="1120">
        <f t="shared" si="743"/>
        <v>0.7</v>
      </c>
      <c r="CQ617" s="1120">
        <f t="shared" si="744"/>
        <v>0.85</v>
      </c>
      <c r="CR617" s="1120">
        <f t="shared" si="745"/>
        <v>0.85</v>
      </c>
      <c r="CS617" s="1120">
        <f t="shared" si="746"/>
        <v>0.85</v>
      </c>
      <c r="CT617" s="1120">
        <f t="shared" si="747"/>
        <v>0.85</v>
      </c>
      <c r="CU617" s="1120">
        <v>1</v>
      </c>
      <c r="CV617" s="1120"/>
      <c r="CW617" s="1120">
        <f t="shared" si="748"/>
        <v>122</v>
      </c>
      <c r="CX617" s="1120">
        <f t="shared" si="749"/>
        <v>243</v>
      </c>
      <c r="CY617" s="1136" t="s">
        <v>4889</v>
      </c>
      <c r="CZ617" s="1129" t="s">
        <v>4890</v>
      </c>
      <c r="DA617" s="1129"/>
      <c r="DB617" s="1129"/>
      <c r="DC617" s="1125" t="s">
        <v>5035</v>
      </c>
      <c r="DD617" s="1125" t="s">
        <v>954</v>
      </c>
      <c r="DE617" s="1120" t="str">
        <f t="shared" si="750"/>
        <v/>
      </c>
      <c r="DF617" s="1120">
        <v>1</v>
      </c>
      <c r="DG617" s="1125">
        <v>0</v>
      </c>
    </row>
    <row r="618" spans="1:111">
      <c r="A618" s="1120" t="s">
        <v>3950</v>
      </c>
      <c r="B618" s="1125" t="s">
        <v>3142</v>
      </c>
      <c r="C618" s="1125" t="s">
        <v>3143</v>
      </c>
      <c r="D618" s="1125" t="s">
        <v>954</v>
      </c>
      <c r="E618" s="1125">
        <v>164</v>
      </c>
      <c r="F618" s="1125">
        <v>-121.87</v>
      </c>
      <c r="G618" s="1125">
        <v>36.6</v>
      </c>
      <c r="H618" s="1125">
        <v>-8</v>
      </c>
      <c r="I618" s="1126">
        <v>38.660000085830688</v>
      </c>
      <c r="J618" s="1126">
        <v>72.860001373291013</v>
      </c>
      <c r="K618" s="1127">
        <v>59.359999656677246</v>
      </c>
      <c r="L618" s="1125">
        <v>3254.4</v>
      </c>
      <c r="M618" s="1125">
        <v>46.800000000000004</v>
      </c>
      <c r="N618" s="1128">
        <v>50.9</v>
      </c>
      <c r="O618" s="1128">
        <v>50.359999656677246</v>
      </c>
      <c r="P618" s="1128">
        <v>55.759999656677245</v>
      </c>
      <c r="Q618" s="1128">
        <v>52.519999313354489</v>
      </c>
      <c r="R618" s="1128">
        <v>55.4</v>
      </c>
      <c r="S618" s="1128">
        <v>58.280000686645508</v>
      </c>
      <c r="T618" s="1128">
        <v>58.640000343322754</v>
      </c>
      <c r="U618" s="1128">
        <v>59.540000343322752</v>
      </c>
      <c r="V618" s="1128">
        <v>61.7</v>
      </c>
      <c r="W618" s="1128">
        <v>58.819999313354494</v>
      </c>
      <c r="X618" s="1128">
        <v>53.419999313354495</v>
      </c>
      <c r="Y618" s="1128">
        <v>51.440000343322751</v>
      </c>
      <c r="Z618" s="1128">
        <v>55.597753341883831</v>
      </c>
      <c r="AA618" s="1128">
        <f t="shared" si="676"/>
        <v>58.906222006303196</v>
      </c>
      <c r="AB618" s="1128">
        <f t="shared" si="677"/>
        <v>58.690997909492793</v>
      </c>
      <c r="AC618" s="1128">
        <f t="shared" si="678"/>
        <v>59.233464410592241</v>
      </c>
      <c r="AD618" s="1128">
        <f t="shared" si="679"/>
        <v>60.392219256428149</v>
      </c>
      <c r="AE618" s="1128">
        <f t="shared" si="680"/>
        <v>61.865215139480682</v>
      </c>
      <c r="AF618" s="1128">
        <f t="shared" si="681"/>
        <v>63.268492983278527</v>
      </c>
      <c r="AG618" s="1128">
        <f t="shared" si="682"/>
        <v>64.236266792669625</v>
      </c>
      <c r="AH618" s="1128">
        <f t="shared" si="683"/>
        <v>64.516271410390331</v>
      </c>
      <c r="AI618" s="1128">
        <f t="shared" si="684"/>
        <v>64.035519317829994</v>
      </c>
      <c r="AJ618" s="1128">
        <f t="shared" si="685"/>
        <v>62.919325956528439</v>
      </c>
      <c r="AK618" s="1128">
        <f t="shared" si="686"/>
        <v>61.458644327169303</v>
      </c>
      <c r="AL618" s="1128">
        <f t="shared" si="687"/>
        <v>60.034223606230313</v>
      </c>
      <c r="AM618" s="1125">
        <f t="shared" si="688"/>
        <v>1</v>
      </c>
      <c r="AN618" s="1125">
        <f t="shared" si="689"/>
        <v>1</v>
      </c>
      <c r="AO618" s="1125">
        <f t="shared" si="690"/>
        <v>1</v>
      </c>
      <c r="AP618" s="1125">
        <f t="shared" si="691"/>
        <v>1</v>
      </c>
      <c r="AQ618" s="1125">
        <f t="shared" si="692"/>
        <v>1</v>
      </c>
      <c r="AR618" s="1125">
        <f t="shared" si="693"/>
        <v>1</v>
      </c>
      <c r="AS618" s="1125">
        <f t="shared" si="694"/>
        <v>1</v>
      </c>
      <c r="AT618" s="1125">
        <f t="shared" si="695"/>
        <v>1</v>
      </c>
      <c r="AU618" s="1125">
        <f t="shared" si="696"/>
        <v>1</v>
      </c>
      <c r="AV618" s="1125">
        <f t="shared" si="697"/>
        <v>1</v>
      </c>
      <c r="AW618" s="1125">
        <f t="shared" si="698"/>
        <v>1</v>
      </c>
      <c r="AX618" s="1125">
        <f t="shared" si="699"/>
        <v>1</v>
      </c>
      <c r="AY618" s="1125">
        <f t="shared" si="700"/>
        <v>0</v>
      </c>
      <c r="AZ618" s="1125">
        <f t="shared" si="701"/>
        <v>0</v>
      </c>
      <c r="BA618" s="1125">
        <f t="shared" si="702"/>
        <v>0</v>
      </c>
      <c r="BB618" s="1125">
        <f t="shared" si="703"/>
        <v>0</v>
      </c>
      <c r="BC618" s="1125">
        <f t="shared" si="704"/>
        <v>0</v>
      </c>
      <c r="BD618" s="1125">
        <f t="shared" si="705"/>
        <v>0</v>
      </c>
      <c r="BE618" s="1125">
        <f t="shared" si="706"/>
        <v>1</v>
      </c>
      <c r="BF618" s="1125">
        <f t="shared" si="707"/>
        <v>1</v>
      </c>
      <c r="BG618" s="1125">
        <f t="shared" si="708"/>
        <v>0</v>
      </c>
      <c r="BH618" s="1125">
        <f t="shared" si="709"/>
        <v>0</v>
      </c>
      <c r="BI618" s="1125">
        <f t="shared" si="710"/>
        <v>0</v>
      </c>
      <c r="BJ618" s="1125">
        <f t="shared" si="711"/>
        <v>0</v>
      </c>
      <c r="BK618" s="1125">
        <f t="shared" si="712"/>
        <v>1</v>
      </c>
      <c r="BL618" s="1125">
        <f t="shared" si="713"/>
        <v>1</v>
      </c>
      <c r="BM618" s="1125">
        <f t="shared" si="714"/>
        <v>1</v>
      </c>
      <c r="BN618" s="1125">
        <f t="shared" si="715"/>
        <v>1</v>
      </c>
      <c r="BO618" s="1125">
        <f t="shared" si="716"/>
        <v>1</v>
      </c>
      <c r="BP618" s="1125">
        <f t="shared" si="717"/>
        <v>1</v>
      </c>
      <c r="BQ618" s="1125">
        <f t="shared" si="718"/>
        <v>1</v>
      </c>
      <c r="BR618" s="1125">
        <f t="shared" si="719"/>
        <v>1</v>
      </c>
      <c r="BS618" s="1125">
        <f t="shared" si="720"/>
        <v>1</v>
      </c>
      <c r="BT618" s="1125">
        <f t="shared" si="721"/>
        <v>1</v>
      </c>
      <c r="BU618" s="1125">
        <f t="shared" si="722"/>
        <v>1</v>
      </c>
      <c r="BV618" s="1125">
        <f t="shared" si="723"/>
        <v>1</v>
      </c>
      <c r="BW618" s="1125">
        <f t="shared" si="724"/>
        <v>0</v>
      </c>
      <c r="BX618" s="1125">
        <f t="shared" si="725"/>
        <v>0</v>
      </c>
      <c r="BY618" s="1125">
        <f t="shared" si="726"/>
        <v>0</v>
      </c>
      <c r="BZ618" s="1125">
        <f t="shared" si="727"/>
        <v>0</v>
      </c>
      <c r="CA618" s="1125">
        <f t="shared" si="728"/>
        <v>0</v>
      </c>
      <c r="CB618" s="1125">
        <f t="shared" si="729"/>
        <v>0</v>
      </c>
      <c r="CC618" s="1125">
        <f t="shared" si="730"/>
        <v>1</v>
      </c>
      <c r="CD618" s="1125">
        <f t="shared" si="731"/>
        <v>1</v>
      </c>
      <c r="CE618" s="1125">
        <f t="shared" si="732"/>
        <v>0</v>
      </c>
      <c r="CF618" s="1125">
        <f t="shared" si="733"/>
        <v>0</v>
      </c>
      <c r="CG618" s="1125">
        <f t="shared" si="734"/>
        <v>0</v>
      </c>
      <c r="CH618" s="1125">
        <f t="shared" si="735"/>
        <v>0</v>
      </c>
      <c r="CI618" s="1125">
        <f t="shared" si="736"/>
        <v>0.85</v>
      </c>
      <c r="CJ618" s="1125">
        <f t="shared" si="737"/>
        <v>0.85</v>
      </c>
      <c r="CK618" s="1125">
        <f t="shared" si="738"/>
        <v>0.85</v>
      </c>
      <c r="CL618" s="1125">
        <f t="shared" si="739"/>
        <v>0.85</v>
      </c>
      <c r="CM618" s="1125">
        <f t="shared" si="740"/>
        <v>0.85</v>
      </c>
      <c r="CN618" s="1125">
        <f t="shared" si="741"/>
        <v>0.85</v>
      </c>
      <c r="CO618" s="1125">
        <f t="shared" si="742"/>
        <v>0.85</v>
      </c>
      <c r="CP618" s="1125">
        <f t="shared" si="743"/>
        <v>0.85</v>
      </c>
      <c r="CQ618" s="1125">
        <f t="shared" si="744"/>
        <v>0.85</v>
      </c>
      <c r="CR618" s="1125">
        <f t="shared" si="745"/>
        <v>0.85</v>
      </c>
      <c r="CS618" s="1125">
        <f t="shared" si="746"/>
        <v>0.85</v>
      </c>
      <c r="CT618" s="1125">
        <f t="shared" si="747"/>
        <v>0.85</v>
      </c>
      <c r="CU618" s="1125">
        <v>1</v>
      </c>
      <c r="CV618" s="1125"/>
      <c r="CW618" s="1125">
        <f t="shared" si="748"/>
        <v>62</v>
      </c>
      <c r="CX618" s="1125">
        <f t="shared" si="749"/>
        <v>303</v>
      </c>
      <c r="CY618" s="1135" t="s">
        <v>4893</v>
      </c>
      <c r="CZ618" s="1124" t="s">
        <v>4895</v>
      </c>
      <c r="DA618" s="1124"/>
      <c r="DB618" s="1124"/>
      <c r="DC618" s="1120" t="s">
        <v>5036</v>
      </c>
      <c r="DD618" s="1120" t="s">
        <v>954</v>
      </c>
      <c r="DE618" s="1120" t="b">
        <f t="shared" si="750"/>
        <v>0</v>
      </c>
      <c r="DF618" s="1133">
        <v>1</v>
      </c>
      <c r="DG618" s="1120">
        <v>0</v>
      </c>
    </row>
    <row r="619" spans="1:111">
      <c r="A619" s="1125" t="s">
        <v>3954</v>
      </c>
      <c r="B619" s="1120" t="s">
        <v>3016</v>
      </c>
      <c r="C619" s="1120" t="s">
        <v>3017</v>
      </c>
      <c r="D619" s="1120" t="s">
        <v>247</v>
      </c>
      <c r="E619" s="1120">
        <v>203</v>
      </c>
      <c r="F619" s="1120">
        <v>-86.4</v>
      </c>
      <c r="G619" s="1120">
        <v>32.299999999999997</v>
      </c>
      <c r="H619" s="1120">
        <v>-6</v>
      </c>
      <c r="I619" s="1121">
        <v>27.320000171661377</v>
      </c>
      <c r="J619" s="1121">
        <v>94.100000000000009</v>
      </c>
      <c r="K619" s="1122">
        <v>76.099999999999994</v>
      </c>
      <c r="L619" s="1120">
        <v>2147.4</v>
      </c>
      <c r="M619" s="1120">
        <v>34.200000000000003</v>
      </c>
      <c r="N619" s="1123">
        <v>44.779999828338624</v>
      </c>
      <c r="O619" s="1123">
        <v>49.1</v>
      </c>
      <c r="P619" s="1123">
        <v>59.719999313354492</v>
      </c>
      <c r="Q619" s="1123">
        <v>65.66000137329101</v>
      </c>
      <c r="R619" s="1123">
        <v>71.419999313354495</v>
      </c>
      <c r="S619" s="1123">
        <v>78.439998626708984</v>
      </c>
      <c r="T619" s="1123">
        <v>80.239998626708982</v>
      </c>
      <c r="U619" s="1123">
        <v>80.060001373291016</v>
      </c>
      <c r="V619" s="1123">
        <v>75.019999313354489</v>
      </c>
      <c r="W619" s="1123">
        <v>63.680000686645506</v>
      </c>
      <c r="X619" s="1123">
        <v>54.859999656677246</v>
      </c>
      <c r="Y619" s="1123">
        <v>48.740000343322755</v>
      </c>
      <c r="Z619" s="1123">
        <v>64.389150556538198</v>
      </c>
      <c r="AA619" s="1123">
        <f t="shared" si="676"/>
        <v>60.018827225165076</v>
      </c>
      <c r="AB619" s="1123">
        <f t="shared" si="677"/>
        <v>60.055435396600501</v>
      </c>
      <c r="AC619" s="1123">
        <f t="shared" si="678"/>
        <v>62.785685671844682</v>
      </c>
      <c r="AD619" s="1123">
        <f t="shared" si="679"/>
        <v>67.497896242224897</v>
      </c>
      <c r="AE619" s="1123">
        <f t="shared" si="680"/>
        <v>72.963756805208533</v>
      </c>
      <c r="AF619" s="1123">
        <f t="shared" si="681"/>
        <v>77.758506573592982</v>
      </c>
      <c r="AG619" s="1123">
        <f t="shared" si="682"/>
        <v>80.632320130918288</v>
      </c>
      <c r="AH619" s="1123">
        <f t="shared" si="683"/>
        <v>80.836093686660149</v>
      </c>
      <c r="AI619" s="1123">
        <f t="shared" si="684"/>
        <v>78.316710523268881</v>
      </c>
      <c r="AJ619" s="1123">
        <f t="shared" si="685"/>
        <v>73.730886687152207</v>
      </c>
      <c r="AK619" s="1123">
        <f t="shared" si="686"/>
        <v>68.273987830878397</v>
      </c>
      <c r="AL619" s="1123">
        <f t="shared" si="687"/>
        <v>63.368438734692063</v>
      </c>
      <c r="AM619" s="1120">
        <f t="shared" si="688"/>
        <v>1</v>
      </c>
      <c r="AN619" s="1120">
        <f t="shared" si="689"/>
        <v>1</v>
      </c>
      <c r="AO619" s="1120">
        <f t="shared" si="690"/>
        <v>1</v>
      </c>
      <c r="AP619" s="1120">
        <f t="shared" si="691"/>
        <v>1</v>
      </c>
      <c r="AQ619" s="1120">
        <f t="shared" si="692"/>
        <v>0</v>
      </c>
      <c r="AR619" s="1120">
        <f t="shared" si="693"/>
        <v>0</v>
      </c>
      <c r="AS619" s="1120">
        <f t="shared" si="694"/>
        <v>0</v>
      </c>
      <c r="AT619" s="1120">
        <f t="shared" si="695"/>
        <v>0</v>
      </c>
      <c r="AU619" s="1120">
        <f t="shared" si="696"/>
        <v>0</v>
      </c>
      <c r="AV619" s="1120">
        <f t="shared" si="697"/>
        <v>1</v>
      </c>
      <c r="AW619" s="1120">
        <f t="shared" si="698"/>
        <v>1</v>
      </c>
      <c r="AX619" s="1120">
        <f t="shared" si="699"/>
        <v>1</v>
      </c>
      <c r="AY619" s="1120">
        <f t="shared" si="700"/>
        <v>0</v>
      </c>
      <c r="AZ619" s="1120">
        <f t="shared" si="701"/>
        <v>0</v>
      </c>
      <c r="BA619" s="1120">
        <f t="shared" si="702"/>
        <v>0</v>
      </c>
      <c r="BB619" s="1120">
        <f t="shared" si="703"/>
        <v>0</v>
      </c>
      <c r="BC619" s="1120">
        <f t="shared" si="704"/>
        <v>1</v>
      </c>
      <c r="BD619" s="1120">
        <f t="shared" si="705"/>
        <v>1</v>
      </c>
      <c r="BE619" s="1120">
        <f t="shared" si="706"/>
        <v>1</v>
      </c>
      <c r="BF619" s="1120">
        <f t="shared" si="707"/>
        <v>1</v>
      </c>
      <c r="BG619" s="1120">
        <f t="shared" si="708"/>
        <v>1</v>
      </c>
      <c r="BH619" s="1120">
        <f t="shared" si="709"/>
        <v>0</v>
      </c>
      <c r="BI619" s="1120">
        <f t="shared" si="710"/>
        <v>0</v>
      </c>
      <c r="BJ619" s="1120">
        <f t="shared" si="711"/>
        <v>0</v>
      </c>
      <c r="BK619" s="1120">
        <f t="shared" si="712"/>
        <v>1</v>
      </c>
      <c r="BL619" s="1120">
        <f t="shared" si="713"/>
        <v>1</v>
      </c>
      <c r="BM619" s="1120">
        <f t="shared" si="714"/>
        <v>1</v>
      </c>
      <c r="BN619" s="1120">
        <f t="shared" si="715"/>
        <v>1</v>
      </c>
      <c r="BO619" s="1120">
        <f t="shared" si="716"/>
        <v>1</v>
      </c>
      <c r="BP619" s="1120">
        <f t="shared" si="717"/>
        <v>0</v>
      </c>
      <c r="BQ619" s="1120">
        <f t="shared" si="718"/>
        <v>0</v>
      </c>
      <c r="BR619" s="1120">
        <f t="shared" si="719"/>
        <v>0</v>
      </c>
      <c r="BS619" s="1120">
        <f t="shared" si="720"/>
        <v>0</v>
      </c>
      <c r="BT619" s="1120">
        <f t="shared" si="721"/>
        <v>1</v>
      </c>
      <c r="BU619" s="1120">
        <f t="shared" si="722"/>
        <v>1</v>
      </c>
      <c r="BV619" s="1120">
        <f t="shared" si="723"/>
        <v>1</v>
      </c>
      <c r="BW619" s="1120">
        <f t="shared" si="724"/>
        <v>0</v>
      </c>
      <c r="BX619" s="1120">
        <f t="shared" si="725"/>
        <v>0</v>
      </c>
      <c r="BY619" s="1120">
        <f t="shared" si="726"/>
        <v>0</v>
      </c>
      <c r="BZ619" s="1120">
        <f t="shared" si="727"/>
        <v>1</v>
      </c>
      <c r="CA619" s="1120">
        <f t="shared" si="728"/>
        <v>1</v>
      </c>
      <c r="CB619" s="1120">
        <f t="shared" si="729"/>
        <v>1</v>
      </c>
      <c r="CC619" s="1120">
        <f t="shared" si="730"/>
        <v>1</v>
      </c>
      <c r="CD619" s="1120">
        <f t="shared" si="731"/>
        <v>1</v>
      </c>
      <c r="CE619" s="1120">
        <f t="shared" si="732"/>
        <v>1</v>
      </c>
      <c r="CF619" s="1120">
        <f t="shared" si="733"/>
        <v>1</v>
      </c>
      <c r="CG619" s="1120">
        <f t="shared" si="734"/>
        <v>0</v>
      </c>
      <c r="CH619" s="1120">
        <f t="shared" si="735"/>
        <v>0</v>
      </c>
      <c r="CI619" s="1120">
        <f t="shared" si="736"/>
        <v>0.85</v>
      </c>
      <c r="CJ619" s="1120">
        <f t="shared" si="737"/>
        <v>0.85</v>
      </c>
      <c r="CK619" s="1120">
        <f t="shared" si="738"/>
        <v>0.85</v>
      </c>
      <c r="CL619" s="1120">
        <f t="shared" si="739"/>
        <v>0.85</v>
      </c>
      <c r="CM619" s="1120">
        <f t="shared" si="740"/>
        <v>0.85</v>
      </c>
      <c r="CN619" s="1120">
        <f t="shared" si="741"/>
        <v>0.7</v>
      </c>
      <c r="CO619" s="1120">
        <f t="shared" si="742"/>
        <v>0.7</v>
      </c>
      <c r="CP619" s="1120">
        <f t="shared" si="743"/>
        <v>0.7</v>
      </c>
      <c r="CQ619" s="1120">
        <f t="shared" si="744"/>
        <v>0.7</v>
      </c>
      <c r="CR619" s="1120">
        <f t="shared" si="745"/>
        <v>0.85</v>
      </c>
      <c r="CS619" s="1120">
        <f t="shared" si="746"/>
        <v>0.85</v>
      </c>
      <c r="CT619" s="1120">
        <f t="shared" si="747"/>
        <v>0.85</v>
      </c>
      <c r="CU619" s="1120">
        <v>1</v>
      </c>
      <c r="CV619" s="1120"/>
      <c r="CW619" s="1120">
        <f t="shared" si="748"/>
        <v>214</v>
      </c>
      <c r="CX619" s="1120">
        <f t="shared" si="749"/>
        <v>151</v>
      </c>
      <c r="CY619" s="1135" t="s">
        <v>4883</v>
      </c>
      <c r="CZ619" s="1124" t="s">
        <v>4882</v>
      </c>
      <c r="DA619" s="1124"/>
      <c r="DB619" s="1124"/>
      <c r="DC619" s="1120" t="s">
        <v>4980</v>
      </c>
      <c r="DD619" s="1120" t="s">
        <v>247</v>
      </c>
      <c r="DE619" s="1120" t="str">
        <f t="shared" si="750"/>
        <v/>
      </c>
      <c r="DF619" s="1120">
        <v>1</v>
      </c>
      <c r="DG619" s="1125">
        <v>0</v>
      </c>
    </row>
    <row r="620" spans="1:111">
      <c r="A620" s="1120" t="s">
        <v>4312</v>
      </c>
      <c r="B620" s="1125" t="s">
        <v>4134</v>
      </c>
      <c r="C620" s="1125" t="s">
        <v>4135</v>
      </c>
      <c r="D620" s="1125" t="s">
        <v>537</v>
      </c>
      <c r="E620" s="1125">
        <v>1404</v>
      </c>
      <c r="F620" s="1125">
        <v>-74.8</v>
      </c>
      <c r="G620" s="1125">
        <v>41.7</v>
      </c>
      <c r="H620" s="1125">
        <v>-5</v>
      </c>
      <c r="I620" s="1126">
        <v>3.380000686645507</v>
      </c>
      <c r="J620" s="1126">
        <v>82.4</v>
      </c>
      <c r="K620" s="1127">
        <v>68.360001373291013</v>
      </c>
      <c r="L620" s="1125">
        <v>6843.6</v>
      </c>
      <c r="M620" s="1125">
        <v>466.2</v>
      </c>
      <c r="N620" s="1128">
        <v>25.879999828338622</v>
      </c>
      <c r="O620" s="1128">
        <v>26.6</v>
      </c>
      <c r="P620" s="1128">
        <v>29.480000042915343</v>
      </c>
      <c r="Q620" s="1128">
        <v>48.740000343322755</v>
      </c>
      <c r="R620" s="1128">
        <v>53.240000343322755</v>
      </c>
      <c r="S620" s="1128">
        <v>65.66000137329101</v>
      </c>
      <c r="T620" s="1128">
        <v>69.980000686645511</v>
      </c>
      <c r="U620" s="1128">
        <v>68.360001373291013</v>
      </c>
      <c r="V620" s="1128">
        <v>62.419999313354495</v>
      </c>
      <c r="W620" s="1128">
        <v>48.2</v>
      </c>
      <c r="X620" s="1128">
        <v>38.839999914169312</v>
      </c>
      <c r="Y620" s="1128">
        <v>24.440000343322755</v>
      </c>
      <c r="Z620" s="1128">
        <v>46.908438656101488</v>
      </c>
      <c r="AA620" s="1128">
        <f t="shared" si="676"/>
        <v>44.590632261083407</v>
      </c>
      <c r="AB620" s="1128">
        <f t="shared" si="677"/>
        <v>43.144515277783043</v>
      </c>
      <c r="AC620" s="1128">
        <f t="shared" si="678"/>
        <v>44.243515389655222</v>
      </c>
      <c r="AD620" s="1128">
        <f t="shared" si="679"/>
        <v>47.601161281436099</v>
      </c>
      <c r="AE620" s="1128">
        <f t="shared" si="680"/>
        <v>52.34223080854354</v>
      </c>
      <c r="AF620" s="1128">
        <f t="shared" si="681"/>
        <v>57.230891136644011</v>
      </c>
      <c r="AG620" s="1128">
        <f t="shared" si="682"/>
        <v>60.992837614682045</v>
      </c>
      <c r="AH620" s="1128">
        <f t="shared" si="683"/>
        <v>62.647460919806974</v>
      </c>
      <c r="AI620" s="1128">
        <f t="shared" si="684"/>
        <v>61.763457989021013</v>
      </c>
      <c r="AJ620" s="1128">
        <f t="shared" si="685"/>
        <v>58.571257809131048</v>
      </c>
      <c r="AK620" s="1128">
        <f t="shared" si="686"/>
        <v>53.902956550319239</v>
      </c>
      <c r="AL620" s="1128">
        <f t="shared" si="687"/>
        <v>48.975418876394912</v>
      </c>
      <c r="AM620" s="1125">
        <f t="shared" si="688"/>
        <v>1</v>
      </c>
      <c r="AN620" s="1125">
        <f t="shared" si="689"/>
        <v>1</v>
      </c>
      <c r="AO620" s="1125">
        <f t="shared" si="690"/>
        <v>1</v>
      </c>
      <c r="AP620" s="1125">
        <f t="shared" si="691"/>
        <v>1</v>
      </c>
      <c r="AQ620" s="1125">
        <f t="shared" si="692"/>
        <v>1</v>
      </c>
      <c r="AR620" s="1125">
        <f t="shared" si="693"/>
        <v>1</v>
      </c>
      <c r="AS620" s="1125">
        <f t="shared" si="694"/>
        <v>0</v>
      </c>
      <c r="AT620" s="1125">
        <f t="shared" si="695"/>
        <v>0</v>
      </c>
      <c r="AU620" s="1125">
        <f t="shared" si="696"/>
        <v>1</v>
      </c>
      <c r="AV620" s="1125">
        <f t="shared" si="697"/>
        <v>1</v>
      </c>
      <c r="AW620" s="1125">
        <f t="shared" si="698"/>
        <v>1</v>
      </c>
      <c r="AX620" s="1125">
        <f t="shared" si="699"/>
        <v>1</v>
      </c>
      <c r="AY620" s="1125">
        <f t="shared" si="700"/>
        <v>0</v>
      </c>
      <c r="AZ620" s="1125">
        <f t="shared" si="701"/>
        <v>0</v>
      </c>
      <c r="BA620" s="1125">
        <f t="shared" si="702"/>
        <v>0</v>
      </c>
      <c r="BB620" s="1125">
        <f t="shared" si="703"/>
        <v>0</v>
      </c>
      <c r="BC620" s="1125">
        <f t="shared" si="704"/>
        <v>0</v>
      </c>
      <c r="BD620" s="1125">
        <f t="shared" si="705"/>
        <v>0</v>
      </c>
      <c r="BE620" s="1125">
        <f t="shared" si="706"/>
        <v>1</v>
      </c>
      <c r="BF620" s="1125">
        <f t="shared" si="707"/>
        <v>1</v>
      </c>
      <c r="BG620" s="1125">
        <f t="shared" si="708"/>
        <v>0</v>
      </c>
      <c r="BH620" s="1125">
        <f t="shared" si="709"/>
        <v>0</v>
      </c>
      <c r="BI620" s="1125">
        <f t="shared" si="710"/>
        <v>0</v>
      </c>
      <c r="BJ620" s="1125">
        <f t="shared" si="711"/>
        <v>0</v>
      </c>
      <c r="BK620" s="1125">
        <f t="shared" si="712"/>
        <v>1</v>
      </c>
      <c r="BL620" s="1125">
        <f t="shared" si="713"/>
        <v>1</v>
      </c>
      <c r="BM620" s="1125">
        <f t="shared" si="714"/>
        <v>1</v>
      </c>
      <c r="BN620" s="1125">
        <f t="shared" si="715"/>
        <v>1</v>
      </c>
      <c r="BO620" s="1125">
        <f t="shared" si="716"/>
        <v>1</v>
      </c>
      <c r="BP620" s="1125">
        <f t="shared" si="717"/>
        <v>1</v>
      </c>
      <c r="BQ620" s="1125">
        <f t="shared" si="718"/>
        <v>1</v>
      </c>
      <c r="BR620" s="1125">
        <f t="shared" si="719"/>
        <v>0</v>
      </c>
      <c r="BS620" s="1125">
        <f t="shared" si="720"/>
        <v>1</v>
      </c>
      <c r="BT620" s="1125">
        <f t="shared" si="721"/>
        <v>1</v>
      </c>
      <c r="BU620" s="1125">
        <f t="shared" si="722"/>
        <v>1</v>
      </c>
      <c r="BV620" s="1125">
        <f t="shared" si="723"/>
        <v>1</v>
      </c>
      <c r="BW620" s="1125">
        <f t="shared" si="724"/>
        <v>0</v>
      </c>
      <c r="BX620" s="1125">
        <f t="shared" si="725"/>
        <v>0</v>
      </c>
      <c r="BY620" s="1125">
        <f t="shared" si="726"/>
        <v>0</v>
      </c>
      <c r="BZ620" s="1125">
        <f t="shared" si="727"/>
        <v>0</v>
      </c>
      <c r="CA620" s="1125">
        <f t="shared" si="728"/>
        <v>0</v>
      </c>
      <c r="CB620" s="1125">
        <f t="shared" si="729"/>
        <v>1</v>
      </c>
      <c r="CC620" s="1125">
        <f t="shared" si="730"/>
        <v>1</v>
      </c>
      <c r="CD620" s="1125">
        <f t="shared" si="731"/>
        <v>1</v>
      </c>
      <c r="CE620" s="1125">
        <f t="shared" si="732"/>
        <v>1</v>
      </c>
      <c r="CF620" s="1125">
        <f t="shared" si="733"/>
        <v>0</v>
      </c>
      <c r="CG620" s="1125">
        <f t="shared" si="734"/>
        <v>0</v>
      </c>
      <c r="CH620" s="1125">
        <f t="shared" si="735"/>
        <v>0</v>
      </c>
      <c r="CI620" s="1125">
        <f t="shared" si="736"/>
        <v>0.85</v>
      </c>
      <c r="CJ620" s="1125">
        <f t="shared" si="737"/>
        <v>0.85</v>
      </c>
      <c r="CK620" s="1125">
        <f t="shared" si="738"/>
        <v>0.85</v>
      </c>
      <c r="CL620" s="1125">
        <f t="shared" si="739"/>
        <v>0.85</v>
      </c>
      <c r="CM620" s="1125">
        <f t="shared" si="740"/>
        <v>0.85</v>
      </c>
      <c r="CN620" s="1125">
        <f t="shared" si="741"/>
        <v>0.85</v>
      </c>
      <c r="CO620" s="1125">
        <f t="shared" si="742"/>
        <v>0.85</v>
      </c>
      <c r="CP620" s="1125">
        <f t="shared" si="743"/>
        <v>0.7</v>
      </c>
      <c r="CQ620" s="1125">
        <f t="shared" si="744"/>
        <v>0.85</v>
      </c>
      <c r="CR620" s="1125">
        <f t="shared" si="745"/>
        <v>0.85</v>
      </c>
      <c r="CS620" s="1125">
        <f t="shared" si="746"/>
        <v>0.85</v>
      </c>
      <c r="CT620" s="1125">
        <f t="shared" si="747"/>
        <v>0.85</v>
      </c>
      <c r="CU620" s="1125">
        <v>1</v>
      </c>
      <c r="CV620" s="1125"/>
      <c r="CW620" s="1125">
        <f t="shared" si="748"/>
        <v>122</v>
      </c>
      <c r="CX620" s="1125">
        <f t="shared" si="749"/>
        <v>243</v>
      </c>
      <c r="CY620" s="1136" t="s">
        <v>4889</v>
      </c>
      <c r="CZ620" s="1129" t="s">
        <v>4899</v>
      </c>
      <c r="DA620" s="1129"/>
      <c r="DB620" s="1129"/>
      <c r="DC620" s="1125" t="s">
        <v>5776</v>
      </c>
      <c r="DD620" s="1125" t="s">
        <v>537</v>
      </c>
      <c r="DE620" s="1120" t="b">
        <f t="shared" si="750"/>
        <v>0</v>
      </c>
      <c r="DF620" s="1133">
        <v>1</v>
      </c>
      <c r="DG620" s="1120">
        <v>0</v>
      </c>
    </row>
    <row r="621" spans="1:111">
      <c r="A621" s="1125" t="s">
        <v>3956</v>
      </c>
      <c r="B621" s="1120" t="s">
        <v>3447</v>
      </c>
      <c r="C621" s="1120" t="s">
        <v>3448</v>
      </c>
      <c r="D621" s="1120" t="s">
        <v>566</v>
      </c>
      <c r="E621" s="1120">
        <v>850</v>
      </c>
      <c r="F621" s="1120">
        <v>-91.17</v>
      </c>
      <c r="G621" s="1120">
        <v>42.23</v>
      </c>
      <c r="H621" s="1120">
        <v>-6</v>
      </c>
      <c r="I621" s="1121">
        <v>-22.18000068664551</v>
      </c>
      <c r="J621" s="1121">
        <v>89.779997253417974</v>
      </c>
      <c r="K621" s="1122">
        <v>77.180000686645513</v>
      </c>
      <c r="L621" s="1120">
        <v>6611.4000000000005</v>
      </c>
      <c r="M621" s="1120">
        <v>811.80000000000007</v>
      </c>
      <c r="N621" s="1123">
        <v>18.140000343322754</v>
      </c>
      <c r="O621" s="1123">
        <v>23.179999828338623</v>
      </c>
      <c r="P621" s="1123">
        <v>37.579999828338622</v>
      </c>
      <c r="Q621" s="1123">
        <v>53.419999313354495</v>
      </c>
      <c r="R621" s="1123">
        <v>57.919999313354495</v>
      </c>
      <c r="S621" s="1123">
        <v>71.780000686645508</v>
      </c>
      <c r="T621" s="1123">
        <v>71.239998626708982</v>
      </c>
      <c r="U621" s="1123">
        <v>71.239998626708982</v>
      </c>
      <c r="V621" s="1123">
        <v>65.119999313354498</v>
      </c>
      <c r="W621" s="1123">
        <v>51.8</v>
      </c>
      <c r="X621" s="1123">
        <v>37.220000171661376</v>
      </c>
      <c r="Y621" s="1123">
        <v>21.920000171661378</v>
      </c>
      <c r="Z621" s="1123">
        <v>48.493917490292901</v>
      </c>
      <c r="AA621" s="1123">
        <f t="shared" si="676"/>
        <v>44.167640005564643</v>
      </c>
      <c r="AB621" s="1123">
        <f t="shared" si="677"/>
        <v>42.561101304827076</v>
      </c>
      <c r="AC621" s="1123">
        <f t="shared" si="678"/>
        <v>44.065035033094908</v>
      </c>
      <c r="AD621" s="1123">
        <f t="shared" si="679"/>
        <v>48.287417687774834</v>
      </c>
      <c r="AE621" s="1123">
        <f t="shared" si="680"/>
        <v>54.127620161038195</v>
      </c>
      <c r="AF621" s="1123">
        <f t="shared" si="681"/>
        <v>60.063303677984514</v>
      </c>
      <c r="AG621" s="1123">
        <f t="shared" si="682"/>
        <v>64.547240858269902</v>
      </c>
      <c r="AH621" s="1123">
        <f t="shared" si="683"/>
        <v>66.410624376289405</v>
      </c>
      <c r="AI621" s="1123">
        <f t="shared" si="684"/>
        <v>65.167734602462005</v>
      </c>
      <c r="AJ621" s="1123">
        <f t="shared" si="685"/>
        <v>61.142549909847006</v>
      </c>
      <c r="AK621" s="1123">
        <f t="shared" si="686"/>
        <v>55.384296718548249</v>
      </c>
      <c r="AL621" s="1123">
        <f t="shared" si="687"/>
        <v>49.393952460245487</v>
      </c>
      <c r="AM621" s="1120">
        <f t="shared" si="688"/>
        <v>1</v>
      </c>
      <c r="AN621" s="1120">
        <f t="shared" si="689"/>
        <v>1</v>
      </c>
      <c r="AO621" s="1120">
        <f t="shared" si="690"/>
        <v>1</v>
      </c>
      <c r="AP621" s="1120">
        <f t="shared" si="691"/>
        <v>1</v>
      </c>
      <c r="AQ621" s="1120">
        <f t="shared" si="692"/>
        <v>1</v>
      </c>
      <c r="AR621" s="1120">
        <f t="shared" si="693"/>
        <v>0</v>
      </c>
      <c r="AS621" s="1120">
        <f t="shared" si="694"/>
        <v>0</v>
      </c>
      <c r="AT621" s="1120">
        <f t="shared" si="695"/>
        <v>0</v>
      </c>
      <c r="AU621" s="1120">
        <f t="shared" si="696"/>
        <v>1</v>
      </c>
      <c r="AV621" s="1120">
        <f t="shared" si="697"/>
        <v>1</v>
      </c>
      <c r="AW621" s="1120">
        <f t="shared" si="698"/>
        <v>1</v>
      </c>
      <c r="AX621" s="1120">
        <f t="shared" si="699"/>
        <v>1</v>
      </c>
      <c r="AY621" s="1120">
        <f t="shared" si="700"/>
        <v>0</v>
      </c>
      <c r="AZ621" s="1120">
        <f t="shared" si="701"/>
        <v>0</v>
      </c>
      <c r="BA621" s="1120">
        <f t="shared" si="702"/>
        <v>0</v>
      </c>
      <c r="BB621" s="1120">
        <f t="shared" si="703"/>
        <v>0</v>
      </c>
      <c r="BC621" s="1120">
        <f t="shared" si="704"/>
        <v>0</v>
      </c>
      <c r="BD621" s="1120">
        <f t="shared" si="705"/>
        <v>1</v>
      </c>
      <c r="BE621" s="1120">
        <f t="shared" si="706"/>
        <v>1</v>
      </c>
      <c r="BF621" s="1120">
        <f t="shared" si="707"/>
        <v>1</v>
      </c>
      <c r="BG621" s="1120">
        <f t="shared" si="708"/>
        <v>0</v>
      </c>
      <c r="BH621" s="1120">
        <f t="shared" si="709"/>
        <v>0</v>
      </c>
      <c r="BI621" s="1120">
        <f t="shared" si="710"/>
        <v>0</v>
      </c>
      <c r="BJ621" s="1120">
        <f t="shared" si="711"/>
        <v>0</v>
      </c>
      <c r="BK621" s="1120">
        <f t="shared" si="712"/>
        <v>1</v>
      </c>
      <c r="BL621" s="1120">
        <f t="shared" si="713"/>
        <v>1</v>
      </c>
      <c r="BM621" s="1120">
        <f t="shared" si="714"/>
        <v>1</v>
      </c>
      <c r="BN621" s="1120">
        <f t="shared" si="715"/>
        <v>1</v>
      </c>
      <c r="BO621" s="1120">
        <f t="shared" si="716"/>
        <v>1</v>
      </c>
      <c r="BP621" s="1120">
        <f t="shared" si="717"/>
        <v>1</v>
      </c>
      <c r="BQ621" s="1120">
        <f t="shared" si="718"/>
        <v>0</v>
      </c>
      <c r="BR621" s="1120">
        <f t="shared" si="719"/>
        <v>0</v>
      </c>
      <c r="BS621" s="1120">
        <f t="shared" si="720"/>
        <v>1</v>
      </c>
      <c r="BT621" s="1120">
        <f t="shared" si="721"/>
        <v>1</v>
      </c>
      <c r="BU621" s="1120">
        <f t="shared" si="722"/>
        <v>1</v>
      </c>
      <c r="BV621" s="1120">
        <f t="shared" si="723"/>
        <v>1</v>
      </c>
      <c r="BW621" s="1120">
        <f t="shared" si="724"/>
        <v>0</v>
      </c>
      <c r="BX621" s="1120">
        <f t="shared" si="725"/>
        <v>0</v>
      </c>
      <c r="BY621" s="1120">
        <f t="shared" si="726"/>
        <v>0</v>
      </c>
      <c r="BZ621" s="1120">
        <f t="shared" si="727"/>
        <v>0</v>
      </c>
      <c r="CA621" s="1120">
        <f t="shared" si="728"/>
        <v>1</v>
      </c>
      <c r="CB621" s="1120">
        <f t="shared" si="729"/>
        <v>1</v>
      </c>
      <c r="CC621" s="1120">
        <f t="shared" si="730"/>
        <v>1</v>
      </c>
      <c r="CD621" s="1120">
        <f t="shared" si="731"/>
        <v>1</v>
      </c>
      <c r="CE621" s="1120">
        <f t="shared" si="732"/>
        <v>1</v>
      </c>
      <c r="CF621" s="1120">
        <f t="shared" si="733"/>
        <v>0</v>
      </c>
      <c r="CG621" s="1120">
        <f t="shared" si="734"/>
        <v>0</v>
      </c>
      <c r="CH621" s="1120">
        <f t="shared" si="735"/>
        <v>0</v>
      </c>
      <c r="CI621" s="1120">
        <f t="shared" si="736"/>
        <v>0.85</v>
      </c>
      <c r="CJ621" s="1120">
        <f t="shared" si="737"/>
        <v>0.85</v>
      </c>
      <c r="CK621" s="1120">
        <f t="shared" si="738"/>
        <v>0.85</v>
      </c>
      <c r="CL621" s="1120">
        <f t="shared" si="739"/>
        <v>0.85</v>
      </c>
      <c r="CM621" s="1120">
        <f t="shared" si="740"/>
        <v>0.85</v>
      </c>
      <c r="CN621" s="1120">
        <f t="shared" si="741"/>
        <v>0.85</v>
      </c>
      <c r="CO621" s="1120">
        <f t="shared" si="742"/>
        <v>0.7</v>
      </c>
      <c r="CP621" s="1120">
        <f t="shared" si="743"/>
        <v>0.7</v>
      </c>
      <c r="CQ621" s="1120">
        <f t="shared" si="744"/>
        <v>0.85</v>
      </c>
      <c r="CR621" s="1120">
        <f t="shared" si="745"/>
        <v>0.85</v>
      </c>
      <c r="CS621" s="1120">
        <f t="shared" si="746"/>
        <v>0.85</v>
      </c>
      <c r="CT621" s="1120">
        <f t="shared" si="747"/>
        <v>0.85</v>
      </c>
      <c r="CU621" s="1120">
        <v>1</v>
      </c>
      <c r="CV621" s="1120"/>
      <c r="CW621" s="1120">
        <f t="shared" si="748"/>
        <v>153</v>
      </c>
      <c r="CX621" s="1120">
        <f t="shared" si="749"/>
        <v>212</v>
      </c>
      <c r="CY621" s="1135" t="s">
        <v>4889</v>
      </c>
      <c r="CZ621" s="1124" t="s">
        <v>4897</v>
      </c>
      <c r="DA621" s="1124"/>
      <c r="DB621" s="1124"/>
      <c r="DC621" s="1120" t="s">
        <v>5179</v>
      </c>
      <c r="DD621" s="1120" t="s">
        <v>566</v>
      </c>
      <c r="DE621" s="1120" t="str">
        <f t="shared" si="750"/>
        <v/>
      </c>
      <c r="DF621" s="1133">
        <v>1</v>
      </c>
      <c r="DG621" s="1125">
        <v>0</v>
      </c>
    </row>
    <row r="622" spans="1:111">
      <c r="A622" s="1120" t="s">
        <v>3958</v>
      </c>
      <c r="B622" s="1125" t="s">
        <v>4546</v>
      </c>
      <c r="C622" s="1125" t="s">
        <v>4547</v>
      </c>
      <c r="D622" s="1125" t="s">
        <v>1033</v>
      </c>
      <c r="E622" s="1125">
        <v>1125</v>
      </c>
      <c r="F622" s="1125">
        <v>-72.569999999999993</v>
      </c>
      <c r="G622" s="1125">
        <v>44.2</v>
      </c>
      <c r="H622" s="1125">
        <v>-5</v>
      </c>
      <c r="I622" s="1126">
        <v>-5.9800006866455089</v>
      </c>
      <c r="J622" s="1126">
        <v>82.219999313354492</v>
      </c>
      <c r="K622" s="1127">
        <v>68.180000686645513</v>
      </c>
      <c r="L622" s="1125">
        <v>7372.8</v>
      </c>
      <c r="M622" s="1125">
        <v>300.60000000000002</v>
      </c>
      <c r="N622" s="1128">
        <v>26.060000085830687</v>
      </c>
      <c r="O622" s="1128">
        <v>17.059999656677245</v>
      </c>
      <c r="P622" s="1128">
        <v>31.639999994635581</v>
      </c>
      <c r="Q622" s="1128">
        <v>46.759999656677245</v>
      </c>
      <c r="R622" s="1128">
        <v>52.7</v>
      </c>
      <c r="S622" s="1128">
        <v>61.880000686645509</v>
      </c>
      <c r="T622" s="1128">
        <v>66.919999313354495</v>
      </c>
      <c r="U622" s="1128">
        <v>65.480000686645511</v>
      </c>
      <c r="V622" s="1128">
        <v>60.259999656677245</v>
      </c>
      <c r="W622" s="1128">
        <v>48.019999313354489</v>
      </c>
      <c r="X622" s="1128">
        <v>39.02000017166138</v>
      </c>
      <c r="Y622" s="1128">
        <v>22.459999656677248</v>
      </c>
      <c r="Z622" s="1128">
        <v>45.005369770143133</v>
      </c>
      <c r="AA622" s="1128">
        <f t="shared" si="676"/>
        <v>42.482698852032584</v>
      </c>
      <c r="AB622" s="1128">
        <f t="shared" si="677"/>
        <v>40.806875962388553</v>
      </c>
      <c r="AC622" s="1128">
        <f t="shared" si="678"/>
        <v>41.789447647282628</v>
      </c>
      <c r="AD622" s="1128">
        <f t="shared" si="679"/>
        <v>45.174291455159164</v>
      </c>
      <c r="AE622" s="1128">
        <f t="shared" si="680"/>
        <v>50.079095685473142</v>
      </c>
      <c r="AF622" s="1128">
        <f t="shared" si="681"/>
        <v>55.225347530272067</v>
      </c>
      <c r="AG622" s="1128">
        <f t="shared" si="682"/>
        <v>59.271597140067612</v>
      </c>
      <c r="AH622" s="1128">
        <f t="shared" si="683"/>
        <v>61.163127199472612</v>
      </c>
      <c r="AI622" s="1128">
        <f t="shared" si="684"/>
        <v>60.4068812491426</v>
      </c>
      <c r="AJ622" s="1128">
        <f t="shared" si="685"/>
        <v>57.199986450133956</v>
      </c>
      <c r="AK622" s="1128">
        <f t="shared" si="686"/>
        <v>52.378369351553054</v>
      </c>
      <c r="AL622" s="1128">
        <f t="shared" si="687"/>
        <v>47.19885875351364</v>
      </c>
      <c r="AM622" s="1125">
        <f t="shared" si="688"/>
        <v>1</v>
      </c>
      <c r="AN622" s="1125">
        <f t="shared" si="689"/>
        <v>1</v>
      </c>
      <c r="AO622" s="1125">
        <f t="shared" si="690"/>
        <v>1</v>
      </c>
      <c r="AP622" s="1125">
        <f t="shared" si="691"/>
        <v>1</v>
      </c>
      <c r="AQ622" s="1125">
        <f t="shared" si="692"/>
        <v>1</v>
      </c>
      <c r="AR622" s="1125">
        <f t="shared" si="693"/>
        <v>1</v>
      </c>
      <c r="AS622" s="1125">
        <f t="shared" si="694"/>
        <v>0</v>
      </c>
      <c r="AT622" s="1125">
        <f t="shared" si="695"/>
        <v>1</v>
      </c>
      <c r="AU622" s="1125">
        <f t="shared" si="696"/>
        <v>1</v>
      </c>
      <c r="AV622" s="1125">
        <f t="shared" si="697"/>
        <v>1</v>
      </c>
      <c r="AW622" s="1125">
        <f t="shared" si="698"/>
        <v>1</v>
      </c>
      <c r="AX622" s="1125">
        <f t="shared" si="699"/>
        <v>1</v>
      </c>
      <c r="AY622" s="1125">
        <f t="shared" si="700"/>
        <v>0</v>
      </c>
      <c r="AZ622" s="1125">
        <f t="shared" si="701"/>
        <v>0</v>
      </c>
      <c r="BA622" s="1125">
        <f t="shared" si="702"/>
        <v>0</v>
      </c>
      <c r="BB622" s="1125">
        <f t="shared" si="703"/>
        <v>0</v>
      </c>
      <c r="BC622" s="1125">
        <f t="shared" si="704"/>
        <v>0</v>
      </c>
      <c r="BD622" s="1125">
        <f t="shared" si="705"/>
        <v>0</v>
      </c>
      <c r="BE622" s="1125">
        <f t="shared" si="706"/>
        <v>1</v>
      </c>
      <c r="BF622" s="1125">
        <f t="shared" si="707"/>
        <v>1</v>
      </c>
      <c r="BG622" s="1125">
        <f t="shared" si="708"/>
        <v>0</v>
      </c>
      <c r="BH622" s="1125">
        <f t="shared" si="709"/>
        <v>0</v>
      </c>
      <c r="BI622" s="1125">
        <f t="shared" si="710"/>
        <v>0</v>
      </c>
      <c r="BJ622" s="1125">
        <f t="shared" si="711"/>
        <v>0</v>
      </c>
      <c r="BK622" s="1125">
        <f t="shared" si="712"/>
        <v>1</v>
      </c>
      <c r="BL622" s="1125">
        <f t="shared" si="713"/>
        <v>1</v>
      </c>
      <c r="BM622" s="1125">
        <f t="shared" si="714"/>
        <v>1</v>
      </c>
      <c r="BN622" s="1125">
        <f t="shared" si="715"/>
        <v>1</v>
      </c>
      <c r="BO622" s="1125">
        <f t="shared" si="716"/>
        <v>1</v>
      </c>
      <c r="BP622" s="1125">
        <f t="shared" si="717"/>
        <v>1</v>
      </c>
      <c r="BQ622" s="1125">
        <f t="shared" si="718"/>
        <v>1</v>
      </c>
      <c r="BR622" s="1125">
        <f t="shared" si="719"/>
        <v>1</v>
      </c>
      <c r="BS622" s="1125">
        <f t="shared" si="720"/>
        <v>1</v>
      </c>
      <c r="BT622" s="1125">
        <f t="shared" si="721"/>
        <v>1</v>
      </c>
      <c r="BU622" s="1125">
        <f t="shared" si="722"/>
        <v>1</v>
      </c>
      <c r="BV622" s="1125">
        <f t="shared" si="723"/>
        <v>1</v>
      </c>
      <c r="BW622" s="1125">
        <f t="shared" si="724"/>
        <v>0</v>
      </c>
      <c r="BX622" s="1125">
        <f t="shared" si="725"/>
        <v>0</v>
      </c>
      <c r="BY622" s="1125">
        <f t="shared" si="726"/>
        <v>0</v>
      </c>
      <c r="BZ622" s="1125">
        <f t="shared" si="727"/>
        <v>0</v>
      </c>
      <c r="CA622" s="1125">
        <f t="shared" si="728"/>
        <v>0</v>
      </c>
      <c r="CB622" s="1125">
        <f t="shared" si="729"/>
        <v>1</v>
      </c>
      <c r="CC622" s="1125">
        <f t="shared" si="730"/>
        <v>1</v>
      </c>
      <c r="CD622" s="1125">
        <f t="shared" si="731"/>
        <v>1</v>
      </c>
      <c r="CE622" s="1125">
        <f t="shared" si="732"/>
        <v>0</v>
      </c>
      <c r="CF622" s="1125">
        <f t="shared" si="733"/>
        <v>0</v>
      </c>
      <c r="CG622" s="1125">
        <f t="shared" si="734"/>
        <v>0</v>
      </c>
      <c r="CH622" s="1125">
        <f t="shared" si="735"/>
        <v>0</v>
      </c>
      <c r="CI622" s="1125">
        <f t="shared" si="736"/>
        <v>0.85</v>
      </c>
      <c r="CJ622" s="1125">
        <f t="shared" si="737"/>
        <v>0.85</v>
      </c>
      <c r="CK622" s="1125">
        <f t="shared" si="738"/>
        <v>0.85</v>
      </c>
      <c r="CL622" s="1125">
        <f t="shared" si="739"/>
        <v>0.85</v>
      </c>
      <c r="CM622" s="1125">
        <f t="shared" si="740"/>
        <v>0.85</v>
      </c>
      <c r="CN622" s="1125">
        <f t="shared" si="741"/>
        <v>0.85</v>
      </c>
      <c r="CO622" s="1125">
        <f t="shared" si="742"/>
        <v>0.85</v>
      </c>
      <c r="CP622" s="1125">
        <f t="shared" si="743"/>
        <v>0.85</v>
      </c>
      <c r="CQ622" s="1125">
        <f t="shared" si="744"/>
        <v>0.85</v>
      </c>
      <c r="CR622" s="1125">
        <f t="shared" si="745"/>
        <v>0.85</v>
      </c>
      <c r="CS622" s="1125">
        <f t="shared" si="746"/>
        <v>0.85</v>
      </c>
      <c r="CT622" s="1125">
        <f t="shared" si="747"/>
        <v>0.85</v>
      </c>
      <c r="CU622" s="1125">
        <v>1</v>
      </c>
      <c r="CV622" s="1125"/>
      <c r="CW622" s="1125">
        <f t="shared" si="748"/>
        <v>92</v>
      </c>
      <c r="CX622" s="1125">
        <f t="shared" si="749"/>
        <v>273</v>
      </c>
      <c r="CY622" s="1135" t="s">
        <v>4889</v>
      </c>
      <c r="CZ622" s="1124" t="s">
        <v>4899</v>
      </c>
      <c r="DA622" s="1124"/>
      <c r="DB622" s="1124"/>
      <c r="DC622" s="1120" t="s">
        <v>5648</v>
      </c>
      <c r="DD622" s="1120" t="s">
        <v>1033</v>
      </c>
      <c r="DE622" s="1120" t="str">
        <f t="shared" si="750"/>
        <v/>
      </c>
      <c r="DF622" s="1133">
        <v>0</v>
      </c>
      <c r="DG622" s="1120">
        <v>0</v>
      </c>
    </row>
    <row r="623" spans="1:111">
      <c r="A623" s="1125" t="s">
        <v>3960</v>
      </c>
      <c r="B623" s="1120" t="s">
        <v>3240</v>
      </c>
      <c r="C623" s="1120" t="s">
        <v>3241</v>
      </c>
      <c r="D623" s="1120" t="s">
        <v>536</v>
      </c>
      <c r="E623" s="1120">
        <v>5756</v>
      </c>
      <c r="F623" s="1120">
        <v>-107.9</v>
      </c>
      <c r="G623" s="1120">
        <v>38.5</v>
      </c>
      <c r="H623" s="1120">
        <v>-7</v>
      </c>
      <c r="I623" s="1121">
        <v>9.8599996566772461</v>
      </c>
      <c r="J623" s="1121">
        <v>91.039998626708993</v>
      </c>
      <c r="K623" s="1122">
        <v>59.359999656677246</v>
      </c>
      <c r="L623" s="1120">
        <v>5972.4000000000005</v>
      </c>
      <c r="M623" s="1120">
        <v>828</v>
      </c>
      <c r="N623" s="1123">
        <v>25.520000171661376</v>
      </c>
      <c r="O623" s="1123">
        <v>34.880000042915341</v>
      </c>
      <c r="P623" s="1123">
        <v>38.839999914169312</v>
      </c>
      <c r="Q623" s="1123">
        <v>45.140000343322754</v>
      </c>
      <c r="R623" s="1123">
        <v>60.259999656677245</v>
      </c>
      <c r="S623" s="1123">
        <v>71.060001373291016</v>
      </c>
      <c r="T623" s="1123">
        <v>71.599999999999994</v>
      </c>
      <c r="U623" s="1123">
        <v>71.599999999999994</v>
      </c>
      <c r="V623" s="1123">
        <v>66.019999313354489</v>
      </c>
      <c r="W623" s="1123">
        <v>51.080000686645505</v>
      </c>
      <c r="X623" s="1123">
        <v>39.200000000000003</v>
      </c>
      <c r="Y623" s="1123">
        <v>27.679999828338623</v>
      </c>
      <c r="Z623" s="1123">
        <v>50.310191890638166</v>
      </c>
      <c r="AA623" s="1123">
        <f t="shared" si="676"/>
        <v>46.914568673463677</v>
      </c>
      <c r="AB623" s="1123">
        <f t="shared" si="677"/>
        <v>45.643035714746127</v>
      </c>
      <c r="AC623" s="1123">
        <f t="shared" si="678"/>
        <v>47.152061399127419</v>
      </c>
      <c r="AD623" s="1123">
        <f t="shared" si="679"/>
        <v>51.048294927183861</v>
      </c>
      <c r="AE623" s="1123">
        <f t="shared" si="680"/>
        <v>56.316122987051401</v>
      </c>
      <c r="AF623" s="1123">
        <f t="shared" si="681"/>
        <v>61.582405015237867</v>
      </c>
      <c r="AG623" s="1123">
        <f t="shared" si="682"/>
        <v>65.474403445233833</v>
      </c>
      <c r="AH623" s="1123">
        <f t="shared" si="683"/>
        <v>66.977608908749545</v>
      </c>
      <c r="AI623" s="1123">
        <f t="shared" si="684"/>
        <v>65.70018773662224</v>
      </c>
      <c r="AJ623" s="1123">
        <f t="shared" si="685"/>
        <v>61.97511944302304</v>
      </c>
      <c r="AK623" s="1123">
        <f t="shared" si="686"/>
        <v>56.773400483718611</v>
      </c>
      <c r="AL623" s="1123">
        <f t="shared" si="687"/>
        <v>51.450939066367276</v>
      </c>
      <c r="AM623" s="1120">
        <f t="shared" si="688"/>
        <v>1</v>
      </c>
      <c r="AN623" s="1120">
        <f t="shared" si="689"/>
        <v>1</v>
      </c>
      <c r="AO623" s="1120">
        <f t="shared" si="690"/>
        <v>1</v>
      </c>
      <c r="AP623" s="1120">
        <f t="shared" si="691"/>
        <v>1</v>
      </c>
      <c r="AQ623" s="1120">
        <f t="shared" si="692"/>
        <v>1</v>
      </c>
      <c r="AR623" s="1120">
        <f t="shared" si="693"/>
        <v>0</v>
      </c>
      <c r="AS623" s="1120">
        <f t="shared" si="694"/>
        <v>0</v>
      </c>
      <c r="AT623" s="1120">
        <f t="shared" si="695"/>
        <v>0</v>
      </c>
      <c r="AU623" s="1120">
        <f t="shared" si="696"/>
        <v>0</v>
      </c>
      <c r="AV623" s="1120">
        <f t="shared" si="697"/>
        <v>1</v>
      </c>
      <c r="AW623" s="1120">
        <f t="shared" si="698"/>
        <v>1</v>
      </c>
      <c r="AX623" s="1120">
        <f t="shared" si="699"/>
        <v>1</v>
      </c>
      <c r="AY623" s="1120">
        <f t="shared" si="700"/>
        <v>0</v>
      </c>
      <c r="AZ623" s="1120">
        <f t="shared" si="701"/>
        <v>0</v>
      </c>
      <c r="BA623" s="1120">
        <f t="shared" si="702"/>
        <v>0</v>
      </c>
      <c r="BB623" s="1120">
        <f t="shared" si="703"/>
        <v>0</v>
      </c>
      <c r="BC623" s="1120">
        <f t="shared" si="704"/>
        <v>0</v>
      </c>
      <c r="BD623" s="1120">
        <f t="shared" si="705"/>
        <v>1</v>
      </c>
      <c r="BE623" s="1120">
        <f t="shared" si="706"/>
        <v>1</v>
      </c>
      <c r="BF623" s="1120">
        <f t="shared" si="707"/>
        <v>1</v>
      </c>
      <c r="BG623" s="1120">
        <f t="shared" si="708"/>
        <v>1</v>
      </c>
      <c r="BH623" s="1120">
        <f t="shared" si="709"/>
        <v>0</v>
      </c>
      <c r="BI623" s="1120">
        <f t="shared" si="710"/>
        <v>0</v>
      </c>
      <c r="BJ623" s="1120">
        <f t="shared" si="711"/>
        <v>0</v>
      </c>
      <c r="BK623" s="1120">
        <f t="shared" si="712"/>
        <v>1</v>
      </c>
      <c r="BL623" s="1120">
        <f t="shared" si="713"/>
        <v>1</v>
      </c>
      <c r="BM623" s="1120">
        <f t="shared" si="714"/>
        <v>1</v>
      </c>
      <c r="BN623" s="1120">
        <f t="shared" si="715"/>
        <v>1</v>
      </c>
      <c r="BO623" s="1120">
        <f t="shared" si="716"/>
        <v>1</v>
      </c>
      <c r="BP623" s="1120">
        <f t="shared" si="717"/>
        <v>1</v>
      </c>
      <c r="BQ623" s="1120">
        <f t="shared" si="718"/>
        <v>0</v>
      </c>
      <c r="BR623" s="1120">
        <f t="shared" si="719"/>
        <v>0</v>
      </c>
      <c r="BS623" s="1120">
        <f t="shared" si="720"/>
        <v>0</v>
      </c>
      <c r="BT623" s="1120">
        <f t="shared" si="721"/>
        <v>1</v>
      </c>
      <c r="BU623" s="1120">
        <f t="shared" si="722"/>
        <v>1</v>
      </c>
      <c r="BV623" s="1120">
        <f t="shared" si="723"/>
        <v>1</v>
      </c>
      <c r="BW623" s="1120">
        <f t="shared" si="724"/>
        <v>0</v>
      </c>
      <c r="BX623" s="1120">
        <f t="shared" si="725"/>
        <v>0</v>
      </c>
      <c r="BY623" s="1120">
        <f t="shared" si="726"/>
        <v>0</v>
      </c>
      <c r="BZ623" s="1120">
        <f t="shared" si="727"/>
        <v>0</v>
      </c>
      <c r="CA623" s="1120">
        <f t="shared" si="728"/>
        <v>1</v>
      </c>
      <c r="CB623" s="1120">
        <f t="shared" si="729"/>
        <v>1</v>
      </c>
      <c r="CC623" s="1120">
        <f t="shared" si="730"/>
        <v>1</v>
      </c>
      <c r="CD623" s="1120">
        <f t="shared" si="731"/>
        <v>1</v>
      </c>
      <c r="CE623" s="1120">
        <f t="shared" si="732"/>
        <v>1</v>
      </c>
      <c r="CF623" s="1120">
        <f t="shared" si="733"/>
        <v>1</v>
      </c>
      <c r="CG623" s="1120">
        <f t="shared" si="734"/>
        <v>0</v>
      </c>
      <c r="CH623" s="1120">
        <f t="shared" si="735"/>
        <v>0</v>
      </c>
      <c r="CI623" s="1120">
        <f t="shared" si="736"/>
        <v>0.85</v>
      </c>
      <c r="CJ623" s="1120">
        <f t="shared" si="737"/>
        <v>0.85</v>
      </c>
      <c r="CK623" s="1120">
        <f t="shared" si="738"/>
        <v>0.85</v>
      </c>
      <c r="CL623" s="1120">
        <f t="shared" si="739"/>
        <v>0.85</v>
      </c>
      <c r="CM623" s="1120">
        <f t="shared" si="740"/>
        <v>0.85</v>
      </c>
      <c r="CN623" s="1120">
        <f t="shared" si="741"/>
        <v>0.85</v>
      </c>
      <c r="CO623" s="1120">
        <f t="shared" si="742"/>
        <v>0.7</v>
      </c>
      <c r="CP623" s="1120">
        <f t="shared" si="743"/>
        <v>0.7</v>
      </c>
      <c r="CQ623" s="1120">
        <f t="shared" si="744"/>
        <v>0.7</v>
      </c>
      <c r="CR623" s="1120">
        <f t="shared" si="745"/>
        <v>0.85</v>
      </c>
      <c r="CS623" s="1120">
        <f t="shared" si="746"/>
        <v>0.85</v>
      </c>
      <c r="CT623" s="1120">
        <f t="shared" si="747"/>
        <v>0.85</v>
      </c>
      <c r="CU623" s="1120">
        <v>1</v>
      </c>
      <c r="CV623" s="1120"/>
      <c r="CW623" s="1120">
        <f t="shared" si="748"/>
        <v>184</v>
      </c>
      <c r="CX623" s="1120">
        <f t="shared" si="749"/>
        <v>181</v>
      </c>
      <c r="CY623" s="1135" t="s">
        <v>4889</v>
      </c>
      <c r="CZ623" s="1124" t="s">
        <v>4890</v>
      </c>
      <c r="DA623" s="1124"/>
      <c r="DB623" s="1124"/>
      <c r="DC623" s="1120" t="s">
        <v>5080</v>
      </c>
      <c r="DD623" s="1120" t="s">
        <v>536</v>
      </c>
      <c r="DE623" s="1120" t="b">
        <f t="shared" si="750"/>
        <v>0</v>
      </c>
      <c r="DF623" s="1133">
        <v>1</v>
      </c>
      <c r="DG623" s="1125">
        <v>0</v>
      </c>
    </row>
    <row r="624" spans="1:111">
      <c r="A624" s="1120" t="s">
        <v>3962</v>
      </c>
      <c r="B624" s="1125" t="s">
        <v>3378</v>
      </c>
      <c r="C624" s="1125" t="s">
        <v>3379</v>
      </c>
      <c r="D624" s="1125" t="s">
        <v>428</v>
      </c>
      <c r="E624" s="1125">
        <v>233</v>
      </c>
      <c r="F624" s="1125">
        <v>-83.2</v>
      </c>
      <c r="G624" s="1125">
        <v>30.97</v>
      </c>
      <c r="H624" s="1125">
        <v>-5</v>
      </c>
      <c r="I624" s="1126">
        <v>33.619999957084659</v>
      </c>
      <c r="J624" s="1126">
        <v>93.739998626708982</v>
      </c>
      <c r="K624" s="1127">
        <v>76.280000686645508</v>
      </c>
      <c r="L624" s="1125">
        <v>1947.6000000000001</v>
      </c>
      <c r="M624" s="1125">
        <v>2269.8000000000002</v>
      </c>
      <c r="N624" s="1128">
        <v>48.019999313354489</v>
      </c>
      <c r="O624" s="1128">
        <v>55.580000686645505</v>
      </c>
      <c r="P624" s="1128">
        <v>56.480000686645511</v>
      </c>
      <c r="Q624" s="1128">
        <v>65.3</v>
      </c>
      <c r="R624" s="1128">
        <v>73.939998626708984</v>
      </c>
      <c r="S624" s="1128">
        <v>79.16000137329101</v>
      </c>
      <c r="T624" s="1128">
        <v>81.680000686645513</v>
      </c>
      <c r="U624" s="1128">
        <v>78.260001373291018</v>
      </c>
      <c r="V624" s="1128">
        <v>75.019999313354489</v>
      </c>
      <c r="W624" s="1128">
        <v>65.3</v>
      </c>
      <c r="X624" s="1128">
        <v>56.119999313354491</v>
      </c>
      <c r="Y624" s="1128">
        <v>48.2</v>
      </c>
      <c r="Z624" s="1128">
        <v>65.294575453457767</v>
      </c>
      <c r="AA624" s="1128">
        <f t="shared" si="676"/>
        <v>61.264296239974747</v>
      </c>
      <c r="AB624" s="1128">
        <f t="shared" si="677"/>
        <v>61.381622061201</v>
      </c>
      <c r="AC624" s="1128">
        <f t="shared" si="678"/>
        <v>64.082911947354859</v>
      </c>
      <c r="AD624" s="1128">
        <f t="shared" si="679"/>
        <v>68.664033061473091</v>
      </c>
      <c r="AE624" s="1128">
        <f t="shared" si="680"/>
        <v>73.930845587947474</v>
      </c>
      <c r="AF624" s="1128">
        <f t="shared" si="681"/>
        <v>78.510473677714586</v>
      </c>
      <c r="AG624" s="1128">
        <f t="shared" si="682"/>
        <v>81.209166694971529</v>
      </c>
      <c r="AH624" s="1128">
        <f t="shared" si="683"/>
        <v>81.323468716652002</v>
      </c>
      <c r="AI624" s="1128">
        <f t="shared" si="684"/>
        <v>78.823585159357535</v>
      </c>
      <c r="AJ624" s="1128">
        <f t="shared" si="685"/>
        <v>74.361149196668649</v>
      </c>
      <c r="AK624" s="1128">
        <f t="shared" si="686"/>
        <v>69.099363530480019</v>
      </c>
      <c r="AL624" s="1128">
        <f t="shared" si="687"/>
        <v>64.409793681255252</v>
      </c>
      <c r="AM624" s="1125">
        <f t="shared" si="688"/>
        <v>1</v>
      </c>
      <c r="AN624" s="1125">
        <f t="shared" si="689"/>
        <v>1</v>
      </c>
      <c r="AO624" s="1125">
        <f t="shared" si="690"/>
        <v>1</v>
      </c>
      <c r="AP624" s="1125">
        <f t="shared" si="691"/>
        <v>1</v>
      </c>
      <c r="AQ624" s="1125">
        <f t="shared" si="692"/>
        <v>0</v>
      </c>
      <c r="AR624" s="1125">
        <f t="shared" si="693"/>
        <v>0</v>
      </c>
      <c r="AS624" s="1125">
        <f t="shared" si="694"/>
        <v>0</v>
      </c>
      <c r="AT624" s="1125">
        <f t="shared" si="695"/>
        <v>0</v>
      </c>
      <c r="AU624" s="1125">
        <f t="shared" si="696"/>
        <v>0</v>
      </c>
      <c r="AV624" s="1125">
        <f t="shared" si="697"/>
        <v>1</v>
      </c>
      <c r="AW624" s="1125">
        <f t="shared" si="698"/>
        <v>1</v>
      </c>
      <c r="AX624" s="1125">
        <f t="shared" si="699"/>
        <v>1</v>
      </c>
      <c r="AY624" s="1125">
        <f t="shared" si="700"/>
        <v>0</v>
      </c>
      <c r="AZ624" s="1125">
        <f t="shared" si="701"/>
        <v>0</v>
      </c>
      <c r="BA624" s="1125">
        <f t="shared" si="702"/>
        <v>0</v>
      </c>
      <c r="BB624" s="1125">
        <f t="shared" si="703"/>
        <v>0</v>
      </c>
      <c r="BC624" s="1125">
        <f t="shared" si="704"/>
        <v>1</v>
      </c>
      <c r="BD624" s="1125">
        <f t="shared" si="705"/>
        <v>1</v>
      </c>
      <c r="BE624" s="1125">
        <f t="shared" si="706"/>
        <v>1</v>
      </c>
      <c r="BF624" s="1125">
        <f t="shared" si="707"/>
        <v>1</v>
      </c>
      <c r="BG624" s="1125">
        <f t="shared" si="708"/>
        <v>1</v>
      </c>
      <c r="BH624" s="1125">
        <f t="shared" si="709"/>
        <v>0</v>
      </c>
      <c r="BI624" s="1125">
        <f t="shared" si="710"/>
        <v>0</v>
      </c>
      <c r="BJ624" s="1125">
        <f t="shared" si="711"/>
        <v>0</v>
      </c>
      <c r="BK624" s="1125">
        <f t="shared" si="712"/>
        <v>1</v>
      </c>
      <c r="BL624" s="1125">
        <f t="shared" si="713"/>
        <v>1</v>
      </c>
      <c r="BM624" s="1125">
        <f t="shared" si="714"/>
        <v>1</v>
      </c>
      <c r="BN624" s="1125">
        <f t="shared" si="715"/>
        <v>1</v>
      </c>
      <c r="BO624" s="1125">
        <f t="shared" si="716"/>
        <v>1</v>
      </c>
      <c r="BP624" s="1125">
        <f t="shared" si="717"/>
        <v>0</v>
      </c>
      <c r="BQ624" s="1125">
        <f t="shared" si="718"/>
        <v>0</v>
      </c>
      <c r="BR624" s="1125">
        <f t="shared" si="719"/>
        <v>0</v>
      </c>
      <c r="BS624" s="1125">
        <f t="shared" si="720"/>
        <v>0</v>
      </c>
      <c r="BT624" s="1125">
        <f t="shared" si="721"/>
        <v>1</v>
      </c>
      <c r="BU624" s="1125">
        <f t="shared" si="722"/>
        <v>1</v>
      </c>
      <c r="BV624" s="1125">
        <f t="shared" si="723"/>
        <v>1</v>
      </c>
      <c r="BW624" s="1125">
        <f t="shared" si="724"/>
        <v>0</v>
      </c>
      <c r="BX624" s="1125">
        <f t="shared" si="725"/>
        <v>0</v>
      </c>
      <c r="BY624" s="1125">
        <f t="shared" si="726"/>
        <v>0</v>
      </c>
      <c r="BZ624" s="1125">
        <f t="shared" si="727"/>
        <v>1</v>
      </c>
      <c r="CA624" s="1125">
        <f t="shared" si="728"/>
        <v>1</v>
      </c>
      <c r="CB624" s="1125">
        <f t="shared" si="729"/>
        <v>1</v>
      </c>
      <c r="CC624" s="1125">
        <f t="shared" si="730"/>
        <v>1</v>
      </c>
      <c r="CD624" s="1125">
        <f t="shared" si="731"/>
        <v>1</v>
      </c>
      <c r="CE624" s="1125">
        <f t="shared" si="732"/>
        <v>1</v>
      </c>
      <c r="CF624" s="1125">
        <f t="shared" si="733"/>
        <v>1</v>
      </c>
      <c r="CG624" s="1125">
        <f t="shared" si="734"/>
        <v>0</v>
      </c>
      <c r="CH624" s="1125">
        <f t="shared" si="735"/>
        <v>0</v>
      </c>
      <c r="CI624" s="1125">
        <f t="shared" si="736"/>
        <v>0.85</v>
      </c>
      <c r="CJ624" s="1125">
        <f t="shared" si="737"/>
        <v>0.85</v>
      </c>
      <c r="CK624" s="1125">
        <f t="shared" si="738"/>
        <v>0.85</v>
      </c>
      <c r="CL624" s="1125">
        <f t="shared" si="739"/>
        <v>0.85</v>
      </c>
      <c r="CM624" s="1125">
        <f t="shared" si="740"/>
        <v>0.85</v>
      </c>
      <c r="CN624" s="1125">
        <f t="shared" si="741"/>
        <v>0.7</v>
      </c>
      <c r="CO624" s="1125">
        <f t="shared" si="742"/>
        <v>0.7</v>
      </c>
      <c r="CP624" s="1125">
        <f t="shared" si="743"/>
        <v>0.7</v>
      </c>
      <c r="CQ624" s="1125">
        <f t="shared" si="744"/>
        <v>0.7</v>
      </c>
      <c r="CR624" s="1125">
        <f t="shared" si="745"/>
        <v>0.85</v>
      </c>
      <c r="CS624" s="1125">
        <f t="shared" si="746"/>
        <v>0.85</v>
      </c>
      <c r="CT624" s="1125">
        <f t="shared" si="747"/>
        <v>0.85</v>
      </c>
      <c r="CU624" s="1125">
        <v>1</v>
      </c>
      <c r="CV624" s="1125"/>
      <c r="CW624" s="1125">
        <f t="shared" si="748"/>
        <v>214</v>
      </c>
      <c r="CX624" s="1125">
        <f t="shared" si="749"/>
        <v>151</v>
      </c>
      <c r="CY624" s="1136" t="s">
        <v>4883</v>
      </c>
      <c r="CZ624" s="1129" t="s">
        <v>4884</v>
      </c>
      <c r="DA624" s="1129"/>
      <c r="DB624" s="1129"/>
      <c r="DC624" s="1125" t="s">
        <v>5960</v>
      </c>
      <c r="DD624" s="1125" t="s">
        <v>428</v>
      </c>
      <c r="DE624" s="1120" t="str">
        <f t="shared" si="750"/>
        <v/>
      </c>
      <c r="DF624" s="1133">
        <v>0</v>
      </c>
      <c r="DG624" s="1120">
        <v>0</v>
      </c>
    </row>
    <row r="625" spans="1:111">
      <c r="A625" s="1125" t="s">
        <v>3964</v>
      </c>
      <c r="B625" s="1120" t="s">
        <v>5880</v>
      </c>
      <c r="C625" s="1120" t="s">
        <v>5881</v>
      </c>
      <c r="D625" s="1120" t="s">
        <v>934</v>
      </c>
      <c r="E625" s="1120">
        <v>1014</v>
      </c>
      <c r="F625" s="1120">
        <v>-93.27</v>
      </c>
      <c r="G625" s="1120">
        <v>45.88</v>
      </c>
      <c r="H625" s="1120">
        <v>-6</v>
      </c>
      <c r="I625" s="1121">
        <v>-11.200000000000001</v>
      </c>
      <c r="J625" s="1121">
        <v>85.460001373291021</v>
      </c>
      <c r="K625" s="1122">
        <v>70.33999862670899</v>
      </c>
      <c r="L625" s="1120">
        <v>8339.4</v>
      </c>
      <c r="M625" s="1120">
        <v>405</v>
      </c>
      <c r="N625" s="1123">
        <v>15.799999999999999</v>
      </c>
      <c r="O625" s="1123">
        <v>8.7800006866455078</v>
      </c>
      <c r="P625" s="1123">
        <v>37.220000171661376</v>
      </c>
      <c r="Q625" s="1123">
        <v>46.940000343322751</v>
      </c>
      <c r="R625" s="1123">
        <v>51.440000343322751</v>
      </c>
      <c r="S625" s="1123">
        <v>62.419999313354495</v>
      </c>
      <c r="T625" s="1123">
        <v>66.2</v>
      </c>
      <c r="U625" s="1123">
        <v>69.980000686645511</v>
      </c>
      <c r="V625" s="1123">
        <v>62.960001373291014</v>
      </c>
      <c r="W625" s="1123">
        <v>46.220000171661376</v>
      </c>
      <c r="X625" s="1123">
        <v>37.4</v>
      </c>
      <c r="Y625" s="1123">
        <v>4.2800006866455069</v>
      </c>
      <c r="Z625" s="1123">
        <v>42.637753736940148</v>
      </c>
      <c r="AA625" s="1123">
        <f t="shared" si="676"/>
        <v>38.350219509883054</v>
      </c>
      <c r="AB625" s="1123">
        <f t="shared" si="677"/>
        <v>36.021251509305806</v>
      </c>
      <c r="AC625" s="1123">
        <f t="shared" si="678"/>
        <v>36.98096924054601</v>
      </c>
      <c r="AD625" s="1123">
        <f t="shared" si="679"/>
        <v>40.97920748725798</v>
      </c>
      <c r="AE625" s="1123">
        <f t="shared" si="680"/>
        <v>46.973763835719808</v>
      </c>
      <c r="AF625" s="1123">
        <f t="shared" si="681"/>
        <v>53.402064794795294</v>
      </c>
      <c r="AG625" s="1123">
        <f t="shared" si="682"/>
        <v>58.588474656385031</v>
      </c>
      <c r="AH625" s="1123">
        <f t="shared" si="683"/>
        <v>61.181075765070361</v>
      </c>
      <c r="AI625" s="1123">
        <f t="shared" si="684"/>
        <v>60.504066688680005</v>
      </c>
      <c r="AJ625" s="1123">
        <f t="shared" si="685"/>
        <v>56.733920276000788</v>
      </c>
      <c r="AK625" s="1123">
        <f t="shared" si="686"/>
        <v>50.85338328921241</v>
      </c>
      <c r="AL625" s="1123">
        <f t="shared" si="687"/>
        <v>44.395308315739335</v>
      </c>
      <c r="AM625" s="1120">
        <f t="shared" si="688"/>
        <v>1</v>
      </c>
      <c r="AN625" s="1120">
        <f t="shared" si="689"/>
        <v>1</v>
      </c>
      <c r="AO625" s="1120">
        <f t="shared" si="690"/>
        <v>1</v>
      </c>
      <c r="AP625" s="1120">
        <f t="shared" si="691"/>
        <v>1</v>
      </c>
      <c r="AQ625" s="1120">
        <f t="shared" si="692"/>
        <v>1</v>
      </c>
      <c r="AR625" s="1120">
        <f t="shared" si="693"/>
        <v>1</v>
      </c>
      <c r="AS625" s="1120">
        <f t="shared" si="694"/>
        <v>0</v>
      </c>
      <c r="AT625" s="1120">
        <f t="shared" si="695"/>
        <v>0</v>
      </c>
      <c r="AU625" s="1120">
        <f t="shared" si="696"/>
        <v>1</v>
      </c>
      <c r="AV625" s="1120">
        <f t="shared" si="697"/>
        <v>1</v>
      </c>
      <c r="AW625" s="1120">
        <f t="shared" si="698"/>
        <v>1</v>
      </c>
      <c r="AX625" s="1120">
        <f t="shared" si="699"/>
        <v>1</v>
      </c>
      <c r="AY625" s="1120">
        <f t="shared" si="700"/>
        <v>0</v>
      </c>
      <c r="AZ625" s="1120">
        <f t="shared" si="701"/>
        <v>0</v>
      </c>
      <c r="BA625" s="1120">
        <f t="shared" si="702"/>
        <v>0</v>
      </c>
      <c r="BB625" s="1120">
        <f t="shared" si="703"/>
        <v>0</v>
      </c>
      <c r="BC625" s="1120">
        <f t="shared" si="704"/>
        <v>0</v>
      </c>
      <c r="BD625" s="1120">
        <f t="shared" si="705"/>
        <v>0</v>
      </c>
      <c r="BE625" s="1120">
        <f t="shared" si="706"/>
        <v>1</v>
      </c>
      <c r="BF625" s="1120">
        <f t="shared" si="707"/>
        <v>1</v>
      </c>
      <c r="BG625" s="1120">
        <f t="shared" si="708"/>
        <v>0</v>
      </c>
      <c r="BH625" s="1120">
        <f t="shared" si="709"/>
        <v>0</v>
      </c>
      <c r="BI625" s="1120">
        <f t="shared" si="710"/>
        <v>0</v>
      </c>
      <c r="BJ625" s="1120">
        <f t="shared" si="711"/>
        <v>0</v>
      </c>
      <c r="BK625" s="1120">
        <f t="shared" si="712"/>
        <v>1</v>
      </c>
      <c r="BL625" s="1120">
        <f t="shared" si="713"/>
        <v>1</v>
      </c>
      <c r="BM625" s="1120">
        <f t="shared" si="714"/>
        <v>1</v>
      </c>
      <c r="BN625" s="1120">
        <f t="shared" si="715"/>
        <v>1</v>
      </c>
      <c r="BO625" s="1120">
        <f t="shared" si="716"/>
        <v>1</v>
      </c>
      <c r="BP625" s="1120">
        <f t="shared" si="717"/>
        <v>1</v>
      </c>
      <c r="BQ625" s="1120">
        <f t="shared" si="718"/>
        <v>1</v>
      </c>
      <c r="BR625" s="1120">
        <f t="shared" si="719"/>
        <v>0</v>
      </c>
      <c r="BS625" s="1120">
        <f t="shared" si="720"/>
        <v>1</v>
      </c>
      <c r="BT625" s="1120">
        <f t="shared" si="721"/>
        <v>1</v>
      </c>
      <c r="BU625" s="1120">
        <f t="shared" si="722"/>
        <v>1</v>
      </c>
      <c r="BV625" s="1120">
        <f t="shared" si="723"/>
        <v>1</v>
      </c>
      <c r="BW625" s="1120">
        <f t="shared" si="724"/>
        <v>0</v>
      </c>
      <c r="BX625" s="1120">
        <f t="shared" si="725"/>
        <v>0</v>
      </c>
      <c r="BY625" s="1120">
        <f t="shared" si="726"/>
        <v>0</v>
      </c>
      <c r="BZ625" s="1120">
        <f t="shared" si="727"/>
        <v>0</v>
      </c>
      <c r="CA625" s="1120">
        <f t="shared" si="728"/>
        <v>0</v>
      </c>
      <c r="CB625" s="1120">
        <f t="shared" si="729"/>
        <v>1</v>
      </c>
      <c r="CC625" s="1120">
        <f t="shared" si="730"/>
        <v>1</v>
      </c>
      <c r="CD625" s="1120">
        <f t="shared" si="731"/>
        <v>1</v>
      </c>
      <c r="CE625" s="1120">
        <f t="shared" si="732"/>
        <v>1</v>
      </c>
      <c r="CF625" s="1120">
        <f t="shared" si="733"/>
        <v>0</v>
      </c>
      <c r="CG625" s="1120">
        <f t="shared" si="734"/>
        <v>0</v>
      </c>
      <c r="CH625" s="1120">
        <f t="shared" si="735"/>
        <v>0</v>
      </c>
      <c r="CI625" s="1120">
        <f t="shared" si="736"/>
        <v>0.85</v>
      </c>
      <c r="CJ625" s="1120">
        <f t="shared" si="737"/>
        <v>0.85</v>
      </c>
      <c r="CK625" s="1120">
        <f t="shared" si="738"/>
        <v>0.85</v>
      </c>
      <c r="CL625" s="1120">
        <f t="shared" si="739"/>
        <v>0.85</v>
      </c>
      <c r="CM625" s="1120">
        <f t="shared" si="740"/>
        <v>0.85</v>
      </c>
      <c r="CN625" s="1120">
        <f t="shared" si="741"/>
        <v>0.85</v>
      </c>
      <c r="CO625" s="1120">
        <f t="shared" si="742"/>
        <v>0.85</v>
      </c>
      <c r="CP625" s="1120">
        <f t="shared" si="743"/>
        <v>0.7</v>
      </c>
      <c r="CQ625" s="1120">
        <f t="shared" si="744"/>
        <v>0.85</v>
      </c>
      <c r="CR625" s="1120">
        <f t="shared" si="745"/>
        <v>0.85</v>
      </c>
      <c r="CS625" s="1120">
        <f t="shared" si="746"/>
        <v>0.85</v>
      </c>
      <c r="CT625" s="1120">
        <f t="shared" si="747"/>
        <v>0.85</v>
      </c>
      <c r="CU625" s="1120">
        <v>1</v>
      </c>
      <c r="CV625" s="1120"/>
      <c r="CW625" s="1120">
        <f t="shared" si="748"/>
        <v>122</v>
      </c>
      <c r="CX625" s="1120">
        <f t="shared" si="749"/>
        <v>243</v>
      </c>
      <c r="CY625" s="1135" t="s">
        <v>4879</v>
      </c>
      <c r="CZ625" s="1124">
        <v>7</v>
      </c>
      <c r="DA625" s="1124"/>
      <c r="DB625" s="1124"/>
      <c r="DC625" s="1120" t="s">
        <v>5757</v>
      </c>
      <c r="DD625" s="1120" t="s">
        <v>934</v>
      </c>
      <c r="DE625" s="1120" t="str">
        <f t="shared" si="750"/>
        <v/>
      </c>
      <c r="DF625" s="1133">
        <v>0</v>
      </c>
      <c r="DG625" s="1125">
        <v>0</v>
      </c>
    </row>
    <row r="626" spans="1:111">
      <c r="A626" s="1120" t="s">
        <v>3966</v>
      </c>
      <c r="B626" s="1125" t="s">
        <v>4659</v>
      </c>
      <c r="C626" s="1125" t="s">
        <v>4660</v>
      </c>
      <c r="D626" s="1125" t="s">
        <v>513</v>
      </c>
      <c r="E626" s="1125">
        <v>1240</v>
      </c>
      <c r="F626" s="1125">
        <v>-79.92</v>
      </c>
      <c r="G626" s="1125">
        <v>39.65</v>
      </c>
      <c r="H626" s="1125">
        <v>-5</v>
      </c>
      <c r="I626" s="1126">
        <v>11.659999656677245</v>
      </c>
      <c r="J626" s="1126">
        <v>86.719999313354492</v>
      </c>
      <c r="K626" s="1127">
        <v>71.419999313354495</v>
      </c>
      <c r="L626" s="1125">
        <v>4860</v>
      </c>
      <c r="M626" s="1125">
        <v>700.2</v>
      </c>
      <c r="N626" s="1128">
        <v>25.339999914169312</v>
      </c>
      <c r="O626" s="1128">
        <v>37.76000008583069</v>
      </c>
      <c r="P626" s="1128">
        <v>44.420000171661378</v>
      </c>
      <c r="Q626" s="1128">
        <v>55.940000343322751</v>
      </c>
      <c r="R626" s="1128">
        <v>61.339998626708983</v>
      </c>
      <c r="S626" s="1128">
        <v>68.180000686645513</v>
      </c>
      <c r="T626" s="1128">
        <v>71.960001373291021</v>
      </c>
      <c r="U626" s="1128">
        <v>69.980000686645511</v>
      </c>
      <c r="V626" s="1128">
        <v>64.219999313354492</v>
      </c>
      <c r="W626" s="1128">
        <v>55.040000343322752</v>
      </c>
      <c r="X626" s="1128">
        <v>40.640000343322754</v>
      </c>
      <c r="Y626" s="1128">
        <v>40.279999828338624</v>
      </c>
      <c r="Z626" s="1128">
        <v>53.002301513070933</v>
      </c>
      <c r="AA626" s="1128">
        <f t="shared" si="676"/>
        <v>48.70408379597346</v>
      </c>
      <c r="AB626" s="1128">
        <f t="shared" si="677"/>
        <v>47.606946954471191</v>
      </c>
      <c r="AC626" s="1128">
        <f t="shared" si="678"/>
        <v>49.480184886397296</v>
      </c>
      <c r="AD626" s="1128">
        <f t="shared" si="679"/>
        <v>53.835509257324894</v>
      </c>
      <c r="AE626" s="1128">
        <f t="shared" si="680"/>
        <v>59.537637652391517</v>
      </c>
      <c r="AF626" s="1128">
        <f t="shared" si="681"/>
        <v>65.1002224329646</v>
      </c>
      <c r="AG626" s="1128">
        <f t="shared" si="682"/>
        <v>69.073290153961523</v>
      </c>
      <c r="AH626" s="1128">
        <f t="shared" si="683"/>
        <v>70.42119948707753</v>
      </c>
      <c r="AI626" s="1128">
        <f t="shared" si="684"/>
        <v>68.792597092724364</v>
      </c>
      <c r="AJ626" s="1128">
        <f t="shared" si="685"/>
        <v>64.612003282512759</v>
      </c>
      <c r="AK626" s="1128">
        <f t="shared" si="686"/>
        <v>58.969154257975099</v>
      </c>
      <c r="AL626" s="1128">
        <f t="shared" si="687"/>
        <v>53.334945576292839</v>
      </c>
      <c r="AM626" s="1125">
        <f t="shared" si="688"/>
        <v>1</v>
      </c>
      <c r="AN626" s="1125">
        <f t="shared" si="689"/>
        <v>1</v>
      </c>
      <c r="AO626" s="1125">
        <f t="shared" si="690"/>
        <v>1</v>
      </c>
      <c r="AP626" s="1125">
        <f t="shared" si="691"/>
        <v>1</v>
      </c>
      <c r="AQ626" s="1125">
        <f t="shared" si="692"/>
        <v>1</v>
      </c>
      <c r="AR626" s="1125">
        <f t="shared" si="693"/>
        <v>0</v>
      </c>
      <c r="AS626" s="1125">
        <f t="shared" si="694"/>
        <v>0</v>
      </c>
      <c r="AT626" s="1125">
        <f t="shared" si="695"/>
        <v>0</v>
      </c>
      <c r="AU626" s="1125">
        <f t="shared" si="696"/>
        <v>1</v>
      </c>
      <c r="AV626" s="1125">
        <f t="shared" si="697"/>
        <v>1</v>
      </c>
      <c r="AW626" s="1125">
        <f t="shared" si="698"/>
        <v>1</v>
      </c>
      <c r="AX626" s="1125">
        <f t="shared" si="699"/>
        <v>1</v>
      </c>
      <c r="AY626" s="1125">
        <f t="shared" si="700"/>
        <v>0</v>
      </c>
      <c r="AZ626" s="1125">
        <f t="shared" si="701"/>
        <v>0</v>
      </c>
      <c r="BA626" s="1125">
        <f t="shared" si="702"/>
        <v>0</v>
      </c>
      <c r="BB626" s="1125">
        <f t="shared" si="703"/>
        <v>0</v>
      </c>
      <c r="BC626" s="1125">
        <f t="shared" si="704"/>
        <v>0</v>
      </c>
      <c r="BD626" s="1125">
        <f t="shared" si="705"/>
        <v>1</v>
      </c>
      <c r="BE626" s="1125">
        <f t="shared" si="706"/>
        <v>1</v>
      </c>
      <c r="BF626" s="1125">
        <f t="shared" si="707"/>
        <v>1</v>
      </c>
      <c r="BG626" s="1125">
        <f t="shared" si="708"/>
        <v>0</v>
      </c>
      <c r="BH626" s="1125">
        <f t="shared" si="709"/>
        <v>0</v>
      </c>
      <c r="BI626" s="1125">
        <f t="shared" si="710"/>
        <v>0</v>
      </c>
      <c r="BJ626" s="1125">
        <f t="shared" si="711"/>
        <v>0</v>
      </c>
      <c r="BK626" s="1125">
        <f t="shared" si="712"/>
        <v>1</v>
      </c>
      <c r="BL626" s="1125">
        <f t="shared" si="713"/>
        <v>1</v>
      </c>
      <c r="BM626" s="1125">
        <f t="shared" si="714"/>
        <v>1</v>
      </c>
      <c r="BN626" s="1125">
        <f t="shared" si="715"/>
        <v>1</v>
      </c>
      <c r="BO626" s="1125">
        <f t="shared" si="716"/>
        <v>1</v>
      </c>
      <c r="BP626" s="1125">
        <f t="shared" si="717"/>
        <v>1</v>
      </c>
      <c r="BQ626" s="1125">
        <f t="shared" si="718"/>
        <v>0</v>
      </c>
      <c r="BR626" s="1125">
        <f t="shared" si="719"/>
        <v>0</v>
      </c>
      <c r="BS626" s="1125">
        <f t="shared" si="720"/>
        <v>1</v>
      </c>
      <c r="BT626" s="1125">
        <f t="shared" si="721"/>
        <v>1</v>
      </c>
      <c r="BU626" s="1125">
        <f t="shared" si="722"/>
        <v>1</v>
      </c>
      <c r="BV626" s="1125">
        <f t="shared" si="723"/>
        <v>1</v>
      </c>
      <c r="BW626" s="1125">
        <f t="shared" si="724"/>
        <v>0</v>
      </c>
      <c r="BX626" s="1125">
        <f t="shared" si="725"/>
        <v>0</v>
      </c>
      <c r="BY626" s="1125">
        <f t="shared" si="726"/>
        <v>0</v>
      </c>
      <c r="BZ626" s="1125">
        <f t="shared" si="727"/>
        <v>0</v>
      </c>
      <c r="CA626" s="1125">
        <f t="shared" si="728"/>
        <v>1</v>
      </c>
      <c r="CB626" s="1125">
        <f t="shared" si="729"/>
        <v>1</v>
      </c>
      <c r="CC626" s="1125">
        <f t="shared" si="730"/>
        <v>1</v>
      </c>
      <c r="CD626" s="1125">
        <f t="shared" si="731"/>
        <v>1</v>
      </c>
      <c r="CE626" s="1125">
        <f t="shared" si="732"/>
        <v>1</v>
      </c>
      <c r="CF626" s="1125">
        <f t="shared" si="733"/>
        <v>0</v>
      </c>
      <c r="CG626" s="1125">
        <f t="shared" si="734"/>
        <v>0</v>
      </c>
      <c r="CH626" s="1125">
        <f t="shared" si="735"/>
        <v>0</v>
      </c>
      <c r="CI626" s="1125">
        <f t="shared" si="736"/>
        <v>0.85</v>
      </c>
      <c r="CJ626" s="1125">
        <f t="shared" si="737"/>
        <v>0.85</v>
      </c>
      <c r="CK626" s="1125">
        <f t="shared" si="738"/>
        <v>0.85</v>
      </c>
      <c r="CL626" s="1125">
        <f t="shared" si="739"/>
        <v>0.85</v>
      </c>
      <c r="CM626" s="1125">
        <f t="shared" si="740"/>
        <v>0.85</v>
      </c>
      <c r="CN626" s="1125">
        <f t="shared" si="741"/>
        <v>0.85</v>
      </c>
      <c r="CO626" s="1125">
        <f t="shared" si="742"/>
        <v>0.7</v>
      </c>
      <c r="CP626" s="1125">
        <f t="shared" si="743"/>
        <v>0.7</v>
      </c>
      <c r="CQ626" s="1125">
        <f t="shared" si="744"/>
        <v>0.85</v>
      </c>
      <c r="CR626" s="1125">
        <f t="shared" si="745"/>
        <v>0.85</v>
      </c>
      <c r="CS626" s="1125">
        <f t="shared" si="746"/>
        <v>0.85</v>
      </c>
      <c r="CT626" s="1125">
        <f t="shared" si="747"/>
        <v>0.85</v>
      </c>
      <c r="CU626" s="1125">
        <v>1</v>
      </c>
      <c r="CV626" s="1125"/>
      <c r="CW626" s="1125">
        <f t="shared" si="748"/>
        <v>153</v>
      </c>
      <c r="CX626" s="1125">
        <f t="shared" si="749"/>
        <v>212</v>
      </c>
      <c r="CY626" s="1135" t="s">
        <v>4889</v>
      </c>
      <c r="CZ626" s="1124" t="s">
        <v>4897</v>
      </c>
      <c r="DA626" s="1124"/>
      <c r="DB626" s="1124"/>
      <c r="DC626" s="1120" t="s">
        <v>5692</v>
      </c>
      <c r="DD626" s="1120" t="s">
        <v>513</v>
      </c>
      <c r="DE626" s="1120" t="str">
        <f t="shared" si="750"/>
        <v/>
      </c>
      <c r="DF626" s="1133">
        <v>0</v>
      </c>
      <c r="DG626" s="1120">
        <v>0</v>
      </c>
    </row>
    <row r="627" spans="1:111">
      <c r="A627" s="1125" t="s">
        <v>3968</v>
      </c>
      <c r="B627" s="1125" t="s">
        <v>5882</v>
      </c>
      <c r="C627" s="1125" t="s">
        <v>5883</v>
      </c>
      <c r="D627" s="1125" t="s">
        <v>934</v>
      </c>
      <c r="E627" s="1125">
        <v>1128</v>
      </c>
      <c r="F627" s="1125">
        <v>-95.97</v>
      </c>
      <c r="G627" s="1125">
        <v>45.57</v>
      </c>
      <c r="H627" s="1125">
        <v>-6</v>
      </c>
      <c r="I627" s="1126">
        <v>-13.180000686645508</v>
      </c>
      <c r="J627" s="1126">
        <v>84.739998626708982</v>
      </c>
      <c r="K627" s="1127">
        <v>72.680000686645513</v>
      </c>
      <c r="L627" s="1125">
        <v>8625.6</v>
      </c>
      <c r="M627" s="1125">
        <v>426.6</v>
      </c>
      <c r="N627" s="1128">
        <v>11.299999999999999</v>
      </c>
      <c r="O627" s="1128">
        <v>20.840000343322753</v>
      </c>
      <c r="P627" s="1128">
        <v>28.4</v>
      </c>
      <c r="Q627" s="1128">
        <v>39.379999828338626</v>
      </c>
      <c r="R627" s="1128">
        <v>53.059999656677249</v>
      </c>
      <c r="S627" s="1128">
        <v>66.019999313354489</v>
      </c>
      <c r="T627" s="1128">
        <v>67.819999313354487</v>
      </c>
      <c r="U627" s="1128">
        <v>68</v>
      </c>
      <c r="V627" s="1128">
        <v>57.019999313354489</v>
      </c>
      <c r="W627" s="1128">
        <v>39.200000000000003</v>
      </c>
      <c r="X627" s="1128">
        <v>30.740000021457671</v>
      </c>
      <c r="Y627" s="1128">
        <v>20.120000171661378</v>
      </c>
      <c r="Z627" s="1128">
        <v>41.926629965207347</v>
      </c>
      <c r="AA627" s="1128">
        <f t="shared" si="676"/>
        <v>39.28947047309358</v>
      </c>
      <c r="AB627" s="1128">
        <f t="shared" si="677"/>
        <v>37.253989922444511</v>
      </c>
      <c r="AC627" s="1128">
        <f t="shared" si="678"/>
        <v>38.000497469303113</v>
      </c>
      <c r="AD627" s="1128">
        <f t="shared" si="679"/>
        <v>41.33440441755117</v>
      </c>
      <c r="AE627" s="1128">
        <f t="shared" si="680"/>
        <v>46.386676544066574</v>
      </c>
      <c r="AF627" s="1128">
        <f t="shared" si="681"/>
        <v>51.840361261202887</v>
      </c>
      <c r="AG627" s="1128">
        <f t="shared" si="682"/>
        <v>56.273871603613053</v>
      </c>
      <c r="AH627" s="1128">
        <f t="shared" si="683"/>
        <v>58.531544778085376</v>
      </c>
      <c r="AI627" s="1128">
        <f t="shared" si="684"/>
        <v>58.024883479896886</v>
      </c>
      <c r="AJ627" s="1128">
        <f t="shared" si="685"/>
        <v>54.885956784307375</v>
      </c>
      <c r="AK627" s="1128">
        <f t="shared" si="686"/>
        <v>49.932974306846837</v>
      </c>
      <c r="AL627" s="1128">
        <f t="shared" si="687"/>
        <v>44.457007258035745</v>
      </c>
      <c r="AM627" s="1125">
        <f t="shared" si="688"/>
        <v>1</v>
      </c>
      <c r="AN627" s="1125">
        <f t="shared" si="689"/>
        <v>1</v>
      </c>
      <c r="AO627" s="1125">
        <f t="shared" si="690"/>
        <v>1</v>
      </c>
      <c r="AP627" s="1125">
        <f t="shared" si="691"/>
        <v>1</v>
      </c>
      <c r="AQ627" s="1125">
        <f t="shared" si="692"/>
        <v>1</v>
      </c>
      <c r="AR627" s="1125">
        <f t="shared" si="693"/>
        <v>0</v>
      </c>
      <c r="AS627" s="1125">
        <f t="shared" si="694"/>
        <v>0</v>
      </c>
      <c r="AT627" s="1125">
        <f t="shared" si="695"/>
        <v>0</v>
      </c>
      <c r="AU627" s="1125">
        <f t="shared" si="696"/>
        <v>1</v>
      </c>
      <c r="AV627" s="1125">
        <f t="shared" si="697"/>
        <v>1</v>
      </c>
      <c r="AW627" s="1125">
        <f t="shared" si="698"/>
        <v>1</v>
      </c>
      <c r="AX627" s="1125">
        <f t="shared" si="699"/>
        <v>1</v>
      </c>
      <c r="AY627" s="1125">
        <f t="shared" si="700"/>
        <v>0</v>
      </c>
      <c r="AZ627" s="1125">
        <f t="shared" si="701"/>
        <v>0</v>
      </c>
      <c r="BA627" s="1125">
        <f t="shared" si="702"/>
        <v>0</v>
      </c>
      <c r="BB627" s="1125">
        <f t="shared" si="703"/>
        <v>0</v>
      </c>
      <c r="BC627" s="1125">
        <f t="shared" si="704"/>
        <v>0</v>
      </c>
      <c r="BD627" s="1125">
        <f t="shared" si="705"/>
        <v>1</v>
      </c>
      <c r="BE627" s="1125">
        <f t="shared" si="706"/>
        <v>1</v>
      </c>
      <c r="BF627" s="1125">
        <f t="shared" si="707"/>
        <v>1</v>
      </c>
      <c r="BG627" s="1125">
        <f t="shared" si="708"/>
        <v>0</v>
      </c>
      <c r="BH627" s="1125">
        <f t="shared" si="709"/>
        <v>0</v>
      </c>
      <c r="BI627" s="1125">
        <f t="shared" si="710"/>
        <v>0</v>
      </c>
      <c r="BJ627" s="1125">
        <f t="shared" si="711"/>
        <v>0</v>
      </c>
      <c r="BK627" s="1125">
        <f t="shared" si="712"/>
        <v>1</v>
      </c>
      <c r="BL627" s="1125">
        <f t="shared" si="713"/>
        <v>1</v>
      </c>
      <c r="BM627" s="1125">
        <f t="shared" si="714"/>
        <v>1</v>
      </c>
      <c r="BN627" s="1125">
        <f t="shared" si="715"/>
        <v>1</v>
      </c>
      <c r="BO627" s="1125">
        <f t="shared" si="716"/>
        <v>1</v>
      </c>
      <c r="BP627" s="1125">
        <f t="shared" si="717"/>
        <v>1</v>
      </c>
      <c r="BQ627" s="1125">
        <f t="shared" si="718"/>
        <v>0</v>
      </c>
      <c r="BR627" s="1125">
        <f t="shared" si="719"/>
        <v>0</v>
      </c>
      <c r="BS627" s="1125">
        <f t="shared" si="720"/>
        <v>1</v>
      </c>
      <c r="BT627" s="1125">
        <f t="shared" si="721"/>
        <v>1</v>
      </c>
      <c r="BU627" s="1125">
        <f t="shared" si="722"/>
        <v>1</v>
      </c>
      <c r="BV627" s="1125">
        <f t="shared" si="723"/>
        <v>1</v>
      </c>
      <c r="BW627" s="1125">
        <f t="shared" si="724"/>
        <v>0</v>
      </c>
      <c r="BX627" s="1125">
        <f t="shared" si="725"/>
        <v>0</v>
      </c>
      <c r="BY627" s="1125">
        <f t="shared" si="726"/>
        <v>0</v>
      </c>
      <c r="BZ627" s="1125">
        <f t="shared" si="727"/>
        <v>0</v>
      </c>
      <c r="CA627" s="1125">
        <f t="shared" si="728"/>
        <v>1</v>
      </c>
      <c r="CB627" s="1125">
        <f t="shared" si="729"/>
        <v>1</v>
      </c>
      <c r="CC627" s="1125">
        <f t="shared" si="730"/>
        <v>1</v>
      </c>
      <c r="CD627" s="1125">
        <f t="shared" si="731"/>
        <v>1</v>
      </c>
      <c r="CE627" s="1125">
        <f t="shared" si="732"/>
        <v>1</v>
      </c>
      <c r="CF627" s="1125">
        <f t="shared" si="733"/>
        <v>0</v>
      </c>
      <c r="CG627" s="1125">
        <f t="shared" si="734"/>
        <v>0</v>
      </c>
      <c r="CH627" s="1125">
        <f t="shared" si="735"/>
        <v>0</v>
      </c>
      <c r="CI627" s="1125">
        <f t="shared" si="736"/>
        <v>0.85</v>
      </c>
      <c r="CJ627" s="1125">
        <f t="shared" si="737"/>
        <v>0.85</v>
      </c>
      <c r="CK627" s="1125">
        <f t="shared" si="738"/>
        <v>0.85</v>
      </c>
      <c r="CL627" s="1125">
        <f t="shared" si="739"/>
        <v>0.85</v>
      </c>
      <c r="CM627" s="1125">
        <f t="shared" si="740"/>
        <v>0.85</v>
      </c>
      <c r="CN627" s="1125">
        <f t="shared" si="741"/>
        <v>0.85</v>
      </c>
      <c r="CO627" s="1125">
        <f t="shared" si="742"/>
        <v>0.7</v>
      </c>
      <c r="CP627" s="1125">
        <f t="shared" si="743"/>
        <v>0.7</v>
      </c>
      <c r="CQ627" s="1125">
        <f t="shared" si="744"/>
        <v>0.85</v>
      </c>
      <c r="CR627" s="1125">
        <f t="shared" si="745"/>
        <v>0.85</v>
      </c>
      <c r="CS627" s="1125">
        <f t="shared" si="746"/>
        <v>0.85</v>
      </c>
      <c r="CT627" s="1125">
        <f t="shared" si="747"/>
        <v>0.85</v>
      </c>
      <c r="CU627" s="1125">
        <v>1</v>
      </c>
      <c r="CV627" s="1125"/>
      <c r="CW627" s="1125">
        <f t="shared" si="748"/>
        <v>153</v>
      </c>
      <c r="CX627" s="1125">
        <f t="shared" si="749"/>
        <v>212</v>
      </c>
      <c r="CY627" s="1136" t="s">
        <v>4889</v>
      </c>
      <c r="CZ627" s="1129" t="s">
        <v>4899</v>
      </c>
      <c r="DA627" s="1129"/>
      <c r="DB627" s="1129"/>
      <c r="DC627" s="1125" t="s">
        <v>5758</v>
      </c>
      <c r="DD627" s="1125" t="s">
        <v>934</v>
      </c>
      <c r="DE627" s="1120" t="str">
        <f t="shared" si="750"/>
        <v/>
      </c>
      <c r="DF627" s="1133">
        <v>1</v>
      </c>
      <c r="DG627" s="1125">
        <v>0</v>
      </c>
    </row>
    <row r="628" spans="1:111">
      <c r="A628" s="1120" t="s">
        <v>3970</v>
      </c>
      <c r="B628" s="1125" t="s">
        <v>4566</v>
      </c>
      <c r="C628" s="1125" t="s">
        <v>4567</v>
      </c>
      <c r="D628" s="1125" t="s">
        <v>238</v>
      </c>
      <c r="E628" s="1125">
        <v>1194</v>
      </c>
      <c r="F628" s="1125">
        <v>-119.32</v>
      </c>
      <c r="G628" s="1125">
        <v>47.2</v>
      </c>
      <c r="H628" s="1125">
        <v>-8</v>
      </c>
      <c r="I628" s="1126">
        <v>19.220000171661376</v>
      </c>
      <c r="J628" s="1126">
        <v>98.779997253417974</v>
      </c>
      <c r="K628" s="1127">
        <v>60.980000686645511</v>
      </c>
      <c r="L628" s="1125">
        <v>5263.2</v>
      </c>
      <c r="M628" s="1125">
        <v>784.80000000000007</v>
      </c>
      <c r="N628" s="1128">
        <v>30.2</v>
      </c>
      <c r="O628" s="1128">
        <v>35.960000085830686</v>
      </c>
      <c r="P628" s="1128">
        <v>47.119999313354491</v>
      </c>
      <c r="Q628" s="1128">
        <v>53.419999313354495</v>
      </c>
      <c r="R628" s="1128">
        <v>59.180000686645506</v>
      </c>
      <c r="S628" s="1128">
        <v>68.360001373291013</v>
      </c>
      <c r="T628" s="1128">
        <v>72.680000686645513</v>
      </c>
      <c r="U628" s="1128">
        <v>75.2</v>
      </c>
      <c r="V628" s="1128">
        <v>61.519999313354496</v>
      </c>
      <c r="W628" s="1128">
        <v>48.740000343322755</v>
      </c>
      <c r="X628" s="1128">
        <v>38.660000085830688</v>
      </c>
      <c r="Y628" s="1128">
        <v>33.440000021457671</v>
      </c>
      <c r="Z628" s="1128">
        <v>52.1343562673216</v>
      </c>
      <c r="AA628" s="1128">
        <f t="shared" si="676"/>
        <v>48.441127811766819</v>
      </c>
      <c r="AB628" s="1128">
        <f t="shared" si="677"/>
        <v>47.319877090658935</v>
      </c>
      <c r="AC628" s="1128">
        <f t="shared" si="678"/>
        <v>49.017587023116924</v>
      </c>
      <c r="AD628" s="1128">
        <f t="shared" si="679"/>
        <v>53.091723352743628</v>
      </c>
      <c r="AE628" s="1128">
        <f t="shared" si="680"/>
        <v>58.48029966088054</v>
      </c>
      <c r="AF628" s="1128">
        <f t="shared" si="681"/>
        <v>63.778700492337236</v>
      </c>
      <c r="AG628" s="1128">
        <f t="shared" si="682"/>
        <v>67.605816019566191</v>
      </c>
      <c r="AH628" s="1128">
        <f t="shared" si="683"/>
        <v>68.964049602759644</v>
      </c>
      <c r="AI628" s="1128">
        <f t="shared" si="684"/>
        <v>67.499356727445132</v>
      </c>
      <c r="AJ628" s="1128">
        <f t="shared" si="685"/>
        <v>63.593532163173826</v>
      </c>
      <c r="AK628" s="1128">
        <f t="shared" si="686"/>
        <v>58.26468927320154</v>
      </c>
      <c r="AL628" s="1128">
        <f t="shared" si="687"/>
        <v>52.901873076754235</v>
      </c>
      <c r="AM628" s="1125">
        <f t="shared" si="688"/>
        <v>1</v>
      </c>
      <c r="AN628" s="1125">
        <f t="shared" si="689"/>
        <v>1</v>
      </c>
      <c r="AO628" s="1125">
        <f t="shared" si="690"/>
        <v>1</v>
      </c>
      <c r="AP628" s="1125">
        <f t="shared" si="691"/>
        <v>1</v>
      </c>
      <c r="AQ628" s="1125">
        <f t="shared" si="692"/>
        <v>1</v>
      </c>
      <c r="AR628" s="1125">
        <f t="shared" si="693"/>
        <v>0</v>
      </c>
      <c r="AS628" s="1125">
        <f t="shared" si="694"/>
        <v>0</v>
      </c>
      <c r="AT628" s="1125">
        <f t="shared" si="695"/>
        <v>0</v>
      </c>
      <c r="AU628" s="1125">
        <f t="shared" si="696"/>
        <v>1</v>
      </c>
      <c r="AV628" s="1125">
        <f t="shared" si="697"/>
        <v>1</v>
      </c>
      <c r="AW628" s="1125">
        <f t="shared" si="698"/>
        <v>1</v>
      </c>
      <c r="AX628" s="1125">
        <f t="shared" si="699"/>
        <v>1</v>
      </c>
      <c r="AY628" s="1125">
        <f t="shared" si="700"/>
        <v>0</v>
      </c>
      <c r="AZ628" s="1125">
        <f t="shared" si="701"/>
        <v>0</v>
      </c>
      <c r="BA628" s="1125">
        <f t="shared" si="702"/>
        <v>0</v>
      </c>
      <c r="BB628" s="1125">
        <f t="shared" si="703"/>
        <v>0</v>
      </c>
      <c r="BC628" s="1125">
        <f t="shared" si="704"/>
        <v>0</v>
      </c>
      <c r="BD628" s="1125">
        <f t="shared" si="705"/>
        <v>1</v>
      </c>
      <c r="BE628" s="1125">
        <f t="shared" si="706"/>
        <v>1</v>
      </c>
      <c r="BF628" s="1125">
        <f t="shared" si="707"/>
        <v>1</v>
      </c>
      <c r="BG628" s="1125">
        <f t="shared" si="708"/>
        <v>0</v>
      </c>
      <c r="BH628" s="1125">
        <f t="shared" si="709"/>
        <v>0</v>
      </c>
      <c r="BI628" s="1125">
        <f t="shared" si="710"/>
        <v>0</v>
      </c>
      <c r="BJ628" s="1125">
        <f t="shared" si="711"/>
        <v>0</v>
      </c>
      <c r="BK628" s="1125">
        <f t="shared" si="712"/>
        <v>1</v>
      </c>
      <c r="BL628" s="1125">
        <f t="shared" si="713"/>
        <v>1</v>
      </c>
      <c r="BM628" s="1125">
        <f t="shared" si="714"/>
        <v>1</v>
      </c>
      <c r="BN628" s="1125">
        <f t="shared" si="715"/>
        <v>1</v>
      </c>
      <c r="BO628" s="1125">
        <f t="shared" si="716"/>
        <v>1</v>
      </c>
      <c r="BP628" s="1125">
        <f t="shared" si="717"/>
        <v>1</v>
      </c>
      <c r="BQ628" s="1125">
        <f t="shared" si="718"/>
        <v>0</v>
      </c>
      <c r="BR628" s="1125">
        <f t="shared" si="719"/>
        <v>0</v>
      </c>
      <c r="BS628" s="1125">
        <f t="shared" si="720"/>
        <v>1</v>
      </c>
      <c r="BT628" s="1125">
        <f t="shared" si="721"/>
        <v>1</v>
      </c>
      <c r="BU628" s="1125">
        <f t="shared" si="722"/>
        <v>1</v>
      </c>
      <c r="BV628" s="1125">
        <f t="shared" si="723"/>
        <v>1</v>
      </c>
      <c r="BW628" s="1125">
        <f t="shared" si="724"/>
        <v>0</v>
      </c>
      <c r="BX628" s="1125">
        <f t="shared" si="725"/>
        <v>0</v>
      </c>
      <c r="BY628" s="1125">
        <f t="shared" si="726"/>
        <v>0</v>
      </c>
      <c r="BZ628" s="1125">
        <f t="shared" si="727"/>
        <v>0</v>
      </c>
      <c r="CA628" s="1125">
        <f t="shared" si="728"/>
        <v>1</v>
      </c>
      <c r="CB628" s="1125">
        <f t="shared" si="729"/>
        <v>1</v>
      </c>
      <c r="CC628" s="1125">
        <f t="shared" si="730"/>
        <v>1</v>
      </c>
      <c r="CD628" s="1125">
        <f t="shared" si="731"/>
        <v>1</v>
      </c>
      <c r="CE628" s="1125">
        <f t="shared" si="732"/>
        <v>1</v>
      </c>
      <c r="CF628" s="1125">
        <f t="shared" si="733"/>
        <v>0</v>
      </c>
      <c r="CG628" s="1125">
        <f t="shared" si="734"/>
        <v>0</v>
      </c>
      <c r="CH628" s="1125">
        <f t="shared" si="735"/>
        <v>0</v>
      </c>
      <c r="CI628" s="1125">
        <f t="shared" si="736"/>
        <v>0.85</v>
      </c>
      <c r="CJ628" s="1125">
        <f t="shared" si="737"/>
        <v>0.85</v>
      </c>
      <c r="CK628" s="1125">
        <f t="shared" si="738"/>
        <v>0.85</v>
      </c>
      <c r="CL628" s="1125">
        <f t="shared" si="739"/>
        <v>0.85</v>
      </c>
      <c r="CM628" s="1125">
        <f t="shared" si="740"/>
        <v>0.85</v>
      </c>
      <c r="CN628" s="1125">
        <f t="shared" si="741"/>
        <v>0.85</v>
      </c>
      <c r="CO628" s="1125">
        <f t="shared" si="742"/>
        <v>0.7</v>
      </c>
      <c r="CP628" s="1125">
        <f t="shared" si="743"/>
        <v>0.7</v>
      </c>
      <c r="CQ628" s="1125">
        <f t="shared" si="744"/>
        <v>0.85</v>
      </c>
      <c r="CR628" s="1125">
        <f t="shared" si="745"/>
        <v>0.85</v>
      </c>
      <c r="CS628" s="1125">
        <f t="shared" si="746"/>
        <v>0.85</v>
      </c>
      <c r="CT628" s="1125">
        <f t="shared" si="747"/>
        <v>0.85</v>
      </c>
      <c r="CU628" s="1125">
        <v>1</v>
      </c>
      <c r="CV628" s="1125"/>
      <c r="CW628" s="1125">
        <f t="shared" si="748"/>
        <v>153</v>
      </c>
      <c r="CX628" s="1125">
        <f t="shared" si="749"/>
        <v>212</v>
      </c>
      <c r="CY628" s="1136" t="s">
        <v>4889</v>
      </c>
      <c r="CZ628" s="1129" t="s">
        <v>4890</v>
      </c>
      <c r="DA628" s="1129"/>
      <c r="DB628" s="1129"/>
      <c r="DC628" s="1125" t="s">
        <v>5659</v>
      </c>
      <c r="DD628" s="1125" t="s">
        <v>238</v>
      </c>
      <c r="DE628" s="1120" t="str">
        <f t="shared" si="750"/>
        <v/>
      </c>
      <c r="DF628" s="1133">
        <v>0</v>
      </c>
      <c r="DG628" s="1120">
        <v>0</v>
      </c>
    </row>
    <row r="629" spans="1:111">
      <c r="A629" s="1125" t="s">
        <v>3972</v>
      </c>
      <c r="B629" s="1125" t="s">
        <v>4630</v>
      </c>
      <c r="C629" s="1125" t="s">
        <v>4631</v>
      </c>
      <c r="D629" s="1125" t="s">
        <v>1278</v>
      </c>
      <c r="E629" s="1125">
        <v>1276</v>
      </c>
      <c r="F629" s="1125">
        <v>-89.67</v>
      </c>
      <c r="G629" s="1125">
        <v>44.78</v>
      </c>
      <c r="H629" s="1125">
        <v>-6</v>
      </c>
      <c r="I629" s="1126">
        <v>-6.3399986267089856</v>
      </c>
      <c r="J629" s="1126">
        <v>83.83999862670899</v>
      </c>
      <c r="K629" s="1127">
        <v>70.7</v>
      </c>
      <c r="L629" s="1125">
        <v>8487</v>
      </c>
      <c r="M629" s="1125">
        <v>433.8</v>
      </c>
      <c r="N629" s="1128">
        <v>8.6</v>
      </c>
      <c r="O629" s="1128">
        <v>23.540000343322752</v>
      </c>
      <c r="P629" s="1128">
        <v>29.660000085830688</v>
      </c>
      <c r="Q629" s="1128">
        <v>48.919999313354495</v>
      </c>
      <c r="R629" s="1128">
        <v>52.7</v>
      </c>
      <c r="S629" s="1128">
        <v>68.900000000000006</v>
      </c>
      <c r="T629" s="1128">
        <v>68</v>
      </c>
      <c r="U629" s="1128">
        <v>66.919999313354495</v>
      </c>
      <c r="V629" s="1128">
        <v>58.640000343322754</v>
      </c>
      <c r="W629" s="1128">
        <v>42.8</v>
      </c>
      <c r="X629" s="1128">
        <v>31.81999999731779</v>
      </c>
      <c r="Y629" s="1128">
        <v>7.3400003433227532</v>
      </c>
      <c r="Z629" s="1128">
        <v>42.367506825344201</v>
      </c>
      <c r="AA629" s="1128">
        <f t="shared" si="676"/>
        <v>38.827920790486189</v>
      </c>
      <c r="AB629" s="1128">
        <f t="shared" si="677"/>
        <v>36.634829262685393</v>
      </c>
      <c r="AC629" s="1128">
        <f t="shared" si="678"/>
        <v>37.500040947625799</v>
      </c>
      <c r="AD629" s="1128">
        <f t="shared" si="679"/>
        <v>41.198025086312043</v>
      </c>
      <c r="AE629" s="1128">
        <f t="shared" si="680"/>
        <v>46.764845125334972</v>
      </c>
      <c r="AF629" s="1128">
        <f t="shared" si="681"/>
        <v>52.7494236342297</v>
      </c>
      <c r="AG629" s="1128">
        <f t="shared" si="682"/>
        <v>57.591787999506359</v>
      </c>
      <c r="AH629" s="1128">
        <f t="shared" si="683"/>
        <v>60.0297013262619</v>
      </c>
      <c r="AI629" s="1128">
        <f t="shared" si="684"/>
        <v>59.42768393649591</v>
      </c>
      <c r="AJ629" s="1128">
        <f t="shared" si="685"/>
        <v>55.942660940219689</v>
      </c>
      <c r="AK629" s="1128">
        <f t="shared" si="686"/>
        <v>50.48305728724268</v>
      </c>
      <c r="AL629" s="1128">
        <f t="shared" si="687"/>
        <v>44.472002804752371</v>
      </c>
      <c r="AM629" s="1125">
        <f t="shared" si="688"/>
        <v>1</v>
      </c>
      <c r="AN629" s="1125">
        <f t="shared" si="689"/>
        <v>1</v>
      </c>
      <c r="AO629" s="1125">
        <f t="shared" si="690"/>
        <v>1</v>
      </c>
      <c r="AP629" s="1125">
        <f t="shared" si="691"/>
        <v>1</v>
      </c>
      <c r="AQ629" s="1125">
        <f t="shared" si="692"/>
        <v>1</v>
      </c>
      <c r="AR629" s="1125">
        <f t="shared" si="693"/>
        <v>0</v>
      </c>
      <c r="AS629" s="1125">
        <f t="shared" si="694"/>
        <v>0</v>
      </c>
      <c r="AT629" s="1125">
        <f t="shared" si="695"/>
        <v>0</v>
      </c>
      <c r="AU629" s="1125">
        <f t="shared" si="696"/>
        <v>1</v>
      </c>
      <c r="AV629" s="1125">
        <f t="shared" si="697"/>
        <v>1</v>
      </c>
      <c r="AW629" s="1125">
        <f t="shared" si="698"/>
        <v>1</v>
      </c>
      <c r="AX629" s="1125">
        <f t="shared" si="699"/>
        <v>1</v>
      </c>
      <c r="AY629" s="1125">
        <f t="shared" si="700"/>
        <v>0</v>
      </c>
      <c r="AZ629" s="1125">
        <f t="shared" si="701"/>
        <v>0</v>
      </c>
      <c r="BA629" s="1125">
        <f t="shared" si="702"/>
        <v>0</v>
      </c>
      <c r="BB629" s="1125">
        <f t="shared" si="703"/>
        <v>0</v>
      </c>
      <c r="BC629" s="1125">
        <f t="shared" si="704"/>
        <v>0</v>
      </c>
      <c r="BD629" s="1125">
        <f t="shared" si="705"/>
        <v>1</v>
      </c>
      <c r="BE629" s="1125">
        <f t="shared" si="706"/>
        <v>1</v>
      </c>
      <c r="BF629" s="1125">
        <f t="shared" si="707"/>
        <v>1</v>
      </c>
      <c r="BG629" s="1125">
        <f t="shared" si="708"/>
        <v>0</v>
      </c>
      <c r="BH629" s="1125">
        <f t="shared" si="709"/>
        <v>0</v>
      </c>
      <c r="BI629" s="1125">
        <f t="shared" si="710"/>
        <v>0</v>
      </c>
      <c r="BJ629" s="1125">
        <f t="shared" si="711"/>
        <v>0</v>
      </c>
      <c r="BK629" s="1125">
        <f t="shared" si="712"/>
        <v>1</v>
      </c>
      <c r="BL629" s="1125">
        <f t="shared" si="713"/>
        <v>1</v>
      </c>
      <c r="BM629" s="1125">
        <f t="shared" si="714"/>
        <v>1</v>
      </c>
      <c r="BN629" s="1125">
        <f t="shared" si="715"/>
        <v>1</v>
      </c>
      <c r="BO629" s="1125">
        <f t="shared" si="716"/>
        <v>1</v>
      </c>
      <c r="BP629" s="1125">
        <f t="shared" si="717"/>
        <v>1</v>
      </c>
      <c r="BQ629" s="1125">
        <f t="shared" si="718"/>
        <v>0</v>
      </c>
      <c r="BR629" s="1125">
        <f t="shared" si="719"/>
        <v>0</v>
      </c>
      <c r="BS629" s="1125">
        <f t="shared" si="720"/>
        <v>1</v>
      </c>
      <c r="BT629" s="1125">
        <f t="shared" si="721"/>
        <v>1</v>
      </c>
      <c r="BU629" s="1125">
        <f t="shared" si="722"/>
        <v>1</v>
      </c>
      <c r="BV629" s="1125">
        <f t="shared" si="723"/>
        <v>1</v>
      </c>
      <c r="BW629" s="1125">
        <f t="shared" si="724"/>
        <v>0</v>
      </c>
      <c r="BX629" s="1125">
        <f t="shared" si="725"/>
        <v>0</v>
      </c>
      <c r="BY629" s="1125">
        <f t="shared" si="726"/>
        <v>0</v>
      </c>
      <c r="BZ629" s="1125">
        <f t="shared" si="727"/>
        <v>0</v>
      </c>
      <c r="CA629" s="1125">
        <f t="shared" si="728"/>
        <v>1</v>
      </c>
      <c r="CB629" s="1125">
        <f t="shared" si="729"/>
        <v>1</v>
      </c>
      <c r="CC629" s="1125">
        <f t="shared" si="730"/>
        <v>1</v>
      </c>
      <c r="CD629" s="1125">
        <f t="shared" si="731"/>
        <v>1</v>
      </c>
      <c r="CE629" s="1125">
        <f t="shared" si="732"/>
        <v>1</v>
      </c>
      <c r="CF629" s="1125">
        <f t="shared" si="733"/>
        <v>0</v>
      </c>
      <c r="CG629" s="1125">
        <f t="shared" si="734"/>
        <v>0</v>
      </c>
      <c r="CH629" s="1125">
        <f t="shared" si="735"/>
        <v>0</v>
      </c>
      <c r="CI629" s="1125">
        <f t="shared" si="736"/>
        <v>0.85</v>
      </c>
      <c r="CJ629" s="1125">
        <f t="shared" si="737"/>
        <v>0.85</v>
      </c>
      <c r="CK629" s="1125">
        <f t="shared" si="738"/>
        <v>0.85</v>
      </c>
      <c r="CL629" s="1125">
        <f t="shared" si="739"/>
        <v>0.85</v>
      </c>
      <c r="CM629" s="1125">
        <f t="shared" si="740"/>
        <v>0.85</v>
      </c>
      <c r="CN629" s="1125">
        <f t="shared" si="741"/>
        <v>0.85</v>
      </c>
      <c r="CO629" s="1125">
        <f t="shared" si="742"/>
        <v>0.7</v>
      </c>
      <c r="CP629" s="1125">
        <f t="shared" si="743"/>
        <v>0.7</v>
      </c>
      <c r="CQ629" s="1125">
        <f t="shared" si="744"/>
        <v>0.85</v>
      </c>
      <c r="CR629" s="1125">
        <f t="shared" si="745"/>
        <v>0.85</v>
      </c>
      <c r="CS629" s="1125">
        <f t="shared" si="746"/>
        <v>0.85</v>
      </c>
      <c r="CT629" s="1125">
        <f t="shared" si="747"/>
        <v>0.85</v>
      </c>
      <c r="CU629" s="1125">
        <v>1</v>
      </c>
      <c r="CV629" s="1125"/>
      <c r="CW629" s="1125">
        <f t="shared" si="748"/>
        <v>153</v>
      </c>
      <c r="CX629" s="1125">
        <f t="shared" si="749"/>
        <v>212</v>
      </c>
      <c r="CY629" s="1135" t="s">
        <v>4889</v>
      </c>
      <c r="CZ629" s="1124" t="s">
        <v>4899</v>
      </c>
      <c r="DA629" s="1124"/>
      <c r="DB629" s="1124"/>
      <c r="DC629" s="1120" t="s">
        <v>6022</v>
      </c>
      <c r="DD629" s="1120" t="s">
        <v>1278</v>
      </c>
      <c r="DE629" s="1120" t="str">
        <f t="shared" si="750"/>
        <v/>
      </c>
      <c r="DF629" s="1133">
        <v>1</v>
      </c>
      <c r="DG629" s="1125">
        <v>0</v>
      </c>
    </row>
    <row r="630" spans="1:111">
      <c r="A630" s="1120" t="s">
        <v>3974</v>
      </c>
      <c r="B630" s="1120" t="s">
        <v>3743</v>
      </c>
      <c r="C630" s="1120" t="s">
        <v>3744</v>
      </c>
      <c r="D630" s="1120" t="s">
        <v>540</v>
      </c>
      <c r="E630" s="1120">
        <v>581</v>
      </c>
      <c r="F630" s="1120">
        <v>-82.83</v>
      </c>
      <c r="G630" s="1120">
        <v>42.62</v>
      </c>
      <c r="H630" s="1120">
        <v>-5</v>
      </c>
      <c r="I630" s="1121">
        <v>6.9800006866455071</v>
      </c>
      <c r="J630" s="1121">
        <v>87.439998626708984</v>
      </c>
      <c r="K630" s="1122">
        <v>72.680000686645513</v>
      </c>
      <c r="L630" s="1120">
        <v>5832</v>
      </c>
      <c r="M630" s="1120">
        <v>669.6</v>
      </c>
      <c r="N630" s="1123">
        <v>34.160000085830688</v>
      </c>
      <c r="O630" s="1123">
        <v>35.419999957084656</v>
      </c>
      <c r="P630" s="1123">
        <v>38.299999999999997</v>
      </c>
      <c r="Q630" s="1123">
        <v>42.440000343322751</v>
      </c>
      <c r="R630" s="1123">
        <v>53.240000343322755</v>
      </c>
      <c r="S630" s="1123">
        <v>69.080000686645505</v>
      </c>
      <c r="T630" s="1123">
        <v>73.039998626708979</v>
      </c>
      <c r="U630" s="1123">
        <v>68</v>
      </c>
      <c r="V630" s="1123">
        <v>60.980000686645511</v>
      </c>
      <c r="W630" s="1123">
        <v>49.280000686645508</v>
      </c>
      <c r="X630" s="1123">
        <v>42.079999828338622</v>
      </c>
      <c r="Y630" s="1123">
        <v>35.779999828338624</v>
      </c>
      <c r="Z630" s="1123">
        <v>50.232767210529275</v>
      </c>
      <c r="AA630" s="1123">
        <f t="shared" si="676"/>
        <v>48.324146349041179</v>
      </c>
      <c r="AB630" s="1123">
        <f t="shared" si="677"/>
        <v>47.247140018425156</v>
      </c>
      <c r="AC630" s="1123">
        <f t="shared" si="678"/>
        <v>48.51237588813764</v>
      </c>
      <c r="AD630" s="1123">
        <f t="shared" si="679"/>
        <v>51.790050730863122</v>
      </c>
      <c r="AE630" s="1123">
        <f t="shared" si="680"/>
        <v>56.225788088346931</v>
      </c>
      <c r="AF630" s="1123">
        <f t="shared" si="681"/>
        <v>60.663344661579096</v>
      </c>
      <c r="AG630" s="1123">
        <f t="shared" si="682"/>
        <v>63.946002944929873</v>
      </c>
      <c r="AH630" s="1123">
        <f t="shared" si="683"/>
        <v>65.218087469548465</v>
      </c>
      <c r="AI630" s="1123">
        <f t="shared" si="684"/>
        <v>64.148009800677116</v>
      </c>
      <c r="AJ630" s="1123">
        <f t="shared" si="685"/>
        <v>61.014702173103196</v>
      </c>
      <c r="AK630" s="1123">
        <f t="shared" si="686"/>
        <v>56.634909505685975</v>
      </c>
      <c r="AL630" s="1123">
        <f t="shared" si="687"/>
        <v>52.150292251835801</v>
      </c>
      <c r="AM630" s="1120">
        <f t="shared" si="688"/>
        <v>1</v>
      </c>
      <c r="AN630" s="1120">
        <f t="shared" si="689"/>
        <v>1</v>
      </c>
      <c r="AO630" s="1120">
        <f t="shared" si="690"/>
        <v>1</v>
      </c>
      <c r="AP630" s="1120">
        <f t="shared" si="691"/>
        <v>1</v>
      </c>
      <c r="AQ630" s="1120">
        <f t="shared" si="692"/>
        <v>1</v>
      </c>
      <c r="AR630" s="1120">
        <f t="shared" si="693"/>
        <v>0</v>
      </c>
      <c r="AS630" s="1120">
        <f t="shared" si="694"/>
        <v>0</v>
      </c>
      <c r="AT630" s="1120">
        <f t="shared" si="695"/>
        <v>0</v>
      </c>
      <c r="AU630" s="1120">
        <f t="shared" si="696"/>
        <v>1</v>
      </c>
      <c r="AV630" s="1120">
        <f t="shared" si="697"/>
        <v>1</v>
      </c>
      <c r="AW630" s="1120">
        <f t="shared" si="698"/>
        <v>1</v>
      </c>
      <c r="AX630" s="1120">
        <f t="shared" si="699"/>
        <v>1</v>
      </c>
      <c r="AY630" s="1120">
        <f t="shared" si="700"/>
        <v>0</v>
      </c>
      <c r="AZ630" s="1120">
        <f t="shared" si="701"/>
        <v>0</v>
      </c>
      <c r="BA630" s="1120">
        <f t="shared" si="702"/>
        <v>0</v>
      </c>
      <c r="BB630" s="1120">
        <f t="shared" si="703"/>
        <v>0</v>
      </c>
      <c r="BC630" s="1120">
        <f t="shared" si="704"/>
        <v>0</v>
      </c>
      <c r="BD630" s="1120">
        <f t="shared" si="705"/>
        <v>1</v>
      </c>
      <c r="BE630" s="1120">
        <f t="shared" si="706"/>
        <v>1</v>
      </c>
      <c r="BF630" s="1120">
        <f t="shared" si="707"/>
        <v>1</v>
      </c>
      <c r="BG630" s="1120">
        <f t="shared" si="708"/>
        <v>0</v>
      </c>
      <c r="BH630" s="1120">
        <f t="shared" si="709"/>
        <v>0</v>
      </c>
      <c r="BI630" s="1120">
        <f t="shared" si="710"/>
        <v>0</v>
      </c>
      <c r="BJ630" s="1120">
        <f t="shared" si="711"/>
        <v>0</v>
      </c>
      <c r="BK630" s="1120">
        <f t="shared" si="712"/>
        <v>1</v>
      </c>
      <c r="BL630" s="1120">
        <f t="shared" si="713"/>
        <v>1</v>
      </c>
      <c r="BM630" s="1120">
        <f t="shared" si="714"/>
        <v>1</v>
      </c>
      <c r="BN630" s="1120">
        <f t="shared" si="715"/>
        <v>1</v>
      </c>
      <c r="BO630" s="1120">
        <f t="shared" si="716"/>
        <v>1</v>
      </c>
      <c r="BP630" s="1120">
        <f t="shared" si="717"/>
        <v>1</v>
      </c>
      <c r="BQ630" s="1120">
        <f t="shared" si="718"/>
        <v>0</v>
      </c>
      <c r="BR630" s="1120">
        <f t="shared" si="719"/>
        <v>0</v>
      </c>
      <c r="BS630" s="1120">
        <f t="shared" si="720"/>
        <v>1</v>
      </c>
      <c r="BT630" s="1120">
        <f t="shared" si="721"/>
        <v>1</v>
      </c>
      <c r="BU630" s="1120">
        <f t="shared" si="722"/>
        <v>1</v>
      </c>
      <c r="BV630" s="1120">
        <f t="shared" si="723"/>
        <v>1</v>
      </c>
      <c r="BW630" s="1120">
        <f t="shared" si="724"/>
        <v>0</v>
      </c>
      <c r="BX630" s="1120">
        <f t="shared" si="725"/>
        <v>0</v>
      </c>
      <c r="BY630" s="1120">
        <f t="shared" si="726"/>
        <v>0</v>
      </c>
      <c r="BZ630" s="1120">
        <f t="shared" si="727"/>
        <v>0</v>
      </c>
      <c r="CA630" s="1120">
        <f t="shared" si="728"/>
        <v>1</v>
      </c>
      <c r="CB630" s="1120">
        <f t="shared" si="729"/>
        <v>1</v>
      </c>
      <c r="CC630" s="1120">
        <f t="shared" si="730"/>
        <v>1</v>
      </c>
      <c r="CD630" s="1120">
        <f t="shared" si="731"/>
        <v>1</v>
      </c>
      <c r="CE630" s="1120">
        <f t="shared" si="732"/>
        <v>1</v>
      </c>
      <c r="CF630" s="1120">
        <f t="shared" si="733"/>
        <v>0</v>
      </c>
      <c r="CG630" s="1120">
        <f t="shared" si="734"/>
        <v>0</v>
      </c>
      <c r="CH630" s="1120">
        <f t="shared" si="735"/>
        <v>0</v>
      </c>
      <c r="CI630" s="1120">
        <f t="shared" si="736"/>
        <v>0.85</v>
      </c>
      <c r="CJ630" s="1120">
        <f t="shared" si="737"/>
        <v>0.85</v>
      </c>
      <c r="CK630" s="1120">
        <f t="shared" si="738"/>
        <v>0.85</v>
      </c>
      <c r="CL630" s="1120">
        <f t="shared" si="739"/>
        <v>0.85</v>
      </c>
      <c r="CM630" s="1120">
        <f t="shared" si="740"/>
        <v>0.85</v>
      </c>
      <c r="CN630" s="1120">
        <f t="shared" si="741"/>
        <v>0.85</v>
      </c>
      <c r="CO630" s="1120">
        <f t="shared" si="742"/>
        <v>0.7</v>
      </c>
      <c r="CP630" s="1120">
        <f t="shared" si="743"/>
        <v>0.7</v>
      </c>
      <c r="CQ630" s="1120">
        <f t="shared" si="744"/>
        <v>0.85</v>
      </c>
      <c r="CR630" s="1120">
        <f t="shared" si="745"/>
        <v>0.85</v>
      </c>
      <c r="CS630" s="1120">
        <f t="shared" si="746"/>
        <v>0.85</v>
      </c>
      <c r="CT630" s="1120">
        <f t="shared" si="747"/>
        <v>0.85</v>
      </c>
      <c r="CU630" s="1120">
        <v>1</v>
      </c>
      <c r="CV630" s="1120"/>
      <c r="CW630" s="1120">
        <f t="shared" si="748"/>
        <v>153</v>
      </c>
      <c r="CX630" s="1120">
        <f t="shared" si="749"/>
        <v>212</v>
      </c>
      <c r="CY630" s="1135" t="s">
        <v>4889</v>
      </c>
      <c r="CZ630" s="1124" t="s">
        <v>4897</v>
      </c>
      <c r="DA630" s="1124"/>
      <c r="DB630" s="1124"/>
      <c r="DC630" s="1120" t="s">
        <v>5317</v>
      </c>
      <c r="DD630" s="1120" t="s">
        <v>540</v>
      </c>
      <c r="DE630" s="1120" t="b">
        <f t="shared" si="750"/>
        <v>0</v>
      </c>
      <c r="DF630" s="1133">
        <v>0</v>
      </c>
      <c r="DG630" s="1120">
        <v>0</v>
      </c>
    </row>
    <row r="631" spans="1:111">
      <c r="A631" s="1125" t="s">
        <v>3976</v>
      </c>
      <c r="B631" s="1120" t="s">
        <v>5844</v>
      </c>
      <c r="C631" s="1120" t="s">
        <v>5845</v>
      </c>
      <c r="D631" s="1120" t="s">
        <v>932</v>
      </c>
      <c r="E631" s="1120">
        <v>479</v>
      </c>
      <c r="F631" s="1120">
        <v>-88.87</v>
      </c>
      <c r="G631" s="1120">
        <v>38.32</v>
      </c>
      <c r="H631" s="1120">
        <v>-6</v>
      </c>
      <c r="I631" s="1121">
        <v>10.940000343322753</v>
      </c>
      <c r="J631" s="1121">
        <v>91.039998626708993</v>
      </c>
      <c r="K631" s="1122">
        <v>76.099999999999994</v>
      </c>
      <c r="L631" s="1120">
        <v>4615.2</v>
      </c>
      <c r="M631" s="1120">
        <v>1503</v>
      </c>
      <c r="N631" s="1123">
        <v>33.259999978542325</v>
      </c>
      <c r="O631" s="1123">
        <v>36.139999914169309</v>
      </c>
      <c r="P631" s="1123">
        <v>38.120000171661374</v>
      </c>
      <c r="Q631" s="1123">
        <v>49.819999313354494</v>
      </c>
      <c r="R631" s="1123">
        <v>68.180000686645513</v>
      </c>
      <c r="S631" s="1123">
        <v>75.919999313354495</v>
      </c>
      <c r="T631" s="1123">
        <v>74.66000137329101</v>
      </c>
      <c r="U631" s="1123">
        <v>77.360001373291013</v>
      </c>
      <c r="V631" s="1123">
        <v>72.680000686645513</v>
      </c>
      <c r="W631" s="1123">
        <v>58.280000686645508</v>
      </c>
      <c r="X631" s="1123">
        <v>48.019999313354489</v>
      </c>
      <c r="Y631" s="1123">
        <v>37.039999914169314</v>
      </c>
      <c r="Z631" s="1123">
        <v>55.887726263314079</v>
      </c>
      <c r="AA631" s="1123">
        <f t="shared" si="676"/>
        <v>51.339590944844709</v>
      </c>
      <c r="AB631" s="1123">
        <f t="shared" si="677"/>
        <v>50.5267599837237</v>
      </c>
      <c r="AC631" s="1123">
        <f t="shared" si="678"/>
        <v>52.67533996116785</v>
      </c>
      <c r="AD631" s="1123">
        <f t="shared" si="679"/>
        <v>57.225270395436645</v>
      </c>
      <c r="AE631" s="1123">
        <f t="shared" si="680"/>
        <v>62.990541802287517</v>
      </c>
      <c r="AF631" s="1123">
        <f t="shared" si="681"/>
        <v>68.468347344003064</v>
      </c>
      <c r="AG631" s="1123">
        <f t="shared" si="682"/>
        <v>72.230812590596514</v>
      </c>
      <c r="AH631" s="1123">
        <f t="shared" si="683"/>
        <v>73.297192994198753</v>
      </c>
      <c r="AI631" s="1123">
        <f t="shared" si="684"/>
        <v>71.389520069191377</v>
      </c>
      <c r="AJ631" s="1123">
        <f t="shared" si="685"/>
        <v>67.005058161607238</v>
      </c>
      <c r="AK631" s="1123">
        <f t="shared" si="686"/>
        <v>61.286684834261337</v>
      </c>
      <c r="AL631" s="1123">
        <f t="shared" si="687"/>
        <v>55.724982217726826</v>
      </c>
      <c r="AM631" s="1120">
        <f t="shared" si="688"/>
        <v>1</v>
      </c>
      <c r="AN631" s="1120">
        <f t="shared" si="689"/>
        <v>1</v>
      </c>
      <c r="AO631" s="1120">
        <f t="shared" si="690"/>
        <v>1</v>
      </c>
      <c r="AP631" s="1120">
        <f t="shared" si="691"/>
        <v>1</v>
      </c>
      <c r="AQ631" s="1120">
        <f t="shared" si="692"/>
        <v>0</v>
      </c>
      <c r="AR631" s="1120">
        <f t="shared" si="693"/>
        <v>0</v>
      </c>
      <c r="AS631" s="1120">
        <f t="shared" si="694"/>
        <v>0</v>
      </c>
      <c r="AT631" s="1120">
        <f t="shared" si="695"/>
        <v>0</v>
      </c>
      <c r="AU631" s="1120">
        <f t="shared" si="696"/>
        <v>0</v>
      </c>
      <c r="AV631" s="1120">
        <f t="shared" si="697"/>
        <v>1</v>
      </c>
      <c r="AW631" s="1120">
        <f t="shared" si="698"/>
        <v>1</v>
      </c>
      <c r="AX631" s="1120">
        <f t="shared" si="699"/>
        <v>1</v>
      </c>
      <c r="AY631" s="1120">
        <f t="shared" si="700"/>
        <v>0</v>
      </c>
      <c r="AZ631" s="1120">
        <f t="shared" si="701"/>
        <v>0</v>
      </c>
      <c r="BA631" s="1120">
        <f t="shared" si="702"/>
        <v>0</v>
      </c>
      <c r="BB631" s="1120">
        <f t="shared" si="703"/>
        <v>0</v>
      </c>
      <c r="BC631" s="1120">
        <f t="shared" si="704"/>
        <v>1</v>
      </c>
      <c r="BD631" s="1120">
        <f t="shared" si="705"/>
        <v>1</v>
      </c>
      <c r="BE631" s="1120">
        <f t="shared" si="706"/>
        <v>1</v>
      </c>
      <c r="BF631" s="1120">
        <f t="shared" si="707"/>
        <v>1</v>
      </c>
      <c r="BG631" s="1120">
        <f t="shared" si="708"/>
        <v>1</v>
      </c>
      <c r="BH631" s="1120">
        <f t="shared" si="709"/>
        <v>0</v>
      </c>
      <c r="BI631" s="1120">
        <f t="shared" si="710"/>
        <v>0</v>
      </c>
      <c r="BJ631" s="1120">
        <f t="shared" si="711"/>
        <v>0</v>
      </c>
      <c r="BK631" s="1120">
        <f t="shared" si="712"/>
        <v>1</v>
      </c>
      <c r="BL631" s="1120">
        <f t="shared" si="713"/>
        <v>1</v>
      </c>
      <c r="BM631" s="1120">
        <f t="shared" si="714"/>
        <v>1</v>
      </c>
      <c r="BN631" s="1120">
        <f t="shared" si="715"/>
        <v>1</v>
      </c>
      <c r="BO631" s="1120">
        <f t="shared" si="716"/>
        <v>1</v>
      </c>
      <c r="BP631" s="1120">
        <f t="shared" si="717"/>
        <v>0</v>
      </c>
      <c r="BQ631" s="1120">
        <f t="shared" si="718"/>
        <v>0</v>
      </c>
      <c r="BR631" s="1120">
        <f t="shared" si="719"/>
        <v>0</v>
      </c>
      <c r="BS631" s="1120">
        <f t="shared" si="720"/>
        <v>0</v>
      </c>
      <c r="BT631" s="1120">
        <f t="shared" si="721"/>
        <v>1</v>
      </c>
      <c r="BU631" s="1120">
        <f t="shared" si="722"/>
        <v>1</v>
      </c>
      <c r="BV631" s="1120">
        <f t="shared" si="723"/>
        <v>1</v>
      </c>
      <c r="BW631" s="1120">
        <f t="shared" si="724"/>
        <v>0</v>
      </c>
      <c r="BX631" s="1120">
        <f t="shared" si="725"/>
        <v>0</v>
      </c>
      <c r="BY631" s="1120">
        <f t="shared" si="726"/>
        <v>0</v>
      </c>
      <c r="BZ631" s="1120">
        <f t="shared" si="727"/>
        <v>1</v>
      </c>
      <c r="CA631" s="1120">
        <f t="shared" si="728"/>
        <v>1</v>
      </c>
      <c r="CB631" s="1120">
        <f t="shared" si="729"/>
        <v>1</v>
      </c>
      <c r="CC631" s="1120">
        <f t="shared" si="730"/>
        <v>1</v>
      </c>
      <c r="CD631" s="1120">
        <f t="shared" si="731"/>
        <v>1</v>
      </c>
      <c r="CE631" s="1120">
        <f t="shared" si="732"/>
        <v>1</v>
      </c>
      <c r="CF631" s="1120">
        <f t="shared" si="733"/>
        <v>1</v>
      </c>
      <c r="CG631" s="1120">
        <f t="shared" si="734"/>
        <v>0</v>
      </c>
      <c r="CH631" s="1120">
        <f t="shared" si="735"/>
        <v>0</v>
      </c>
      <c r="CI631" s="1120">
        <f t="shared" si="736"/>
        <v>0.85</v>
      </c>
      <c r="CJ631" s="1120">
        <f t="shared" si="737"/>
        <v>0.85</v>
      </c>
      <c r="CK631" s="1120">
        <f t="shared" si="738"/>
        <v>0.85</v>
      </c>
      <c r="CL631" s="1120">
        <f t="shared" si="739"/>
        <v>0.85</v>
      </c>
      <c r="CM631" s="1120">
        <f t="shared" si="740"/>
        <v>0.85</v>
      </c>
      <c r="CN631" s="1120">
        <f t="shared" si="741"/>
        <v>0.7</v>
      </c>
      <c r="CO631" s="1120">
        <f t="shared" si="742"/>
        <v>0.7</v>
      </c>
      <c r="CP631" s="1120">
        <f t="shared" si="743"/>
        <v>0.7</v>
      </c>
      <c r="CQ631" s="1120">
        <f t="shared" si="744"/>
        <v>0.7</v>
      </c>
      <c r="CR631" s="1120">
        <f t="shared" si="745"/>
        <v>0.85</v>
      </c>
      <c r="CS631" s="1120">
        <f t="shared" si="746"/>
        <v>0.85</v>
      </c>
      <c r="CT631" s="1120">
        <f t="shared" si="747"/>
        <v>0.85</v>
      </c>
      <c r="CU631" s="1120">
        <v>1</v>
      </c>
      <c r="CV631" s="1120"/>
      <c r="CW631" s="1120">
        <f t="shared" si="748"/>
        <v>214</v>
      </c>
      <c r="CX631" s="1120">
        <f t="shared" si="749"/>
        <v>151</v>
      </c>
      <c r="CY631" s="1136" t="s">
        <v>4881</v>
      </c>
      <c r="CZ631" s="1129" t="s">
        <v>4885</v>
      </c>
      <c r="DA631" s="1129"/>
      <c r="DB631" s="1129"/>
      <c r="DC631" s="1125" t="s">
        <v>5731</v>
      </c>
      <c r="DD631" s="1125" t="s">
        <v>932</v>
      </c>
      <c r="DE631" s="1120" t="str">
        <f t="shared" si="750"/>
        <v/>
      </c>
      <c r="DF631" s="1133">
        <v>0</v>
      </c>
      <c r="DG631" s="1125">
        <v>0</v>
      </c>
    </row>
    <row r="632" spans="1:111">
      <c r="A632" s="1120" t="s">
        <v>3978</v>
      </c>
      <c r="B632" s="1125" t="s">
        <v>815</v>
      </c>
      <c r="C632" s="1125" t="s">
        <v>816</v>
      </c>
      <c r="D632" s="1125" t="s">
        <v>1249</v>
      </c>
      <c r="E632" s="1125">
        <v>6265</v>
      </c>
      <c r="F632" s="1125">
        <v>-71.3</v>
      </c>
      <c r="G632" s="1125">
        <v>44.27</v>
      </c>
      <c r="H632" s="1125">
        <v>-5</v>
      </c>
      <c r="I632" s="1126">
        <v>-17.68000068664551</v>
      </c>
      <c r="J632" s="1126">
        <v>59</v>
      </c>
      <c r="K632" s="1127">
        <v>54.680000686645506</v>
      </c>
      <c r="L632" s="1125">
        <v>13015.800000000001</v>
      </c>
      <c r="M632" s="1125">
        <v>0</v>
      </c>
      <c r="N632" s="1128">
        <v>13.280000686645508</v>
      </c>
      <c r="O632" s="1128">
        <v>9.3199993133544918</v>
      </c>
      <c r="P632" s="1128">
        <v>17.419999313354491</v>
      </c>
      <c r="Q632" s="1128">
        <v>24.259999656677245</v>
      </c>
      <c r="R632" s="1128">
        <v>31.1</v>
      </c>
      <c r="S632" s="1128">
        <v>41.720000171661376</v>
      </c>
      <c r="T632" s="1128">
        <v>45.320000171661377</v>
      </c>
      <c r="U632" s="1128">
        <v>46.4</v>
      </c>
      <c r="V632" s="1128">
        <v>39.379999828338626</v>
      </c>
      <c r="W632" s="1128">
        <v>35.419999957084656</v>
      </c>
      <c r="X632" s="1128">
        <v>22.640000343322754</v>
      </c>
      <c r="Y632" s="1128">
        <v>17.059999656677245</v>
      </c>
      <c r="Z632" s="1128">
        <v>28.731397189375471</v>
      </c>
      <c r="AA632" s="1128">
        <f t="shared" si="676"/>
        <v>32</v>
      </c>
      <c r="AB632" s="1128">
        <f t="shared" si="677"/>
        <v>32</v>
      </c>
      <c r="AC632" s="1128">
        <f t="shared" si="678"/>
        <v>32</v>
      </c>
      <c r="AD632" s="1128">
        <f t="shared" si="679"/>
        <v>32</v>
      </c>
      <c r="AE632" s="1128">
        <f t="shared" si="680"/>
        <v>33.069930580797383</v>
      </c>
      <c r="AF632" s="1128">
        <f t="shared" si="681"/>
        <v>35.396083364393839</v>
      </c>
      <c r="AG632" s="1128">
        <f t="shared" si="682"/>
        <v>37.548975453347737</v>
      </c>
      <c r="AH632" s="1128">
        <f t="shared" si="683"/>
        <v>38.967422347601904</v>
      </c>
      <c r="AI632" s="1128">
        <f t="shared" si="684"/>
        <v>39.281684005240685</v>
      </c>
      <c r="AJ632" s="1128">
        <f t="shared" si="685"/>
        <v>38.409843282281784</v>
      </c>
      <c r="AK632" s="1128">
        <f t="shared" si="686"/>
        <v>36.57915889863667</v>
      </c>
      <c r="AL632" s="1128">
        <f t="shared" si="687"/>
        <v>34.266826950602763</v>
      </c>
      <c r="AM632" s="1125">
        <f t="shared" si="688"/>
        <v>1</v>
      </c>
      <c r="AN632" s="1125">
        <f t="shared" si="689"/>
        <v>1</v>
      </c>
      <c r="AO632" s="1125">
        <f t="shared" si="690"/>
        <v>1</v>
      </c>
      <c r="AP632" s="1125">
        <f t="shared" si="691"/>
        <v>1</v>
      </c>
      <c r="AQ632" s="1125">
        <f t="shared" si="692"/>
        <v>1</v>
      </c>
      <c r="AR632" s="1125">
        <f t="shared" si="693"/>
        <v>1</v>
      </c>
      <c r="AS632" s="1125">
        <f t="shared" si="694"/>
        <v>1</v>
      </c>
      <c r="AT632" s="1125">
        <f t="shared" si="695"/>
        <v>1</v>
      </c>
      <c r="AU632" s="1125">
        <f t="shared" si="696"/>
        <v>1</v>
      </c>
      <c r="AV632" s="1125">
        <f t="shared" si="697"/>
        <v>1</v>
      </c>
      <c r="AW632" s="1125">
        <f t="shared" si="698"/>
        <v>1</v>
      </c>
      <c r="AX632" s="1125">
        <f t="shared" si="699"/>
        <v>1</v>
      </c>
      <c r="AY632" s="1125">
        <f t="shared" si="700"/>
        <v>0</v>
      </c>
      <c r="AZ632" s="1125">
        <f t="shared" si="701"/>
        <v>0</v>
      </c>
      <c r="BA632" s="1125">
        <f t="shared" si="702"/>
        <v>0</v>
      </c>
      <c r="BB632" s="1125">
        <f t="shared" si="703"/>
        <v>0</v>
      </c>
      <c r="BC632" s="1125">
        <f t="shared" si="704"/>
        <v>0</v>
      </c>
      <c r="BD632" s="1125">
        <f t="shared" si="705"/>
        <v>0</v>
      </c>
      <c r="BE632" s="1125">
        <f t="shared" si="706"/>
        <v>1</v>
      </c>
      <c r="BF632" s="1125">
        <f t="shared" si="707"/>
        <v>1</v>
      </c>
      <c r="BG632" s="1125">
        <f t="shared" si="708"/>
        <v>0</v>
      </c>
      <c r="BH632" s="1125">
        <f t="shared" si="709"/>
        <v>0</v>
      </c>
      <c r="BI632" s="1125">
        <f t="shared" si="710"/>
        <v>0</v>
      </c>
      <c r="BJ632" s="1125">
        <f t="shared" si="711"/>
        <v>0</v>
      </c>
      <c r="BK632" s="1125">
        <f t="shared" si="712"/>
        <v>1</v>
      </c>
      <c r="BL632" s="1125">
        <f t="shared" si="713"/>
        <v>1</v>
      </c>
      <c r="BM632" s="1125">
        <f t="shared" si="714"/>
        <v>1</v>
      </c>
      <c r="BN632" s="1125">
        <f t="shared" si="715"/>
        <v>1</v>
      </c>
      <c r="BO632" s="1125">
        <f t="shared" si="716"/>
        <v>1</v>
      </c>
      <c r="BP632" s="1125">
        <f t="shared" si="717"/>
        <v>1</v>
      </c>
      <c r="BQ632" s="1125">
        <f t="shared" si="718"/>
        <v>1</v>
      </c>
      <c r="BR632" s="1125">
        <f t="shared" si="719"/>
        <v>1</v>
      </c>
      <c r="BS632" s="1125">
        <f t="shared" si="720"/>
        <v>1</v>
      </c>
      <c r="BT632" s="1125">
        <f t="shared" si="721"/>
        <v>1</v>
      </c>
      <c r="BU632" s="1125">
        <f t="shared" si="722"/>
        <v>1</v>
      </c>
      <c r="BV632" s="1125">
        <f t="shared" si="723"/>
        <v>1</v>
      </c>
      <c r="BW632" s="1125">
        <f t="shared" si="724"/>
        <v>0</v>
      </c>
      <c r="BX632" s="1125">
        <f t="shared" si="725"/>
        <v>0</v>
      </c>
      <c r="BY632" s="1125">
        <f t="shared" si="726"/>
        <v>0</v>
      </c>
      <c r="BZ632" s="1125">
        <f t="shared" si="727"/>
        <v>0</v>
      </c>
      <c r="CA632" s="1125">
        <f t="shared" si="728"/>
        <v>0</v>
      </c>
      <c r="CB632" s="1125">
        <f t="shared" si="729"/>
        <v>0</v>
      </c>
      <c r="CC632" s="1125">
        <f t="shared" si="730"/>
        <v>1</v>
      </c>
      <c r="CD632" s="1125">
        <f t="shared" si="731"/>
        <v>1</v>
      </c>
      <c r="CE632" s="1125">
        <f t="shared" si="732"/>
        <v>0</v>
      </c>
      <c r="CF632" s="1125">
        <f t="shared" si="733"/>
        <v>0</v>
      </c>
      <c r="CG632" s="1125">
        <f t="shared" si="734"/>
        <v>0</v>
      </c>
      <c r="CH632" s="1125">
        <f t="shared" si="735"/>
        <v>0</v>
      </c>
      <c r="CI632" s="1125">
        <f t="shared" si="736"/>
        <v>0.85</v>
      </c>
      <c r="CJ632" s="1125">
        <f t="shared" si="737"/>
        <v>0.85</v>
      </c>
      <c r="CK632" s="1125">
        <f t="shared" si="738"/>
        <v>0.85</v>
      </c>
      <c r="CL632" s="1125">
        <f t="shared" si="739"/>
        <v>0.85</v>
      </c>
      <c r="CM632" s="1125">
        <f t="shared" si="740"/>
        <v>0.85</v>
      </c>
      <c r="CN632" s="1125">
        <f t="shared" si="741"/>
        <v>0.85</v>
      </c>
      <c r="CO632" s="1125">
        <f t="shared" si="742"/>
        <v>0.85</v>
      </c>
      <c r="CP632" s="1125">
        <f t="shared" si="743"/>
        <v>0.85</v>
      </c>
      <c r="CQ632" s="1125">
        <f t="shared" si="744"/>
        <v>0.85</v>
      </c>
      <c r="CR632" s="1125">
        <f t="shared" si="745"/>
        <v>0.85</v>
      </c>
      <c r="CS632" s="1125">
        <f t="shared" si="746"/>
        <v>0.85</v>
      </c>
      <c r="CT632" s="1125">
        <f t="shared" si="747"/>
        <v>0.85</v>
      </c>
      <c r="CU632" s="1125">
        <v>1</v>
      </c>
      <c r="CV632" s="1125"/>
      <c r="CW632" s="1125">
        <f t="shared" si="748"/>
        <v>62</v>
      </c>
      <c r="CX632" s="1125">
        <f t="shared" si="749"/>
        <v>303</v>
      </c>
      <c r="CY632" s="1136" t="s">
        <v>4889</v>
      </c>
      <c r="CZ632" s="1129" t="s">
        <v>4899</v>
      </c>
      <c r="DA632" s="1129"/>
      <c r="DB632" s="1129"/>
      <c r="DC632" s="1125" t="s">
        <v>5437</v>
      </c>
      <c r="DD632" s="1125" t="s">
        <v>1249</v>
      </c>
      <c r="DE632" s="1120" t="str">
        <f t="shared" si="750"/>
        <v/>
      </c>
      <c r="DF632" s="1133">
        <v>0</v>
      </c>
      <c r="DG632" s="1120">
        <v>0</v>
      </c>
    </row>
    <row r="633" spans="1:111">
      <c r="A633" s="1125" t="s">
        <v>3980</v>
      </c>
      <c r="B633" s="1120" t="s">
        <v>3489</v>
      </c>
      <c r="C633" s="1120" t="s">
        <v>3490</v>
      </c>
      <c r="D633" s="1120" t="s">
        <v>249</v>
      </c>
      <c r="E633" s="1120">
        <v>2991</v>
      </c>
      <c r="F633" s="1120">
        <v>-115.87</v>
      </c>
      <c r="G633" s="1120">
        <v>43.05</v>
      </c>
      <c r="H633" s="1120">
        <v>-7</v>
      </c>
      <c r="I633" s="1121">
        <v>8.9599996566772457</v>
      </c>
      <c r="J633" s="1121">
        <v>96.260001373291018</v>
      </c>
      <c r="K633" s="1122">
        <v>62.419999313354495</v>
      </c>
      <c r="L633" s="1120">
        <v>6004.8</v>
      </c>
      <c r="M633" s="1120">
        <v>946.80000000000007</v>
      </c>
      <c r="N633" s="1123">
        <v>34.519999957084657</v>
      </c>
      <c r="O633" s="1123">
        <v>32.720000010728839</v>
      </c>
      <c r="P633" s="1123">
        <v>42.259999656677245</v>
      </c>
      <c r="Q633" s="1123">
        <v>46.759999656677245</v>
      </c>
      <c r="R633" s="1123">
        <v>55.759999656677245</v>
      </c>
      <c r="S633" s="1123">
        <v>68.539998626708979</v>
      </c>
      <c r="T633" s="1123">
        <v>74.119999313354498</v>
      </c>
      <c r="U633" s="1123">
        <v>75.380000686645502</v>
      </c>
      <c r="V633" s="1123">
        <v>63.319999313354494</v>
      </c>
      <c r="W633" s="1123">
        <v>46.580000686645505</v>
      </c>
      <c r="X633" s="1123">
        <v>37.579999828338622</v>
      </c>
      <c r="Y633" s="1123">
        <v>27.5</v>
      </c>
      <c r="Z633" s="1123">
        <v>50.525698415677844</v>
      </c>
      <c r="AA633" s="1123">
        <f t="shared" si="676"/>
        <v>46.698119103711925</v>
      </c>
      <c r="AB633" s="1123">
        <f t="shared" si="677"/>
        <v>45.391284966415213</v>
      </c>
      <c r="AC633" s="1123">
        <f t="shared" si="678"/>
        <v>46.986807281173938</v>
      </c>
      <c r="AD633" s="1123">
        <f t="shared" si="679"/>
        <v>51.068788568903109</v>
      </c>
      <c r="AE633" s="1123">
        <f t="shared" si="680"/>
        <v>56.573197501720337</v>
      </c>
      <c r="AF633" s="1123">
        <f t="shared" si="681"/>
        <v>62.065225065777526</v>
      </c>
      <c r="AG633" s="1123">
        <f t="shared" si="682"/>
        <v>66.113289641796513</v>
      </c>
      <c r="AH633" s="1123">
        <f t="shared" si="683"/>
        <v>67.662200815474549</v>
      </c>
      <c r="AI633" s="1123">
        <f t="shared" si="684"/>
        <v>66.308211019948743</v>
      </c>
      <c r="AJ633" s="1123">
        <f t="shared" si="685"/>
        <v>62.404258561037231</v>
      </c>
      <c r="AK633" s="1123">
        <f t="shared" si="686"/>
        <v>56.967968808883775</v>
      </c>
      <c r="AL633" s="1123">
        <f t="shared" si="687"/>
        <v>51.416394463148144</v>
      </c>
      <c r="AM633" s="1120">
        <f t="shared" si="688"/>
        <v>1</v>
      </c>
      <c r="AN633" s="1120">
        <f t="shared" si="689"/>
        <v>1</v>
      </c>
      <c r="AO633" s="1120">
        <f t="shared" si="690"/>
        <v>1</v>
      </c>
      <c r="AP633" s="1120">
        <f t="shared" si="691"/>
        <v>1</v>
      </c>
      <c r="AQ633" s="1120">
        <f t="shared" si="692"/>
        <v>1</v>
      </c>
      <c r="AR633" s="1120">
        <f t="shared" si="693"/>
        <v>0</v>
      </c>
      <c r="AS633" s="1120">
        <f t="shared" si="694"/>
        <v>0</v>
      </c>
      <c r="AT633" s="1120">
        <f t="shared" si="695"/>
        <v>0</v>
      </c>
      <c r="AU633" s="1120">
        <f t="shared" si="696"/>
        <v>1</v>
      </c>
      <c r="AV633" s="1120">
        <f t="shared" si="697"/>
        <v>1</v>
      </c>
      <c r="AW633" s="1120">
        <f t="shared" si="698"/>
        <v>1</v>
      </c>
      <c r="AX633" s="1120">
        <f t="shared" si="699"/>
        <v>1</v>
      </c>
      <c r="AY633" s="1120">
        <f t="shared" si="700"/>
        <v>0</v>
      </c>
      <c r="AZ633" s="1120">
        <f t="shared" si="701"/>
        <v>0</v>
      </c>
      <c r="BA633" s="1120">
        <f t="shared" si="702"/>
        <v>0</v>
      </c>
      <c r="BB633" s="1120">
        <f t="shared" si="703"/>
        <v>0</v>
      </c>
      <c r="BC633" s="1120">
        <f t="shared" si="704"/>
        <v>0</v>
      </c>
      <c r="BD633" s="1120">
        <f t="shared" si="705"/>
        <v>1</v>
      </c>
      <c r="BE633" s="1120">
        <f t="shared" si="706"/>
        <v>1</v>
      </c>
      <c r="BF633" s="1120">
        <f t="shared" si="707"/>
        <v>1</v>
      </c>
      <c r="BG633" s="1120">
        <f t="shared" si="708"/>
        <v>0</v>
      </c>
      <c r="BH633" s="1120">
        <f t="shared" si="709"/>
        <v>0</v>
      </c>
      <c r="BI633" s="1120">
        <f t="shared" si="710"/>
        <v>0</v>
      </c>
      <c r="BJ633" s="1120">
        <f t="shared" si="711"/>
        <v>0</v>
      </c>
      <c r="BK633" s="1120">
        <f t="shared" si="712"/>
        <v>1</v>
      </c>
      <c r="BL633" s="1120">
        <f t="shared" si="713"/>
        <v>1</v>
      </c>
      <c r="BM633" s="1120">
        <f t="shared" si="714"/>
        <v>1</v>
      </c>
      <c r="BN633" s="1120">
        <f t="shared" si="715"/>
        <v>1</v>
      </c>
      <c r="BO633" s="1120">
        <f t="shared" si="716"/>
        <v>1</v>
      </c>
      <c r="BP633" s="1120">
        <f t="shared" si="717"/>
        <v>1</v>
      </c>
      <c r="BQ633" s="1120">
        <f t="shared" si="718"/>
        <v>0</v>
      </c>
      <c r="BR633" s="1120">
        <f t="shared" si="719"/>
        <v>0</v>
      </c>
      <c r="BS633" s="1120">
        <f t="shared" si="720"/>
        <v>1</v>
      </c>
      <c r="BT633" s="1120">
        <f t="shared" si="721"/>
        <v>1</v>
      </c>
      <c r="BU633" s="1120">
        <f t="shared" si="722"/>
        <v>1</v>
      </c>
      <c r="BV633" s="1120">
        <f t="shared" si="723"/>
        <v>1</v>
      </c>
      <c r="BW633" s="1120">
        <f t="shared" si="724"/>
        <v>0</v>
      </c>
      <c r="BX633" s="1120">
        <f t="shared" si="725"/>
        <v>0</v>
      </c>
      <c r="BY633" s="1120">
        <f t="shared" si="726"/>
        <v>0</v>
      </c>
      <c r="BZ633" s="1120">
        <f t="shared" si="727"/>
        <v>0</v>
      </c>
      <c r="CA633" s="1120">
        <f t="shared" si="728"/>
        <v>1</v>
      </c>
      <c r="CB633" s="1120">
        <f t="shared" si="729"/>
        <v>1</v>
      </c>
      <c r="CC633" s="1120">
        <f t="shared" si="730"/>
        <v>1</v>
      </c>
      <c r="CD633" s="1120">
        <f t="shared" si="731"/>
        <v>1</v>
      </c>
      <c r="CE633" s="1120">
        <f t="shared" si="732"/>
        <v>1</v>
      </c>
      <c r="CF633" s="1120">
        <f t="shared" si="733"/>
        <v>0</v>
      </c>
      <c r="CG633" s="1120">
        <f t="shared" si="734"/>
        <v>0</v>
      </c>
      <c r="CH633" s="1120">
        <f t="shared" si="735"/>
        <v>0</v>
      </c>
      <c r="CI633" s="1120">
        <f t="shared" si="736"/>
        <v>0.85</v>
      </c>
      <c r="CJ633" s="1120">
        <f t="shared" si="737"/>
        <v>0.85</v>
      </c>
      <c r="CK633" s="1120">
        <f t="shared" si="738"/>
        <v>0.85</v>
      </c>
      <c r="CL633" s="1120">
        <f t="shared" si="739"/>
        <v>0.85</v>
      </c>
      <c r="CM633" s="1120">
        <f t="shared" si="740"/>
        <v>0.85</v>
      </c>
      <c r="CN633" s="1120">
        <f t="shared" si="741"/>
        <v>0.85</v>
      </c>
      <c r="CO633" s="1120">
        <f t="shared" si="742"/>
        <v>0.7</v>
      </c>
      <c r="CP633" s="1120">
        <f t="shared" si="743"/>
        <v>0.7</v>
      </c>
      <c r="CQ633" s="1120">
        <f t="shared" si="744"/>
        <v>0.85</v>
      </c>
      <c r="CR633" s="1120">
        <f t="shared" si="745"/>
        <v>0.85</v>
      </c>
      <c r="CS633" s="1120">
        <f t="shared" si="746"/>
        <v>0.85</v>
      </c>
      <c r="CT633" s="1120">
        <f t="shared" si="747"/>
        <v>0.85</v>
      </c>
      <c r="CU633" s="1120">
        <v>1</v>
      </c>
      <c r="CV633" s="1120"/>
      <c r="CW633" s="1120">
        <f t="shared" si="748"/>
        <v>153</v>
      </c>
      <c r="CX633" s="1120">
        <f t="shared" si="749"/>
        <v>212</v>
      </c>
      <c r="CY633" s="1135" t="s">
        <v>4889</v>
      </c>
      <c r="CZ633" s="1124" t="s">
        <v>4890</v>
      </c>
      <c r="DA633" s="1124"/>
      <c r="DB633" s="1124"/>
      <c r="DC633" s="1120" t="s">
        <v>5200</v>
      </c>
      <c r="DD633" s="1120" t="s">
        <v>249</v>
      </c>
      <c r="DE633" s="1120" t="str">
        <f t="shared" si="750"/>
        <v/>
      </c>
      <c r="DF633" s="1133">
        <v>0</v>
      </c>
      <c r="DG633" s="1125">
        <v>0</v>
      </c>
    </row>
    <row r="634" spans="1:111">
      <c r="A634" s="1120" t="s">
        <v>3982</v>
      </c>
      <c r="B634" s="1120" t="s">
        <v>3144</v>
      </c>
      <c r="C634" s="1120" t="s">
        <v>3145</v>
      </c>
      <c r="D634" s="1120" t="s">
        <v>954</v>
      </c>
      <c r="E634" s="1120">
        <v>39</v>
      </c>
      <c r="F634" s="1120">
        <v>-122.05</v>
      </c>
      <c r="G634" s="1120">
        <v>37.4</v>
      </c>
      <c r="H634" s="1120">
        <v>-8</v>
      </c>
      <c r="I634" s="1121">
        <v>38.660000085830688</v>
      </c>
      <c r="J634" s="1121">
        <v>83.66000137329101</v>
      </c>
      <c r="K634" s="1122">
        <v>64.939998626708984</v>
      </c>
      <c r="L634" s="1120">
        <v>2500.2000000000003</v>
      </c>
      <c r="M634" s="1120">
        <v>372.6</v>
      </c>
      <c r="N634" s="1123">
        <v>48.559999656677249</v>
      </c>
      <c r="O634" s="1123">
        <v>51.259999656677245</v>
      </c>
      <c r="P634" s="1123">
        <v>57.559999656677249</v>
      </c>
      <c r="Q634" s="1123">
        <v>55.580000686645505</v>
      </c>
      <c r="R634" s="1123">
        <v>57.2</v>
      </c>
      <c r="S634" s="1123">
        <v>63.86000137329102</v>
      </c>
      <c r="T634" s="1123">
        <v>64.400000000000006</v>
      </c>
      <c r="U634" s="1123">
        <v>66.2</v>
      </c>
      <c r="V634" s="1123">
        <v>71.780000686645508</v>
      </c>
      <c r="W634" s="1123">
        <v>61.339998626708983</v>
      </c>
      <c r="X634" s="1123">
        <v>53.959999656677248</v>
      </c>
      <c r="Y634" s="1123">
        <v>50.9</v>
      </c>
      <c r="Z634" s="1123">
        <v>58.579835612675915</v>
      </c>
      <c r="AA634" s="1123">
        <f t="shared" si="676"/>
        <v>58.630363083730309</v>
      </c>
      <c r="AB634" s="1123">
        <f t="shared" si="677"/>
        <v>58.329032664676944</v>
      </c>
      <c r="AC634" s="1123">
        <f t="shared" si="678"/>
        <v>59.657070361808749</v>
      </c>
      <c r="AD634" s="1123">
        <f t="shared" si="679"/>
        <v>62.268302683687928</v>
      </c>
      <c r="AE634" s="1123">
        <f t="shared" si="680"/>
        <v>65.482071685308512</v>
      </c>
      <c r="AF634" s="1123">
        <f t="shared" si="681"/>
        <v>68.460658950718681</v>
      </c>
      <c r="AG634" s="1123">
        <f t="shared" si="682"/>
        <v>70.427649807770052</v>
      </c>
      <c r="AH634" s="1123">
        <f t="shared" si="683"/>
        <v>70.870317777325567</v>
      </c>
      <c r="AI634" s="1123">
        <f t="shared" si="684"/>
        <v>69.673274631400659</v>
      </c>
      <c r="AJ634" s="1123">
        <f t="shared" si="685"/>
        <v>67.148548112973927</v>
      </c>
      <c r="AK634" s="1123">
        <f t="shared" si="686"/>
        <v>63.95424709628665</v>
      </c>
      <c r="AL634" s="1123">
        <f t="shared" si="687"/>
        <v>60.923015367007096</v>
      </c>
      <c r="AM634" s="1120">
        <f t="shared" si="688"/>
        <v>1</v>
      </c>
      <c r="AN634" s="1120">
        <f t="shared" si="689"/>
        <v>1</v>
      </c>
      <c r="AO634" s="1120">
        <f t="shared" si="690"/>
        <v>1</v>
      </c>
      <c r="AP634" s="1120">
        <f t="shared" si="691"/>
        <v>1</v>
      </c>
      <c r="AQ634" s="1120">
        <f t="shared" si="692"/>
        <v>1</v>
      </c>
      <c r="AR634" s="1120">
        <f t="shared" si="693"/>
        <v>1</v>
      </c>
      <c r="AS634" s="1120">
        <f t="shared" si="694"/>
        <v>1</v>
      </c>
      <c r="AT634" s="1120">
        <f t="shared" si="695"/>
        <v>0</v>
      </c>
      <c r="AU634" s="1120">
        <f t="shared" si="696"/>
        <v>0</v>
      </c>
      <c r="AV634" s="1120">
        <f t="shared" si="697"/>
        <v>1</v>
      </c>
      <c r="AW634" s="1120">
        <f t="shared" si="698"/>
        <v>1</v>
      </c>
      <c r="AX634" s="1120">
        <f t="shared" si="699"/>
        <v>1</v>
      </c>
      <c r="AY634" s="1120">
        <f t="shared" si="700"/>
        <v>0</v>
      </c>
      <c r="AZ634" s="1120">
        <f t="shared" si="701"/>
        <v>0</v>
      </c>
      <c r="BA634" s="1120">
        <f t="shared" si="702"/>
        <v>0</v>
      </c>
      <c r="BB634" s="1120">
        <f t="shared" si="703"/>
        <v>0</v>
      </c>
      <c r="BC634" s="1120">
        <f t="shared" si="704"/>
        <v>0</v>
      </c>
      <c r="BD634" s="1120">
        <f t="shared" si="705"/>
        <v>0</v>
      </c>
      <c r="BE634" s="1120">
        <f t="shared" si="706"/>
        <v>1</v>
      </c>
      <c r="BF634" s="1120">
        <f t="shared" si="707"/>
        <v>1</v>
      </c>
      <c r="BG634" s="1120">
        <f t="shared" si="708"/>
        <v>1</v>
      </c>
      <c r="BH634" s="1120">
        <f t="shared" si="709"/>
        <v>0</v>
      </c>
      <c r="BI634" s="1120">
        <f t="shared" si="710"/>
        <v>0</v>
      </c>
      <c r="BJ634" s="1120">
        <f t="shared" si="711"/>
        <v>0</v>
      </c>
      <c r="BK634" s="1120">
        <f t="shared" si="712"/>
        <v>1</v>
      </c>
      <c r="BL634" s="1120">
        <f t="shared" si="713"/>
        <v>1</v>
      </c>
      <c r="BM634" s="1120">
        <f t="shared" si="714"/>
        <v>1</v>
      </c>
      <c r="BN634" s="1120">
        <f t="shared" si="715"/>
        <v>1</v>
      </c>
      <c r="BO634" s="1120">
        <f t="shared" si="716"/>
        <v>1</v>
      </c>
      <c r="BP634" s="1120">
        <f t="shared" si="717"/>
        <v>1</v>
      </c>
      <c r="BQ634" s="1120">
        <f t="shared" si="718"/>
        <v>1</v>
      </c>
      <c r="BR634" s="1120">
        <f t="shared" si="719"/>
        <v>0</v>
      </c>
      <c r="BS634" s="1120">
        <f t="shared" si="720"/>
        <v>0</v>
      </c>
      <c r="BT634" s="1120">
        <f t="shared" si="721"/>
        <v>1</v>
      </c>
      <c r="BU634" s="1120">
        <f t="shared" si="722"/>
        <v>1</v>
      </c>
      <c r="BV634" s="1120">
        <f t="shared" si="723"/>
        <v>1</v>
      </c>
      <c r="BW634" s="1120">
        <f t="shared" si="724"/>
        <v>0</v>
      </c>
      <c r="BX634" s="1120">
        <f t="shared" si="725"/>
        <v>0</v>
      </c>
      <c r="BY634" s="1120">
        <f t="shared" si="726"/>
        <v>0</v>
      </c>
      <c r="BZ634" s="1120">
        <f t="shared" si="727"/>
        <v>0</v>
      </c>
      <c r="CA634" s="1120">
        <f t="shared" si="728"/>
        <v>0</v>
      </c>
      <c r="CB634" s="1120">
        <f t="shared" si="729"/>
        <v>0</v>
      </c>
      <c r="CC634" s="1120">
        <f t="shared" si="730"/>
        <v>1</v>
      </c>
      <c r="CD634" s="1120">
        <f t="shared" si="731"/>
        <v>1</v>
      </c>
      <c r="CE634" s="1120">
        <f t="shared" si="732"/>
        <v>1</v>
      </c>
      <c r="CF634" s="1120">
        <f t="shared" si="733"/>
        <v>1</v>
      </c>
      <c r="CG634" s="1120">
        <f t="shared" si="734"/>
        <v>0</v>
      </c>
      <c r="CH634" s="1120">
        <f t="shared" si="735"/>
        <v>0</v>
      </c>
      <c r="CI634" s="1120">
        <f t="shared" si="736"/>
        <v>0.85</v>
      </c>
      <c r="CJ634" s="1120">
        <f t="shared" si="737"/>
        <v>0.85</v>
      </c>
      <c r="CK634" s="1120">
        <f t="shared" si="738"/>
        <v>0.85</v>
      </c>
      <c r="CL634" s="1120">
        <f t="shared" si="739"/>
        <v>0.85</v>
      </c>
      <c r="CM634" s="1120">
        <f t="shared" si="740"/>
        <v>0.85</v>
      </c>
      <c r="CN634" s="1120">
        <f t="shared" si="741"/>
        <v>0.85</v>
      </c>
      <c r="CO634" s="1120">
        <f t="shared" si="742"/>
        <v>0.85</v>
      </c>
      <c r="CP634" s="1120">
        <f t="shared" si="743"/>
        <v>0.7</v>
      </c>
      <c r="CQ634" s="1120">
        <f t="shared" si="744"/>
        <v>0.7</v>
      </c>
      <c r="CR634" s="1120">
        <f t="shared" si="745"/>
        <v>0.85</v>
      </c>
      <c r="CS634" s="1120">
        <f t="shared" si="746"/>
        <v>0.85</v>
      </c>
      <c r="CT634" s="1120">
        <f t="shared" si="747"/>
        <v>0.85</v>
      </c>
      <c r="CU634" s="1120">
        <v>1</v>
      </c>
      <c r="CV634" s="1120"/>
      <c r="CW634" s="1120">
        <f t="shared" si="748"/>
        <v>123</v>
      </c>
      <c r="CX634" s="1120">
        <f t="shared" si="749"/>
        <v>242</v>
      </c>
      <c r="CY634" s="1136" t="s">
        <v>4893</v>
      </c>
      <c r="CZ634" s="1129" t="s">
        <v>4895</v>
      </c>
      <c r="DA634" s="1129"/>
      <c r="DB634" s="1129"/>
      <c r="DC634" s="1125" t="s">
        <v>5037</v>
      </c>
      <c r="DD634" s="1125" t="s">
        <v>954</v>
      </c>
      <c r="DE634" s="1120" t="str">
        <f t="shared" si="750"/>
        <v/>
      </c>
      <c r="DF634" s="1120">
        <v>0</v>
      </c>
      <c r="DG634" s="1120">
        <v>0</v>
      </c>
    </row>
    <row r="635" spans="1:111">
      <c r="A635" s="1125" t="s">
        <v>3984</v>
      </c>
      <c r="B635" s="1125" t="s">
        <v>3449</v>
      </c>
      <c r="C635" s="1125" t="s">
        <v>3450</v>
      </c>
      <c r="D635" s="1125" t="s">
        <v>566</v>
      </c>
      <c r="E635" s="1125">
        <v>548</v>
      </c>
      <c r="F635" s="1125">
        <v>-91.15</v>
      </c>
      <c r="G635" s="1125">
        <v>41.37</v>
      </c>
      <c r="H635" s="1125">
        <v>-6</v>
      </c>
      <c r="I635" s="1126">
        <v>-4.1800006866455091</v>
      </c>
      <c r="J635" s="1126">
        <v>93.379997253417969</v>
      </c>
      <c r="K635" s="1127">
        <v>77.180000686645513</v>
      </c>
      <c r="L635" s="1125">
        <v>6010.2</v>
      </c>
      <c r="M635" s="1125">
        <v>1098</v>
      </c>
      <c r="N635" s="1128">
        <v>22.279999828338624</v>
      </c>
      <c r="O635" s="1128">
        <v>24.440000343322755</v>
      </c>
      <c r="P635" s="1128">
        <v>37.76000008583069</v>
      </c>
      <c r="Q635" s="1128">
        <v>50.359999656677246</v>
      </c>
      <c r="R635" s="1128">
        <v>64.219999313354492</v>
      </c>
      <c r="S635" s="1128">
        <v>70.7</v>
      </c>
      <c r="T635" s="1128">
        <v>72.5</v>
      </c>
      <c r="U635" s="1128">
        <v>74.83999862670899</v>
      </c>
      <c r="V635" s="1128">
        <v>69.980000686645511</v>
      </c>
      <c r="W635" s="1128">
        <v>52.519999313354489</v>
      </c>
      <c r="X635" s="1128">
        <v>41</v>
      </c>
      <c r="Y635" s="1128">
        <v>29.119999957084655</v>
      </c>
      <c r="Z635" s="1128">
        <v>50.947835426787805</v>
      </c>
      <c r="AA635" s="1128">
        <f t="shared" si="676"/>
        <v>46.019887702597543</v>
      </c>
      <c r="AB635" s="1128">
        <f t="shared" si="677"/>
        <v>44.616875358426896</v>
      </c>
      <c r="AC635" s="1128">
        <f t="shared" si="678"/>
        <v>46.428117781921202</v>
      </c>
      <c r="AD635" s="1128">
        <f t="shared" si="679"/>
        <v>50.981486723306041</v>
      </c>
      <c r="AE635" s="1128">
        <f t="shared" si="680"/>
        <v>57.090076398470053</v>
      </c>
      <c r="AF635" s="1128">
        <f t="shared" si="681"/>
        <v>63.161588772365356</v>
      </c>
      <c r="AG635" s="1128">
        <f t="shared" si="682"/>
        <v>67.613390579898279</v>
      </c>
      <c r="AH635" s="1128">
        <f t="shared" si="683"/>
        <v>69.285051075592889</v>
      </c>
      <c r="AI635" s="1128">
        <f t="shared" si="684"/>
        <v>67.740826190178339</v>
      </c>
      <c r="AJ635" s="1128">
        <f t="shared" si="685"/>
        <v>63.383241937263776</v>
      </c>
      <c r="AK635" s="1128">
        <f t="shared" si="686"/>
        <v>57.348169804777385</v>
      </c>
      <c r="AL635" s="1128">
        <f t="shared" si="687"/>
        <v>51.208744347328512</v>
      </c>
      <c r="AM635" s="1125">
        <f t="shared" si="688"/>
        <v>1</v>
      </c>
      <c r="AN635" s="1125">
        <f t="shared" si="689"/>
        <v>1</v>
      </c>
      <c r="AO635" s="1125">
        <f t="shared" si="690"/>
        <v>1</v>
      </c>
      <c r="AP635" s="1125">
        <f t="shared" si="691"/>
        <v>1</v>
      </c>
      <c r="AQ635" s="1125">
        <f t="shared" si="692"/>
        <v>1</v>
      </c>
      <c r="AR635" s="1125">
        <f t="shared" si="693"/>
        <v>0</v>
      </c>
      <c r="AS635" s="1125">
        <f t="shared" si="694"/>
        <v>0</v>
      </c>
      <c r="AT635" s="1125">
        <f t="shared" si="695"/>
        <v>0</v>
      </c>
      <c r="AU635" s="1125">
        <f t="shared" si="696"/>
        <v>0</v>
      </c>
      <c r="AV635" s="1125">
        <f t="shared" si="697"/>
        <v>1</v>
      </c>
      <c r="AW635" s="1125">
        <f t="shared" si="698"/>
        <v>1</v>
      </c>
      <c r="AX635" s="1125">
        <f t="shared" si="699"/>
        <v>1</v>
      </c>
      <c r="AY635" s="1125">
        <f t="shared" si="700"/>
        <v>0</v>
      </c>
      <c r="AZ635" s="1125">
        <f t="shared" si="701"/>
        <v>0</v>
      </c>
      <c r="BA635" s="1125">
        <f t="shared" si="702"/>
        <v>0</v>
      </c>
      <c r="BB635" s="1125">
        <f t="shared" si="703"/>
        <v>0</v>
      </c>
      <c r="BC635" s="1125">
        <f t="shared" si="704"/>
        <v>0</v>
      </c>
      <c r="BD635" s="1125">
        <f t="shared" si="705"/>
        <v>1</v>
      </c>
      <c r="BE635" s="1125">
        <f t="shared" si="706"/>
        <v>1</v>
      </c>
      <c r="BF635" s="1125">
        <f t="shared" si="707"/>
        <v>1</v>
      </c>
      <c r="BG635" s="1125">
        <f t="shared" si="708"/>
        <v>1</v>
      </c>
      <c r="BH635" s="1125">
        <f t="shared" si="709"/>
        <v>0</v>
      </c>
      <c r="BI635" s="1125">
        <f t="shared" si="710"/>
        <v>0</v>
      </c>
      <c r="BJ635" s="1125">
        <f t="shared" si="711"/>
        <v>0</v>
      </c>
      <c r="BK635" s="1125">
        <f t="shared" si="712"/>
        <v>1</v>
      </c>
      <c r="BL635" s="1125">
        <f t="shared" si="713"/>
        <v>1</v>
      </c>
      <c r="BM635" s="1125">
        <f t="shared" si="714"/>
        <v>1</v>
      </c>
      <c r="BN635" s="1125">
        <f t="shared" si="715"/>
        <v>1</v>
      </c>
      <c r="BO635" s="1125">
        <f t="shared" si="716"/>
        <v>1</v>
      </c>
      <c r="BP635" s="1125">
        <f t="shared" si="717"/>
        <v>1</v>
      </c>
      <c r="BQ635" s="1125">
        <f t="shared" si="718"/>
        <v>0</v>
      </c>
      <c r="BR635" s="1125">
        <f t="shared" si="719"/>
        <v>0</v>
      </c>
      <c r="BS635" s="1125">
        <f t="shared" si="720"/>
        <v>0</v>
      </c>
      <c r="BT635" s="1125">
        <f t="shared" si="721"/>
        <v>1</v>
      </c>
      <c r="BU635" s="1125">
        <f t="shared" si="722"/>
        <v>1</v>
      </c>
      <c r="BV635" s="1125">
        <f t="shared" si="723"/>
        <v>1</v>
      </c>
      <c r="BW635" s="1125">
        <f t="shared" si="724"/>
        <v>0</v>
      </c>
      <c r="BX635" s="1125">
        <f t="shared" si="725"/>
        <v>0</v>
      </c>
      <c r="BY635" s="1125">
        <f t="shared" si="726"/>
        <v>0</v>
      </c>
      <c r="BZ635" s="1125">
        <f t="shared" si="727"/>
        <v>0</v>
      </c>
      <c r="CA635" s="1125">
        <f t="shared" si="728"/>
        <v>1</v>
      </c>
      <c r="CB635" s="1125">
        <f t="shared" si="729"/>
        <v>1</v>
      </c>
      <c r="CC635" s="1125">
        <f t="shared" si="730"/>
        <v>1</v>
      </c>
      <c r="CD635" s="1125">
        <f t="shared" si="731"/>
        <v>1</v>
      </c>
      <c r="CE635" s="1125">
        <f t="shared" si="732"/>
        <v>1</v>
      </c>
      <c r="CF635" s="1125">
        <f t="shared" si="733"/>
        <v>1</v>
      </c>
      <c r="CG635" s="1125">
        <f t="shared" si="734"/>
        <v>0</v>
      </c>
      <c r="CH635" s="1125">
        <f t="shared" si="735"/>
        <v>0</v>
      </c>
      <c r="CI635" s="1125">
        <f t="shared" si="736"/>
        <v>0.85</v>
      </c>
      <c r="CJ635" s="1125">
        <f t="shared" si="737"/>
        <v>0.85</v>
      </c>
      <c r="CK635" s="1125">
        <f t="shared" si="738"/>
        <v>0.85</v>
      </c>
      <c r="CL635" s="1125">
        <f t="shared" si="739"/>
        <v>0.85</v>
      </c>
      <c r="CM635" s="1125">
        <f t="shared" si="740"/>
        <v>0.85</v>
      </c>
      <c r="CN635" s="1125">
        <f t="shared" si="741"/>
        <v>0.85</v>
      </c>
      <c r="CO635" s="1125">
        <f t="shared" si="742"/>
        <v>0.7</v>
      </c>
      <c r="CP635" s="1125">
        <f t="shared" si="743"/>
        <v>0.7</v>
      </c>
      <c r="CQ635" s="1125">
        <f t="shared" si="744"/>
        <v>0.7</v>
      </c>
      <c r="CR635" s="1125">
        <f t="shared" si="745"/>
        <v>0.85</v>
      </c>
      <c r="CS635" s="1125">
        <f t="shared" si="746"/>
        <v>0.85</v>
      </c>
      <c r="CT635" s="1125">
        <f t="shared" si="747"/>
        <v>0.85</v>
      </c>
      <c r="CU635" s="1125">
        <v>1</v>
      </c>
      <c r="CV635" s="1125"/>
      <c r="CW635" s="1125">
        <f t="shared" si="748"/>
        <v>184</v>
      </c>
      <c r="CX635" s="1125">
        <f t="shared" si="749"/>
        <v>181</v>
      </c>
      <c r="CY635" s="1136" t="s">
        <v>4889</v>
      </c>
      <c r="CZ635" s="1129" t="s">
        <v>4897</v>
      </c>
      <c r="DA635" s="1129"/>
      <c r="DB635" s="1129"/>
      <c r="DC635" s="1125" t="s">
        <v>5180</v>
      </c>
      <c r="DD635" s="1125" t="s">
        <v>566</v>
      </c>
      <c r="DE635" s="1120" t="str">
        <f t="shared" si="750"/>
        <v/>
      </c>
      <c r="DF635" s="1133">
        <v>0</v>
      </c>
      <c r="DG635" s="1125">
        <v>0</v>
      </c>
    </row>
    <row r="636" spans="1:111">
      <c r="A636" s="1120" t="s">
        <v>3986</v>
      </c>
      <c r="B636" s="1125" t="s">
        <v>3018</v>
      </c>
      <c r="C636" s="1125" t="s">
        <v>3019</v>
      </c>
      <c r="D636" s="1125" t="s">
        <v>247</v>
      </c>
      <c r="E636" s="1125">
        <v>541</v>
      </c>
      <c r="F636" s="1125">
        <v>-87.6</v>
      </c>
      <c r="G636" s="1125">
        <v>34.75</v>
      </c>
      <c r="H636" s="1125">
        <v>-6</v>
      </c>
      <c r="I636" s="1126">
        <v>22.1</v>
      </c>
      <c r="J636" s="1126">
        <v>93.020002746582037</v>
      </c>
      <c r="K636" s="1127">
        <v>75.2</v>
      </c>
      <c r="L636" s="1125">
        <v>2707.2000000000003</v>
      </c>
      <c r="M636" s="1125">
        <v>1751.4</v>
      </c>
      <c r="N636" s="1128">
        <v>45.5</v>
      </c>
      <c r="O636" s="1128">
        <v>43.340000343322757</v>
      </c>
      <c r="P636" s="1128">
        <v>51.8</v>
      </c>
      <c r="Q636" s="1128">
        <v>62.780000686645508</v>
      </c>
      <c r="R636" s="1128">
        <v>71.239998626708982</v>
      </c>
      <c r="S636" s="1128">
        <v>72.680000686645513</v>
      </c>
      <c r="T636" s="1128">
        <v>80.060001373291016</v>
      </c>
      <c r="U636" s="1128">
        <v>73.939998626708984</v>
      </c>
      <c r="V636" s="1128">
        <v>73.039998626708979</v>
      </c>
      <c r="W636" s="1128">
        <v>63.680000686645506</v>
      </c>
      <c r="X636" s="1128">
        <v>55.580000686645505</v>
      </c>
      <c r="Y636" s="1128">
        <v>46.4</v>
      </c>
      <c r="Z636" s="1128">
        <v>61.772986325825734</v>
      </c>
      <c r="AA636" s="1128">
        <f t="shared" si="676"/>
        <v>57.628580095220023</v>
      </c>
      <c r="AB636" s="1128">
        <f t="shared" si="677"/>
        <v>57.421083938714602</v>
      </c>
      <c r="AC636" s="1128">
        <f t="shared" si="678"/>
        <v>59.911970667054348</v>
      </c>
      <c r="AD636" s="1128">
        <f t="shared" si="679"/>
        <v>64.451952268771095</v>
      </c>
      <c r="AE636" s="1128">
        <f t="shared" si="680"/>
        <v>69.857612576143111</v>
      </c>
      <c r="AF636" s="1128">
        <f t="shared" si="681"/>
        <v>74.71988292630698</v>
      </c>
      <c r="AG636" s="1128">
        <f t="shared" si="682"/>
        <v>77.771337622638271</v>
      </c>
      <c r="AH636" s="1128">
        <f t="shared" si="683"/>
        <v>78.216567974197957</v>
      </c>
      <c r="AI636" s="1128">
        <f t="shared" si="684"/>
        <v>75.939517828644597</v>
      </c>
      <c r="AJ636" s="1128">
        <f t="shared" si="685"/>
        <v>71.533735396821584</v>
      </c>
      <c r="AK636" s="1128">
        <f t="shared" si="686"/>
        <v>66.147655764746048</v>
      </c>
      <c r="AL636" s="1128">
        <f t="shared" si="687"/>
        <v>61.185243590518056</v>
      </c>
      <c r="AM636" s="1125">
        <f t="shared" si="688"/>
        <v>1</v>
      </c>
      <c r="AN636" s="1125">
        <f t="shared" si="689"/>
        <v>1</v>
      </c>
      <c r="AO636" s="1125">
        <f t="shared" si="690"/>
        <v>1</v>
      </c>
      <c r="AP636" s="1125">
        <f t="shared" si="691"/>
        <v>1</v>
      </c>
      <c r="AQ636" s="1125">
        <f t="shared" si="692"/>
        <v>0</v>
      </c>
      <c r="AR636" s="1125">
        <f t="shared" si="693"/>
        <v>0</v>
      </c>
      <c r="AS636" s="1125">
        <f t="shared" si="694"/>
        <v>0</v>
      </c>
      <c r="AT636" s="1125">
        <f t="shared" si="695"/>
        <v>0</v>
      </c>
      <c r="AU636" s="1125">
        <f t="shared" si="696"/>
        <v>0</v>
      </c>
      <c r="AV636" s="1125">
        <f t="shared" si="697"/>
        <v>1</v>
      </c>
      <c r="AW636" s="1125">
        <f t="shared" si="698"/>
        <v>1</v>
      </c>
      <c r="AX636" s="1125">
        <f t="shared" si="699"/>
        <v>1</v>
      </c>
      <c r="AY636" s="1125">
        <f t="shared" si="700"/>
        <v>0</v>
      </c>
      <c r="AZ636" s="1125">
        <f t="shared" si="701"/>
        <v>0</v>
      </c>
      <c r="BA636" s="1125">
        <f t="shared" si="702"/>
        <v>0</v>
      </c>
      <c r="BB636" s="1125">
        <f t="shared" si="703"/>
        <v>0</v>
      </c>
      <c r="BC636" s="1125">
        <f t="shared" si="704"/>
        <v>1</v>
      </c>
      <c r="BD636" s="1125">
        <f t="shared" si="705"/>
        <v>1</v>
      </c>
      <c r="BE636" s="1125">
        <f t="shared" si="706"/>
        <v>1</v>
      </c>
      <c r="BF636" s="1125">
        <f t="shared" si="707"/>
        <v>1</v>
      </c>
      <c r="BG636" s="1125">
        <f t="shared" si="708"/>
        <v>1</v>
      </c>
      <c r="BH636" s="1125">
        <f t="shared" si="709"/>
        <v>0</v>
      </c>
      <c r="BI636" s="1125">
        <f t="shared" si="710"/>
        <v>0</v>
      </c>
      <c r="BJ636" s="1125">
        <f t="shared" si="711"/>
        <v>0</v>
      </c>
      <c r="BK636" s="1125">
        <f t="shared" si="712"/>
        <v>1</v>
      </c>
      <c r="BL636" s="1125">
        <f t="shared" si="713"/>
        <v>1</v>
      </c>
      <c r="BM636" s="1125">
        <f t="shared" si="714"/>
        <v>1</v>
      </c>
      <c r="BN636" s="1125">
        <f t="shared" si="715"/>
        <v>1</v>
      </c>
      <c r="BO636" s="1125">
        <f t="shared" si="716"/>
        <v>1</v>
      </c>
      <c r="BP636" s="1125">
        <f t="shared" si="717"/>
        <v>0</v>
      </c>
      <c r="BQ636" s="1125">
        <f t="shared" si="718"/>
        <v>0</v>
      </c>
      <c r="BR636" s="1125">
        <f t="shared" si="719"/>
        <v>0</v>
      </c>
      <c r="BS636" s="1125">
        <f t="shared" si="720"/>
        <v>0</v>
      </c>
      <c r="BT636" s="1125">
        <f t="shared" si="721"/>
        <v>1</v>
      </c>
      <c r="BU636" s="1125">
        <f t="shared" si="722"/>
        <v>1</v>
      </c>
      <c r="BV636" s="1125">
        <f t="shared" si="723"/>
        <v>1</v>
      </c>
      <c r="BW636" s="1125">
        <f t="shared" si="724"/>
        <v>0</v>
      </c>
      <c r="BX636" s="1125">
        <f t="shared" si="725"/>
        <v>0</v>
      </c>
      <c r="BY636" s="1125">
        <f t="shared" si="726"/>
        <v>0</v>
      </c>
      <c r="BZ636" s="1125">
        <f t="shared" si="727"/>
        <v>1</v>
      </c>
      <c r="CA636" s="1125">
        <f t="shared" si="728"/>
        <v>1</v>
      </c>
      <c r="CB636" s="1125">
        <f t="shared" si="729"/>
        <v>1</v>
      </c>
      <c r="CC636" s="1125">
        <f t="shared" si="730"/>
        <v>1</v>
      </c>
      <c r="CD636" s="1125">
        <f t="shared" si="731"/>
        <v>1</v>
      </c>
      <c r="CE636" s="1125">
        <f t="shared" si="732"/>
        <v>1</v>
      </c>
      <c r="CF636" s="1125">
        <f t="shared" si="733"/>
        <v>1</v>
      </c>
      <c r="CG636" s="1125">
        <f t="shared" si="734"/>
        <v>0</v>
      </c>
      <c r="CH636" s="1125">
        <f t="shared" si="735"/>
        <v>0</v>
      </c>
      <c r="CI636" s="1125">
        <f t="shared" si="736"/>
        <v>0.85</v>
      </c>
      <c r="CJ636" s="1125">
        <f t="shared" si="737"/>
        <v>0.85</v>
      </c>
      <c r="CK636" s="1125">
        <f t="shared" si="738"/>
        <v>0.85</v>
      </c>
      <c r="CL636" s="1125">
        <f t="shared" si="739"/>
        <v>0.85</v>
      </c>
      <c r="CM636" s="1125">
        <f t="shared" si="740"/>
        <v>0.85</v>
      </c>
      <c r="CN636" s="1125">
        <f t="shared" si="741"/>
        <v>0.7</v>
      </c>
      <c r="CO636" s="1125">
        <f t="shared" si="742"/>
        <v>0.7</v>
      </c>
      <c r="CP636" s="1125">
        <f t="shared" si="743"/>
        <v>0.7</v>
      </c>
      <c r="CQ636" s="1125">
        <f t="shared" si="744"/>
        <v>0.7</v>
      </c>
      <c r="CR636" s="1125">
        <f t="shared" si="745"/>
        <v>0.85</v>
      </c>
      <c r="CS636" s="1125">
        <f t="shared" si="746"/>
        <v>0.85</v>
      </c>
      <c r="CT636" s="1125">
        <f t="shared" si="747"/>
        <v>0.85</v>
      </c>
      <c r="CU636" s="1125">
        <v>1</v>
      </c>
      <c r="CV636" s="1125"/>
      <c r="CW636" s="1125">
        <f t="shared" si="748"/>
        <v>214</v>
      </c>
      <c r="CX636" s="1125">
        <f t="shared" si="749"/>
        <v>151</v>
      </c>
      <c r="CY636" s="1136" t="s">
        <v>4881</v>
      </c>
      <c r="CZ636" s="1129" t="s">
        <v>4882</v>
      </c>
      <c r="DA636" s="1129"/>
      <c r="DB636" s="1129"/>
      <c r="DC636" s="1125" t="s">
        <v>4981</v>
      </c>
      <c r="DD636" s="1125" t="s">
        <v>247</v>
      </c>
      <c r="DE636" s="1125" t="str">
        <f t="shared" si="750"/>
        <v/>
      </c>
      <c r="DF636" s="1125">
        <v>0</v>
      </c>
      <c r="DG636" s="1120">
        <v>0</v>
      </c>
    </row>
    <row r="637" spans="1:111">
      <c r="A637" s="1125" t="s">
        <v>3988</v>
      </c>
      <c r="B637" s="1125" t="s">
        <v>3745</v>
      </c>
      <c r="C637" s="1125" t="s">
        <v>3746</v>
      </c>
      <c r="D637" s="1125" t="s">
        <v>540</v>
      </c>
      <c r="E637" s="1125">
        <v>623</v>
      </c>
      <c r="F637" s="1125">
        <v>-86.23</v>
      </c>
      <c r="G637" s="1125">
        <v>43.17</v>
      </c>
      <c r="H637" s="1125">
        <v>-5</v>
      </c>
      <c r="I637" s="1126">
        <v>8.6</v>
      </c>
      <c r="J637" s="1126">
        <v>83.83999862670899</v>
      </c>
      <c r="K637" s="1127">
        <v>71.060001373291016</v>
      </c>
      <c r="L637" s="1125">
        <v>6759</v>
      </c>
      <c r="M637" s="1125">
        <v>594</v>
      </c>
      <c r="N637" s="1128">
        <v>23.720000171661376</v>
      </c>
      <c r="O637" s="1128">
        <v>22.279999828338624</v>
      </c>
      <c r="P637" s="1128">
        <v>34.160000085830688</v>
      </c>
      <c r="Q637" s="1128">
        <v>43.879999828338626</v>
      </c>
      <c r="R637" s="1128">
        <v>56.659999656677243</v>
      </c>
      <c r="S637" s="1128">
        <v>66.919999313354495</v>
      </c>
      <c r="T637" s="1128">
        <v>71.599999999999994</v>
      </c>
      <c r="U637" s="1128">
        <v>70.519999313354489</v>
      </c>
      <c r="V637" s="1128">
        <v>61.880000686645509</v>
      </c>
      <c r="W637" s="1128">
        <v>48.2</v>
      </c>
      <c r="X637" s="1128">
        <v>38.839999914169312</v>
      </c>
      <c r="Y637" s="1128">
        <v>30.2</v>
      </c>
      <c r="Z637" s="1128">
        <v>47.551506749375228</v>
      </c>
      <c r="AA637" s="1128">
        <f t="shared" si="676"/>
        <v>44.346493118137403</v>
      </c>
      <c r="AB637" s="1128">
        <f t="shared" si="677"/>
        <v>42.815041602754981</v>
      </c>
      <c r="AC637" s="1128">
        <f t="shared" si="678"/>
        <v>44.082215181775283</v>
      </c>
      <c r="AD637" s="1128">
        <f t="shared" si="679"/>
        <v>47.817705534090713</v>
      </c>
      <c r="AE637" s="1128">
        <f t="shared" si="680"/>
        <v>53.047799533721431</v>
      </c>
      <c r="AF637" s="1128">
        <f t="shared" si="681"/>
        <v>58.409192581475473</v>
      </c>
      <c r="AG637" s="1128">
        <f t="shared" si="682"/>
        <v>62.504354957887941</v>
      </c>
      <c r="AH637" s="1128">
        <f t="shared" si="683"/>
        <v>64.265819481184437</v>
      </c>
      <c r="AI637" s="1128">
        <f t="shared" si="684"/>
        <v>63.23443327837775</v>
      </c>
      <c r="AJ637" s="1128">
        <f t="shared" si="685"/>
        <v>59.679043057371942</v>
      </c>
      <c r="AK637" s="1128">
        <f t="shared" si="686"/>
        <v>54.526416069493969</v>
      </c>
      <c r="AL637" s="1128">
        <f t="shared" si="687"/>
        <v>49.119663943519647</v>
      </c>
      <c r="AM637" s="1125">
        <f t="shared" si="688"/>
        <v>1</v>
      </c>
      <c r="AN637" s="1125">
        <f t="shared" si="689"/>
        <v>1</v>
      </c>
      <c r="AO637" s="1125">
        <f t="shared" si="690"/>
        <v>1</v>
      </c>
      <c r="AP637" s="1125">
        <f t="shared" si="691"/>
        <v>1</v>
      </c>
      <c r="AQ637" s="1125">
        <f t="shared" si="692"/>
        <v>1</v>
      </c>
      <c r="AR637" s="1125">
        <f t="shared" si="693"/>
        <v>0</v>
      </c>
      <c r="AS637" s="1125">
        <f t="shared" si="694"/>
        <v>0</v>
      </c>
      <c r="AT637" s="1125">
        <f t="shared" si="695"/>
        <v>0</v>
      </c>
      <c r="AU637" s="1125">
        <f t="shared" si="696"/>
        <v>1</v>
      </c>
      <c r="AV637" s="1125">
        <f t="shared" si="697"/>
        <v>1</v>
      </c>
      <c r="AW637" s="1125">
        <f t="shared" si="698"/>
        <v>1</v>
      </c>
      <c r="AX637" s="1125">
        <f t="shared" si="699"/>
        <v>1</v>
      </c>
      <c r="AY637" s="1125">
        <f t="shared" si="700"/>
        <v>0</v>
      </c>
      <c r="AZ637" s="1125">
        <f t="shared" si="701"/>
        <v>0</v>
      </c>
      <c r="BA637" s="1125">
        <f t="shared" si="702"/>
        <v>0</v>
      </c>
      <c r="BB637" s="1125">
        <f t="shared" si="703"/>
        <v>0</v>
      </c>
      <c r="BC637" s="1125">
        <f t="shared" si="704"/>
        <v>0</v>
      </c>
      <c r="BD637" s="1125">
        <f t="shared" si="705"/>
        <v>1</v>
      </c>
      <c r="BE637" s="1125">
        <f t="shared" si="706"/>
        <v>1</v>
      </c>
      <c r="BF637" s="1125">
        <f t="shared" si="707"/>
        <v>1</v>
      </c>
      <c r="BG637" s="1125">
        <f t="shared" si="708"/>
        <v>0</v>
      </c>
      <c r="BH637" s="1125">
        <f t="shared" si="709"/>
        <v>0</v>
      </c>
      <c r="BI637" s="1125">
        <f t="shared" si="710"/>
        <v>0</v>
      </c>
      <c r="BJ637" s="1125">
        <f t="shared" si="711"/>
        <v>0</v>
      </c>
      <c r="BK637" s="1125">
        <f t="shared" si="712"/>
        <v>1</v>
      </c>
      <c r="BL637" s="1125">
        <f t="shared" si="713"/>
        <v>1</v>
      </c>
      <c r="BM637" s="1125">
        <f t="shared" si="714"/>
        <v>1</v>
      </c>
      <c r="BN637" s="1125">
        <f t="shared" si="715"/>
        <v>1</v>
      </c>
      <c r="BO637" s="1125">
        <f t="shared" si="716"/>
        <v>1</v>
      </c>
      <c r="BP637" s="1125">
        <f t="shared" si="717"/>
        <v>1</v>
      </c>
      <c r="BQ637" s="1125">
        <f t="shared" si="718"/>
        <v>0</v>
      </c>
      <c r="BR637" s="1125">
        <f t="shared" si="719"/>
        <v>0</v>
      </c>
      <c r="BS637" s="1125">
        <f t="shared" si="720"/>
        <v>1</v>
      </c>
      <c r="BT637" s="1125">
        <f t="shared" si="721"/>
        <v>1</v>
      </c>
      <c r="BU637" s="1125">
        <f t="shared" si="722"/>
        <v>1</v>
      </c>
      <c r="BV637" s="1125">
        <f t="shared" si="723"/>
        <v>1</v>
      </c>
      <c r="BW637" s="1125">
        <f t="shared" si="724"/>
        <v>0</v>
      </c>
      <c r="BX637" s="1125">
        <f t="shared" si="725"/>
        <v>0</v>
      </c>
      <c r="BY637" s="1125">
        <f t="shared" si="726"/>
        <v>0</v>
      </c>
      <c r="BZ637" s="1125">
        <f t="shared" si="727"/>
        <v>0</v>
      </c>
      <c r="CA637" s="1125">
        <f t="shared" si="728"/>
        <v>1</v>
      </c>
      <c r="CB637" s="1125">
        <f t="shared" si="729"/>
        <v>1</v>
      </c>
      <c r="CC637" s="1125">
        <f t="shared" si="730"/>
        <v>1</v>
      </c>
      <c r="CD637" s="1125">
        <f t="shared" si="731"/>
        <v>1</v>
      </c>
      <c r="CE637" s="1125">
        <f t="shared" si="732"/>
        <v>1</v>
      </c>
      <c r="CF637" s="1125">
        <f t="shared" si="733"/>
        <v>0</v>
      </c>
      <c r="CG637" s="1125">
        <f t="shared" si="734"/>
        <v>0</v>
      </c>
      <c r="CH637" s="1125">
        <f t="shared" si="735"/>
        <v>0</v>
      </c>
      <c r="CI637" s="1125">
        <f t="shared" si="736"/>
        <v>0.85</v>
      </c>
      <c r="CJ637" s="1125">
        <f t="shared" si="737"/>
        <v>0.85</v>
      </c>
      <c r="CK637" s="1125">
        <f t="shared" si="738"/>
        <v>0.85</v>
      </c>
      <c r="CL637" s="1125">
        <f t="shared" si="739"/>
        <v>0.85</v>
      </c>
      <c r="CM637" s="1125">
        <f t="shared" si="740"/>
        <v>0.85</v>
      </c>
      <c r="CN637" s="1125">
        <f t="shared" si="741"/>
        <v>0.85</v>
      </c>
      <c r="CO637" s="1125">
        <f t="shared" si="742"/>
        <v>0.7</v>
      </c>
      <c r="CP637" s="1125">
        <f t="shared" si="743"/>
        <v>0.7</v>
      </c>
      <c r="CQ637" s="1125">
        <f t="shared" si="744"/>
        <v>0.85</v>
      </c>
      <c r="CR637" s="1125">
        <f t="shared" si="745"/>
        <v>0.85</v>
      </c>
      <c r="CS637" s="1125">
        <f t="shared" si="746"/>
        <v>0.85</v>
      </c>
      <c r="CT637" s="1125">
        <f t="shared" si="747"/>
        <v>0.85</v>
      </c>
      <c r="CU637" s="1125">
        <v>1</v>
      </c>
      <c r="CV637" s="1125"/>
      <c r="CW637" s="1125">
        <f t="shared" si="748"/>
        <v>153</v>
      </c>
      <c r="CX637" s="1125">
        <f t="shared" si="749"/>
        <v>212</v>
      </c>
      <c r="CY637" s="1135" t="s">
        <v>4889</v>
      </c>
      <c r="CZ637" s="1124" t="s">
        <v>4897</v>
      </c>
      <c r="DA637" s="1124"/>
      <c r="DB637" s="1124"/>
      <c r="DC637" s="1120" t="s">
        <v>5311</v>
      </c>
      <c r="DD637" s="1120" t="s">
        <v>540</v>
      </c>
      <c r="DE637" s="1120" t="str">
        <f t="shared" si="750"/>
        <v/>
      </c>
      <c r="DF637" s="1133">
        <v>0</v>
      </c>
      <c r="DG637" s="1125">
        <v>0</v>
      </c>
    </row>
    <row r="638" spans="1:111">
      <c r="A638" s="1120" t="s">
        <v>3990</v>
      </c>
      <c r="B638" s="1125" t="s">
        <v>4310</v>
      </c>
      <c r="C638" s="1125" t="s">
        <v>4311</v>
      </c>
      <c r="D638" s="1125" t="s">
        <v>512</v>
      </c>
      <c r="E638" s="1125">
        <v>26</v>
      </c>
      <c r="F638" s="1125">
        <v>-78.930000000000007</v>
      </c>
      <c r="G638" s="1125">
        <v>33.68</v>
      </c>
      <c r="H638" s="1125">
        <v>-5</v>
      </c>
      <c r="I638" s="1126">
        <v>28.4</v>
      </c>
      <c r="J638" s="1126">
        <v>90.320002746582034</v>
      </c>
      <c r="K638" s="1127">
        <v>78.439998626708984</v>
      </c>
      <c r="L638" s="1125">
        <v>2271.6</v>
      </c>
      <c r="M638" s="1125">
        <v>1974.6000000000001</v>
      </c>
      <c r="N638" s="1128">
        <v>43.52000017166138</v>
      </c>
      <c r="O638" s="1128">
        <v>48.380000686645509</v>
      </c>
      <c r="P638" s="1128">
        <v>60.440000343322751</v>
      </c>
      <c r="Q638" s="1128">
        <v>60.980000686645511</v>
      </c>
      <c r="R638" s="1128">
        <v>72.680000686645513</v>
      </c>
      <c r="S638" s="1128">
        <v>77.360001373291013</v>
      </c>
      <c r="T638" s="1128">
        <v>79.7</v>
      </c>
      <c r="U638" s="1128">
        <v>78.080000686645505</v>
      </c>
      <c r="V638" s="1128">
        <v>74.3</v>
      </c>
      <c r="W638" s="1128">
        <v>62.060001373291016</v>
      </c>
      <c r="X638" s="1128">
        <v>58.640000343322754</v>
      </c>
      <c r="Y638" s="1128">
        <v>46.040000343322752</v>
      </c>
      <c r="Z638" s="1128">
        <v>63.592219734453174</v>
      </c>
      <c r="AA638" s="1128">
        <f t="shared" si="676"/>
        <v>59.188726529517247</v>
      </c>
      <c r="AB638" s="1128">
        <f t="shared" si="677"/>
        <v>59.150103462956515</v>
      </c>
      <c r="AC638" s="1128">
        <f t="shared" si="678"/>
        <v>61.833378920444076</v>
      </c>
      <c r="AD638" s="1128">
        <f t="shared" si="679"/>
        <v>66.539115803459325</v>
      </c>
      <c r="AE638" s="1128">
        <f t="shared" si="680"/>
        <v>72.040691275843884</v>
      </c>
      <c r="AF638" s="1128">
        <f t="shared" si="681"/>
        <v>76.904034908876369</v>
      </c>
      <c r="AG638" s="1128">
        <f t="shared" si="682"/>
        <v>79.861441238212862</v>
      </c>
      <c r="AH638" s="1128">
        <f t="shared" si="683"/>
        <v>80.142016729100717</v>
      </c>
      <c r="AI638" s="1128">
        <f t="shared" si="684"/>
        <v>77.672625056040843</v>
      </c>
      <c r="AJ638" s="1128">
        <f t="shared" si="685"/>
        <v>73.09695121309386</v>
      </c>
      <c r="AK638" s="1128">
        <f t="shared" si="686"/>
        <v>67.607715100692246</v>
      </c>
      <c r="AL638" s="1128">
        <f t="shared" si="687"/>
        <v>62.635770703222533</v>
      </c>
      <c r="AM638" s="1125">
        <f t="shared" si="688"/>
        <v>1</v>
      </c>
      <c r="AN638" s="1125">
        <f t="shared" si="689"/>
        <v>1</v>
      </c>
      <c r="AO638" s="1125">
        <f t="shared" si="690"/>
        <v>1</v>
      </c>
      <c r="AP638" s="1125">
        <f t="shared" si="691"/>
        <v>1</v>
      </c>
      <c r="AQ638" s="1125">
        <f t="shared" si="692"/>
        <v>0</v>
      </c>
      <c r="AR638" s="1125">
        <f t="shared" si="693"/>
        <v>0</v>
      </c>
      <c r="AS638" s="1125">
        <f t="shared" si="694"/>
        <v>0</v>
      </c>
      <c r="AT638" s="1125">
        <f t="shared" si="695"/>
        <v>0</v>
      </c>
      <c r="AU638" s="1125">
        <f t="shared" si="696"/>
        <v>0</v>
      </c>
      <c r="AV638" s="1125">
        <f t="shared" si="697"/>
        <v>1</v>
      </c>
      <c r="AW638" s="1125">
        <f t="shared" si="698"/>
        <v>1</v>
      </c>
      <c r="AX638" s="1125">
        <f t="shared" si="699"/>
        <v>1</v>
      </c>
      <c r="AY638" s="1125">
        <f t="shared" si="700"/>
        <v>0</v>
      </c>
      <c r="AZ638" s="1125">
        <f t="shared" si="701"/>
        <v>0</v>
      </c>
      <c r="BA638" s="1125">
        <f t="shared" si="702"/>
        <v>0</v>
      </c>
      <c r="BB638" s="1125">
        <f t="shared" si="703"/>
        <v>0</v>
      </c>
      <c r="BC638" s="1125">
        <f t="shared" si="704"/>
        <v>1</v>
      </c>
      <c r="BD638" s="1125">
        <f t="shared" si="705"/>
        <v>1</v>
      </c>
      <c r="BE638" s="1125">
        <f t="shared" si="706"/>
        <v>1</v>
      </c>
      <c r="BF638" s="1125">
        <f t="shared" si="707"/>
        <v>1</v>
      </c>
      <c r="BG638" s="1125">
        <f t="shared" si="708"/>
        <v>1</v>
      </c>
      <c r="BH638" s="1125">
        <f t="shared" si="709"/>
        <v>0</v>
      </c>
      <c r="BI638" s="1125">
        <f t="shared" si="710"/>
        <v>0</v>
      </c>
      <c r="BJ638" s="1125">
        <f t="shared" si="711"/>
        <v>0</v>
      </c>
      <c r="BK638" s="1125">
        <f t="shared" si="712"/>
        <v>1</v>
      </c>
      <c r="BL638" s="1125">
        <f t="shared" si="713"/>
        <v>1</v>
      </c>
      <c r="BM638" s="1125">
        <f t="shared" si="714"/>
        <v>1</v>
      </c>
      <c r="BN638" s="1125">
        <f t="shared" si="715"/>
        <v>1</v>
      </c>
      <c r="BO638" s="1125">
        <f t="shared" si="716"/>
        <v>1</v>
      </c>
      <c r="BP638" s="1125">
        <f t="shared" si="717"/>
        <v>0</v>
      </c>
      <c r="BQ638" s="1125">
        <f t="shared" si="718"/>
        <v>0</v>
      </c>
      <c r="BR638" s="1125">
        <f t="shared" si="719"/>
        <v>0</v>
      </c>
      <c r="BS638" s="1125">
        <f t="shared" si="720"/>
        <v>0</v>
      </c>
      <c r="BT638" s="1125">
        <f t="shared" si="721"/>
        <v>1</v>
      </c>
      <c r="BU638" s="1125">
        <f t="shared" si="722"/>
        <v>1</v>
      </c>
      <c r="BV638" s="1125">
        <f t="shared" si="723"/>
        <v>1</v>
      </c>
      <c r="BW638" s="1125">
        <f t="shared" si="724"/>
        <v>0</v>
      </c>
      <c r="BX638" s="1125">
        <f t="shared" si="725"/>
        <v>0</v>
      </c>
      <c r="BY638" s="1125">
        <f t="shared" si="726"/>
        <v>0</v>
      </c>
      <c r="BZ638" s="1125">
        <f t="shared" si="727"/>
        <v>1</v>
      </c>
      <c r="CA638" s="1125">
        <f t="shared" si="728"/>
        <v>1</v>
      </c>
      <c r="CB638" s="1125">
        <f t="shared" si="729"/>
        <v>1</v>
      </c>
      <c r="CC638" s="1125">
        <f t="shared" si="730"/>
        <v>1</v>
      </c>
      <c r="CD638" s="1125">
        <f t="shared" si="731"/>
        <v>1</v>
      </c>
      <c r="CE638" s="1125">
        <f t="shared" si="732"/>
        <v>1</v>
      </c>
      <c r="CF638" s="1125">
        <f t="shared" si="733"/>
        <v>1</v>
      </c>
      <c r="CG638" s="1125">
        <f t="shared" si="734"/>
        <v>0</v>
      </c>
      <c r="CH638" s="1125">
        <f t="shared" si="735"/>
        <v>0</v>
      </c>
      <c r="CI638" s="1125">
        <f t="shared" si="736"/>
        <v>0.85</v>
      </c>
      <c r="CJ638" s="1125">
        <f t="shared" si="737"/>
        <v>0.85</v>
      </c>
      <c r="CK638" s="1125">
        <f t="shared" si="738"/>
        <v>0.85</v>
      </c>
      <c r="CL638" s="1125">
        <f t="shared" si="739"/>
        <v>0.85</v>
      </c>
      <c r="CM638" s="1125">
        <f t="shared" si="740"/>
        <v>0.85</v>
      </c>
      <c r="CN638" s="1125">
        <f t="shared" si="741"/>
        <v>0.7</v>
      </c>
      <c r="CO638" s="1125">
        <f t="shared" si="742"/>
        <v>0.7</v>
      </c>
      <c r="CP638" s="1125">
        <f t="shared" si="743"/>
        <v>0.7</v>
      </c>
      <c r="CQ638" s="1125">
        <f t="shared" si="744"/>
        <v>0.7</v>
      </c>
      <c r="CR638" s="1125">
        <f t="shared" si="745"/>
        <v>0.85</v>
      </c>
      <c r="CS638" s="1125">
        <f t="shared" si="746"/>
        <v>0.85</v>
      </c>
      <c r="CT638" s="1125">
        <f t="shared" si="747"/>
        <v>0.85</v>
      </c>
      <c r="CU638" s="1125">
        <v>1</v>
      </c>
      <c r="CV638" s="1125"/>
      <c r="CW638" s="1125">
        <f t="shared" si="748"/>
        <v>214</v>
      </c>
      <c r="CX638" s="1125">
        <f t="shared" si="749"/>
        <v>151</v>
      </c>
      <c r="CY638" s="1136" t="s">
        <v>4883</v>
      </c>
      <c r="CZ638" s="1129" t="s">
        <v>4882</v>
      </c>
      <c r="DA638" s="1129"/>
      <c r="DB638" s="1129"/>
      <c r="DC638" s="1125" t="s">
        <v>5554</v>
      </c>
      <c r="DD638" s="1125" t="s">
        <v>512</v>
      </c>
      <c r="DE638" s="1120" t="str">
        <f t="shared" si="750"/>
        <v/>
      </c>
      <c r="DF638" s="1133">
        <v>1</v>
      </c>
      <c r="DG638" s="1120">
        <v>0</v>
      </c>
    </row>
    <row r="639" spans="1:111">
      <c r="A639" s="1125" t="s">
        <v>3992</v>
      </c>
      <c r="B639" s="1125" t="s">
        <v>5929</v>
      </c>
      <c r="C639" s="1125" t="s">
        <v>5930</v>
      </c>
      <c r="D639" s="1125" t="s">
        <v>228</v>
      </c>
      <c r="E639" s="1125">
        <v>354</v>
      </c>
      <c r="F639" s="1125">
        <v>-94.72</v>
      </c>
      <c r="G639" s="1125">
        <v>31.58</v>
      </c>
      <c r="H639" s="1125">
        <v>-6</v>
      </c>
      <c r="I639" s="1126">
        <v>27.860000085830688</v>
      </c>
      <c r="J639" s="1126">
        <v>95</v>
      </c>
      <c r="K639" s="1127">
        <v>75.919999313354495</v>
      </c>
      <c r="L639" s="1125">
        <v>2178</v>
      </c>
      <c r="M639" s="1125">
        <v>2251.8000000000002</v>
      </c>
      <c r="N639" s="1128">
        <v>46.580000686645505</v>
      </c>
      <c r="O639" s="1128">
        <v>53.6</v>
      </c>
      <c r="P639" s="1128">
        <v>52.880000686645509</v>
      </c>
      <c r="Q639" s="1128">
        <v>63.86000137329102</v>
      </c>
      <c r="R639" s="1128">
        <v>69.980000686645511</v>
      </c>
      <c r="S639" s="1128">
        <v>78.439998626708984</v>
      </c>
      <c r="T639" s="1128">
        <v>79.880000686645502</v>
      </c>
      <c r="U639" s="1128">
        <v>77.900000000000006</v>
      </c>
      <c r="V639" s="1128">
        <v>76.460001373291021</v>
      </c>
      <c r="W639" s="1128">
        <v>66.919999313354495</v>
      </c>
      <c r="X639" s="1128">
        <v>58.1</v>
      </c>
      <c r="Y639" s="1128">
        <v>50.180000686645506</v>
      </c>
      <c r="Z639" s="1128">
        <v>64.604164729706227</v>
      </c>
      <c r="AA639" s="1128">
        <f t="shared" si="676"/>
        <v>60.821639372866379</v>
      </c>
      <c r="AB639" s="1128">
        <f t="shared" si="677"/>
        <v>60.875201798560397</v>
      </c>
      <c r="AC639" s="1128">
        <f t="shared" si="678"/>
        <v>63.464768340114617</v>
      </c>
      <c r="AD639" s="1128">
        <f t="shared" si="679"/>
        <v>67.915328572044587</v>
      </c>
      <c r="AE639" s="1128">
        <f t="shared" si="680"/>
        <v>73.066775384688498</v>
      </c>
      <c r="AF639" s="1128">
        <f t="shared" si="681"/>
        <v>77.576304780132361</v>
      </c>
      <c r="AG639" s="1128">
        <f t="shared" si="682"/>
        <v>80.268438427502176</v>
      </c>
      <c r="AH639" s="1128">
        <f t="shared" si="683"/>
        <v>80.441430204575695</v>
      </c>
      <c r="AI639" s="1128">
        <f t="shared" si="684"/>
        <v>78.050187138774717</v>
      </c>
      <c r="AJ639" s="1128">
        <f t="shared" si="685"/>
        <v>73.718023585371355</v>
      </c>
      <c r="AK639" s="1128">
        <f t="shared" si="686"/>
        <v>68.574184735221394</v>
      </c>
      <c r="AL639" s="1128">
        <f t="shared" si="687"/>
        <v>63.959491453572547</v>
      </c>
      <c r="AM639" s="1125">
        <f t="shared" si="688"/>
        <v>1</v>
      </c>
      <c r="AN639" s="1125">
        <f t="shared" si="689"/>
        <v>1</v>
      </c>
      <c r="AO639" s="1125">
        <f t="shared" si="690"/>
        <v>1</v>
      </c>
      <c r="AP639" s="1125">
        <f t="shared" si="691"/>
        <v>1</v>
      </c>
      <c r="AQ639" s="1125">
        <f t="shared" si="692"/>
        <v>0</v>
      </c>
      <c r="AR639" s="1125">
        <f t="shared" si="693"/>
        <v>0</v>
      </c>
      <c r="AS639" s="1125">
        <f t="shared" si="694"/>
        <v>0</v>
      </c>
      <c r="AT639" s="1125">
        <f t="shared" si="695"/>
        <v>0</v>
      </c>
      <c r="AU639" s="1125">
        <f t="shared" si="696"/>
        <v>0</v>
      </c>
      <c r="AV639" s="1125">
        <f t="shared" si="697"/>
        <v>0</v>
      </c>
      <c r="AW639" s="1125">
        <f t="shared" si="698"/>
        <v>1</v>
      </c>
      <c r="AX639" s="1125">
        <f t="shared" si="699"/>
        <v>1</v>
      </c>
      <c r="AY639" s="1125">
        <f t="shared" si="700"/>
        <v>0</v>
      </c>
      <c r="AZ639" s="1125">
        <f t="shared" si="701"/>
        <v>0</v>
      </c>
      <c r="BA639" s="1125">
        <f t="shared" si="702"/>
        <v>0</v>
      </c>
      <c r="BB639" s="1125">
        <f t="shared" si="703"/>
        <v>0</v>
      </c>
      <c r="BC639" s="1125">
        <f t="shared" si="704"/>
        <v>1</v>
      </c>
      <c r="BD639" s="1125">
        <f t="shared" si="705"/>
        <v>1</v>
      </c>
      <c r="BE639" s="1125">
        <f t="shared" si="706"/>
        <v>1</v>
      </c>
      <c r="BF639" s="1125">
        <f t="shared" si="707"/>
        <v>1</v>
      </c>
      <c r="BG639" s="1125">
        <f t="shared" si="708"/>
        <v>1</v>
      </c>
      <c r="BH639" s="1125">
        <f t="shared" si="709"/>
        <v>1</v>
      </c>
      <c r="BI639" s="1125">
        <f t="shared" si="710"/>
        <v>0</v>
      </c>
      <c r="BJ639" s="1125">
        <f t="shared" si="711"/>
        <v>0</v>
      </c>
      <c r="BK639" s="1125">
        <f t="shared" si="712"/>
        <v>1</v>
      </c>
      <c r="BL639" s="1125">
        <f t="shared" si="713"/>
        <v>1</v>
      </c>
      <c r="BM639" s="1125">
        <f t="shared" si="714"/>
        <v>1</v>
      </c>
      <c r="BN639" s="1125">
        <f t="shared" si="715"/>
        <v>1</v>
      </c>
      <c r="BO639" s="1125">
        <f t="shared" si="716"/>
        <v>1</v>
      </c>
      <c r="BP639" s="1125">
        <f t="shared" si="717"/>
        <v>0</v>
      </c>
      <c r="BQ639" s="1125">
        <f t="shared" si="718"/>
        <v>0</v>
      </c>
      <c r="BR639" s="1125">
        <f t="shared" si="719"/>
        <v>0</v>
      </c>
      <c r="BS639" s="1125">
        <f t="shared" si="720"/>
        <v>0</v>
      </c>
      <c r="BT639" s="1125">
        <f t="shared" si="721"/>
        <v>0</v>
      </c>
      <c r="BU639" s="1125">
        <f t="shared" si="722"/>
        <v>1</v>
      </c>
      <c r="BV639" s="1125">
        <f t="shared" si="723"/>
        <v>1</v>
      </c>
      <c r="BW639" s="1125">
        <f t="shared" si="724"/>
        <v>0</v>
      </c>
      <c r="BX639" s="1125">
        <f t="shared" si="725"/>
        <v>0</v>
      </c>
      <c r="BY639" s="1125">
        <f t="shared" si="726"/>
        <v>0</v>
      </c>
      <c r="BZ639" s="1125">
        <f t="shared" si="727"/>
        <v>1</v>
      </c>
      <c r="CA639" s="1125">
        <f t="shared" si="728"/>
        <v>1</v>
      </c>
      <c r="CB639" s="1125">
        <f t="shared" si="729"/>
        <v>1</v>
      </c>
      <c r="CC639" s="1125">
        <f t="shared" si="730"/>
        <v>1</v>
      </c>
      <c r="CD639" s="1125">
        <f t="shared" si="731"/>
        <v>1</v>
      </c>
      <c r="CE639" s="1125">
        <f t="shared" si="732"/>
        <v>1</v>
      </c>
      <c r="CF639" s="1125">
        <f t="shared" si="733"/>
        <v>1</v>
      </c>
      <c r="CG639" s="1125">
        <f t="shared" si="734"/>
        <v>1</v>
      </c>
      <c r="CH639" s="1125">
        <f t="shared" si="735"/>
        <v>0</v>
      </c>
      <c r="CI639" s="1125">
        <f t="shared" si="736"/>
        <v>0.85</v>
      </c>
      <c r="CJ639" s="1125">
        <f t="shared" si="737"/>
        <v>0.85</v>
      </c>
      <c r="CK639" s="1125">
        <f t="shared" si="738"/>
        <v>0.85</v>
      </c>
      <c r="CL639" s="1125">
        <f t="shared" si="739"/>
        <v>0.85</v>
      </c>
      <c r="CM639" s="1125">
        <f t="shared" si="740"/>
        <v>0.85</v>
      </c>
      <c r="CN639" s="1125">
        <f t="shared" si="741"/>
        <v>0.7</v>
      </c>
      <c r="CO639" s="1125">
        <f t="shared" si="742"/>
        <v>0.7</v>
      </c>
      <c r="CP639" s="1125">
        <f t="shared" si="743"/>
        <v>0.7</v>
      </c>
      <c r="CQ639" s="1125">
        <f t="shared" si="744"/>
        <v>0.7</v>
      </c>
      <c r="CR639" s="1125">
        <f t="shared" si="745"/>
        <v>0.7</v>
      </c>
      <c r="CS639" s="1125">
        <f t="shared" si="746"/>
        <v>0.85</v>
      </c>
      <c r="CT639" s="1125">
        <f t="shared" si="747"/>
        <v>0.85</v>
      </c>
      <c r="CU639" s="1125">
        <v>1</v>
      </c>
      <c r="CV639" s="1125"/>
      <c r="CW639" s="1125">
        <f t="shared" si="748"/>
        <v>244</v>
      </c>
      <c r="CX639" s="1125">
        <f t="shared" si="749"/>
        <v>121</v>
      </c>
      <c r="CY639" s="1136" t="s">
        <v>4883</v>
      </c>
      <c r="CZ639" s="1129" t="s">
        <v>4882</v>
      </c>
      <c r="DA639" s="1129"/>
      <c r="DB639" s="1129"/>
      <c r="DC639" s="1125" t="s">
        <v>5786</v>
      </c>
      <c r="DD639" s="1125" t="s">
        <v>228</v>
      </c>
      <c r="DE639" s="1120" t="str">
        <f t="shared" si="750"/>
        <v/>
      </c>
      <c r="DF639" s="1133">
        <v>0</v>
      </c>
      <c r="DG639" s="1125">
        <v>0</v>
      </c>
    </row>
    <row r="640" spans="1:111">
      <c r="A640" s="1120" t="s">
        <v>3994</v>
      </c>
      <c r="B640" s="1125" t="s">
        <v>3659</v>
      </c>
      <c r="C640" s="1125" t="s">
        <v>3660</v>
      </c>
      <c r="D640" s="1125" t="s">
        <v>250</v>
      </c>
      <c r="E640" s="1125">
        <v>46</v>
      </c>
      <c r="F640" s="1125">
        <v>-70.069999999999993</v>
      </c>
      <c r="G640" s="1125">
        <v>41.25</v>
      </c>
      <c r="H640" s="1125">
        <v>-5</v>
      </c>
      <c r="I640" s="1126">
        <v>8.4199993133544915</v>
      </c>
      <c r="J640" s="1126">
        <v>78.980000686645511</v>
      </c>
      <c r="K640" s="1127">
        <v>71.780000686645508</v>
      </c>
      <c r="L640" s="1125">
        <v>5083.2</v>
      </c>
      <c r="M640" s="1125">
        <v>12.6</v>
      </c>
      <c r="N640" s="1128">
        <v>30.559999978542329</v>
      </c>
      <c r="O640" s="1128">
        <v>37.220000171661376</v>
      </c>
      <c r="P640" s="1128">
        <v>40.640000343322754</v>
      </c>
      <c r="Q640" s="1128">
        <v>46.220000171661376</v>
      </c>
      <c r="R640" s="1128">
        <v>51.8</v>
      </c>
      <c r="S640" s="1128">
        <v>60.619999313354491</v>
      </c>
      <c r="T640" s="1128">
        <v>67.280000686645508</v>
      </c>
      <c r="U640" s="1128">
        <v>68.360001373291013</v>
      </c>
      <c r="V640" s="1128">
        <v>66.380000686645502</v>
      </c>
      <c r="W640" s="1128">
        <v>54.680000686645506</v>
      </c>
      <c r="X640" s="1128">
        <v>50.540000343322752</v>
      </c>
      <c r="Y640" s="1128">
        <v>41.9</v>
      </c>
      <c r="Z640" s="1128">
        <v>51.415835932542201</v>
      </c>
      <c r="AA640" s="1128">
        <f t="shared" si="676"/>
        <v>49.445104100106519</v>
      </c>
      <c r="AB640" s="1128">
        <f t="shared" si="677"/>
        <v>48.461986089548517</v>
      </c>
      <c r="AC640" s="1128">
        <f t="shared" si="678"/>
        <v>49.812827023569604</v>
      </c>
      <c r="AD640" s="1128">
        <f t="shared" si="679"/>
        <v>53.145509395628274</v>
      </c>
      <c r="AE640" s="1128">
        <f t="shared" si="680"/>
        <v>57.591318187257471</v>
      </c>
      <c r="AF640" s="1128">
        <f t="shared" si="681"/>
        <v>61.991384824931735</v>
      </c>
      <c r="AG640" s="1128">
        <f t="shared" si="682"/>
        <v>65.198764132461875</v>
      </c>
      <c r="AH640" s="1128">
        <f t="shared" si="683"/>
        <v>66.37740326612888</v>
      </c>
      <c r="AI640" s="1128">
        <f t="shared" si="684"/>
        <v>65.220071772363596</v>
      </c>
      <c r="AJ640" s="1128">
        <f t="shared" si="685"/>
        <v>62.028445940034132</v>
      </c>
      <c r="AK640" s="1128">
        <f t="shared" si="686"/>
        <v>57.634472226780012</v>
      </c>
      <c r="AL640" s="1128">
        <f t="shared" si="687"/>
        <v>53.183507594145546</v>
      </c>
      <c r="AM640" s="1125">
        <f t="shared" si="688"/>
        <v>1</v>
      </c>
      <c r="AN640" s="1125">
        <f t="shared" si="689"/>
        <v>1</v>
      </c>
      <c r="AO640" s="1125">
        <f t="shared" si="690"/>
        <v>1</v>
      </c>
      <c r="AP640" s="1125">
        <f t="shared" si="691"/>
        <v>1</v>
      </c>
      <c r="AQ640" s="1125">
        <f t="shared" si="692"/>
        <v>1</v>
      </c>
      <c r="AR640" s="1125">
        <f t="shared" si="693"/>
        <v>1</v>
      </c>
      <c r="AS640" s="1125">
        <f t="shared" si="694"/>
        <v>0</v>
      </c>
      <c r="AT640" s="1125">
        <f t="shared" si="695"/>
        <v>0</v>
      </c>
      <c r="AU640" s="1125">
        <f t="shared" si="696"/>
        <v>0</v>
      </c>
      <c r="AV640" s="1125">
        <f t="shared" si="697"/>
        <v>1</v>
      </c>
      <c r="AW640" s="1125">
        <f t="shared" si="698"/>
        <v>1</v>
      </c>
      <c r="AX640" s="1125">
        <f t="shared" si="699"/>
        <v>1</v>
      </c>
      <c r="AY640" s="1125">
        <f t="shared" si="700"/>
        <v>0</v>
      </c>
      <c r="AZ640" s="1125">
        <f t="shared" si="701"/>
        <v>0</v>
      </c>
      <c r="BA640" s="1125">
        <f t="shared" si="702"/>
        <v>0</v>
      </c>
      <c r="BB640" s="1125">
        <f t="shared" si="703"/>
        <v>0</v>
      </c>
      <c r="BC640" s="1125">
        <f t="shared" si="704"/>
        <v>0</v>
      </c>
      <c r="BD640" s="1125">
        <f t="shared" si="705"/>
        <v>0</v>
      </c>
      <c r="BE640" s="1125">
        <f t="shared" si="706"/>
        <v>1</v>
      </c>
      <c r="BF640" s="1125">
        <f t="shared" si="707"/>
        <v>1</v>
      </c>
      <c r="BG640" s="1125">
        <f t="shared" si="708"/>
        <v>1</v>
      </c>
      <c r="BH640" s="1125">
        <f t="shared" si="709"/>
        <v>0</v>
      </c>
      <c r="BI640" s="1125">
        <f t="shared" si="710"/>
        <v>0</v>
      </c>
      <c r="BJ640" s="1125">
        <f t="shared" si="711"/>
        <v>0</v>
      </c>
      <c r="BK640" s="1125">
        <f t="shared" si="712"/>
        <v>1</v>
      </c>
      <c r="BL640" s="1125">
        <f t="shared" si="713"/>
        <v>1</v>
      </c>
      <c r="BM640" s="1125">
        <f t="shared" si="714"/>
        <v>1</v>
      </c>
      <c r="BN640" s="1125">
        <f t="shared" si="715"/>
        <v>1</v>
      </c>
      <c r="BO640" s="1125">
        <f t="shared" si="716"/>
        <v>1</v>
      </c>
      <c r="BP640" s="1125">
        <f t="shared" si="717"/>
        <v>1</v>
      </c>
      <c r="BQ640" s="1125">
        <f t="shared" si="718"/>
        <v>1</v>
      </c>
      <c r="BR640" s="1125">
        <f t="shared" si="719"/>
        <v>0</v>
      </c>
      <c r="BS640" s="1125">
        <f t="shared" si="720"/>
        <v>0</v>
      </c>
      <c r="BT640" s="1125">
        <f t="shared" si="721"/>
        <v>1</v>
      </c>
      <c r="BU640" s="1125">
        <f t="shared" si="722"/>
        <v>1</v>
      </c>
      <c r="BV640" s="1125">
        <f t="shared" si="723"/>
        <v>1</v>
      </c>
      <c r="BW640" s="1125">
        <f t="shared" si="724"/>
        <v>0</v>
      </c>
      <c r="BX640" s="1125">
        <f t="shared" si="725"/>
        <v>0</v>
      </c>
      <c r="BY640" s="1125">
        <f t="shared" si="726"/>
        <v>0</v>
      </c>
      <c r="BZ640" s="1125">
        <f t="shared" si="727"/>
        <v>0</v>
      </c>
      <c r="CA640" s="1125">
        <f t="shared" si="728"/>
        <v>0</v>
      </c>
      <c r="CB640" s="1125">
        <f t="shared" si="729"/>
        <v>1</v>
      </c>
      <c r="CC640" s="1125">
        <f t="shared" si="730"/>
        <v>1</v>
      </c>
      <c r="CD640" s="1125">
        <f t="shared" si="731"/>
        <v>1</v>
      </c>
      <c r="CE640" s="1125">
        <f t="shared" si="732"/>
        <v>1</v>
      </c>
      <c r="CF640" s="1125">
        <f t="shared" si="733"/>
        <v>1</v>
      </c>
      <c r="CG640" s="1125">
        <f t="shared" si="734"/>
        <v>0</v>
      </c>
      <c r="CH640" s="1125">
        <f t="shared" si="735"/>
        <v>0</v>
      </c>
      <c r="CI640" s="1125">
        <f t="shared" si="736"/>
        <v>0.85</v>
      </c>
      <c r="CJ640" s="1125">
        <f t="shared" si="737"/>
        <v>0.85</v>
      </c>
      <c r="CK640" s="1125">
        <f t="shared" si="738"/>
        <v>0.85</v>
      </c>
      <c r="CL640" s="1125">
        <f t="shared" si="739"/>
        <v>0.85</v>
      </c>
      <c r="CM640" s="1125">
        <f t="shared" si="740"/>
        <v>0.85</v>
      </c>
      <c r="CN640" s="1125">
        <f t="shared" si="741"/>
        <v>0.85</v>
      </c>
      <c r="CO640" s="1125">
        <f t="shared" si="742"/>
        <v>0.85</v>
      </c>
      <c r="CP640" s="1125">
        <f t="shared" si="743"/>
        <v>0.7</v>
      </c>
      <c r="CQ640" s="1125">
        <f t="shared" si="744"/>
        <v>0.7</v>
      </c>
      <c r="CR640" s="1125">
        <f t="shared" si="745"/>
        <v>0.85</v>
      </c>
      <c r="CS640" s="1125">
        <f t="shared" si="746"/>
        <v>0.85</v>
      </c>
      <c r="CT640" s="1125">
        <f t="shared" si="747"/>
        <v>0.85</v>
      </c>
      <c r="CU640" s="1125">
        <v>1</v>
      </c>
      <c r="CV640" s="1125"/>
      <c r="CW640" s="1125">
        <f t="shared" si="748"/>
        <v>153</v>
      </c>
      <c r="CX640" s="1125">
        <f t="shared" si="749"/>
        <v>212</v>
      </c>
      <c r="CY640" s="1136" t="s">
        <v>4889</v>
      </c>
      <c r="CZ640" s="1129" t="s">
        <v>4897</v>
      </c>
      <c r="DA640" s="1129"/>
      <c r="DB640" s="1129"/>
      <c r="DC640" s="1125" t="s">
        <v>5271</v>
      </c>
      <c r="DD640" s="1125" t="s">
        <v>250</v>
      </c>
      <c r="DE640" s="1120" t="str">
        <f t="shared" si="750"/>
        <v/>
      </c>
      <c r="DF640" s="1133">
        <v>0</v>
      </c>
      <c r="DG640" s="1120">
        <v>0</v>
      </c>
    </row>
    <row r="641" spans="1:111">
      <c r="A641" s="1125" t="s">
        <v>4010</v>
      </c>
      <c r="B641" s="1125" t="s">
        <v>3146</v>
      </c>
      <c r="C641" s="1125" t="s">
        <v>3147</v>
      </c>
      <c r="D641" s="1125" t="s">
        <v>954</v>
      </c>
      <c r="E641" s="1125">
        <v>33</v>
      </c>
      <c r="F641" s="1125">
        <v>-122.28</v>
      </c>
      <c r="G641" s="1125">
        <v>38.22</v>
      </c>
      <c r="H641" s="1125">
        <v>-8</v>
      </c>
      <c r="I641" s="1126">
        <v>32.540000021457672</v>
      </c>
      <c r="J641" s="1126">
        <v>86.539998626708979</v>
      </c>
      <c r="K641" s="1127">
        <v>65.3</v>
      </c>
      <c r="L641" s="1125">
        <v>3195</v>
      </c>
      <c r="M641" s="1125">
        <v>145.80000000000001</v>
      </c>
      <c r="N641" s="1128">
        <v>45.320000171661377</v>
      </c>
      <c r="O641" s="1128">
        <v>50.180000686645506</v>
      </c>
      <c r="P641" s="1128">
        <v>53.059999656677249</v>
      </c>
      <c r="Q641" s="1128">
        <v>53.419999313354495</v>
      </c>
      <c r="R641" s="1128">
        <v>60.080000686645505</v>
      </c>
      <c r="S641" s="1128">
        <v>63.5</v>
      </c>
      <c r="T641" s="1128">
        <v>63.319999313354494</v>
      </c>
      <c r="U641" s="1128">
        <v>65.3</v>
      </c>
      <c r="V641" s="1128">
        <v>60.980000686645511</v>
      </c>
      <c r="W641" s="1128">
        <v>57.2</v>
      </c>
      <c r="X641" s="1128">
        <v>50.9</v>
      </c>
      <c r="Y641" s="1128">
        <v>48.919999313354495</v>
      </c>
      <c r="Z641" s="1128">
        <v>56.049972582516602</v>
      </c>
      <c r="AA641" s="1128">
        <f t="shared" si="676"/>
        <v>57.250473773034685</v>
      </c>
      <c r="AB641" s="1128">
        <f t="shared" si="677"/>
        <v>56.888401770981254</v>
      </c>
      <c r="AC641" s="1128">
        <f t="shared" si="678"/>
        <v>57.871772743168442</v>
      </c>
      <c r="AD641" s="1128">
        <f t="shared" si="679"/>
        <v>59.944255891490258</v>
      </c>
      <c r="AE641" s="1128">
        <f t="shared" si="680"/>
        <v>62.565626545404555</v>
      </c>
      <c r="AF641" s="1128">
        <f t="shared" si="681"/>
        <v>65.052584047424006</v>
      </c>
      <c r="AG641" s="1128">
        <f t="shared" si="682"/>
        <v>66.756864599472038</v>
      </c>
      <c r="AH641" s="1128">
        <f t="shared" si="683"/>
        <v>67.234221211899012</v>
      </c>
      <c r="AI641" s="1128">
        <f t="shared" si="684"/>
        <v>66.360223527387802</v>
      </c>
      <c r="AJ641" s="1128">
        <f t="shared" si="685"/>
        <v>64.36269251111824</v>
      </c>
      <c r="AK641" s="1128">
        <f t="shared" si="686"/>
        <v>61.76231540536574</v>
      </c>
      <c r="AL641" s="1128">
        <f t="shared" si="687"/>
        <v>59.236920575768899</v>
      </c>
      <c r="AM641" s="1125">
        <f t="shared" si="688"/>
        <v>1</v>
      </c>
      <c r="AN641" s="1125">
        <f t="shared" si="689"/>
        <v>1</v>
      </c>
      <c r="AO641" s="1125">
        <f t="shared" si="690"/>
        <v>1</v>
      </c>
      <c r="AP641" s="1125">
        <f t="shared" si="691"/>
        <v>1</v>
      </c>
      <c r="AQ641" s="1125">
        <f t="shared" si="692"/>
        <v>1</v>
      </c>
      <c r="AR641" s="1125">
        <f t="shared" si="693"/>
        <v>1</v>
      </c>
      <c r="AS641" s="1125">
        <f t="shared" si="694"/>
        <v>1</v>
      </c>
      <c r="AT641" s="1125">
        <f t="shared" si="695"/>
        <v>1</v>
      </c>
      <c r="AU641" s="1125">
        <f t="shared" si="696"/>
        <v>1</v>
      </c>
      <c r="AV641" s="1125">
        <f t="shared" si="697"/>
        <v>1</v>
      </c>
      <c r="AW641" s="1125">
        <f t="shared" si="698"/>
        <v>1</v>
      </c>
      <c r="AX641" s="1125">
        <f t="shared" si="699"/>
        <v>1</v>
      </c>
      <c r="AY641" s="1125">
        <f t="shared" si="700"/>
        <v>0</v>
      </c>
      <c r="AZ641" s="1125">
        <f t="shared" si="701"/>
        <v>0</v>
      </c>
      <c r="BA641" s="1125">
        <f t="shared" si="702"/>
        <v>0</v>
      </c>
      <c r="BB641" s="1125">
        <f t="shared" si="703"/>
        <v>0</v>
      </c>
      <c r="BC641" s="1125">
        <f t="shared" si="704"/>
        <v>0</v>
      </c>
      <c r="BD641" s="1125">
        <f t="shared" si="705"/>
        <v>0</v>
      </c>
      <c r="BE641" s="1125">
        <f t="shared" si="706"/>
        <v>1</v>
      </c>
      <c r="BF641" s="1125">
        <f t="shared" si="707"/>
        <v>1</v>
      </c>
      <c r="BG641" s="1125">
        <f t="shared" si="708"/>
        <v>0</v>
      </c>
      <c r="BH641" s="1125">
        <f t="shared" si="709"/>
        <v>0</v>
      </c>
      <c r="BI641" s="1125">
        <f t="shared" si="710"/>
        <v>0</v>
      </c>
      <c r="BJ641" s="1125">
        <f t="shared" si="711"/>
        <v>0</v>
      </c>
      <c r="BK641" s="1125">
        <f t="shared" si="712"/>
        <v>1</v>
      </c>
      <c r="BL641" s="1125">
        <f t="shared" si="713"/>
        <v>1</v>
      </c>
      <c r="BM641" s="1125">
        <f t="shared" si="714"/>
        <v>1</v>
      </c>
      <c r="BN641" s="1125">
        <f t="shared" si="715"/>
        <v>1</v>
      </c>
      <c r="BO641" s="1125">
        <f t="shared" si="716"/>
        <v>1</v>
      </c>
      <c r="BP641" s="1125">
        <f t="shared" si="717"/>
        <v>1</v>
      </c>
      <c r="BQ641" s="1125">
        <f t="shared" si="718"/>
        <v>1</v>
      </c>
      <c r="BR641" s="1125">
        <f t="shared" si="719"/>
        <v>1</v>
      </c>
      <c r="BS641" s="1125">
        <f t="shared" si="720"/>
        <v>1</v>
      </c>
      <c r="BT641" s="1125">
        <f t="shared" si="721"/>
        <v>1</v>
      </c>
      <c r="BU641" s="1125">
        <f t="shared" si="722"/>
        <v>1</v>
      </c>
      <c r="BV641" s="1125">
        <f t="shared" si="723"/>
        <v>1</v>
      </c>
      <c r="BW641" s="1125">
        <f t="shared" si="724"/>
        <v>0</v>
      </c>
      <c r="BX641" s="1125">
        <f t="shared" si="725"/>
        <v>0</v>
      </c>
      <c r="BY641" s="1125">
        <f t="shared" si="726"/>
        <v>0</v>
      </c>
      <c r="BZ641" s="1125">
        <f t="shared" si="727"/>
        <v>0</v>
      </c>
      <c r="CA641" s="1125">
        <f t="shared" si="728"/>
        <v>0</v>
      </c>
      <c r="CB641" s="1125">
        <f t="shared" si="729"/>
        <v>0</v>
      </c>
      <c r="CC641" s="1125">
        <f t="shared" si="730"/>
        <v>1</v>
      </c>
      <c r="CD641" s="1125">
        <f t="shared" si="731"/>
        <v>1</v>
      </c>
      <c r="CE641" s="1125">
        <f t="shared" si="732"/>
        <v>0</v>
      </c>
      <c r="CF641" s="1125">
        <f t="shared" si="733"/>
        <v>0</v>
      </c>
      <c r="CG641" s="1125">
        <f t="shared" si="734"/>
        <v>0</v>
      </c>
      <c r="CH641" s="1125">
        <f t="shared" si="735"/>
        <v>0</v>
      </c>
      <c r="CI641" s="1125">
        <f t="shared" si="736"/>
        <v>0.85</v>
      </c>
      <c r="CJ641" s="1125">
        <f t="shared" si="737"/>
        <v>0.85</v>
      </c>
      <c r="CK641" s="1125">
        <f t="shared" si="738"/>
        <v>0.85</v>
      </c>
      <c r="CL641" s="1125">
        <f t="shared" si="739"/>
        <v>0.85</v>
      </c>
      <c r="CM641" s="1125">
        <f t="shared" si="740"/>
        <v>0.85</v>
      </c>
      <c r="CN641" s="1125">
        <f t="shared" si="741"/>
        <v>0.85</v>
      </c>
      <c r="CO641" s="1125">
        <f t="shared" si="742"/>
        <v>0.85</v>
      </c>
      <c r="CP641" s="1125">
        <f t="shared" si="743"/>
        <v>0.85</v>
      </c>
      <c r="CQ641" s="1125">
        <f t="shared" si="744"/>
        <v>0.85</v>
      </c>
      <c r="CR641" s="1125">
        <f t="shared" si="745"/>
        <v>0.85</v>
      </c>
      <c r="CS641" s="1125">
        <f t="shared" si="746"/>
        <v>0.85</v>
      </c>
      <c r="CT641" s="1125">
        <f t="shared" si="747"/>
        <v>0.85</v>
      </c>
      <c r="CU641" s="1125">
        <v>1</v>
      </c>
      <c r="CV641" s="1125"/>
      <c r="CW641" s="1125">
        <f t="shared" si="748"/>
        <v>62</v>
      </c>
      <c r="CX641" s="1125">
        <f t="shared" si="749"/>
        <v>303</v>
      </c>
      <c r="CY641" s="1135" t="s">
        <v>4893</v>
      </c>
      <c r="CZ641" s="1124" t="s">
        <v>4895</v>
      </c>
      <c r="DA641" s="1124"/>
      <c r="DB641" s="1124"/>
      <c r="DC641" s="1120" t="s">
        <v>5038</v>
      </c>
      <c r="DD641" s="1120" t="s">
        <v>954</v>
      </c>
      <c r="DE641" s="1120" t="b">
        <f t="shared" si="750"/>
        <v>0</v>
      </c>
      <c r="DF641" s="1133">
        <v>0</v>
      </c>
      <c r="DG641" s="1125">
        <v>0</v>
      </c>
    </row>
    <row r="642" spans="1:111">
      <c r="A642" s="1120" t="s">
        <v>3996</v>
      </c>
      <c r="B642" s="1125" t="s">
        <v>3308</v>
      </c>
      <c r="C642" s="1125" t="s">
        <v>3309</v>
      </c>
      <c r="D642" s="1125" t="s">
        <v>594</v>
      </c>
      <c r="E642" s="1125">
        <v>10</v>
      </c>
      <c r="F642" s="1125">
        <v>-81.77</v>
      </c>
      <c r="G642" s="1125">
        <v>26.15</v>
      </c>
      <c r="H642" s="1125">
        <v>-5</v>
      </c>
      <c r="I642" s="1126">
        <v>47.480000686645511</v>
      </c>
      <c r="J642" s="1126">
        <v>90.139998626708987</v>
      </c>
      <c r="K642" s="1127">
        <v>77.360001373291013</v>
      </c>
      <c r="L642" s="1125">
        <v>257.40000000000003</v>
      </c>
      <c r="M642" s="1125">
        <v>3468.6</v>
      </c>
      <c r="N642" s="1128">
        <v>64.219999313354492</v>
      </c>
      <c r="O642" s="1128">
        <v>64.939998626708984</v>
      </c>
      <c r="P642" s="1128">
        <v>69.980000686645511</v>
      </c>
      <c r="Q642" s="1128">
        <v>71.599999999999994</v>
      </c>
      <c r="R642" s="1128">
        <v>77.900000000000006</v>
      </c>
      <c r="S642" s="1128">
        <v>79.880000686645502</v>
      </c>
      <c r="T642" s="1128">
        <v>81.5</v>
      </c>
      <c r="U642" s="1128">
        <v>81.5</v>
      </c>
      <c r="V642" s="1128">
        <v>77.900000000000006</v>
      </c>
      <c r="W642" s="1128">
        <v>75.2</v>
      </c>
      <c r="X642" s="1128">
        <v>69.8</v>
      </c>
      <c r="Y642" s="1128">
        <v>63.319999313354494</v>
      </c>
      <c r="Z642" s="1128">
        <v>73.194356057153996</v>
      </c>
      <c r="AA642" s="1128">
        <f t="shared" si="676"/>
        <v>72.935954385533648</v>
      </c>
      <c r="AB642" s="1128">
        <f t="shared" si="677"/>
        <v>73.441940095327368</v>
      </c>
      <c r="AC642" s="1128">
        <f t="shared" si="678"/>
        <v>75.447381672984491</v>
      </c>
      <c r="AD642" s="1128">
        <f t="shared" si="679"/>
        <v>78.429529866498513</v>
      </c>
      <c r="AE642" s="1128">
        <f t="shared" si="680"/>
        <v>81.611041792935268</v>
      </c>
      <c r="AF642" s="1128">
        <f t="shared" si="681"/>
        <v>84.162607340086112</v>
      </c>
      <c r="AG642" s="1128">
        <f t="shared" si="682"/>
        <v>85.419121627270897</v>
      </c>
      <c r="AH642" s="1128">
        <f t="shared" si="683"/>
        <v>85.053054842063602</v>
      </c>
      <c r="AI642" s="1128">
        <f t="shared" si="684"/>
        <v>83.159827933288426</v>
      </c>
      <c r="AJ642" s="1128">
        <f t="shared" si="685"/>
        <v>80.232939670227438</v>
      </c>
      <c r="AK642" s="1128">
        <f t="shared" si="686"/>
        <v>77.035328583360894</v>
      </c>
      <c r="AL642" s="1128">
        <f t="shared" si="687"/>
        <v>74.400501279159016</v>
      </c>
      <c r="AM642" s="1125">
        <f t="shared" si="688"/>
        <v>1</v>
      </c>
      <c r="AN642" s="1125">
        <f t="shared" si="689"/>
        <v>1</v>
      </c>
      <c r="AO642" s="1125">
        <f t="shared" si="690"/>
        <v>0</v>
      </c>
      <c r="AP642" s="1125">
        <f t="shared" si="691"/>
        <v>0</v>
      </c>
      <c r="AQ642" s="1125">
        <f t="shared" si="692"/>
        <v>0</v>
      </c>
      <c r="AR642" s="1125">
        <f t="shared" si="693"/>
        <v>0</v>
      </c>
      <c r="AS642" s="1125">
        <f t="shared" si="694"/>
        <v>0</v>
      </c>
      <c r="AT642" s="1125">
        <f t="shared" si="695"/>
        <v>0</v>
      </c>
      <c r="AU642" s="1125">
        <f t="shared" si="696"/>
        <v>0</v>
      </c>
      <c r="AV642" s="1125">
        <f t="shared" si="697"/>
        <v>0</v>
      </c>
      <c r="AW642" s="1125">
        <f t="shared" si="698"/>
        <v>0</v>
      </c>
      <c r="AX642" s="1125">
        <f t="shared" si="699"/>
        <v>1</v>
      </c>
      <c r="AY642" s="1125">
        <f t="shared" si="700"/>
        <v>0</v>
      </c>
      <c r="AZ642" s="1125">
        <f t="shared" si="701"/>
        <v>0</v>
      </c>
      <c r="BA642" s="1125">
        <f t="shared" si="702"/>
        <v>1</v>
      </c>
      <c r="BB642" s="1125">
        <f t="shared" si="703"/>
        <v>1</v>
      </c>
      <c r="BC642" s="1125">
        <f t="shared" si="704"/>
        <v>1</v>
      </c>
      <c r="BD642" s="1125">
        <f t="shared" si="705"/>
        <v>1</v>
      </c>
      <c r="BE642" s="1125">
        <f t="shared" si="706"/>
        <v>1</v>
      </c>
      <c r="BF642" s="1125">
        <f t="shared" si="707"/>
        <v>1</v>
      </c>
      <c r="BG642" s="1125">
        <f t="shared" si="708"/>
        <v>1</v>
      </c>
      <c r="BH642" s="1125">
        <f t="shared" si="709"/>
        <v>1</v>
      </c>
      <c r="BI642" s="1125">
        <f t="shared" si="710"/>
        <v>1</v>
      </c>
      <c r="BJ642" s="1125">
        <f t="shared" si="711"/>
        <v>0</v>
      </c>
      <c r="BK642" s="1125">
        <f t="shared" si="712"/>
        <v>1</v>
      </c>
      <c r="BL642" s="1125">
        <f t="shared" si="713"/>
        <v>1</v>
      </c>
      <c r="BM642" s="1125">
        <f t="shared" si="714"/>
        <v>1</v>
      </c>
      <c r="BN642" s="1125">
        <f t="shared" si="715"/>
        <v>0</v>
      </c>
      <c r="BO642" s="1125">
        <f t="shared" si="716"/>
        <v>0</v>
      </c>
      <c r="BP642" s="1125">
        <f t="shared" si="717"/>
        <v>0</v>
      </c>
      <c r="BQ642" s="1125">
        <f t="shared" si="718"/>
        <v>0</v>
      </c>
      <c r="BR642" s="1125">
        <f t="shared" si="719"/>
        <v>0</v>
      </c>
      <c r="BS642" s="1125">
        <f t="shared" si="720"/>
        <v>0</v>
      </c>
      <c r="BT642" s="1125">
        <f t="shared" si="721"/>
        <v>0</v>
      </c>
      <c r="BU642" s="1125">
        <f t="shared" si="722"/>
        <v>0</v>
      </c>
      <c r="BV642" s="1125">
        <f t="shared" si="723"/>
        <v>1</v>
      </c>
      <c r="BW642" s="1125">
        <f t="shared" si="724"/>
        <v>0</v>
      </c>
      <c r="BX642" s="1125">
        <f t="shared" si="725"/>
        <v>1</v>
      </c>
      <c r="BY642" s="1125">
        <f t="shared" si="726"/>
        <v>1</v>
      </c>
      <c r="BZ642" s="1125">
        <f t="shared" si="727"/>
        <v>1</v>
      </c>
      <c r="CA642" s="1125">
        <f t="shared" si="728"/>
        <v>1</v>
      </c>
      <c r="CB642" s="1125">
        <f t="shared" si="729"/>
        <v>1</v>
      </c>
      <c r="CC642" s="1125">
        <f t="shared" si="730"/>
        <v>1</v>
      </c>
      <c r="CD642" s="1125">
        <f t="shared" si="731"/>
        <v>1</v>
      </c>
      <c r="CE642" s="1125">
        <f t="shared" si="732"/>
        <v>1</v>
      </c>
      <c r="CF642" s="1125">
        <f t="shared" si="733"/>
        <v>1</v>
      </c>
      <c r="CG642" s="1125">
        <f t="shared" si="734"/>
        <v>1</v>
      </c>
      <c r="CH642" s="1125">
        <f t="shared" si="735"/>
        <v>1</v>
      </c>
      <c r="CI642" s="1125">
        <f t="shared" si="736"/>
        <v>0.85</v>
      </c>
      <c r="CJ642" s="1125">
        <f t="shared" si="737"/>
        <v>0.85</v>
      </c>
      <c r="CK642" s="1125">
        <f t="shared" si="738"/>
        <v>0.85</v>
      </c>
      <c r="CL642" s="1125">
        <f t="shared" si="739"/>
        <v>0.7</v>
      </c>
      <c r="CM642" s="1125">
        <f t="shared" si="740"/>
        <v>0.7</v>
      </c>
      <c r="CN642" s="1125">
        <f t="shared" si="741"/>
        <v>0.7</v>
      </c>
      <c r="CO642" s="1125">
        <f t="shared" si="742"/>
        <v>0.7</v>
      </c>
      <c r="CP642" s="1125">
        <f t="shared" si="743"/>
        <v>0.7</v>
      </c>
      <c r="CQ642" s="1125">
        <f t="shared" si="744"/>
        <v>0.7</v>
      </c>
      <c r="CR642" s="1125">
        <f t="shared" si="745"/>
        <v>0.7</v>
      </c>
      <c r="CS642" s="1125">
        <f t="shared" si="746"/>
        <v>0.7</v>
      </c>
      <c r="CT642" s="1125">
        <f t="shared" si="747"/>
        <v>0.85</v>
      </c>
      <c r="CU642" s="1125">
        <v>1</v>
      </c>
      <c r="CV642" s="1125"/>
      <c r="CW642" s="1125">
        <f t="shared" si="748"/>
        <v>334</v>
      </c>
      <c r="CX642" s="1125">
        <f t="shared" si="749"/>
        <v>31</v>
      </c>
      <c r="CY642" s="1135" t="s">
        <v>4883</v>
      </c>
      <c r="CZ642" s="1124" t="s">
        <v>4884</v>
      </c>
      <c r="DA642" s="1124"/>
      <c r="DB642" s="1124"/>
      <c r="DC642" s="1120" t="s">
        <v>5109</v>
      </c>
      <c r="DD642" s="1120" t="s">
        <v>594</v>
      </c>
      <c r="DE642" s="1120" t="str">
        <f t="shared" si="750"/>
        <v/>
      </c>
      <c r="DF642" s="1133">
        <v>0</v>
      </c>
      <c r="DG642" s="1120">
        <v>0</v>
      </c>
    </row>
    <row r="643" spans="1:111">
      <c r="A643" s="1125" t="s">
        <v>3998</v>
      </c>
      <c r="B643" s="1120" t="s">
        <v>3310</v>
      </c>
      <c r="C643" s="1120" t="s">
        <v>3311</v>
      </c>
      <c r="D643" s="1120" t="s">
        <v>594</v>
      </c>
      <c r="E643" s="1120">
        <v>10</v>
      </c>
      <c r="F643" s="1120">
        <v>-80.72</v>
      </c>
      <c r="G643" s="1120">
        <v>28.62</v>
      </c>
      <c r="H643" s="1120">
        <v>-5</v>
      </c>
      <c r="I643" s="1121">
        <v>42.440000343322751</v>
      </c>
      <c r="J643" s="1121">
        <v>90.5</v>
      </c>
      <c r="K643" s="1122">
        <v>77.900000000000006</v>
      </c>
      <c r="L643" s="1120">
        <v>721.80000000000007</v>
      </c>
      <c r="M643" s="1120">
        <v>3135.6</v>
      </c>
      <c r="N643" s="1123">
        <v>53.240000343322755</v>
      </c>
      <c r="O643" s="1123">
        <v>60.080000686645505</v>
      </c>
      <c r="P643" s="1123">
        <v>65.480000686645511</v>
      </c>
      <c r="Q643" s="1123">
        <v>69.619999313354498</v>
      </c>
      <c r="R643" s="1123">
        <v>75.380000686645502</v>
      </c>
      <c r="S643" s="1123">
        <v>78.8</v>
      </c>
      <c r="T643" s="1123">
        <v>82.4</v>
      </c>
      <c r="U643" s="1123">
        <v>79.16000137329101</v>
      </c>
      <c r="V643" s="1123">
        <v>79.519999313354489</v>
      </c>
      <c r="W643" s="1123">
        <v>73.039998626708979</v>
      </c>
      <c r="X643" s="1123">
        <v>70.880000686645502</v>
      </c>
      <c r="Y643" s="1123">
        <v>64.039998626708979</v>
      </c>
      <c r="Z643" s="1123">
        <v>71.018575367862226</v>
      </c>
      <c r="AA643" s="1123">
        <f t="shared" ref="AA643:AA706" si="751">MAX($Z643+6+(0.4+0.01*($Z643-44))*(MAX($N643:$Y643)-MIN($N643:$Y643))/2*SIN((0.986*((1*30-15)-15-(35-1*($Z643-44)))-90)*PI()/180),32)</f>
        <v>67.339292917589987</v>
      </c>
      <c r="AB643" s="1123">
        <f t="shared" ref="AB643:AB706" si="752">MAX($Z643+6+(0.4+0.01*($Z643-44))*(MAX($N643:$Y643)-MIN($N643:$Y643))/2*SIN((0.986*((2*30-15)-15-(35-1*($Z643-44)))-90)*PI()/180),32)</f>
        <v>67.940385278808009</v>
      </c>
      <c r="AC643" s="1123">
        <f t="shared" ref="AC643:AC706" si="753">MAX($Z643+6+(0.4+0.01*($Z643-44))*(MAX($N643:$Y643)-MIN($N643:$Y643))/2*SIN((0.986*((3*30-15)-15-(35-1*($Z643-44)))-90)*PI()/180),32)</f>
        <v>70.907847785881984</v>
      </c>
      <c r="AD643" s="1123">
        <f t="shared" ref="AD643:AD706" si="754">MAX($Z643+6+(0.4+0.01*($Z643-44))*(MAX($N643:$Y643)-MIN($N643:$Y643))/2*SIN((0.986*((4*30-15)-15-(35-1*($Z643-44)))-90)*PI()/180),32)</f>
        <v>75.468165606361637</v>
      </c>
      <c r="AE643" s="1123">
        <f t="shared" ref="AE643:AE706" si="755">MAX($Z643+6+(0.4+0.01*($Z643-44))*(MAX($N643:$Y643)-MIN($N643:$Y643))/2*SIN((0.986*((5*30-15)-15-(35-1*($Z643-44)))-90)*PI()/180),32)</f>
        <v>80.432621623714056</v>
      </c>
      <c r="AF643" s="1123">
        <f t="shared" ref="AF643:AF706" si="756">MAX($Z643+6+(0.4+0.01*($Z643-44))*(MAX($N643:$Y643)-MIN($N643:$Y643))/2*SIN((0.986*((6*30-15)-15-(35-1*($Z643-44)))-90)*PI()/180),32)</f>
        <v>84.507153872433335</v>
      </c>
      <c r="AG643" s="1123">
        <f t="shared" ref="AG643:AG706" si="757">MAX($Z643+6+(0.4+0.01*($Z643-44))*(MAX($N643:$Y643)-MIN($N643:$Y643))/2*SIN((0.986*((7*30-15)-15-(35-1*($Z643-44)))-90)*PI()/180),32)</f>
        <v>86.62967273144821</v>
      </c>
      <c r="AH643" s="1123">
        <f t="shared" ref="AH643:AH706" si="758">MAX($Z643+6+(0.4+0.01*($Z643-44))*(MAX($N643:$Y643)-MIN($N643:$Y643))/2*SIN((0.986*((8*30-15)-15-(35-1*($Z643-44)))-90)*PI()/180),32)</f>
        <v>86.24691095115071</v>
      </c>
      <c r="AI643" s="1123">
        <f t="shared" ref="AI643:AI706" si="759">MAX($Z643+6+(0.4+0.01*($Z643-44))*(MAX($N643:$Y643)-MIN($N643:$Y643))/2*SIN((0.986*((9*30-15)-15-(35-1*($Z643-44)))-90)*PI()/180),32)</f>
        <v>83.458641288113</v>
      </c>
      <c r="AJ643" s="1123">
        <f t="shared" ref="AJ643:AJ706" si="760">MAX($Z643+6+(0.4+0.01*($Z643-44))*(MAX($N643:$Y643)-MIN($N643:$Y643))/2*SIN((0.986*((10*30-15)-15-(35-1*($Z643-44)))-90)*PI()/180),32)</f>
        <v>78.99166919854197</v>
      </c>
      <c r="AK643" s="1123">
        <f t="shared" ref="AK643:AK706" si="761">MAX($Z643+6+(0.4+0.01*($Z643-44))*(MAX($N643:$Y643)-MIN($N643:$Y643))/2*SIN((0.986*((11*30-15)-15-(35-1*($Z643-44)))-90)*PI()/180),32)</f>
        <v>74.010379795707948</v>
      </c>
      <c r="AL643" s="1123">
        <f t="shared" ref="AL643:AL706" si="762">MAX($Z643+6+(0.4+0.01*($Z643-44))*(MAX($N643:$Y643)-MIN($N643:$Y643))/2*SIN((0.986*((12*30-15)-15-(35-1*($Z643-44)))-90)*PI()/180),32)</f>
        <v>69.813222926452951</v>
      </c>
      <c r="AM643" s="1120">
        <f t="shared" ref="AM643:AM706" si="763">IF(AND(OR(LEFT(AM$1,3)="Jan",LEFT(AM$1,3)="Dec"),I643&lt;59),1,IF(N643&lt;66,1,0))</f>
        <v>1</v>
      </c>
      <c r="AN643" s="1120">
        <f t="shared" ref="AN643:AN706" si="764">IF(AND(OR(LEFT(AN$1,3)="Jan",LEFT(AN$1,3)="Dec"),J643&lt;59),1,IF(O643&lt;66,1,0))</f>
        <v>1</v>
      </c>
      <c r="AO643" s="1120">
        <f t="shared" ref="AO643:AO706" si="765">IF(AND(OR(LEFT(AO$1,3)="Jan",LEFT(AO$1,3)="Dec"),K643&lt;59),1,IF(P643&lt;66,1,0))</f>
        <v>1</v>
      </c>
      <c r="AP643" s="1120">
        <f t="shared" ref="AP643:AP706" si="766">IF(AND(OR(LEFT(AP$1,3)="Jan",LEFT(AP$1,3)="Dec"),L643&lt;59),1,IF(Q643&lt;66,1,0))</f>
        <v>0</v>
      </c>
      <c r="AQ643" s="1120">
        <f t="shared" ref="AQ643:AQ706" si="767">IF(AND(OR(LEFT(AQ$1,3)="Jan",LEFT(AQ$1,3)="Dec"),M643&lt;59),1,IF(R643&lt;66,1,0))</f>
        <v>0</v>
      </c>
      <c r="AR643" s="1120">
        <f t="shared" ref="AR643:AR706" si="768">IF(AND(OR(LEFT(AR$1,3)="Jan",LEFT(AR$1,3)="Dec"),N643&lt;59),1,IF(S643&lt;66,1,0))</f>
        <v>0</v>
      </c>
      <c r="AS643" s="1120">
        <f t="shared" ref="AS643:AS706" si="769">IF(AND(OR(LEFT(AS$1,3)="Jan",LEFT(AS$1,3)="Dec"),O643&lt;59),1,IF(T643&lt;66,1,0))</f>
        <v>0</v>
      </c>
      <c r="AT643" s="1120">
        <f t="shared" ref="AT643:AT706" si="770">IF(AND(OR(LEFT(AT$1,3)="Jan",LEFT(AT$1,3)="Dec"),P643&lt;59),1,IF(U643&lt;66,1,0))</f>
        <v>0</v>
      </c>
      <c r="AU643" s="1120">
        <f t="shared" ref="AU643:AU706" si="771">IF(AND(OR(LEFT(AU$1,3)="Jan",LEFT(AU$1,3)="Dec"),Q643&lt;59),1,IF(V643&lt;66,1,0))</f>
        <v>0</v>
      </c>
      <c r="AV643" s="1120">
        <f t="shared" ref="AV643:AV706" si="772">IF(AND(OR(LEFT(AV$1,3)="Jan",LEFT(AV$1,3)="Dec"),R643&lt;59),1,IF(W643&lt;66,1,0))</f>
        <v>0</v>
      </c>
      <c r="AW643" s="1120">
        <f t="shared" ref="AW643:AW706" si="773">IF(AND(OR(LEFT(AW$1,3)="Jan",LEFT(AW$1,3)="Dec"),S643&lt;59),1,IF(X643&lt;66,1,0))</f>
        <v>0</v>
      </c>
      <c r="AX643" s="1120">
        <f t="shared" ref="AX643:AX706" si="774">IF(AND(OR(LEFT(AX$1,3)="Jan",LEFT(AX$1,3)="Dec"),T643&lt;59),1,IF(Y643&lt;66,1,0))</f>
        <v>1</v>
      </c>
      <c r="AY643" s="1120">
        <f t="shared" ref="AY643:AY706" si="775">IF(OR(LEFT(AY$1,3)="Jul", LEFT(AY$1,3)="Aug"),1,IF(N643&gt;66,1,0))</f>
        <v>0</v>
      </c>
      <c r="AZ643" s="1120">
        <f t="shared" ref="AZ643:AZ706" si="776">IF(OR(LEFT(AZ$1,3)="Jul", LEFT(AZ$1,3)="Aug"),1,IF(O643&gt;66,1,0))</f>
        <v>0</v>
      </c>
      <c r="BA643" s="1120">
        <f t="shared" ref="BA643:BA706" si="777">IF(OR(LEFT(BA$1,3)="Jul", LEFT(BA$1,3)="Aug"),1,IF(P643&gt;66,1,0))</f>
        <v>0</v>
      </c>
      <c r="BB643" s="1120">
        <f t="shared" ref="BB643:BB706" si="778">IF(OR(LEFT(BB$1,3)="Jul", LEFT(BB$1,3)="Aug"),1,IF(Q643&gt;66,1,0))</f>
        <v>1</v>
      </c>
      <c r="BC643" s="1120">
        <f t="shared" ref="BC643:BC706" si="779">IF(OR(LEFT(BC$1,3)="Jul", LEFT(BC$1,3)="Aug"),1,IF(R643&gt;66,1,0))</f>
        <v>1</v>
      </c>
      <c r="BD643" s="1120">
        <f t="shared" ref="BD643:BD706" si="780">IF(OR(LEFT(BD$1,3)="Jul", LEFT(BD$1,3)="Aug"),1,IF(S643&gt;66,1,0))</f>
        <v>1</v>
      </c>
      <c r="BE643" s="1120">
        <f t="shared" ref="BE643:BE706" si="781">IF(OR(LEFT(BE$1,3)="Jul", LEFT(BE$1,3)="Aug"),1,IF(T643&gt;66,1,0))</f>
        <v>1</v>
      </c>
      <c r="BF643" s="1120">
        <f t="shared" ref="BF643:BF706" si="782">IF(OR(LEFT(BF$1,3)="Jul", LEFT(BF$1,3)="Aug"),1,IF(U643&gt;66,1,0))</f>
        <v>1</v>
      </c>
      <c r="BG643" s="1120">
        <f t="shared" ref="BG643:BG706" si="783">IF(OR(LEFT(BG$1,3)="Jul", LEFT(BG$1,3)="Aug"),1,IF(V643&gt;66,1,0))</f>
        <v>1</v>
      </c>
      <c r="BH643" s="1120">
        <f t="shared" ref="BH643:BH706" si="784">IF(OR(LEFT(BH$1,3)="Jul", LEFT(BH$1,3)="Aug"),1,IF(W643&gt;66,1,0))</f>
        <v>1</v>
      </c>
      <c r="BI643" s="1120">
        <f t="shared" ref="BI643:BI706" si="785">IF(OR(LEFT(BI$1,3)="Jul", LEFT(BI$1,3)="Aug"),1,IF(X643&gt;66,1,0))</f>
        <v>1</v>
      </c>
      <c r="BJ643" s="1120">
        <f t="shared" ref="BJ643:BJ706" si="786">IF(OR(LEFT(BJ$1,3)="Jul", LEFT(BJ$1,3)="Aug"),1,IF(Y643&gt;66,1,0))</f>
        <v>0</v>
      </c>
      <c r="BK643" s="1120">
        <f t="shared" ref="BK643:BK706" si="787">IF(AND(AY643=1,BJ643=0),1,AM643)</f>
        <v>1</v>
      </c>
      <c r="BL643" s="1120">
        <f t="shared" ref="BL643:BL706" si="788">IF(AND(AY643=0,AZ643=1),1,AN643)</f>
        <v>1</v>
      </c>
      <c r="BM643" s="1120">
        <f t="shared" ref="BM643:BM706" si="789">IF(AND(AZ643=0,BA643=1),1,AO643)</f>
        <v>1</v>
      </c>
      <c r="BN643" s="1120">
        <f t="shared" ref="BN643:BN706" si="790">IF(AND(BA643=0,BB643=1),1,AP643)</f>
        <v>1</v>
      </c>
      <c r="BO643" s="1120">
        <f t="shared" ref="BO643:BO706" si="791">IF(AND(BB643=0,BC643=1),1,AQ643)</f>
        <v>0</v>
      </c>
      <c r="BP643" s="1120">
        <f t="shared" ref="BP643:BP706" si="792">IF(AND(BC643=0,BD643=1),1,AR643)</f>
        <v>0</v>
      </c>
      <c r="BQ643" s="1120">
        <f t="shared" ref="BQ643:BQ706" si="793">IF(AND(BD643=0,BE643=1),1,AS643)</f>
        <v>0</v>
      </c>
      <c r="BR643" s="1120">
        <f t="shared" ref="BR643:BR706" si="794">IF(AND(BE643=0,BF643=1),1,AT643)</f>
        <v>0</v>
      </c>
      <c r="BS643" s="1120">
        <f t="shared" ref="BS643:BS706" si="795">IF(AND(BF643=0,BG643=1),1,AU643)</f>
        <v>0</v>
      </c>
      <c r="BT643" s="1120">
        <f t="shared" ref="BT643:BT706" si="796">IF(AND(BG643=0,BH643=1),1,AV643)</f>
        <v>0</v>
      </c>
      <c r="BU643" s="1120">
        <f t="shared" ref="BU643:BU706" si="797">IF(AND(BH643=0,BI643=1),1,AW643)</f>
        <v>0</v>
      </c>
      <c r="BV643" s="1120">
        <f t="shared" ref="BV643:BV706" si="798">IF(AND(BI643=0,BJ643=1),1,AX643)</f>
        <v>1</v>
      </c>
      <c r="BW643" s="1120">
        <f t="shared" ref="BW643:BW706" si="799">IF(OR(AND(AX643=0,AM643=1),AND(AM643=1,AN643=0)),1,AY643)</f>
        <v>0</v>
      </c>
      <c r="BX643" s="1120">
        <f t="shared" ref="BX643:BX706" si="800">IF(OR(AND(AM643=0,AN643=1),AND(AN643=1,AO643=0)),1,AZ643)</f>
        <v>0</v>
      </c>
      <c r="BY643" s="1120">
        <f t="shared" ref="BY643:BY706" si="801">IF(OR(AND(AN643=0,AO643=1),AND(AO643=1,AP643=0)),1,BA643)</f>
        <v>1</v>
      </c>
      <c r="BZ643" s="1120">
        <f t="shared" ref="BZ643:BZ706" si="802">IF(OR(AND(AO643=0,AP643=1),AND(AP643=1,AQ643=0)),1,BB643)</f>
        <v>1</v>
      </c>
      <c r="CA643" s="1120">
        <f t="shared" ref="CA643:CA706" si="803">IF(OR(AND(AP643=0,AQ643=1),AND(AQ643=1,AR643=0)),1,BC643)</f>
        <v>1</v>
      </c>
      <c r="CB643" s="1120">
        <f t="shared" ref="CB643:CB706" si="804">IF(OR(AND(AQ643=0,AR643=1),AND(AR643=1,AS643=0)),1,BD643)</f>
        <v>1</v>
      </c>
      <c r="CC643" s="1120">
        <f t="shared" ref="CC643:CC706" si="805">IF(OR(AND(AR643=0,AS643=1),AND(AS643=1,AT643=0)),1,BE643)</f>
        <v>1</v>
      </c>
      <c r="CD643" s="1120">
        <f t="shared" ref="CD643:CD706" si="806">IF(OR(AND(AS643=0,AT643=1),AND(AT643=1,AU643=0)),1,BF643)</f>
        <v>1</v>
      </c>
      <c r="CE643" s="1120">
        <f t="shared" ref="CE643:CE706" si="807">IF(OR(AND(AT643=0,AU643=1),AND(AU643=1,AV643=0)),1,BG643)</f>
        <v>1</v>
      </c>
      <c r="CF643" s="1120">
        <f t="shared" ref="CF643:CF706" si="808">IF(OR(AND(AU643=0,AV643=1),AND(AV643=1,AW643=0)),1,BH643)</f>
        <v>1</v>
      </c>
      <c r="CG643" s="1120">
        <f t="shared" ref="CG643:CG706" si="809">IF(OR(AND(AV643=0,AW643=1),AND(AW643=1,AX643=0)),1,BI643)</f>
        <v>1</v>
      </c>
      <c r="CH643" s="1120">
        <f t="shared" ref="CH643:CH706" si="810">IF(OR(AND(AW643=0,AX643=1),AND(AX643=1,AM643=0)),1,BJ643)</f>
        <v>1</v>
      </c>
      <c r="CI643" s="1120">
        <f t="shared" ref="CI643:CI706" si="811">IF(BK643=1,0.85,0.7)</f>
        <v>0.85</v>
      </c>
      <c r="CJ643" s="1120">
        <f t="shared" ref="CJ643:CJ706" si="812">IF(BL643=1,0.85,0.7)</f>
        <v>0.85</v>
      </c>
      <c r="CK643" s="1120">
        <f t="shared" ref="CK643:CK706" si="813">IF(BM643=1,0.85,0.7)</f>
        <v>0.85</v>
      </c>
      <c r="CL643" s="1120">
        <f t="shared" ref="CL643:CL706" si="814">IF(BN643=1,0.85,0.7)</f>
        <v>0.85</v>
      </c>
      <c r="CM643" s="1120">
        <f t="shared" ref="CM643:CM706" si="815">IF(BO643=1,0.85,0.7)</f>
        <v>0.7</v>
      </c>
      <c r="CN643" s="1120">
        <f t="shared" ref="CN643:CN706" si="816">IF(BP643=1,0.85,0.7)</f>
        <v>0.7</v>
      </c>
      <c r="CO643" s="1120">
        <f t="shared" ref="CO643:CO706" si="817">IF(BQ643=1,0.85,0.7)</f>
        <v>0.7</v>
      </c>
      <c r="CP643" s="1120">
        <f t="shared" ref="CP643:CP706" si="818">IF(BR643=1,0.85,0.7)</f>
        <v>0.7</v>
      </c>
      <c r="CQ643" s="1120">
        <f t="shared" ref="CQ643:CQ706" si="819">IF(BS643=1,0.85,0.7)</f>
        <v>0.7</v>
      </c>
      <c r="CR643" s="1120">
        <f t="shared" ref="CR643:CR706" si="820">IF(BT643=1,0.85,0.7)</f>
        <v>0.7</v>
      </c>
      <c r="CS643" s="1120">
        <f t="shared" ref="CS643:CS706" si="821">IF(BU643=1,0.85,0.7)</f>
        <v>0.7</v>
      </c>
      <c r="CT643" s="1120">
        <f t="shared" ref="CT643:CT706" si="822">IF(BV643=1,0.85,0.7)</f>
        <v>0.85</v>
      </c>
      <c r="CU643" s="1120">
        <v>1</v>
      </c>
      <c r="CV643" s="1120"/>
      <c r="CW643" s="1120">
        <f t="shared" ref="CW643:CW706" si="823">BW643*31+BX643*28+BY643*31+BZ643*30+CA643*31+CB643*30+CC643*31+CD643*31+CE643*30+CF643*31+CG643*30+CH643*31</f>
        <v>306</v>
      </c>
      <c r="CX643" s="1120">
        <f t="shared" ref="CX643:CX706" si="824">365-CW643</f>
        <v>59</v>
      </c>
      <c r="CY643" s="1136" t="s">
        <v>4883</v>
      </c>
      <c r="CZ643" s="1129" t="s">
        <v>4884</v>
      </c>
      <c r="DA643" s="1129"/>
      <c r="DB643" s="1129"/>
      <c r="DC643" s="1125" t="s">
        <v>5110</v>
      </c>
      <c r="DD643" s="1125" t="s">
        <v>594</v>
      </c>
      <c r="DE643" s="1120" t="str">
        <f t="shared" si="750"/>
        <v/>
      </c>
      <c r="DF643" s="1133">
        <v>1</v>
      </c>
      <c r="DG643" s="1125">
        <v>0</v>
      </c>
    </row>
    <row r="644" spans="1:111">
      <c r="A644" s="1120" t="s">
        <v>4000</v>
      </c>
      <c r="B644" s="1120" t="s">
        <v>4350</v>
      </c>
      <c r="C644" s="1120" t="s">
        <v>4351</v>
      </c>
      <c r="D644" s="1120" t="s">
        <v>560</v>
      </c>
      <c r="E644" s="1120">
        <v>581</v>
      </c>
      <c r="F644" s="1120">
        <v>-86.68</v>
      </c>
      <c r="G644" s="1120">
        <v>36.119999999999997</v>
      </c>
      <c r="H644" s="1120">
        <v>-6</v>
      </c>
      <c r="I644" s="1121">
        <v>18.320000171661377</v>
      </c>
      <c r="J644" s="1121">
        <v>92.120002746582031</v>
      </c>
      <c r="K644" s="1122">
        <v>74.83999862670899</v>
      </c>
      <c r="L644" s="1120">
        <v>3549.6</v>
      </c>
      <c r="M644" s="1120">
        <v>1841.4</v>
      </c>
      <c r="N644" s="1123">
        <v>36.320000171661377</v>
      </c>
      <c r="O644" s="1123">
        <v>36.5</v>
      </c>
      <c r="P644" s="1123">
        <v>53.6</v>
      </c>
      <c r="Q644" s="1123">
        <v>58.819999313354494</v>
      </c>
      <c r="R644" s="1123">
        <v>68.360001373291013</v>
      </c>
      <c r="S644" s="1123">
        <v>76.099999999999994</v>
      </c>
      <c r="T644" s="1123">
        <v>80.239998626708982</v>
      </c>
      <c r="U644" s="1123">
        <v>79.33999862670899</v>
      </c>
      <c r="V644" s="1123">
        <v>71.780000686645508</v>
      </c>
      <c r="W644" s="1123">
        <v>60.259999656677245</v>
      </c>
      <c r="X644" s="1123">
        <v>52.340000343322757</v>
      </c>
      <c r="Y644" s="1123">
        <v>41.359999656677246</v>
      </c>
      <c r="Z644" s="1123">
        <v>59.718027265104531</v>
      </c>
      <c r="AA644" s="1123">
        <f t="shared" si="751"/>
        <v>54.149802406726167</v>
      </c>
      <c r="AB644" s="1123">
        <f t="shared" si="752"/>
        <v>53.689890312421099</v>
      </c>
      <c r="AC644" s="1123">
        <f t="shared" si="753"/>
        <v>56.365297474034179</v>
      </c>
      <c r="AD644" s="1123">
        <f t="shared" si="754"/>
        <v>61.478637785618602</v>
      </c>
      <c r="AE644" s="1123">
        <f t="shared" si="755"/>
        <v>67.697040296000466</v>
      </c>
      <c r="AF644" s="1123">
        <f t="shared" si="756"/>
        <v>73.399582562365339</v>
      </c>
      <c r="AG644" s="1123">
        <f t="shared" si="757"/>
        <v>77.099809064148829</v>
      </c>
      <c r="AH644" s="1123">
        <f t="shared" si="758"/>
        <v>77.833198741444633</v>
      </c>
      <c r="AI644" s="1123">
        <f t="shared" si="759"/>
        <v>75.408582272988554</v>
      </c>
      <c r="AJ644" s="1123">
        <f t="shared" si="760"/>
        <v>70.457973305754479</v>
      </c>
      <c r="AK644" s="1123">
        <f t="shared" si="761"/>
        <v>64.271824358245453</v>
      </c>
      <c r="AL644" s="1123">
        <f t="shared" si="762"/>
        <v>58.462650485070654</v>
      </c>
      <c r="AM644" s="1120">
        <f t="shared" si="763"/>
        <v>1</v>
      </c>
      <c r="AN644" s="1120">
        <f t="shared" si="764"/>
        <v>1</v>
      </c>
      <c r="AO644" s="1120">
        <f t="shared" si="765"/>
        <v>1</v>
      </c>
      <c r="AP644" s="1120">
        <f t="shared" si="766"/>
        <v>1</v>
      </c>
      <c r="AQ644" s="1120">
        <f t="shared" si="767"/>
        <v>0</v>
      </c>
      <c r="AR644" s="1120">
        <f t="shared" si="768"/>
        <v>0</v>
      </c>
      <c r="AS644" s="1120">
        <f t="shared" si="769"/>
        <v>0</v>
      </c>
      <c r="AT644" s="1120">
        <f t="shared" si="770"/>
        <v>0</v>
      </c>
      <c r="AU644" s="1120">
        <f t="shared" si="771"/>
        <v>0</v>
      </c>
      <c r="AV644" s="1120">
        <f t="shared" si="772"/>
        <v>1</v>
      </c>
      <c r="AW644" s="1120">
        <f t="shared" si="773"/>
        <v>1</v>
      </c>
      <c r="AX644" s="1120">
        <f t="shared" si="774"/>
        <v>1</v>
      </c>
      <c r="AY644" s="1120">
        <f t="shared" si="775"/>
        <v>0</v>
      </c>
      <c r="AZ644" s="1120">
        <f t="shared" si="776"/>
        <v>0</v>
      </c>
      <c r="BA644" s="1120">
        <f t="shared" si="777"/>
        <v>0</v>
      </c>
      <c r="BB644" s="1120">
        <f t="shared" si="778"/>
        <v>0</v>
      </c>
      <c r="BC644" s="1120">
        <f t="shared" si="779"/>
        <v>1</v>
      </c>
      <c r="BD644" s="1120">
        <f t="shared" si="780"/>
        <v>1</v>
      </c>
      <c r="BE644" s="1120">
        <f t="shared" si="781"/>
        <v>1</v>
      </c>
      <c r="BF644" s="1120">
        <f t="shared" si="782"/>
        <v>1</v>
      </c>
      <c r="BG644" s="1120">
        <f t="shared" si="783"/>
        <v>1</v>
      </c>
      <c r="BH644" s="1120">
        <f t="shared" si="784"/>
        <v>0</v>
      </c>
      <c r="BI644" s="1120">
        <f t="shared" si="785"/>
        <v>0</v>
      </c>
      <c r="BJ644" s="1120">
        <f t="shared" si="786"/>
        <v>0</v>
      </c>
      <c r="BK644" s="1120">
        <f t="shared" si="787"/>
        <v>1</v>
      </c>
      <c r="BL644" s="1120">
        <f t="shared" si="788"/>
        <v>1</v>
      </c>
      <c r="BM644" s="1120">
        <f t="shared" si="789"/>
        <v>1</v>
      </c>
      <c r="BN644" s="1120">
        <f t="shared" si="790"/>
        <v>1</v>
      </c>
      <c r="BO644" s="1120">
        <f t="shared" si="791"/>
        <v>1</v>
      </c>
      <c r="BP644" s="1120">
        <f t="shared" si="792"/>
        <v>0</v>
      </c>
      <c r="BQ644" s="1120">
        <f t="shared" si="793"/>
        <v>0</v>
      </c>
      <c r="BR644" s="1120">
        <f t="shared" si="794"/>
        <v>0</v>
      </c>
      <c r="BS644" s="1120">
        <f t="shared" si="795"/>
        <v>0</v>
      </c>
      <c r="BT644" s="1120">
        <f t="shared" si="796"/>
        <v>1</v>
      </c>
      <c r="BU644" s="1120">
        <f t="shared" si="797"/>
        <v>1</v>
      </c>
      <c r="BV644" s="1120">
        <f t="shared" si="798"/>
        <v>1</v>
      </c>
      <c r="BW644" s="1120">
        <f t="shared" si="799"/>
        <v>0</v>
      </c>
      <c r="BX644" s="1120">
        <f t="shared" si="800"/>
        <v>0</v>
      </c>
      <c r="BY644" s="1120">
        <f t="shared" si="801"/>
        <v>0</v>
      </c>
      <c r="BZ644" s="1120">
        <f t="shared" si="802"/>
        <v>1</v>
      </c>
      <c r="CA644" s="1120">
        <f t="shared" si="803"/>
        <v>1</v>
      </c>
      <c r="CB644" s="1120">
        <f t="shared" si="804"/>
        <v>1</v>
      </c>
      <c r="CC644" s="1120">
        <f t="shared" si="805"/>
        <v>1</v>
      </c>
      <c r="CD644" s="1120">
        <f t="shared" si="806"/>
        <v>1</v>
      </c>
      <c r="CE644" s="1120">
        <f t="shared" si="807"/>
        <v>1</v>
      </c>
      <c r="CF644" s="1120">
        <f t="shared" si="808"/>
        <v>1</v>
      </c>
      <c r="CG644" s="1120">
        <f t="shared" si="809"/>
        <v>0</v>
      </c>
      <c r="CH644" s="1120">
        <f t="shared" si="810"/>
        <v>0</v>
      </c>
      <c r="CI644" s="1120">
        <f t="shared" si="811"/>
        <v>0.85</v>
      </c>
      <c r="CJ644" s="1120">
        <f t="shared" si="812"/>
        <v>0.85</v>
      </c>
      <c r="CK644" s="1120">
        <f t="shared" si="813"/>
        <v>0.85</v>
      </c>
      <c r="CL644" s="1120">
        <f t="shared" si="814"/>
        <v>0.85</v>
      </c>
      <c r="CM644" s="1120">
        <f t="shared" si="815"/>
        <v>0.85</v>
      </c>
      <c r="CN644" s="1120">
        <f t="shared" si="816"/>
        <v>0.7</v>
      </c>
      <c r="CO644" s="1120">
        <f t="shared" si="817"/>
        <v>0.7</v>
      </c>
      <c r="CP644" s="1120">
        <f t="shared" si="818"/>
        <v>0.7</v>
      </c>
      <c r="CQ644" s="1120">
        <f t="shared" si="819"/>
        <v>0.7</v>
      </c>
      <c r="CR644" s="1120">
        <f t="shared" si="820"/>
        <v>0.85</v>
      </c>
      <c r="CS644" s="1120">
        <f t="shared" si="821"/>
        <v>0.85</v>
      </c>
      <c r="CT644" s="1120">
        <f t="shared" si="822"/>
        <v>0.85</v>
      </c>
      <c r="CU644" s="1120">
        <v>1</v>
      </c>
      <c r="CV644" s="1120"/>
      <c r="CW644" s="1120">
        <f t="shared" si="823"/>
        <v>214</v>
      </c>
      <c r="CX644" s="1120">
        <f t="shared" si="824"/>
        <v>151</v>
      </c>
      <c r="CY644" s="1135" t="s">
        <v>4881</v>
      </c>
      <c r="CZ644" s="1124" t="s">
        <v>4885</v>
      </c>
      <c r="DA644" s="1124"/>
      <c r="DB644" s="1124"/>
      <c r="DC644" s="1120" t="s">
        <v>5571</v>
      </c>
      <c r="DD644" s="1120" t="s">
        <v>560</v>
      </c>
      <c r="DE644" s="1120" t="str">
        <f t="shared" si="750"/>
        <v/>
      </c>
      <c r="DF644" s="1133">
        <v>0</v>
      </c>
      <c r="DG644" s="1120">
        <v>0</v>
      </c>
    </row>
    <row r="645" spans="1:111">
      <c r="A645" s="1125" t="s">
        <v>4002</v>
      </c>
      <c r="B645" s="1125" t="s">
        <v>3892</v>
      </c>
      <c r="C645" s="1125" t="s">
        <v>3893</v>
      </c>
      <c r="D645" s="1125" t="s">
        <v>460</v>
      </c>
      <c r="E645" s="1125">
        <v>272</v>
      </c>
      <c r="F645" s="1125">
        <v>-91.3</v>
      </c>
      <c r="G645" s="1125">
        <v>31.62</v>
      </c>
      <c r="H645" s="1125">
        <v>-6</v>
      </c>
      <c r="I645" s="1126">
        <v>27.860000085830688</v>
      </c>
      <c r="J645" s="1126">
        <v>91.22000274658204</v>
      </c>
      <c r="K645" s="1127">
        <v>76.639998626708987</v>
      </c>
      <c r="L645" s="1125">
        <v>1823.4</v>
      </c>
      <c r="M645" s="1125">
        <v>2070</v>
      </c>
      <c r="N645" s="1128">
        <v>48.559999656677249</v>
      </c>
      <c r="O645" s="1128">
        <v>53.780000686645508</v>
      </c>
      <c r="P645" s="1128">
        <v>61.7</v>
      </c>
      <c r="Q645" s="1128">
        <v>67.460001373291021</v>
      </c>
      <c r="R645" s="1128">
        <v>69.8</v>
      </c>
      <c r="S645" s="1128">
        <v>76.460001373291021</v>
      </c>
      <c r="T645" s="1128">
        <v>79.7</v>
      </c>
      <c r="U645" s="1128">
        <v>77</v>
      </c>
      <c r="V645" s="1128">
        <v>74.3</v>
      </c>
      <c r="W645" s="1128">
        <v>65.119999313354498</v>
      </c>
      <c r="X645" s="1128">
        <v>58.280000686645508</v>
      </c>
      <c r="Y645" s="1128">
        <v>48.2</v>
      </c>
      <c r="Z645" s="1128">
        <v>65.077589288476389</v>
      </c>
      <c r="AA645" s="1128">
        <f t="shared" si="751"/>
        <v>61.732652952755174</v>
      </c>
      <c r="AB645" s="1128">
        <f t="shared" si="752"/>
        <v>61.823725357619267</v>
      </c>
      <c r="AC645" s="1128">
        <f t="shared" si="753"/>
        <v>64.326960002421103</v>
      </c>
      <c r="AD645" s="1128">
        <f t="shared" si="754"/>
        <v>68.589850200979527</v>
      </c>
      <c r="AE645" s="1128">
        <f t="shared" si="755"/>
        <v>73.501207929913789</v>
      </c>
      <c r="AF645" s="1128">
        <f t="shared" si="756"/>
        <v>77.780812110863593</v>
      </c>
      <c r="AG645" s="1128">
        <f t="shared" si="757"/>
        <v>80.313117963367617</v>
      </c>
      <c r="AH645" s="1128">
        <f t="shared" si="758"/>
        <v>80.438040942956263</v>
      </c>
      <c r="AI645" s="1128">
        <f t="shared" si="759"/>
        <v>78.123017949878346</v>
      </c>
      <c r="AJ645" s="1128">
        <f t="shared" si="760"/>
        <v>73.971495402863852</v>
      </c>
      <c r="AK645" s="1128">
        <f t="shared" si="761"/>
        <v>69.065631630691129</v>
      </c>
      <c r="AL645" s="1128">
        <f t="shared" si="762"/>
        <v>64.684215627226152</v>
      </c>
      <c r="AM645" s="1125">
        <f t="shared" si="763"/>
        <v>1</v>
      </c>
      <c r="AN645" s="1125">
        <f t="shared" si="764"/>
        <v>1</v>
      </c>
      <c r="AO645" s="1125">
        <f t="shared" si="765"/>
        <v>1</v>
      </c>
      <c r="AP645" s="1125">
        <f t="shared" si="766"/>
        <v>0</v>
      </c>
      <c r="AQ645" s="1125">
        <f t="shared" si="767"/>
        <v>0</v>
      </c>
      <c r="AR645" s="1125">
        <f t="shared" si="768"/>
        <v>0</v>
      </c>
      <c r="AS645" s="1125">
        <f t="shared" si="769"/>
        <v>0</v>
      </c>
      <c r="AT645" s="1125">
        <f t="shared" si="770"/>
        <v>0</v>
      </c>
      <c r="AU645" s="1125">
        <f t="shared" si="771"/>
        <v>0</v>
      </c>
      <c r="AV645" s="1125">
        <f t="shared" si="772"/>
        <v>1</v>
      </c>
      <c r="AW645" s="1125">
        <f t="shared" si="773"/>
        <v>1</v>
      </c>
      <c r="AX645" s="1125">
        <f t="shared" si="774"/>
        <v>1</v>
      </c>
      <c r="AY645" s="1125">
        <f t="shared" si="775"/>
        <v>0</v>
      </c>
      <c r="AZ645" s="1125">
        <f t="shared" si="776"/>
        <v>0</v>
      </c>
      <c r="BA645" s="1125">
        <f t="shared" si="777"/>
        <v>0</v>
      </c>
      <c r="BB645" s="1125">
        <f t="shared" si="778"/>
        <v>1</v>
      </c>
      <c r="BC645" s="1125">
        <f t="shared" si="779"/>
        <v>1</v>
      </c>
      <c r="BD645" s="1125">
        <f t="shared" si="780"/>
        <v>1</v>
      </c>
      <c r="BE645" s="1125">
        <f t="shared" si="781"/>
        <v>1</v>
      </c>
      <c r="BF645" s="1125">
        <f t="shared" si="782"/>
        <v>1</v>
      </c>
      <c r="BG645" s="1125">
        <f t="shared" si="783"/>
        <v>1</v>
      </c>
      <c r="BH645" s="1125">
        <f t="shared" si="784"/>
        <v>0</v>
      </c>
      <c r="BI645" s="1125">
        <f t="shared" si="785"/>
        <v>0</v>
      </c>
      <c r="BJ645" s="1125">
        <f t="shared" si="786"/>
        <v>0</v>
      </c>
      <c r="BK645" s="1125">
        <f t="shared" si="787"/>
        <v>1</v>
      </c>
      <c r="BL645" s="1125">
        <f t="shared" si="788"/>
        <v>1</v>
      </c>
      <c r="BM645" s="1125">
        <f t="shared" si="789"/>
        <v>1</v>
      </c>
      <c r="BN645" s="1125">
        <f t="shared" si="790"/>
        <v>1</v>
      </c>
      <c r="BO645" s="1125">
        <f t="shared" si="791"/>
        <v>0</v>
      </c>
      <c r="BP645" s="1125">
        <f t="shared" si="792"/>
        <v>0</v>
      </c>
      <c r="BQ645" s="1125">
        <f t="shared" si="793"/>
        <v>0</v>
      </c>
      <c r="BR645" s="1125">
        <f t="shared" si="794"/>
        <v>0</v>
      </c>
      <c r="BS645" s="1125">
        <f t="shared" si="795"/>
        <v>0</v>
      </c>
      <c r="BT645" s="1125">
        <f t="shared" si="796"/>
        <v>1</v>
      </c>
      <c r="BU645" s="1125">
        <f t="shared" si="797"/>
        <v>1</v>
      </c>
      <c r="BV645" s="1125">
        <f t="shared" si="798"/>
        <v>1</v>
      </c>
      <c r="BW645" s="1125">
        <f t="shared" si="799"/>
        <v>0</v>
      </c>
      <c r="BX645" s="1125">
        <f t="shared" si="800"/>
        <v>0</v>
      </c>
      <c r="BY645" s="1125">
        <f t="shared" si="801"/>
        <v>1</v>
      </c>
      <c r="BZ645" s="1125">
        <f t="shared" si="802"/>
        <v>1</v>
      </c>
      <c r="CA645" s="1125">
        <f t="shared" si="803"/>
        <v>1</v>
      </c>
      <c r="CB645" s="1125">
        <f t="shared" si="804"/>
        <v>1</v>
      </c>
      <c r="CC645" s="1125">
        <f t="shared" si="805"/>
        <v>1</v>
      </c>
      <c r="CD645" s="1125">
        <f t="shared" si="806"/>
        <v>1</v>
      </c>
      <c r="CE645" s="1125">
        <f t="shared" si="807"/>
        <v>1</v>
      </c>
      <c r="CF645" s="1125">
        <f t="shared" si="808"/>
        <v>1</v>
      </c>
      <c r="CG645" s="1125">
        <f t="shared" si="809"/>
        <v>0</v>
      </c>
      <c r="CH645" s="1125">
        <f t="shared" si="810"/>
        <v>0</v>
      </c>
      <c r="CI645" s="1125">
        <f t="shared" si="811"/>
        <v>0.85</v>
      </c>
      <c r="CJ645" s="1125">
        <f t="shared" si="812"/>
        <v>0.85</v>
      </c>
      <c r="CK645" s="1125">
        <f t="shared" si="813"/>
        <v>0.85</v>
      </c>
      <c r="CL645" s="1125">
        <f t="shared" si="814"/>
        <v>0.85</v>
      </c>
      <c r="CM645" s="1125">
        <f t="shared" si="815"/>
        <v>0.7</v>
      </c>
      <c r="CN645" s="1125">
        <f t="shared" si="816"/>
        <v>0.7</v>
      </c>
      <c r="CO645" s="1125">
        <f t="shared" si="817"/>
        <v>0.7</v>
      </c>
      <c r="CP645" s="1125">
        <f t="shared" si="818"/>
        <v>0.7</v>
      </c>
      <c r="CQ645" s="1125">
        <f t="shared" si="819"/>
        <v>0.7</v>
      </c>
      <c r="CR645" s="1125">
        <f t="shared" si="820"/>
        <v>0.85</v>
      </c>
      <c r="CS645" s="1125">
        <f t="shared" si="821"/>
        <v>0.85</v>
      </c>
      <c r="CT645" s="1125">
        <f t="shared" si="822"/>
        <v>0.85</v>
      </c>
      <c r="CU645" s="1125">
        <v>1</v>
      </c>
      <c r="CV645" s="1125"/>
      <c r="CW645" s="1125">
        <f t="shared" si="823"/>
        <v>245</v>
      </c>
      <c r="CX645" s="1125">
        <f t="shared" si="824"/>
        <v>120</v>
      </c>
      <c r="CY645" s="1136" t="s">
        <v>4883</v>
      </c>
      <c r="CZ645" s="1129" t="s">
        <v>4882</v>
      </c>
      <c r="DA645" s="1129"/>
      <c r="DB645" s="1129"/>
      <c r="DC645" s="1125" t="s">
        <v>5980</v>
      </c>
      <c r="DD645" s="1125" t="s">
        <v>460</v>
      </c>
      <c r="DE645" s="1120" t="b">
        <f t="shared" si="750"/>
        <v>0</v>
      </c>
      <c r="DF645" s="1133">
        <v>0</v>
      </c>
      <c r="DG645" s="1125">
        <v>0</v>
      </c>
    </row>
    <row r="646" spans="1:111">
      <c r="A646" s="1120" t="s">
        <v>4004</v>
      </c>
      <c r="B646" s="1120" t="s">
        <v>3691</v>
      </c>
      <c r="C646" s="1120" t="s">
        <v>3692</v>
      </c>
      <c r="D646" s="1120" t="s">
        <v>903</v>
      </c>
      <c r="E646" s="1120">
        <v>69</v>
      </c>
      <c r="F646" s="1120">
        <v>-69.930000000000007</v>
      </c>
      <c r="G646" s="1120">
        <v>43.9</v>
      </c>
      <c r="H646" s="1120">
        <v>-5</v>
      </c>
      <c r="I646" s="1121">
        <v>1.7600013732910149</v>
      </c>
      <c r="J646" s="1121">
        <v>83.119999313354498</v>
      </c>
      <c r="K646" s="1122">
        <v>68.900000000000006</v>
      </c>
      <c r="L646" s="1120">
        <v>7131.6</v>
      </c>
      <c r="M646" s="1120">
        <v>387</v>
      </c>
      <c r="N646" s="1123">
        <v>19.399999999999999</v>
      </c>
      <c r="O646" s="1123">
        <v>23</v>
      </c>
      <c r="P646" s="1123">
        <v>35.23999991416931</v>
      </c>
      <c r="Q646" s="1123">
        <v>42.620000171661374</v>
      </c>
      <c r="R646" s="1123">
        <v>55.040000343322752</v>
      </c>
      <c r="S646" s="1123">
        <v>59.719999313354492</v>
      </c>
      <c r="T646" s="1123">
        <v>69.080000686645505</v>
      </c>
      <c r="U646" s="1123">
        <v>69.080000686645505</v>
      </c>
      <c r="V646" s="1123">
        <v>63.319999313354494</v>
      </c>
      <c r="W646" s="1123">
        <v>47.3</v>
      </c>
      <c r="X646" s="1123">
        <v>37.939999914169313</v>
      </c>
      <c r="Y646" s="1123">
        <v>27.679999828338623</v>
      </c>
      <c r="Z646" s="1123">
        <v>45.916219196188941</v>
      </c>
      <c r="AA646" s="1123">
        <f t="shared" si="751"/>
        <v>43.146632340702759</v>
      </c>
      <c r="AB646" s="1123">
        <f t="shared" si="752"/>
        <v>41.518888292605403</v>
      </c>
      <c r="AC646" s="1123">
        <f t="shared" si="753"/>
        <v>42.601368772246374</v>
      </c>
      <c r="AD646" s="1123">
        <f t="shared" si="754"/>
        <v>46.11190856107811</v>
      </c>
      <c r="AE646" s="1123">
        <f t="shared" si="755"/>
        <v>51.135431364085917</v>
      </c>
      <c r="AF646" s="1123">
        <f t="shared" si="756"/>
        <v>56.362478547836083</v>
      </c>
      <c r="AG646" s="1123">
        <f t="shared" si="757"/>
        <v>60.430539712648766</v>
      </c>
      <c r="AH646" s="1123">
        <f t="shared" si="758"/>
        <v>62.279212025195349</v>
      </c>
      <c r="AI646" s="1123">
        <f t="shared" si="759"/>
        <v>61.426610558307885</v>
      </c>
      <c r="AJ646" s="1123">
        <f t="shared" si="760"/>
        <v>58.09497902331691</v>
      </c>
      <c r="AK646" s="1123">
        <f t="shared" si="761"/>
        <v>53.152758521813873</v>
      </c>
      <c r="AL646" s="1123">
        <f t="shared" si="762"/>
        <v>47.888214989438886</v>
      </c>
      <c r="AM646" s="1120">
        <f t="shared" si="763"/>
        <v>1</v>
      </c>
      <c r="AN646" s="1120">
        <f t="shared" si="764"/>
        <v>1</v>
      </c>
      <c r="AO646" s="1120">
        <f t="shared" si="765"/>
        <v>1</v>
      </c>
      <c r="AP646" s="1120">
        <f t="shared" si="766"/>
        <v>1</v>
      </c>
      <c r="AQ646" s="1120">
        <f t="shared" si="767"/>
        <v>1</v>
      </c>
      <c r="AR646" s="1120">
        <f t="shared" si="768"/>
        <v>1</v>
      </c>
      <c r="AS646" s="1120">
        <f t="shared" si="769"/>
        <v>0</v>
      </c>
      <c r="AT646" s="1120">
        <f t="shared" si="770"/>
        <v>0</v>
      </c>
      <c r="AU646" s="1120">
        <f t="shared" si="771"/>
        <v>1</v>
      </c>
      <c r="AV646" s="1120">
        <f t="shared" si="772"/>
        <v>1</v>
      </c>
      <c r="AW646" s="1120">
        <f t="shared" si="773"/>
        <v>1</v>
      </c>
      <c r="AX646" s="1120">
        <f t="shared" si="774"/>
        <v>1</v>
      </c>
      <c r="AY646" s="1120">
        <f t="shared" si="775"/>
        <v>0</v>
      </c>
      <c r="AZ646" s="1120">
        <f t="shared" si="776"/>
        <v>0</v>
      </c>
      <c r="BA646" s="1120">
        <f t="shared" si="777"/>
        <v>0</v>
      </c>
      <c r="BB646" s="1120">
        <f t="shared" si="778"/>
        <v>0</v>
      </c>
      <c r="BC646" s="1120">
        <f t="shared" si="779"/>
        <v>0</v>
      </c>
      <c r="BD646" s="1120">
        <f t="shared" si="780"/>
        <v>0</v>
      </c>
      <c r="BE646" s="1120">
        <f t="shared" si="781"/>
        <v>1</v>
      </c>
      <c r="BF646" s="1120">
        <f t="shared" si="782"/>
        <v>1</v>
      </c>
      <c r="BG646" s="1120">
        <f t="shared" si="783"/>
        <v>0</v>
      </c>
      <c r="BH646" s="1120">
        <f t="shared" si="784"/>
        <v>0</v>
      </c>
      <c r="BI646" s="1120">
        <f t="shared" si="785"/>
        <v>0</v>
      </c>
      <c r="BJ646" s="1120">
        <f t="shared" si="786"/>
        <v>0</v>
      </c>
      <c r="BK646" s="1120">
        <f t="shared" si="787"/>
        <v>1</v>
      </c>
      <c r="BL646" s="1120">
        <f t="shared" si="788"/>
        <v>1</v>
      </c>
      <c r="BM646" s="1120">
        <f t="shared" si="789"/>
        <v>1</v>
      </c>
      <c r="BN646" s="1120">
        <f t="shared" si="790"/>
        <v>1</v>
      </c>
      <c r="BO646" s="1120">
        <f t="shared" si="791"/>
        <v>1</v>
      </c>
      <c r="BP646" s="1120">
        <f t="shared" si="792"/>
        <v>1</v>
      </c>
      <c r="BQ646" s="1120">
        <f t="shared" si="793"/>
        <v>1</v>
      </c>
      <c r="BR646" s="1120">
        <f t="shared" si="794"/>
        <v>0</v>
      </c>
      <c r="BS646" s="1120">
        <f t="shared" si="795"/>
        <v>1</v>
      </c>
      <c r="BT646" s="1120">
        <f t="shared" si="796"/>
        <v>1</v>
      </c>
      <c r="BU646" s="1120">
        <f t="shared" si="797"/>
        <v>1</v>
      </c>
      <c r="BV646" s="1120">
        <f t="shared" si="798"/>
        <v>1</v>
      </c>
      <c r="BW646" s="1120">
        <f t="shared" si="799"/>
        <v>0</v>
      </c>
      <c r="BX646" s="1120">
        <f t="shared" si="800"/>
        <v>0</v>
      </c>
      <c r="BY646" s="1120">
        <f t="shared" si="801"/>
        <v>0</v>
      </c>
      <c r="BZ646" s="1120">
        <f t="shared" si="802"/>
        <v>0</v>
      </c>
      <c r="CA646" s="1120">
        <f t="shared" si="803"/>
        <v>0</v>
      </c>
      <c r="CB646" s="1120">
        <f t="shared" si="804"/>
        <v>1</v>
      </c>
      <c r="CC646" s="1120">
        <f t="shared" si="805"/>
        <v>1</v>
      </c>
      <c r="CD646" s="1120">
        <f t="shared" si="806"/>
        <v>1</v>
      </c>
      <c r="CE646" s="1120">
        <f t="shared" si="807"/>
        <v>1</v>
      </c>
      <c r="CF646" s="1120">
        <f t="shared" si="808"/>
        <v>0</v>
      </c>
      <c r="CG646" s="1120">
        <f t="shared" si="809"/>
        <v>0</v>
      </c>
      <c r="CH646" s="1120">
        <f t="shared" si="810"/>
        <v>0</v>
      </c>
      <c r="CI646" s="1120">
        <f t="shared" si="811"/>
        <v>0.85</v>
      </c>
      <c r="CJ646" s="1120">
        <f t="shared" si="812"/>
        <v>0.85</v>
      </c>
      <c r="CK646" s="1120">
        <f t="shared" si="813"/>
        <v>0.85</v>
      </c>
      <c r="CL646" s="1120">
        <f t="shared" si="814"/>
        <v>0.85</v>
      </c>
      <c r="CM646" s="1120">
        <f t="shared" si="815"/>
        <v>0.85</v>
      </c>
      <c r="CN646" s="1120">
        <f t="shared" si="816"/>
        <v>0.85</v>
      </c>
      <c r="CO646" s="1120">
        <f t="shared" si="817"/>
        <v>0.85</v>
      </c>
      <c r="CP646" s="1120">
        <f t="shared" si="818"/>
        <v>0.7</v>
      </c>
      <c r="CQ646" s="1120">
        <f t="shared" si="819"/>
        <v>0.85</v>
      </c>
      <c r="CR646" s="1120">
        <f t="shared" si="820"/>
        <v>0.85</v>
      </c>
      <c r="CS646" s="1120">
        <f t="shared" si="821"/>
        <v>0.85</v>
      </c>
      <c r="CT646" s="1120">
        <f t="shared" si="822"/>
        <v>0.85</v>
      </c>
      <c r="CU646" s="1120">
        <v>1</v>
      </c>
      <c r="CV646" s="1120"/>
      <c r="CW646" s="1120">
        <f t="shared" si="823"/>
        <v>122</v>
      </c>
      <c r="CX646" s="1120">
        <f t="shared" si="824"/>
        <v>243</v>
      </c>
      <c r="CY646" s="1135" t="s">
        <v>4889</v>
      </c>
      <c r="CZ646" s="1124" t="s">
        <v>4899</v>
      </c>
      <c r="DA646" s="1124"/>
      <c r="DB646" s="1124"/>
      <c r="DC646" s="1120" t="s">
        <v>5286</v>
      </c>
      <c r="DD646" s="1120" t="s">
        <v>903</v>
      </c>
      <c r="DE646" s="1120" t="b">
        <f t="shared" si="750"/>
        <v>0</v>
      </c>
      <c r="DF646" s="1133">
        <v>0</v>
      </c>
      <c r="DG646" s="1120">
        <v>0</v>
      </c>
    </row>
    <row r="647" spans="1:111">
      <c r="A647" s="1125" t="s">
        <v>4006</v>
      </c>
      <c r="B647" s="1120" t="s">
        <v>3148</v>
      </c>
      <c r="C647" s="1120" t="s">
        <v>3149</v>
      </c>
      <c r="D647" s="1120" t="s">
        <v>954</v>
      </c>
      <c r="E647" s="1120">
        <v>915</v>
      </c>
      <c r="F647" s="1120">
        <v>-114.62</v>
      </c>
      <c r="G647" s="1120">
        <v>34.770000000000003</v>
      </c>
      <c r="H647" s="1120">
        <v>-8</v>
      </c>
      <c r="I647" s="1121">
        <v>39.379999828338626</v>
      </c>
      <c r="J647" s="1121">
        <v>112.10000000000001</v>
      </c>
      <c r="K647" s="1122">
        <v>68.180000686645513</v>
      </c>
      <c r="L647" s="1120">
        <v>972</v>
      </c>
      <c r="M647" s="1120">
        <v>4975.2</v>
      </c>
      <c r="N647" s="1123">
        <v>54.5</v>
      </c>
      <c r="O647" s="1123">
        <v>56.659999656677243</v>
      </c>
      <c r="P647" s="1123">
        <v>65.119999313354498</v>
      </c>
      <c r="Q647" s="1123">
        <v>75.380000686645502</v>
      </c>
      <c r="R647" s="1123">
        <v>84.2</v>
      </c>
      <c r="S647" s="1123">
        <v>94.639998626708987</v>
      </c>
      <c r="T647" s="1123">
        <v>97.7</v>
      </c>
      <c r="U647" s="1123">
        <v>97.160001373291024</v>
      </c>
      <c r="V647" s="1123">
        <v>85.460001373291021</v>
      </c>
      <c r="W647" s="1123">
        <v>74.66000137329101</v>
      </c>
      <c r="X647" s="1123">
        <v>61.519999313354496</v>
      </c>
      <c r="Y647" s="1123">
        <v>55.940000343322751</v>
      </c>
      <c r="Z647" s="1123">
        <v>75.353863191473977</v>
      </c>
      <c r="AA647" s="1123">
        <f t="shared" si="751"/>
        <v>65.971758800023267</v>
      </c>
      <c r="AB647" s="1123">
        <f t="shared" si="752"/>
        <v>67.499479819093182</v>
      </c>
      <c r="AC647" s="1123">
        <f t="shared" si="753"/>
        <v>72.638559366684589</v>
      </c>
      <c r="AD647" s="1123">
        <f t="shared" si="754"/>
        <v>80.049417163104721</v>
      </c>
      <c r="AE647" s="1123">
        <f t="shared" si="755"/>
        <v>87.800298918941095</v>
      </c>
      <c r="AF647" s="1123">
        <f t="shared" si="756"/>
        <v>93.870817859831519</v>
      </c>
      <c r="AG647" s="1123">
        <f t="shared" si="757"/>
        <v>96.678599674304323</v>
      </c>
      <c r="AH647" s="1123">
        <f t="shared" si="758"/>
        <v>95.491752763189652</v>
      </c>
      <c r="AI647" s="1123">
        <f t="shared" si="759"/>
        <v>90.619647063734078</v>
      </c>
      <c r="AJ647" s="1123">
        <f t="shared" si="760"/>
        <v>83.332272007922214</v>
      </c>
      <c r="AK647" s="1123">
        <f t="shared" si="761"/>
        <v>75.529194205900396</v>
      </c>
      <c r="AL647" s="1123">
        <f t="shared" si="762"/>
        <v>69.244406135834424</v>
      </c>
      <c r="AM647" s="1120">
        <f t="shared" si="763"/>
        <v>1</v>
      </c>
      <c r="AN647" s="1120">
        <f t="shared" si="764"/>
        <v>1</v>
      </c>
      <c r="AO647" s="1120">
        <f t="shared" si="765"/>
        <v>1</v>
      </c>
      <c r="AP647" s="1120">
        <f t="shared" si="766"/>
        <v>0</v>
      </c>
      <c r="AQ647" s="1120">
        <f t="shared" si="767"/>
        <v>0</v>
      </c>
      <c r="AR647" s="1120">
        <f t="shared" si="768"/>
        <v>0</v>
      </c>
      <c r="AS647" s="1120">
        <f t="shared" si="769"/>
        <v>0</v>
      </c>
      <c r="AT647" s="1120">
        <f t="shared" si="770"/>
        <v>0</v>
      </c>
      <c r="AU647" s="1120">
        <f t="shared" si="771"/>
        <v>0</v>
      </c>
      <c r="AV647" s="1120">
        <f t="shared" si="772"/>
        <v>0</v>
      </c>
      <c r="AW647" s="1120">
        <f t="shared" si="773"/>
        <v>1</v>
      </c>
      <c r="AX647" s="1120">
        <f t="shared" si="774"/>
        <v>1</v>
      </c>
      <c r="AY647" s="1120">
        <f t="shared" si="775"/>
        <v>0</v>
      </c>
      <c r="AZ647" s="1120">
        <f t="shared" si="776"/>
        <v>0</v>
      </c>
      <c r="BA647" s="1120">
        <f t="shared" si="777"/>
        <v>0</v>
      </c>
      <c r="BB647" s="1120">
        <f t="shared" si="778"/>
        <v>1</v>
      </c>
      <c r="BC647" s="1120">
        <f t="shared" si="779"/>
        <v>1</v>
      </c>
      <c r="BD647" s="1120">
        <f t="shared" si="780"/>
        <v>1</v>
      </c>
      <c r="BE647" s="1120">
        <f t="shared" si="781"/>
        <v>1</v>
      </c>
      <c r="BF647" s="1120">
        <f t="shared" si="782"/>
        <v>1</v>
      </c>
      <c r="BG647" s="1120">
        <f t="shared" si="783"/>
        <v>1</v>
      </c>
      <c r="BH647" s="1120">
        <f t="shared" si="784"/>
        <v>1</v>
      </c>
      <c r="BI647" s="1120">
        <f t="shared" si="785"/>
        <v>0</v>
      </c>
      <c r="BJ647" s="1120">
        <f t="shared" si="786"/>
        <v>0</v>
      </c>
      <c r="BK647" s="1120">
        <f t="shared" si="787"/>
        <v>1</v>
      </c>
      <c r="BL647" s="1120">
        <f t="shared" si="788"/>
        <v>1</v>
      </c>
      <c r="BM647" s="1120">
        <f t="shared" si="789"/>
        <v>1</v>
      </c>
      <c r="BN647" s="1120">
        <f t="shared" si="790"/>
        <v>1</v>
      </c>
      <c r="BO647" s="1120">
        <f t="shared" si="791"/>
        <v>0</v>
      </c>
      <c r="BP647" s="1120">
        <f t="shared" si="792"/>
        <v>0</v>
      </c>
      <c r="BQ647" s="1120">
        <f t="shared" si="793"/>
        <v>0</v>
      </c>
      <c r="BR647" s="1120">
        <f t="shared" si="794"/>
        <v>0</v>
      </c>
      <c r="BS647" s="1120">
        <f t="shared" si="795"/>
        <v>0</v>
      </c>
      <c r="BT647" s="1120">
        <f t="shared" si="796"/>
        <v>0</v>
      </c>
      <c r="BU647" s="1120">
        <f t="shared" si="797"/>
        <v>1</v>
      </c>
      <c r="BV647" s="1120">
        <f t="shared" si="798"/>
        <v>1</v>
      </c>
      <c r="BW647" s="1120">
        <f t="shared" si="799"/>
        <v>0</v>
      </c>
      <c r="BX647" s="1120">
        <f t="shared" si="800"/>
        <v>0</v>
      </c>
      <c r="BY647" s="1120">
        <f t="shared" si="801"/>
        <v>1</v>
      </c>
      <c r="BZ647" s="1120">
        <f t="shared" si="802"/>
        <v>1</v>
      </c>
      <c r="CA647" s="1120">
        <f t="shared" si="803"/>
        <v>1</v>
      </c>
      <c r="CB647" s="1120">
        <f t="shared" si="804"/>
        <v>1</v>
      </c>
      <c r="CC647" s="1120">
        <f t="shared" si="805"/>
        <v>1</v>
      </c>
      <c r="CD647" s="1120">
        <f t="shared" si="806"/>
        <v>1</v>
      </c>
      <c r="CE647" s="1120">
        <f t="shared" si="807"/>
        <v>1</v>
      </c>
      <c r="CF647" s="1120">
        <f t="shared" si="808"/>
        <v>1</v>
      </c>
      <c r="CG647" s="1120">
        <f t="shared" si="809"/>
        <v>1</v>
      </c>
      <c r="CH647" s="1120">
        <f t="shared" si="810"/>
        <v>0</v>
      </c>
      <c r="CI647" s="1120">
        <f t="shared" si="811"/>
        <v>0.85</v>
      </c>
      <c r="CJ647" s="1120">
        <f t="shared" si="812"/>
        <v>0.85</v>
      </c>
      <c r="CK647" s="1120">
        <f t="shared" si="813"/>
        <v>0.85</v>
      </c>
      <c r="CL647" s="1120">
        <f t="shared" si="814"/>
        <v>0.85</v>
      </c>
      <c r="CM647" s="1120">
        <f t="shared" si="815"/>
        <v>0.7</v>
      </c>
      <c r="CN647" s="1120">
        <f t="shared" si="816"/>
        <v>0.7</v>
      </c>
      <c r="CO647" s="1120">
        <f t="shared" si="817"/>
        <v>0.7</v>
      </c>
      <c r="CP647" s="1120">
        <f t="shared" si="818"/>
        <v>0.7</v>
      </c>
      <c r="CQ647" s="1120">
        <f t="shared" si="819"/>
        <v>0.7</v>
      </c>
      <c r="CR647" s="1120">
        <f t="shared" si="820"/>
        <v>0.7</v>
      </c>
      <c r="CS647" s="1120">
        <f t="shared" si="821"/>
        <v>0.85</v>
      </c>
      <c r="CT647" s="1120">
        <f t="shared" si="822"/>
        <v>0.85</v>
      </c>
      <c r="CU647" s="1120">
        <v>1</v>
      </c>
      <c r="CV647" s="1120"/>
      <c r="CW647" s="1120">
        <f t="shared" si="823"/>
        <v>275</v>
      </c>
      <c r="CX647" s="1120">
        <f t="shared" si="824"/>
        <v>90</v>
      </c>
      <c r="CY647" s="1136" t="s">
        <v>4886</v>
      </c>
      <c r="CZ647" s="1129" t="s">
        <v>4888</v>
      </c>
      <c r="DA647" s="1129"/>
      <c r="DB647" s="1129"/>
      <c r="DC647" s="1125" t="s">
        <v>5039</v>
      </c>
      <c r="DD647" s="1125" t="s">
        <v>954</v>
      </c>
      <c r="DE647" s="1120" t="str">
        <f t="shared" si="750"/>
        <v/>
      </c>
      <c r="DF647" s="1120">
        <v>0</v>
      </c>
      <c r="DG647" s="1125">
        <v>0</v>
      </c>
    </row>
    <row r="648" spans="1:111">
      <c r="A648" s="1120" t="s">
        <v>4008</v>
      </c>
      <c r="B648" s="1125" t="s">
        <v>4110</v>
      </c>
      <c r="C648" s="1125" t="s">
        <v>4111</v>
      </c>
      <c r="D648" s="1125" t="s">
        <v>450</v>
      </c>
      <c r="E648" s="1125">
        <v>1879</v>
      </c>
      <c r="F648" s="1125">
        <v>-115.03</v>
      </c>
      <c r="G648" s="1125">
        <v>36.25</v>
      </c>
      <c r="H648" s="1125">
        <v>-8</v>
      </c>
      <c r="I648" s="1126">
        <v>31.459999978542328</v>
      </c>
      <c r="J648" s="1126">
        <v>107.23999862670898</v>
      </c>
      <c r="K648" s="1127">
        <v>67.099999999999994</v>
      </c>
      <c r="L648" s="1125">
        <v>2104.2000000000003</v>
      </c>
      <c r="M648" s="1125">
        <v>3907.8</v>
      </c>
      <c r="N648" s="1128">
        <v>48.919999313354495</v>
      </c>
      <c r="O648" s="1128">
        <v>51.619999313354491</v>
      </c>
      <c r="P648" s="1128">
        <v>58.640000343322754</v>
      </c>
      <c r="Q648" s="1128">
        <v>62.060001373291016</v>
      </c>
      <c r="R648" s="1128">
        <v>83.83999862670899</v>
      </c>
      <c r="S648" s="1128">
        <v>90.860001373291013</v>
      </c>
      <c r="T648" s="1128">
        <v>94.279997253417974</v>
      </c>
      <c r="U648" s="1128">
        <v>90.320002746582034</v>
      </c>
      <c r="V648" s="1128">
        <v>83.119999313354498</v>
      </c>
      <c r="W648" s="1128">
        <v>66.919999313354495</v>
      </c>
      <c r="X648" s="1128">
        <v>52.340000343322757</v>
      </c>
      <c r="Y648" s="1128">
        <v>47.480000686645511</v>
      </c>
      <c r="Z648" s="1128">
        <v>69.312767122347068</v>
      </c>
      <c r="AA648" s="1128">
        <f t="shared" si="751"/>
        <v>60.241458767436349</v>
      </c>
      <c r="AB648" s="1128">
        <f t="shared" si="752"/>
        <v>60.95386132021455</v>
      </c>
      <c r="AC648" s="1128">
        <f t="shared" si="753"/>
        <v>65.409133947755009</v>
      </c>
      <c r="AD648" s="1128">
        <f t="shared" si="754"/>
        <v>72.44594118185988</v>
      </c>
      <c r="AE648" s="1128">
        <f t="shared" si="755"/>
        <v>80.230030776477761</v>
      </c>
      <c r="AF648" s="1128">
        <f t="shared" si="756"/>
        <v>86.732359822319808</v>
      </c>
      <c r="AG648" s="1128">
        <f t="shared" si="757"/>
        <v>90.257996049663547</v>
      </c>
      <c r="AH648" s="1128">
        <f t="shared" si="758"/>
        <v>89.887928044152957</v>
      </c>
      <c r="AI648" s="1128">
        <f t="shared" si="759"/>
        <v>85.718619734344983</v>
      </c>
      <c r="AJ648" s="1128">
        <f t="shared" si="760"/>
        <v>78.836865582176969</v>
      </c>
      <c r="AK648" s="1128">
        <f t="shared" si="761"/>
        <v>71.036500858453138</v>
      </c>
      <c r="AL648" s="1128">
        <f t="shared" si="762"/>
        <v>64.350810835671126</v>
      </c>
      <c r="AM648" s="1125">
        <f t="shared" si="763"/>
        <v>1</v>
      </c>
      <c r="AN648" s="1125">
        <f t="shared" si="764"/>
        <v>1</v>
      </c>
      <c r="AO648" s="1125">
        <f t="shared" si="765"/>
        <v>1</v>
      </c>
      <c r="AP648" s="1125">
        <f t="shared" si="766"/>
        <v>1</v>
      </c>
      <c r="AQ648" s="1125">
        <f t="shared" si="767"/>
        <v>0</v>
      </c>
      <c r="AR648" s="1125">
        <f t="shared" si="768"/>
        <v>0</v>
      </c>
      <c r="AS648" s="1125">
        <f t="shared" si="769"/>
        <v>0</v>
      </c>
      <c r="AT648" s="1125">
        <f t="shared" si="770"/>
        <v>0</v>
      </c>
      <c r="AU648" s="1125">
        <f t="shared" si="771"/>
        <v>0</v>
      </c>
      <c r="AV648" s="1125">
        <f t="shared" si="772"/>
        <v>0</v>
      </c>
      <c r="AW648" s="1125">
        <f t="shared" si="773"/>
        <v>1</v>
      </c>
      <c r="AX648" s="1125">
        <f t="shared" si="774"/>
        <v>1</v>
      </c>
      <c r="AY648" s="1125">
        <f t="shared" si="775"/>
        <v>0</v>
      </c>
      <c r="AZ648" s="1125">
        <f t="shared" si="776"/>
        <v>0</v>
      </c>
      <c r="BA648" s="1125">
        <f t="shared" si="777"/>
        <v>0</v>
      </c>
      <c r="BB648" s="1125">
        <f t="shared" si="778"/>
        <v>0</v>
      </c>
      <c r="BC648" s="1125">
        <f t="shared" si="779"/>
        <v>1</v>
      </c>
      <c r="BD648" s="1125">
        <f t="shared" si="780"/>
        <v>1</v>
      </c>
      <c r="BE648" s="1125">
        <f t="shared" si="781"/>
        <v>1</v>
      </c>
      <c r="BF648" s="1125">
        <f t="shared" si="782"/>
        <v>1</v>
      </c>
      <c r="BG648" s="1125">
        <f t="shared" si="783"/>
        <v>1</v>
      </c>
      <c r="BH648" s="1125">
        <f t="shared" si="784"/>
        <v>1</v>
      </c>
      <c r="BI648" s="1125">
        <f t="shared" si="785"/>
        <v>0</v>
      </c>
      <c r="BJ648" s="1125">
        <f t="shared" si="786"/>
        <v>0</v>
      </c>
      <c r="BK648" s="1125">
        <f t="shared" si="787"/>
        <v>1</v>
      </c>
      <c r="BL648" s="1125">
        <f t="shared" si="788"/>
        <v>1</v>
      </c>
      <c r="BM648" s="1125">
        <f t="shared" si="789"/>
        <v>1</v>
      </c>
      <c r="BN648" s="1125">
        <f t="shared" si="790"/>
        <v>1</v>
      </c>
      <c r="BO648" s="1125">
        <f t="shared" si="791"/>
        <v>1</v>
      </c>
      <c r="BP648" s="1125">
        <f t="shared" si="792"/>
        <v>0</v>
      </c>
      <c r="BQ648" s="1125">
        <f t="shared" si="793"/>
        <v>0</v>
      </c>
      <c r="BR648" s="1125">
        <f t="shared" si="794"/>
        <v>0</v>
      </c>
      <c r="BS648" s="1125">
        <f t="shared" si="795"/>
        <v>0</v>
      </c>
      <c r="BT648" s="1125">
        <f t="shared" si="796"/>
        <v>0</v>
      </c>
      <c r="BU648" s="1125">
        <f t="shared" si="797"/>
        <v>1</v>
      </c>
      <c r="BV648" s="1125">
        <f t="shared" si="798"/>
        <v>1</v>
      </c>
      <c r="BW648" s="1125">
        <f t="shared" si="799"/>
        <v>0</v>
      </c>
      <c r="BX648" s="1125">
        <f t="shared" si="800"/>
        <v>0</v>
      </c>
      <c r="BY648" s="1125">
        <f t="shared" si="801"/>
        <v>0</v>
      </c>
      <c r="BZ648" s="1125">
        <f t="shared" si="802"/>
        <v>1</v>
      </c>
      <c r="CA648" s="1125">
        <f t="shared" si="803"/>
        <v>1</v>
      </c>
      <c r="CB648" s="1125">
        <f t="shared" si="804"/>
        <v>1</v>
      </c>
      <c r="CC648" s="1125">
        <f t="shared" si="805"/>
        <v>1</v>
      </c>
      <c r="CD648" s="1125">
        <f t="shared" si="806"/>
        <v>1</v>
      </c>
      <c r="CE648" s="1125">
        <f t="shared" si="807"/>
        <v>1</v>
      </c>
      <c r="CF648" s="1125">
        <f t="shared" si="808"/>
        <v>1</v>
      </c>
      <c r="CG648" s="1125">
        <f t="shared" si="809"/>
        <v>1</v>
      </c>
      <c r="CH648" s="1125">
        <f t="shared" si="810"/>
        <v>0</v>
      </c>
      <c r="CI648" s="1125">
        <f t="shared" si="811"/>
        <v>0.85</v>
      </c>
      <c r="CJ648" s="1125">
        <f t="shared" si="812"/>
        <v>0.85</v>
      </c>
      <c r="CK648" s="1125">
        <f t="shared" si="813"/>
        <v>0.85</v>
      </c>
      <c r="CL648" s="1125">
        <f t="shared" si="814"/>
        <v>0.85</v>
      </c>
      <c r="CM648" s="1125">
        <f t="shared" si="815"/>
        <v>0.85</v>
      </c>
      <c r="CN648" s="1125">
        <f t="shared" si="816"/>
        <v>0.7</v>
      </c>
      <c r="CO648" s="1125">
        <f t="shared" si="817"/>
        <v>0.7</v>
      </c>
      <c r="CP648" s="1125">
        <f t="shared" si="818"/>
        <v>0.7</v>
      </c>
      <c r="CQ648" s="1125">
        <f t="shared" si="819"/>
        <v>0.7</v>
      </c>
      <c r="CR648" s="1125">
        <f t="shared" si="820"/>
        <v>0.7</v>
      </c>
      <c r="CS648" s="1125">
        <f t="shared" si="821"/>
        <v>0.85</v>
      </c>
      <c r="CT648" s="1125">
        <f t="shared" si="822"/>
        <v>0.85</v>
      </c>
      <c r="CU648" s="1125">
        <v>1</v>
      </c>
      <c r="CV648" s="1125"/>
      <c r="CW648" s="1125">
        <f t="shared" si="823"/>
        <v>244</v>
      </c>
      <c r="CX648" s="1125">
        <f t="shared" si="824"/>
        <v>121</v>
      </c>
      <c r="CY648" s="1136" t="s">
        <v>4886</v>
      </c>
      <c r="CZ648" s="1129" t="s">
        <v>4888</v>
      </c>
      <c r="DA648" s="1129"/>
      <c r="DB648" s="1129"/>
      <c r="DC648" s="1125" t="s">
        <v>5466</v>
      </c>
      <c r="DD648" s="1125" t="s">
        <v>450</v>
      </c>
      <c r="DE648" s="1120" t="str">
        <f t="shared" si="750"/>
        <v/>
      </c>
      <c r="DF648" s="1133">
        <v>0</v>
      </c>
      <c r="DG648" s="1120">
        <v>0</v>
      </c>
    </row>
    <row r="649" spans="1:111">
      <c r="A649" s="1125" t="s">
        <v>4012</v>
      </c>
      <c r="B649" s="1120" t="s">
        <v>2968</v>
      </c>
      <c r="C649" s="1120" t="s">
        <v>2969</v>
      </c>
      <c r="D649" s="1120" t="s">
        <v>953</v>
      </c>
      <c r="E649" s="1120">
        <v>358</v>
      </c>
      <c r="F649" s="1120">
        <v>-149.1</v>
      </c>
      <c r="G649" s="1120">
        <v>64.55</v>
      </c>
      <c r="H649" s="1120">
        <v>-9</v>
      </c>
      <c r="I649" s="1121">
        <v>-43.779997253417967</v>
      </c>
      <c r="J649" s="1121">
        <v>76.639998626708987</v>
      </c>
      <c r="K649" s="1122">
        <v>59.359999656677246</v>
      </c>
      <c r="L649" s="1120">
        <v>12427.2</v>
      </c>
      <c r="M649" s="1120">
        <v>14.4</v>
      </c>
      <c r="N649" s="1123">
        <v>14.359999656677246</v>
      </c>
      <c r="O649" s="1123">
        <v>14.180000686645508</v>
      </c>
      <c r="P649" s="1123">
        <v>21.920000171661378</v>
      </c>
      <c r="Q649" s="1123">
        <v>27.320000171661377</v>
      </c>
      <c r="R649" s="1123">
        <v>47.119999313354491</v>
      </c>
      <c r="S649" s="1123">
        <v>57.380000686645509</v>
      </c>
      <c r="T649" s="1123">
        <v>60.619999313354491</v>
      </c>
      <c r="U649" s="1123">
        <v>54.140000343322754</v>
      </c>
      <c r="V649" s="1123">
        <v>30.019999957084657</v>
      </c>
      <c r="W649" s="1123">
        <v>22.640000343322754</v>
      </c>
      <c r="X649" s="1123">
        <v>21.2</v>
      </c>
      <c r="Y649" s="1123">
        <v>-7.2399986267089851</v>
      </c>
      <c r="Z649" s="1123">
        <v>30.397260437403638</v>
      </c>
      <c r="AA649" s="1123">
        <f t="shared" si="751"/>
        <v>32</v>
      </c>
      <c r="AB649" s="1123">
        <f t="shared" si="752"/>
        <v>32</v>
      </c>
      <c r="AC649" s="1123">
        <f t="shared" si="753"/>
        <v>32</v>
      </c>
      <c r="AD649" s="1123">
        <f t="shared" si="754"/>
        <v>32</v>
      </c>
      <c r="AE649" s="1123">
        <f t="shared" si="755"/>
        <v>33.39241931358449</v>
      </c>
      <c r="AF649" s="1123">
        <f t="shared" si="756"/>
        <v>37.949122678514868</v>
      </c>
      <c r="AG649" s="1123">
        <f t="shared" si="757"/>
        <v>42.101309235378572</v>
      </c>
      <c r="AH649" s="1123">
        <f t="shared" si="758"/>
        <v>44.766647570997364</v>
      </c>
      <c r="AI649" s="1123">
        <f t="shared" si="759"/>
        <v>45.25037617408514</v>
      </c>
      <c r="AJ649" s="1123">
        <f t="shared" si="760"/>
        <v>43.426403729763663</v>
      </c>
      <c r="AK649" s="1123">
        <f t="shared" si="761"/>
        <v>39.770176763911522</v>
      </c>
      <c r="AL649" s="1123">
        <f t="shared" si="762"/>
        <v>35.234747179341142</v>
      </c>
      <c r="AM649" s="1120">
        <f t="shared" si="763"/>
        <v>1</v>
      </c>
      <c r="AN649" s="1120">
        <f t="shared" si="764"/>
        <v>1</v>
      </c>
      <c r="AO649" s="1120">
        <f t="shared" si="765"/>
        <v>1</v>
      </c>
      <c r="AP649" s="1120">
        <f t="shared" si="766"/>
        <v>1</v>
      </c>
      <c r="AQ649" s="1120">
        <f t="shared" si="767"/>
        <v>1</v>
      </c>
      <c r="AR649" s="1120">
        <f t="shared" si="768"/>
        <v>1</v>
      </c>
      <c r="AS649" s="1120">
        <f t="shared" si="769"/>
        <v>1</v>
      </c>
      <c r="AT649" s="1120">
        <f t="shared" si="770"/>
        <v>1</v>
      </c>
      <c r="AU649" s="1120">
        <f t="shared" si="771"/>
        <v>1</v>
      </c>
      <c r="AV649" s="1120">
        <f t="shared" si="772"/>
        <v>1</v>
      </c>
      <c r="AW649" s="1120">
        <f t="shared" si="773"/>
        <v>1</v>
      </c>
      <c r="AX649" s="1120">
        <f t="shared" si="774"/>
        <v>1</v>
      </c>
      <c r="AY649" s="1120">
        <f t="shared" si="775"/>
        <v>0</v>
      </c>
      <c r="AZ649" s="1120">
        <f t="shared" si="776"/>
        <v>0</v>
      </c>
      <c r="BA649" s="1120">
        <f t="shared" si="777"/>
        <v>0</v>
      </c>
      <c r="BB649" s="1120">
        <f t="shared" si="778"/>
        <v>0</v>
      </c>
      <c r="BC649" s="1120">
        <f t="shared" si="779"/>
        <v>0</v>
      </c>
      <c r="BD649" s="1120">
        <f t="shared" si="780"/>
        <v>0</v>
      </c>
      <c r="BE649" s="1120">
        <f t="shared" si="781"/>
        <v>1</v>
      </c>
      <c r="BF649" s="1120">
        <f t="shared" si="782"/>
        <v>1</v>
      </c>
      <c r="BG649" s="1120">
        <f t="shared" si="783"/>
        <v>0</v>
      </c>
      <c r="BH649" s="1120">
        <f t="shared" si="784"/>
        <v>0</v>
      </c>
      <c r="BI649" s="1120">
        <f t="shared" si="785"/>
        <v>0</v>
      </c>
      <c r="BJ649" s="1120">
        <f t="shared" si="786"/>
        <v>0</v>
      </c>
      <c r="BK649" s="1120">
        <f t="shared" si="787"/>
        <v>1</v>
      </c>
      <c r="BL649" s="1120">
        <f t="shared" si="788"/>
        <v>1</v>
      </c>
      <c r="BM649" s="1120">
        <f t="shared" si="789"/>
        <v>1</v>
      </c>
      <c r="BN649" s="1120">
        <f t="shared" si="790"/>
        <v>1</v>
      </c>
      <c r="BO649" s="1120">
        <f t="shared" si="791"/>
        <v>1</v>
      </c>
      <c r="BP649" s="1120">
        <f t="shared" si="792"/>
        <v>1</v>
      </c>
      <c r="BQ649" s="1120">
        <f t="shared" si="793"/>
        <v>1</v>
      </c>
      <c r="BR649" s="1120">
        <f t="shared" si="794"/>
        <v>1</v>
      </c>
      <c r="BS649" s="1120">
        <f t="shared" si="795"/>
        <v>1</v>
      </c>
      <c r="BT649" s="1120">
        <f t="shared" si="796"/>
        <v>1</v>
      </c>
      <c r="BU649" s="1120">
        <f t="shared" si="797"/>
        <v>1</v>
      </c>
      <c r="BV649" s="1120">
        <f t="shared" si="798"/>
        <v>1</v>
      </c>
      <c r="BW649" s="1120">
        <f t="shared" si="799"/>
        <v>0</v>
      </c>
      <c r="BX649" s="1120">
        <f t="shared" si="800"/>
        <v>0</v>
      </c>
      <c r="BY649" s="1120">
        <f t="shared" si="801"/>
        <v>0</v>
      </c>
      <c r="BZ649" s="1120">
        <f t="shared" si="802"/>
        <v>0</v>
      </c>
      <c r="CA649" s="1120">
        <f t="shared" si="803"/>
        <v>0</v>
      </c>
      <c r="CB649" s="1120">
        <f t="shared" si="804"/>
        <v>0</v>
      </c>
      <c r="CC649" s="1120">
        <f t="shared" si="805"/>
        <v>1</v>
      </c>
      <c r="CD649" s="1120">
        <f t="shared" si="806"/>
        <v>1</v>
      </c>
      <c r="CE649" s="1120">
        <f t="shared" si="807"/>
        <v>0</v>
      </c>
      <c r="CF649" s="1120">
        <f t="shared" si="808"/>
        <v>0</v>
      </c>
      <c r="CG649" s="1120">
        <f t="shared" si="809"/>
        <v>0</v>
      </c>
      <c r="CH649" s="1120">
        <f t="shared" si="810"/>
        <v>0</v>
      </c>
      <c r="CI649" s="1120">
        <f t="shared" si="811"/>
        <v>0.85</v>
      </c>
      <c r="CJ649" s="1120">
        <f t="shared" si="812"/>
        <v>0.85</v>
      </c>
      <c r="CK649" s="1120">
        <f t="shared" si="813"/>
        <v>0.85</v>
      </c>
      <c r="CL649" s="1120">
        <f t="shared" si="814"/>
        <v>0.85</v>
      </c>
      <c r="CM649" s="1120">
        <f t="shared" si="815"/>
        <v>0.85</v>
      </c>
      <c r="CN649" s="1120">
        <f t="shared" si="816"/>
        <v>0.85</v>
      </c>
      <c r="CO649" s="1120">
        <f t="shared" si="817"/>
        <v>0.85</v>
      </c>
      <c r="CP649" s="1120">
        <f t="shared" si="818"/>
        <v>0.85</v>
      </c>
      <c r="CQ649" s="1120">
        <f t="shared" si="819"/>
        <v>0.85</v>
      </c>
      <c r="CR649" s="1120">
        <f t="shared" si="820"/>
        <v>0.85</v>
      </c>
      <c r="CS649" s="1120">
        <f t="shared" si="821"/>
        <v>0.85</v>
      </c>
      <c r="CT649" s="1120">
        <f t="shared" si="822"/>
        <v>0.85</v>
      </c>
      <c r="CU649" s="1120">
        <v>1</v>
      </c>
      <c r="CV649" s="1120"/>
      <c r="CW649" s="1120">
        <f t="shared" si="823"/>
        <v>62</v>
      </c>
      <c r="CX649" s="1120">
        <f t="shared" si="824"/>
        <v>303</v>
      </c>
      <c r="CY649" s="1135" t="s">
        <v>4880</v>
      </c>
      <c r="CZ649" s="1124">
        <v>8</v>
      </c>
      <c r="DA649" s="1124"/>
      <c r="DB649" s="1124"/>
      <c r="DC649" s="1120" t="s">
        <v>4949</v>
      </c>
      <c r="DD649" s="1120" t="s">
        <v>953</v>
      </c>
      <c r="DE649" s="1120" t="str">
        <f t="shared" si="750"/>
        <v/>
      </c>
      <c r="DF649" s="1120">
        <v>1</v>
      </c>
      <c r="DG649" s="1125">
        <v>0</v>
      </c>
    </row>
    <row r="650" spans="1:111">
      <c r="A650" s="1120" t="s">
        <v>5902</v>
      </c>
      <c r="B650" s="1120" t="s">
        <v>3661</v>
      </c>
      <c r="C650" s="1120" t="s">
        <v>3662</v>
      </c>
      <c r="D650" s="1120" t="s">
        <v>250</v>
      </c>
      <c r="E650" s="1120">
        <v>82</v>
      </c>
      <c r="F650" s="1120">
        <v>-70.95</v>
      </c>
      <c r="G650" s="1120">
        <v>41.67</v>
      </c>
      <c r="H650" s="1120">
        <v>-5</v>
      </c>
      <c r="I650" s="1121">
        <v>11.840000343322753</v>
      </c>
      <c r="J650" s="1121">
        <v>84.019999313354489</v>
      </c>
      <c r="K650" s="1122">
        <v>71.419999313354495</v>
      </c>
      <c r="L650" s="1120">
        <v>5416.2</v>
      </c>
      <c r="M650" s="1120">
        <v>657</v>
      </c>
      <c r="N650" s="1123">
        <v>27.860000085830688</v>
      </c>
      <c r="O650" s="1123">
        <v>27.679999828338623</v>
      </c>
      <c r="P650" s="1123">
        <v>42.259999656677245</v>
      </c>
      <c r="Q650" s="1123">
        <v>48.019999313354489</v>
      </c>
      <c r="R650" s="1123">
        <v>57.019999313354489</v>
      </c>
      <c r="S650" s="1123">
        <v>65.66000137329101</v>
      </c>
      <c r="T650" s="1123">
        <v>72.860001373291013</v>
      </c>
      <c r="U650" s="1123">
        <v>71.060001373291016</v>
      </c>
      <c r="V650" s="1123">
        <v>63.319999313354494</v>
      </c>
      <c r="W650" s="1123">
        <v>52.340000343322757</v>
      </c>
      <c r="X650" s="1123">
        <v>47.119999313354491</v>
      </c>
      <c r="Y650" s="1123">
        <v>39.379999828338626</v>
      </c>
      <c r="Z650" s="1123">
        <v>51.355671330935337</v>
      </c>
      <c r="AA650" s="1123">
        <f t="shared" si="751"/>
        <v>47.845905040168141</v>
      </c>
      <c r="AB650" s="1123">
        <f t="shared" si="752"/>
        <v>46.666813756110564</v>
      </c>
      <c r="AC650" s="1123">
        <f t="shared" si="753"/>
        <v>48.273937919212337</v>
      </c>
      <c r="AD650" s="1123">
        <f t="shared" si="754"/>
        <v>52.248355849827945</v>
      </c>
      <c r="AE650" s="1123">
        <f t="shared" si="755"/>
        <v>57.554074266708177</v>
      </c>
      <c r="AF650" s="1123">
        <f t="shared" si="756"/>
        <v>62.808075900897428</v>
      </c>
      <c r="AG650" s="1123">
        <f t="shared" si="757"/>
        <v>66.64082425982825</v>
      </c>
      <c r="AH650" s="1123">
        <f t="shared" si="758"/>
        <v>68.053254419305247</v>
      </c>
      <c r="AI650" s="1123">
        <f t="shared" si="759"/>
        <v>66.677194692053121</v>
      </c>
      <c r="AJ650" s="1123">
        <f t="shared" si="760"/>
        <v>62.871336251702431</v>
      </c>
      <c r="AK650" s="1123">
        <f t="shared" si="761"/>
        <v>57.627734750784477</v>
      </c>
      <c r="AL650" s="1123">
        <f t="shared" si="762"/>
        <v>52.31321572685863</v>
      </c>
      <c r="AM650" s="1120">
        <f t="shared" si="763"/>
        <v>1</v>
      </c>
      <c r="AN650" s="1120">
        <f t="shared" si="764"/>
        <v>1</v>
      </c>
      <c r="AO650" s="1120">
        <f t="shared" si="765"/>
        <v>1</v>
      </c>
      <c r="AP650" s="1120">
        <f t="shared" si="766"/>
        <v>1</v>
      </c>
      <c r="AQ650" s="1120">
        <f t="shared" si="767"/>
        <v>1</v>
      </c>
      <c r="AR650" s="1120">
        <f t="shared" si="768"/>
        <v>1</v>
      </c>
      <c r="AS650" s="1120">
        <f t="shared" si="769"/>
        <v>0</v>
      </c>
      <c r="AT650" s="1120">
        <f t="shared" si="770"/>
        <v>0</v>
      </c>
      <c r="AU650" s="1120">
        <f t="shared" si="771"/>
        <v>1</v>
      </c>
      <c r="AV650" s="1120">
        <f t="shared" si="772"/>
        <v>1</v>
      </c>
      <c r="AW650" s="1120">
        <f t="shared" si="773"/>
        <v>1</v>
      </c>
      <c r="AX650" s="1120">
        <f t="shared" si="774"/>
        <v>1</v>
      </c>
      <c r="AY650" s="1120">
        <f t="shared" si="775"/>
        <v>0</v>
      </c>
      <c r="AZ650" s="1120">
        <f t="shared" si="776"/>
        <v>0</v>
      </c>
      <c r="BA650" s="1120">
        <f t="shared" si="777"/>
        <v>0</v>
      </c>
      <c r="BB650" s="1120">
        <f t="shared" si="778"/>
        <v>0</v>
      </c>
      <c r="BC650" s="1120">
        <f t="shared" si="779"/>
        <v>0</v>
      </c>
      <c r="BD650" s="1120">
        <f t="shared" si="780"/>
        <v>0</v>
      </c>
      <c r="BE650" s="1120">
        <f t="shared" si="781"/>
        <v>1</v>
      </c>
      <c r="BF650" s="1120">
        <f t="shared" si="782"/>
        <v>1</v>
      </c>
      <c r="BG650" s="1120">
        <f t="shared" si="783"/>
        <v>0</v>
      </c>
      <c r="BH650" s="1120">
        <f t="shared" si="784"/>
        <v>0</v>
      </c>
      <c r="BI650" s="1120">
        <f t="shared" si="785"/>
        <v>0</v>
      </c>
      <c r="BJ650" s="1120">
        <f t="shared" si="786"/>
        <v>0</v>
      </c>
      <c r="BK650" s="1120">
        <f t="shared" si="787"/>
        <v>1</v>
      </c>
      <c r="BL650" s="1120">
        <f t="shared" si="788"/>
        <v>1</v>
      </c>
      <c r="BM650" s="1120">
        <f t="shared" si="789"/>
        <v>1</v>
      </c>
      <c r="BN650" s="1120">
        <f t="shared" si="790"/>
        <v>1</v>
      </c>
      <c r="BO650" s="1120">
        <f t="shared" si="791"/>
        <v>1</v>
      </c>
      <c r="BP650" s="1120">
        <f t="shared" si="792"/>
        <v>1</v>
      </c>
      <c r="BQ650" s="1120">
        <f t="shared" si="793"/>
        <v>1</v>
      </c>
      <c r="BR650" s="1120">
        <f t="shared" si="794"/>
        <v>0</v>
      </c>
      <c r="BS650" s="1120">
        <f t="shared" si="795"/>
        <v>1</v>
      </c>
      <c r="BT650" s="1120">
        <f t="shared" si="796"/>
        <v>1</v>
      </c>
      <c r="BU650" s="1120">
        <f t="shared" si="797"/>
        <v>1</v>
      </c>
      <c r="BV650" s="1120">
        <f t="shared" si="798"/>
        <v>1</v>
      </c>
      <c r="BW650" s="1120">
        <f t="shared" si="799"/>
        <v>0</v>
      </c>
      <c r="BX650" s="1120">
        <f t="shared" si="800"/>
        <v>0</v>
      </c>
      <c r="BY650" s="1120">
        <f t="shared" si="801"/>
        <v>0</v>
      </c>
      <c r="BZ650" s="1120">
        <f t="shared" si="802"/>
        <v>0</v>
      </c>
      <c r="CA650" s="1120">
        <f t="shared" si="803"/>
        <v>0</v>
      </c>
      <c r="CB650" s="1120">
        <f t="shared" si="804"/>
        <v>1</v>
      </c>
      <c r="CC650" s="1120">
        <f t="shared" si="805"/>
        <v>1</v>
      </c>
      <c r="CD650" s="1120">
        <f t="shared" si="806"/>
        <v>1</v>
      </c>
      <c r="CE650" s="1120">
        <f t="shared" si="807"/>
        <v>1</v>
      </c>
      <c r="CF650" s="1120">
        <f t="shared" si="808"/>
        <v>0</v>
      </c>
      <c r="CG650" s="1120">
        <f t="shared" si="809"/>
        <v>0</v>
      </c>
      <c r="CH650" s="1120">
        <f t="shared" si="810"/>
        <v>0</v>
      </c>
      <c r="CI650" s="1120">
        <f t="shared" si="811"/>
        <v>0.85</v>
      </c>
      <c r="CJ650" s="1120">
        <f t="shared" si="812"/>
        <v>0.85</v>
      </c>
      <c r="CK650" s="1120">
        <f t="shared" si="813"/>
        <v>0.85</v>
      </c>
      <c r="CL650" s="1120">
        <f t="shared" si="814"/>
        <v>0.85</v>
      </c>
      <c r="CM650" s="1120">
        <f t="shared" si="815"/>
        <v>0.85</v>
      </c>
      <c r="CN650" s="1120">
        <f t="shared" si="816"/>
        <v>0.85</v>
      </c>
      <c r="CO650" s="1120">
        <f t="shared" si="817"/>
        <v>0.85</v>
      </c>
      <c r="CP650" s="1120">
        <f t="shared" si="818"/>
        <v>0.7</v>
      </c>
      <c r="CQ650" s="1120">
        <f t="shared" si="819"/>
        <v>0.85</v>
      </c>
      <c r="CR650" s="1120">
        <f t="shared" si="820"/>
        <v>0.85</v>
      </c>
      <c r="CS650" s="1120">
        <f t="shared" si="821"/>
        <v>0.85</v>
      </c>
      <c r="CT650" s="1120">
        <f t="shared" si="822"/>
        <v>0.85</v>
      </c>
      <c r="CU650" s="1120">
        <v>1</v>
      </c>
      <c r="CV650" s="1120"/>
      <c r="CW650" s="1120">
        <f t="shared" si="823"/>
        <v>122</v>
      </c>
      <c r="CX650" s="1120">
        <f t="shared" si="824"/>
        <v>243</v>
      </c>
      <c r="CY650" s="1135" t="s">
        <v>4889</v>
      </c>
      <c r="CZ650" s="1124" t="s">
        <v>4897</v>
      </c>
      <c r="DA650" s="1124"/>
      <c r="DB650" s="1124"/>
      <c r="DC650" s="1120" t="s">
        <v>5272</v>
      </c>
      <c r="DD650" s="1120" t="s">
        <v>250</v>
      </c>
      <c r="DE650" s="1120" t="str">
        <f t="shared" si="750"/>
        <v/>
      </c>
      <c r="DF650" s="1133">
        <v>0</v>
      </c>
      <c r="DG650" s="1120">
        <v>0</v>
      </c>
    </row>
    <row r="651" spans="1:111">
      <c r="A651" s="1125" t="s">
        <v>4014</v>
      </c>
      <c r="B651" s="1125" t="s">
        <v>3954</v>
      </c>
      <c r="C651" s="1125" t="s">
        <v>3955</v>
      </c>
      <c r="D651" s="1125" t="s">
        <v>426</v>
      </c>
      <c r="E651" s="1125">
        <v>16</v>
      </c>
      <c r="F651" s="1125">
        <v>-77.05</v>
      </c>
      <c r="G651" s="1125">
        <v>35.07</v>
      </c>
      <c r="H651" s="1125">
        <v>-5</v>
      </c>
      <c r="I651" s="1126">
        <v>26.420000171661378</v>
      </c>
      <c r="J651" s="1126">
        <v>91.4</v>
      </c>
      <c r="K651" s="1127">
        <v>77.360001373291013</v>
      </c>
      <c r="L651" s="1125">
        <v>2217.6</v>
      </c>
      <c r="M651" s="1125">
        <v>1864.8</v>
      </c>
      <c r="N651" s="1128">
        <v>49.459999656677248</v>
      </c>
      <c r="O651" s="1128">
        <v>48.919999313354495</v>
      </c>
      <c r="P651" s="1128">
        <v>56.119999313354491</v>
      </c>
      <c r="Q651" s="1128">
        <v>60.980000686645511</v>
      </c>
      <c r="R651" s="1128">
        <v>68</v>
      </c>
      <c r="S651" s="1128">
        <v>74.3</v>
      </c>
      <c r="T651" s="1128">
        <v>79.880000686645502</v>
      </c>
      <c r="U651" s="1128">
        <v>78.619999313354498</v>
      </c>
      <c r="V651" s="1128">
        <v>73.939998626708984</v>
      </c>
      <c r="W651" s="1128">
        <v>67.280000686645508</v>
      </c>
      <c r="X651" s="1128">
        <v>50.540000343322752</v>
      </c>
      <c r="Y651" s="1128">
        <v>51.980000686645511</v>
      </c>
      <c r="Z651" s="1128">
        <v>63.43589035922534</v>
      </c>
      <c r="AA651" s="1128">
        <f t="shared" si="751"/>
        <v>60.563270886416916</v>
      </c>
      <c r="AB651" s="1128">
        <f t="shared" si="752"/>
        <v>60.517670089296402</v>
      </c>
      <c r="AC651" s="1128">
        <f t="shared" si="753"/>
        <v>62.796740839467319</v>
      </c>
      <c r="AD651" s="1128">
        <f t="shared" si="754"/>
        <v>66.806408224354229</v>
      </c>
      <c r="AE651" s="1128">
        <f t="shared" si="755"/>
        <v>71.501490649241575</v>
      </c>
      <c r="AF651" s="1128">
        <f t="shared" si="756"/>
        <v>75.658142526672179</v>
      </c>
      <c r="AG651" s="1128">
        <f t="shared" si="757"/>
        <v>78.192868488849356</v>
      </c>
      <c r="AH651" s="1128">
        <f t="shared" si="758"/>
        <v>78.444953152422187</v>
      </c>
      <c r="AI651" s="1128">
        <f t="shared" si="759"/>
        <v>76.348686765088146</v>
      </c>
      <c r="AJ651" s="1128">
        <f t="shared" si="760"/>
        <v>72.450493465148739</v>
      </c>
      <c r="AK651" s="1128">
        <f t="shared" si="761"/>
        <v>67.766497409210302</v>
      </c>
      <c r="AL651" s="1128">
        <f t="shared" si="762"/>
        <v>63.51765435181737</v>
      </c>
      <c r="AM651" s="1125">
        <f t="shared" si="763"/>
        <v>1</v>
      </c>
      <c r="AN651" s="1125">
        <f t="shared" si="764"/>
        <v>1</v>
      </c>
      <c r="AO651" s="1125">
        <f t="shared" si="765"/>
        <v>1</v>
      </c>
      <c r="AP651" s="1125">
        <f t="shared" si="766"/>
        <v>1</v>
      </c>
      <c r="AQ651" s="1125">
        <f t="shared" si="767"/>
        <v>0</v>
      </c>
      <c r="AR651" s="1125">
        <f t="shared" si="768"/>
        <v>0</v>
      </c>
      <c r="AS651" s="1125">
        <f t="shared" si="769"/>
        <v>0</v>
      </c>
      <c r="AT651" s="1125">
        <f t="shared" si="770"/>
        <v>0</v>
      </c>
      <c r="AU651" s="1125">
        <f t="shared" si="771"/>
        <v>0</v>
      </c>
      <c r="AV651" s="1125">
        <f t="shared" si="772"/>
        <v>0</v>
      </c>
      <c r="AW651" s="1125">
        <f t="shared" si="773"/>
        <v>1</v>
      </c>
      <c r="AX651" s="1125">
        <f t="shared" si="774"/>
        <v>1</v>
      </c>
      <c r="AY651" s="1125">
        <f t="shared" si="775"/>
        <v>0</v>
      </c>
      <c r="AZ651" s="1125">
        <f t="shared" si="776"/>
        <v>0</v>
      </c>
      <c r="BA651" s="1125">
        <f t="shared" si="777"/>
        <v>0</v>
      </c>
      <c r="BB651" s="1125">
        <f t="shared" si="778"/>
        <v>0</v>
      </c>
      <c r="BC651" s="1125">
        <f t="shared" si="779"/>
        <v>1</v>
      </c>
      <c r="BD651" s="1125">
        <f t="shared" si="780"/>
        <v>1</v>
      </c>
      <c r="BE651" s="1125">
        <f t="shared" si="781"/>
        <v>1</v>
      </c>
      <c r="BF651" s="1125">
        <f t="shared" si="782"/>
        <v>1</v>
      </c>
      <c r="BG651" s="1125">
        <f t="shared" si="783"/>
        <v>1</v>
      </c>
      <c r="BH651" s="1125">
        <f t="shared" si="784"/>
        <v>1</v>
      </c>
      <c r="BI651" s="1125">
        <f t="shared" si="785"/>
        <v>0</v>
      </c>
      <c r="BJ651" s="1125">
        <f t="shared" si="786"/>
        <v>0</v>
      </c>
      <c r="BK651" s="1125">
        <f t="shared" si="787"/>
        <v>1</v>
      </c>
      <c r="BL651" s="1125">
        <f t="shared" si="788"/>
        <v>1</v>
      </c>
      <c r="BM651" s="1125">
        <f t="shared" si="789"/>
        <v>1</v>
      </c>
      <c r="BN651" s="1125">
        <f t="shared" si="790"/>
        <v>1</v>
      </c>
      <c r="BO651" s="1125">
        <f t="shared" si="791"/>
        <v>1</v>
      </c>
      <c r="BP651" s="1125">
        <f t="shared" si="792"/>
        <v>0</v>
      </c>
      <c r="BQ651" s="1125">
        <f t="shared" si="793"/>
        <v>0</v>
      </c>
      <c r="BR651" s="1125">
        <f t="shared" si="794"/>
        <v>0</v>
      </c>
      <c r="BS651" s="1125">
        <f t="shared" si="795"/>
        <v>0</v>
      </c>
      <c r="BT651" s="1125">
        <f t="shared" si="796"/>
        <v>0</v>
      </c>
      <c r="BU651" s="1125">
        <f t="shared" si="797"/>
        <v>1</v>
      </c>
      <c r="BV651" s="1125">
        <f t="shared" si="798"/>
        <v>1</v>
      </c>
      <c r="BW651" s="1125">
        <f t="shared" si="799"/>
        <v>0</v>
      </c>
      <c r="BX651" s="1125">
        <f t="shared" si="800"/>
        <v>0</v>
      </c>
      <c r="BY651" s="1125">
        <f t="shared" si="801"/>
        <v>0</v>
      </c>
      <c r="BZ651" s="1125">
        <f t="shared" si="802"/>
        <v>1</v>
      </c>
      <c r="CA651" s="1125">
        <f t="shared" si="803"/>
        <v>1</v>
      </c>
      <c r="CB651" s="1125">
        <f t="shared" si="804"/>
        <v>1</v>
      </c>
      <c r="CC651" s="1125">
        <f t="shared" si="805"/>
        <v>1</v>
      </c>
      <c r="CD651" s="1125">
        <f t="shared" si="806"/>
        <v>1</v>
      </c>
      <c r="CE651" s="1125">
        <f t="shared" si="807"/>
        <v>1</v>
      </c>
      <c r="CF651" s="1125">
        <f t="shared" si="808"/>
        <v>1</v>
      </c>
      <c r="CG651" s="1125">
        <f t="shared" si="809"/>
        <v>1</v>
      </c>
      <c r="CH651" s="1125">
        <f t="shared" si="810"/>
        <v>0</v>
      </c>
      <c r="CI651" s="1125">
        <f t="shared" si="811"/>
        <v>0.85</v>
      </c>
      <c r="CJ651" s="1125">
        <f t="shared" si="812"/>
        <v>0.85</v>
      </c>
      <c r="CK651" s="1125">
        <f t="shared" si="813"/>
        <v>0.85</v>
      </c>
      <c r="CL651" s="1125">
        <f t="shared" si="814"/>
        <v>0.85</v>
      </c>
      <c r="CM651" s="1125">
        <f t="shared" si="815"/>
        <v>0.85</v>
      </c>
      <c r="CN651" s="1125">
        <f t="shared" si="816"/>
        <v>0.7</v>
      </c>
      <c r="CO651" s="1125">
        <f t="shared" si="817"/>
        <v>0.7</v>
      </c>
      <c r="CP651" s="1125">
        <f t="shared" si="818"/>
        <v>0.7</v>
      </c>
      <c r="CQ651" s="1125">
        <f t="shared" si="819"/>
        <v>0.7</v>
      </c>
      <c r="CR651" s="1125">
        <f t="shared" si="820"/>
        <v>0.7</v>
      </c>
      <c r="CS651" s="1125">
        <f t="shared" si="821"/>
        <v>0.85</v>
      </c>
      <c r="CT651" s="1125">
        <f t="shared" si="822"/>
        <v>0.85</v>
      </c>
      <c r="CU651" s="1125">
        <v>1</v>
      </c>
      <c r="CV651" s="1125"/>
      <c r="CW651" s="1125">
        <f t="shared" si="823"/>
        <v>244</v>
      </c>
      <c r="CX651" s="1125">
        <f t="shared" si="824"/>
        <v>121</v>
      </c>
      <c r="CY651" s="1136" t="s">
        <v>4881</v>
      </c>
      <c r="CZ651" s="1129" t="s">
        <v>4882</v>
      </c>
      <c r="DA651" s="1129"/>
      <c r="DB651" s="1129"/>
      <c r="DC651" s="1125" t="s">
        <v>5394</v>
      </c>
      <c r="DD651" s="1125" t="s">
        <v>426</v>
      </c>
      <c r="DE651" s="1120" t="str">
        <f t="shared" si="750"/>
        <v/>
      </c>
      <c r="DF651" s="1133">
        <v>0</v>
      </c>
      <c r="DG651" s="1125">
        <v>0</v>
      </c>
    </row>
    <row r="652" spans="1:111">
      <c r="A652" s="1120" t="s">
        <v>4016</v>
      </c>
      <c r="B652" s="1125" t="s">
        <v>3258</v>
      </c>
      <c r="C652" s="1125" t="s">
        <v>3259</v>
      </c>
      <c r="D652" s="1125" t="s">
        <v>620</v>
      </c>
      <c r="E652" s="1125">
        <v>7</v>
      </c>
      <c r="F652" s="1125">
        <v>-72.88</v>
      </c>
      <c r="G652" s="1125">
        <v>41.27</v>
      </c>
      <c r="H652" s="1125">
        <v>-5</v>
      </c>
      <c r="I652" s="1126">
        <v>7.6999999999999993</v>
      </c>
      <c r="J652" s="1126">
        <v>87.980000686645511</v>
      </c>
      <c r="K652" s="1127">
        <v>73.580000686645505</v>
      </c>
      <c r="L652" s="1125">
        <v>5284.8</v>
      </c>
      <c r="M652" s="1125">
        <v>718.2</v>
      </c>
      <c r="N652" s="1128">
        <v>28.4</v>
      </c>
      <c r="O652" s="1128">
        <v>38.299999999999997</v>
      </c>
      <c r="P652" s="1128">
        <v>37.939999914169313</v>
      </c>
      <c r="Q652" s="1128">
        <v>49.1</v>
      </c>
      <c r="R652" s="1128">
        <v>56.3</v>
      </c>
      <c r="S652" s="1128">
        <v>66.560001373291016</v>
      </c>
      <c r="T652" s="1128">
        <v>71.239998626708982</v>
      </c>
      <c r="U652" s="1128">
        <v>73.039998626708979</v>
      </c>
      <c r="V652" s="1128">
        <v>66.2</v>
      </c>
      <c r="W652" s="1128">
        <v>52.7</v>
      </c>
      <c r="X652" s="1128">
        <v>48.740000343322755</v>
      </c>
      <c r="Y652" s="1128">
        <v>33.080000042915344</v>
      </c>
      <c r="Z652" s="1128">
        <v>51.846849219243822</v>
      </c>
      <c r="AA652" s="1128">
        <f t="shared" si="751"/>
        <v>48.312286127734851</v>
      </c>
      <c r="AB652" s="1128">
        <f t="shared" si="752"/>
        <v>47.180246313342501</v>
      </c>
      <c r="AC652" s="1128">
        <f t="shared" si="753"/>
        <v>48.828620923699773</v>
      </c>
      <c r="AD652" s="1128">
        <f t="shared" si="754"/>
        <v>52.827735714395381</v>
      </c>
      <c r="AE652" s="1128">
        <f t="shared" si="755"/>
        <v>58.13515978701011</v>
      </c>
      <c r="AF652" s="1128">
        <f t="shared" si="756"/>
        <v>63.367431267136219</v>
      </c>
      <c r="AG652" s="1128">
        <f t="shared" si="757"/>
        <v>67.160677961734635</v>
      </c>
      <c r="AH652" s="1128">
        <f t="shared" si="758"/>
        <v>68.526131664157262</v>
      </c>
      <c r="AI652" s="1128">
        <f t="shared" si="759"/>
        <v>67.10786582458914</v>
      </c>
      <c r="AJ652" s="1128">
        <f t="shared" si="760"/>
        <v>63.275573290251891</v>
      </c>
      <c r="AK652" s="1128">
        <f t="shared" si="761"/>
        <v>58.028200167636108</v>
      </c>
      <c r="AL652" s="1128">
        <f t="shared" si="762"/>
        <v>52.733555125619169</v>
      </c>
      <c r="AM652" s="1125">
        <f t="shared" si="763"/>
        <v>1</v>
      </c>
      <c r="AN652" s="1125">
        <f t="shared" si="764"/>
        <v>1</v>
      </c>
      <c r="AO652" s="1125">
        <f t="shared" si="765"/>
        <v>1</v>
      </c>
      <c r="AP652" s="1125">
        <f t="shared" si="766"/>
        <v>1</v>
      </c>
      <c r="AQ652" s="1125">
        <f t="shared" si="767"/>
        <v>1</v>
      </c>
      <c r="AR652" s="1125">
        <f t="shared" si="768"/>
        <v>0</v>
      </c>
      <c r="AS652" s="1125">
        <f t="shared" si="769"/>
        <v>0</v>
      </c>
      <c r="AT652" s="1125">
        <f t="shared" si="770"/>
        <v>0</v>
      </c>
      <c r="AU652" s="1125">
        <f t="shared" si="771"/>
        <v>0</v>
      </c>
      <c r="AV652" s="1125">
        <f t="shared" si="772"/>
        <v>1</v>
      </c>
      <c r="AW652" s="1125">
        <f t="shared" si="773"/>
        <v>1</v>
      </c>
      <c r="AX652" s="1125">
        <f t="shared" si="774"/>
        <v>1</v>
      </c>
      <c r="AY652" s="1125">
        <f t="shared" si="775"/>
        <v>0</v>
      </c>
      <c r="AZ652" s="1125">
        <f t="shared" si="776"/>
        <v>0</v>
      </c>
      <c r="BA652" s="1125">
        <f t="shared" si="777"/>
        <v>0</v>
      </c>
      <c r="BB652" s="1125">
        <f t="shared" si="778"/>
        <v>0</v>
      </c>
      <c r="BC652" s="1125">
        <f t="shared" si="779"/>
        <v>0</v>
      </c>
      <c r="BD652" s="1125">
        <f t="shared" si="780"/>
        <v>1</v>
      </c>
      <c r="BE652" s="1125">
        <f t="shared" si="781"/>
        <v>1</v>
      </c>
      <c r="BF652" s="1125">
        <f t="shared" si="782"/>
        <v>1</v>
      </c>
      <c r="BG652" s="1125">
        <f t="shared" si="783"/>
        <v>1</v>
      </c>
      <c r="BH652" s="1125">
        <f t="shared" si="784"/>
        <v>0</v>
      </c>
      <c r="BI652" s="1125">
        <f t="shared" si="785"/>
        <v>0</v>
      </c>
      <c r="BJ652" s="1125">
        <f t="shared" si="786"/>
        <v>0</v>
      </c>
      <c r="BK652" s="1125">
        <f t="shared" si="787"/>
        <v>1</v>
      </c>
      <c r="BL652" s="1125">
        <f t="shared" si="788"/>
        <v>1</v>
      </c>
      <c r="BM652" s="1125">
        <f t="shared" si="789"/>
        <v>1</v>
      </c>
      <c r="BN652" s="1125">
        <f t="shared" si="790"/>
        <v>1</v>
      </c>
      <c r="BO652" s="1125">
        <f t="shared" si="791"/>
        <v>1</v>
      </c>
      <c r="BP652" s="1125">
        <f t="shared" si="792"/>
        <v>1</v>
      </c>
      <c r="BQ652" s="1125">
        <f t="shared" si="793"/>
        <v>0</v>
      </c>
      <c r="BR652" s="1125">
        <f t="shared" si="794"/>
        <v>0</v>
      </c>
      <c r="BS652" s="1125">
        <f t="shared" si="795"/>
        <v>0</v>
      </c>
      <c r="BT652" s="1125">
        <f t="shared" si="796"/>
        <v>1</v>
      </c>
      <c r="BU652" s="1125">
        <f t="shared" si="797"/>
        <v>1</v>
      </c>
      <c r="BV652" s="1125">
        <f t="shared" si="798"/>
        <v>1</v>
      </c>
      <c r="BW652" s="1125">
        <f t="shared" si="799"/>
        <v>0</v>
      </c>
      <c r="BX652" s="1125">
        <f t="shared" si="800"/>
        <v>0</v>
      </c>
      <c r="BY652" s="1125">
        <f t="shared" si="801"/>
        <v>0</v>
      </c>
      <c r="BZ652" s="1125">
        <f t="shared" si="802"/>
        <v>0</v>
      </c>
      <c r="CA652" s="1125">
        <f t="shared" si="803"/>
        <v>1</v>
      </c>
      <c r="CB652" s="1125">
        <f t="shared" si="804"/>
        <v>1</v>
      </c>
      <c r="CC652" s="1125">
        <f t="shared" si="805"/>
        <v>1</v>
      </c>
      <c r="CD652" s="1125">
        <f t="shared" si="806"/>
        <v>1</v>
      </c>
      <c r="CE652" s="1125">
        <f t="shared" si="807"/>
        <v>1</v>
      </c>
      <c r="CF652" s="1125">
        <f t="shared" si="808"/>
        <v>1</v>
      </c>
      <c r="CG652" s="1125">
        <f t="shared" si="809"/>
        <v>0</v>
      </c>
      <c r="CH652" s="1125">
        <f t="shared" si="810"/>
        <v>0</v>
      </c>
      <c r="CI652" s="1125">
        <f t="shared" si="811"/>
        <v>0.85</v>
      </c>
      <c r="CJ652" s="1125">
        <f t="shared" si="812"/>
        <v>0.85</v>
      </c>
      <c r="CK652" s="1125">
        <f t="shared" si="813"/>
        <v>0.85</v>
      </c>
      <c r="CL652" s="1125">
        <f t="shared" si="814"/>
        <v>0.85</v>
      </c>
      <c r="CM652" s="1125">
        <f t="shared" si="815"/>
        <v>0.85</v>
      </c>
      <c r="CN652" s="1125">
        <f t="shared" si="816"/>
        <v>0.85</v>
      </c>
      <c r="CO652" s="1125">
        <f t="shared" si="817"/>
        <v>0.7</v>
      </c>
      <c r="CP652" s="1125">
        <f t="shared" si="818"/>
        <v>0.7</v>
      </c>
      <c r="CQ652" s="1125">
        <f t="shared" si="819"/>
        <v>0.7</v>
      </c>
      <c r="CR652" s="1125">
        <f t="shared" si="820"/>
        <v>0.85</v>
      </c>
      <c r="CS652" s="1125">
        <f t="shared" si="821"/>
        <v>0.85</v>
      </c>
      <c r="CT652" s="1125">
        <f t="shared" si="822"/>
        <v>0.85</v>
      </c>
      <c r="CU652" s="1125">
        <v>1</v>
      </c>
      <c r="CV652" s="1125"/>
      <c r="CW652" s="1125">
        <f t="shared" si="823"/>
        <v>184</v>
      </c>
      <c r="CX652" s="1125">
        <f t="shared" si="824"/>
        <v>181</v>
      </c>
      <c r="CY652" s="1136" t="s">
        <v>4889</v>
      </c>
      <c r="CZ652" s="1129" t="s">
        <v>4897</v>
      </c>
      <c r="DA652" s="1129"/>
      <c r="DB652" s="1129"/>
      <c r="DC652" s="1125" t="s">
        <v>5088</v>
      </c>
      <c r="DD652" s="1125" t="s">
        <v>620</v>
      </c>
      <c r="DE652" s="1120" t="str">
        <f t="shared" si="750"/>
        <v/>
      </c>
      <c r="DF652" s="1133">
        <v>0</v>
      </c>
      <c r="DG652" s="1120">
        <v>0</v>
      </c>
    </row>
    <row r="653" spans="1:111">
      <c r="A653" s="1125" t="s">
        <v>4018</v>
      </c>
      <c r="B653" s="1120" t="s">
        <v>3635</v>
      </c>
      <c r="C653" s="1120" t="s">
        <v>3636</v>
      </c>
      <c r="D653" s="1120" t="s">
        <v>591</v>
      </c>
      <c r="E653" s="1120">
        <v>26</v>
      </c>
      <c r="F653" s="1120">
        <v>-91.88</v>
      </c>
      <c r="G653" s="1120">
        <v>30.03</v>
      </c>
      <c r="H653" s="1120">
        <v>-6</v>
      </c>
      <c r="I653" s="1121">
        <v>29.3</v>
      </c>
      <c r="J653" s="1121">
        <v>95.179997253417966</v>
      </c>
      <c r="K653" s="1122">
        <v>78.980000686645511</v>
      </c>
      <c r="L653" s="1120">
        <v>1666.8</v>
      </c>
      <c r="M653" s="1120">
        <v>2559.6</v>
      </c>
      <c r="N653" s="1123">
        <v>46.940000343322751</v>
      </c>
      <c r="O653" s="1123">
        <v>59.719999313354492</v>
      </c>
      <c r="P653" s="1123">
        <v>57.380000686645509</v>
      </c>
      <c r="Q653" s="1123">
        <v>66.2</v>
      </c>
      <c r="R653" s="1123">
        <v>73.219999313354492</v>
      </c>
      <c r="S653" s="1123">
        <v>78.8</v>
      </c>
      <c r="T653" s="1123">
        <v>80.599999999999994</v>
      </c>
      <c r="U653" s="1123">
        <v>81.860001373291013</v>
      </c>
      <c r="V653" s="1123">
        <v>78.980000686645511</v>
      </c>
      <c r="W653" s="1123">
        <v>66.919999313354495</v>
      </c>
      <c r="X653" s="1123">
        <v>58.640000343322754</v>
      </c>
      <c r="Y653" s="1123">
        <v>52.7</v>
      </c>
      <c r="Z653" s="1123">
        <v>66.846520667402714</v>
      </c>
      <c r="AA653" s="1123">
        <f t="shared" si="751"/>
        <v>62.112640983668385</v>
      </c>
      <c r="AB653" s="1123">
        <f t="shared" si="752"/>
        <v>62.386963916861959</v>
      </c>
      <c r="AC653" s="1123">
        <f t="shared" si="753"/>
        <v>65.387731503732581</v>
      </c>
      <c r="AD653" s="1123">
        <f t="shared" si="754"/>
        <v>70.332747429534152</v>
      </c>
      <c r="AE653" s="1123">
        <f t="shared" si="755"/>
        <v>75.933017088204352</v>
      </c>
      <c r="AF653" s="1123">
        <f t="shared" si="756"/>
        <v>80.728743890443013</v>
      </c>
      <c r="AG653" s="1123">
        <f t="shared" si="757"/>
        <v>83.469847740859507</v>
      </c>
      <c r="AH653" s="1123">
        <f t="shared" si="758"/>
        <v>83.441817679153829</v>
      </c>
      <c r="AI653" s="1123">
        <f t="shared" si="759"/>
        <v>80.651960172865856</v>
      </c>
      <c r="AJ653" s="1123">
        <f t="shared" si="760"/>
        <v>75.827494574015134</v>
      </c>
      <c r="AK653" s="1123">
        <f t="shared" si="761"/>
        <v>70.225992188207456</v>
      </c>
      <c r="AL653" s="1123">
        <f t="shared" si="762"/>
        <v>65.307570934068266</v>
      </c>
      <c r="AM653" s="1120">
        <f t="shared" si="763"/>
        <v>1</v>
      </c>
      <c r="AN653" s="1120">
        <f t="shared" si="764"/>
        <v>1</v>
      </c>
      <c r="AO653" s="1120">
        <f t="shared" si="765"/>
        <v>1</v>
      </c>
      <c r="AP653" s="1120">
        <f t="shared" si="766"/>
        <v>0</v>
      </c>
      <c r="AQ653" s="1120">
        <f t="shared" si="767"/>
        <v>0</v>
      </c>
      <c r="AR653" s="1120">
        <f t="shared" si="768"/>
        <v>0</v>
      </c>
      <c r="AS653" s="1120">
        <f t="shared" si="769"/>
        <v>0</v>
      </c>
      <c r="AT653" s="1120">
        <f t="shared" si="770"/>
        <v>0</v>
      </c>
      <c r="AU653" s="1120">
        <f t="shared" si="771"/>
        <v>0</v>
      </c>
      <c r="AV653" s="1120">
        <f t="shared" si="772"/>
        <v>0</v>
      </c>
      <c r="AW653" s="1120">
        <f t="shared" si="773"/>
        <v>1</v>
      </c>
      <c r="AX653" s="1120">
        <f t="shared" si="774"/>
        <v>1</v>
      </c>
      <c r="AY653" s="1120">
        <f t="shared" si="775"/>
        <v>0</v>
      </c>
      <c r="AZ653" s="1120">
        <f t="shared" si="776"/>
        <v>0</v>
      </c>
      <c r="BA653" s="1120">
        <f t="shared" si="777"/>
        <v>0</v>
      </c>
      <c r="BB653" s="1120">
        <f t="shared" si="778"/>
        <v>1</v>
      </c>
      <c r="BC653" s="1120">
        <f t="shared" si="779"/>
        <v>1</v>
      </c>
      <c r="BD653" s="1120">
        <f t="shared" si="780"/>
        <v>1</v>
      </c>
      <c r="BE653" s="1120">
        <f t="shared" si="781"/>
        <v>1</v>
      </c>
      <c r="BF653" s="1120">
        <f t="shared" si="782"/>
        <v>1</v>
      </c>
      <c r="BG653" s="1120">
        <f t="shared" si="783"/>
        <v>1</v>
      </c>
      <c r="BH653" s="1120">
        <f t="shared" si="784"/>
        <v>1</v>
      </c>
      <c r="BI653" s="1120">
        <f t="shared" si="785"/>
        <v>0</v>
      </c>
      <c r="BJ653" s="1120">
        <f t="shared" si="786"/>
        <v>0</v>
      </c>
      <c r="BK653" s="1120">
        <f t="shared" si="787"/>
        <v>1</v>
      </c>
      <c r="BL653" s="1120">
        <f t="shared" si="788"/>
        <v>1</v>
      </c>
      <c r="BM653" s="1120">
        <f t="shared" si="789"/>
        <v>1</v>
      </c>
      <c r="BN653" s="1120">
        <f t="shared" si="790"/>
        <v>1</v>
      </c>
      <c r="BO653" s="1120">
        <f t="shared" si="791"/>
        <v>0</v>
      </c>
      <c r="BP653" s="1120">
        <f t="shared" si="792"/>
        <v>0</v>
      </c>
      <c r="BQ653" s="1120">
        <f t="shared" si="793"/>
        <v>0</v>
      </c>
      <c r="BR653" s="1120">
        <f t="shared" si="794"/>
        <v>0</v>
      </c>
      <c r="BS653" s="1120">
        <f t="shared" si="795"/>
        <v>0</v>
      </c>
      <c r="BT653" s="1120">
        <f t="shared" si="796"/>
        <v>0</v>
      </c>
      <c r="BU653" s="1120">
        <f t="shared" si="797"/>
        <v>1</v>
      </c>
      <c r="BV653" s="1120">
        <f t="shared" si="798"/>
        <v>1</v>
      </c>
      <c r="BW653" s="1120">
        <f t="shared" si="799"/>
        <v>0</v>
      </c>
      <c r="BX653" s="1120">
        <f t="shared" si="800"/>
        <v>0</v>
      </c>
      <c r="BY653" s="1120">
        <f t="shared" si="801"/>
        <v>1</v>
      </c>
      <c r="BZ653" s="1120">
        <f t="shared" si="802"/>
        <v>1</v>
      </c>
      <c r="CA653" s="1120">
        <f t="shared" si="803"/>
        <v>1</v>
      </c>
      <c r="CB653" s="1120">
        <f t="shared" si="804"/>
        <v>1</v>
      </c>
      <c r="CC653" s="1120">
        <f t="shared" si="805"/>
        <v>1</v>
      </c>
      <c r="CD653" s="1120">
        <f t="shared" si="806"/>
        <v>1</v>
      </c>
      <c r="CE653" s="1120">
        <f t="shared" si="807"/>
        <v>1</v>
      </c>
      <c r="CF653" s="1120">
        <f t="shared" si="808"/>
        <v>1</v>
      </c>
      <c r="CG653" s="1120">
        <f t="shared" si="809"/>
        <v>1</v>
      </c>
      <c r="CH653" s="1120">
        <f t="shared" si="810"/>
        <v>0</v>
      </c>
      <c r="CI653" s="1120">
        <f t="shared" si="811"/>
        <v>0.85</v>
      </c>
      <c r="CJ653" s="1120">
        <f t="shared" si="812"/>
        <v>0.85</v>
      </c>
      <c r="CK653" s="1120">
        <f t="shared" si="813"/>
        <v>0.85</v>
      </c>
      <c r="CL653" s="1120">
        <f t="shared" si="814"/>
        <v>0.85</v>
      </c>
      <c r="CM653" s="1120">
        <f t="shared" si="815"/>
        <v>0.7</v>
      </c>
      <c r="CN653" s="1120">
        <f t="shared" si="816"/>
        <v>0.7</v>
      </c>
      <c r="CO653" s="1120">
        <f t="shared" si="817"/>
        <v>0.7</v>
      </c>
      <c r="CP653" s="1120">
        <f t="shared" si="818"/>
        <v>0.7</v>
      </c>
      <c r="CQ653" s="1120">
        <f t="shared" si="819"/>
        <v>0.7</v>
      </c>
      <c r="CR653" s="1120">
        <f t="shared" si="820"/>
        <v>0.7</v>
      </c>
      <c r="CS653" s="1120">
        <f t="shared" si="821"/>
        <v>0.85</v>
      </c>
      <c r="CT653" s="1120">
        <f t="shared" si="822"/>
        <v>0.85</v>
      </c>
      <c r="CU653" s="1120">
        <v>1</v>
      </c>
      <c r="CV653" s="1120"/>
      <c r="CW653" s="1120">
        <f t="shared" si="823"/>
        <v>275</v>
      </c>
      <c r="CX653" s="1120">
        <f t="shared" si="824"/>
        <v>90</v>
      </c>
      <c r="CY653" s="1135" t="s">
        <v>4883</v>
      </c>
      <c r="CZ653" s="1124" t="s">
        <v>4884</v>
      </c>
      <c r="DA653" s="1124"/>
      <c r="DB653" s="1124"/>
      <c r="DC653" s="1120" t="s">
        <v>5258</v>
      </c>
      <c r="DD653" s="1120" t="s">
        <v>591</v>
      </c>
      <c r="DE653" s="1120" t="str">
        <f t="shared" si="750"/>
        <v/>
      </c>
      <c r="DF653" s="1133">
        <v>0</v>
      </c>
      <c r="DG653" s="1125">
        <v>0</v>
      </c>
    </row>
    <row r="654" spans="1:111">
      <c r="A654" s="1120" t="s">
        <v>4020</v>
      </c>
      <c r="B654" s="1125" t="s">
        <v>3637</v>
      </c>
      <c r="C654" s="1125" t="s">
        <v>3638</v>
      </c>
      <c r="D654" s="1125" t="s">
        <v>591</v>
      </c>
      <c r="E654" s="1125">
        <v>7</v>
      </c>
      <c r="F654" s="1125">
        <v>-90.02</v>
      </c>
      <c r="G654" s="1125">
        <v>29.82</v>
      </c>
      <c r="H654" s="1125">
        <v>-6</v>
      </c>
      <c r="I654" s="1126">
        <v>33.799999999999997</v>
      </c>
      <c r="J654" s="1126">
        <v>91.22000274658204</v>
      </c>
      <c r="K654" s="1127">
        <v>78.080000686645505</v>
      </c>
      <c r="L654" s="1125">
        <v>1103.4000000000001</v>
      </c>
      <c r="M654" s="1125">
        <v>2608.2000000000003</v>
      </c>
      <c r="N654" s="1128">
        <v>53.059999656677249</v>
      </c>
      <c r="O654" s="1128">
        <v>58.280000686645508</v>
      </c>
      <c r="P654" s="1128">
        <v>60.080000686645505</v>
      </c>
      <c r="Q654" s="1128">
        <v>68.180000686645513</v>
      </c>
      <c r="R654" s="1128">
        <v>76.099999999999994</v>
      </c>
      <c r="S654" s="1128">
        <v>79.16000137329101</v>
      </c>
      <c r="T654" s="1128">
        <v>80.599999999999994</v>
      </c>
      <c r="U654" s="1128">
        <v>80.599999999999994</v>
      </c>
      <c r="V654" s="1128">
        <v>76.639998626708987</v>
      </c>
      <c r="W654" s="1128">
        <v>67.819999313354487</v>
      </c>
      <c r="X654" s="1128">
        <v>65.480000686645511</v>
      </c>
      <c r="Y654" s="1128">
        <v>55.759999656677245</v>
      </c>
      <c r="Z654" s="1128">
        <v>68.521260381202183</v>
      </c>
      <c r="AA654" s="1128">
        <f t="shared" si="751"/>
        <v>65.780746979321592</v>
      </c>
      <c r="AB654" s="1128">
        <f t="shared" si="752"/>
        <v>66.133324009794109</v>
      </c>
      <c r="AC654" s="1128">
        <f t="shared" si="753"/>
        <v>68.672345917486368</v>
      </c>
      <c r="AD654" s="1128">
        <f t="shared" si="754"/>
        <v>72.735977514646379</v>
      </c>
      <c r="AE654" s="1128">
        <f t="shared" si="755"/>
        <v>77.264970603015911</v>
      </c>
      <c r="AF654" s="1128">
        <f t="shared" si="756"/>
        <v>81.078773340215321</v>
      </c>
      <c r="AG654" s="1128">
        <f t="shared" si="757"/>
        <v>83.18325927031438</v>
      </c>
      <c r="AH654" s="1128">
        <f t="shared" si="758"/>
        <v>83.029861704522872</v>
      </c>
      <c r="AI654" s="1128">
        <f t="shared" si="759"/>
        <v>80.658566082292438</v>
      </c>
      <c r="AJ654" s="1128">
        <f t="shared" si="760"/>
        <v>76.68748715032909</v>
      </c>
      <c r="AK654" s="1128">
        <f t="shared" si="761"/>
        <v>72.15174782842783</v>
      </c>
      <c r="AL654" s="1128">
        <f t="shared" si="762"/>
        <v>68.233658468700938</v>
      </c>
      <c r="AM654" s="1125">
        <f t="shared" si="763"/>
        <v>1</v>
      </c>
      <c r="AN654" s="1125">
        <f t="shared" si="764"/>
        <v>1</v>
      </c>
      <c r="AO654" s="1125">
        <f t="shared" si="765"/>
        <v>1</v>
      </c>
      <c r="AP654" s="1125">
        <f t="shared" si="766"/>
        <v>0</v>
      </c>
      <c r="AQ654" s="1125">
        <f t="shared" si="767"/>
        <v>0</v>
      </c>
      <c r="AR654" s="1125">
        <f t="shared" si="768"/>
        <v>0</v>
      </c>
      <c r="AS654" s="1125">
        <f t="shared" si="769"/>
        <v>0</v>
      </c>
      <c r="AT654" s="1125">
        <f t="shared" si="770"/>
        <v>0</v>
      </c>
      <c r="AU654" s="1125">
        <f t="shared" si="771"/>
        <v>0</v>
      </c>
      <c r="AV654" s="1125">
        <f t="shared" si="772"/>
        <v>0</v>
      </c>
      <c r="AW654" s="1125">
        <f t="shared" si="773"/>
        <v>1</v>
      </c>
      <c r="AX654" s="1125">
        <f t="shared" si="774"/>
        <v>1</v>
      </c>
      <c r="AY654" s="1125">
        <f t="shared" si="775"/>
        <v>0</v>
      </c>
      <c r="AZ654" s="1125">
        <f t="shared" si="776"/>
        <v>0</v>
      </c>
      <c r="BA654" s="1125">
        <f t="shared" si="777"/>
        <v>0</v>
      </c>
      <c r="BB654" s="1125">
        <f t="shared" si="778"/>
        <v>1</v>
      </c>
      <c r="BC654" s="1125">
        <f t="shared" si="779"/>
        <v>1</v>
      </c>
      <c r="BD654" s="1125">
        <f t="shared" si="780"/>
        <v>1</v>
      </c>
      <c r="BE654" s="1125">
        <f t="shared" si="781"/>
        <v>1</v>
      </c>
      <c r="BF654" s="1125">
        <f t="shared" si="782"/>
        <v>1</v>
      </c>
      <c r="BG654" s="1125">
        <f t="shared" si="783"/>
        <v>1</v>
      </c>
      <c r="BH654" s="1125">
        <f t="shared" si="784"/>
        <v>1</v>
      </c>
      <c r="BI654" s="1125">
        <f t="shared" si="785"/>
        <v>0</v>
      </c>
      <c r="BJ654" s="1125">
        <f t="shared" si="786"/>
        <v>0</v>
      </c>
      <c r="BK654" s="1125">
        <f t="shared" si="787"/>
        <v>1</v>
      </c>
      <c r="BL654" s="1125">
        <f t="shared" si="788"/>
        <v>1</v>
      </c>
      <c r="BM654" s="1125">
        <f t="shared" si="789"/>
        <v>1</v>
      </c>
      <c r="BN654" s="1125">
        <f t="shared" si="790"/>
        <v>1</v>
      </c>
      <c r="BO654" s="1125">
        <f t="shared" si="791"/>
        <v>0</v>
      </c>
      <c r="BP654" s="1125">
        <f t="shared" si="792"/>
        <v>0</v>
      </c>
      <c r="BQ654" s="1125">
        <f t="shared" si="793"/>
        <v>0</v>
      </c>
      <c r="BR654" s="1125">
        <f t="shared" si="794"/>
        <v>0</v>
      </c>
      <c r="BS654" s="1125">
        <f t="shared" si="795"/>
        <v>0</v>
      </c>
      <c r="BT654" s="1125">
        <f t="shared" si="796"/>
        <v>0</v>
      </c>
      <c r="BU654" s="1125">
        <f t="shared" si="797"/>
        <v>1</v>
      </c>
      <c r="BV654" s="1125">
        <f t="shared" si="798"/>
        <v>1</v>
      </c>
      <c r="BW654" s="1125">
        <f t="shared" si="799"/>
        <v>0</v>
      </c>
      <c r="BX654" s="1125">
        <f t="shared" si="800"/>
        <v>0</v>
      </c>
      <c r="BY654" s="1125">
        <f t="shared" si="801"/>
        <v>1</v>
      </c>
      <c r="BZ654" s="1125">
        <f t="shared" si="802"/>
        <v>1</v>
      </c>
      <c r="CA654" s="1125">
        <f t="shared" si="803"/>
        <v>1</v>
      </c>
      <c r="CB654" s="1125">
        <f t="shared" si="804"/>
        <v>1</v>
      </c>
      <c r="CC654" s="1125">
        <f t="shared" si="805"/>
        <v>1</v>
      </c>
      <c r="CD654" s="1125">
        <f t="shared" si="806"/>
        <v>1</v>
      </c>
      <c r="CE654" s="1125">
        <f t="shared" si="807"/>
        <v>1</v>
      </c>
      <c r="CF654" s="1125">
        <f t="shared" si="808"/>
        <v>1</v>
      </c>
      <c r="CG654" s="1125">
        <f t="shared" si="809"/>
        <v>1</v>
      </c>
      <c r="CH654" s="1125">
        <f t="shared" si="810"/>
        <v>0</v>
      </c>
      <c r="CI654" s="1125">
        <f t="shared" si="811"/>
        <v>0.85</v>
      </c>
      <c r="CJ654" s="1125">
        <f t="shared" si="812"/>
        <v>0.85</v>
      </c>
      <c r="CK654" s="1125">
        <f t="shared" si="813"/>
        <v>0.85</v>
      </c>
      <c r="CL654" s="1125">
        <f t="shared" si="814"/>
        <v>0.85</v>
      </c>
      <c r="CM654" s="1125">
        <f t="shared" si="815"/>
        <v>0.7</v>
      </c>
      <c r="CN654" s="1125">
        <f t="shared" si="816"/>
        <v>0.7</v>
      </c>
      <c r="CO654" s="1125">
        <f t="shared" si="817"/>
        <v>0.7</v>
      </c>
      <c r="CP654" s="1125">
        <f t="shared" si="818"/>
        <v>0.7</v>
      </c>
      <c r="CQ654" s="1125">
        <f t="shared" si="819"/>
        <v>0.7</v>
      </c>
      <c r="CR654" s="1125">
        <f t="shared" si="820"/>
        <v>0.7</v>
      </c>
      <c r="CS654" s="1125">
        <f t="shared" si="821"/>
        <v>0.85</v>
      </c>
      <c r="CT654" s="1125">
        <f t="shared" si="822"/>
        <v>0.85</v>
      </c>
      <c r="CU654" s="1125">
        <v>1</v>
      </c>
      <c r="CV654" s="1125"/>
      <c r="CW654" s="1125">
        <f t="shared" si="823"/>
        <v>275</v>
      </c>
      <c r="CX654" s="1125">
        <f t="shared" si="824"/>
        <v>90</v>
      </c>
      <c r="CY654" s="1136" t="s">
        <v>4883</v>
      </c>
      <c r="CZ654" s="1129" t="s">
        <v>4884</v>
      </c>
      <c r="DA654" s="1129"/>
      <c r="DB654" s="1129"/>
      <c r="DC654" s="1125" t="s">
        <v>5259</v>
      </c>
      <c r="DD654" s="1125" t="s">
        <v>591</v>
      </c>
      <c r="DE654" s="1120" t="str">
        <f t="shared" si="750"/>
        <v/>
      </c>
      <c r="DF654" s="1133">
        <v>0</v>
      </c>
      <c r="DG654" s="1120">
        <v>0</v>
      </c>
    </row>
    <row r="655" spans="1:111">
      <c r="A655" s="1125" t="s">
        <v>4026</v>
      </c>
      <c r="B655" s="1120" t="s">
        <v>3641</v>
      </c>
      <c r="C655" s="1120" t="s">
        <v>3642</v>
      </c>
      <c r="D655" s="1120" t="s">
        <v>591</v>
      </c>
      <c r="E655" s="1120">
        <v>3</v>
      </c>
      <c r="F655" s="1120">
        <v>-90.25</v>
      </c>
      <c r="G655" s="1120">
        <v>30</v>
      </c>
      <c r="H655" s="1120">
        <v>-6</v>
      </c>
      <c r="I655" s="1121">
        <v>35.419999957084656</v>
      </c>
      <c r="J655" s="1121">
        <v>91.939998626708984</v>
      </c>
      <c r="K655" s="1122">
        <v>77.719999313354492</v>
      </c>
      <c r="L655" s="1120">
        <v>1274.4000000000001</v>
      </c>
      <c r="M655" s="1120">
        <v>2874.6</v>
      </c>
      <c r="N655" s="1123">
        <v>49.819999313354494</v>
      </c>
      <c r="O655" s="1123">
        <v>55.580000686645505</v>
      </c>
      <c r="P655" s="1123">
        <v>64.219999313354492</v>
      </c>
      <c r="Q655" s="1123">
        <v>69.439998626708984</v>
      </c>
      <c r="R655" s="1123">
        <v>75.2</v>
      </c>
      <c r="S655" s="1123">
        <v>80.780000686645508</v>
      </c>
      <c r="T655" s="1123">
        <v>81.680000686645513</v>
      </c>
      <c r="U655" s="1123">
        <v>82.4</v>
      </c>
      <c r="V655" s="1123">
        <v>77.719999313354492</v>
      </c>
      <c r="W655" s="1123">
        <v>68.180000686645513</v>
      </c>
      <c r="X655" s="1123">
        <v>65.66000137329101</v>
      </c>
      <c r="Y655" s="1123">
        <v>54.5</v>
      </c>
      <c r="Z655" s="1123">
        <v>68.822575395139935</v>
      </c>
      <c r="AA655" s="1123">
        <f t="shared" si="751"/>
        <v>64.424521808491079</v>
      </c>
      <c r="AB655" s="1123">
        <f t="shared" si="752"/>
        <v>64.87143557444729</v>
      </c>
      <c r="AC655" s="1123">
        <f t="shared" si="753"/>
        <v>67.912267286373591</v>
      </c>
      <c r="AD655" s="1123">
        <f t="shared" si="754"/>
        <v>72.754377297921252</v>
      </c>
      <c r="AE655" s="1123">
        <f t="shared" si="755"/>
        <v>78.135595015406395</v>
      </c>
      <c r="AF655" s="1123">
        <f t="shared" si="756"/>
        <v>82.653223113691325</v>
      </c>
      <c r="AG655" s="1123">
        <f t="shared" si="757"/>
        <v>85.129672210201704</v>
      </c>
      <c r="AH655" s="1123">
        <f t="shared" si="758"/>
        <v>84.919417684696356</v>
      </c>
      <c r="AI655" s="1123">
        <f t="shared" si="759"/>
        <v>82.077265619368575</v>
      </c>
      <c r="AJ655" s="1123">
        <f t="shared" si="760"/>
        <v>77.344066748935134</v>
      </c>
      <c r="AK655" s="1123">
        <f t="shared" si="761"/>
        <v>71.953602299777003</v>
      </c>
      <c r="AL655" s="1123">
        <f t="shared" si="762"/>
        <v>67.310979900138918</v>
      </c>
      <c r="AM655" s="1120">
        <f t="shared" si="763"/>
        <v>1</v>
      </c>
      <c r="AN655" s="1120">
        <f t="shared" si="764"/>
        <v>1</v>
      </c>
      <c r="AO655" s="1120">
        <f t="shared" si="765"/>
        <v>1</v>
      </c>
      <c r="AP655" s="1120">
        <f t="shared" si="766"/>
        <v>0</v>
      </c>
      <c r="AQ655" s="1120">
        <f t="shared" si="767"/>
        <v>0</v>
      </c>
      <c r="AR655" s="1120">
        <f t="shared" si="768"/>
        <v>0</v>
      </c>
      <c r="AS655" s="1120">
        <f t="shared" si="769"/>
        <v>0</v>
      </c>
      <c r="AT655" s="1120">
        <f t="shared" si="770"/>
        <v>0</v>
      </c>
      <c r="AU655" s="1120">
        <f t="shared" si="771"/>
        <v>0</v>
      </c>
      <c r="AV655" s="1120">
        <f t="shared" si="772"/>
        <v>0</v>
      </c>
      <c r="AW655" s="1120">
        <f t="shared" si="773"/>
        <v>1</v>
      </c>
      <c r="AX655" s="1120">
        <f t="shared" si="774"/>
        <v>1</v>
      </c>
      <c r="AY655" s="1120">
        <f t="shared" si="775"/>
        <v>0</v>
      </c>
      <c r="AZ655" s="1120">
        <f t="shared" si="776"/>
        <v>0</v>
      </c>
      <c r="BA655" s="1120">
        <f t="shared" si="777"/>
        <v>0</v>
      </c>
      <c r="BB655" s="1120">
        <f t="shared" si="778"/>
        <v>1</v>
      </c>
      <c r="BC655" s="1120">
        <f t="shared" si="779"/>
        <v>1</v>
      </c>
      <c r="BD655" s="1120">
        <f t="shared" si="780"/>
        <v>1</v>
      </c>
      <c r="BE655" s="1120">
        <f t="shared" si="781"/>
        <v>1</v>
      </c>
      <c r="BF655" s="1120">
        <f t="shared" si="782"/>
        <v>1</v>
      </c>
      <c r="BG655" s="1120">
        <f t="shared" si="783"/>
        <v>1</v>
      </c>
      <c r="BH655" s="1120">
        <f t="shared" si="784"/>
        <v>1</v>
      </c>
      <c r="BI655" s="1120">
        <f t="shared" si="785"/>
        <v>0</v>
      </c>
      <c r="BJ655" s="1120">
        <f t="shared" si="786"/>
        <v>0</v>
      </c>
      <c r="BK655" s="1120">
        <f t="shared" si="787"/>
        <v>1</v>
      </c>
      <c r="BL655" s="1120">
        <f t="shared" si="788"/>
        <v>1</v>
      </c>
      <c r="BM655" s="1120">
        <f t="shared" si="789"/>
        <v>1</v>
      </c>
      <c r="BN655" s="1120">
        <f t="shared" si="790"/>
        <v>1</v>
      </c>
      <c r="BO655" s="1120">
        <f t="shared" si="791"/>
        <v>0</v>
      </c>
      <c r="BP655" s="1120">
        <f t="shared" si="792"/>
        <v>0</v>
      </c>
      <c r="BQ655" s="1120">
        <f t="shared" si="793"/>
        <v>0</v>
      </c>
      <c r="BR655" s="1120">
        <f t="shared" si="794"/>
        <v>0</v>
      </c>
      <c r="BS655" s="1120">
        <f t="shared" si="795"/>
        <v>0</v>
      </c>
      <c r="BT655" s="1120">
        <f t="shared" si="796"/>
        <v>0</v>
      </c>
      <c r="BU655" s="1120">
        <f t="shared" si="797"/>
        <v>1</v>
      </c>
      <c r="BV655" s="1120">
        <f t="shared" si="798"/>
        <v>1</v>
      </c>
      <c r="BW655" s="1120">
        <f t="shared" si="799"/>
        <v>0</v>
      </c>
      <c r="BX655" s="1120">
        <f t="shared" si="800"/>
        <v>0</v>
      </c>
      <c r="BY655" s="1120">
        <f t="shared" si="801"/>
        <v>1</v>
      </c>
      <c r="BZ655" s="1120">
        <f t="shared" si="802"/>
        <v>1</v>
      </c>
      <c r="CA655" s="1120">
        <f t="shared" si="803"/>
        <v>1</v>
      </c>
      <c r="CB655" s="1120">
        <f t="shared" si="804"/>
        <v>1</v>
      </c>
      <c r="CC655" s="1120">
        <f t="shared" si="805"/>
        <v>1</v>
      </c>
      <c r="CD655" s="1120">
        <f t="shared" si="806"/>
        <v>1</v>
      </c>
      <c r="CE655" s="1120">
        <f t="shared" si="807"/>
        <v>1</v>
      </c>
      <c r="CF655" s="1120">
        <f t="shared" si="808"/>
        <v>1</v>
      </c>
      <c r="CG655" s="1120">
        <f t="shared" si="809"/>
        <v>1</v>
      </c>
      <c r="CH655" s="1120">
        <f t="shared" si="810"/>
        <v>0</v>
      </c>
      <c r="CI655" s="1120">
        <f t="shared" si="811"/>
        <v>0.85</v>
      </c>
      <c r="CJ655" s="1120">
        <f t="shared" si="812"/>
        <v>0.85</v>
      </c>
      <c r="CK655" s="1120">
        <f t="shared" si="813"/>
        <v>0.85</v>
      </c>
      <c r="CL655" s="1120">
        <f t="shared" si="814"/>
        <v>0.85</v>
      </c>
      <c r="CM655" s="1120">
        <f t="shared" si="815"/>
        <v>0.7</v>
      </c>
      <c r="CN655" s="1120">
        <f t="shared" si="816"/>
        <v>0.7</v>
      </c>
      <c r="CO655" s="1120">
        <f t="shared" si="817"/>
        <v>0.7</v>
      </c>
      <c r="CP655" s="1120">
        <f t="shared" si="818"/>
        <v>0.7</v>
      </c>
      <c r="CQ655" s="1120">
        <f t="shared" si="819"/>
        <v>0.7</v>
      </c>
      <c r="CR655" s="1120">
        <f t="shared" si="820"/>
        <v>0.7</v>
      </c>
      <c r="CS655" s="1120">
        <f t="shared" si="821"/>
        <v>0.85</v>
      </c>
      <c r="CT655" s="1120">
        <f t="shared" si="822"/>
        <v>0.85</v>
      </c>
      <c r="CU655" s="1120">
        <v>1</v>
      </c>
      <c r="CV655" s="1120"/>
      <c r="CW655" s="1120">
        <f t="shared" si="823"/>
        <v>275</v>
      </c>
      <c r="CX655" s="1120">
        <f t="shared" si="824"/>
        <v>90</v>
      </c>
      <c r="CY655" s="1135" t="s">
        <v>4883</v>
      </c>
      <c r="CZ655" s="1124" t="s">
        <v>4884</v>
      </c>
      <c r="DA655" s="1124"/>
      <c r="DB655" s="1124"/>
      <c r="DC655" s="1120" t="s">
        <v>5260</v>
      </c>
      <c r="DD655" s="1120" t="s">
        <v>591</v>
      </c>
      <c r="DE655" s="1120" t="str">
        <f t="shared" si="750"/>
        <v/>
      </c>
      <c r="DF655" s="1133">
        <v>0</v>
      </c>
      <c r="DG655" s="1125">
        <v>0</v>
      </c>
    </row>
    <row r="656" spans="1:111">
      <c r="A656" s="1120" t="s">
        <v>4022</v>
      </c>
      <c r="B656" s="1125" t="s">
        <v>3639</v>
      </c>
      <c r="C656" s="1125" t="s">
        <v>3640</v>
      </c>
      <c r="D656" s="1125" t="s">
        <v>591</v>
      </c>
      <c r="E656" s="1125">
        <v>10</v>
      </c>
      <c r="F656" s="1125">
        <v>-90.03</v>
      </c>
      <c r="G656" s="1125">
        <v>30.05</v>
      </c>
      <c r="H656" s="1125">
        <v>-6</v>
      </c>
      <c r="I656" s="1126">
        <v>38.839999914169312</v>
      </c>
      <c r="J656" s="1126">
        <v>91.939998626708984</v>
      </c>
      <c r="K656" s="1127">
        <v>78.260001373291018</v>
      </c>
      <c r="L656" s="1125">
        <v>1170</v>
      </c>
      <c r="M656" s="1125">
        <v>30.6</v>
      </c>
      <c r="N656" s="1128">
        <v>56.659999656677243</v>
      </c>
      <c r="O656" s="1128">
        <v>58.640000343322754</v>
      </c>
      <c r="P656" s="1128">
        <v>60.440000343322751</v>
      </c>
      <c r="Q656" s="1128">
        <v>66.380000686645502</v>
      </c>
      <c r="R656" s="1128">
        <v>78.619999313354498</v>
      </c>
      <c r="S656" s="1128">
        <v>82.039998626708979</v>
      </c>
      <c r="T656" s="1128">
        <v>83.480000686645511</v>
      </c>
      <c r="U656" s="1128">
        <v>82.580000686645505</v>
      </c>
      <c r="V656" s="1128">
        <v>80.419999313354495</v>
      </c>
      <c r="W656" s="1128">
        <v>71.599999999999994</v>
      </c>
      <c r="X656" s="1128">
        <v>59.719999313354492</v>
      </c>
      <c r="Y656" s="1128">
        <v>54.680000686645506</v>
      </c>
      <c r="Z656" s="1128">
        <v>69.667342439416331</v>
      </c>
      <c r="AA656" s="1128">
        <f t="shared" si="751"/>
        <v>66.332938646038698</v>
      </c>
      <c r="AB656" s="1128">
        <f t="shared" si="752"/>
        <v>66.803047748154953</v>
      </c>
      <c r="AC656" s="1128">
        <f t="shared" si="753"/>
        <v>69.583771864464623</v>
      </c>
      <c r="AD656" s="1128">
        <f t="shared" si="754"/>
        <v>73.950272401795814</v>
      </c>
      <c r="AE656" s="1128">
        <f t="shared" si="755"/>
        <v>78.764353705283042</v>
      </c>
      <c r="AF656" s="1128">
        <f t="shared" si="756"/>
        <v>82.771151295933834</v>
      </c>
      <c r="AG656" s="1128">
        <f t="shared" si="757"/>
        <v>84.926231635125149</v>
      </c>
      <c r="AH656" s="1128">
        <f t="shared" si="758"/>
        <v>84.667839821653445</v>
      </c>
      <c r="AI656" s="1128">
        <f t="shared" si="759"/>
        <v>82.063329663638498</v>
      </c>
      <c r="AJ656" s="1128">
        <f t="shared" si="760"/>
        <v>77.791606870483392</v>
      </c>
      <c r="AK656" s="1128">
        <f t="shared" si="761"/>
        <v>72.966161817464865</v>
      </c>
      <c r="AL656" s="1128">
        <f t="shared" si="762"/>
        <v>68.844821120011389</v>
      </c>
      <c r="AM656" s="1125">
        <f t="shared" si="763"/>
        <v>1</v>
      </c>
      <c r="AN656" s="1125">
        <f t="shared" si="764"/>
        <v>1</v>
      </c>
      <c r="AO656" s="1125">
        <f t="shared" si="765"/>
        <v>1</v>
      </c>
      <c r="AP656" s="1125">
        <f t="shared" si="766"/>
        <v>0</v>
      </c>
      <c r="AQ656" s="1125">
        <f t="shared" si="767"/>
        <v>0</v>
      </c>
      <c r="AR656" s="1125">
        <f t="shared" si="768"/>
        <v>0</v>
      </c>
      <c r="AS656" s="1125">
        <f t="shared" si="769"/>
        <v>0</v>
      </c>
      <c r="AT656" s="1125">
        <f t="shared" si="770"/>
        <v>0</v>
      </c>
      <c r="AU656" s="1125">
        <f t="shared" si="771"/>
        <v>0</v>
      </c>
      <c r="AV656" s="1125">
        <f t="shared" si="772"/>
        <v>0</v>
      </c>
      <c r="AW656" s="1125">
        <f t="shared" si="773"/>
        <v>1</v>
      </c>
      <c r="AX656" s="1125">
        <f t="shared" si="774"/>
        <v>1</v>
      </c>
      <c r="AY656" s="1125">
        <f t="shared" si="775"/>
        <v>0</v>
      </c>
      <c r="AZ656" s="1125">
        <f t="shared" si="776"/>
        <v>0</v>
      </c>
      <c r="BA656" s="1125">
        <f t="shared" si="777"/>
        <v>0</v>
      </c>
      <c r="BB656" s="1125">
        <f t="shared" si="778"/>
        <v>1</v>
      </c>
      <c r="BC656" s="1125">
        <f t="shared" si="779"/>
        <v>1</v>
      </c>
      <c r="BD656" s="1125">
        <f t="shared" si="780"/>
        <v>1</v>
      </c>
      <c r="BE656" s="1125">
        <f t="shared" si="781"/>
        <v>1</v>
      </c>
      <c r="BF656" s="1125">
        <f t="shared" si="782"/>
        <v>1</v>
      </c>
      <c r="BG656" s="1125">
        <f t="shared" si="783"/>
        <v>1</v>
      </c>
      <c r="BH656" s="1125">
        <f t="shared" si="784"/>
        <v>1</v>
      </c>
      <c r="BI656" s="1125">
        <f t="shared" si="785"/>
        <v>0</v>
      </c>
      <c r="BJ656" s="1125">
        <f t="shared" si="786"/>
        <v>0</v>
      </c>
      <c r="BK656" s="1125">
        <f t="shared" si="787"/>
        <v>1</v>
      </c>
      <c r="BL656" s="1125">
        <f t="shared" si="788"/>
        <v>1</v>
      </c>
      <c r="BM656" s="1125">
        <f t="shared" si="789"/>
        <v>1</v>
      </c>
      <c r="BN656" s="1125">
        <f t="shared" si="790"/>
        <v>1</v>
      </c>
      <c r="BO656" s="1125">
        <f t="shared" si="791"/>
        <v>0</v>
      </c>
      <c r="BP656" s="1125">
        <f t="shared" si="792"/>
        <v>0</v>
      </c>
      <c r="BQ656" s="1125">
        <f t="shared" si="793"/>
        <v>0</v>
      </c>
      <c r="BR656" s="1125">
        <f t="shared" si="794"/>
        <v>0</v>
      </c>
      <c r="BS656" s="1125">
        <f t="shared" si="795"/>
        <v>0</v>
      </c>
      <c r="BT656" s="1125">
        <f t="shared" si="796"/>
        <v>0</v>
      </c>
      <c r="BU656" s="1125">
        <f t="shared" si="797"/>
        <v>1</v>
      </c>
      <c r="BV656" s="1125">
        <f t="shared" si="798"/>
        <v>1</v>
      </c>
      <c r="BW656" s="1125">
        <f t="shared" si="799"/>
        <v>0</v>
      </c>
      <c r="BX656" s="1125">
        <f t="shared" si="800"/>
        <v>0</v>
      </c>
      <c r="BY656" s="1125">
        <f t="shared" si="801"/>
        <v>1</v>
      </c>
      <c r="BZ656" s="1125">
        <f t="shared" si="802"/>
        <v>1</v>
      </c>
      <c r="CA656" s="1125">
        <f t="shared" si="803"/>
        <v>1</v>
      </c>
      <c r="CB656" s="1125">
        <f t="shared" si="804"/>
        <v>1</v>
      </c>
      <c r="CC656" s="1125">
        <f t="shared" si="805"/>
        <v>1</v>
      </c>
      <c r="CD656" s="1125">
        <f t="shared" si="806"/>
        <v>1</v>
      </c>
      <c r="CE656" s="1125">
        <f t="shared" si="807"/>
        <v>1</v>
      </c>
      <c r="CF656" s="1125">
        <f t="shared" si="808"/>
        <v>1</v>
      </c>
      <c r="CG656" s="1125">
        <f t="shared" si="809"/>
        <v>1</v>
      </c>
      <c r="CH656" s="1125">
        <f t="shared" si="810"/>
        <v>0</v>
      </c>
      <c r="CI656" s="1125">
        <f t="shared" si="811"/>
        <v>0.85</v>
      </c>
      <c r="CJ656" s="1125">
        <f t="shared" si="812"/>
        <v>0.85</v>
      </c>
      <c r="CK656" s="1125">
        <f t="shared" si="813"/>
        <v>0.85</v>
      </c>
      <c r="CL656" s="1125">
        <f t="shared" si="814"/>
        <v>0.85</v>
      </c>
      <c r="CM656" s="1125">
        <f t="shared" si="815"/>
        <v>0.7</v>
      </c>
      <c r="CN656" s="1125">
        <f t="shared" si="816"/>
        <v>0.7</v>
      </c>
      <c r="CO656" s="1125">
        <f t="shared" si="817"/>
        <v>0.7</v>
      </c>
      <c r="CP656" s="1125">
        <f t="shared" si="818"/>
        <v>0.7</v>
      </c>
      <c r="CQ656" s="1125">
        <f t="shared" si="819"/>
        <v>0.7</v>
      </c>
      <c r="CR656" s="1125">
        <f t="shared" si="820"/>
        <v>0.7</v>
      </c>
      <c r="CS656" s="1125">
        <f t="shared" si="821"/>
        <v>0.85</v>
      </c>
      <c r="CT656" s="1125">
        <f t="shared" si="822"/>
        <v>0.85</v>
      </c>
      <c r="CU656" s="1125">
        <v>1</v>
      </c>
      <c r="CV656" s="1125"/>
      <c r="CW656" s="1125">
        <f t="shared" si="823"/>
        <v>275</v>
      </c>
      <c r="CX656" s="1125">
        <f t="shared" si="824"/>
        <v>90</v>
      </c>
      <c r="CY656" s="1136" t="s">
        <v>4883</v>
      </c>
      <c r="CZ656" s="1129" t="s">
        <v>4884</v>
      </c>
      <c r="DA656" s="1129"/>
      <c r="DB656" s="1129"/>
      <c r="DC656" s="1125" t="s">
        <v>5261</v>
      </c>
      <c r="DD656" s="1125" t="s">
        <v>591</v>
      </c>
      <c r="DE656" s="1120" t="str">
        <f t="shared" si="750"/>
        <v/>
      </c>
      <c r="DF656" s="1133">
        <v>0</v>
      </c>
      <c r="DG656" s="1120">
        <v>0</v>
      </c>
    </row>
    <row r="657" spans="1:111">
      <c r="A657" s="1125" t="s">
        <v>4024</v>
      </c>
      <c r="B657" s="1120" t="s">
        <v>4312</v>
      </c>
      <c r="C657" s="1120" t="s">
        <v>4313</v>
      </c>
      <c r="D657" s="1120" t="s">
        <v>426</v>
      </c>
      <c r="E657" s="1120">
        <v>16</v>
      </c>
      <c r="F657" s="1120">
        <v>-77.38</v>
      </c>
      <c r="G657" s="1120">
        <v>34.700000000000003</v>
      </c>
      <c r="H657" s="1120">
        <v>-5</v>
      </c>
      <c r="I657" s="1121">
        <v>26.779999828338624</v>
      </c>
      <c r="J657" s="1121">
        <v>91.039998626708993</v>
      </c>
      <c r="K657" s="1122">
        <v>77.539998626708979</v>
      </c>
      <c r="L657" s="1120">
        <v>2752.2000000000003</v>
      </c>
      <c r="M657" s="1120">
        <v>1913.4</v>
      </c>
      <c r="N657" s="1123">
        <v>42.259999656677245</v>
      </c>
      <c r="O657" s="1123">
        <v>45.859999656677246</v>
      </c>
      <c r="P657" s="1123">
        <v>49.1</v>
      </c>
      <c r="Q657" s="1123">
        <v>61.880000686645509</v>
      </c>
      <c r="R657" s="1123">
        <v>69.260001373291018</v>
      </c>
      <c r="S657" s="1123">
        <v>76.460001373291021</v>
      </c>
      <c r="T657" s="1123">
        <v>76.280000686645508</v>
      </c>
      <c r="U657" s="1123">
        <v>79.519999313354489</v>
      </c>
      <c r="V657" s="1123">
        <v>77.180000686645513</v>
      </c>
      <c r="W657" s="1123">
        <v>64.580000686645505</v>
      </c>
      <c r="X657" s="1123">
        <v>58.640000343322754</v>
      </c>
      <c r="Y657" s="1123">
        <v>43.52000017166138</v>
      </c>
      <c r="Z657" s="1123">
        <v>62.106849703070239</v>
      </c>
      <c r="AA657" s="1123">
        <f t="shared" si="751"/>
        <v>57.735777258603711</v>
      </c>
      <c r="AB657" s="1123">
        <f t="shared" si="752"/>
        <v>57.555747445252493</v>
      </c>
      <c r="AC657" s="1123">
        <f t="shared" si="753"/>
        <v>60.126025032809046</v>
      </c>
      <c r="AD657" s="1123">
        <f t="shared" si="754"/>
        <v>64.776627558900174</v>
      </c>
      <c r="AE657" s="1123">
        <f t="shared" si="755"/>
        <v>70.295303807145913</v>
      </c>
      <c r="AF657" s="1123">
        <f t="shared" si="756"/>
        <v>75.243525768065737</v>
      </c>
      <c r="AG657" s="1123">
        <f t="shared" si="757"/>
        <v>78.331463133137277</v>
      </c>
      <c r="AH657" s="1123">
        <f t="shared" si="758"/>
        <v>78.754197441599402</v>
      </c>
      <c r="AI657" s="1123">
        <f t="shared" si="759"/>
        <v>76.40153648141856</v>
      </c>
      <c r="AJ657" s="1123">
        <f t="shared" si="760"/>
        <v>71.886737587468758</v>
      </c>
      <c r="AK657" s="1123">
        <f t="shared" si="761"/>
        <v>66.386652666614978</v>
      </c>
      <c r="AL657" s="1123">
        <f t="shared" si="762"/>
        <v>61.334963612352006</v>
      </c>
      <c r="AM657" s="1120">
        <f t="shared" si="763"/>
        <v>1</v>
      </c>
      <c r="AN657" s="1120">
        <f t="shared" si="764"/>
        <v>1</v>
      </c>
      <c r="AO657" s="1120">
        <f t="shared" si="765"/>
        <v>1</v>
      </c>
      <c r="AP657" s="1120">
        <f t="shared" si="766"/>
        <v>1</v>
      </c>
      <c r="AQ657" s="1120">
        <f t="shared" si="767"/>
        <v>0</v>
      </c>
      <c r="AR657" s="1120">
        <f t="shared" si="768"/>
        <v>0</v>
      </c>
      <c r="AS657" s="1120">
        <f t="shared" si="769"/>
        <v>0</v>
      </c>
      <c r="AT657" s="1120">
        <f t="shared" si="770"/>
        <v>0</v>
      </c>
      <c r="AU657" s="1120">
        <f t="shared" si="771"/>
        <v>0</v>
      </c>
      <c r="AV657" s="1120">
        <f t="shared" si="772"/>
        <v>1</v>
      </c>
      <c r="AW657" s="1120">
        <f t="shared" si="773"/>
        <v>1</v>
      </c>
      <c r="AX657" s="1120">
        <f t="shared" si="774"/>
        <v>1</v>
      </c>
      <c r="AY657" s="1120">
        <f t="shared" si="775"/>
        <v>0</v>
      </c>
      <c r="AZ657" s="1120">
        <f t="shared" si="776"/>
        <v>0</v>
      </c>
      <c r="BA657" s="1120">
        <f t="shared" si="777"/>
        <v>0</v>
      </c>
      <c r="BB657" s="1120">
        <f t="shared" si="778"/>
        <v>0</v>
      </c>
      <c r="BC657" s="1120">
        <f t="shared" si="779"/>
        <v>1</v>
      </c>
      <c r="BD657" s="1120">
        <f t="shared" si="780"/>
        <v>1</v>
      </c>
      <c r="BE657" s="1120">
        <f t="shared" si="781"/>
        <v>1</v>
      </c>
      <c r="BF657" s="1120">
        <f t="shared" si="782"/>
        <v>1</v>
      </c>
      <c r="BG657" s="1120">
        <f t="shared" si="783"/>
        <v>1</v>
      </c>
      <c r="BH657" s="1120">
        <f t="shared" si="784"/>
        <v>0</v>
      </c>
      <c r="BI657" s="1120">
        <f t="shared" si="785"/>
        <v>0</v>
      </c>
      <c r="BJ657" s="1120">
        <f t="shared" si="786"/>
        <v>0</v>
      </c>
      <c r="BK657" s="1120">
        <f t="shared" si="787"/>
        <v>1</v>
      </c>
      <c r="BL657" s="1120">
        <f t="shared" si="788"/>
        <v>1</v>
      </c>
      <c r="BM657" s="1120">
        <f t="shared" si="789"/>
        <v>1</v>
      </c>
      <c r="BN657" s="1120">
        <f t="shared" si="790"/>
        <v>1</v>
      </c>
      <c r="BO657" s="1120">
        <f t="shared" si="791"/>
        <v>1</v>
      </c>
      <c r="BP657" s="1120">
        <f t="shared" si="792"/>
        <v>0</v>
      </c>
      <c r="BQ657" s="1120">
        <f t="shared" si="793"/>
        <v>0</v>
      </c>
      <c r="BR657" s="1120">
        <f t="shared" si="794"/>
        <v>0</v>
      </c>
      <c r="BS657" s="1120">
        <f t="shared" si="795"/>
        <v>0</v>
      </c>
      <c r="BT657" s="1120">
        <f t="shared" si="796"/>
        <v>1</v>
      </c>
      <c r="BU657" s="1120">
        <f t="shared" si="797"/>
        <v>1</v>
      </c>
      <c r="BV657" s="1120">
        <f t="shared" si="798"/>
        <v>1</v>
      </c>
      <c r="BW657" s="1120">
        <f t="shared" si="799"/>
        <v>0</v>
      </c>
      <c r="BX657" s="1120">
        <f t="shared" si="800"/>
        <v>0</v>
      </c>
      <c r="BY657" s="1120">
        <f t="shared" si="801"/>
        <v>0</v>
      </c>
      <c r="BZ657" s="1120">
        <f t="shared" si="802"/>
        <v>1</v>
      </c>
      <c r="CA657" s="1120">
        <f t="shared" si="803"/>
        <v>1</v>
      </c>
      <c r="CB657" s="1120">
        <f t="shared" si="804"/>
        <v>1</v>
      </c>
      <c r="CC657" s="1120">
        <f t="shared" si="805"/>
        <v>1</v>
      </c>
      <c r="CD657" s="1120">
        <f t="shared" si="806"/>
        <v>1</v>
      </c>
      <c r="CE657" s="1120">
        <f t="shared" si="807"/>
        <v>1</v>
      </c>
      <c r="CF657" s="1120">
        <f t="shared" si="808"/>
        <v>1</v>
      </c>
      <c r="CG657" s="1120">
        <f t="shared" si="809"/>
        <v>0</v>
      </c>
      <c r="CH657" s="1120">
        <f t="shared" si="810"/>
        <v>0</v>
      </c>
      <c r="CI657" s="1120">
        <f t="shared" si="811"/>
        <v>0.85</v>
      </c>
      <c r="CJ657" s="1120">
        <f t="shared" si="812"/>
        <v>0.85</v>
      </c>
      <c r="CK657" s="1120">
        <f t="shared" si="813"/>
        <v>0.85</v>
      </c>
      <c r="CL657" s="1120">
        <f t="shared" si="814"/>
        <v>0.85</v>
      </c>
      <c r="CM657" s="1120">
        <f t="shared" si="815"/>
        <v>0.85</v>
      </c>
      <c r="CN657" s="1120">
        <f t="shared" si="816"/>
        <v>0.7</v>
      </c>
      <c r="CO657" s="1120">
        <f t="shared" si="817"/>
        <v>0.7</v>
      </c>
      <c r="CP657" s="1120">
        <f t="shared" si="818"/>
        <v>0.7</v>
      </c>
      <c r="CQ657" s="1120">
        <f t="shared" si="819"/>
        <v>0.7</v>
      </c>
      <c r="CR657" s="1120">
        <f t="shared" si="820"/>
        <v>0.85</v>
      </c>
      <c r="CS657" s="1120">
        <f t="shared" si="821"/>
        <v>0.85</v>
      </c>
      <c r="CT657" s="1120">
        <f t="shared" si="822"/>
        <v>0.85</v>
      </c>
      <c r="CU657" s="1120">
        <v>1</v>
      </c>
      <c r="CV657" s="1120"/>
      <c r="CW657" s="1120">
        <f t="shared" si="823"/>
        <v>214</v>
      </c>
      <c r="CX657" s="1120">
        <f t="shared" si="824"/>
        <v>151</v>
      </c>
      <c r="CY657" s="1135" t="s">
        <v>4883</v>
      </c>
      <c r="CZ657" s="1124" t="s">
        <v>4882</v>
      </c>
      <c r="DA657" s="1124"/>
      <c r="DB657" s="1124"/>
      <c r="DC657" s="1120" t="s">
        <v>5395</v>
      </c>
      <c r="DD657" s="1120" t="s">
        <v>426</v>
      </c>
      <c r="DE657" s="1120" t="str">
        <f t="shared" si="750"/>
        <v/>
      </c>
      <c r="DF657" s="1133">
        <v>0</v>
      </c>
      <c r="DG657" s="1125">
        <v>0</v>
      </c>
    </row>
    <row r="658" spans="1:111">
      <c r="A658" s="1120" t="s">
        <v>4028</v>
      </c>
      <c r="B658" s="1120" t="s">
        <v>5884</v>
      </c>
      <c r="C658" s="1120" t="s">
        <v>5885</v>
      </c>
      <c r="D658" s="1120" t="s">
        <v>934</v>
      </c>
      <c r="E658" s="1120">
        <v>1010</v>
      </c>
      <c r="F658" s="1120">
        <v>-94.5</v>
      </c>
      <c r="G658" s="1120">
        <v>44.32</v>
      </c>
      <c r="H658" s="1120">
        <v>-6</v>
      </c>
      <c r="I658" s="1121">
        <v>-8.3199993133544936</v>
      </c>
      <c r="J658" s="1121">
        <v>87.619999313354498</v>
      </c>
      <c r="K658" s="1122">
        <v>72.860001373291013</v>
      </c>
      <c r="L658" s="1120">
        <v>7417.8</v>
      </c>
      <c r="M658" s="1120">
        <v>694.80000000000007</v>
      </c>
      <c r="N658" s="1123">
        <v>17.779999828338624</v>
      </c>
      <c r="O658" s="1123">
        <v>15.619999313354493</v>
      </c>
      <c r="P658" s="1123">
        <v>26.060000085830687</v>
      </c>
      <c r="Q658" s="1123">
        <v>47.840000343322757</v>
      </c>
      <c r="R658" s="1123">
        <v>56.659999656677243</v>
      </c>
      <c r="S658" s="1123">
        <v>67.819999313354487</v>
      </c>
      <c r="T658" s="1123">
        <v>72.319999313354487</v>
      </c>
      <c r="U658" s="1123">
        <v>69.619999313354498</v>
      </c>
      <c r="V658" s="1123">
        <v>63.319999313354494</v>
      </c>
      <c r="W658" s="1123">
        <v>46.759999656677245</v>
      </c>
      <c r="X658" s="1123">
        <v>41.179999828338623</v>
      </c>
      <c r="Y658" s="1123">
        <v>25.160000085830688</v>
      </c>
      <c r="Z658" s="1123">
        <v>45.992657207854805</v>
      </c>
      <c r="AA658" s="1123">
        <f t="shared" si="751"/>
        <v>41.957204662781649</v>
      </c>
      <c r="AB658" s="1123">
        <f t="shared" si="752"/>
        <v>40.103678361052467</v>
      </c>
      <c r="AC658" s="1123">
        <f t="shared" si="753"/>
        <v>41.349197610452208</v>
      </c>
      <c r="AD658" s="1123">
        <f t="shared" si="754"/>
        <v>45.369098624592198</v>
      </c>
      <c r="AE658" s="1123">
        <f t="shared" si="755"/>
        <v>51.115532255587048</v>
      </c>
      <c r="AF658" s="1123">
        <f t="shared" si="756"/>
        <v>57.090602022295158</v>
      </c>
      <c r="AG658" s="1123">
        <f t="shared" si="757"/>
        <v>61.736813911411758</v>
      </c>
      <c r="AH658" s="1123">
        <f t="shared" si="758"/>
        <v>63.843061193746074</v>
      </c>
      <c r="AI658" s="1123">
        <f t="shared" si="759"/>
        <v>62.860318056904532</v>
      </c>
      <c r="AJ658" s="1123">
        <f t="shared" si="760"/>
        <v>59.04475164403506</v>
      </c>
      <c r="AK658" s="1123">
        <f t="shared" si="761"/>
        <v>53.390948140310336</v>
      </c>
      <c r="AL658" s="1123">
        <f t="shared" si="762"/>
        <v>47.372658556725554</v>
      </c>
      <c r="AM658" s="1120">
        <f t="shared" si="763"/>
        <v>1</v>
      </c>
      <c r="AN658" s="1120">
        <f t="shared" si="764"/>
        <v>1</v>
      </c>
      <c r="AO658" s="1120">
        <f t="shared" si="765"/>
        <v>1</v>
      </c>
      <c r="AP658" s="1120">
        <f t="shared" si="766"/>
        <v>1</v>
      </c>
      <c r="AQ658" s="1120">
        <f t="shared" si="767"/>
        <v>1</v>
      </c>
      <c r="AR658" s="1120">
        <f t="shared" si="768"/>
        <v>0</v>
      </c>
      <c r="AS658" s="1120">
        <f t="shared" si="769"/>
        <v>0</v>
      </c>
      <c r="AT658" s="1120">
        <f t="shared" si="770"/>
        <v>0</v>
      </c>
      <c r="AU658" s="1120">
        <f t="shared" si="771"/>
        <v>1</v>
      </c>
      <c r="AV658" s="1120">
        <f t="shared" si="772"/>
        <v>1</v>
      </c>
      <c r="AW658" s="1120">
        <f t="shared" si="773"/>
        <v>1</v>
      </c>
      <c r="AX658" s="1120">
        <f t="shared" si="774"/>
        <v>1</v>
      </c>
      <c r="AY658" s="1120">
        <f t="shared" si="775"/>
        <v>0</v>
      </c>
      <c r="AZ658" s="1120">
        <f t="shared" si="776"/>
        <v>0</v>
      </c>
      <c r="BA658" s="1120">
        <f t="shared" si="777"/>
        <v>0</v>
      </c>
      <c r="BB658" s="1120">
        <f t="shared" si="778"/>
        <v>0</v>
      </c>
      <c r="BC658" s="1120">
        <f t="shared" si="779"/>
        <v>0</v>
      </c>
      <c r="BD658" s="1120">
        <f t="shared" si="780"/>
        <v>1</v>
      </c>
      <c r="BE658" s="1120">
        <f t="shared" si="781"/>
        <v>1</v>
      </c>
      <c r="BF658" s="1120">
        <f t="shared" si="782"/>
        <v>1</v>
      </c>
      <c r="BG658" s="1120">
        <f t="shared" si="783"/>
        <v>0</v>
      </c>
      <c r="BH658" s="1120">
        <f t="shared" si="784"/>
        <v>0</v>
      </c>
      <c r="BI658" s="1120">
        <f t="shared" si="785"/>
        <v>0</v>
      </c>
      <c r="BJ658" s="1120">
        <f t="shared" si="786"/>
        <v>0</v>
      </c>
      <c r="BK658" s="1120">
        <f t="shared" si="787"/>
        <v>1</v>
      </c>
      <c r="BL658" s="1120">
        <f t="shared" si="788"/>
        <v>1</v>
      </c>
      <c r="BM658" s="1120">
        <f t="shared" si="789"/>
        <v>1</v>
      </c>
      <c r="BN658" s="1120">
        <f t="shared" si="790"/>
        <v>1</v>
      </c>
      <c r="BO658" s="1120">
        <f t="shared" si="791"/>
        <v>1</v>
      </c>
      <c r="BP658" s="1120">
        <f t="shared" si="792"/>
        <v>1</v>
      </c>
      <c r="BQ658" s="1120">
        <f t="shared" si="793"/>
        <v>0</v>
      </c>
      <c r="BR658" s="1120">
        <f t="shared" si="794"/>
        <v>0</v>
      </c>
      <c r="BS658" s="1120">
        <f t="shared" si="795"/>
        <v>1</v>
      </c>
      <c r="BT658" s="1120">
        <f t="shared" si="796"/>
        <v>1</v>
      </c>
      <c r="BU658" s="1120">
        <f t="shared" si="797"/>
        <v>1</v>
      </c>
      <c r="BV658" s="1120">
        <f t="shared" si="798"/>
        <v>1</v>
      </c>
      <c r="BW658" s="1120">
        <f t="shared" si="799"/>
        <v>0</v>
      </c>
      <c r="BX658" s="1120">
        <f t="shared" si="800"/>
        <v>0</v>
      </c>
      <c r="BY658" s="1120">
        <f t="shared" si="801"/>
        <v>0</v>
      </c>
      <c r="BZ658" s="1120">
        <f t="shared" si="802"/>
        <v>0</v>
      </c>
      <c r="CA658" s="1120">
        <f t="shared" si="803"/>
        <v>1</v>
      </c>
      <c r="CB658" s="1120">
        <f t="shared" si="804"/>
        <v>1</v>
      </c>
      <c r="CC658" s="1120">
        <f t="shared" si="805"/>
        <v>1</v>
      </c>
      <c r="CD658" s="1120">
        <f t="shared" si="806"/>
        <v>1</v>
      </c>
      <c r="CE658" s="1120">
        <f t="shared" si="807"/>
        <v>1</v>
      </c>
      <c r="CF658" s="1120">
        <f t="shared" si="808"/>
        <v>0</v>
      </c>
      <c r="CG658" s="1120">
        <f t="shared" si="809"/>
        <v>0</v>
      </c>
      <c r="CH658" s="1120">
        <f t="shared" si="810"/>
        <v>0</v>
      </c>
      <c r="CI658" s="1120">
        <f t="shared" si="811"/>
        <v>0.85</v>
      </c>
      <c r="CJ658" s="1120">
        <f t="shared" si="812"/>
        <v>0.85</v>
      </c>
      <c r="CK658" s="1120">
        <f t="shared" si="813"/>
        <v>0.85</v>
      </c>
      <c r="CL658" s="1120">
        <f t="shared" si="814"/>
        <v>0.85</v>
      </c>
      <c r="CM658" s="1120">
        <f t="shared" si="815"/>
        <v>0.85</v>
      </c>
      <c r="CN658" s="1120">
        <f t="shared" si="816"/>
        <v>0.85</v>
      </c>
      <c r="CO658" s="1120">
        <f t="shared" si="817"/>
        <v>0.7</v>
      </c>
      <c r="CP658" s="1120">
        <f t="shared" si="818"/>
        <v>0.7</v>
      </c>
      <c r="CQ658" s="1120">
        <f t="shared" si="819"/>
        <v>0.85</v>
      </c>
      <c r="CR658" s="1120">
        <f t="shared" si="820"/>
        <v>0.85</v>
      </c>
      <c r="CS658" s="1120">
        <f t="shared" si="821"/>
        <v>0.85</v>
      </c>
      <c r="CT658" s="1120">
        <f t="shared" si="822"/>
        <v>0.85</v>
      </c>
      <c r="CU658" s="1120">
        <v>1</v>
      </c>
      <c r="CV658" s="1120"/>
      <c r="CW658" s="1120">
        <f t="shared" si="823"/>
        <v>153</v>
      </c>
      <c r="CX658" s="1120">
        <f t="shared" si="824"/>
        <v>212</v>
      </c>
      <c r="CY658" s="1135" t="s">
        <v>4889</v>
      </c>
      <c r="CZ658" s="1124" t="s">
        <v>4899</v>
      </c>
      <c r="DA658" s="1124"/>
      <c r="DB658" s="1124"/>
      <c r="DC658" s="1120" t="s">
        <v>5759</v>
      </c>
      <c r="DD658" s="1120" t="s">
        <v>934</v>
      </c>
      <c r="DE658" s="1120" t="str">
        <f t="shared" si="750"/>
        <v/>
      </c>
      <c r="DF658" s="1133">
        <v>0</v>
      </c>
      <c r="DG658" s="1120">
        <v>0</v>
      </c>
    </row>
    <row r="659" spans="1:111">
      <c r="A659" s="1125" t="s">
        <v>4030</v>
      </c>
      <c r="B659" s="1120" t="s">
        <v>4136</v>
      </c>
      <c r="C659" s="1120" t="s">
        <v>4137</v>
      </c>
      <c r="D659" s="1120" t="s">
        <v>537</v>
      </c>
      <c r="E659" s="1120">
        <v>131</v>
      </c>
      <c r="F659" s="1120">
        <v>-73.97</v>
      </c>
      <c r="G659" s="1120">
        <v>40.78</v>
      </c>
      <c r="H659" s="1120">
        <v>-5</v>
      </c>
      <c r="I659" s="1121">
        <v>8.7800006866455078</v>
      </c>
      <c r="J659" s="1121">
        <v>91.22000274658204</v>
      </c>
      <c r="K659" s="1122">
        <v>77.180000686645513</v>
      </c>
      <c r="L659" s="1120">
        <v>4815</v>
      </c>
      <c r="M659" s="1120">
        <v>1189.8</v>
      </c>
      <c r="N659" s="1123">
        <v>28.939999914169313</v>
      </c>
      <c r="O659" s="1123">
        <v>34.700000000000003</v>
      </c>
      <c r="P659" s="1123">
        <v>43.7</v>
      </c>
      <c r="Q659" s="1123">
        <v>52.340000343322757</v>
      </c>
      <c r="R659" s="1123">
        <v>62.960001373291014</v>
      </c>
      <c r="S659" s="1123">
        <v>71.960001373291021</v>
      </c>
      <c r="T659" s="1123">
        <v>77</v>
      </c>
      <c r="U659" s="1123">
        <v>73.760001373291018</v>
      </c>
      <c r="V659" s="1123">
        <v>68.360001373291013</v>
      </c>
      <c r="W659" s="1123">
        <v>55.4</v>
      </c>
      <c r="X659" s="1123">
        <v>48.019999313354489</v>
      </c>
      <c r="Y659" s="1123">
        <v>35.419999957084656</v>
      </c>
      <c r="Z659" s="1123">
        <v>54.478301789727929</v>
      </c>
      <c r="AA659" s="1123">
        <f t="shared" si="751"/>
        <v>49.412468985063967</v>
      </c>
      <c r="AB659" s="1123">
        <f t="shared" si="752"/>
        <v>48.402230926143972</v>
      </c>
      <c r="AC659" s="1123">
        <f t="shared" si="753"/>
        <v>50.539806835702265</v>
      </c>
      <c r="AD659" s="1123">
        <f t="shared" si="754"/>
        <v>55.268004611870623</v>
      </c>
      <c r="AE659" s="1123">
        <f t="shared" si="755"/>
        <v>61.354346640557445</v>
      </c>
      <c r="AF659" s="1123">
        <f t="shared" si="756"/>
        <v>67.212334078615754</v>
      </c>
      <c r="AG659" s="1123">
        <f t="shared" si="757"/>
        <v>71.314992225996647</v>
      </c>
      <c r="AH659" s="1123">
        <f t="shared" si="758"/>
        <v>72.592900012709478</v>
      </c>
      <c r="AI659" s="1123">
        <f t="shared" si="759"/>
        <v>70.71295108099244</v>
      </c>
      <c r="AJ659" s="1123">
        <f t="shared" si="760"/>
        <v>66.165183090787565</v>
      </c>
      <c r="AK659" s="1123">
        <f t="shared" si="761"/>
        <v>60.135041851967884</v>
      </c>
      <c r="AL659" s="1123">
        <f t="shared" si="762"/>
        <v>54.194376605721125</v>
      </c>
      <c r="AM659" s="1120">
        <f t="shared" si="763"/>
        <v>1</v>
      </c>
      <c r="AN659" s="1120">
        <f t="shared" si="764"/>
        <v>1</v>
      </c>
      <c r="AO659" s="1120">
        <f t="shared" si="765"/>
        <v>1</v>
      </c>
      <c r="AP659" s="1120">
        <f t="shared" si="766"/>
        <v>1</v>
      </c>
      <c r="AQ659" s="1120">
        <f t="shared" si="767"/>
        <v>1</v>
      </c>
      <c r="AR659" s="1120">
        <f t="shared" si="768"/>
        <v>0</v>
      </c>
      <c r="AS659" s="1120">
        <f t="shared" si="769"/>
        <v>0</v>
      </c>
      <c r="AT659" s="1120">
        <f t="shared" si="770"/>
        <v>0</v>
      </c>
      <c r="AU659" s="1120">
        <f t="shared" si="771"/>
        <v>0</v>
      </c>
      <c r="AV659" s="1120">
        <f t="shared" si="772"/>
        <v>1</v>
      </c>
      <c r="AW659" s="1120">
        <f t="shared" si="773"/>
        <v>1</v>
      </c>
      <c r="AX659" s="1120">
        <f t="shared" si="774"/>
        <v>1</v>
      </c>
      <c r="AY659" s="1120">
        <f t="shared" si="775"/>
        <v>0</v>
      </c>
      <c r="AZ659" s="1120">
        <f t="shared" si="776"/>
        <v>0</v>
      </c>
      <c r="BA659" s="1120">
        <f t="shared" si="777"/>
        <v>0</v>
      </c>
      <c r="BB659" s="1120">
        <f t="shared" si="778"/>
        <v>0</v>
      </c>
      <c r="BC659" s="1120">
        <f t="shared" si="779"/>
        <v>0</v>
      </c>
      <c r="BD659" s="1120">
        <f t="shared" si="780"/>
        <v>1</v>
      </c>
      <c r="BE659" s="1120">
        <f t="shared" si="781"/>
        <v>1</v>
      </c>
      <c r="BF659" s="1120">
        <f t="shared" si="782"/>
        <v>1</v>
      </c>
      <c r="BG659" s="1120">
        <f t="shared" si="783"/>
        <v>1</v>
      </c>
      <c r="BH659" s="1120">
        <f t="shared" si="784"/>
        <v>0</v>
      </c>
      <c r="BI659" s="1120">
        <f t="shared" si="785"/>
        <v>0</v>
      </c>
      <c r="BJ659" s="1120">
        <f t="shared" si="786"/>
        <v>0</v>
      </c>
      <c r="BK659" s="1120">
        <f t="shared" si="787"/>
        <v>1</v>
      </c>
      <c r="BL659" s="1120">
        <f t="shared" si="788"/>
        <v>1</v>
      </c>
      <c r="BM659" s="1120">
        <f t="shared" si="789"/>
        <v>1</v>
      </c>
      <c r="BN659" s="1120">
        <f t="shared" si="790"/>
        <v>1</v>
      </c>
      <c r="BO659" s="1120">
        <f t="shared" si="791"/>
        <v>1</v>
      </c>
      <c r="BP659" s="1120">
        <f t="shared" si="792"/>
        <v>1</v>
      </c>
      <c r="BQ659" s="1120">
        <f t="shared" si="793"/>
        <v>0</v>
      </c>
      <c r="BR659" s="1120">
        <f t="shared" si="794"/>
        <v>0</v>
      </c>
      <c r="BS659" s="1120">
        <f t="shared" si="795"/>
        <v>0</v>
      </c>
      <c r="BT659" s="1120">
        <f t="shared" si="796"/>
        <v>1</v>
      </c>
      <c r="BU659" s="1120">
        <f t="shared" si="797"/>
        <v>1</v>
      </c>
      <c r="BV659" s="1120">
        <f t="shared" si="798"/>
        <v>1</v>
      </c>
      <c r="BW659" s="1120">
        <f t="shared" si="799"/>
        <v>0</v>
      </c>
      <c r="BX659" s="1120">
        <f t="shared" si="800"/>
        <v>0</v>
      </c>
      <c r="BY659" s="1120">
        <f t="shared" si="801"/>
        <v>0</v>
      </c>
      <c r="BZ659" s="1120">
        <f t="shared" si="802"/>
        <v>0</v>
      </c>
      <c r="CA659" s="1120">
        <f t="shared" si="803"/>
        <v>1</v>
      </c>
      <c r="CB659" s="1120">
        <f t="shared" si="804"/>
        <v>1</v>
      </c>
      <c r="CC659" s="1120">
        <f t="shared" si="805"/>
        <v>1</v>
      </c>
      <c r="CD659" s="1120">
        <f t="shared" si="806"/>
        <v>1</v>
      </c>
      <c r="CE659" s="1120">
        <f t="shared" si="807"/>
        <v>1</v>
      </c>
      <c r="CF659" s="1120">
        <f t="shared" si="808"/>
        <v>1</v>
      </c>
      <c r="CG659" s="1120">
        <f t="shared" si="809"/>
        <v>0</v>
      </c>
      <c r="CH659" s="1120">
        <f t="shared" si="810"/>
        <v>0</v>
      </c>
      <c r="CI659" s="1120">
        <f t="shared" si="811"/>
        <v>0.85</v>
      </c>
      <c r="CJ659" s="1120">
        <f t="shared" si="812"/>
        <v>0.85</v>
      </c>
      <c r="CK659" s="1120">
        <f t="shared" si="813"/>
        <v>0.85</v>
      </c>
      <c r="CL659" s="1120">
        <f t="shared" si="814"/>
        <v>0.85</v>
      </c>
      <c r="CM659" s="1120">
        <f t="shared" si="815"/>
        <v>0.85</v>
      </c>
      <c r="CN659" s="1120">
        <f t="shared" si="816"/>
        <v>0.85</v>
      </c>
      <c r="CO659" s="1120">
        <f t="shared" si="817"/>
        <v>0.7</v>
      </c>
      <c r="CP659" s="1120">
        <f t="shared" si="818"/>
        <v>0.7</v>
      </c>
      <c r="CQ659" s="1120">
        <f t="shared" si="819"/>
        <v>0.7</v>
      </c>
      <c r="CR659" s="1120">
        <f t="shared" si="820"/>
        <v>0.85</v>
      </c>
      <c r="CS659" s="1120">
        <f t="shared" si="821"/>
        <v>0.85</v>
      </c>
      <c r="CT659" s="1120">
        <f t="shared" si="822"/>
        <v>0.85</v>
      </c>
      <c r="CU659" s="1120">
        <v>1</v>
      </c>
      <c r="CV659" s="1120"/>
      <c r="CW659" s="1120">
        <f t="shared" si="823"/>
        <v>184</v>
      </c>
      <c r="CX659" s="1120">
        <f t="shared" si="824"/>
        <v>181</v>
      </c>
      <c r="CY659" s="1135" t="s">
        <v>4881</v>
      </c>
      <c r="CZ659" s="1124" t="s">
        <v>4885</v>
      </c>
      <c r="DA659" s="1124"/>
      <c r="DB659" s="1124"/>
      <c r="DC659" s="1120" t="s">
        <v>5478</v>
      </c>
      <c r="DD659" s="1120" t="s">
        <v>537</v>
      </c>
      <c r="DE659" s="1120" t="str">
        <f t="shared" si="750"/>
        <v/>
      </c>
      <c r="DF659" s="1133">
        <v>0</v>
      </c>
      <c r="DG659" s="1125">
        <v>0</v>
      </c>
    </row>
    <row r="660" spans="1:111">
      <c r="A660" s="1120" t="s">
        <v>4032</v>
      </c>
      <c r="B660" s="1125" t="s">
        <v>4138</v>
      </c>
      <c r="C660" s="1125" t="s">
        <v>4139</v>
      </c>
      <c r="D660" s="1125" t="s">
        <v>537</v>
      </c>
      <c r="E660" s="1125">
        <v>16</v>
      </c>
      <c r="F660" s="1125">
        <v>-73.8</v>
      </c>
      <c r="G660" s="1125">
        <v>40.65</v>
      </c>
      <c r="H660" s="1125">
        <v>-5</v>
      </c>
      <c r="I660" s="1126">
        <v>17.240000343322752</v>
      </c>
      <c r="J660" s="1126">
        <v>86.539998626708979</v>
      </c>
      <c r="K660" s="1127">
        <v>72.139998626708987</v>
      </c>
      <c r="L660" s="1125">
        <v>4728.6000000000004</v>
      </c>
      <c r="M660" s="1125">
        <v>1150.2</v>
      </c>
      <c r="N660" s="1128">
        <v>34.160000085830688</v>
      </c>
      <c r="O660" s="1128">
        <v>31.639999994635581</v>
      </c>
      <c r="P660" s="1128">
        <v>42.079999828338622</v>
      </c>
      <c r="Q660" s="1128">
        <v>51.619999313354491</v>
      </c>
      <c r="R660" s="1128">
        <v>60.980000686645511</v>
      </c>
      <c r="S660" s="1128">
        <v>71.060001373291016</v>
      </c>
      <c r="T660" s="1128">
        <v>77</v>
      </c>
      <c r="U660" s="1128">
        <v>76.639998626708987</v>
      </c>
      <c r="V660" s="1128">
        <v>67.819999313354487</v>
      </c>
      <c r="W660" s="1128">
        <v>57.2</v>
      </c>
      <c r="X660" s="1128">
        <v>45.140000343322754</v>
      </c>
      <c r="Y660" s="1128">
        <v>37.939999914169313</v>
      </c>
      <c r="Z660" s="1128">
        <v>54.578410913813606</v>
      </c>
      <c r="AA660" s="1128">
        <f t="shared" si="751"/>
        <v>50.105462493950228</v>
      </c>
      <c r="AB660" s="1128">
        <f t="shared" si="752"/>
        <v>49.160044380478674</v>
      </c>
      <c r="AC660" s="1128">
        <f t="shared" si="753"/>
        <v>51.190999466275485</v>
      </c>
      <c r="AD660" s="1128">
        <f t="shared" si="754"/>
        <v>55.668928010262469</v>
      </c>
      <c r="AE660" s="1128">
        <f t="shared" si="755"/>
        <v>61.426588930481728</v>
      </c>
      <c r="AF660" s="1128">
        <f t="shared" si="756"/>
        <v>66.963159179837561</v>
      </c>
      <c r="AG660" s="1128">
        <f t="shared" si="757"/>
        <v>70.835446401705155</v>
      </c>
      <c r="AH660" s="1128">
        <f t="shared" si="758"/>
        <v>72.034079257952357</v>
      </c>
      <c r="AI660" s="1128">
        <f t="shared" si="759"/>
        <v>70.246615623106862</v>
      </c>
      <c r="AJ660" s="1128">
        <f t="shared" si="760"/>
        <v>65.938985439239588</v>
      </c>
      <c r="AK660" s="1128">
        <f t="shared" si="761"/>
        <v>60.23403889636603</v>
      </c>
      <c r="AL660" s="1128">
        <f t="shared" si="762"/>
        <v>54.618858226773604</v>
      </c>
      <c r="AM660" s="1125">
        <f t="shared" si="763"/>
        <v>1</v>
      </c>
      <c r="AN660" s="1125">
        <f t="shared" si="764"/>
        <v>1</v>
      </c>
      <c r="AO660" s="1125">
        <f t="shared" si="765"/>
        <v>1</v>
      </c>
      <c r="AP660" s="1125">
        <f t="shared" si="766"/>
        <v>1</v>
      </c>
      <c r="AQ660" s="1125">
        <f t="shared" si="767"/>
        <v>1</v>
      </c>
      <c r="AR660" s="1125">
        <f t="shared" si="768"/>
        <v>0</v>
      </c>
      <c r="AS660" s="1125">
        <f t="shared" si="769"/>
        <v>0</v>
      </c>
      <c r="AT660" s="1125">
        <f t="shared" si="770"/>
        <v>0</v>
      </c>
      <c r="AU660" s="1125">
        <f t="shared" si="771"/>
        <v>0</v>
      </c>
      <c r="AV660" s="1125">
        <f t="shared" si="772"/>
        <v>1</v>
      </c>
      <c r="AW660" s="1125">
        <f t="shared" si="773"/>
        <v>1</v>
      </c>
      <c r="AX660" s="1125">
        <f t="shared" si="774"/>
        <v>1</v>
      </c>
      <c r="AY660" s="1125">
        <f t="shared" si="775"/>
        <v>0</v>
      </c>
      <c r="AZ660" s="1125">
        <f t="shared" si="776"/>
        <v>0</v>
      </c>
      <c r="BA660" s="1125">
        <f t="shared" si="777"/>
        <v>0</v>
      </c>
      <c r="BB660" s="1125">
        <f t="shared" si="778"/>
        <v>0</v>
      </c>
      <c r="BC660" s="1125">
        <f t="shared" si="779"/>
        <v>0</v>
      </c>
      <c r="BD660" s="1125">
        <f t="shared" si="780"/>
        <v>1</v>
      </c>
      <c r="BE660" s="1125">
        <f t="shared" si="781"/>
        <v>1</v>
      </c>
      <c r="BF660" s="1125">
        <f t="shared" si="782"/>
        <v>1</v>
      </c>
      <c r="BG660" s="1125">
        <f t="shared" si="783"/>
        <v>1</v>
      </c>
      <c r="BH660" s="1125">
        <f t="shared" si="784"/>
        <v>0</v>
      </c>
      <c r="BI660" s="1125">
        <f t="shared" si="785"/>
        <v>0</v>
      </c>
      <c r="BJ660" s="1125">
        <f t="shared" si="786"/>
        <v>0</v>
      </c>
      <c r="BK660" s="1125">
        <f t="shared" si="787"/>
        <v>1</v>
      </c>
      <c r="BL660" s="1125">
        <f t="shared" si="788"/>
        <v>1</v>
      </c>
      <c r="BM660" s="1125">
        <f t="shared" si="789"/>
        <v>1</v>
      </c>
      <c r="BN660" s="1125">
        <f t="shared" si="790"/>
        <v>1</v>
      </c>
      <c r="BO660" s="1125">
        <f t="shared" si="791"/>
        <v>1</v>
      </c>
      <c r="BP660" s="1125">
        <f t="shared" si="792"/>
        <v>1</v>
      </c>
      <c r="BQ660" s="1125">
        <f t="shared" si="793"/>
        <v>0</v>
      </c>
      <c r="BR660" s="1125">
        <f t="shared" si="794"/>
        <v>0</v>
      </c>
      <c r="BS660" s="1125">
        <f t="shared" si="795"/>
        <v>0</v>
      </c>
      <c r="BT660" s="1125">
        <f t="shared" si="796"/>
        <v>1</v>
      </c>
      <c r="BU660" s="1125">
        <f t="shared" si="797"/>
        <v>1</v>
      </c>
      <c r="BV660" s="1125">
        <f t="shared" si="798"/>
        <v>1</v>
      </c>
      <c r="BW660" s="1125">
        <f t="shared" si="799"/>
        <v>0</v>
      </c>
      <c r="BX660" s="1125">
        <f t="shared" si="800"/>
        <v>0</v>
      </c>
      <c r="BY660" s="1125">
        <f t="shared" si="801"/>
        <v>0</v>
      </c>
      <c r="BZ660" s="1125">
        <f t="shared" si="802"/>
        <v>0</v>
      </c>
      <c r="CA660" s="1125">
        <f t="shared" si="803"/>
        <v>1</v>
      </c>
      <c r="CB660" s="1125">
        <f t="shared" si="804"/>
        <v>1</v>
      </c>
      <c r="CC660" s="1125">
        <f t="shared" si="805"/>
        <v>1</v>
      </c>
      <c r="CD660" s="1125">
        <f t="shared" si="806"/>
        <v>1</v>
      </c>
      <c r="CE660" s="1125">
        <f t="shared" si="807"/>
        <v>1</v>
      </c>
      <c r="CF660" s="1125">
        <f t="shared" si="808"/>
        <v>1</v>
      </c>
      <c r="CG660" s="1125">
        <f t="shared" si="809"/>
        <v>0</v>
      </c>
      <c r="CH660" s="1125">
        <f t="shared" si="810"/>
        <v>0</v>
      </c>
      <c r="CI660" s="1125">
        <f t="shared" si="811"/>
        <v>0.85</v>
      </c>
      <c r="CJ660" s="1125">
        <f t="shared" si="812"/>
        <v>0.85</v>
      </c>
      <c r="CK660" s="1125">
        <f t="shared" si="813"/>
        <v>0.85</v>
      </c>
      <c r="CL660" s="1125">
        <f t="shared" si="814"/>
        <v>0.85</v>
      </c>
      <c r="CM660" s="1125">
        <f t="shared" si="815"/>
        <v>0.85</v>
      </c>
      <c r="CN660" s="1125">
        <f t="shared" si="816"/>
        <v>0.85</v>
      </c>
      <c r="CO660" s="1125">
        <f t="shared" si="817"/>
        <v>0.7</v>
      </c>
      <c r="CP660" s="1125">
        <f t="shared" si="818"/>
        <v>0.7</v>
      </c>
      <c r="CQ660" s="1125">
        <f t="shared" si="819"/>
        <v>0.7</v>
      </c>
      <c r="CR660" s="1125">
        <f t="shared" si="820"/>
        <v>0.85</v>
      </c>
      <c r="CS660" s="1125">
        <f t="shared" si="821"/>
        <v>0.85</v>
      </c>
      <c r="CT660" s="1125">
        <f t="shared" si="822"/>
        <v>0.85</v>
      </c>
      <c r="CU660" s="1125">
        <v>1</v>
      </c>
      <c r="CV660" s="1125"/>
      <c r="CW660" s="1125">
        <f t="shared" si="823"/>
        <v>184</v>
      </c>
      <c r="CX660" s="1125">
        <f t="shared" si="824"/>
        <v>181</v>
      </c>
      <c r="CY660" s="1136" t="s">
        <v>4881</v>
      </c>
      <c r="CZ660" s="1129" t="s">
        <v>4885</v>
      </c>
      <c r="DA660" s="1129"/>
      <c r="DB660" s="1129"/>
      <c r="DC660" s="1125" t="s">
        <v>5479</v>
      </c>
      <c r="DD660" s="1125" t="s">
        <v>537</v>
      </c>
      <c r="DE660" s="1120" t="b">
        <f t="shared" ref="DE660:DE723" si="825">IF(AND(C660=DC660,D660=DD660),"",FALSE)</f>
        <v>0</v>
      </c>
      <c r="DF660" s="1133">
        <v>1</v>
      </c>
      <c r="DG660" s="1120">
        <v>0</v>
      </c>
    </row>
    <row r="661" spans="1:111">
      <c r="A661" s="1125" t="s">
        <v>4034</v>
      </c>
      <c r="B661" s="1120" t="s">
        <v>4140</v>
      </c>
      <c r="C661" s="1120" t="s">
        <v>4141</v>
      </c>
      <c r="D661" s="1120" t="s">
        <v>537</v>
      </c>
      <c r="E661" s="1120">
        <v>10</v>
      </c>
      <c r="F661" s="1120">
        <v>-73.88</v>
      </c>
      <c r="G661" s="1120">
        <v>40.78</v>
      </c>
      <c r="H661" s="1120">
        <v>-5</v>
      </c>
      <c r="I661" s="1121">
        <v>17.240000343322752</v>
      </c>
      <c r="J661" s="1121">
        <v>89.239998626708982</v>
      </c>
      <c r="K661" s="1122">
        <v>73.039998626708979</v>
      </c>
      <c r="L661" s="1120">
        <v>4262.4000000000005</v>
      </c>
      <c r="M661" s="1120">
        <v>1368</v>
      </c>
      <c r="N661" s="1123">
        <v>35.419999957084656</v>
      </c>
      <c r="O661" s="1123">
        <v>32.180000002682206</v>
      </c>
      <c r="P661" s="1123">
        <v>44.240000343322755</v>
      </c>
      <c r="Q661" s="1123">
        <v>54.859999656677246</v>
      </c>
      <c r="R661" s="1123">
        <v>61.519999313354496</v>
      </c>
      <c r="S661" s="1123">
        <v>71.960001373291021</v>
      </c>
      <c r="T661" s="1123">
        <v>79.7</v>
      </c>
      <c r="U661" s="1123">
        <v>77</v>
      </c>
      <c r="V661" s="1123">
        <v>68.539998626708979</v>
      </c>
      <c r="W661" s="1123">
        <v>59.719999313354492</v>
      </c>
      <c r="X661" s="1123">
        <v>52.159999656677243</v>
      </c>
      <c r="Y661" s="1123">
        <v>38.47999982833862</v>
      </c>
      <c r="Z661" s="1123">
        <v>56.452383399711898</v>
      </c>
      <c r="AA661" s="1123">
        <f t="shared" si="751"/>
        <v>50.916176385484434</v>
      </c>
      <c r="AB661" s="1123">
        <f t="shared" si="752"/>
        <v>50.092046498989106</v>
      </c>
      <c r="AC661" s="1123">
        <f t="shared" si="753"/>
        <v>52.489828904224552</v>
      </c>
      <c r="AD661" s="1123">
        <f t="shared" si="754"/>
        <v>57.484504666320795</v>
      </c>
      <c r="AE661" s="1123">
        <f t="shared" si="755"/>
        <v>63.77413457760408</v>
      </c>
      <c r="AF661" s="1123">
        <f t="shared" si="756"/>
        <v>69.719229675567561</v>
      </c>
      <c r="AG661" s="1123">
        <f t="shared" si="757"/>
        <v>73.770109306238368</v>
      </c>
      <c r="AH661" s="1123">
        <f t="shared" si="758"/>
        <v>74.870849267937459</v>
      </c>
      <c r="AI661" s="1123">
        <f t="shared" si="759"/>
        <v>72.734524726731664</v>
      </c>
      <c r="AJ661" s="1123">
        <f t="shared" si="760"/>
        <v>67.918001596044007</v>
      </c>
      <c r="AK661" s="1123">
        <f t="shared" si="761"/>
        <v>61.676780854756416</v>
      </c>
      <c r="AL661" s="1123">
        <f t="shared" si="762"/>
        <v>55.637732869208499</v>
      </c>
      <c r="AM661" s="1120">
        <f t="shared" si="763"/>
        <v>1</v>
      </c>
      <c r="AN661" s="1120">
        <f t="shared" si="764"/>
        <v>1</v>
      </c>
      <c r="AO661" s="1120">
        <f t="shared" si="765"/>
        <v>1</v>
      </c>
      <c r="AP661" s="1120">
        <f t="shared" si="766"/>
        <v>1</v>
      </c>
      <c r="AQ661" s="1120">
        <f t="shared" si="767"/>
        <v>1</v>
      </c>
      <c r="AR661" s="1120">
        <f t="shared" si="768"/>
        <v>0</v>
      </c>
      <c r="AS661" s="1120">
        <f t="shared" si="769"/>
        <v>0</v>
      </c>
      <c r="AT661" s="1120">
        <f t="shared" si="770"/>
        <v>0</v>
      </c>
      <c r="AU661" s="1120">
        <f t="shared" si="771"/>
        <v>0</v>
      </c>
      <c r="AV661" s="1120">
        <f t="shared" si="772"/>
        <v>1</v>
      </c>
      <c r="AW661" s="1120">
        <f t="shared" si="773"/>
        <v>1</v>
      </c>
      <c r="AX661" s="1120">
        <f t="shared" si="774"/>
        <v>1</v>
      </c>
      <c r="AY661" s="1120">
        <f t="shared" si="775"/>
        <v>0</v>
      </c>
      <c r="AZ661" s="1120">
        <f t="shared" si="776"/>
        <v>0</v>
      </c>
      <c r="BA661" s="1120">
        <f t="shared" si="777"/>
        <v>0</v>
      </c>
      <c r="BB661" s="1120">
        <f t="shared" si="778"/>
        <v>0</v>
      </c>
      <c r="BC661" s="1120">
        <f t="shared" si="779"/>
        <v>0</v>
      </c>
      <c r="BD661" s="1120">
        <f t="shared" si="780"/>
        <v>1</v>
      </c>
      <c r="BE661" s="1120">
        <f t="shared" si="781"/>
        <v>1</v>
      </c>
      <c r="BF661" s="1120">
        <f t="shared" si="782"/>
        <v>1</v>
      </c>
      <c r="BG661" s="1120">
        <f t="shared" si="783"/>
        <v>1</v>
      </c>
      <c r="BH661" s="1120">
        <f t="shared" si="784"/>
        <v>0</v>
      </c>
      <c r="BI661" s="1120">
        <f t="shared" si="785"/>
        <v>0</v>
      </c>
      <c r="BJ661" s="1120">
        <f t="shared" si="786"/>
        <v>0</v>
      </c>
      <c r="BK661" s="1120">
        <f t="shared" si="787"/>
        <v>1</v>
      </c>
      <c r="BL661" s="1120">
        <f t="shared" si="788"/>
        <v>1</v>
      </c>
      <c r="BM661" s="1120">
        <f t="shared" si="789"/>
        <v>1</v>
      </c>
      <c r="BN661" s="1120">
        <f t="shared" si="790"/>
        <v>1</v>
      </c>
      <c r="BO661" s="1120">
        <f t="shared" si="791"/>
        <v>1</v>
      </c>
      <c r="BP661" s="1120">
        <f t="shared" si="792"/>
        <v>1</v>
      </c>
      <c r="BQ661" s="1120">
        <f t="shared" si="793"/>
        <v>0</v>
      </c>
      <c r="BR661" s="1120">
        <f t="shared" si="794"/>
        <v>0</v>
      </c>
      <c r="BS661" s="1120">
        <f t="shared" si="795"/>
        <v>0</v>
      </c>
      <c r="BT661" s="1120">
        <f t="shared" si="796"/>
        <v>1</v>
      </c>
      <c r="BU661" s="1120">
        <f t="shared" si="797"/>
        <v>1</v>
      </c>
      <c r="BV661" s="1120">
        <f t="shared" si="798"/>
        <v>1</v>
      </c>
      <c r="BW661" s="1120">
        <f t="shared" si="799"/>
        <v>0</v>
      </c>
      <c r="BX661" s="1120">
        <f t="shared" si="800"/>
        <v>0</v>
      </c>
      <c r="BY661" s="1120">
        <f t="shared" si="801"/>
        <v>0</v>
      </c>
      <c r="BZ661" s="1120">
        <f t="shared" si="802"/>
        <v>0</v>
      </c>
      <c r="CA661" s="1120">
        <f t="shared" si="803"/>
        <v>1</v>
      </c>
      <c r="CB661" s="1120">
        <f t="shared" si="804"/>
        <v>1</v>
      </c>
      <c r="CC661" s="1120">
        <f t="shared" si="805"/>
        <v>1</v>
      </c>
      <c r="CD661" s="1120">
        <f t="shared" si="806"/>
        <v>1</v>
      </c>
      <c r="CE661" s="1120">
        <f t="shared" si="807"/>
        <v>1</v>
      </c>
      <c r="CF661" s="1120">
        <f t="shared" si="808"/>
        <v>1</v>
      </c>
      <c r="CG661" s="1120">
        <f t="shared" si="809"/>
        <v>0</v>
      </c>
      <c r="CH661" s="1120">
        <f t="shared" si="810"/>
        <v>0</v>
      </c>
      <c r="CI661" s="1120">
        <f t="shared" si="811"/>
        <v>0.85</v>
      </c>
      <c r="CJ661" s="1120">
        <f t="shared" si="812"/>
        <v>0.85</v>
      </c>
      <c r="CK661" s="1120">
        <f t="shared" si="813"/>
        <v>0.85</v>
      </c>
      <c r="CL661" s="1120">
        <f t="shared" si="814"/>
        <v>0.85</v>
      </c>
      <c r="CM661" s="1120">
        <f t="shared" si="815"/>
        <v>0.85</v>
      </c>
      <c r="CN661" s="1120">
        <f t="shared" si="816"/>
        <v>0.85</v>
      </c>
      <c r="CO661" s="1120">
        <f t="shared" si="817"/>
        <v>0.7</v>
      </c>
      <c r="CP661" s="1120">
        <f t="shared" si="818"/>
        <v>0.7</v>
      </c>
      <c r="CQ661" s="1120">
        <f t="shared" si="819"/>
        <v>0.7</v>
      </c>
      <c r="CR661" s="1120">
        <f t="shared" si="820"/>
        <v>0.85</v>
      </c>
      <c r="CS661" s="1120">
        <f t="shared" si="821"/>
        <v>0.85</v>
      </c>
      <c r="CT661" s="1120">
        <f t="shared" si="822"/>
        <v>0.85</v>
      </c>
      <c r="CU661" s="1120">
        <v>1</v>
      </c>
      <c r="CV661" s="1120"/>
      <c r="CW661" s="1120">
        <f t="shared" si="823"/>
        <v>184</v>
      </c>
      <c r="CX661" s="1120">
        <f t="shared" si="824"/>
        <v>181</v>
      </c>
      <c r="CY661" s="1135" t="s">
        <v>4881</v>
      </c>
      <c r="CZ661" s="1124" t="s">
        <v>4885</v>
      </c>
      <c r="DA661" s="1124"/>
      <c r="DB661" s="1124"/>
      <c r="DC661" s="1120" t="s">
        <v>5480</v>
      </c>
      <c r="DD661" s="1120" t="s">
        <v>537</v>
      </c>
      <c r="DE661" s="1120" t="str">
        <f t="shared" si="825"/>
        <v/>
      </c>
      <c r="DF661" s="1133">
        <v>0</v>
      </c>
      <c r="DG661" s="1125">
        <v>0</v>
      </c>
    </row>
    <row r="662" spans="1:111">
      <c r="A662" s="1120" t="s">
        <v>4036</v>
      </c>
      <c r="B662" s="1125" t="s">
        <v>4062</v>
      </c>
      <c r="C662" s="1125" t="s">
        <v>4063</v>
      </c>
      <c r="D662" s="1125" t="s">
        <v>589</v>
      </c>
      <c r="E662" s="1125">
        <v>10</v>
      </c>
      <c r="F662" s="1125">
        <v>-74.180000000000007</v>
      </c>
      <c r="G662" s="1125">
        <v>40.72</v>
      </c>
      <c r="H662" s="1125">
        <v>-5</v>
      </c>
      <c r="I662" s="1126">
        <v>15.619999313354493</v>
      </c>
      <c r="J662" s="1126">
        <v>91.039998626708993</v>
      </c>
      <c r="K662" s="1127">
        <v>73.400000000000006</v>
      </c>
      <c r="L662" s="1125">
        <v>4887</v>
      </c>
      <c r="M662" s="1125">
        <v>1278</v>
      </c>
      <c r="N662" s="1128">
        <v>27.139999914169312</v>
      </c>
      <c r="O662" s="1128">
        <v>32.540000021457672</v>
      </c>
      <c r="P662" s="1128">
        <v>44.779999828338624</v>
      </c>
      <c r="Q662" s="1128">
        <v>52.880000686645509</v>
      </c>
      <c r="R662" s="1128">
        <v>63.86000137329102</v>
      </c>
      <c r="S662" s="1128">
        <v>72.860001373291013</v>
      </c>
      <c r="T662" s="1128">
        <v>77.180000686645513</v>
      </c>
      <c r="U662" s="1128">
        <v>75.739998626708982</v>
      </c>
      <c r="V662" s="1128">
        <v>67.819999313354487</v>
      </c>
      <c r="W662" s="1128">
        <v>55.940000343322751</v>
      </c>
      <c r="X662" s="1128">
        <v>45.140000343322754</v>
      </c>
      <c r="Y662" s="1128">
        <v>36.679999828338623</v>
      </c>
      <c r="Z662" s="1128">
        <v>54.501479645820517</v>
      </c>
      <c r="AA662" s="1128">
        <f t="shared" si="751"/>
        <v>48.972397272422668</v>
      </c>
      <c r="AB662" s="1128">
        <f t="shared" si="752"/>
        <v>47.922594669223038</v>
      </c>
      <c r="AC662" s="1128">
        <f t="shared" si="753"/>
        <v>50.151672281658712</v>
      </c>
      <c r="AD662" s="1128">
        <f t="shared" si="754"/>
        <v>55.078586678922534</v>
      </c>
      <c r="AE662" s="1128">
        <f t="shared" si="755"/>
        <v>61.419061697318547</v>
      </c>
      <c r="AF662" s="1128">
        <f t="shared" si="756"/>
        <v>67.520354813624166</v>
      </c>
      <c r="AG662" s="1128">
        <f t="shared" si="757"/>
        <v>71.792069953301322</v>
      </c>
      <c r="AH662" s="1128">
        <f t="shared" si="758"/>
        <v>73.120718736070245</v>
      </c>
      <c r="AI662" s="1128">
        <f t="shared" si="759"/>
        <v>71.159968381604685</v>
      </c>
      <c r="AJ662" s="1128">
        <f t="shared" si="760"/>
        <v>66.420918685873687</v>
      </c>
      <c r="AK662" s="1128">
        <f t="shared" si="761"/>
        <v>60.138875983035973</v>
      </c>
      <c r="AL662" s="1128">
        <f t="shared" si="762"/>
        <v>53.951351512794645</v>
      </c>
      <c r="AM662" s="1125">
        <f t="shared" si="763"/>
        <v>1</v>
      </c>
      <c r="AN662" s="1125">
        <f t="shared" si="764"/>
        <v>1</v>
      </c>
      <c r="AO662" s="1125">
        <f t="shared" si="765"/>
        <v>1</v>
      </c>
      <c r="AP662" s="1125">
        <f t="shared" si="766"/>
        <v>1</v>
      </c>
      <c r="AQ662" s="1125">
        <f t="shared" si="767"/>
        <v>1</v>
      </c>
      <c r="AR662" s="1125">
        <f t="shared" si="768"/>
        <v>0</v>
      </c>
      <c r="AS662" s="1125">
        <f t="shared" si="769"/>
        <v>0</v>
      </c>
      <c r="AT662" s="1125">
        <f t="shared" si="770"/>
        <v>0</v>
      </c>
      <c r="AU662" s="1125">
        <f t="shared" si="771"/>
        <v>0</v>
      </c>
      <c r="AV662" s="1125">
        <f t="shared" si="772"/>
        <v>1</v>
      </c>
      <c r="AW662" s="1125">
        <f t="shared" si="773"/>
        <v>1</v>
      </c>
      <c r="AX662" s="1125">
        <f t="shared" si="774"/>
        <v>1</v>
      </c>
      <c r="AY662" s="1125">
        <f t="shared" si="775"/>
        <v>0</v>
      </c>
      <c r="AZ662" s="1125">
        <f t="shared" si="776"/>
        <v>0</v>
      </c>
      <c r="BA662" s="1125">
        <f t="shared" si="777"/>
        <v>0</v>
      </c>
      <c r="BB662" s="1125">
        <f t="shared" si="778"/>
        <v>0</v>
      </c>
      <c r="BC662" s="1125">
        <f t="shared" si="779"/>
        <v>0</v>
      </c>
      <c r="BD662" s="1125">
        <f t="shared" si="780"/>
        <v>1</v>
      </c>
      <c r="BE662" s="1125">
        <f t="shared" si="781"/>
        <v>1</v>
      </c>
      <c r="BF662" s="1125">
        <f t="shared" si="782"/>
        <v>1</v>
      </c>
      <c r="BG662" s="1125">
        <f t="shared" si="783"/>
        <v>1</v>
      </c>
      <c r="BH662" s="1125">
        <f t="shared" si="784"/>
        <v>0</v>
      </c>
      <c r="BI662" s="1125">
        <f t="shared" si="785"/>
        <v>0</v>
      </c>
      <c r="BJ662" s="1125">
        <f t="shared" si="786"/>
        <v>0</v>
      </c>
      <c r="BK662" s="1125">
        <f t="shared" si="787"/>
        <v>1</v>
      </c>
      <c r="BL662" s="1125">
        <f t="shared" si="788"/>
        <v>1</v>
      </c>
      <c r="BM662" s="1125">
        <f t="shared" si="789"/>
        <v>1</v>
      </c>
      <c r="BN662" s="1125">
        <f t="shared" si="790"/>
        <v>1</v>
      </c>
      <c r="BO662" s="1125">
        <f t="shared" si="791"/>
        <v>1</v>
      </c>
      <c r="BP662" s="1125">
        <f t="shared" si="792"/>
        <v>1</v>
      </c>
      <c r="BQ662" s="1125">
        <f t="shared" si="793"/>
        <v>0</v>
      </c>
      <c r="BR662" s="1125">
        <f t="shared" si="794"/>
        <v>0</v>
      </c>
      <c r="BS662" s="1125">
        <f t="shared" si="795"/>
        <v>0</v>
      </c>
      <c r="BT662" s="1125">
        <f t="shared" si="796"/>
        <v>1</v>
      </c>
      <c r="BU662" s="1125">
        <f t="shared" si="797"/>
        <v>1</v>
      </c>
      <c r="BV662" s="1125">
        <f t="shared" si="798"/>
        <v>1</v>
      </c>
      <c r="BW662" s="1125">
        <f t="shared" si="799"/>
        <v>0</v>
      </c>
      <c r="BX662" s="1125">
        <f t="shared" si="800"/>
        <v>0</v>
      </c>
      <c r="BY662" s="1125">
        <f t="shared" si="801"/>
        <v>0</v>
      </c>
      <c r="BZ662" s="1125">
        <f t="shared" si="802"/>
        <v>0</v>
      </c>
      <c r="CA662" s="1125">
        <f t="shared" si="803"/>
        <v>1</v>
      </c>
      <c r="CB662" s="1125">
        <f t="shared" si="804"/>
        <v>1</v>
      </c>
      <c r="CC662" s="1125">
        <f t="shared" si="805"/>
        <v>1</v>
      </c>
      <c r="CD662" s="1125">
        <f t="shared" si="806"/>
        <v>1</v>
      </c>
      <c r="CE662" s="1125">
        <f t="shared" si="807"/>
        <v>1</v>
      </c>
      <c r="CF662" s="1125">
        <f t="shared" si="808"/>
        <v>1</v>
      </c>
      <c r="CG662" s="1125">
        <f t="shared" si="809"/>
        <v>0</v>
      </c>
      <c r="CH662" s="1125">
        <f t="shared" si="810"/>
        <v>0</v>
      </c>
      <c r="CI662" s="1125">
        <f t="shared" si="811"/>
        <v>0.85</v>
      </c>
      <c r="CJ662" s="1125">
        <f t="shared" si="812"/>
        <v>0.85</v>
      </c>
      <c r="CK662" s="1125">
        <f t="shared" si="813"/>
        <v>0.85</v>
      </c>
      <c r="CL662" s="1125">
        <f t="shared" si="814"/>
        <v>0.85</v>
      </c>
      <c r="CM662" s="1125">
        <f t="shared" si="815"/>
        <v>0.85</v>
      </c>
      <c r="CN662" s="1125">
        <f t="shared" si="816"/>
        <v>0.85</v>
      </c>
      <c r="CO662" s="1125">
        <f t="shared" si="817"/>
        <v>0.7</v>
      </c>
      <c r="CP662" s="1125">
        <f t="shared" si="818"/>
        <v>0.7</v>
      </c>
      <c r="CQ662" s="1125">
        <f t="shared" si="819"/>
        <v>0.7</v>
      </c>
      <c r="CR662" s="1125">
        <f t="shared" si="820"/>
        <v>0.85</v>
      </c>
      <c r="CS662" s="1125">
        <f t="shared" si="821"/>
        <v>0.85</v>
      </c>
      <c r="CT662" s="1125">
        <f t="shared" si="822"/>
        <v>0.85</v>
      </c>
      <c r="CU662" s="1125">
        <v>1</v>
      </c>
      <c r="CV662" s="1125"/>
      <c r="CW662" s="1125">
        <f t="shared" si="823"/>
        <v>184</v>
      </c>
      <c r="CX662" s="1125">
        <f t="shared" si="824"/>
        <v>181</v>
      </c>
      <c r="CY662" s="1136" t="s">
        <v>4881</v>
      </c>
      <c r="CZ662" s="1129" t="s">
        <v>4885</v>
      </c>
      <c r="DA662" s="1129"/>
      <c r="DB662" s="1129"/>
      <c r="DC662" s="1125" t="s">
        <v>5443</v>
      </c>
      <c r="DD662" s="1125" t="s">
        <v>589</v>
      </c>
      <c r="DE662" s="1120" t="str">
        <f t="shared" si="825"/>
        <v/>
      </c>
      <c r="DF662" s="1133">
        <v>0</v>
      </c>
      <c r="DG662" s="1120">
        <v>0</v>
      </c>
    </row>
    <row r="663" spans="1:111">
      <c r="A663" s="1125" t="s">
        <v>4038</v>
      </c>
      <c r="B663" s="1125" t="s">
        <v>1074</v>
      </c>
      <c r="C663" s="1125" t="s">
        <v>1075</v>
      </c>
      <c r="D663" s="1125" t="s">
        <v>501</v>
      </c>
      <c r="E663" s="1125">
        <v>43</v>
      </c>
      <c r="F663" s="1125">
        <v>-76.5</v>
      </c>
      <c r="G663" s="1125">
        <v>37.130000000000003</v>
      </c>
      <c r="H663" s="1125">
        <v>-5</v>
      </c>
      <c r="I663" s="1126">
        <v>22.820000171661377</v>
      </c>
      <c r="J663" s="1126">
        <v>91.579997253417972</v>
      </c>
      <c r="K663" s="1127">
        <v>76.639998626708987</v>
      </c>
      <c r="L663" s="1125">
        <v>3276</v>
      </c>
      <c r="M663" s="1125">
        <v>1767.6000000000001</v>
      </c>
      <c r="N663" s="1128">
        <v>42.620000171661374</v>
      </c>
      <c r="O663" s="1128">
        <v>39.200000000000003</v>
      </c>
      <c r="P663" s="1128">
        <v>50.719999313354492</v>
      </c>
      <c r="Q663" s="1128">
        <v>60.080000686645505</v>
      </c>
      <c r="R663" s="1128">
        <v>69.980000686645511</v>
      </c>
      <c r="S663" s="1128">
        <v>75.019999313354489</v>
      </c>
      <c r="T663" s="1128">
        <v>80.599999999999994</v>
      </c>
      <c r="U663" s="1128">
        <v>75.739998626708982</v>
      </c>
      <c r="V663" s="1128">
        <v>74.66000137329101</v>
      </c>
      <c r="W663" s="1128">
        <v>60.440000343322751</v>
      </c>
      <c r="X663" s="1128">
        <v>46.759999656677245</v>
      </c>
      <c r="Y663" s="1128">
        <v>45.859999656677246</v>
      </c>
      <c r="Z663" s="1128">
        <v>60.268383544242546</v>
      </c>
      <c r="AA663" s="1128">
        <f t="shared" si="751"/>
        <v>55.220757297545106</v>
      </c>
      <c r="AB663" s="1128">
        <f t="shared" si="752"/>
        <v>54.839138960864759</v>
      </c>
      <c r="AC663" s="1128">
        <f t="shared" si="753"/>
        <v>57.436729354832266</v>
      </c>
      <c r="AD663" s="1128">
        <f t="shared" si="754"/>
        <v>62.336426513180328</v>
      </c>
      <c r="AE663" s="1128">
        <f t="shared" si="755"/>
        <v>68.261048864966753</v>
      </c>
      <c r="AF663" s="1128">
        <f t="shared" si="756"/>
        <v>73.666252293004291</v>
      </c>
      <c r="AG663" s="1128">
        <f t="shared" si="757"/>
        <v>77.143087227068776</v>
      </c>
      <c r="AH663" s="1128">
        <f t="shared" si="758"/>
        <v>77.785263061948115</v>
      </c>
      <c r="AI663" s="1128">
        <f t="shared" si="759"/>
        <v>75.425386770051844</v>
      </c>
      <c r="AJ663" s="1128">
        <f t="shared" si="760"/>
        <v>70.678596473657194</v>
      </c>
      <c r="AK663" s="1128">
        <f t="shared" si="761"/>
        <v>64.782216213772116</v>
      </c>
      <c r="AL663" s="1128">
        <f t="shared" si="762"/>
        <v>59.273228371105986</v>
      </c>
      <c r="AM663" s="1125">
        <f t="shared" si="763"/>
        <v>1</v>
      </c>
      <c r="AN663" s="1125">
        <f t="shared" si="764"/>
        <v>1</v>
      </c>
      <c r="AO663" s="1125">
        <f t="shared" si="765"/>
        <v>1</v>
      </c>
      <c r="AP663" s="1125">
        <f t="shared" si="766"/>
        <v>1</v>
      </c>
      <c r="AQ663" s="1125">
        <f t="shared" si="767"/>
        <v>0</v>
      </c>
      <c r="AR663" s="1125">
        <f t="shared" si="768"/>
        <v>0</v>
      </c>
      <c r="AS663" s="1125">
        <f t="shared" si="769"/>
        <v>0</v>
      </c>
      <c r="AT663" s="1125">
        <f t="shared" si="770"/>
        <v>0</v>
      </c>
      <c r="AU663" s="1125">
        <f t="shared" si="771"/>
        <v>0</v>
      </c>
      <c r="AV663" s="1125">
        <f t="shared" si="772"/>
        <v>1</v>
      </c>
      <c r="AW663" s="1125">
        <f t="shared" si="773"/>
        <v>1</v>
      </c>
      <c r="AX663" s="1125">
        <f t="shared" si="774"/>
        <v>1</v>
      </c>
      <c r="AY663" s="1125">
        <f t="shared" si="775"/>
        <v>0</v>
      </c>
      <c r="AZ663" s="1125">
        <f t="shared" si="776"/>
        <v>0</v>
      </c>
      <c r="BA663" s="1125">
        <f t="shared" si="777"/>
        <v>0</v>
      </c>
      <c r="BB663" s="1125">
        <f t="shared" si="778"/>
        <v>0</v>
      </c>
      <c r="BC663" s="1125">
        <f t="shared" si="779"/>
        <v>1</v>
      </c>
      <c r="BD663" s="1125">
        <f t="shared" si="780"/>
        <v>1</v>
      </c>
      <c r="BE663" s="1125">
        <f t="shared" si="781"/>
        <v>1</v>
      </c>
      <c r="BF663" s="1125">
        <f t="shared" si="782"/>
        <v>1</v>
      </c>
      <c r="BG663" s="1125">
        <f t="shared" si="783"/>
        <v>1</v>
      </c>
      <c r="BH663" s="1125">
        <f t="shared" si="784"/>
        <v>0</v>
      </c>
      <c r="BI663" s="1125">
        <f t="shared" si="785"/>
        <v>0</v>
      </c>
      <c r="BJ663" s="1125">
        <f t="shared" si="786"/>
        <v>0</v>
      </c>
      <c r="BK663" s="1125">
        <f t="shared" si="787"/>
        <v>1</v>
      </c>
      <c r="BL663" s="1125">
        <f t="shared" si="788"/>
        <v>1</v>
      </c>
      <c r="BM663" s="1125">
        <f t="shared" si="789"/>
        <v>1</v>
      </c>
      <c r="BN663" s="1125">
        <f t="shared" si="790"/>
        <v>1</v>
      </c>
      <c r="BO663" s="1125">
        <f t="shared" si="791"/>
        <v>1</v>
      </c>
      <c r="BP663" s="1125">
        <f t="shared" si="792"/>
        <v>0</v>
      </c>
      <c r="BQ663" s="1125">
        <f t="shared" si="793"/>
        <v>0</v>
      </c>
      <c r="BR663" s="1125">
        <f t="shared" si="794"/>
        <v>0</v>
      </c>
      <c r="BS663" s="1125">
        <f t="shared" si="795"/>
        <v>0</v>
      </c>
      <c r="BT663" s="1125">
        <f t="shared" si="796"/>
        <v>1</v>
      </c>
      <c r="BU663" s="1125">
        <f t="shared" si="797"/>
        <v>1</v>
      </c>
      <c r="BV663" s="1125">
        <f t="shared" si="798"/>
        <v>1</v>
      </c>
      <c r="BW663" s="1125">
        <f t="shared" si="799"/>
        <v>0</v>
      </c>
      <c r="BX663" s="1125">
        <f t="shared" si="800"/>
        <v>0</v>
      </c>
      <c r="BY663" s="1125">
        <f t="shared" si="801"/>
        <v>0</v>
      </c>
      <c r="BZ663" s="1125">
        <f t="shared" si="802"/>
        <v>1</v>
      </c>
      <c r="CA663" s="1125">
        <f t="shared" si="803"/>
        <v>1</v>
      </c>
      <c r="CB663" s="1125">
        <f t="shared" si="804"/>
        <v>1</v>
      </c>
      <c r="CC663" s="1125">
        <f t="shared" si="805"/>
        <v>1</v>
      </c>
      <c r="CD663" s="1125">
        <f t="shared" si="806"/>
        <v>1</v>
      </c>
      <c r="CE663" s="1125">
        <f t="shared" si="807"/>
        <v>1</v>
      </c>
      <c r="CF663" s="1125">
        <f t="shared" si="808"/>
        <v>1</v>
      </c>
      <c r="CG663" s="1125">
        <f t="shared" si="809"/>
        <v>0</v>
      </c>
      <c r="CH663" s="1125">
        <f t="shared" si="810"/>
        <v>0</v>
      </c>
      <c r="CI663" s="1125">
        <f t="shared" si="811"/>
        <v>0.85</v>
      </c>
      <c r="CJ663" s="1125">
        <f t="shared" si="812"/>
        <v>0.85</v>
      </c>
      <c r="CK663" s="1125">
        <f t="shared" si="813"/>
        <v>0.85</v>
      </c>
      <c r="CL663" s="1125">
        <f t="shared" si="814"/>
        <v>0.85</v>
      </c>
      <c r="CM663" s="1125">
        <f t="shared" si="815"/>
        <v>0.85</v>
      </c>
      <c r="CN663" s="1125">
        <f t="shared" si="816"/>
        <v>0.7</v>
      </c>
      <c r="CO663" s="1125">
        <f t="shared" si="817"/>
        <v>0.7</v>
      </c>
      <c r="CP663" s="1125">
        <f t="shared" si="818"/>
        <v>0.7</v>
      </c>
      <c r="CQ663" s="1125">
        <f t="shared" si="819"/>
        <v>0.7</v>
      </c>
      <c r="CR663" s="1125">
        <f t="shared" si="820"/>
        <v>0.85</v>
      </c>
      <c r="CS663" s="1125">
        <f t="shared" si="821"/>
        <v>0.85</v>
      </c>
      <c r="CT663" s="1125">
        <f t="shared" si="822"/>
        <v>0.85</v>
      </c>
      <c r="CU663" s="1125">
        <v>1</v>
      </c>
      <c r="CV663" s="1125"/>
      <c r="CW663" s="1125">
        <f t="shared" si="823"/>
        <v>214</v>
      </c>
      <c r="CX663" s="1125">
        <f t="shared" si="824"/>
        <v>151</v>
      </c>
      <c r="CY663" s="1136" t="s">
        <v>4881</v>
      </c>
      <c r="CZ663" s="1129" t="s">
        <v>4885</v>
      </c>
      <c r="DA663" s="1129"/>
      <c r="DB663" s="1129"/>
      <c r="DC663" s="1125" t="s">
        <v>5635</v>
      </c>
      <c r="DD663" s="1125" t="s">
        <v>501</v>
      </c>
      <c r="DE663" s="1120" t="str">
        <f t="shared" si="825"/>
        <v/>
      </c>
      <c r="DF663" s="1133">
        <v>1</v>
      </c>
      <c r="DG663" s="1125">
        <v>0</v>
      </c>
    </row>
    <row r="664" spans="1:111">
      <c r="A664" s="1120" t="s">
        <v>4040</v>
      </c>
      <c r="B664" s="1125" t="s">
        <v>5850</v>
      </c>
      <c r="C664" s="1125" t="s">
        <v>5851</v>
      </c>
      <c r="D664" s="1125" t="s">
        <v>256</v>
      </c>
      <c r="E664" s="1125">
        <v>1532</v>
      </c>
      <c r="F664" s="1125">
        <v>-97.28</v>
      </c>
      <c r="G664" s="1125">
        <v>38.049999999999997</v>
      </c>
      <c r="H664" s="1125">
        <v>-6</v>
      </c>
      <c r="I664" s="1126">
        <v>9.1400003433227539</v>
      </c>
      <c r="J664" s="1126">
        <v>95</v>
      </c>
      <c r="K664" s="1127">
        <v>72.5</v>
      </c>
      <c r="L664" s="1125">
        <v>4910.4000000000005</v>
      </c>
      <c r="M664" s="1125">
        <v>1434.6000000000001</v>
      </c>
      <c r="N664" s="1128">
        <v>29.3</v>
      </c>
      <c r="O664" s="1128">
        <v>34.700000000000003</v>
      </c>
      <c r="P664" s="1128">
        <v>37.220000171661376</v>
      </c>
      <c r="Q664" s="1128">
        <v>53.240000343322755</v>
      </c>
      <c r="R664" s="1128">
        <v>65.480000686645511</v>
      </c>
      <c r="S664" s="1128">
        <v>70.7</v>
      </c>
      <c r="T664" s="1128">
        <v>73.580000686645505</v>
      </c>
      <c r="U664" s="1128">
        <v>80.419999313354495</v>
      </c>
      <c r="V664" s="1128">
        <v>73.760001373291018</v>
      </c>
      <c r="W664" s="1128">
        <v>55.940000343322751</v>
      </c>
      <c r="X664" s="1128">
        <v>47.119999313354491</v>
      </c>
      <c r="Y664" s="1128">
        <v>35.960000085830686</v>
      </c>
      <c r="Z664" s="1128">
        <v>54.87972622139813</v>
      </c>
      <c r="AA664" s="1128">
        <f t="shared" si="751"/>
        <v>48.979211667388164</v>
      </c>
      <c r="AB664" s="1128">
        <f t="shared" si="752"/>
        <v>47.941384634153231</v>
      </c>
      <c r="AC664" s="1128">
        <f t="shared" si="753"/>
        <v>50.276135721512901</v>
      </c>
      <c r="AD664" s="1128">
        <f t="shared" si="754"/>
        <v>55.374876078943522</v>
      </c>
      <c r="AE664" s="1128">
        <f t="shared" si="755"/>
        <v>61.908540458313489</v>
      </c>
      <c r="AF664" s="1128">
        <f t="shared" si="756"/>
        <v>68.17402855232416</v>
      </c>
      <c r="AG664" s="1128">
        <f t="shared" si="757"/>
        <v>72.538144335177464</v>
      </c>
      <c r="AH664" s="1128">
        <f t="shared" si="758"/>
        <v>73.863313775012742</v>
      </c>
      <c r="AI664" s="1128">
        <f t="shared" si="759"/>
        <v>71.804111035857701</v>
      </c>
      <c r="AJ664" s="1128">
        <f t="shared" si="760"/>
        <v>66.897299044947886</v>
      </c>
      <c r="AK664" s="1128">
        <f t="shared" si="761"/>
        <v>60.42191396397557</v>
      </c>
      <c r="AL664" s="1128">
        <f t="shared" si="762"/>
        <v>54.065864703000905</v>
      </c>
      <c r="AM664" s="1125">
        <f t="shared" si="763"/>
        <v>1</v>
      </c>
      <c r="AN664" s="1125">
        <f t="shared" si="764"/>
        <v>1</v>
      </c>
      <c r="AO664" s="1125">
        <f t="shared" si="765"/>
        <v>1</v>
      </c>
      <c r="AP664" s="1125">
        <f t="shared" si="766"/>
        <v>1</v>
      </c>
      <c r="AQ664" s="1125">
        <f t="shared" si="767"/>
        <v>1</v>
      </c>
      <c r="AR664" s="1125">
        <f t="shared" si="768"/>
        <v>0</v>
      </c>
      <c r="AS664" s="1125">
        <f t="shared" si="769"/>
        <v>0</v>
      </c>
      <c r="AT664" s="1125">
        <f t="shared" si="770"/>
        <v>0</v>
      </c>
      <c r="AU664" s="1125">
        <f t="shared" si="771"/>
        <v>0</v>
      </c>
      <c r="AV664" s="1125">
        <f t="shared" si="772"/>
        <v>1</v>
      </c>
      <c r="AW664" s="1125">
        <f t="shared" si="773"/>
        <v>1</v>
      </c>
      <c r="AX664" s="1125">
        <f t="shared" si="774"/>
        <v>1</v>
      </c>
      <c r="AY664" s="1125">
        <f t="shared" si="775"/>
        <v>0</v>
      </c>
      <c r="AZ664" s="1125">
        <f t="shared" si="776"/>
        <v>0</v>
      </c>
      <c r="BA664" s="1125">
        <f t="shared" si="777"/>
        <v>0</v>
      </c>
      <c r="BB664" s="1125">
        <f t="shared" si="778"/>
        <v>0</v>
      </c>
      <c r="BC664" s="1125">
        <f t="shared" si="779"/>
        <v>0</v>
      </c>
      <c r="BD664" s="1125">
        <f t="shared" si="780"/>
        <v>1</v>
      </c>
      <c r="BE664" s="1125">
        <f t="shared" si="781"/>
        <v>1</v>
      </c>
      <c r="BF664" s="1125">
        <f t="shared" si="782"/>
        <v>1</v>
      </c>
      <c r="BG664" s="1125">
        <f t="shared" si="783"/>
        <v>1</v>
      </c>
      <c r="BH664" s="1125">
        <f t="shared" si="784"/>
        <v>0</v>
      </c>
      <c r="BI664" s="1125">
        <f t="shared" si="785"/>
        <v>0</v>
      </c>
      <c r="BJ664" s="1125">
        <f t="shared" si="786"/>
        <v>0</v>
      </c>
      <c r="BK664" s="1125">
        <f t="shared" si="787"/>
        <v>1</v>
      </c>
      <c r="BL664" s="1125">
        <f t="shared" si="788"/>
        <v>1</v>
      </c>
      <c r="BM664" s="1125">
        <f t="shared" si="789"/>
        <v>1</v>
      </c>
      <c r="BN664" s="1125">
        <f t="shared" si="790"/>
        <v>1</v>
      </c>
      <c r="BO664" s="1125">
        <f t="shared" si="791"/>
        <v>1</v>
      </c>
      <c r="BP664" s="1125">
        <f t="shared" si="792"/>
        <v>1</v>
      </c>
      <c r="BQ664" s="1125">
        <f t="shared" si="793"/>
        <v>0</v>
      </c>
      <c r="BR664" s="1125">
        <f t="shared" si="794"/>
        <v>0</v>
      </c>
      <c r="BS664" s="1125">
        <f t="shared" si="795"/>
        <v>0</v>
      </c>
      <c r="BT664" s="1125">
        <f t="shared" si="796"/>
        <v>1</v>
      </c>
      <c r="BU664" s="1125">
        <f t="shared" si="797"/>
        <v>1</v>
      </c>
      <c r="BV664" s="1125">
        <f t="shared" si="798"/>
        <v>1</v>
      </c>
      <c r="BW664" s="1125">
        <f t="shared" si="799"/>
        <v>0</v>
      </c>
      <c r="BX664" s="1125">
        <f t="shared" si="800"/>
        <v>0</v>
      </c>
      <c r="BY664" s="1125">
        <f t="shared" si="801"/>
        <v>0</v>
      </c>
      <c r="BZ664" s="1125">
        <f t="shared" si="802"/>
        <v>0</v>
      </c>
      <c r="CA664" s="1125">
        <f t="shared" si="803"/>
        <v>1</v>
      </c>
      <c r="CB664" s="1125">
        <f t="shared" si="804"/>
        <v>1</v>
      </c>
      <c r="CC664" s="1125">
        <f t="shared" si="805"/>
        <v>1</v>
      </c>
      <c r="CD664" s="1125">
        <f t="shared" si="806"/>
        <v>1</v>
      </c>
      <c r="CE664" s="1125">
        <f t="shared" si="807"/>
        <v>1</v>
      </c>
      <c r="CF664" s="1125">
        <f t="shared" si="808"/>
        <v>1</v>
      </c>
      <c r="CG664" s="1125">
        <f t="shared" si="809"/>
        <v>0</v>
      </c>
      <c r="CH664" s="1125">
        <f t="shared" si="810"/>
        <v>0</v>
      </c>
      <c r="CI664" s="1125">
        <f t="shared" si="811"/>
        <v>0.85</v>
      </c>
      <c r="CJ664" s="1125">
        <f t="shared" si="812"/>
        <v>0.85</v>
      </c>
      <c r="CK664" s="1125">
        <f t="shared" si="813"/>
        <v>0.85</v>
      </c>
      <c r="CL664" s="1125">
        <f t="shared" si="814"/>
        <v>0.85</v>
      </c>
      <c r="CM664" s="1125">
        <f t="shared" si="815"/>
        <v>0.85</v>
      </c>
      <c r="CN664" s="1125">
        <f t="shared" si="816"/>
        <v>0.85</v>
      </c>
      <c r="CO664" s="1125">
        <f t="shared" si="817"/>
        <v>0.7</v>
      </c>
      <c r="CP664" s="1125">
        <f t="shared" si="818"/>
        <v>0.7</v>
      </c>
      <c r="CQ664" s="1125">
        <f t="shared" si="819"/>
        <v>0.7</v>
      </c>
      <c r="CR664" s="1125">
        <f t="shared" si="820"/>
        <v>0.85</v>
      </c>
      <c r="CS664" s="1125">
        <f t="shared" si="821"/>
        <v>0.85</v>
      </c>
      <c r="CT664" s="1125">
        <f t="shared" si="822"/>
        <v>0.85</v>
      </c>
      <c r="CU664" s="1125">
        <v>1</v>
      </c>
      <c r="CV664" s="1125"/>
      <c r="CW664" s="1125">
        <f t="shared" si="823"/>
        <v>184</v>
      </c>
      <c r="CX664" s="1125">
        <f t="shared" si="824"/>
        <v>181</v>
      </c>
      <c r="CY664" s="1136" t="s">
        <v>4881</v>
      </c>
      <c r="CZ664" s="1129" t="s">
        <v>4885</v>
      </c>
      <c r="DA664" s="1129"/>
      <c r="DB664" s="1129"/>
      <c r="DC664" s="1125" t="s">
        <v>5734</v>
      </c>
      <c r="DD664" s="1125" t="s">
        <v>256</v>
      </c>
      <c r="DE664" s="1120" t="str">
        <f t="shared" si="825"/>
        <v/>
      </c>
      <c r="DF664" s="1133">
        <v>1</v>
      </c>
      <c r="DG664" s="1120">
        <v>0</v>
      </c>
    </row>
    <row r="665" spans="1:111">
      <c r="A665" s="1125" t="s">
        <v>4042</v>
      </c>
      <c r="B665" s="1120" t="s">
        <v>3451</v>
      </c>
      <c r="C665" s="1120" t="s">
        <v>3452</v>
      </c>
      <c r="D665" s="1120" t="s">
        <v>566</v>
      </c>
      <c r="E665" s="1120">
        <v>951</v>
      </c>
      <c r="F665" s="1120">
        <v>-93.02</v>
      </c>
      <c r="G665" s="1120">
        <v>41.68</v>
      </c>
      <c r="H665" s="1120">
        <v>-6</v>
      </c>
      <c r="I665" s="1121">
        <v>-18.939998626708984</v>
      </c>
      <c r="J665" s="1121">
        <v>90.139998626708987</v>
      </c>
      <c r="K665" s="1122">
        <v>77.180000686645513</v>
      </c>
      <c r="L665" s="1120">
        <v>6003</v>
      </c>
      <c r="M665" s="1120">
        <v>880.2</v>
      </c>
      <c r="N665" s="1123">
        <v>26.960000085830689</v>
      </c>
      <c r="O665" s="1123">
        <v>25.160000085830688</v>
      </c>
      <c r="P665" s="1123">
        <v>42.97999982833862</v>
      </c>
      <c r="Q665" s="1123">
        <v>53.6</v>
      </c>
      <c r="R665" s="1123">
        <v>57.919999313354495</v>
      </c>
      <c r="S665" s="1123">
        <v>70.7</v>
      </c>
      <c r="T665" s="1123">
        <v>72.680000686645513</v>
      </c>
      <c r="U665" s="1123">
        <v>70.519999313354489</v>
      </c>
      <c r="V665" s="1123">
        <v>66.380000686645502</v>
      </c>
      <c r="W665" s="1123">
        <v>56.659999656677243</v>
      </c>
      <c r="X665" s="1123">
        <v>37.579999828338622</v>
      </c>
      <c r="Y665" s="1123">
        <v>21.559999656677245</v>
      </c>
      <c r="Z665" s="1123">
        <v>50.356054719506879</v>
      </c>
      <c r="AA665" s="1123">
        <f t="shared" si="751"/>
        <v>45.918033889810346</v>
      </c>
      <c r="AB665" s="1123">
        <f t="shared" si="752"/>
        <v>44.510673015194016</v>
      </c>
      <c r="AC665" s="1123">
        <f t="shared" si="753"/>
        <v>46.19099342466442</v>
      </c>
      <c r="AD665" s="1123">
        <f t="shared" si="754"/>
        <v>50.520993708971773</v>
      </c>
      <c r="AE665" s="1123">
        <f t="shared" si="755"/>
        <v>56.371992566687162</v>
      </c>
      <c r="AF665" s="1123">
        <f t="shared" si="756"/>
        <v>62.218836978925346</v>
      </c>
      <c r="AG665" s="1123">
        <f t="shared" si="757"/>
        <v>66.53745684703668</v>
      </c>
      <c r="AH665" s="1123">
        <f t="shared" si="758"/>
        <v>68.202137350451252</v>
      </c>
      <c r="AI665" s="1123">
        <f t="shared" si="759"/>
        <v>66.778953862450976</v>
      </c>
      <c r="AJ665" s="1123">
        <f t="shared" si="760"/>
        <v>62.638881091104558</v>
      </c>
      <c r="AK665" s="1123">
        <f t="shared" si="761"/>
        <v>56.861092804716066</v>
      </c>
      <c r="AL665" s="1123">
        <f t="shared" si="762"/>
        <v>50.951658558545311</v>
      </c>
      <c r="AM665" s="1120">
        <f t="shared" si="763"/>
        <v>1</v>
      </c>
      <c r="AN665" s="1120">
        <f t="shared" si="764"/>
        <v>1</v>
      </c>
      <c r="AO665" s="1120">
        <f t="shared" si="765"/>
        <v>1</v>
      </c>
      <c r="AP665" s="1120">
        <f t="shared" si="766"/>
        <v>1</v>
      </c>
      <c r="AQ665" s="1120">
        <f t="shared" si="767"/>
        <v>1</v>
      </c>
      <c r="AR665" s="1120">
        <f t="shared" si="768"/>
        <v>0</v>
      </c>
      <c r="AS665" s="1120">
        <f t="shared" si="769"/>
        <v>0</v>
      </c>
      <c r="AT665" s="1120">
        <f t="shared" si="770"/>
        <v>0</v>
      </c>
      <c r="AU665" s="1120">
        <f t="shared" si="771"/>
        <v>0</v>
      </c>
      <c r="AV665" s="1120">
        <f t="shared" si="772"/>
        <v>1</v>
      </c>
      <c r="AW665" s="1120">
        <f t="shared" si="773"/>
        <v>1</v>
      </c>
      <c r="AX665" s="1120">
        <f t="shared" si="774"/>
        <v>1</v>
      </c>
      <c r="AY665" s="1120">
        <f t="shared" si="775"/>
        <v>0</v>
      </c>
      <c r="AZ665" s="1120">
        <f t="shared" si="776"/>
        <v>0</v>
      </c>
      <c r="BA665" s="1120">
        <f t="shared" si="777"/>
        <v>0</v>
      </c>
      <c r="BB665" s="1120">
        <f t="shared" si="778"/>
        <v>0</v>
      </c>
      <c r="BC665" s="1120">
        <f t="shared" si="779"/>
        <v>0</v>
      </c>
      <c r="BD665" s="1120">
        <f t="shared" si="780"/>
        <v>1</v>
      </c>
      <c r="BE665" s="1120">
        <f t="shared" si="781"/>
        <v>1</v>
      </c>
      <c r="BF665" s="1120">
        <f t="shared" si="782"/>
        <v>1</v>
      </c>
      <c r="BG665" s="1120">
        <f t="shared" si="783"/>
        <v>1</v>
      </c>
      <c r="BH665" s="1120">
        <f t="shared" si="784"/>
        <v>0</v>
      </c>
      <c r="BI665" s="1120">
        <f t="shared" si="785"/>
        <v>0</v>
      </c>
      <c r="BJ665" s="1120">
        <f t="shared" si="786"/>
        <v>0</v>
      </c>
      <c r="BK665" s="1120">
        <f t="shared" si="787"/>
        <v>1</v>
      </c>
      <c r="BL665" s="1120">
        <f t="shared" si="788"/>
        <v>1</v>
      </c>
      <c r="BM665" s="1120">
        <f t="shared" si="789"/>
        <v>1</v>
      </c>
      <c r="BN665" s="1120">
        <f t="shared" si="790"/>
        <v>1</v>
      </c>
      <c r="BO665" s="1120">
        <f t="shared" si="791"/>
        <v>1</v>
      </c>
      <c r="BP665" s="1120">
        <f t="shared" si="792"/>
        <v>1</v>
      </c>
      <c r="BQ665" s="1120">
        <f t="shared" si="793"/>
        <v>0</v>
      </c>
      <c r="BR665" s="1120">
        <f t="shared" si="794"/>
        <v>0</v>
      </c>
      <c r="BS665" s="1120">
        <f t="shared" si="795"/>
        <v>0</v>
      </c>
      <c r="BT665" s="1120">
        <f t="shared" si="796"/>
        <v>1</v>
      </c>
      <c r="BU665" s="1120">
        <f t="shared" si="797"/>
        <v>1</v>
      </c>
      <c r="BV665" s="1120">
        <f t="shared" si="798"/>
        <v>1</v>
      </c>
      <c r="BW665" s="1120">
        <f t="shared" si="799"/>
        <v>0</v>
      </c>
      <c r="BX665" s="1120">
        <f t="shared" si="800"/>
        <v>0</v>
      </c>
      <c r="BY665" s="1120">
        <f t="shared" si="801"/>
        <v>0</v>
      </c>
      <c r="BZ665" s="1120">
        <f t="shared" si="802"/>
        <v>0</v>
      </c>
      <c r="CA665" s="1120">
        <f t="shared" si="803"/>
        <v>1</v>
      </c>
      <c r="CB665" s="1120">
        <f t="shared" si="804"/>
        <v>1</v>
      </c>
      <c r="CC665" s="1120">
        <f t="shared" si="805"/>
        <v>1</v>
      </c>
      <c r="CD665" s="1120">
        <f t="shared" si="806"/>
        <v>1</v>
      </c>
      <c r="CE665" s="1120">
        <f t="shared" si="807"/>
        <v>1</v>
      </c>
      <c r="CF665" s="1120">
        <f t="shared" si="808"/>
        <v>1</v>
      </c>
      <c r="CG665" s="1120">
        <f t="shared" si="809"/>
        <v>0</v>
      </c>
      <c r="CH665" s="1120">
        <f t="shared" si="810"/>
        <v>0</v>
      </c>
      <c r="CI665" s="1120">
        <f t="shared" si="811"/>
        <v>0.85</v>
      </c>
      <c r="CJ665" s="1120">
        <f t="shared" si="812"/>
        <v>0.85</v>
      </c>
      <c r="CK665" s="1120">
        <f t="shared" si="813"/>
        <v>0.85</v>
      </c>
      <c r="CL665" s="1120">
        <f t="shared" si="814"/>
        <v>0.85</v>
      </c>
      <c r="CM665" s="1120">
        <f t="shared" si="815"/>
        <v>0.85</v>
      </c>
      <c r="CN665" s="1120">
        <f t="shared" si="816"/>
        <v>0.85</v>
      </c>
      <c r="CO665" s="1120">
        <f t="shared" si="817"/>
        <v>0.7</v>
      </c>
      <c r="CP665" s="1120">
        <f t="shared" si="818"/>
        <v>0.7</v>
      </c>
      <c r="CQ665" s="1120">
        <f t="shared" si="819"/>
        <v>0.7</v>
      </c>
      <c r="CR665" s="1120">
        <f t="shared" si="820"/>
        <v>0.85</v>
      </c>
      <c r="CS665" s="1120">
        <f t="shared" si="821"/>
        <v>0.85</v>
      </c>
      <c r="CT665" s="1120">
        <f t="shared" si="822"/>
        <v>0.85</v>
      </c>
      <c r="CU665" s="1120">
        <v>1</v>
      </c>
      <c r="CV665" s="1120"/>
      <c r="CW665" s="1120">
        <f t="shared" si="823"/>
        <v>184</v>
      </c>
      <c r="CX665" s="1120">
        <f t="shared" si="824"/>
        <v>181</v>
      </c>
      <c r="CY665" s="1135" t="s">
        <v>4889</v>
      </c>
      <c r="CZ665" s="1124" t="s">
        <v>4897</v>
      </c>
      <c r="DA665" s="1124"/>
      <c r="DB665" s="1124"/>
      <c r="DC665" s="1120" t="s">
        <v>5181</v>
      </c>
      <c r="DD665" s="1120" t="s">
        <v>566</v>
      </c>
      <c r="DE665" s="1120" t="str">
        <f t="shared" si="825"/>
        <v/>
      </c>
      <c r="DF665" s="1133">
        <v>1</v>
      </c>
      <c r="DG665" s="1125">
        <v>0</v>
      </c>
    </row>
    <row r="666" spans="1:111">
      <c r="A666" s="1120" t="s">
        <v>5904</v>
      </c>
      <c r="B666" s="1125" t="s">
        <v>4144</v>
      </c>
      <c r="C666" s="1125" t="s">
        <v>4145</v>
      </c>
      <c r="D666" s="1125" t="s">
        <v>537</v>
      </c>
      <c r="E666" s="1125">
        <v>590</v>
      </c>
      <c r="F666" s="1125">
        <v>-78.95</v>
      </c>
      <c r="G666" s="1125">
        <v>43.1</v>
      </c>
      <c r="H666" s="1125">
        <v>-5</v>
      </c>
      <c r="I666" s="1126">
        <v>6.6199993133544917</v>
      </c>
      <c r="J666" s="1126">
        <v>85.1</v>
      </c>
      <c r="K666" s="1127">
        <v>71.239998626708982</v>
      </c>
      <c r="L666" s="1125">
        <v>6231.6</v>
      </c>
      <c r="M666" s="1125">
        <v>671.4</v>
      </c>
      <c r="N666" s="1128">
        <v>32</v>
      </c>
      <c r="O666" s="1128">
        <v>24.440000343322755</v>
      </c>
      <c r="P666" s="1128">
        <v>28.76000008583069</v>
      </c>
      <c r="Q666" s="1128">
        <v>48.559999656677249</v>
      </c>
      <c r="R666" s="1128">
        <v>50.9</v>
      </c>
      <c r="S666" s="1128">
        <v>73.400000000000006</v>
      </c>
      <c r="T666" s="1128">
        <v>71.780000686645508</v>
      </c>
      <c r="U666" s="1128">
        <v>67.099999999999994</v>
      </c>
      <c r="V666" s="1128">
        <v>62.239998626708989</v>
      </c>
      <c r="W666" s="1128">
        <v>51.980000686645511</v>
      </c>
      <c r="X666" s="1128">
        <v>46.040000343322752</v>
      </c>
      <c r="Y666" s="1128">
        <v>31.639999994635581</v>
      </c>
      <c r="Z666" s="1128">
        <v>49.179397297207622</v>
      </c>
      <c r="AA666" s="1128">
        <f t="shared" si="751"/>
        <v>45.544140518747682</v>
      </c>
      <c r="AB666" s="1128">
        <f t="shared" si="752"/>
        <v>44.119533622625411</v>
      </c>
      <c r="AC666" s="1128">
        <f t="shared" si="753"/>
        <v>45.577850630941327</v>
      </c>
      <c r="AD666" s="1128">
        <f t="shared" si="754"/>
        <v>49.538958742132522</v>
      </c>
      <c r="AE666" s="1128">
        <f t="shared" si="755"/>
        <v>54.970334084493274</v>
      </c>
      <c r="AF666" s="1128">
        <f t="shared" si="756"/>
        <v>60.456204975009655</v>
      </c>
      <c r="AG666" s="1128">
        <f t="shared" si="757"/>
        <v>64.566594626239137</v>
      </c>
      <c r="AH666" s="1128">
        <f t="shared" si="758"/>
        <v>66.23006663256686</v>
      </c>
      <c r="AI666" s="1128">
        <f t="shared" si="759"/>
        <v>65.013011380663926</v>
      </c>
      <c r="AJ666" s="1128">
        <f t="shared" si="760"/>
        <v>61.232673077327988</v>
      </c>
      <c r="AK666" s="1128">
        <f t="shared" si="761"/>
        <v>55.874455158100218</v>
      </c>
      <c r="AL666" s="1128">
        <f t="shared" si="762"/>
        <v>50.335059696264949</v>
      </c>
      <c r="AM666" s="1125">
        <f t="shared" si="763"/>
        <v>1</v>
      </c>
      <c r="AN666" s="1125">
        <f t="shared" si="764"/>
        <v>1</v>
      </c>
      <c r="AO666" s="1125">
        <f t="shared" si="765"/>
        <v>1</v>
      </c>
      <c r="AP666" s="1125">
        <f t="shared" si="766"/>
        <v>1</v>
      </c>
      <c r="AQ666" s="1125">
        <f t="shared" si="767"/>
        <v>1</v>
      </c>
      <c r="AR666" s="1125">
        <f t="shared" si="768"/>
        <v>0</v>
      </c>
      <c r="AS666" s="1125">
        <f t="shared" si="769"/>
        <v>0</v>
      </c>
      <c r="AT666" s="1125">
        <f t="shared" si="770"/>
        <v>0</v>
      </c>
      <c r="AU666" s="1125">
        <f t="shared" si="771"/>
        <v>1</v>
      </c>
      <c r="AV666" s="1125">
        <f t="shared" si="772"/>
        <v>1</v>
      </c>
      <c r="AW666" s="1125">
        <f t="shared" si="773"/>
        <v>1</v>
      </c>
      <c r="AX666" s="1125">
        <f t="shared" si="774"/>
        <v>1</v>
      </c>
      <c r="AY666" s="1125">
        <f t="shared" si="775"/>
        <v>0</v>
      </c>
      <c r="AZ666" s="1125">
        <f t="shared" si="776"/>
        <v>0</v>
      </c>
      <c r="BA666" s="1125">
        <f t="shared" si="777"/>
        <v>0</v>
      </c>
      <c r="BB666" s="1125">
        <f t="shared" si="778"/>
        <v>0</v>
      </c>
      <c r="BC666" s="1125">
        <f t="shared" si="779"/>
        <v>0</v>
      </c>
      <c r="BD666" s="1125">
        <f t="shared" si="780"/>
        <v>1</v>
      </c>
      <c r="BE666" s="1125">
        <f t="shared" si="781"/>
        <v>1</v>
      </c>
      <c r="BF666" s="1125">
        <f t="shared" si="782"/>
        <v>1</v>
      </c>
      <c r="BG666" s="1125">
        <f t="shared" si="783"/>
        <v>0</v>
      </c>
      <c r="BH666" s="1125">
        <f t="shared" si="784"/>
        <v>0</v>
      </c>
      <c r="BI666" s="1125">
        <f t="shared" si="785"/>
        <v>0</v>
      </c>
      <c r="BJ666" s="1125">
        <f t="shared" si="786"/>
        <v>0</v>
      </c>
      <c r="BK666" s="1125">
        <f t="shared" si="787"/>
        <v>1</v>
      </c>
      <c r="BL666" s="1125">
        <f t="shared" si="788"/>
        <v>1</v>
      </c>
      <c r="BM666" s="1125">
        <f t="shared" si="789"/>
        <v>1</v>
      </c>
      <c r="BN666" s="1125">
        <f t="shared" si="790"/>
        <v>1</v>
      </c>
      <c r="BO666" s="1125">
        <f t="shared" si="791"/>
        <v>1</v>
      </c>
      <c r="BP666" s="1125">
        <f t="shared" si="792"/>
        <v>1</v>
      </c>
      <c r="BQ666" s="1125">
        <f t="shared" si="793"/>
        <v>0</v>
      </c>
      <c r="BR666" s="1125">
        <f t="shared" si="794"/>
        <v>0</v>
      </c>
      <c r="BS666" s="1125">
        <f t="shared" si="795"/>
        <v>1</v>
      </c>
      <c r="BT666" s="1125">
        <f t="shared" si="796"/>
        <v>1</v>
      </c>
      <c r="BU666" s="1125">
        <f t="shared" si="797"/>
        <v>1</v>
      </c>
      <c r="BV666" s="1125">
        <f t="shared" si="798"/>
        <v>1</v>
      </c>
      <c r="BW666" s="1125">
        <f t="shared" si="799"/>
        <v>0</v>
      </c>
      <c r="BX666" s="1125">
        <f t="shared" si="800"/>
        <v>0</v>
      </c>
      <c r="BY666" s="1125">
        <f t="shared" si="801"/>
        <v>0</v>
      </c>
      <c r="BZ666" s="1125">
        <f t="shared" si="802"/>
        <v>0</v>
      </c>
      <c r="CA666" s="1125">
        <f t="shared" si="803"/>
        <v>1</v>
      </c>
      <c r="CB666" s="1125">
        <f t="shared" si="804"/>
        <v>1</v>
      </c>
      <c r="CC666" s="1125">
        <f t="shared" si="805"/>
        <v>1</v>
      </c>
      <c r="CD666" s="1125">
        <f t="shared" si="806"/>
        <v>1</v>
      </c>
      <c r="CE666" s="1125">
        <f t="shared" si="807"/>
        <v>1</v>
      </c>
      <c r="CF666" s="1125">
        <f t="shared" si="808"/>
        <v>0</v>
      </c>
      <c r="CG666" s="1125">
        <f t="shared" si="809"/>
        <v>0</v>
      </c>
      <c r="CH666" s="1125">
        <f t="shared" si="810"/>
        <v>0</v>
      </c>
      <c r="CI666" s="1125">
        <f t="shared" si="811"/>
        <v>0.85</v>
      </c>
      <c r="CJ666" s="1125">
        <f t="shared" si="812"/>
        <v>0.85</v>
      </c>
      <c r="CK666" s="1125">
        <f t="shared" si="813"/>
        <v>0.85</v>
      </c>
      <c r="CL666" s="1125">
        <f t="shared" si="814"/>
        <v>0.85</v>
      </c>
      <c r="CM666" s="1125">
        <f t="shared" si="815"/>
        <v>0.85</v>
      </c>
      <c r="CN666" s="1125">
        <f t="shared" si="816"/>
        <v>0.85</v>
      </c>
      <c r="CO666" s="1125">
        <f t="shared" si="817"/>
        <v>0.7</v>
      </c>
      <c r="CP666" s="1125">
        <f t="shared" si="818"/>
        <v>0.7</v>
      </c>
      <c r="CQ666" s="1125">
        <f t="shared" si="819"/>
        <v>0.85</v>
      </c>
      <c r="CR666" s="1125">
        <f t="shared" si="820"/>
        <v>0.85</v>
      </c>
      <c r="CS666" s="1125">
        <f t="shared" si="821"/>
        <v>0.85</v>
      </c>
      <c r="CT666" s="1125">
        <f t="shared" si="822"/>
        <v>0.85</v>
      </c>
      <c r="CU666" s="1125">
        <v>1</v>
      </c>
      <c r="CV666" s="1125"/>
      <c r="CW666" s="1125">
        <f t="shared" si="823"/>
        <v>153</v>
      </c>
      <c r="CX666" s="1125">
        <f t="shared" si="824"/>
        <v>212</v>
      </c>
      <c r="CY666" s="1135" t="s">
        <v>4889</v>
      </c>
      <c r="CZ666" s="1124" t="s">
        <v>4897</v>
      </c>
      <c r="DA666" s="1124"/>
      <c r="DB666" s="1124"/>
      <c r="DC666" s="1120" t="s">
        <v>5481</v>
      </c>
      <c r="DD666" s="1120" t="s">
        <v>537</v>
      </c>
      <c r="DE666" s="1120" t="str">
        <f t="shared" si="825"/>
        <v/>
      </c>
      <c r="DF666" s="1133">
        <v>1</v>
      </c>
      <c r="DG666" s="1120">
        <v>0</v>
      </c>
    </row>
    <row r="667" spans="1:111">
      <c r="A667" s="1125" t="s">
        <v>4044</v>
      </c>
      <c r="B667" s="1125" t="s">
        <v>2970</v>
      </c>
      <c r="C667" s="1125" t="s">
        <v>2971</v>
      </c>
      <c r="D667" s="1125" t="s">
        <v>953</v>
      </c>
      <c r="E667" s="1125">
        <v>13</v>
      </c>
      <c r="F667" s="1125">
        <v>-165.45</v>
      </c>
      <c r="G667" s="1125">
        <v>64.52</v>
      </c>
      <c r="H667" s="1125">
        <v>-9</v>
      </c>
      <c r="I667" s="1126">
        <v>-24.160001373291017</v>
      </c>
      <c r="J667" s="1126">
        <v>64.939998626708984</v>
      </c>
      <c r="K667" s="1127">
        <v>55.4</v>
      </c>
      <c r="L667" s="1125">
        <v>13024.800000000001</v>
      </c>
      <c r="M667" s="1125">
        <v>1.8</v>
      </c>
      <c r="N667" s="1128">
        <v>14.359999656677246</v>
      </c>
      <c r="O667" s="1128">
        <v>8.0599996566772454</v>
      </c>
      <c r="P667" s="1128">
        <v>10.759999656677246</v>
      </c>
      <c r="Q667" s="1128">
        <v>19.759999656677245</v>
      </c>
      <c r="R667" s="1128">
        <v>39.02000017166138</v>
      </c>
      <c r="S667" s="1128">
        <v>48.380000686645509</v>
      </c>
      <c r="T667" s="1128">
        <v>53.240000343322755</v>
      </c>
      <c r="U667" s="1128">
        <v>51.980000686645511</v>
      </c>
      <c r="V667" s="1128">
        <v>42.97999982833862</v>
      </c>
      <c r="W667" s="1128">
        <v>28.76000008583069</v>
      </c>
      <c r="X667" s="1128">
        <v>15.619999313354493</v>
      </c>
      <c r="Y667" s="1128">
        <v>10.219999313354492</v>
      </c>
      <c r="Z667" s="1128">
        <v>28.729917732264898</v>
      </c>
      <c r="AA667" s="1128">
        <f t="shared" si="751"/>
        <v>32</v>
      </c>
      <c r="AB667" s="1128">
        <f t="shared" si="752"/>
        <v>32</v>
      </c>
      <c r="AC667" s="1128">
        <f t="shared" si="753"/>
        <v>32</v>
      </c>
      <c r="AD667" s="1128">
        <f t="shared" si="754"/>
        <v>32</v>
      </c>
      <c r="AE667" s="1128">
        <f t="shared" si="755"/>
        <v>32.705497932877421</v>
      </c>
      <c r="AF667" s="1128">
        <f t="shared" si="756"/>
        <v>35.539613163467727</v>
      </c>
      <c r="AG667" s="1128">
        <f t="shared" si="757"/>
        <v>38.162668802130725</v>
      </c>
      <c r="AH667" s="1128">
        <f t="shared" si="758"/>
        <v>39.890924974137924</v>
      </c>
      <c r="AI667" s="1128">
        <f t="shared" si="759"/>
        <v>40.273885075021866</v>
      </c>
      <c r="AJ667" s="1128">
        <f t="shared" si="760"/>
        <v>39.211724652893352</v>
      </c>
      <c r="AK667" s="1128">
        <f t="shared" si="761"/>
        <v>36.981312190167749</v>
      </c>
      <c r="AL667" s="1128">
        <f t="shared" si="762"/>
        <v>34.164039066950963</v>
      </c>
      <c r="AM667" s="1125">
        <f t="shared" si="763"/>
        <v>1</v>
      </c>
      <c r="AN667" s="1125">
        <f t="shared" si="764"/>
        <v>1</v>
      </c>
      <c r="AO667" s="1125">
        <f t="shared" si="765"/>
        <v>1</v>
      </c>
      <c r="AP667" s="1125">
        <f t="shared" si="766"/>
        <v>1</v>
      </c>
      <c r="AQ667" s="1125">
        <f t="shared" si="767"/>
        <v>1</v>
      </c>
      <c r="AR667" s="1125">
        <f t="shared" si="768"/>
        <v>1</v>
      </c>
      <c r="AS667" s="1125">
        <f t="shared" si="769"/>
        <v>1</v>
      </c>
      <c r="AT667" s="1125">
        <f t="shared" si="770"/>
        <v>1</v>
      </c>
      <c r="AU667" s="1125">
        <f t="shared" si="771"/>
        <v>1</v>
      </c>
      <c r="AV667" s="1125">
        <f t="shared" si="772"/>
        <v>1</v>
      </c>
      <c r="AW667" s="1125">
        <f t="shared" si="773"/>
        <v>1</v>
      </c>
      <c r="AX667" s="1125">
        <f t="shared" si="774"/>
        <v>1</v>
      </c>
      <c r="AY667" s="1125">
        <f t="shared" si="775"/>
        <v>0</v>
      </c>
      <c r="AZ667" s="1125">
        <f t="shared" si="776"/>
        <v>0</v>
      </c>
      <c r="BA667" s="1125">
        <f t="shared" si="777"/>
        <v>0</v>
      </c>
      <c r="BB667" s="1125">
        <f t="shared" si="778"/>
        <v>0</v>
      </c>
      <c r="BC667" s="1125">
        <f t="shared" si="779"/>
        <v>0</v>
      </c>
      <c r="BD667" s="1125">
        <f t="shared" si="780"/>
        <v>0</v>
      </c>
      <c r="BE667" s="1125">
        <f t="shared" si="781"/>
        <v>1</v>
      </c>
      <c r="BF667" s="1125">
        <f t="shared" si="782"/>
        <v>1</v>
      </c>
      <c r="BG667" s="1125">
        <f t="shared" si="783"/>
        <v>0</v>
      </c>
      <c r="BH667" s="1125">
        <f t="shared" si="784"/>
        <v>0</v>
      </c>
      <c r="BI667" s="1125">
        <f t="shared" si="785"/>
        <v>0</v>
      </c>
      <c r="BJ667" s="1125">
        <f t="shared" si="786"/>
        <v>0</v>
      </c>
      <c r="BK667" s="1125">
        <f t="shared" si="787"/>
        <v>1</v>
      </c>
      <c r="BL667" s="1125">
        <f t="shared" si="788"/>
        <v>1</v>
      </c>
      <c r="BM667" s="1125">
        <f t="shared" si="789"/>
        <v>1</v>
      </c>
      <c r="BN667" s="1125">
        <f t="shared" si="790"/>
        <v>1</v>
      </c>
      <c r="BO667" s="1125">
        <f t="shared" si="791"/>
        <v>1</v>
      </c>
      <c r="BP667" s="1125">
        <f t="shared" si="792"/>
        <v>1</v>
      </c>
      <c r="BQ667" s="1125">
        <f t="shared" si="793"/>
        <v>1</v>
      </c>
      <c r="BR667" s="1125">
        <f t="shared" si="794"/>
        <v>1</v>
      </c>
      <c r="BS667" s="1125">
        <f t="shared" si="795"/>
        <v>1</v>
      </c>
      <c r="BT667" s="1125">
        <f t="shared" si="796"/>
        <v>1</v>
      </c>
      <c r="BU667" s="1125">
        <f t="shared" si="797"/>
        <v>1</v>
      </c>
      <c r="BV667" s="1125">
        <f t="shared" si="798"/>
        <v>1</v>
      </c>
      <c r="BW667" s="1125">
        <f t="shared" si="799"/>
        <v>0</v>
      </c>
      <c r="BX667" s="1125">
        <f t="shared" si="800"/>
        <v>0</v>
      </c>
      <c r="BY667" s="1125">
        <f t="shared" si="801"/>
        <v>0</v>
      </c>
      <c r="BZ667" s="1125">
        <f t="shared" si="802"/>
        <v>0</v>
      </c>
      <c r="CA667" s="1125">
        <f t="shared" si="803"/>
        <v>0</v>
      </c>
      <c r="CB667" s="1125">
        <f t="shared" si="804"/>
        <v>0</v>
      </c>
      <c r="CC667" s="1125">
        <f t="shared" si="805"/>
        <v>1</v>
      </c>
      <c r="CD667" s="1125">
        <f t="shared" si="806"/>
        <v>1</v>
      </c>
      <c r="CE667" s="1125">
        <f t="shared" si="807"/>
        <v>0</v>
      </c>
      <c r="CF667" s="1125">
        <f t="shared" si="808"/>
        <v>0</v>
      </c>
      <c r="CG667" s="1125">
        <f t="shared" si="809"/>
        <v>0</v>
      </c>
      <c r="CH667" s="1125">
        <f t="shared" si="810"/>
        <v>0</v>
      </c>
      <c r="CI667" s="1125">
        <f t="shared" si="811"/>
        <v>0.85</v>
      </c>
      <c r="CJ667" s="1125">
        <f t="shared" si="812"/>
        <v>0.85</v>
      </c>
      <c r="CK667" s="1125">
        <f t="shared" si="813"/>
        <v>0.85</v>
      </c>
      <c r="CL667" s="1125">
        <f t="shared" si="814"/>
        <v>0.85</v>
      </c>
      <c r="CM667" s="1125">
        <f t="shared" si="815"/>
        <v>0.85</v>
      </c>
      <c r="CN667" s="1125">
        <f t="shared" si="816"/>
        <v>0.85</v>
      </c>
      <c r="CO667" s="1125">
        <f t="shared" si="817"/>
        <v>0.85</v>
      </c>
      <c r="CP667" s="1125">
        <f t="shared" si="818"/>
        <v>0.85</v>
      </c>
      <c r="CQ667" s="1125">
        <f t="shared" si="819"/>
        <v>0.85</v>
      </c>
      <c r="CR667" s="1125">
        <f t="shared" si="820"/>
        <v>0.85</v>
      </c>
      <c r="CS667" s="1125">
        <f t="shared" si="821"/>
        <v>0.85</v>
      </c>
      <c r="CT667" s="1125">
        <f t="shared" si="822"/>
        <v>0.85</v>
      </c>
      <c r="CU667" s="1125">
        <v>1</v>
      </c>
      <c r="CV667" s="1125"/>
      <c r="CW667" s="1125">
        <f t="shared" si="823"/>
        <v>62</v>
      </c>
      <c r="CX667" s="1125">
        <f t="shared" si="824"/>
        <v>303</v>
      </c>
      <c r="CY667" s="1136" t="s">
        <v>4880</v>
      </c>
      <c r="CZ667" s="1129">
        <v>8</v>
      </c>
      <c r="DA667" s="1129"/>
      <c r="DB667" s="1129"/>
      <c r="DC667" s="1125" t="s">
        <v>4950</v>
      </c>
      <c r="DD667" s="1125" t="s">
        <v>953</v>
      </c>
      <c r="DE667" s="1125" t="str">
        <f t="shared" si="825"/>
        <v/>
      </c>
      <c r="DF667" s="1125">
        <v>1</v>
      </c>
      <c r="DG667" s="1125">
        <v>0</v>
      </c>
    </row>
    <row r="668" spans="1:111">
      <c r="A668" s="1120" t="s">
        <v>4046</v>
      </c>
      <c r="B668" s="1120" t="s">
        <v>4520</v>
      </c>
      <c r="C668" s="1120" t="s">
        <v>4521</v>
      </c>
      <c r="D668" s="1120" t="s">
        <v>501</v>
      </c>
      <c r="E668" s="1120">
        <v>23</v>
      </c>
      <c r="F668" s="1120">
        <v>-76.2</v>
      </c>
      <c r="G668" s="1120">
        <v>36.9</v>
      </c>
      <c r="H668" s="1120">
        <v>-5</v>
      </c>
      <c r="I668" s="1121">
        <v>25.520000171661376</v>
      </c>
      <c r="J668" s="1121">
        <v>91.22000274658204</v>
      </c>
      <c r="K668" s="1122">
        <v>75.919999313354495</v>
      </c>
      <c r="L668" s="1120">
        <v>3272.4</v>
      </c>
      <c r="M668" s="1120">
        <v>1704.6000000000001</v>
      </c>
      <c r="N668" s="1123">
        <v>36.860000085830691</v>
      </c>
      <c r="O668" s="1123">
        <v>40.459999656677248</v>
      </c>
      <c r="P668" s="1123">
        <v>51.619999313354491</v>
      </c>
      <c r="Q668" s="1123">
        <v>58.640000343322754</v>
      </c>
      <c r="R668" s="1123">
        <v>66.560001373291016</v>
      </c>
      <c r="S668" s="1123">
        <v>75.739998626708982</v>
      </c>
      <c r="T668" s="1123">
        <v>79.519999313354489</v>
      </c>
      <c r="U668" s="1123">
        <v>79.16000137329101</v>
      </c>
      <c r="V668" s="1123">
        <v>71.239998626708982</v>
      </c>
      <c r="W668" s="1123">
        <v>60.440000343322751</v>
      </c>
      <c r="X668" s="1123">
        <v>54.5</v>
      </c>
      <c r="Y668" s="1123">
        <v>44.959999656677248</v>
      </c>
      <c r="Z668" s="1123">
        <v>60.079999900060159</v>
      </c>
      <c r="AA668" s="1123">
        <f t="shared" si="751"/>
        <v>54.746599015544689</v>
      </c>
      <c r="AB668" s="1123">
        <f t="shared" si="752"/>
        <v>54.334926879779673</v>
      </c>
      <c r="AC668" s="1123">
        <f t="shared" si="753"/>
        <v>56.984789023804744</v>
      </c>
      <c r="AD668" s="1123">
        <f t="shared" si="754"/>
        <v>62.005458044168037</v>
      </c>
      <c r="AE668" s="1123">
        <f t="shared" si="755"/>
        <v>68.088219189860268</v>
      </c>
      <c r="AF668" s="1123">
        <f t="shared" si="756"/>
        <v>73.647507030070074</v>
      </c>
      <c r="AG668" s="1123">
        <f t="shared" si="757"/>
        <v>77.234207518027887</v>
      </c>
      <c r="AH668" s="1123">
        <f t="shared" si="758"/>
        <v>77.913391898819924</v>
      </c>
      <c r="AI668" s="1123">
        <f t="shared" si="759"/>
        <v>75.508020297044581</v>
      </c>
      <c r="AJ668" s="1123">
        <f t="shared" si="760"/>
        <v>70.645089888603039</v>
      </c>
      <c r="AK668" s="1123">
        <f t="shared" si="761"/>
        <v>64.59219842448158</v>
      </c>
      <c r="AL668" s="1123">
        <f t="shared" si="762"/>
        <v>58.927125342684448</v>
      </c>
      <c r="AM668" s="1120">
        <f t="shared" si="763"/>
        <v>1</v>
      </c>
      <c r="AN668" s="1120">
        <f t="shared" si="764"/>
        <v>1</v>
      </c>
      <c r="AO668" s="1120">
        <f t="shared" si="765"/>
        <v>1</v>
      </c>
      <c r="AP668" s="1120">
        <f t="shared" si="766"/>
        <v>1</v>
      </c>
      <c r="AQ668" s="1120">
        <f t="shared" si="767"/>
        <v>0</v>
      </c>
      <c r="AR668" s="1120">
        <f t="shared" si="768"/>
        <v>0</v>
      </c>
      <c r="AS668" s="1120">
        <f t="shared" si="769"/>
        <v>0</v>
      </c>
      <c r="AT668" s="1120">
        <f t="shared" si="770"/>
        <v>0</v>
      </c>
      <c r="AU668" s="1120">
        <f t="shared" si="771"/>
        <v>0</v>
      </c>
      <c r="AV668" s="1120">
        <f t="shared" si="772"/>
        <v>1</v>
      </c>
      <c r="AW668" s="1120">
        <f t="shared" si="773"/>
        <v>1</v>
      </c>
      <c r="AX668" s="1120">
        <f t="shared" si="774"/>
        <v>1</v>
      </c>
      <c r="AY668" s="1120">
        <f t="shared" si="775"/>
        <v>0</v>
      </c>
      <c r="AZ668" s="1120">
        <f t="shared" si="776"/>
        <v>0</v>
      </c>
      <c r="BA668" s="1120">
        <f t="shared" si="777"/>
        <v>0</v>
      </c>
      <c r="BB668" s="1120">
        <f t="shared" si="778"/>
        <v>0</v>
      </c>
      <c r="BC668" s="1120">
        <f t="shared" si="779"/>
        <v>1</v>
      </c>
      <c r="BD668" s="1120">
        <f t="shared" si="780"/>
        <v>1</v>
      </c>
      <c r="BE668" s="1120">
        <f t="shared" si="781"/>
        <v>1</v>
      </c>
      <c r="BF668" s="1120">
        <f t="shared" si="782"/>
        <v>1</v>
      </c>
      <c r="BG668" s="1120">
        <f t="shared" si="783"/>
        <v>1</v>
      </c>
      <c r="BH668" s="1120">
        <f t="shared" si="784"/>
        <v>0</v>
      </c>
      <c r="BI668" s="1120">
        <f t="shared" si="785"/>
        <v>0</v>
      </c>
      <c r="BJ668" s="1120">
        <f t="shared" si="786"/>
        <v>0</v>
      </c>
      <c r="BK668" s="1120">
        <f t="shared" si="787"/>
        <v>1</v>
      </c>
      <c r="BL668" s="1120">
        <f t="shared" si="788"/>
        <v>1</v>
      </c>
      <c r="BM668" s="1120">
        <f t="shared" si="789"/>
        <v>1</v>
      </c>
      <c r="BN668" s="1120">
        <f t="shared" si="790"/>
        <v>1</v>
      </c>
      <c r="BO668" s="1120">
        <f t="shared" si="791"/>
        <v>1</v>
      </c>
      <c r="BP668" s="1120">
        <f t="shared" si="792"/>
        <v>0</v>
      </c>
      <c r="BQ668" s="1120">
        <f t="shared" si="793"/>
        <v>0</v>
      </c>
      <c r="BR668" s="1120">
        <f t="shared" si="794"/>
        <v>0</v>
      </c>
      <c r="BS668" s="1120">
        <f t="shared" si="795"/>
        <v>0</v>
      </c>
      <c r="BT668" s="1120">
        <f t="shared" si="796"/>
        <v>1</v>
      </c>
      <c r="BU668" s="1120">
        <f t="shared" si="797"/>
        <v>1</v>
      </c>
      <c r="BV668" s="1120">
        <f t="shared" si="798"/>
        <v>1</v>
      </c>
      <c r="BW668" s="1120">
        <f t="shared" si="799"/>
        <v>0</v>
      </c>
      <c r="BX668" s="1120">
        <f t="shared" si="800"/>
        <v>0</v>
      </c>
      <c r="BY668" s="1120">
        <f t="shared" si="801"/>
        <v>0</v>
      </c>
      <c r="BZ668" s="1120">
        <f t="shared" si="802"/>
        <v>1</v>
      </c>
      <c r="CA668" s="1120">
        <f t="shared" si="803"/>
        <v>1</v>
      </c>
      <c r="CB668" s="1120">
        <f t="shared" si="804"/>
        <v>1</v>
      </c>
      <c r="CC668" s="1120">
        <f t="shared" si="805"/>
        <v>1</v>
      </c>
      <c r="CD668" s="1120">
        <f t="shared" si="806"/>
        <v>1</v>
      </c>
      <c r="CE668" s="1120">
        <f t="shared" si="807"/>
        <v>1</v>
      </c>
      <c r="CF668" s="1120">
        <f t="shared" si="808"/>
        <v>1</v>
      </c>
      <c r="CG668" s="1120">
        <f t="shared" si="809"/>
        <v>0</v>
      </c>
      <c r="CH668" s="1120">
        <f t="shared" si="810"/>
        <v>0</v>
      </c>
      <c r="CI668" s="1120">
        <f t="shared" si="811"/>
        <v>0.85</v>
      </c>
      <c r="CJ668" s="1120">
        <f t="shared" si="812"/>
        <v>0.85</v>
      </c>
      <c r="CK668" s="1120">
        <f t="shared" si="813"/>
        <v>0.85</v>
      </c>
      <c r="CL668" s="1120">
        <f t="shared" si="814"/>
        <v>0.85</v>
      </c>
      <c r="CM668" s="1120">
        <f t="shared" si="815"/>
        <v>0.85</v>
      </c>
      <c r="CN668" s="1120">
        <f t="shared" si="816"/>
        <v>0.7</v>
      </c>
      <c r="CO668" s="1120">
        <f t="shared" si="817"/>
        <v>0.7</v>
      </c>
      <c r="CP668" s="1120">
        <f t="shared" si="818"/>
        <v>0.7</v>
      </c>
      <c r="CQ668" s="1120">
        <f t="shared" si="819"/>
        <v>0.7</v>
      </c>
      <c r="CR668" s="1120">
        <f t="shared" si="820"/>
        <v>0.85</v>
      </c>
      <c r="CS668" s="1120">
        <f t="shared" si="821"/>
        <v>0.85</v>
      </c>
      <c r="CT668" s="1120">
        <f t="shared" si="822"/>
        <v>0.85</v>
      </c>
      <c r="CU668" s="1120">
        <v>1</v>
      </c>
      <c r="CV668" s="1120"/>
      <c r="CW668" s="1120">
        <f t="shared" si="823"/>
        <v>214</v>
      </c>
      <c r="CX668" s="1120">
        <f t="shared" si="824"/>
        <v>151</v>
      </c>
      <c r="CY668" s="1135" t="s">
        <v>4881</v>
      </c>
      <c r="CZ668" s="1124" t="s">
        <v>4885</v>
      </c>
      <c r="DA668" s="1124"/>
      <c r="DB668" s="1124"/>
      <c r="DC668" s="1120" t="s">
        <v>5636</v>
      </c>
      <c r="DD668" s="1120" t="s">
        <v>501</v>
      </c>
      <c r="DE668" s="1120" t="str">
        <f t="shared" si="825"/>
        <v/>
      </c>
      <c r="DF668" s="1133">
        <v>1</v>
      </c>
      <c r="DG668" s="1120">
        <v>0</v>
      </c>
    </row>
    <row r="669" spans="1:111">
      <c r="A669" s="1125" t="s">
        <v>815</v>
      </c>
      <c r="B669" s="1125" t="s">
        <v>4018</v>
      </c>
      <c r="C669" s="1125" t="s">
        <v>4019</v>
      </c>
      <c r="D669" s="1125" t="s">
        <v>771</v>
      </c>
      <c r="E669" s="1125">
        <v>1548</v>
      </c>
      <c r="F669" s="1125">
        <v>-97.43</v>
      </c>
      <c r="G669" s="1125">
        <v>41.98</v>
      </c>
      <c r="H669" s="1125">
        <v>-6</v>
      </c>
      <c r="I669" s="1126">
        <v>-2.3800006866455088</v>
      </c>
      <c r="J669" s="1126">
        <v>91.579997253417972</v>
      </c>
      <c r="K669" s="1127">
        <v>73.219999313354492</v>
      </c>
      <c r="L669" s="1125">
        <v>6822</v>
      </c>
      <c r="M669" s="1125">
        <v>1060.2</v>
      </c>
      <c r="N669" s="1128">
        <v>16.340000343322753</v>
      </c>
      <c r="O669" s="1128">
        <v>24.440000343322755</v>
      </c>
      <c r="P669" s="1128">
        <v>37.4</v>
      </c>
      <c r="Q669" s="1128">
        <v>51.259999656677245</v>
      </c>
      <c r="R669" s="1128">
        <v>61.339998626708983</v>
      </c>
      <c r="S669" s="1128">
        <v>70.7</v>
      </c>
      <c r="T669" s="1128">
        <v>77</v>
      </c>
      <c r="U669" s="1128">
        <v>72.5</v>
      </c>
      <c r="V669" s="1128">
        <v>65.119999313354498</v>
      </c>
      <c r="W669" s="1128">
        <v>51.080000686645505</v>
      </c>
      <c r="X669" s="1128">
        <v>32.360000005364419</v>
      </c>
      <c r="Y669" s="1128">
        <v>22.1</v>
      </c>
      <c r="Z669" s="1128">
        <v>48.597479365018948</v>
      </c>
      <c r="AA669" s="1128">
        <f t="shared" si="751"/>
        <v>42.880532487599154</v>
      </c>
      <c r="AB669" s="1128">
        <f t="shared" si="752"/>
        <v>41.071388465969548</v>
      </c>
      <c r="AC669" s="1128">
        <f t="shared" si="753"/>
        <v>42.788028480547453</v>
      </c>
      <c r="AD669" s="1128">
        <f t="shared" si="754"/>
        <v>47.582983857309756</v>
      </c>
      <c r="AE669" s="1128">
        <f t="shared" si="755"/>
        <v>54.206375584804285</v>
      </c>
      <c r="AF669" s="1128">
        <f t="shared" si="756"/>
        <v>60.931714539703457</v>
      </c>
      <c r="AG669" s="1128">
        <f t="shared" si="757"/>
        <v>66.005937482802338</v>
      </c>
      <c r="AH669" s="1128">
        <f t="shared" si="758"/>
        <v>68.106370007839672</v>
      </c>
      <c r="AI669" s="1128">
        <f t="shared" si="759"/>
        <v>66.685502008519464</v>
      </c>
      <c r="AJ669" s="1128">
        <f t="shared" si="760"/>
        <v>62.113704625103203</v>
      </c>
      <c r="AK669" s="1128">
        <f t="shared" si="761"/>
        <v>55.58268729910862</v>
      </c>
      <c r="AL669" s="1128">
        <f t="shared" si="762"/>
        <v>48.794860342579739</v>
      </c>
      <c r="AM669" s="1125">
        <f t="shared" si="763"/>
        <v>1</v>
      </c>
      <c r="AN669" s="1125">
        <f t="shared" si="764"/>
        <v>1</v>
      </c>
      <c r="AO669" s="1125">
        <f t="shared" si="765"/>
        <v>1</v>
      </c>
      <c r="AP669" s="1125">
        <f t="shared" si="766"/>
        <v>1</v>
      </c>
      <c r="AQ669" s="1125">
        <f t="shared" si="767"/>
        <v>1</v>
      </c>
      <c r="AR669" s="1125">
        <f t="shared" si="768"/>
        <v>0</v>
      </c>
      <c r="AS669" s="1125">
        <f t="shared" si="769"/>
        <v>0</v>
      </c>
      <c r="AT669" s="1125">
        <f t="shared" si="770"/>
        <v>0</v>
      </c>
      <c r="AU669" s="1125">
        <f t="shared" si="771"/>
        <v>1</v>
      </c>
      <c r="AV669" s="1125">
        <f t="shared" si="772"/>
        <v>1</v>
      </c>
      <c r="AW669" s="1125">
        <f t="shared" si="773"/>
        <v>1</v>
      </c>
      <c r="AX669" s="1125">
        <f t="shared" si="774"/>
        <v>1</v>
      </c>
      <c r="AY669" s="1125">
        <f t="shared" si="775"/>
        <v>0</v>
      </c>
      <c r="AZ669" s="1125">
        <f t="shared" si="776"/>
        <v>0</v>
      </c>
      <c r="BA669" s="1125">
        <f t="shared" si="777"/>
        <v>0</v>
      </c>
      <c r="BB669" s="1125">
        <f t="shared" si="778"/>
        <v>0</v>
      </c>
      <c r="BC669" s="1125">
        <f t="shared" si="779"/>
        <v>0</v>
      </c>
      <c r="BD669" s="1125">
        <f t="shared" si="780"/>
        <v>1</v>
      </c>
      <c r="BE669" s="1125">
        <f t="shared" si="781"/>
        <v>1</v>
      </c>
      <c r="BF669" s="1125">
        <f t="shared" si="782"/>
        <v>1</v>
      </c>
      <c r="BG669" s="1125">
        <f t="shared" si="783"/>
        <v>0</v>
      </c>
      <c r="BH669" s="1125">
        <f t="shared" si="784"/>
        <v>0</v>
      </c>
      <c r="BI669" s="1125">
        <f t="shared" si="785"/>
        <v>0</v>
      </c>
      <c r="BJ669" s="1125">
        <f t="shared" si="786"/>
        <v>0</v>
      </c>
      <c r="BK669" s="1125">
        <f t="shared" si="787"/>
        <v>1</v>
      </c>
      <c r="BL669" s="1125">
        <f t="shared" si="788"/>
        <v>1</v>
      </c>
      <c r="BM669" s="1125">
        <f t="shared" si="789"/>
        <v>1</v>
      </c>
      <c r="BN669" s="1125">
        <f t="shared" si="790"/>
        <v>1</v>
      </c>
      <c r="BO669" s="1125">
        <f t="shared" si="791"/>
        <v>1</v>
      </c>
      <c r="BP669" s="1125">
        <f t="shared" si="792"/>
        <v>1</v>
      </c>
      <c r="BQ669" s="1125">
        <f t="shared" si="793"/>
        <v>0</v>
      </c>
      <c r="BR669" s="1125">
        <f t="shared" si="794"/>
        <v>0</v>
      </c>
      <c r="BS669" s="1125">
        <f t="shared" si="795"/>
        <v>1</v>
      </c>
      <c r="BT669" s="1125">
        <f t="shared" si="796"/>
        <v>1</v>
      </c>
      <c r="BU669" s="1125">
        <f t="shared" si="797"/>
        <v>1</v>
      </c>
      <c r="BV669" s="1125">
        <f t="shared" si="798"/>
        <v>1</v>
      </c>
      <c r="BW669" s="1125">
        <f t="shared" si="799"/>
        <v>0</v>
      </c>
      <c r="BX669" s="1125">
        <f t="shared" si="800"/>
        <v>0</v>
      </c>
      <c r="BY669" s="1125">
        <f t="shared" si="801"/>
        <v>0</v>
      </c>
      <c r="BZ669" s="1125">
        <f t="shared" si="802"/>
        <v>0</v>
      </c>
      <c r="CA669" s="1125">
        <f t="shared" si="803"/>
        <v>1</v>
      </c>
      <c r="CB669" s="1125">
        <f t="shared" si="804"/>
        <v>1</v>
      </c>
      <c r="CC669" s="1125">
        <f t="shared" si="805"/>
        <v>1</v>
      </c>
      <c r="CD669" s="1125">
        <f t="shared" si="806"/>
        <v>1</v>
      </c>
      <c r="CE669" s="1125">
        <f t="shared" si="807"/>
        <v>1</v>
      </c>
      <c r="CF669" s="1125">
        <f t="shared" si="808"/>
        <v>0</v>
      </c>
      <c r="CG669" s="1125">
        <f t="shared" si="809"/>
        <v>0</v>
      </c>
      <c r="CH669" s="1125">
        <f t="shared" si="810"/>
        <v>0</v>
      </c>
      <c r="CI669" s="1125">
        <f t="shared" si="811"/>
        <v>0.85</v>
      </c>
      <c r="CJ669" s="1125">
        <f t="shared" si="812"/>
        <v>0.85</v>
      </c>
      <c r="CK669" s="1125">
        <f t="shared" si="813"/>
        <v>0.85</v>
      </c>
      <c r="CL669" s="1125">
        <f t="shared" si="814"/>
        <v>0.85</v>
      </c>
      <c r="CM669" s="1125">
        <f t="shared" si="815"/>
        <v>0.85</v>
      </c>
      <c r="CN669" s="1125">
        <f t="shared" si="816"/>
        <v>0.85</v>
      </c>
      <c r="CO669" s="1125">
        <f t="shared" si="817"/>
        <v>0.7</v>
      </c>
      <c r="CP669" s="1125">
        <f t="shared" si="818"/>
        <v>0.7</v>
      </c>
      <c r="CQ669" s="1125">
        <f t="shared" si="819"/>
        <v>0.85</v>
      </c>
      <c r="CR669" s="1125">
        <f t="shared" si="820"/>
        <v>0.85</v>
      </c>
      <c r="CS669" s="1125">
        <f t="shared" si="821"/>
        <v>0.85</v>
      </c>
      <c r="CT669" s="1125">
        <f t="shared" si="822"/>
        <v>0.85</v>
      </c>
      <c r="CU669" s="1125">
        <v>1</v>
      </c>
      <c r="CV669" s="1125"/>
      <c r="CW669" s="1125">
        <f t="shared" si="823"/>
        <v>153</v>
      </c>
      <c r="CX669" s="1125">
        <f t="shared" si="824"/>
        <v>212</v>
      </c>
      <c r="CY669" s="1135" t="s">
        <v>4889</v>
      </c>
      <c r="CZ669" s="1124" t="s">
        <v>4897</v>
      </c>
      <c r="DA669" s="1124"/>
      <c r="DB669" s="1124"/>
      <c r="DC669" s="1120" t="s">
        <v>5424</v>
      </c>
      <c r="DD669" s="1120" t="s">
        <v>771</v>
      </c>
      <c r="DE669" s="1120" t="str">
        <f t="shared" si="825"/>
        <v/>
      </c>
      <c r="DF669" s="1133">
        <v>1</v>
      </c>
      <c r="DG669" s="1125">
        <v>0</v>
      </c>
    </row>
    <row r="670" spans="1:111">
      <c r="A670" s="1120" t="s">
        <v>4048</v>
      </c>
      <c r="B670" s="1125" t="s">
        <v>4522</v>
      </c>
      <c r="C670" s="1125" t="s">
        <v>4523</v>
      </c>
      <c r="D670" s="1125" t="s">
        <v>501</v>
      </c>
      <c r="E670" s="1125">
        <v>33</v>
      </c>
      <c r="F670" s="1125">
        <v>-76.28</v>
      </c>
      <c r="G670" s="1125">
        <v>36.950000000000003</v>
      </c>
      <c r="H670" s="1125">
        <v>-5</v>
      </c>
      <c r="I670" s="1126">
        <v>26.779999828338624</v>
      </c>
      <c r="J670" s="1126">
        <v>91.22000274658204</v>
      </c>
      <c r="K670" s="1127">
        <v>76.639998626708987</v>
      </c>
      <c r="L670" s="1125">
        <v>2916</v>
      </c>
      <c r="M670" s="1125">
        <v>1717.2</v>
      </c>
      <c r="N670" s="1128">
        <v>42.440000343322751</v>
      </c>
      <c r="O670" s="1128">
        <v>42.8</v>
      </c>
      <c r="P670" s="1128">
        <v>53.780000686645508</v>
      </c>
      <c r="Q670" s="1128">
        <v>62.6</v>
      </c>
      <c r="R670" s="1128">
        <v>65.66000137329101</v>
      </c>
      <c r="S670" s="1128">
        <v>77.180000686645513</v>
      </c>
      <c r="T670" s="1128">
        <v>77.719999313354492</v>
      </c>
      <c r="U670" s="1128">
        <v>77.360001373291013</v>
      </c>
      <c r="V670" s="1128">
        <v>72.5</v>
      </c>
      <c r="W670" s="1128">
        <v>62.6</v>
      </c>
      <c r="X670" s="1128">
        <v>50.180000686645506</v>
      </c>
      <c r="Y670" s="1128">
        <v>47.480000686645511</v>
      </c>
      <c r="Z670" s="1128">
        <v>61.124493584306272</v>
      </c>
      <c r="AA670" s="1128">
        <f t="shared" si="751"/>
        <v>57.520763290380039</v>
      </c>
      <c r="AB670" s="1128">
        <f t="shared" si="752"/>
        <v>57.266283089270615</v>
      </c>
      <c r="AC670" s="1128">
        <f t="shared" si="753"/>
        <v>59.581497373314527</v>
      </c>
      <c r="AD670" s="1128">
        <f t="shared" si="754"/>
        <v>63.862909860843637</v>
      </c>
      <c r="AE670" s="1128">
        <f t="shared" si="755"/>
        <v>68.9945044084199</v>
      </c>
      <c r="AF670" s="1128">
        <f t="shared" si="756"/>
        <v>73.638651816951835</v>
      </c>
      <c r="AG670" s="1128">
        <f t="shared" si="757"/>
        <v>76.584783495927667</v>
      </c>
      <c r="AH670" s="1128">
        <f t="shared" si="758"/>
        <v>77.064944821958903</v>
      </c>
      <c r="AI670" s="1128">
        <f t="shared" si="759"/>
        <v>74.953974345905465</v>
      </c>
      <c r="AJ670" s="1128">
        <f t="shared" si="760"/>
        <v>70.802129053390445</v>
      </c>
      <c r="AK670" s="1128">
        <f t="shared" si="761"/>
        <v>65.691651401780547</v>
      </c>
      <c r="AL670" s="1128">
        <f t="shared" si="762"/>
        <v>60.954666145812375</v>
      </c>
      <c r="AM670" s="1125">
        <f t="shared" si="763"/>
        <v>1</v>
      </c>
      <c r="AN670" s="1125">
        <f t="shared" si="764"/>
        <v>1</v>
      </c>
      <c r="AO670" s="1125">
        <f t="shared" si="765"/>
        <v>1</v>
      </c>
      <c r="AP670" s="1125">
        <f t="shared" si="766"/>
        <v>1</v>
      </c>
      <c r="AQ670" s="1125">
        <f t="shared" si="767"/>
        <v>1</v>
      </c>
      <c r="AR670" s="1125">
        <f t="shared" si="768"/>
        <v>0</v>
      </c>
      <c r="AS670" s="1125">
        <f t="shared" si="769"/>
        <v>0</v>
      </c>
      <c r="AT670" s="1125">
        <f t="shared" si="770"/>
        <v>0</v>
      </c>
      <c r="AU670" s="1125">
        <f t="shared" si="771"/>
        <v>0</v>
      </c>
      <c r="AV670" s="1125">
        <f t="shared" si="772"/>
        <v>1</v>
      </c>
      <c r="AW670" s="1125">
        <f t="shared" si="773"/>
        <v>1</v>
      </c>
      <c r="AX670" s="1125">
        <f t="shared" si="774"/>
        <v>1</v>
      </c>
      <c r="AY670" s="1125">
        <f t="shared" si="775"/>
        <v>0</v>
      </c>
      <c r="AZ670" s="1125">
        <f t="shared" si="776"/>
        <v>0</v>
      </c>
      <c r="BA670" s="1125">
        <f t="shared" si="777"/>
        <v>0</v>
      </c>
      <c r="BB670" s="1125">
        <f t="shared" si="778"/>
        <v>0</v>
      </c>
      <c r="BC670" s="1125">
        <f t="shared" si="779"/>
        <v>0</v>
      </c>
      <c r="BD670" s="1125">
        <f t="shared" si="780"/>
        <v>1</v>
      </c>
      <c r="BE670" s="1125">
        <f t="shared" si="781"/>
        <v>1</v>
      </c>
      <c r="BF670" s="1125">
        <f t="shared" si="782"/>
        <v>1</v>
      </c>
      <c r="BG670" s="1125">
        <f t="shared" si="783"/>
        <v>1</v>
      </c>
      <c r="BH670" s="1125">
        <f t="shared" si="784"/>
        <v>0</v>
      </c>
      <c r="BI670" s="1125">
        <f t="shared" si="785"/>
        <v>0</v>
      </c>
      <c r="BJ670" s="1125">
        <f t="shared" si="786"/>
        <v>0</v>
      </c>
      <c r="BK670" s="1125">
        <f t="shared" si="787"/>
        <v>1</v>
      </c>
      <c r="BL670" s="1125">
        <f t="shared" si="788"/>
        <v>1</v>
      </c>
      <c r="BM670" s="1125">
        <f t="shared" si="789"/>
        <v>1</v>
      </c>
      <c r="BN670" s="1125">
        <f t="shared" si="790"/>
        <v>1</v>
      </c>
      <c r="BO670" s="1125">
        <f t="shared" si="791"/>
        <v>1</v>
      </c>
      <c r="BP670" s="1125">
        <f t="shared" si="792"/>
        <v>1</v>
      </c>
      <c r="BQ670" s="1125">
        <f t="shared" si="793"/>
        <v>0</v>
      </c>
      <c r="BR670" s="1125">
        <f t="shared" si="794"/>
        <v>0</v>
      </c>
      <c r="BS670" s="1125">
        <f t="shared" si="795"/>
        <v>0</v>
      </c>
      <c r="BT670" s="1125">
        <f t="shared" si="796"/>
        <v>1</v>
      </c>
      <c r="BU670" s="1125">
        <f t="shared" si="797"/>
        <v>1</v>
      </c>
      <c r="BV670" s="1125">
        <f t="shared" si="798"/>
        <v>1</v>
      </c>
      <c r="BW670" s="1125">
        <f t="shared" si="799"/>
        <v>0</v>
      </c>
      <c r="BX670" s="1125">
        <f t="shared" si="800"/>
        <v>0</v>
      </c>
      <c r="BY670" s="1125">
        <f t="shared" si="801"/>
        <v>0</v>
      </c>
      <c r="BZ670" s="1125">
        <f t="shared" si="802"/>
        <v>0</v>
      </c>
      <c r="CA670" s="1125">
        <f t="shared" si="803"/>
        <v>1</v>
      </c>
      <c r="CB670" s="1125">
        <f t="shared" si="804"/>
        <v>1</v>
      </c>
      <c r="CC670" s="1125">
        <f t="shared" si="805"/>
        <v>1</v>
      </c>
      <c r="CD670" s="1125">
        <f t="shared" si="806"/>
        <v>1</v>
      </c>
      <c r="CE670" s="1125">
        <f t="shared" si="807"/>
        <v>1</v>
      </c>
      <c r="CF670" s="1125">
        <f t="shared" si="808"/>
        <v>1</v>
      </c>
      <c r="CG670" s="1125">
        <f t="shared" si="809"/>
        <v>0</v>
      </c>
      <c r="CH670" s="1125">
        <f t="shared" si="810"/>
        <v>0</v>
      </c>
      <c r="CI670" s="1125">
        <f t="shared" si="811"/>
        <v>0.85</v>
      </c>
      <c r="CJ670" s="1125">
        <f t="shared" si="812"/>
        <v>0.85</v>
      </c>
      <c r="CK670" s="1125">
        <f t="shared" si="813"/>
        <v>0.85</v>
      </c>
      <c r="CL670" s="1125">
        <f t="shared" si="814"/>
        <v>0.85</v>
      </c>
      <c r="CM670" s="1125">
        <f t="shared" si="815"/>
        <v>0.85</v>
      </c>
      <c r="CN670" s="1125">
        <f t="shared" si="816"/>
        <v>0.85</v>
      </c>
      <c r="CO670" s="1125">
        <f t="shared" si="817"/>
        <v>0.7</v>
      </c>
      <c r="CP670" s="1125">
        <f t="shared" si="818"/>
        <v>0.7</v>
      </c>
      <c r="CQ670" s="1125">
        <f t="shared" si="819"/>
        <v>0.7</v>
      </c>
      <c r="CR670" s="1125">
        <f t="shared" si="820"/>
        <v>0.85</v>
      </c>
      <c r="CS670" s="1125">
        <f t="shared" si="821"/>
        <v>0.85</v>
      </c>
      <c r="CT670" s="1125">
        <f t="shared" si="822"/>
        <v>0.85</v>
      </c>
      <c r="CU670" s="1125">
        <v>1</v>
      </c>
      <c r="CV670" s="1125"/>
      <c r="CW670" s="1125">
        <f t="shared" si="823"/>
        <v>184</v>
      </c>
      <c r="CX670" s="1125">
        <f t="shared" si="824"/>
        <v>181</v>
      </c>
      <c r="CY670" s="1136" t="s">
        <v>4881</v>
      </c>
      <c r="CZ670" s="1129" t="s">
        <v>4885</v>
      </c>
      <c r="DA670" s="1129"/>
      <c r="DB670" s="1129"/>
      <c r="DC670" s="1125" t="s">
        <v>5637</v>
      </c>
      <c r="DD670" s="1125" t="s">
        <v>501</v>
      </c>
      <c r="DE670" s="1120" t="str">
        <f t="shared" si="825"/>
        <v/>
      </c>
      <c r="DF670" s="1133">
        <v>1</v>
      </c>
      <c r="DG670" s="1120">
        <v>0</v>
      </c>
    </row>
    <row r="671" spans="1:111">
      <c r="A671" s="1125" t="s">
        <v>4050</v>
      </c>
      <c r="B671" s="1125" t="s">
        <v>3663</v>
      </c>
      <c r="C671" s="1125" t="s">
        <v>3664</v>
      </c>
      <c r="D671" s="1125" t="s">
        <v>250</v>
      </c>
      <c r="E671" s="1125">
        <v>659</v>
      </c>
      <c r="F671" s="1125">
        <v>-73.17</v>
      </c>
      <c r="G671" s="1125">
        <v>42.7</v>
      </c>
      <c r="H671" s="1125">
        <v>-5</v>
      </c>
      <c r="I671" s="1126">
        <v>3.0199993133544916</v>
      </c>
      <c r="J671" s="1126">
        <v>87.980000686645511</v>
      </c>
      <c r="K671" s="1127">
        <v>71.780000686645508</v>
      </c>
      <c r="L671" s="1125">
        <v>6366.6</v>
      </c>
      <c r="M671" s="1125">
        <v>343.8</v>
      </c>
      <c r="N671" s="1128">
        <v>24.259999656677245</v>
      </c>
      <c r="O671" s="1128">
        <v>30.019999957084657</v>
      </c>
      <c r="P671" s="1128">
        <v>37.4</v>
      </c>
      <c r="Q671" s="1128">
        <v>46.4</v>
      </c>
      <c r="R671" s="1128">
        <v>54.319999313354494</v>
      </c>
      <c r="S671" s="1128">
        <v>64.219999313354492</v>
      </c>
      <c r="T671" s="1128">
        <v>65.3</v>
      </c>
      <c r="U671" s="1128">
        <v>67.099999999999994</v>
      </c>
      <c r="V671" s="1128">
        <v>62.060001373291016</v>
      </c>
      <c r="W671" s="1128">
        <v>51.8</v>
      </c>
      <c r="X671" s="1128">
        <v>43.7</v>
      </c>
      <c r="Y671" s="1128">
        <v>27.139999914169312</v>
      </c>
      <c r="Z671" s="1128">
        <v>47.887342424131418</v>
      </c>
      <c r="AA671" s="1128">
        <f t="shared" si="751"/>
        <v>45.80223674088829</v>
      </c>
      <c r="AB671" s="1128">
        <f t="shared" si="752"/>
        <v>44.488396846882694</v>
      </c>
      <c r="AC671" s="1128">
        <f t="shared" si="753"/>
        <v>45.624536959722654</v>
      </c>
      <c r="AD671" s="1128">
        <f t="shared" si="754"/>
        <v>48.914504650547322</v>
      </c>
      <c r="AE671" s="1128">
        <f t="shared" si="755"/>
        <v>53.50071914080646</v>
      </c>
      <c r="AF671" s="1128">
        <f t="shared" si="756"/>
        <v>58.187712947909397</v>
      </c>
      <c r="AG671" s="1128">
        <f t="shared" si="757"/>
        <v>61.753748907273831</v>
      </c>
      <c r="AH671" s="1128">
        <f t="shared" si="758"/>
        <v>63.269284791813838</v>
      </c>
      <c r="AI671" s="1128">
        <f t="shared" si="759"/>
        <v>62.339272818109137</v>
      </c>
      <c r="AJ671" s="1128">
        <f t="shared" si="760"/>
        <v>59.206134939024189</v>
      </c>
      <c r="AK671" s="1128">
        <f t="shared" si="761"/>
        <v>54.686571825858735</v>
      </c>
      <c r="AL671" s="1128">
        <f t="shared" si="762"/>
        <v>49.958677252635148</v>
      </c>
      <c r="AM671" s="1125">
        <f t="shared" si="763"/>
        <v>1</v>
      </c>
      <c r="AN671" s="1125">
        <f t="shared" si="764"/>
        <v>1</v>
      </c>
      <c r="AO671" s="1125">
        <f t="shared" si="765"/>
        <v>1</v>
      </c>
      <c r="AP671" s="1125">
        <f t="shared" si="766"/>
        <v>1</v>
      </c>
      <c r="AQ671" s="1125">
        <f t="shared" si="767"/>
        <v>1</v>
      </c>
      <c r="AR671" s="1125">
        <f t="shared" si="768"/>
        <v>1</v>
      </c>
      <c r="AS671" s="1125">
        <f t="shared" si="769"/>
        <v>1</v>
      </c>
      <c r="AT671" s="1125">
        <f t="shared" si="770"/>
        <v>0</v>
      </c>
      <c r="AU671" s="1125">
        <f t="shared" si="771"/>
        <v>1</v>
      </c>
      <c r="AV671" s="1125">
        <f t="shared" si="772"/>
        <v>1</v>
      </c>
      <c r="AW671" s="1125">
        <f t="shared" si="773"/>
        <v>1</v>
      </c>
      <c r="AX671" s="1125">
        <f t="shared" si="774"/>
        <v>1</v>
      </c>
      <c r="AY671" s="1125">
        <f t="shared" si="775"/>
        <v>0</v>
      </c>
      <c r="AZ671" s="1125">
        <f t="shared" si="776"/>
        <v>0</v>
      </c>
      <c r="BA671" s="1125">
        <f t="shared" si="777"/>
        <v>0</v>
      </c>
      <c r="BB671" s="1125">
        <f t="shared" si="778"/>
        <v>0</v>
      </c>
      <c r="BC671" s="1125">
        <f t="shared" si="779"/>
        <v>0</v>
      </c>
      <c r="BD671" s="1125">
        <f t="shared" si="780"/>
        <v>0</v>
      </c>
      <c r="BE671" s="1125">
        <f t="shared" si="781"/>
        <v>1</v>
      </c>
      <c r="BF671" s="1125">
        <f t="shared" si="782"/>
        <v>1</v>
      </c>
      <c r="BG671" s="1125">
        <f t="shared" si="783"/>
        <v>0</v>
      </c>
      <c r="BH671" s="1125">
        <f t="shared" si="784"/>
        <v>0</v>
      </c>
      <c r="BI671" s="1125">
        <f t="shared" si="785"/>
        <v>0</v>
      </c>
      <c r="BJ671" s="1125">
        <f t="shared" si="786"/>
        <v>0</v>
      </c>
      <c r="BK671" s="1125">
        <f t="shared" si="787"/>
        <v>1</v>
      </c>
      <c r="BL671" s="1125">
        <f t="shared" si="788"/>
        <v>1</v>
      </c>
      <c r="BM671" s="1125">
        <f t="shared" si="789"/>
        <v>1</v>
      </c>
      <c r="BN671" s="1125">
        <f t="shared" si="790"/>
        <v>1</v>
      </c>
      <c r="BO671" s="1125">
        <f t="shared" si="791"/>
        <v>1</v>
      </c>
      <c r="BP671" s="1125">
        <f t="shared" si="792"/>
        <v>1</v>
      </c>
      <c r="BQ671" s="1125">
        <f t="shared" si="793"/>
        <v>1</v>
      </c>
      <c r="BR671" s="1125">
        <f t="shared" si="794"/>
        <v>0</v>
      </c>
      <c r="BS671" s="1125">
        <f t="shared" si="795"/>
        <v>1</v>
      </c>
      <c r="BT671" s="1125">
        <f t="shared" si="796"/>
        <v>1</v>
      </c>
      <c r="BU671" s="1125">
        <f t="shared" si="797"/>
        <v>1</v>
      </c>
      <c r="BV671" s="1125">
        <f t="shared" si="798"/>
        <v>1</v>
      </c>
      <c r="BW671" s="1125">
        <f t="shared" si="799"/>
        <v>0</v>
      </c>
      <c r="BX671" s="1125">
        <f t="shared" si="800"/>
        <v>0</v>
      </c>
      <c r="BY671" s="1125">
        <f t="shared" si="801"/>
        <v>0</v>
      </c>
      <c r="BZ671" s="1125">
        <f t="shared" si="802"/>
        <v>0</v>
      </c>
      <c r="CA671" s="1125">
        <f t="shared" si="803"/>
        <v>0</v>
      </c>
      <c r="CB671" s="1125">
        <f t="shared" si="804"/>
        <v>0</v>
      </c>
      <c r="CC671" s="1125">
        <f t="shared" si="805"/>
        <v>1</v>
      </c>
      <c r="CD671" s="1125">
        <f t="shared" si="806"/>
        <v>1</v>
      </c>
      <c r="CE671" s="1125">
        <f t="shared" si="807"/>
        <v>1</v>
      </c>
      <c r="CF671" s="1125">
        <f t="shared" si="808"/>
        <v>0</v>
      </c>
      <c r="CG671" s="1125">
        <f t="shared" si="809"/>
        <v>0</v>
      </c>
      <c r="CH671" s="1125">
        <f t="shared" si="810"/>
        <v>0</v>
      </c>
      <c r="CI671" s="1125">
        <f t="shared" si="811"/>
        <v>0.85</v>
      </c>
      <c r="CJ671" s="1125">
        <f t="shared" si="812"/>
        <v>0.85</v>
      </c>
      <c r="CK671" s="1125">
        <f t="shared" si="813"/>
        <v>0.85</v>
      </c>
      <c r="CL671" s="1125">
        <f t="shared" si="814"/>
        <v>0.85</v>
      </c>
      <c r="CM671" s="1125">
        <f t="shared" si="815"/>
        <v>0.85</v>
      </c>
      <c r="CN671" s="1125">
        <f t="shared" si="816"/>
        <v>0.85</v>
      </c>
      <c r="CO671" s="1125">
        <f t="shared" si="817"/>
        <v>0.85</v>
      </c>
      <c r="CP671" s="1125">
        <f t="shared" si="818"/>
        <v>0.7</v>
      </c>
      <c r="CQ671" s="1125">
        <f t="shared" si="819"/>
        <v>0.85</v>
      </c>
      <c r="CR671" s="1125">
        <f t="shared" si="820"/>
        <v>0.85</v>
      </c>
      <c r="CS671" s="1125">
        <f t="shared" si="821"/>
        <v>0.85</v>
      </c>
      <c r="CT671" s="1125">
        <f t="shared" si="822"/>
        <v>0.85</v>
      </c>
      <c r="CU671" s="1125">
        <v>1</v>
      </c>
      <c r="CV671" s="1125"/>
      <c r="CW671" s="1125">
        <f t="shared" si="823"/>
        <v>92</v>
      </c>
      <c r="CX671" s="1125">
        <f t="shared" si="824"/>
        <v>273</v>
      </c>
      <c r="CY671" s="1136" t="s">
        <v>4889</v>
      </c>
      <c r="CZ671" s="1129" t="s">
        <v>4897</v>
      </c>
      <c r="DA671" s="1129"/>
      <c r="DB671" s="1129"/>
      <c r="DC671" s="1125" t="s">
        <v>5273</v>
      </c>
      <c r="DD671" s="1125" t="s">
        <v>250</v>
      </c>
      <c r="DE671" s="1120" t="str">
        <f t="shared" si="825"/>
        <v/>
      </c>
      <c r="DF671" s="1133">
        <v>0</v>
      </c>
      <c r="DG671" s="1125">
        <v>0</v>
      </c>
    </row>
    <row r="672" spans="1:111">
      <c r="A672" s="1120" t="s">
        <v>4052</v>
      </c>
      <c r="B672" s="1125" t="s">
        <v>4238</v>
      </c>
      <c r="C672" s="1125" t="s">
        <v>4239</v>
      </c>
      <c r="D672" s="1125" t="s">
        <v>427</v>
      </c>
      <c r="E672" s="1125">
        <v>7</v>
      </c>
      <c r="F672" s="1125">
        <v>-124.25</v>
      </c>
      <c r="G672" s="1125">
        <v>43.42</v>
      </c>
      <c r="H672" s="1125">
        <v>-8</v>
      </c>
      <c r="I672" s="1126">
        <v>33.619999957084659</v>
      </c>
      <c r="J672" s="1126">
        <v>69.260001373291018</v>
      </c>
      <c r="K672" s="1127">
        <v>59.9</v>
      </c>
      <c r="L672" s="1125">
        <v>4453.2</v>
      </c>
      <c r="M672" s="1125">
        <v>0</v>
      </c>
      <c r="N672" s="1128">
        <v>45.320000171661377</v>
      </c>
      <c r="O672" s="1128">
        <v>47.3</v>
      </c>
      <c r="P672" s="1128">
        <v>48.740000343322755</v>
      </c>
      <c r="Q672" s="1128">
        <v>50.359999656677246</v>
      </c>
      <c r="R672" s="1128">
        <v>53.780000686645508</v>
      </c>
      <c r="S672" s="1128">
        <v>56.119999313354491</v>
      </c>
      <c r="T672" s="1128">
        <v>59.180000686645506</v>
      </c>
      <c r="U672" s="1128">
        <v>59.540000343322752</v>
      </c>
      <c r="V672" s="1128">
        <v>57.740000343322755</v>
      </c>
      <c r="W672" s="1128">
        <v>52.880000686645509</v>
      </c>
      <c r="X672" s="1128">
        <v>50</v>
      </c>
      <c r="Y672" s="1128">
        <v>44.959999656677248</v>
      </c>
      <c r="Z672" s="1128">
        <v>52.184657696501851</v>
      </c>
      <c r="AA672" s="1128">
        <f t="shared" si="751"/>
        <v>55.03941445870722</v>
      </c>
      <c r="AB672" s="1128">
        <f t="shared" si="752"/>
        <v>54.677269882797866</v>
      </c>
      <c r="AC672" s="1128">
        <f t="shared" si="753"/>
        <v>55.229379991012763</v>
      </c>
      <c r="AD672" s="1128">
        <f t="shared" si="754"/>
        <v>56.551828775371384</v>
      </c>
      <c r="AE672" s="1128">
        <f t="shared" si="755"/>
        <v>58.299899580678002</v>
      </c>
      <c r="AF672" s="1128">
        <f t="shared" si="756"/>
        <v>60.017930812942907</v>
      </c>
      <c r="AG672" s="1128">
        <f t="shared" si="757"/>
        <v>61.258091155813567</v>
      </c>
      <c r="AH672" s="1128">
        <f t="shared" si="758"/>
        <v>61.697113704471349</v>
      </c>
      <c r="AI672" s="1128">
        <f t="shared" si="759"/>
        <v>61.220560466066345</v>
      </c>
      <c r="AJ672" s="1128">
        <f t="shared" si="760"/>
        <v>59.95265238609651</v>
      </c>
      <c r="AK672" s="1128">
        <f t="shared" si="761"/>
        <v>58.223889244660946</v>
      </c>
      <c r="AL672" s="1128">
        <f t="shared" si="762"/>
        <v>56.484899795621253</v>
      </c>
      <c r="AM672" s="1125">
        <f t="shared" si="763"/>
        <v>1</v>
      </c>
      <c r="AN672" s="1125">
        <f t="shared" si="764"/>
        <v>1</v>
      </c>
      <c r="AO672" s="1125">
        <f t="shared" si="765"/>
        <v>1</v>
      </c>
      <c r="AP672" s="1125">
        <f t="shared" si="766"/>
        <v>1</v>
      </c>
      <c r="AQ672" s="1125">
        <f t="shared" si="767"/>
        <v>1</v>
      </c>
      <c r="AR672" s="1125">
        <f t="shared" si="768"/>
        <v>1</v>
      </c>
      <c r="AS672" s="1125">
        <f t="shared" si="769"/>
        <v>1</v>
      </c>
      <c r="AT672" s="1125">
        <f t="shared" si="770"/>
        <v>1</v>
      </c>
      <c r="AU672" s="1125">
        <f t="shared" si="771"/>
        <v>1</v>
      </c>
      <c r="AV672" s="1125">
        <f t="shared" si="772"/>
        <v>1</v>
      </c>
      <c r="AW672" s="1125">
        <f t="shared" si="773"/>
        <v>1</v>
      </c>
      <c r="AX672" s="1125">
        <f t="shared" si="774"/>
        <v>1</v>
      </c>
      <c r="AY672" s="1125">
        <f t="shared" si="775"/>
        <v>0</v>
      </c>
      <c r="AZ672" s="1125">
        <f t="shared" si="776"/>
        <v>0</v>
      </c>
      <c r="BA672" s="1125">
        <f t="shared" si="777"/>
        <v>0</v>
      </c>
      <c r="BB672" s="1125">
        <f t="shared" si="778"/>
        <v>0</v>
      </c>
      <c r="BC672" s="1125">
        <f t="shared" si="779"/>
        <v>0</v>
      </c>
      <c r="BD672" s="1125">
        <f t="shared" si="780"/>
        <v>0</v>
      </c>
      <c r="BE672" s="1125">
        <f t="shared" si="781"/>
        <v>1</v>
      </c>
      <c r="BF672" s="1125">
        <f t="shared" si="782"/>
        <v>1</v>
      </c>
      <c r="BG672" s="1125">
        <f t="shared" si="783"/>
        <v>0</v>
      </c>
      <c r="BH672" s="1125">
        <f t="shared" si="784"/>
        <v>0</v>
      </c>
      <c r="BI672" s="1125">
        <f t="shared" si="785"/>
        <v>0</v>
      </c>
      <c r="BJ672" s="1125">
        <f t="shared" si="786"/>
        <v>0</v>
      </c>
      <c r="BK672" s="1125">
        <f t="shared" si="787"/>
        <v>1</v>
      </c>
      <c r="BL672" s="1125">
        <f t="shared" si="788"/>
        <v>1</v>
      </c>
      <c r="BM672" s="1125">
        <f t="shared" si="789"/>
        <v>1</v>
      </c>
      <c r="BN672" s="1125">
        <f t="shared" si="790"/>
        <v>1</v>
      </c>
      <c r="BO672" s="1125">
        <f t="shared" si="791"/>
        <v>1</v>
      </c>
      <c r="BP672" s="1125">
        <f t="shared" si="792"/>
        <v>1</v>
      </c>
      <c r="BQ672" s="1125">
        <f t="shared" si="793"/>
        <v>1</v>
      </c>
      <c r="BR672" s="1125">
        <f t="shared" si="794"/>
        <v>1</v>
      </c>
      <c r="BS672" s="1125">
        <f t="shared" si="795"/>
        <v>1</v>
      </c>
      <c r="BT672" s="1125">
        <f t="shared" si="796"/>
        <v>1</v>
      </c>
      <c r="BU672" s="1125">
        <f t="shared" si="797"/>
        <v>1</v>
      </c>
      <c r="BV672" s="1125">
        <f t="shared" si="798"/>
        <v>1</v>
      </c>
      <c r="BW672" s="1125">
        <f t="shared" si="799"/>
        <v>0</v>
      </c>
      <c r="BX672" s="1125">
        <f t="shared" si="800"/>
        <v>0</v>
      </c>
      <c r="BY672" s="1125">
        <f t="shared" si="801"/>
        <v>0</v>
      </c>
      <c r="BZ672" s="1125">
        <f t="shared" si="802"/>
        <v>0</v>
      </c>
      <c r="CA672" s="1125">
        <f t="shared" si="803"/>
        <v>0</v>
      </c>
      <c r="CB672" s="1125">
        <f t="shared" si="804"/>
        <v>0</v>
      </c>
      <c r="CC672" s="1125">
        <f t="shared" si="805"/>
        <v>1</v>
      </c>
      <c r="CD672" s="1125">
        <f t="shared" si="806"/>
        <v>1</v>
      </c>
      <c r="CE672" s="1125">
        <f t="shared" si="807"/>
        <v>0</v>
      </c>
      <c r="CF672" s="1125">
        <f t="shared" si="808"/>
        <v>0</v>
      </c>
      <c r="CG672" s="1125">
        <f t="shared" si="809"/>
        <v>0</v>
      </c>
      <c r="CH672" s="1125">
        <f t="shared" si="810"/>
        <v>0</v>
      </c>
      <c r="CI672" s="1125">
        <f t="shared" si="811"/>
        <v>0.85</v>
      </c>
      <c r="CJ672" s="1125">
        <f t="shared" si="812"/>
        <v>0.85</v>
      </c>
      <c r="CK672" s="1125">
        <f t="shared" si="813"/>
        <v>0.85</v>
      </c>
      <c r="CL672" s="1125">
        <f t="shared" si="814"/>
        <v>0.85</v>
      </c>
      <c r="CM672" s="1125">
        <f t="shared" si="815"/>
        <v>0.85</v>
      </c>
      <c r="CN672" s="1125">
        <f t="shared" si="816"/>
        <v>0.85</v>
      </c>
      <c r="CO672" s="1125">
        <f t="shared" si="817"/>
        <v>0.85</v>
      </c>
      <c r="CP672" s="1125">
        <f t="shared" si="818"/>
        <v>0.85</v>
      </c>
      <c r="CQ672" s="1125">
        <f t="shared" si="819"/>
        <v>0.85</v>
      </c>
      <c r="CR672" s="1125">
        <f t="shared" si="820"/>
        <v>0.85</v>
      </c>
      <c r="CS672" s="1125">
        <f t="shared" si="821"/>
        <v>0.85</v>
      </c>
      <c r="CT672" s="1125">
        <f t="shared" si="822"/>
        <v>0.85</v>
      </c>
      <c r="CU672" s="1125">
        <v>1</v>
      </c>
      <c r="CV672" s="1125"/>
      <c r="CW672" s="1125">
        <f t="shared" si="823"/>
        <v>62</v>
      </c>
      <c r="CX672" s="1125">
        <f t="shared" si="824"/>
        <v>303</v>
      </c>
      <c r="CY672" s="1136" t="s">
        <v>4893</v>
      </c>
      <c r="CZ672" s="1129" t="s">
        <v>4894</v>
      </c>
      <c r="DA672" s="1129"/>
      <c r="DB672" s="1129"/>
      <c r="DC672" s="1125" t="s">
        <v>5522</v>
      </c>
      <c r="DD672" s="1125" t="s">
        <v>427</v>
      </c>
      <c r="DE672" s="1120" t="str">
        <f t="shared" si="825"/>
        <v/>
      </c>
      <c r="DF672" s="1133">
        <v>0</v>
      </c>
      <c r="DG672" s="1120">
        <v>0</v>
      </c>
    </row>
    <row r="673" spans="1:111">
      <c r="A673" s="1125" t="s">
        <v>4054</v>
      </c>
      <c r="B673" s="1120" t="s">
        <v>4314</v>
      </c>
      <c r="C673" s="1120" t="s">
        <v>4315</v>
      </c>
      <c r="D673" s="1120" t="s">
        <v>512</v>
      </c>
      <c r="E673" s="1120">
        <v>33</v>
      </c>
      <c r="F673" s="1120">
        <v>-78.72</v>
      </c>
      <c r="G673" s="1120">
        <v>33.82</v>
      </c>
      <c r="H673" s="1120">
        <v>-5</v>
      </c>
      <c r="I673" s="1121">
        <v>24.620000171661378</v>
      </c>
      <c r="J673" s="1121">
        <v>91.579997253417972</v>
      </c>
      <c r="K673" s="1122">
        <v>78.980000686645511</v>
      </c>
      <c r="L673" s="1120">
        <v>2347.2000000000003</v>
      </c>
      <c r="M673" s="1120">
        <v>1870.2</v>
      </c>
      <c r="N673" s="1123">
        <v>42.259999656677245</v>
      </c>
      <c r="O673" s="1123">
        <v>50.719999313354492</v>
      </c>
      <c r="P673" s="1123">
        <v>56.840000343322757</v>
      </c>
      <c r="Q673" s="1123">
        <v>62.960001373291014</v>
      </c>
      <c r="R673" s="1123">
        <v>69.080000686645505</v>
      </c>
      <c r="S673" s="1123">
        <v>77.180000686645513</v>
      </c>
      <c r="T673" s="1123">
        <v>81.319999313354487</v>
      </c>
      <c r="U673" s="1123">
        <v>77.360001373291013</v>
      </c>
      <c r="V673" s="1123">
        <v>71.060001373291016</v>
      </c>
      <c r="W673" s="1123">
        <v>63.680000686645506</v>
      </c>
      <c r="X673" s="1123">
        <v>58.280000686645508</v>
      </c>
      <c r="Y673" s="1123">
        <v>46.040000343322752</v>
      </c>
      <c r="Z673" s="1123">
        <v>63.119288161290832</v>
      </c>
      <c r="AA673" s="1123">
        <f t="shared" si="751"/>
        <v>58.001785750655912</v>
      </c>
      <c r="AB673" s="1123">
        <f t="shared" si="752"/>
        <v>57.912446022182266</v>
      </c>
      <c r="AC673" s="1123">
        <f t="shared" si="753"/>
        <v>60.744342399932293</v>
      </c>
      <c r="AD673" s="1123">
        <f t="shared" si="754"/>
        <v>65.759297452201267</v>
      </c>
      <c r="AE673" s="1123">
        <f t="shared" si="755"/>
        <v>71.65008586181861</v>
      </c>
      <c r="AF673" s="1123">
        <f t="shared" si="756"/>
        <v>76.881182850020267</v>
      </c>
      <c r="AG673" s="1123">
        <f t="shared" si="757"/>
        <v>80.089022373186751</v>
      </c>
      <c r="AH673" s="1123">
        <f t="shared" si="758"/>
        <v>80.437431625301286</v>
      </c>
      <c r="AI673" s="1123">
        <f t="shared" si="759"/>
        <v>77.835592365651138</v>
      </c>
      <c r="AJ673" s="1123">
        <f t="shared" si="760"/>
        <v>72.961714092820785</v>
      </c>
      <c r="AK673" s="1123">
        <f t="shared" si="761"/>
        <v>67.086248287361158</v>
      </c>
      <c r="AL673" s="1123">
        <f t="shared" si="762"/>
        <v>61.740725655134106</v>
      </c>
      <c r="AM673" s="1120">
        <f t="shared" si="763"/>
        <v>1</v>
      </c>
      <c r="AN673" s="1120">
        <f t="shared" si="764"/>
        <v>1</v>
      </c>
      <c r="AO673" s="1120">
        <f t="shared" si="765"/>
        <v>1</v>
      </c>
      <c r="AP673" s="1120">
        <f t="shared" si="766"/>
        <v>1</v>
      </c>
      <c r="AQ673" s="1120">
        <f t="shared" si="767"/>
        <v>0</v>
      </c>
      <c r="AR673" s="1120">
        <f t="shared" si="768"/>
        <v>0</v>
      </c>
      <c r="AS673" s="1120">
        <f t="shared" si="769"/>
        <v>0</v>
      </c>
      <c r="AT673" s="1120">
        <f t="shared" si="770"/>
        <v>0</v>
      </c>
      <c r="AU673" s="1120">
        <f t="shared" si="771"/>
        <v>0</v>
      </c>
      <c r="AV673" s="1120">
        <f t="shared" si="772"/>
        <v>1</v>
      </c>
      <c r="AW673" s="1120">
        <f t="shared" si="773"/>
        <v>1</v>
      </c>
      <c r="AX673" s="1120">
        <f t="shared" si="774"/>
        <v>1</v>
      </c>
      <c r="AY673" s="1120">
        <f t="shared" si="775"/>
        <v>0</v>
      </c>
      <c r="AZ673" s="1120">
        <f t="shared" si="776"/>
        <v>0</v>
      </c>
      <c r="BA673" s="1120">
        <f t="shared" si="777"/>
        <v>0</v>
      </c>
      <c r="BB673" s="1120">
        <f t="shared" si="778"/>
        <v>0</v>
      </c>
      <c r="BC673" s="1120">
        <f t="shared" si="779"/>
        <v>1</v>
      </c>
      <c r="BD673" s="1120">
        <f t="shared" si="780"/>
        <v>1</v>
      </c>
      <c r="BE673" s="1120">
        <f t="shared" si="781"/>
        <v>1</v>
      </c>
      <c r="BF673" s="1120">
        <f t="shared" si="782"/>
        <v>1</v>
      </c>
      <c r="BG673" s="1120">
        <f t="shared" si="783"/>
        <v>1</v>
      </c>
      <c r="BH673" s="1120">
        <f t="shared" si="784"/>
        <v>0</v>
      </c>
      <c r="BI673" s="1120">
        <f t="shared" si="785"/>
        <v>0</v>
      </c>
      <c r="BJ673" s="1120">
        <f t="shared" si="786"/>
        <v>0</v>
      </c>
      <c r="BK673" s="1120">
        <f t="shared" si="787"/>
        <v>1</v>
      </c>
      <c r="BL673" s="1120">
        <f t="shared" si="788"/>
        <v>1</v>
      </c>
      <c r="BM673" s="1120">
        <f t="shared" si="789"/>
        <v>1</v>
      </c>
      <c r="BN673" s="1120">
        <f t="shared" si="790"/>
        <v>1</v>
      </c>
      <c r="BO673" s="1120">
        <f t="shared" si="791"/>
        <v>1</v>
      </c>
      <c r="BP673" s="1120">
        <f t="shared" si="792"/>
        <v>0</v>
      </c>
      <c r="BQ673" s="1120">
        <f t="shared" si="793"/>
        <v>0</v>
      </c>
      <c r="BR673" s="1120">
        <f t="shared" si="794"/>
        <v>0</v>
      </c>
      <c r="BS673" s="1120">
        <f t="shared" si="795"/>
        <v>0</v>
      </c>
      <c r="BT673" s="1120">
        <f t="shared" si="796"/>
        <v>1</v>
      </c>
      <c r="BU673" s="1120">
        <f t="shared" si="797"/>
        <v>1</v>
      </c>
      <c r="BV673" s="1120">
        <f t="shared" si="798"/>
        <v>1</v>
      </c>
      <c r="BW673" s="1120">
        <f t="shared" si="799"/>
        <v>0</v>
      </c>
      <c r="BX673" s="1120">
        <f t="shared" si="800"/>
        <v>0</v>
      </c>
      <c r="BY673" s="1120">
        <f t="shared" si="801"/>
        <v>0</v>
      </c>
      <c r="BZ673" s="1120">
        <f t="shared" si="802"/>
        <v>1</v>
      </c>
      <c r="CA673" s="1120">
        <f t="shared" si="803"/>
        <v>1</v>
      </c>
      <c r="CB673" s="1120">
        <f t="shared" si="804"/>
        <v>1</v>
      </c>
      <c r="CC673" s="1120">
        <f t="shared" si="805"/>
        <v>1</v>
      </c>
      <c r="CD673" s="1120">
        <f t="shared" si="806"/>
        <v>1</v>
      </c>
      <c r="CE673" s="1120">
        <f t="shared" si="807"/>
        <v>1</v>
      </c>
      <c r="CF673" s="1120">
        <f t="shared" si="808"/>
        <v>1</v>
      </c>
      <c r="CG673" s="1120">
        <f t="shared" si="809"/>
        <v>0</v>
      </c>
      <c r="CH673" s="1120">
        <f t="shared" si="810"/>
        <v>0</v>
      </c>
      <c r="CI673" s="1120">
        <f t="shared" si="811"/>
        <v>0.85</v>
      </c>
      <c r="CJ673" s="1120">
        <f t="shared" si="812"/>
        <v>0.85</v>
      </c>
      <c r="CK673" s="1120">
        <f t="shared" si="813"/>
        <v>0.85</v>
      </c>
      <c r="CL673" s="1120">
        <f t="shared" si="814"/>
        <v>0.85</v>
      </c>
      <c r="CM673" s="1120">
        <f t="shared" si="815"/>
        <v>0.85</v>
      </c>
      <c r="CN673" s="1120">
        <f t="shared" si="816"/>
        <v>0.7</v>
      </c>
      <c r="CO673" s="1120">
        <f t="shared" si="817"/>
        <v>0.7</v>
      </c>
      <c r="CP673" s="1120">
        <f t="shared" si="818"/>
        <v>0.7</v>
      </c>
      <c r="CQ673" s="1120">
        <f t="shared" si="819"/>
        <v>0.7</v>
      </c>
      <c r="CR673" s="1120">
        <f t="shared" si="820"/>
        <v>0.85</v>
      </c>
      <c r="CS673" s="1120">
        <f t="shared" si="821"/>
        <v>0.85</v>
      </c>
      <c r="CT673" s="1120">
        <f t="shared" si="822"/>
        <v>0.85</v>
      </c>
      <c r="CU673" s="1120">
        <v>1</v>
      </c>
      <c r="CV673" s="1120"/>
      <c r="CW673" s="1120">
        <f t="shared" si="823"/>
        <v>214</v>
      </c>
      <c r="CX673" s="1120">
        <f t="shared" si="824"/>
        <v>151</v>
      </c>
      <c r="CY673" s="1135" t="s">
        <v>4883</v>
      </c>
      <c r="CZ673" s="1124" t="s">
        <v>4882</v>
      </c>
      <c r="DA673" s="1124"/>
      <c r="DB673" s="1124"/>
      <c r="DC673" s="1120" t="s">
        <v>5555</v>
      </c>
      <c r="DD673" s="1120" t="s">
        <v>512</v>
      </c>
      <c r="DE673" s="1120" t="str">
        <f t="shared" si="825"/>
        <v/>
      </c>
      <c r="DF673" s="1133">
        <v>0</v>
      </c>
      <c r="DG673" s="1125">
        <v>0</v>
      </c>
    </row>
    <row r="674" spans="1:111">
      <c r="A674" s="1120" t="s">
        <v>4056</v>
      </c>
      <c r="B674" s="1120" t="s">
        <v>4020</v>
      </c>
      <c r="C674" s="1120" t="s">
        <v>4021</v>
      </c>
      <c r="D674" s="1120" t="s">
        <v>771</v>
      </c>
      <c r="E674" s="1120">
        <v>2778</v>
      </c>
      <c r="F674" s="1120">
        <v>-100.67</v>
      </c>
      <c r="G674" s="1120">
        <v>41.12</v>
      </c>
      <c r="H674" s="1120">
        <v>-6</v>
      </c>
      <c r="I674" s="1121">
        <v>-0.76000137329101647</v>
      </c>
      <c r="J674" s="1121">
        <v>92.83999862670899</v>
      </c>
      <c r="K674" s="1122">
        <v>69.980000686645511</v>
      </c>
      <c r="L674" s="1120">
        <v>6507</v>
      </c>
      <c r="M674" s="1120">
        <v>837</v>
      </c>
      <c r="N674" s="1123">
        <v>25.879999828338622</v>
      </c>
      <c r="O674" s="1123">
        <v>26.23999991416931</v>
      </c>
      <c r="P674" s="1123">
        <v>36.679999828338623</v>
      </c>
      <c r="Q674" s="1123">
        <v>48.2</v>
      </c>
      <c r="R674" s="1123">
        <v>56.840000343322757</v>
      </c>
      <c r="S674" s="1123">
        <v>68.900000000000006</v>
      </c>
      <c r="T674" s="1123">
        <v>74.66000137329101</v>
      </c>
      <c r="U674" s="1123">
        <v>71.960001373291021</v>
      </c>
      <c r="V674" s="1123">
        <v>60.8</v>
      </c>
      <c r="W674" s="1123">
        <v>48.2</v>
      </c>
      <c r="X674" s="1123">
        <v>37.579999828338622</v>
      </c>
      <c r="Y674" s="1123">
        <v>29.119999957084655</v>
      </c>
      <c r="Z674" s="1123">
        <v>48.88400020893306</v>
      </c>
      <c r="AA674" s="1123">
        <f t="shared" si="751"/>
        <v>45.374377978950669</v>
      </c>
      <c r="AB674" s="1123">
        <f t="shared" si="752"/>
        <v>43.936814023292229</v>
      </c>
      <c r="AC674" s="1123">
        <f t="shared" si="753"/>
        <v>45.352802848166739</v>
      </c>
      <c r="AD674" s="1123">
        <f t="shared" si="754"/>
        <v>49.253245145322346</v>
      </c>
      <c r="AE674" s="1123">
        <f t="shared" si="755"/>
        <v>54.621430522370197</v>
      </c>
      <c r="AF674" s="1123">
        <f t="shared" si="756"/>
        <v>60.058058734542016</v>
      </c>
      <c r="AG674" s="1123">
        <f t="shared" si="757"/>
        <v>64.145988857358418</v>
      </c>
      <c r="AH674" s="1123">
        <f t="shared" si="758"/>
        <v>65.819638907397248</v>
      </c>
      <c r="AI674" s="1123">
        <f t="shared" si="759"/>
        <v>64.642746207387873</v>
      </c>
      <c r="AJ674" s="1123">
        <f t="shared" si="760"/>
        <v>60.922085976053253</v>
      </c>
      <c r="AK674" s="1123">
        <f t="shared" si="761"/>
        <v>55.627505639800489</v>
      </c>
      <c r="AL674" s="1123">
        <f t="shared" si="762"/>
        <v>50.139119155226609</v>
      </c>
      <c r="AM674" s="1120">
        <f t="shared" si="763"/>
        <v>1</v>
      </c>
      <c r="AN674" s="1120">
        <f t="shared" si="764"/>
        <v>1</v>
      </c>
      <c r="AO674" s="1120">
        <f t="shared" si="765"/>
        <v>1</v>
      </c>
      <c r="AP674" s="1120">
        <f t="shared" si="766"/>
        <v>1</v>
      </c>
      <c r="AQ674" s="1120">
        <f t="shared" si="767"/>
        <v>1</v>
      </c>
      <c r="AR674" s="1120">
        <f t="shared" si="768"/>
        <v>0</v>
      </c>
      <c r="AS674" s="1120">
        <f t="shared" si="769"/>
        <v>0</v>
      </c>
      <c r="AT674" s="1120">
        <f t="shared" si="770"/>
        <v>0</v>
      </c>
      <c r="AU674" s="1120">
        <f t="shared" si="771"/>
        <v>1</v>
      </c>
      <c r="AV674" s="1120">
        <f t="shared" si="772"/>
        <v>1</v>
      </c>
      <c r="AW674" s="1120">
        <f t="shared" si="773"/>
        <v>1</v>
      </c>
      <c r="AX674" s="1120">
        <f t="shared" si="774"/>
        <v>1</v>
      </c>
      <c r="AY674" s="1120">
        <f t="shared" si="775"/>
        <v>0</v>
      </c>
      <c r="AZ674" s="1120">
        <f t="shared" si="776"/>
        <v>0</v>
      </c>
      <c r="BA674" s="1120">
        <f t="shared" si="777"/>
        <v>0</v>
      </c>
      <c r="BB674" s="1120">
        <f t="shared" si="778"/>
        <v>0</v>
      </c>
      <c r="BC674" s="1120">
        <f t="shared" si="779"/>
        <v>0</v>
      </c>
      <c r="BD674" s="1120">
        <f t="shared" si="780"/>
        <v>1</v>
      </c>
      <c r="BE674" s="1120">
        <f t="shared" si="781"/>
        <v>1</v>
      </c>
      <c r="BF674" s="1120">
        <f t="shared" si="782"/>
        <v>1</v>
      </c>
      <c r="BG674" s="1120">
        <f t="shared" si="783"/>
        <v>0</v>
      </c>
      <c r="BH674" s="1120">
        <f t="shared" si="784"/>
        <v>0</v>
      </c>
      <c r="BI674" s="1120">
        <f t="shared" si="785"/>
        <v>0</v>
      </c>
      <c r="BJ674" s="1120">
        <f t="shared" si="786"/>
        <v>0</v>
      </c>
      <c r="BK674" s="1120">
        <f t="shared" si="787"/>
        <v>1</v>
      </c>
      <c r="BL674" s="1120">
        <f t="shared" si="788"/>
        <v>1</v>
      </c>
      <c r="BM674" s="1120">
        <f t="shared" si="789"/>
        <v>1</v>
      </c>
      <c r="BN674" s="1120">
        <f t="shared" si="790"/>
        <v>1</v>
      </c>
      <c r="BO674" s="1120">
        <f t="shared" si="791"/>
        <v>1</v>
      </c>
      <c r="BP674" s="1120">
        <f t="shared" si="792"/>
        <v>1</v>
      </c>
      <c r="BQ674" s="1120">
        <f t="shared" si="793"/>
        <v>0</v>
      </c>
      <c r="BR674" s="1120">
        <f t="shared" si="794"/>
        <v>0</v>
      </c>
      <c r="BS674" s="1120">
        <f t="shared" si="795"/>
        <v>1</v>
      </c>
      <c r="BT674" s="1120">
        <f t="shared" si="796"/>
        <v>1</v>
      </c>
      <c r="BU674" s="1120">
        <f t="shared" si="797"/>
        <v>1</v>
      </c>
      <c r="BV674" s="1120">
        <f t="shared" si="798"/>
        <v>1</v>
      </c>
      <c r="BW674" s="1120">
        <f t="shared" si="799"/>
        <v>0</v>
      </c>
      <c r="BX674" s="1120">
        <f t="shared" si="800"/>
        <v>0</v>
      </c>
      <c r="BY674" s="1120">
        <f t="shared" si="801"/>
        <v>0</v>
      </c>
      <c r="BZ674" s="1120">
        <f t="shared" si="802"/>
        <v>0</v>
      </c>
      <c r="CA674" s="1120">
        <f t="shared" si="803"/>
        <v>1</v>
      </c>
      <c r="CB674" s="1120">
        <f t="shared" si="804"/>
        <v>1</v>
      </c>
      <c r="CC674" s="1120">
        <f t="shared" si="805"/>
        <v>1</v>
      </c>
      <c r="CD674" s="1120">
        <f t="shared" si="806"/>
        <v>1</v>
      </c>
      <c r="CE674" s="1120">
        <f t="shared" si="807"/>
        <v>1</v>
      </c>
      <c r="CF674" s="1120">
        <f t="shared" si="808"/>
        <v>0</v>
      </c>
      <c r="CG674" s="1120">
        <f t="shared" si="809"/>
        <v>0</v>
      </c>
      <c r="CH674" s="1120">
        <f t="shared" si="810"/>
        <v>0</v>
      </c>
      <c r="CI674" s="1120">
        <f t="shared" si="811"/>
        <v>0.85</v>
      </c>
      <c r="CJ674" s="1120">
        <f t="shared" si="812"/>
        <v>0.85</v>
      </c>
      <c r="CK674" s="1120">
        <f t="shared" si="813"/>
        <v>0.85</v>
      </c>
      <c r="CL674" s="1120">
        <f t="shared" si="814"/>
        <v>0.85</v>
      </c>
      <c r="CM674" s="1120">
        <f t="shared" si="815"/>
        <v>0.85</v>
      </c>
      <c r="CN674" s="1120">
        <f t="shared" si="816"/>
        <v>0.85</v>
      </c>
      <c r="CO674" s="1120">
        <f t="shared" si="817"/>
        <v>0.7</v>
      </c>
      <c r="CP674" s="1120">
        <f t="shared" si="818"/>
        <v>0.7</v>
      </c>
      <c r="CQ674" s="1120">
        <f t="shared" si="819"/>
        <v>0.85</v>
      </c>
      <c r="CR674" s="1120">
        <f t="shared" si="820"/>
        <v>0.85</v>
      </c>
      <c r="CS674" s="1120">
        <f t="shared" si="821"/>
        <v>0.85</v>
      </c>
      <c r="CT674" s="1120">
        <f t="shared" si="822"/>
        <v>0.85</v>
      </c>
      <c r="CU674" s="1120">
        <v>1</v>
      </c>
      <c r="CV674" s="1120"/>
      <c r="CW674" s="1120">
        <f t="shared" si="823"/>
        <v>153</v>
      </c>
      <c r="CX674" s="1120">
        <f t="shared" si="824"/>
        <v>212</v>
      </c>
      <c r="CY674" s="1136" t="s">
        <v>4889</v>
      </c>
      <c r="CZ674" s="1129" t="s">
        <v>4897</v>
      </c>
      <c r="DA674" s="1129"/>
      <c r="DB674" s="1129"/>
      <c r="DC674" s="1125" t="s">
        <v>5425</v>
      </c>
      <c r="DD674" s="1125" t="s">
        <v>771</v>
      </c>
      <c r="DE674" s="1120" t="str">
        <f t="shared" si="825"/>
        <v/>
      </c>
      <c r="DF674" s="1133">
        <v>0</v>
      </c>
      <c r="DG674" s="1120">
        <v>0</v>
      </c>
    </row>
    <row r="675" spans="1:111">
      <c r="A675" s="1125" t="s">
        <v>4058</v>
      </c>
      <c r="B675" s="1125" t="s">
        <v>3695</v>
      </c>
      <c r="C675" s="1125" t="s">
        <v>3696</v>
      </c>
      <c r="D675" s="1125" t="s">
        <v>903</v>
      </c>
      <c r="E675" s="1125">
        <v>1014</v>
      </c>
      <c r="F675" s="1125">
        <v>-68.319999999999993</v>
      </c>
      <c r="G675" s="1125">
        <v>47.28</v>
      </c>
      <c r="H675" s="1125">
        <v>-5</v>
      </c>
      <c r="I675" s="1126">
        <v>-9.219999313354494</v>
      </c>
      <c r="J675" s="1126">
        <v>79.33999862670899</v>
      </c>
      <c r="K675" s="1127">
        <v>65.119999313354498</v>
      </c>
      <c r="L675" s="1125">
        <v>9493.2000000000007</v>
      </c>
      <c r="M675" s="1125">
        <v>183.6</v>
      </c>
      <c r="N675" s="1128">
        <v>10.759999656677246</v>
      </c>
      <c r="O675" s="1128">
        <v>13.640000343322754</v>
      </c>
      <c r="P675" s="1128">
        <v>29.3</v>
      </c>
      <c r="Q675" s="1128">
        <v>38.120000171661374</v>
      </c>
      <c r="R675" s="1128">
        <v>48.380000686645509</v>
      </c>
      <c r="S675" s="1128">
        <v>56.480000686645511</v>
      </c>
      <c r="T675" s="1128">
        <v>64.580000686645505</v>
      </c>
      <c r="U675" s="1128">
        <v>62.239998626708989</v>
      </c>
      <c r="V675" s="1128">
        <v>59.9</v>
      </c>
      <c r="W675" s="1128">
        <v>39.02000017166138</v>
      </c>
      <c r="X675" s="1128">
        <v>29.480000042915343</v>
      </c>
      <c r="Y675" s="1128">
        <v>13.280000686645508</v>
      </c>
      <c r="Z675" s="1128">
        <v>38.892274116751267</v>
      </c>
      <c r="AA675" s="1128">
        <f t="shared" si="751"/>
        <v>37.651916544390801</v>
      </c>
      <c r="AB675" s="1128">
        <f t="shared" si="752"/>
        <v>35.644451006441166</v>
      </c>
      <c r="AC675" s="1128">
        <f t="shared" si="753"/>
        <v>36.047573075461827</v>
      </c>
      <c r="AD675" s="1128">
        <f t="shared" si="754"/>
        <v>38.756202771863421</v>
      </c>
      <c r="AE675" s="1128">
        <f t="shared" si="755"/>
        <v>43.06429402403176</v>
      </c>
      <c r="AF675" s="1128">
        <f t="shared" si="756"/>
        <v>47.848876457393359</v>
      </c>
      <c r="AG675" s="1128">
        <f t="shared" si="757"/>
        <v>51.862774928045361</v>
      </c>
      <c r="AH675" s="1128">
        <f t="shared" si="758"/>
        <v>54.059704943564526</v>
      </c>
      <c r="AI675" s="1128">
        <f t="shared" si="759"/>
        <v>53.867002839689427</v>
      </c>
      <c r="AJ675" s="1128">
        <f t="shared" si="760"/>
        <v>51.334899389424436</v>
      </c>
      <c r="AK675" s="1128">
        <f t="shared" si="761"/>
        <v>47.123426377976429</v>
      </c>
      <c r="AL675" s="1128">
        <f t="shared" si="762"/>
        <v>42.330369146542964</v>
      </c>
      <c r="AM675" s="1125">
        <f t="shared" si="763"/>
        <v>1</v>
      </c>
      <c r="AN675" s="1125">
        <f t="shared" si="764"/>
        <v>1</v>
      </c>
      <c r="AO675" s="1125">
        <f t="shared" si="765"/>
        <v>1</v>
      </c>
      <c r="AP675" s="1125">
        <f t="shared" si="766"/>
        <v>1</v>
      </c>
      <c r="AQ675" s="1125">
        <f t="shared" si="767"/>
        <v>1</v>
      </c>
      <c r="AR675" s="1125">
        <f t="shared" si="768"/>
        <v>1</v>
      </c>
      <c r="AS675" s="1125">
        <f t="shared" si="769"/>
        <v>1</v>
      </c>
      <c r="AT675" s="1125">
        <f t="shared" si="770"/>
        <v>1</v>
      </c>
      <c r="AU675" s="1125">
        <f t="shared" si="771"/>
        <v>1</v>
      </c>
      <c r="AV675" s="1125">
        <f t="shared" si="772"/>
        <v>1</v>
      </c>
      <c r="AW675" s="1125">
        <f t="shared" si="773"/>
        <v>1</v>
      </c>
      <c r="AX675" s="1125">
        <f t="shared" si="774"/>
        <v>1</v>
      </c>
      <c r="AY675" s="1125">
        <f t="shared" si="775"/>
        <v>0</v>
      </c>
      <c r="AZ675" s="1125">
        <f t="shared" si="776"/>
        <v>0</v>
      </c>
      <c r="BA675" s="1125">
        <f t="shared" si="777"/>
        <v>0</v>
      </c>
      <c r="BB675" s="1125">
        <f t="shared" si="778"/>
        <v>0</v>
      </c>
      <c r="BC675" s="1125">
        <f t="shared" si="779"/>
        <v>0</v>
      </c>
      <c r="BD675" s="1125">
        <f t="shared" si="780"/>
        <v>0</v>
      </c>
      <c r="BE675" s="1125">
        <f t="shared" si="781"/>
        <v>1</v>
      </c>
      <c r="BF675" s="1125">
        <f t="shared" si="782"/>
        <v>1</v>
      </c>
      <c r="BG675" s="1125">
        <f t="shared" si="783"/>
        <v>0</v>
      </c>
      <c r="BH675" s="1125">
        <f t="shared" si="784"/>
        <v>0</v>
      </c>
      <c r="BI675" s="1125">
        <f t="shared" si="785"/>
        <v>0</v>
      </c>
      <c r="BJ675" s="1125">
        <f t="shared" si="786"/>
        <v>0</v>
      </c>
      <c r="BK675" s="1125">
        <f t="shared" si="787"/>
        <v>1</v>
      </c>
      <c r="BL675" s="1125">
        <f t="shared" si="788"/>
        <v>1</v>
      </c>
      <c r="BM675" s="1125">
        <f t="shared" si="789"/>
        <v>1</v>
      </c>
      <c r="BN675" s="1125">
        <f t="shared" si="790"/>
        <v>1</v>
      </c>
      <c r="BO675" s="1125">
        <f t="shared" si="791"/>
        <v>1</v>
      </c>
      <c r="BP675" s="1125">
        <f t="shared" si="792"/>
        <v>1</v>
      </c>
      <c r="BQ675" s="1125">
        <f t="shared" si="793"/>
        <v>1</v>
      </c>
      <c r="BR675" s="1125">
        <f t="shared" si="794"/>
        <v>1</v>
      </c>
      <c r="BS675" s="1125">
        <f t="shared" si="795"/>
        <v>1</v>
      </c>
      <c r="BT675" s="1125">
        <f t="shared" si="796"/>
        <v>1</v>
      </c>
      <c r="BU675" s="1125">
        <f t="shared" si="797"/>
        <v>1</v>
      </c>
      <c r="BV675" s="1125">
        <f t="shared" si="798"/>
        <v>1</v>
      </c>
      <c r="BW675" s="1125">
        <f t="shared" si="799"/>
        <v>0</v>
      </c>
      <c r="BX675" s="1125">
        <f t="shared" si="800"/>
        <v>0</v>
      </c>
      <c r="BY675" s="1125">
        <f t="shared" si="801"/>
        <v>0</v>
      </c>
      <c r="BZ675" s="1125">
        <f t="shared" si="802"/>
        <v>0</v>
      </c>
      <c r="CA675" s="1125">
        <f t="shared" si="803"/>
        <v>0</v>
      </c>
      <c r="CB675" s="1125">
        <f t="shared" si="804"/>
        <v>0</v>
      </c>
      <c r="CC675" s="1125">
        <f t="shared" si="805"/>
        <v>1</v>
      </c>
      <c r="CD675" s="1125">
        <f t="shared" si="806"/>
        <v>1</v>
      </c>
      <c r="CE675" s="1125">
        <f t="shared" si="807"/>
        <v>0</v>
      </c>
      <c r="CF675" s="1125">
        <f t="shared" si="808"/>
        <v>0</v>
      </c>
      <c r="CG675" s="1125">
        <f t="shared" si="809"/>
        <v>0</v>
      </c>
      <c r="CH675" s="1125">
        <f t="shared" si="810"/>
        <v>0</v>
      </c>
      <c r="CI675" s="1125">
        <f t="shared" si="811"/>
        <v>0.85</v>
      </c>
      <c r="CJ675" s="1125">
        <f t="shared" si="812"/>
        <v>0.85</v>
      </c>
      <c r="CK675" s="1125">
        <f t="shared" si="813"/>
        <v>0.85</v>
      </c>
      <c r="CL675" s="1125">
        <f t="shared" si="814"/>
        <v>0.85</v>
      </c>
      <c r="CM675" s="1125">
        <f t="shared" si="815"/>
        <v>0.85</v>
      </c>
      <c r="CN675" s="1125">
        <f t="shared" si="816"/>
        <v>0.85</v>
      </c>
      <c r="CO675" s="1125">
        <f t="shared" si="817"/>
        <v>0.85</v>
      </c>
      <c r="CP675" s="1125">
        <f t="shared" si="818"/>
        <v>0.85</v>
      </c>
      <c r="CQ675" s="1125">
        <f t="shared" si="819"/>
        <v>0.85</v>
      </c>
      <c r="CR675" s="1125">
        <f t="shared" si="820"/>
        <v>0.85</v>
      </c>
      <c r="CS675" s="1125">
        <f t="shared" si="821"/>
        <v>0.85</v>
      </c>
      <c r="CT675" s="1125">
        <f t="shared" si="822"/>
        <v>0.85</v>
      </c>
      <c r="CU675" s="1125">
        <v>1</v>
      </c>
      <c r="CV675" s="1125"/>
      <c r="CW675" s="1125">
        <f t="shared" si="823"/>
        <v>62</v>
      </c>
      <c r="CX675" s="1125">
        <f t="shared" si="824"/>
        <v>303</v>
      </c>
      <c r="CY675" s="1136" t="s">
        <v>4879</v>
      </c>
      <c r="CZ675" s="1129">
        <v>7</v>
      </c>
      <c r="DA675" s="1129"/>
      <c r="DB675" s="1129"/>
      <c r="DC675" s="1125" t="s">
        <v>5291</v>
      </c>
      <c r="DD675" s="1125" t="s">
        <v>903</v>
      </c>
      <c r="DE675" s="1120" t="str">
        <f t="shared" si="825"/>
        <v/>
      </c>
      <c r="DF675" s="1133">
        <v>0</v>
      </c>
      <c r="DG675" s="1125">
        <v>0</v>
      </c>
    </row>
    <row r="676" spans="1:111">
      <c r="A676" s="1120" t="s">
        <v>4060</v>
      </c>
      <c r="B676" s="1120" t="s">
        <v>2972</v>
      </c>
      <c r="C676" s="1120" t="s">
        <v>2973</v>
      </c>
      <c r="D676" s="1120" t="s">
        <v>953</v>
      </c>
      <c r="E676" s="1120">
        <v>1712</v>
      </c>
      <c r="F676" s="1120">
        <v>-141.93</v>
      </c>
      <c r="G676" s="1120">
        <v>62.97</v>
      </c>
      <c r="H676" s="1120">
        <v>-9</v>
      </c>
      <c r="I676" s="1121">
        <v>-45.4</v>
      </c>
      <c r="J676" s="1121">
        <v>74.3</v>
      </c>
      <c r="K676" s="1122">
        <v>57.2</v>
      </c>
      <c r="L676" s="1120">
        <v>14790.6</v>
      </c>
      <c r="M676" s="1120">
        <v>12.6</v>
      </c>
      <c r="N676" s="1123">
        <v>-11.560001373291017</v>
      </c>
      <c r="O676" s="1123">
        <v>-3.6399986267089854</v>
      </c>
      <c r="P676" s="1123">
        <v>11.659999656677245</v>
      </c>
      <c r="Q676" s="1123">
        <v>21.740000343322755</v>
      </c>
      <c r="R676" s="1123">
        <v>46.940000343322751</v>
      </c>
      <c r="S676" s="1123">
        <v>54.859999656677246</v>
      </c>
      <c r="T676" s="1123">
        <v>60.440000343322751</v>
      </c>
      <c r="U676" s="1123">
        <v>52.519999313354489</v>
      </c>
      <c r="V676" s="1123">
        <v>37.039999914169314</v>
      </c>
      <c r="W676" s="1123">
        <v>26.6</v>
      </c>
      <c r="X676" s="1123">
        <v>-2.9199993133544933</v>
      </c>
      <c r="Y676" s="1123">
        <v>-8.8600013732910163</v>
      </c>
      <c r="Z676" s="1123">
        <v>23.916767015587794</v>
      </c>
      <c r="AA676" s="1123">
        <f t="shared" si="751"/>
        <v>32</v>
      </c>
      <c r="AB676" s="1123">
        <f t="shared" si="752"/>
        <v>32</v>
      </c>
      <c r="AC676" s="1123">
        <f t="shared" si="753"/>
        <v>32</v>
      </c>
      <c r="AD676" s="1123">
        <f t="shared" si="754"/>
        <v>32</v>
      </c>
      <c r="AE676" s="1123">
        <f t="shared" si="755"/>
        <v>32</v>
      </c>
      <c r="AF676" s="1123">
        <f t="shared" si="756"/>
        <v>32</v>
      </c>
      <c r="AG676" s="1123">
        <f t="shared" si="757"/>
        <v>33.839456670692016</v>
      </c>
      <c r="AH676" s="1123">
        <f t="shared" si="758"/>
        <v>36.29093370637311</v>
      </c>
      <c r="AI676" s="1123">
        <f t="shared" si="759"/>
        <v>37.080885965218947</v>
      </c>
      <c r="AJ676" s="1123">
        <f t="shared" si="760"/>
        <v>36.003400217428549</v>
      </c>
      <c r="AK676" s="1123">
        <f t="shared" si="761"/>
        <v>33.33933972772148</v>
      </c>
      <c r="AL676" s="1123">
        <f t="shared" si="762"/>
        <v>32</v>
      </c>
      <c r="AM676" s="1120">
        <f t="shared" si="763"/>
        <v>1</v>
      </c>
      <c r="AN676" s="1120">
        <f t="shared" si="764"/>
        <v>1</v>
      </c>
      <c r="AO676" s="1120">
        <f t="shared" si="765"/>
        <v>1</v>
      </c>
      <c r="AP676" s="1120">
        <f t="shared" si="766"/>
        <v>1</v>
      </c>
      <c r="AQ676" s="1120">
        <f t="shared" si="767"/>
        <v>1</v>
      </c>
      <c r="AR676" s="1120">
        <f t="shared" si="768"/>
        <v>1</v>
      </c>
      <c r="AS676" s="1120">
        <f t="shared" si="769"/>
        <v>1</v>
      </c>
      <c r="AT676" s="1120">
        <f t="shared" si="770"/>
        <v>1</v>
      </c>
      <c r="AU676" s="1120">
        <f t="shared" si="771"/>
        <v>1</v>
      </c>
      <c r="AV676" s="1120">
        <f t="shared" si="772"/>
        <v>1</v>
      </c>
      <c r="AW676" s="1120">
        <f t="shared" si="773"/>
        <v>1</v>
      </c>
      <c r="AX676" s="1120">
        <f t="shared" si="774"/>
        <v>1</v>
      </c>
      <c r="AY676" s="1120">
        <f t="shared" si="775"/>
        <v>0</v>
      </c>
      <c r="AZ676" s="1120">
        <f t="shared" si="776"/>
        <v>0</v>
      </c>
      <c r="BA676" s="1120">
        <f t="shared" si="777"/>
        <v>0</v>
      </c>
      <c r="BB676" s="1120">
        <f t="shared" si="778"/>
        <v>0</v>
      </c>
      <c r="BC676" s="1120">
        <f t="shared" si="779"/>
        <v>0</v>
      </c>
      <c r="BD676" s="1120">
        <f t="shared" si="780"/>
        <v>0</v>
      </c>
      <c r="BE676" s="1120">
        <f t="shared" si="781"/>
        <v>1</v>
      </c>
      <c r="BF676" s="1120">
        <f t="shared" si="782"/>
        <v>1</v>
      </c>
      <c r="BG676" s="1120">
        <f t="shared" si="783"/>
        <v>0</v>
      </c>
      <c r="BH676" s="1120">
        <f t="shared" si="784"/>
        <v>0</v>
      </c>
      <c r="BI676" s="1120">
        <f t="shared" si="785"/>
        <v>0</v>
      </c>
      <c r="BJ676" s="1120">
        <f t="shared" si="786"/>
        <v>0</v>
      </c>
      <c r="BK676" s="1120">
        <f t="shared" si="787"/>
        <v>1</v>
      </c>
      <c r="BL676" s="1120">
        <f t="shared" si="788"/>
        <v>1</v>
      </c>
      <c r="BM676" s="1120">
        <f t="shared" si="789"/>
        <v>1</v>
      </c>
      <c r="BN676" s="1120">
        <f t="shared" si="790"/>
        <v>1</v>
      </c>
      <c r="BO676" s="1120">
        <f t="shared" si="791"/>
        <v>1</v>
      </c>
      <c r="BP676" s="1120">
        <f t="shared" si="792"/>
        <v>1</v>
      </c>
      <c r="BQ676" s="1120">
        <f t="shared" si="793"/>
        <v>1</v>
      </c>
      <c r="BR676" s="1120">
        <f t="shared" si="794"/>
        <v>1</v>
      </c>
      <c r="BS676" s="1120">
        <f t="shared" si="795"/>
        <v>1</v>
      </c>
      <c r="BT676" s="1120">
        <f t="shared" si="796"/>
        <v>1</v>
      </c>
      <c r="BU676" s="1120">
        <f t="shared" si="797"/>
        <v>1</v>
      </c>
      <c r="BV676" s="1120">
        <f t="shared" si="798"/>
        <v>1</v>
      </c>
      <c r="BW676" s="1120">
        <f t="shared" si="799"/>
        <v>0</v>
      </c>
      <c r="BX676" s="1120">
        <f t="shared" si="800"/>
        <v>0</v>
      </c>
      <c r="BY676" s="1120">
        <f t="shared" si="801"/>
        <v>0</v>
      </c>
      <c r="BZ676" s="1120">
        <f t="shared" si="802"/>
        <v>0</v>
      </c>
      <c r="CA676" s="1120">
        <f t="shared" si="803"/>
        <v>0</v>
      </c>
      <c r="CB676" s="1120">
        <f t="shared" si="804"/>
        <v>0</v>
      </c>
      <c r="CC676" s="1120">
        <f t="shared" si="805"/>
        <v>1</v>
      </c>
      <c r="CD676" s="1120">
        <f t="shared" si="806"/>
        <v>1</v>
      </c>
      <c r="CE676" s="1120">
        <f t="shared" si="807"/>
        <v>0</v>
      </c>
      <c r="CF676" s="1120">
        <f t="shared" si="808"/>
        <v>0</v>
      </c>
      <c r="CG676" s="1120">
        <f t="shared" si="809"/>
        <v>0</v>
      </c>
      <c r="CH676" s="1120">
        <f t="shared" si="810"/>
        <v>0</v>
      </c>
      <c r="CI676" s="1120">
        <f t="shared" si="811"/>
        <v>0.85</v>
      </c>
      <c r="CJ676" s="1120">
        <f t="shared" si="812"/>
        <v>0.85</v>
      </c>
      <c r="CK676" s="1120">
        <f t="shared" si="813"/>
        <v>0.85</v>
      </c>
      <c r="CL676" s="1120">
        <f t="shared" si="814"/>
        <v>0.85</v>
      </c>
      <c r="CM676" s="1120">
        <f t="shared" si="815"/>
        <v>0.85</v>
      </c>
      <c r="CN676" s="1120">
        <f t="shared" si="816"/>
        <v>0.85</v>
      </c>
      <c r="CO676" s="1120">
        <f t="shared" si="817"/>
        <v>0.85</v>
      </c>
      <c r="CP676" s="1120">
        <f t="shared" si="818"/>
        <v>0.85</v>
      </c>
      <c r="CQ676" s="1120">
        <f t="shared" si="819"/>
        <v>0.85</v>
      </c>
      <c r="CR676" s="1120">
        <f t="shared" si="820"/>
        <v>0.85</v>
      </c>
      <c r="CS676" s="1120">
        <f t="shared" si="821"/>
        <v>0.85</v>
      </c>
      <c r="CT676" s="1120">
        <f t="shared" si="822"/>
        <v>0.85</v>
      </c>
      <c r="CU676" s="1120">
        <v>1</v>
      </c>
      <c r="CV676" s="1120"/>
      <c r="CW676" s="1120">
        <f t="shared" si="823"/>
        <v>62</v>
      </c>
      <c r="CX676" s="1120">
        <f t="shared" si="824"/>
        <v>303</v>
      </c>
      <c r="CY676" s="1135" t="s">
        <v>4880</v>
      </c>
      <c r="CZ676" s="1124">
        <v>8</v>
      </c>
      <c r="DA676" s="1124"/>
      <c r="DB676" s="1124"/>
      <c r="DC676" s="1120" t="s">
        <v>4951</v>
      </c>
      <c r="DD676" s="1120" t="s">
        <v>953</v>
      </c>
      <c r="DE676" s="1120" t="str">
        <f t="shared" si="825"/>
        <v/>
      </c>
      <c r="DF676" s="1120">
        <v>0</v>
      </c>
      <c r="DG676" s="1120">
        <v>0</v>
      </c>
    </row>
    <row r="677" spans="1:111">
      <c r="A677" s="1125" t="s">
        <v>4062</v>
      </c>
      <c r="B677" s="1120" t="s">
        <v>3665</v>
      </c>
      <c r="C677" s="1120" t="s">
        <v>3666</v>
      </c>
      <c r="D677" s="1120" t="s">
        <v>250</v>
      </c>
      <c r="E677" s="1120">
        <v>49</v>
      </c>
      <c r="F677" s="1120">
        <v>-71.180000000000007</v>
      </c>
      <c r="G677" s="1120">
        <v>42.18</v>
      </c>
      <c r="H677" s="1120">
        <v>-5</v>
      </c>
      <c r="I677" s="1121">
        <v>8.7800006866455078</v>
      </c>
      <c r="J677" s="1121">
        <v>87.980000686645511</v>
      </c>
      <c r="K677" s="1122">
        <v>73.400000000000006</v>
      </c>
      <c r="L677" s="1120">
        <v>5887.8</v>
      </c>
      <c r="M677" s="1120">
        <v>653.4</v>
      </c>
      <c r="N677" s="1123">
        <v>25.879999828338622</v>
      </c>
      <c r="O677" s="1123">
        <v>25.879999828338622</v>
      </c>
      <c r="P677" s="1123">
        <v>41.720000171661376</v>
      </c>
      <c r="Q677" s="1123">
        <v>50</v>
      </c>
      <c r="R677" s="1123">
        <v>53.959999656677248</v>
      </c>
      <c r="S677" s="1123">
        <v>64.760001373291018</v>
      </c>
      <c r="T677" s="1123">
        <v>71.599999999999994</v>
      </c>
      <c r="U677" s="1123">
        <v>72.860001373291013</v>
      </c>
      <c r="V677" s="1123">
        <v>64.760001373291018</v>
      </c>
      <c r="W677" s="1123">
        <v>48.019999313354489</v>
      </c>
      <c r="X677" s="1123">
        <v>42.8</v>
      </c>
      <c r="Y677" s="1123">
        <v>36.5</v>
      </c>
      <c r="Z677" s="1123">
        <v>50.030082433517663</v>
      </c>
      <c r="AA677" s="1123">
        <f t="shared" si="751"/>
        <v>46.533701093085391</v>
      </c>
      <c r="AB677" s="1123">
        <f t="shared" si="752"/>
        <v>45.219314489631842</v>
      </c>
      <c r="AC677" s="1123">
        <f t="shared" si="753"/>
        <v>46.722921149729061</v>
      </c>
      <c r="AD677" s="1123">
        <f t="shared" si="754"/>
        <v>50.652582826142677</v>
      </c>
      <c r="AE677" s="1123">
        <f t="shared" si="755"/>
        <v>55.983972644995987</v>
      </c>
      <c r="AF677" s="1123">
        <f t="shared" si="756"/>
        <v>61.327381690800813</v>
      </c>
      <c r="AG677" s="1123">
        <f t="shared" si="757"/>
        <v>65.2899680513422</v>
      </c>
      <c r="AH677" s="1123">
        <f t="shared" si="758"/>
        <v>66.838822526440779</v>
      </c>
      <c r="AI677" s="1123">
        <f t="shared" si="759"/>
        <v>65.570212328592163</v>
      </c>
      <c r="AJ677" s="1123">
        <f t="shared" si="760"/>
        <v>61.814820255740493</v>
      </c>
      <c r="AK677" s="1123">
        <f t="shared" si="761"/>
        <v>56.551547124018192</v>
      </c>
      <c r="AL677" s="1123">
        <f t="shared" si="762"/>
        <v>51.1523461847028</v>
      </c>
      <c r="AM677" s="1120">
        <f t="shared" si="763"/>
        <v>1</v>
      </c>
      <c r="AN677" s="1120">
        <f t="shared" si="764"/>
        <v>1</v>
      </c>
      <c r="AO677" s="1120">
        <f t="shared" si="765"/>
        <v>1</v>
      </c>
      <c r="AP677" s="1120">
        <f t="shared" si="766"/>
        <v>1</v>
      </c>
      <c r="AQ677" s="1120">
        <f t="shared" si="767"/>
        <v>1</v>
      </c>
      <c r="AR677" s="1120">
        <f t="shared" si="768"/>
        <v>1</v>
      </c>
      <c r="AS677" s="1120">
        <f t="shared" si="769"/>
        <v>0</v>
      </c>
      <c r="AT677" s="1120">
        <f t="shared" si="770"/>
        <v>0</v>
      </c>
      <c r="AU677" s="1120">
        <f t="shared" si="771"/>
        <v>1</v>
      </c>
      <c r="AV677" s="1120">
        <f t="shared" si="772"/>
        <v>1</v>
      </c>
      <c r="AW677" s="1120">
        <f t="shared" si="773"/>
        <v>1</v>
      </c>
      <c r="AX677" s="1120">
        <f t="shared" si="774"/>
        <v>1</v>
      </c>
      <c r="AY677" s="1120">
        <f t="shared" si="775"/>
        <v>0</v>
      </c>
      <c r="AZ677" s="1120">
        <f t="shared" si="776"/>
        <v>0</v>
      </c>
      <c r="BA677" s="1120">
        <f t="shared" si="777"/>
        <v>0</v>
      </c>
      <c r="BB677" s="1120">
        <f t="shared" si="778"/>
        <v>0</v>
      </c>
      <c r="BC677" s="1120">
        <f t="shared" si="779"/>
        <v>0</v>
      </c>
      <c r="BD677" s="1120">
        <f t="shared" si="780"/>
        <v>0</v>
      </c>
      <c r="BE677" s="1120">
        <f t="shared" si="781"/>
        <v>1</v>
      </c>
      <c r="BF677" s="1120">
        <f t="shared" si="782"/>
        <v>1</v>
      </c>
      <c r="BG677" s="1120">
        <f t="shared" si="783"/>
        <v>0</v>
      </c>
      <c r="BH677" s="1120">
        <f t="shared" si="784"/>
        <v>0</v>
      </c>
      <c r="BI677" s="1120">
        <f t="shared" si="785"/>
        <v>0</v>
      </c>
      <c r="BJ677" s="1120">
        <f t="shared" si="786"/>
        <v>0</v>
      </c>
      <c r="BK677" s="1120">
        <f t="shared" si="787"/>
        <v>1</v>
      </c>
      <c r="BL677" s="1120">
        <f t="shared" si="788"/>
        <v>1</v>
      </c>
      <c r="BM677" s="1120">
        <f t="shared" si="789"/>
        <v>1</v>
      </c>
      <c r="BN677" s="1120">
        <f t="shared" si="790"/>
        <v>1</v>
      </c>
      <c r="BO677" s="1120">
        <f t="shared" si="791"/>
        <v>1</v>
      </c>
      <c r="BP677" s="1120">
        <f t="shared" si="792"/>
        <v>1</v>
      </c>
      <c r="BQ677" s="1120">
        <f t="shared" si="793"/>
        <v>1</v>
      </c>
      <c r="BR677" s="1120">
        <f t="shared" si="794"/>
        <v>0</v>
      </c>
      <c r="BS677" s="1120">
        <f t="shared" si="795"/>
        <v>1</v>
      </c>
      <c r="BT677" s="1120">
        <f t="shared" si="796"/>
        <v>1</v>
      </c>
      <c r="BU677" s="1120">
        <f t="shared" si="797"/>
        <v>1</v>
      </c>
      <c r="BV677" s="1120">
        <f t="shared" si="798"/>
        <v>1</v>
      </c>
      <c r="BW677" s="1120">
        <f t="shared" si="799"/>
        <v>0</v>
      </c>
      <c r="BX677" s="1120">
        <f t="shared" si="800"/>
        <v>0</v>
      </c>
      <c r="BY677" s="1120">
        <f t="shared" si="801"/>
        <v>0</v>
      </c>
      <c r="BZ677" s="1120">
        <f t="shared" si="802"/>
        <v>0</v>
      </c>
      <c r="CA677" s="1120">
        <f t="shared" si="803"/>
        <v>0</v>
      </c>
      <c r="CB677" s="1120">
        <f t="shared" si="804"/>
        <v>1</v>
      </c>
      <c r="CC677" s="1120">
        <f t="shared" si="805"/>
        <v>1</v>
      </c>
      <c r="CD677" s="1120">
        <f t="shared" si="806"/>
        <v>1</v>
      </c>
      <c r="CE677" s="1120">
        <f t="shared" si="807"/>
        <v>1</v>
      </c>
      <c r="CF677" s="1120">
        <f t="shared" si="808"/>
        <v>0</v>
      </c>
      <c r="CG677" s="1120">
        <f t="shared" si="809"/>
        <v>0</v>
      </c>
      <c r="CH677" s="1120">
        <f t="shared" si="810"/>
        <v>0</v>
      </c>
      <c r="CI677" s="1120">
        <f t="shared" si="811"/>
        <v>0.85</v>
      </c>
      <c r="CJ677" s="1120">
        <f t="shared" si="812"/>
        <v>0.85</v>
      </c>
      <c r="CK677" s="1120">
        <f t="shared" si="813"/>
        <v>0.85</v>
      </c>
      <c r="CL677" s="1120">
        <f t="shared" si="814"/>
        <v>0.85</v>
      </c>
      <c r="CM677" s="1120">
        <f t="shared" si="815"/>
        <v>0.85</v>
      </c>
      <c r="CN677" s="1120">
        <f t="shared" si="816"/>
        <v>0.85</v>
      </c>
      <c r="CO677" s="1120">
        <f t="shared" si="817"/>
        <v>0.85</v>
      </c>
      <c r="CP677" s="1120">
        <f t="shared" si="818"/>
        <v>0.7</v>
      </c>
      <c r="CQ677" s="1120">
        <f t="shared" si="819"/>
        <v>0.85</v>
      </c>
      <c r="CR677" s="1120">
        <f t="shared" si="820"/>
        <v>0.85</v>
      </c>
      <c r="CS677" s="1120">
        <f t="shared" si="821"/>
        <v>0.85</v>
      </c>
      <c r="CT677" s="1120">
        <f t="shared" si="822"/>
        <v>0.85</v>
      </c>
      <c r="CU677" s="1120">
        <v>1</v>
      </c>
      <c r="CV677" s="1120"/>
      <c r="CW677" s="1120">
        <f t="shared" si="823"/>
        <v>122</v>
      </c>
      <c r="CX677" s="1120">
        <f t="shared" si="824"/>
        <v>243</v>
      </c>
      <c r="CY677" s="1135" t="s">
        <v>4889</v>
      </c>
      <c r="CZ677" s="1124" t="s">
        <v>4897</v>
      </c>
      <c r="DA677" s="1124"/>
      <c r="DB677" s="1124"/>
      <c r="DC677" s="1120" t="s">
        <v>5274</v>
      </c>
      <c r="DD677" s="1120" t="s">
        <v>250</v>
      </c>
      <c r="DE677" s="1120" t="str">
        <f t="shared" si="825"/>
        <v/>
      </c>
      <c r="DF677" s="1133">
        <v>0</v>
      </c>
      <c r="DG677" s="1125">
        <v>0</v>
      </c>
    </row>
    <row r="678" spans="1:111">
      <c r="A678" s="1120" t="s">
        <v>4064</v>
      </c>
      <c r="B678" s="1125" t="s">
        <v>4026</v>
      </c>
      <c r="C678" s="1125" t="s">
        <v>4027</v>
      </c>
      <c r="D678" s="1125" t="s">
        <v>771</v>
      </c>
      <c r="E678" s="1125">
        <v>2030</v>
      </c>
      <c r="F678" s="1125">
        <v>-98.68</v>
      </c>
      <c r="G678" s="1125">
        <v>42.47</v>
      </c>
      <c r="H678" s="1125">
        <v>-6</v>
      </c>
      <c r="I678" s="1126">
        <v>-1.6600013732910164</v>
      </c>
      <c r="J678" s="1126">
        <v>91.039998626708993</v>
      </c>
      <c r="K678" s="1127">
        <v>70.16000137329101</v>
      </c>
      <c r="L678" s="1125">
        <v>7599.6</v>
      </c>
      <c r="M678" s="1125">
        <v>898.2</v>
      </c>
      <c r="N678" s="1128">
        <v>14.359999656677246</v>
      </c>
      <c r="O678" s="1128">
        <v>26.060000085830687</v>
      </c>
      <c r="P678" s="1128">
        <v>36.679999828338623</v>
      </c>
      <c r="Q678" s="1128">
        <v>50</v>
      </c>
      <c r="R678" s="1128">
        <v>54.680000686645506</v>
      </c>
      <c r="S678" s="1128">
        <v>65.66000137329101</v>
      </c>
      <c r="T678" s="1128">
        <v>76.099999999999994</v>
      </c>
      <c r="U678" s="1128">
        <v>71.780000686645508</v>
      </c>
      <c r="V678" s="1128">
        <v>64.219999313354492</v>
      </c>
      <c r="W678" s="1128">
        <v>50.359999656677246</v>
      </c>
      <c r="X678" s="1128">
        <v>26.779999828338624</v>
      </c>
      <c r="Y678" s="1128">
        <v>14.359999656677246</v>
      </c>
      <c r="Z678" s="1128">
        <v>46.020274036093937</v>
      </c>
      <c r="AA678" s="1128">
        <f t="shared" si="751"/>
        <v>41.082279396367362</v>
      </c>
      <c r="AB678" s="1128">
        <f t="shared" si="752"/>
        <v>39.065665651077367</v>
      </c>
      <c r="AC678" s="1128">
        <f t="shared" si="753"/>
        <v>40.425870217900098</v>
      </c>
      <c r="AD678" s="1128">
        <f t="shared" si="754"/>
        <v>44.808334815106349</v>
      </c>
      <c r="AE678" s="1128">
        <f t="shared" si="755"/>
        <v>51.070702509610562</v>
      </c>
      <c r="AF678" s="1128">
        <f t="shared" si="756"/>
        <v>57.580590655832843</v>
      </c>
      <c r="AG678" s="1128">
        <f t="shared" si="757"/>
        <v>62.64109658804734</v>
      </c>
      <c r="AH678" s="1128">
        <f t="shared" si="758"/>
        <v>64.933121450265347</v>
      </c>
      <c r="AI678" s="1128">
        <f t="shared" si="759"/>
        <v>63.859213640977465</v>
      </c>
      <c r="AJ678" s="1128">
        <f t="shared" si="760"/>
        <v>59.699303780094851</v>
      </c>
      <c r="AK678" s="1128">
        <f t="shared" si="761"/>
        <v>53.537736479008004</v>
      </c>
      <c r="AL678" s="1128">
        <f t="shared" si="762"/>
        <v>46.980619207371504</v>
      </c>
      <c r="AM678" s="1125">
        <f t="shared" si="763"/>
        <v>1</v>
      </c>
      <c r="AN678" s="1125">
        <f t="shared" si="764"/>
        <v>1</v>
      </c>
      <c r="AO678" s="1125">
        <f t="shared" si="765"/>
        <v>1</v>
      </c>
      <c r="AP678" s="1125">
        <f t="shared" si="766"/>
        <v>1</v>
      </c>
      <c r="AQ678" s="1125">
        <f t="shared" si="767"/>
        <v>1</v>
      </c>
      <c r="AR678" s="1125">
        <f t="shared" si="768"/>
        <v>1</v>
      </c>
      <c r="AS678" s="1125">
        <f t="shared" si="769"/>
        <v>0</v>
      </c>
      <c r="AT678" s="1125">
        <f t="shared" si="770"/>
        <v>0</v>
      </c>
      <c r="AU678" s="1125">
        <f t="shared" si="771"/>
        <v>1</v>
      </c>
      <c r="AV678" s="1125">
        <f t="shared" si="772"/>
        <v>1</v>
      </c>
      <c r="AW678" s="1125">
        <f t="shared" si="773"/>
        <v>1</v>
      </c>
      <c r="AX678" s="1125">
        <f t="shared" si="774"/>
        <v>1</v>
      </c>
      <c r="AY678" s="1125">
        <f t="shared" si="775"/>
        <v>0</v>
      </c>
      <c r="AZ678" s="1125">
        <f t="shared" si="776"/>
        <v>0</v>
      </c>
      <c r="BA678" s="1125">
        <f t="shared" si="777"/>
        <v>0</v>
      </c>
      <c r="BB678" s="1125">
        <f t="shared" si="778"/>
        <v>0</v>
      </c>
      <c r="BC678" s="1125">
        <f t="shared" si="779"/>
        <v>0</v>
      </c>
      <c r="BD678" s="1125">
        <f t="shared" si="780"/>
        <v>0</v>
      </c>
      <c r="BE678" s="1125">
        <f t="shared" si="781"/>
        <v>1</v>
      </c>
      <c r="BF678" s="1125">
        <f t="shared" si="782"/>
        <v>1</v>
      </c>
      <c r="BG678" s="1125">
        <f t="shared" si="783"/>
        <v>0</v>
      </c>
      <c r="BH678" s="1125">
        <f t="shared" si="784"/>
        <v>0</v>
      </c>
      <c r="BI678" s="1125">
        <f t="shared" si="785"/>
        <v>0</v>
      </c>
      <c r="BJ678" s="1125">
        <f t="shared" si="786"/>
        <v>0</v>
      </c>
      <c r="BK678" s="1125">
        <f t="shared" si="787"/>
        <v>1</v>
      </c>
      <c r="BL678" s="1125">
        <f t="shared" si="788"/>
        <v>1</v>
      </c>
      <c r="BM678" s="1125">
        <f t="shared" si="789"/>
        <v>1</v>
      </c>
      <c r="BN678" s="1125">
        <f t="shared" si="790"/>
        <v>1</v>
      </c>
      <c r="BO678" s="1125">
        <f t="shared" si="791"/>
        <v>1</v>
      </c>
      <c r="BP678" s="1125">
        <f t="shared" si="792"/>
        <v>1</v>
      </c>
      <c r="BQ678" s="1125">
        <f t="shared" si="793"/>
        <v>1</v>
      </c>
      <c r="BR678" s="1125">
        <f t="shared" si="794"/>
        <v>0</v>
      </c>
      <c r="BS678" s="1125">
        <f t="shared" si="795"/>
        <v>1</v>
      </c>
      <c r="BT678" s="1125">
        <f t="shared" si="796"/>
        <v>1</v>
      </c>
      <c r="BU678" s="1125">
        <f t="shared" si="797"/>
        <v>1</v>
      </c>
      <c r="BV678" s="1125">
        <f t="shared" si="798"/>
        <v>1</v>
      </c>
      <c r="BW678" s="1125">
        <f t="shared" si="799"/>
        <v>0</v>
      </c>
      <c r="BX678" s="1125">
        <f t="shared" si="800"/>
        <v>0</v>
      </c>
      <c r="BY678" s="1125">
        <f t="shared" si="801"/>
        <v>0</v>
      </c>
      <c r="BZ678" s="1125">
        <f t="shared" si="802"/>
        <v>0</v>
      </c>
      <c r="CA678" s="1125">
        <f t="shared" si="803"/>
        <v>0</v>
      </c>
      <c r="CB678" s="1125">
        <f t="shared" si="804"/>
        <v>1</v>
      </c>
      <c r="CC678" s="1125">
        <f t="shared" si="805"/>
        <v>1</v>
      </c>
      <c r="CD678" s="1125">
        <f t="shared" si="806"/>
        <v>1</v>
      </c>
      <c r="CE678" s="1125">
        <f t="shared" si="807"/>
        <v>1</v>
      </c>
      <c r="CF678" s="1125">
        <f t="shared" si="808"/>
        <v>0</v>
      </c>
      <c r="CG678" s="1125">
        <f t="shared" si="809"/>
        <v>0</v>
      </c>
      <c r="CH678" s="1125">
        <f t="shared" si="810"/>
        <v>0</v>
      </c>
      <c r="CI678" s="1125">
        <f t="shared" si="811"/>
        <v>0.85</v>
      </c>
      <c r="CJ678" s="1125">
        <f t="shared" si="812"/>
        <v>0.85</v>
      </c>
      <c r="CK678" s="1125">
        <f t="shared" si="813"/>
        <v>0.85</v>
      </c>
      <c r="CL678" s="1125">
        <f t="shared" si="814"/>
        <v>0.85</v>
      </c>
      <c r="CM678" s="1125">
        <f t="shared" si="815"/>
        <v>0.85</v>
      </c>
      <c r="CN678" s="1125">
        <f t="shared" si="816"/>
        <v>0.85</v>
      </c>
      <c r="CO678" s="1125">
        <f t="shared" si="817"/>
        <v>0.85</v>
      </c>
      <c r="CP678" s="1125">
        <f t="shared" si="818"/>
        <v>0.7</v>
      </c>
      <c r="CQ678" s="1125">
        <f t="shared" si="819"/>
        <v>0.85</v>
      </c>
      <c r="CR678" s="1125">
        <f t="shared" si="820"/>
        <v>0.85</v>
      </c>
      <c r="CS678" s="1125">
        <f t="shared" si="821"/>
        <v>0.85</v>
      </c>
      <c r="CT678" s="1125">
        <f t="shared" si="822"/>
        <v>0.85</v>
      </c>
      <c r="CU678" s="1125">
        <v>1</v>
      </c>
      <c r="CV678" s="1125"/>
      <c r="CW678" s="1125">
        <f t="shared" si="823"/>
        <v>122</v>
      </c>
      <c r="CX678" s="1125">
        <f t="shared" si="824"/>
        <v>243</v>
      </c>
      <c r="CY678" s="1135" t="s">
        <v>4889</v>
      </c>
      <c r="CZ678" s="1124" t="s">
        <v>4897</v>
      </c>
      <c r="DA678" s="1124"/>
      <c r="DB678" s="1124"/>
      <c r="DC678" s="1120" t="s">
        <v>5983</v>
      </c>
      <c r="DD678" s="1120" t="s">
        <v>771</v>
      </c>
      <c r="DE678" s="1120" t="b">
        <f t="shared" si="825"/>
        <v>0</v>
      </c>
      <c r="DF678" s="1133">
        <v>0</v>
      </c>
      <c r="DG678" s="1120">
        <v>0</v>
      </c>
    </row>
    <row r="679" spans="1:111">
      <c r="A679" s="1125" t="s">
        <v>4066</v>
      </c>
      <c r="B679" s="1120" t="s">
        <v>3747</v>
      </c>
      <c r="C679" s="1120" t="s">
        <v>3748</v>
      </c>
      <c r="D679" s="1120" t="s">
        <v>540</v>
      </c>
      <c r="E679" s="1120">
        <v>1004</v>
      </c>
      <c r="F679" s="1120">
        <v>-83.42</v>
      </c>
      <c r="G679" s="1120">
        <v>42.67</v>
      </c>
      <c r="H679" s="1120">
        <v>-5</v>
      </c>
      <c r="I679" s="1121">
        <v>5.5400003433227534</v>
      </c>
      <c r="J679" s="1121">
        <v>86.180000686645513</v>
      </c>
      <c r="K679" s="1122">
        <v>71.599999999999994</v>
      </c>
      <c r="L679" s="1120">
        <v>5947.2</v>
      </c>
      <c r="M679" s="1120">
        <v>837</v>
      </c>
      <c r="N679" s="1123">
        <v>25.520000171661376</v>
      </c>
      <c r="O679" s="1123">
        <v>20.659999656677247</v>
      </c>
      <c r="P679" s="1123">
        <v>41.540000343322752</v>
      </c>
      <c r="Q679" s="1123">
        <v>50.180000686645506</v>
      </c>
      <c r="R679" s="1123">
        <v>55.219999313354492</v>
      </c>
      <c r="S679" s="1123">
        <v>70.16000137329101</v>
      </c>
      <c r="T679" s="1123">
        <v>73.580000686645505</v>
      </c>
      <c r="U679" s="1123">
        <v>72.5</v>
      </c>
      <c r="V679" s="1123">
        <v>65.83999862670899</v>
      </c>
      <c r="W679" s="1123">
        <v>51.080000686645505</v>
      </c>
      <c r="X679" s="1123">
        <v>46.220000171661376</v>
      </c>
      <c r="Y679" s="1123">
        <v>30.380000042915345</v>
      </c>
      <c r="Z679" s="1123">
        <v>50.396986451279631</v>
      </c>
      <c r="AA679" s="1123">
        <f t="shared" si="751"/>
        <v>45.577799091577873</v>
      </c>
      <c r="AB679" s="1123">
        <f t="shared" si="752"/>
        <v>44.123891091275468</v>
      </c>
      <c r="AC679" s="1123">
        <f t="shared" si="753"/>
        <v>45.869154530682692</v>
      </c>
      <c r="AD679" s="1123">
        <f t="shared" si="754"/>
        <v>50.358659598994322</v>
      </c>
      <c r="AE679" s="1123">
        <f t="shared" si="755"/>
        <v>56.422147614787619</v>
      </c>
      <c r="AF679" s="1123">
        <f t="shared" si="756"/>
        <v>62.479076985567296</v>
      </c>
      <c r="AG679" s="1123">
        <f t="shared" si="757"/>
        <v>66.950615730732636</v>
      </c>
      <c r="AH679" s="1123">
        <f t="shared" si="758"/>
        <v>68.671188367858392</v>
      </c>
      <c r="AI679" s="1123">
        <f t="shared" si="759"/>
        <v>67.192301124250804</v>
      </c>
      <c r="AJ679" s="1123">
        <f t="shared" si="760"/>
        <v>62.899448750298468</v>
      </c>
      <c r="AK679" s="1123">
        <f t="shared" si="761"/>
        <v>56.911629372129639</v>
      </c>
      <c r="AL679" s="1123">
        <f t="shared" si="762"/>
        <v>50.789660385753763</v>
      </c>
      <c r="AM679" s="1120">
        <f t="shared" si="763"/>
        <v>1</v>
      </c>
      <c r="AN679" s="1120">
        <f t="shared" si="764"/>
        <v>1</v>
      </c>
      <c r="AO679" s="1120">
        <f t="shared" si="765"/>
        <v>1</v>
      </c>
      <c r="AP679" s="1120">
        <f t="shared" si="766"/>
        <v>1</v>
      </c>
      <c r="AQ679" s="1120">
        <f t="shared" si="767"/>
        <v>1</v>
      </c>
      <c r="AR679" s="1120">
        <f t="shared" si="768"/>
        <v>0</v>
      </c>
      <c r="AS679" s="1120">
        <f t="shared" si="769"/>
        <v>0</v>
      </c>
      <c r="AT679" s="1120">
        <f t="shared" si="770"/>
        <v>0</v>
      </c>
      <c r="AU679" s="1120">
        <f t="shared" si="771"/>
        <v>1</v>
      </c>
      <c r="AV679" s="1120">
        <f t="shared" si="772"/>
        <v>1</v>
      </c>
      <c r="AW679" s="1120">
        <f t="shared" si="773"/>
        <v>1</v>
      </c>
      <c r="AX679" s="1120">
        <f t="shared" si="774"/>
        <v>1</v>
      </c>
      <c r="AY679" s="1120">
        <f t="shared" si="775"/>
        <v>0</v>
      </c>
      <c r="AZ679" s="1120">
        <f t="shared" si="776"/>
        <v>0</v>
      </c>
      <c r="BA679" s="1120">
        <f t="shared" si="777"/>
        <v>0</v>
      </c>
      <c r="BB679" s="1120">
        <f t="shared" si="778"/>
        <v>0</v>
      </c>
      <c r="BC679" s="1120">
        <f t="shared" si="779"/>
        <v>0</v>
      </c>
      <c r="BD679" s="1120">
        <f t="shared" si="780"/>
        <v>1</v>
      </c>
      <c r="BE679" s="1120">
        <f t="shared" si="781"/>
        <v>1</v>
      </c>
      <c r="BF679" s="1120">
        <f t="shared" si="782"/>
        <v>1</v>
      </c>
      <c r="BG679" s="1120">
        <f t="shared" si="783"/>
        <v>0</v>
      </c>
      <c r="BH679" s="1120">
        <f t="shared" si="784"/>
        <v>0</v>
      </c>
      <c r="BI679" s="1120">
        <f t="shared" si="785"/>
        <v>0</v>
      </c>
      <c r="BJ679" s="1120">
        <f t="shared" si="786"/>
        <v>0</v>
      </c>
      <c r="BK679" s="1120">
        <f t="shared" si="787"/>
        <v>1</v>
      </c>
      <c r="BL679" s="1120">
        <f t="shared" si="788"/>
        <v>1</v>
      </c>
      <c r="BM679" s="1120">
        <f t="shared" si="789"/>
        <v>1</v>
      </c>
      <c r="BN679" s="1120">
        <f t="shared" si="790"/>
        <v>1</v>
      </c>
      <c r="BO679" s="1120">
        <f t="shared" si="791"/>
        <v>1</v>
      </c>
      <c r="BP679" s="1120">
        <f t="shared" si="792"/>
        <v>1</v>
      </c>
      <c r="BQ679" s="1120">
        <f t="shared" si="793"/>
        <v>0</v>
      </c>
      <c r="BR679" s="1120">
        <f t="shared" si="794"/>
        <v>0</v>
      </c>
      <c r="BS679" s="1120">
        <f t="shared" si="795"/>
        <v>1</v>
      </c>
      <c r="BT679" s="1120">
        <f t="shared" si="796"/>
        <v>1</v>
      </c>
      <c r="BU679" s="1120">
        <f t="shared" si="797"/>
        <v>1</v>
      </c>
      <c r="BV679" s="1120">
        <f t="shared" si="798"/>
        <v>1</v>
      </c>
      <c r="BW679" s="1120">
        <f t="shared" si="799"/>
        <v>0</v>
      </c>
      <c r="BX679" s="1120">
        <f t="shared" si="800"/>
        <v>0</v>
      </c>
      <c r="BY679" s="1120">
        <f t="shared" si="801"/>
        <v>0</v>
      </c>
      <c r="BZ679" s="1120">
        <f t="shared" si="802"/>
        <v>0</v>
      </c>
      <c r="CA679" s="1120">
        <f t="shared" si="803"/>
        <v>1</v>
      </c>
      <c r="CB679" s="1120">
        <f t="shared" si="804"/>
        <v>1</v>
      </c>
      <c r="CC679" s="1120">
        <f t="shared" si="805"/>
        <v>1</v>
      </c>
      <c r="CD679" s="1120">
        <f t="shared" si="806"/>
        <v>1</v>
      </c>
      <c r="CE679" s="1120">
        <f t="shared" si="807"/>
        <v>1</v>
      </c>
      <c r="CF679" s="1120">
        <f t="shared" si="808"/>
        <v>0</v>
      </c>
      <c r="CG679" s="1120">
        <f t="shared" si="809"/>
        <v>0</v>
      </c>
      <c r="CH679" s="1120">
        <f t="shared" si="810"/>
        <v>0</v>
      </c>
      <c r="CI679" s="1120">
        <f t="shared" si="811"/>
        <v>0.85</v>
      </c>
      <c r="CJ679" s="1120">
        <f t="shared" si="812"/>
        <v>0.85</v>
      </c>
      <c r="CK679" s="1120">
        <f t="shared" si="813"/>
        <v>0.85</v>
      </c>
      <c r="CL679" s="1120">
        <f t="shared" si="814"/>
        <v>0.85</v>
      </c>
      <c r="CM679" s="1120">
        <f t="shared" si="815"/>
        <v>0.85</v>
      </c>
      <c r="CN679" s="1120">
        <f t="shared" si="816"/>
        <v>0.85</v>
      </c>
      <c r="CO679" s="1120">
        <f t="shared" si="817"/>
        <v>0.7</v>
      </c>
      <c r="CP679" s="1120">
        <f t="shared" si="818"/>
        <v>0.7</v>
      </c>
      <c r="CQ679" s="1120">
        <f t="shared" si="819"/>
        <v>0.85</v>
      </c>
      <c r="CR679" s="1120">
        <f t="shared" si="820"/>
        <v>0.85</v>
      </c>
      <c r="CS679" s="1120">
        <f t="shared" si="821"/>
        <v>0.85</v>
      </c>
      <c r="CT679" s="1120">
        <f t="shared" si="822"/>
        <v>0.85</v>
      </c>
      <c r="CU679" s="1120">
        <v>1</v>
      </c>
      <c r="CV679" s="1120"/>
      <c r="CW679" s="1120">
        <f t="shared" si="823"/>
        <v>153</v>
      </c>
      <c r="CX679" s="1120">
        <f t="shared" si="824"/>
        <v>212</v>
      </c>
      <c r="CY679" s="1136" t="s">
        <v>4889</v>
      </c>
      <c r="CZ679" s="1129" t="s">
        <v>4897</v>
      </c>
      <c r="DA679" s="1129"/>
      <c r="DB679" s="1129"/>
      <c r="DC679" s="1125" t="s">
        <v>5312</v>
      </c>
      <c r="DD679" s="1125" t="s">
        <v>540</v>
      </c>
      <c r="DE679" s="1120" t="str">
        <f t="shared" si="825"/>
        <v/>
      </c>
      <c r="DF679" s="1133">
        <v>0</v>
      </c>
      <c r="DG679" s="1125">
        <v>0</v>
      </c>
    </row>
    <row r="680" spans="1:111">
      <c r="A680" s="1120" t="s">
        <v>4068</v>
      </c>
      <c r="B680" s="1125" t="s">
        <v>3150</v>
      </c>
      <c r="C680" s="1125" t="s">
        <v>3151</v>
      </c>
      <c r="D680" s="1125" t="s">
        <v>954</v>
      </c>
      <c r="E680" s="1125">
        <v>7</v>
      </c>
      <c r="F680" s="1125">
        <v>-122.22</v>
      </c>
      <c r="G680" s="1125">
        <v>37.72</v>
      </c>
      <c r="H680" s="1125">
        <v>-8</v>
      </c>
      <c r="I680" s="1126">
        <v>39.559999656677249</v>
      </c>
      <c r="J680" s="1126">
        <v>77.719999313354492</v>
      </c>
      <c r="K680" s="1127">
        <v>64.039998626708979</v>
      </c>
      <c r="L680" s="1125">
        <v>2764.8</v>
      </c>
      <c r="M680" s="1125">
        <v>97.2</v>
      </c>
      <c r="N680" s="1128">
        <v>51.980000686645511</v>
      </c>
      <c r="O680" s="1128">
        <v>50</v>
      </c>
      <c r="P680" s="1128">
        <v>54.319999313354494</v>
      </c>
      <c r="Q680" s="1128">
        <v>57.019999313354489</v>
      </c>
      <c r="R680" s="1128">
        <v>59.359999656677246</v>
      </c>
      <c r="S680" s="1128">
        <v>61.339998626708983</v>
      </c>
      <c r="T680" s="1128">
        <v>61.160001373291017</v>
      </c>
      <c r="U680" s="1128">
        <v>62.6</v>
      </c>
      <c r="V680" s="1128">
        <v>63.139998626708987</v>
      </c>
      <c r="W680" s="1128">
        <v>58.459999656677248</v>
      </c>
      <c r="X680" s="1128">
        <v>55.4</v>
      </c>
      <c r="Y680" s="1128">
        <v>50</v>
      </c>
      <c r="Z680" s="1128">
        <v>57.099397036408725</v>
      </c>
      <c r="AA680" s="1128">
        <f t="shared" si="751"/>
        <v>59.855616283860094</v>
      </c>
      <c r="AB680" s="1128">
        <f t="shared" si="752"/>
        <v>59.644599636978512</v>
      </c>
      <c r="AC680" s="1128">
        <f t="shared" si="753"/>
        <v>60.334129172297892</v>
      </c>
      <c r="AD680" s="1128">
        <f t="shared" si="754"/>
        <v>61.744468390465471</v>
      </c>
      <c r="AE680" s="1128">
        <f t="shared" si="755"/>
        <v>63.507990640280624</v>
      </c>
      <c r="AF680" s="1128">
        <f t="shared" si="756"/>
        <v>65.165006670628543</v>
      </c>
      <c r="AG680" s="1128">
        <f t="shared" si="757"/>
        <v>66.283589717809036</v>
      </c>
      <c r="AH680" s="1128">
        <f t="shared" si="758"/>
        <v>66.572163872688009</v>
      </c>
      <c r="AI680" s="1128">
        <f t="shared" si="759"/>
        <v>65.955507834733879</v>
      </c>
      <c r="AJ680" s="1128">
        <f t="shared" si="760"/>
        <v>64.594362503196606</v>
      </c>
      <c r="AK680" s="1128">
        <f t="shared" si="761"/>
        <v>62.843531384625877</v>
      </c>
      <c r="AL680" s="1128">
        <f t="shared" si="762"/>
        <v>61.159395591201388</v>
      </c>
      <c r="AM680" s="1125">
        <f t="shared" si="763"/>
        <v>1</v>
      </c>
      <c r="AN680" s="1125">
        <f t="shared" si="764"/>
        <v>1</v>
      </c>
      <c r="AO680" s="1125">
        <f t="shared" si="765"/>
        <v>1</v>
      </c>
      <c r="AP680" s="1125">
        <f t="shared" si="766"/>
        <v>1</v>
      </c>
      <c r="AQ680" s="1125">
        <f t="shared" si="767"/>
        <v>1</v>
      </c>
      <c r="AR680" s="1125">
        <f t="shared" si="768"/>
        <v>1</v>
      </c>
      <c r="AS680" s="1125">
        <f t="shared" si="769"/>
        <v>1</v>
      </c>
      <c r="AT680" s="1125">
        <f t="shared" si="770"/>
        <v>1</v>
      </c>
      <c r="AU680" s="1125">
        <f t="shared" si="771"/>
        <v>1</v>
      </c>
      <c r="AV680" s="1125">
        <f t="shared" si="772"/>
        <v>1</v>
      </c>
      <c r="AW680" s="1125">
        <f t="shared" si="773"/>
        <v>1</v>
      </c>
      <c r="AX680" s="1125">
        <f t="shared" si="774"/>
        <v>1</v>
      </c>
      <c r="AY680" s="1125">
        <f t="shared" si="775"/>
        <v>0</v>
      </c>
      <c r="AZ680" s="1125">
        <f t="shared" si="776"/>
        <v>0</v>
      </c>
      <c r="BA680" s="1125">
        <f t="shared" si="777"/>
        <v>0</v>
      </c>
      <c r="BB680" s="1125">
        <f t="shared" si="778"/>
        <v>0</v>
      </c>
      <c r="BC680" s="1125">
        <f t="shared" si="779"/>
        <v>0</v>
      </c>
      <c r="BD680" s="1125">
        <f t="shared" si="780"/>
        <v>0</v>
      </c>
      <c r="BE680" s="1125">
        <f t="shared" si="781"/>
        <v>1</v>
      </c>
      <c r="BF680" s="1125">
        <f t="shared" si="782"/>
        <v>1</v>
      </c>
      <c r="BG680" s="1125">
        <f t="shared" si="783"/>
        <v>0</v>
      </c>
      <c r="BH680" s="1125">
        <f t="shared" si="784"/>
        <v>0</v>
      </c>
      <c r="BI680" s="1125">
        <f t="shared" si="785"/>
        <v>0</v>
      </c>
      <c r="BJ680" s="1125">
        <f t="shared" si="786"/>
        <v>0</v>
      </c>
      <c r="BK680" s="1125">
        <f t="shared" si="787"/>
        <v>1</v>
      </c>
      <c r="BL680" s="1125">
        <f t="shared" si="788"/>
        <v>1</v>
      </c>
      <c r="BM680" s="1125">
        <f t="shared" si="789"/>
        <v>1</v>
      </c>
      <c r="BN680" s="1125">
        <f t="shared" si="790"/>
        <v>1</v>
      </c>
      <c r="BO680" s="1125">
        <f t="shared" si="791"/>
        <v>1</v>
      </c>
      <c r="BP680" s="1125">
        <f t="shared" si="792"/>
        <v>1</v>
      </c>
      <c r="BQ680" s="1125">
        <f t="shared" si="793"/>
        <v>1</v>
      </c>
      <c r="BR680" s="1125">
        <f t="shared" si="794"/>
        <v>1</v>
      </c>
      <c r="BS680" s="1125">
        <f t="shared" si="795"/>
        <v>1</v>
      </c>
      <c r="BT680" s="1125">
        <f t="shared" si="796"/>
        <v>1</v>
      </c>
      <c r="BU680" s="1125">
        <f t="shared" si="797"/>
        <v>1</v>
      </c>
      <c r="BV680" s="1125">
        <f t="shared" si="798"/>
        <v>1</v>
      </c>
      <c r="BW680" s="1125">
        <f t="shared" si="799"/>
        <v>0</v>
      </c>
      <c r="BX680" s="1125">
        <f t="shared" si="800"/>
        <v>0</v>
      </c>
      <c r="BY680" s="1125">
        <f t="shared" si="801"/>
        <v>0</v>
      </c>
      <c r="BZ680" s="1125">
        <f t="shared" si="802"/>
        <v>0</v>
      </c>
      <c r="CA680" s="1125">
        <f t="shared" si="803"/>
        <v>0</v>
      </c>
      <c r="CB680" s="1125">
        <f t="shared" si="804"/>
        <v>0</v>
      </c>
      <c r="CC680" s="1125">
        <f t="shared" si="805"/>
        <v>1</v>
      </c>
      <c r="CD680" s="1125">
        <f t="shared" si="806"/>
        <v>1</v>
      </c>
      <c r="CE680" s="1125">
        <f t="shared" si="807"/>
        <v>0</v>
      </c>
      <c r="CF680" s="1125">
        <f t="shared" si="808"/>
        <v>0</v>
      </c>
      <c r="CG680" s="1125">
        <f t="shared" si="809"/>
        <v>0</v>
      </c>
      <c r="CH680" s="1125">
        <f t="shared" si="810"/>
        <v>0</v>
      </c>
      <c r="CI680" s="1125">
        <f t="shared" si="811"/>
        <v>0.85</v>
      </c>
      <c r="CJ680" s="1125">
        <f t="shared" si="812"/>
        <v>0.85</v>
      </c>
      <c r="CK680" s="1125">
        <f t="shared" si="813"/>
        <v>0.85</v>
      </c>
      <c r="CL680" s="1125">
        <f t="shared" si="814"/>
        <v>0.85</v>
      </c>
      <c r="CM680" s="1125">
        <f t="shared" si="815"/>
        <v>0.85</v>
      </c>
      <c r="CN680" s="1125">
        <f t="shared" si="816"/>
        <v>0.85</v>
      </c>
      <c r="CO680" s="1125">
        <f t="shared" si="817"/>
        <v>0.85</v>
      </c>
      <c r="CP680" s="1125">
        <f t="shared" si="818"/>
        <v>0.85</v>
      </c>
      <c r="CQ680" s="1125">
        <f t="shared" si="819"/>
        <v>0.85</v>
      </c>
      <c r="CR680" s="1125">
        <f t="shared" si="820"/>
        <v>0.85</v>
      </c>
      <c r="CS680" s="1125">
        <f t="shared" si="821"/>
        <v>0.85</v>
      </c>
      <c r="CT680" s="1125">
        <f t="shared" si="822"/>
        <v>0.85</v>
      </c>
      <c r="CU680" s="1125">
        <v>1</v>
      </c>
      <c r="CV680" s="1125"/>
      <c r="CW680" s="1125">
        <f t="shared" si="823"/>
        <v>62</v>
      </c>
      <c r="CX680" s="1125">
        <f t="shared" si="824"/>
        <v>303</v>
      </c>
      <c r="CY680" s="1135" t="s">
        <v>4893</v>
      </c>
      <c r="CZ680" s="1124" t="s">
        <v>4895</v>
      </c>
      <c r="DA680" s="1124"/>
      <c r="DB680" s="1124"/>
      <c r="DC680" s="1120" t="s">
        <v>5040</v>
      </c>
      <c r="DD680" s="1120" t="s">
        <v>954</v>
      </c>
      <c r="DE680" s="1120" t="str">
        <f t="shared" si="825"/>
        <v/>
      </c>
      <c r="DF680" s="1125">
        <v>0</v>
      </c>
      <c r="DG680" s="1120">
        <v>0</v>
      </c>
    </row>
    <row r="681" spans="1:111">
      <c r="A681" s="1125" t="s">
        <v>4070</v>
      </c>
      <c r="B681" s="1125" t="s">
        <v>5834</v>
      </c>
      <c r="C681" s="1125" t="s">
        <v>5835</v>
      </c>
      <c r="D681" s="1125" t="s">
        <v>594</v>
      </c>
      <c r="E681" s="1125">
        <v>89</v>
      </c>
      <c r="F681" s="1125">
        <v>-82.22</v>
      </c>
      <c r="G681" s="1125">
        <v>29.17</v>
      </c>
      <c r="H681" s="1125">
        <v>-5</v>
      </c>
      <c r="I681" s="1126">
        <v>33.980000042915343</v>
      </c>
      <c r="J681" s="1126">
        <v>91.4</v>
      </c>
      <c r="K681" s="1127">
        <v>75.2</v>
      </c>
      <c r="L681" s="1125">
        <v>1103.4000000000001</v>
      </c>
      <c r="M681" s="1125">
        <v>2665.8</v>
      </c>
      <c r="N681" s="1128">
        <v>58.280000686645508</v>
      </c>
      <c r="O681" s="1128">
        <v>57.740000343322755</v>
      </c>
      <c r="P681" s="1128">
        <v>67.460001373291021</v>
      </c>
      <c r="Q681" s="1128">
        <v>68.900000000000006</v>
      </c>
      <c r="R681" s="1128">
        <v>73.580000686645505</v>
      </c>
      <c r="S681" s="1128">
        <v>79.16000137329101</v>
      </c>
      <c r="T681" s="1128">
        <v>79.7</v>
      </c>
      <c r="U681" s="1128">
        <v>78.980000686645511</v>
      </c>
      <c r="V681" s="1128">
        <v>77.539998626708979</v>
      </c>
      <c r="W681" s="1128">
        <v>71.060001373291016</v>
      </c>
      <c r="X681" s="1128">
        <v>59.9</v>
      </c>
      <c r="Y681" s="1128">
        <v>51.080000686645505</v>
      </c>
      <c r="Z681" s="1128">
        <v>68.674137479181155</v>
      </c>
      <c r="AA681" s="1128">
        <f t="shared" si="751"/>
        <v>65.565001804060756</v>
      </c>
      <c r="AB681" s="1128">
        <f t="shared" si="752"/>
        <v>65.944665711420726</v>
      </c>
      <c r="AC681" s="1128">
        <f t="shared" si="753"/>
        <v>68.599800960279424</v>
      </c>
      <c r="AD681" s="1128">
        <f t="shared" si="754"/>
        <v>72.838305631149126</v>
      </c>
      <c r="AE681" s="1128">
        <f t="shared" si="755"/>
        <v>77.555348164233521</v>
      </c>
      <c r="AF681" s="1128">
        <f t="shared" si="756"/>
        <v>81.521358731458349</v>
      </c>
      <c r="AG681" s="1128">
        <f t="shared" si="757"/>
        <v>83.702535560403604</v>
      </c>
      <c r="AH681" s="1128">
        <f t="shared" si="758"/>
        <v>83.530321297652307</v>
      </c>
      <c r="AI681" s="1128">
        <f t="shared" si="759"/>
        <v>81.049606244692711</v>
      </c>
      <c r="AJ681" s="1128">
        <f t="shared" si="760"/>
        <v>76.907027009054886</v>
      </c>
      <c r="AK681" s="1128">
        <f t="shared" si="761"/>
        <v>72.182410707586243</v>
      </c>
      <c r="AL681" s="1128">
        <f t="shared" si="762"/>
        <v>68.107301387805677</v>
      </c>
      <c r="AM681" s="1125">
        <f t="shared" si="763"/>
        <v>1</v>
      </c>
      <c r="AN681" s="1125">
        <f t="shared" si="764"/>
        <v>1</v>
      </c>
      <c r="AO681" s="1125">
        <f t="shared" si="765"/>
        <v>0</v>
      </c>
      <c r="AP681" s="1125">
        <f t="shared" si="766"/>
        <v>0</v>
      </c>
      <c r="AQ681" s="1125">
        <f t="shared" si="767"/>
        <v>0</v>
      </c>
      <c r="AR681" s="1125">
        <f t="shared" si="768"/>
        <v>0</v>
      </c>
      <c r="AS681" s="1125">
        <f t="shared" si="769"/>
        <v>0</v>
      </c>
      <c r="AT681" s="1125">
        <f t="shared" si="770"/>
        <v>0</v>
      </c>
      <c r="AU681" s="1125">
        <f t="shared" si="771"/>
        <v>0</v>
      </c>
      <c r="AV681" s="1125">
        <f t="shared" si="772"/>
        <v>0</v>
      </c>
      <c r="AW681" s="1125">
        <f t="shared" si="773"/>
        <v>1</v>
      </c>
      <c r="AX681" s="1125">
        <f t="shared" si="774"/>
        <v>1</v>
      </c>
      <c r="AY681" s="1125">
        <f t="shared" si="775"/>
        <v>0</v>
      </c>
      <c r="AZ681" s="1125">
        <f t="shared" si="776"/>
        <v>0</v>
      </c>
      <c r="BA681" s="1125">
        <f t="shared" si="777"/>
        <v>1</v>
      </c>
      <c r="BB681" s="1125">
        <f t="shared" si="778"/>
        <v>1</v>
      </c>
      <c r="BC681" s="1125">
        <f t="shared" si="779"/>
        <v>1</v>
      </c>
      <c r="BD681" s="1125">
        <f t="shared" si="780"/>
        <v>1</v>
      </c>
      <c r="BE681" s="1125">
        <f t="shared" si="781"/>
        <v>1</v>
      </c>
      <c r="BF681" s="1125">
        <f t="shared" si="782"/>
        <v>1</v>
      </c>
      <c r="BG681" s="1125">
        <f t="shared" si="783"/>
        <v>1</v>
      </c>
      <c r="BH681" s="1125">
        <f t="shared" si="784"/>
        <v>1</v>
      </c>
      <c r="BI681" s="1125">
        <f t="shared" si="785"/>
        <v>0</v>
      </c>
      <c r="BJ681" s="1125">
        <f t="shared" si="786"/>
        <v>0</v>
      </c>
      <c r="BK681" s="1125">
        <f t="shared" si="787"/>
        <v>1</v>
      </c>
      <c r="BL681" s="1125">
        <f t="shared" si="788"/>
        <v>1</v>
      </c>
      <c r="BM681" s="1125">
        <f t="shared" si="789"/>
        <v>1</v>
      </c>
      <c r="BN681" s="1125">
        <f t="shared" si="790"/>
        <v>0</v>
      </c>
      <c r="BO681" s="1125">
        <f t="shared" si="791"/>
        <v>0</v>
      </c>
      <c r="BP681" s="1125">
        <f t="shared" si="792"/>
        <v>0</v>
      </c>
      <c r="BQ681" s="1125">
        <f t="shared" si="793"/>
        <v>0</v>
      </c>
      <c r="BR681" s="1125">
        <f t="shared" si="794"/>
        <v>0</v>
      </c>
      <c r="BS681" s="1125">
        <f t="shared" si="795"/>
        <v>0</v>
      </c>
      <c r="BT681" s="1125">
        <f t="shared" si="796"/>
        <v>0</v>
      </c>
      <c r="BU681" s="1125">
        <f t="shared" si="797"/>
        <v>1</v>
      </c>
      <c r="BV681" s="1125">
        <f t="shared" si="798"/>
        <v>1</v>
      </c>
      <c r="BW681" s="1125">
        <f t="shared" si="799"/>
        <v>0</v>
      </c>
      <c r="BX681" s="1125">
        <f t="shared" si="800"/>
        <v>1</v>
      </c>
      <c r="BY681" s="1125">
        <f t="shared" si="801"/>
        <v>1</v>
      </c>
      <c r="BZ681" s="1125">
        <f t="shared" si="802"/>
        <v>1</v>
      </c>
      <c r="CA681" s="1125">
        <f t="shared" si="803"/>
        <v>1</v>
      </c>
      <c r="CB681" s="1125">
        <f t="shared" si="804"/>
        <v>1</v>
      </c>
      <c r="CC681" s="1125">
        <f t="shared" si="805"/>
        <v>1</v>
      </c>
      <c r="CD681" s="1125">
        <f t="shared" si="806"/>
        <v>1</v>
      </c>
      <c r="CE681" s="1125">
        <f t="shared" si="807"/>
        <v>1</v>
      </c>
      <c r="CF681" s="1125">
        <f t="shared" si="808"/>
        <v>1</v>
      </c>
      <c r="CG681" s="1125">
        <f t="shared" si="809"/>
        <v>1</v>
      </c>
      <c r="CH681" s="1125">
        <f t="shared" si="810"/>
        <v>0</v>
      </c>
      <c r="CI681" s="1125">
        <f t="shared" si="811"/>
        <v>0.85</v>
      </c>
      <c r="CJ681" s="1125">
        <f t="shared" si="812"/>
        <v>0.85</v>
      </c>
      <c r="CK681" s="1125">
        <f t="shared" si="813"/>
        <v>0.85</v>
      </c>
      <c r="CL681" s="1125">
        <f t="shared" si="814"/>
        <v>0.7</v>
      </c>
      <c r="CM681" s="1125">
        <f t="shared" si="815"/>
        <v>0.7</v>
      </c>
      <c r="CN681" s="1125">
        <f t="shared" si="816"/>
        <v>0.7</v>
      </c>
      <c r="CO681" s="1125">
        <f t="shared" si="817"/>
        <v>0.7</v>
      </c>
      <c r="CP681" s="1125">
        <f t="shared" si="818"/>
        <v>0.7</v>
      </c>
      <c r="CQ681" s="1125">
        <f t="shared" si="819"/>
        <v>0.7</v>
      </c>
      <c r="CR681" s="1125">
        <f t="shared" si="820"/>
        <v>0.7</v>
      </c>
      <c r="CS681" s="1125">
        <f t="shared" si="821"/>
        <v>0.85</v>
      </c>
      <c r="CT681" s="1125">
        <f t="shared" si="822"/>
        <v>0.85</v>
      </c>
      <c r="CU681" s="1125">
        <v>1</v>
      </c>
      <c r="CV681" s="1125"/>
      <c r="CW681" s="1125">
        <f t="shared" si="823"/>
        <v>303</v>
      </c>
      <c r="CX681" s="1125">
        <f t="shared" si="824"/>
        <v>62</v>
      </c>
      <c r="CY681" s="1135" t="s">
        <v>4883</v>
      </c>
      <c r="CZ681" s="1124" t="s">
        <v>4884</v>
      </c>
      <c r="DA681" s="1124"/>
      <c r="DB681" s="1124"/>
      <c r="DC681" s="1120" t="s">
        <v>5726</v>
      </c>
      <c r="DD681" s="1120" t="s">
        <v>594</v>
      </c>
      <c r="DE681" s="1120" t="str">
        <f t="shared" si="825"/>
        <v/>
      </c>
      <c r="DF681" s="1133">
        <v>0</v>
      </c>
      <c r="DG681" s="1125">
        <v>0</v>
      </c>
    </row>
    <row r="682" spans="1:111">
      <c r="A682" s="1120" t="s">
        <v>4072</v>
      </c>
      <c r="B682" s="1120" t="s">
        <v>4524</v>
      </c>
      <c r="C682" s="1120" t="s">
        <v>4525</v>
      </c>
      <c r="D682" s="1120" t="s">
        <v>501</v>
      </c>
      <c r="E682" s="1120">
        <v>26</v>
      </c>
      <c r="F682" s="1120">
        <v>-76.03</v>
      </c>
      <c r="G682" s="1120">
        <v>36.82</v>
      </c>
      <c r="H682" s="1120">
        <v>-5</v>
      </c>
      <c r="I682" s="1121">
        <v>25.339999914169312</v>
      </c>
      <c r="J682" s="1121">
        <v>90.5</v>
      </c>
      <c r="K682" s="1122">
        <v>76.280000686645508</v>
      </c>
      <c r="L682" s="1120">
        <v>3137.4</v>
      </c>
      <c r="M682" s="1120">
        <v>1656</v>
      </c>
      <c r="N682" s="1123">
        <v>41.359999656677246</v>
      </c>
      <c r="O682" s="1123">
        <v>46.220000171661376</v>
      </c>
      <c r="P682" s="1123">
        <v>50.359999656677246</v>
      </c>
      <c r="Q682" s="1123">
        <v>58.1</v>
      </c>
      <c r="R682" s="1123">
        <v>66.019999313354489</v>
      </c>
      <c r="S682" s="1123">
        <v>76.099999999999994</v>
      </c>
      <c r="T682" s="1123">
        <v>77.719999313354492</v>
      </c>
      <c r="U682" s="1123">
        <v>79.880000686645502</v>
      </c>
      <c r="V682" s="1123">
        <v>71.239998626708982</v>
      </c>
      <c r="W682" s="1123">
        <v>60.980000686645511</v>
      </c>
      <c r="X682" s="1123">
        <v>52.340000343322757</v>
      </c>
      <c r="Y682" s="1123">
        <v>42.97999982833862</v>
      </c>
      <c r="Z682" s="1123">
        <v>60.344821773424542</v>
      </c>
      <c r="AA682" s="1123">
        <f t="shared" si="751"/>
        <v>56.047248683170231</v>
      </c>
      <c r="AB682" s="1123">
        <f t="shared" si="752"/>
        <v>55.698968777010272</v>
      </c>
      <c r="AC682" s="1123">
        <f t="shared" si="753"/>
        <v>58.125694511926348</v>
      </c>
      <c r="AD682" s="1123">
        <f t="shared" si="754"/>
        <v>62.694862428137007</v>
      </c>
      <c r="AE682" s="1123">
        <f t="shared" si="755"/>
        <v>68.21544849527298</v>
      </c>
      <c r="AF682" s="1123">
        <f t="shared" si="756"/>
        <v>73.248426880128775</v>
      </c>
      <c r="AG682" s="1123">
        <f t="shared" si="757"/>
        <v>76.481874206147097</v>
      </c>
      <c r="AH682" s="1123">
        <f t="shared" si="758"/>
        <v>77.072942598869645</v>
      </c>
      <c r="AI682" s="1123">
        <f t="shared" si="759"/>
        <v>74.86756097309366</v>
      </c>
      <c r="AJ682" s="1123">
        <f t="shared" si="760"/>
        <v>70.44059603553724</v>
      </c>
      <c r="AK682" s="1123">
        <f t="shared" si="761"/>
        <v>64.946004418769206</v>
      </c>
      <c r="AL682" s="1123">
        <f t="shared" si="762"/>
        <v>59.816036101920034</v>
      </c>
      <c r="AM682" s="1120">
        <f t="shared" si="763"/>
        <v>1</v>
      </c>
      <c r="AN682" s="1120">
        <f t="shared" si="764"/>
        <v>1</v>
      </c>
      <c r="AO682" s="1120">
        <f t="shared" si="765"/>
        <v>1</v>
      </c>
      <c r="AP682" s="1120">
        <f t="shared" si="766"/>
        <v>1</v>
      </c>
      <c r="AQ682" s="1120">
        <f t="shared" si="767"/>
        <v>0</v>
      </c>
      <c r="AR682" s="1120">
        <f t="shared" si="768"/>
        <v>0</v>
      </c>
      <c r="AS682" s="1120">
        <f t="shared" si="769"/>
        <v>0</v>
      </c>
      <c r="AT682" s="1120">
        <f t="shared" si="770"/>
        <v>0</v>
      </c>
      <c r="AU682" s="1120">
        <f t="shared" si="771"/>
        <v>0</v>
      </c>
      <c r="AV682" s="1120">
        <f t="shared" si="772"/>
        <v>1</v>
      </c>
      <c r="AW682" s="1120">
        <f t="shared" si="773"/>
        <v>1</v>
      </c>
      <c r="AX682" s="1120">
        <f t="shared" si="774"/>
        <v>1</v>
      </c>
      <c r="AY682" s="1120">
        <f t="shared" si="775"/>
        <v>0</v>
      </c>
      <c r="AZ682" s="1120">
        <f t="shared" si="776"/>
        <v>0</v>
      </c>
      <c r="BA682" s="1120">
        <f t="shared" si="777"/>
        <v>0</v>
      </c>
      <c r="BB682" s="1120">
        <f t="shared" si="778"/>
        <v>0</v>
      </c>
      <c r="BC682" s="1120">
        <f t="shared" si="779"/>
        <v>1</v>
      </c>
      <c r="BD682" s="1120">
        <f t="shared" si="780"/>
        <v>1</v>
      </c>
      <c r="BE682" s="1120">
        <f t="shared" si="781"/>
        <v>1</v>
      </c>
      <c r="BF682" s="1120">
        <f t="shared" si="782"/>
        <v>1</v>
      </c>
      <c r="BG682" s="1120">
        <f t="shared" si="783"/>
        <v>1</v>
      </c>
      <c r="BH682" s="1120">
        <f t="shared" si="784"/>
        <v>0</v>
      </c>
      <c r="BI682" s="1120">
        <f t="shared" si="785"/>
        <v>0</v>
      </c>
      <c r="BJ682" s="1120">
        <f t="shared" si="786"/>
        <v>0</v>
      </c>
      <c r="BK682" s="1120">
        <f t="shared" si="787"/>
        <v>1</v>
      </c>
      <c r="BL682" s="1120">
        <f t="shared" si="788"/>
        <v>1</v>
      </c>
      <c r="BM682" s="1120">
        <f t="shared" si="789"/>
        <v>1</v>
      </c>
      <c r="BN682" s="1120">
        <f t="shared" si="790"/>
        <v>1</v>
      </c>
      <c r="BO682" s="1120">
        <f t="shared" si="791"/>
        <v>1</v>
      </c>
      <c r="BP682" s="1120">
        <f t="shared" si="792"/>
        <v>0</v>
      </c>
      <c r="BQ682" s="1120">
        <f t="shared" si="793"/>
        <v>0</v>
      </c>
      <c r="BR682" s="1120">
        <f t="shared" si="794"/>
        <v>0</v>
      </c>
      <c r="BS682" s="1120">
        <f t="shared" si="795"/>
        <v>0</v>
      </c>
      <c r="BT682" s="1120">
        <f t="shared" si="796"/>
        <v>1</v>
      </c>
      <c r="BU682" s="1120">
        <f t="shared" si="797"/>
        <v>1</v>
      </c>
      <c r="BV682" s="1120">
        <f t="shared" si="798"/>
        <v>1</v>
      </c>
      <c r="BW682" s="1120">
        <f t="shared" si="799"/>
        <v>0</v>
      </c>
      <c r="BX682" s="1120">
        <f t="shared" si="800"/>
        <v>0</v>
      </c>
      <c r="BY682" s="1120">
        <f t="shared" si="801"/>
        <v>0</v>
      </c>
      <c r="BZ682" s="1120">
        <f t="shared" si="802"/>
        <v>1</v>
      </c>
      <c r="CA682" s="1120">
        <f t="shared" si="803"/>
        <v>1</v>
      </c>
      <c r="CB682" s="1120">
        <f t="shared" si="804"/>
        <v>1</v>
      </c>
      <c r="CC682" s="1120">
        <f t="shared" si="805"/>
        <v>1</v>
      </c>
      <c r="CD682" s="1120">
        <f t="shared" si="806"/>
        <v>1</v>
      </c>
      <c r="CE682" s="1120">
        <f t="shared" si="807"/>
        <v>1</v>
      </c>
      <c r="CF682" s="1120">
        <f t="shared" si="808"/>
        <v>1</v>
      </c>
      <c r="CG682" s="1120">
        <f t="shared" si="809"/>
        <v>0</v>
      </c>
      <c r="CH682" s="1120">
        <f t="shared" si="810"/>
        <v>0</v>
      </c>
      <c r="CI682" s="1120">
        <f t="shared" si="811"/>
        <v>0.85</v>
      </c>
      <c r="CJ682" s="1120">
        <f t="shared" si="812"/>
        <v>0.85</v>
      </c>
      <c r="CK682" s="1120">
        <f t="shared" si="813"/>
        <v>0.85</v>
      </c>
      <c r="CL682" s="1120">
        <f t="shared" si="814"/>
        <v>0.85</v>
      </c>
      <c r="CM682" s="1120">
        <f t="shared" si="815"/>
        <v>0.85</v>
      </c>
      <c r="CN682" s="1120">
        <f t="shared" si="816"/>
        <v>0.7</v>
      </c>
      <c r="CO682" s="1120">
        <f t="shared" si="817"/>
        <v>0.7</v>
      </c>
      <c r="CP682" s="1120">
        <f t="shared" si="818"/>
        <v>0.7</v>
      </c>
      <c r="CQ682" s="1120">
        <f t="shared" si="819"/>
        <v>0.7</v>
      </c>
      <c r="CR682" s="1120">
        <f t="shared" si="820"/>
        <v>0.85</v>
      </c>
      <c r="CS682" s="1120">
        <f t="shared" si="821"/>
        <v>0.85</v>
      </c>
      <c r="CT682" s="1120">
        <f t="shared" si="822"/>
        <v>0.85</v>
      </c>
      <c r="CU682" s="1120">
        <v>1</v>
      </c>
      <c r="CV682" s="1120"/>
      <c r="CW682" s="1120">
        <f t="shared" si="823"/>
        <v>214</v>
      </c>
      <c r="CX682" s="1120">
        <f t="shared" si="824"/>
        <v>151</v>
      </c>
      <c r="CY682" s="1135" t="s">
        <v>4881</v>
      </c>
      <c r="CZ682" s="1124" t="s">
        <v>4885</v>
      </c>
      <c r="DA682" s="1124"/>
      <c r="DB682" s="1124"/>
      <c r="DC682" s="1120" t="s">
        <v>5638</v>
      </c>
      <c r="DD682" s="1120" t="s">
        <v>501</v>
      </c>
      <c r="DE682" s="1120" t="str">
        <f t="shared" si="825"/>
        <v/>
      </c>
      <c r="DF682" s="1133">
        <v>1</v>
      </c>
      <c r="DG682" s="1120">
        <v>0</v>
      </c>
    </row>
    <row r="683" spans="1:111">
      <c r="A683" s="1125" t="s">
        <v>4074</v>
      </c>
      <c r="B683" s="1125" t="s">
        <v>3453</v>
      </c>
      <c r="C683" s="1125" t="s">
        <v>3454</v>
      </c>
      <c r="D683" s="1125" t="s">
        <v>566</v>
      </c>
      <c r="E683" s="1125">
        <v>1076</v>
      </c>
      <c r="F683" s="1125">
        <v>-91.97</v>
      </c>
      <c r="G683" s="1125">
        <v>42.68</v>
      </c>
      <c r="H683" s="1125">
        <v>-6</v>
      </c>
      <c r="I683" s="1126">
        <v>-2.3800006866455088</v>
      </c>
      <c r="J683" s="1126">
        <v>90.679997253417966</v>
      </c>
      <c r="K683" s="1127">
        <v>77.180000686645513</v>
      </c>
      <c r="L683" s="1125">
        <v>6226.2</v>
      </c>
      <c r="M683" s="1125">
        <v>691.2</v>
      </c>
      <c r="N683" s="1128">
        <v>22.820000171661377</v>
      </c>
      <c r="O683" s="1128">
        <v>27.320000171661377</v>
      </c>
      <c r="P683" s="1128">
        <v>43.879999828338626</v>
      </c>
      <c r="Q683" s="1128">
        <v>49.280000686645508</v>
      </c>
      <c r="R683" s="1128">
        <v>59</v>
      </c>
      <c r="S683" s="1128">
        <v>68.539998626708979</v>
      </c>
      <c r="T683" s="1128">
        <v>67.819999313354487</v>
      </c>
      <c r="U683" s="1128">
        <v>72.139998626708987</v>
      </c>
      <c r="V683" s="1128">
        <v>64.580000686645505</v>
      </c>
      <c r="W683" s="1128">
        <v>52.519999313354489</v>
      </c>
      <c r="X683" s="1128">
        <v>38.839999914169312</v>
      </c>
      <c r="Y683" s="1128">
        <v>22.820000171661377</v>
      </c>
      <c r="Z683" s="1128">
        <v>49.241534033997418</v>
      </c>
      <c r="AA683" s="1128">
        <f t="shared" si="751"/>
        <v>45.516229495665968</v>
      </c>
      <c r="AB683" s="1128">
        <f t="shared" si="752"/>
        <v>44.085068465827717</v>
      </c>
      <c r="AC683" s="1128">
        <f t="shared" si="753"/>
        <v>45.562012112671475</v>
      </c>
      <c r="AD683" s="1128">
        <f t="shared" si="754"/>
        <v>49.562072314256859</v>
      </c>
      <c r="AE683" s="1128">
        <f t="shared" si="755"/>
        <v>55.042571736247027</v>
      </c>
      <c r="AF683" s="1128">
        <f t="shared" si="756"/>
        <v>60.574933747247655</v>
      </c>
      <c r="AG683" s="1128">
        <f t="shared" si="757"/>
        <v>64.717062932812155</v>
      </c>
      <c r="AH683" s="1128">
        <f t="shared" si="758"/>
        <v>66.389249488580191</v>
      </c>
      <c r="AI683" s="1128">
        <f t="shared" si="759"/>
        <v>65.155612219615989</v>
      </c>
      <c r="AJ683" s="1128">
        <f t="shared" si="760"/>
        <v>61.337717691000847</v>
      </c>
      <c r="AK683" s="1128">
        <f t="shared" si="761"/>
        <v>55.930758947153919</v>
      </c>
      <c r="AL683" s="1128">
        <f t="shared" si="762"/>
        <v>50.344143108415317</v>
      </c>
      <c r="AM683" s="1125">
        <f t="shared" si="763"/>
        <v>1</v>
      </c>
      <c r="AN683" s="1125">
        <f t="shared" si="764"/>
        <v>1</v>
      </c>
      <c r="AO683" s="1125">
        <f t="shared" si="765"/>
        <v>1</v>
      </c>
      <c r="AP683" s="1125">
        <f t="shared" si="766"/>
        <v>1</v>
      </c>
      <c r="AQ683" s="1125">
        <f t="shared" si="767"/>
        <v>1</v>
      </c>
      <c r="AR683" s="1125">
        <f t="shared" si="768"/>
        <v>0</v>
      </c>
      <c r="AS683" s="1125">
        <f t="shared" si="769"/>
        <v>0</v>
      </c>
      <c r="AT683" s="1125">
        <f t="shared" si="770"/>
        <v>0</v>
      </c>
      <c r="AU683" s="1125">
        <f t="shared" si="771"/>
        <v>1</v>
      </c>
      <c r="AV683" s="1125">
        <f t="shared" si="772"/>
        <v>1</v>
      </c>
      <c r="AW683" s="1125">
        <f t="shared" si="773"/>
        <v>1</v>
      </c>
      <c r="AX683" s="1125">
        <f t="shared" si="774"/>
        <v>1</v>
      </c>
      <c r="AY683" s="1125">
        <f t="shared" si="775"/>
        <v>0</v>
      </c>
      <c r="AZ683" s="1125">
        <f t="shared" si="776"/>
        <v>0</v>
      </c>
      <c r="BA683" s="1125">
        <f t="shared" si="777"/>
        <v>0</v>
      </c>
      <c r="BB683" s="1125">
        <f t="shared" si="778"/>
        <v>0</v>
      </c>
      <c r="BC683" s="1125">
        <f t="shared" si="779"/>
        <v>0</v>
      </c>
      <c r="BD683" s="1125">
        <f t="shared" si="780"/>
        <v>1</v>
      </c>
      <c r="BE683" s="1125">
        <f t="shared" si="781"/>
        <v>1</v>
      </c>
      <c r="BF683" s="1125">
        <f t="shared" si="782"/>
        <v>1</v>
      </c>
      <c r="BG683" s="1125">
        <f t="shared" si="783"/>
        <v>0</v>
      </c>
      <c r="BH683" s="1125">
        <f t="shared" si="784"/>
        <v>0</v>
      </c>
      <c r="BI683" s="1125">
        <f t="shared" si="785"/>
        <v>0</v>
      </c>
      <c r="BJ683" s="1125">
        <f t="shared" si="786"/>
        <v>0</v>
      </c>
      <c r="BK683" s="1125">
        <f t="shared" si="787"/>
        <v>1</v>
      </c>
      <c r="BL683" s="1125">
        <f t="shared" si="788"/>
        <v>1</v>
      </c>
      <c r="BM683" s="1125">
        <f t="shared" si="789"/>
        <v>1</v>
      </c>
      <c r="BN683" s="1125">
        <f t="shared" si="790"/>
        <v>1</v>
      </c>
      <c r="BO683" s="1125">
        <f t="shared" si="791"/>
        <v>1</v>
      </c>
      <c r="BP683" s="1125">
        <f t="shared" si="792"/>
        <v>1</v>
      </c>
      <c r="BQ683" s="1125">
        <f t="shared" si="793"/>
        <v>0</v>
      </c>
      <c r="BR683" s="1125">
        <f t="shared" si="794"/>
        <v>0</v>
      </c>
      <c r="BS683" s="1125">
        <f t="shared" si="795"/>
        <v>1</v>
      </c>
      <c r="BT683" s="1125">
        <f t="shared" si="796"/>
        <v>1</v>
      </c>
      <c r="BU683" s="1125">
        <f t="shared" si="797"/>
        <v>1</v>
      </c>
      <c r="BV683" s="1125">
        <f t="shared" si="798"/>
        <v>1</v>
      </c>
      <c r="BW683" s="1125">
        <f t="shared" si="799"/>
        <v>0</v>
      </c>
      <c r="BX683" s="1125">
        <f t="shared" si="800"/>
        <v>0</v>
      </c>
      <c r="BY683" s="1125">
        <f t="shared" si="801"/>
        <v>0</v>
      </c>
      <c r="BZ683" s="1125">
        <f t="shared" si="802"/>
        <v>0</v>
      </c>
      <c r="CA683" s="1125">
        <f t="shared" si="803"/>
        <v>1</v>
      </c>
      <c r="CB683" s="1125">
        <f t="shared" si="804"/>
        <v>1</v>
      </c>
      <c r="CC683" s="1125">
        <f t="shared" si="805"/>
        <v>1</v>
      </c>
      <c r="CD683" s="1125">
        <f t="shared" si="806"/>
        <v>1</v>
      </c>
      <c r="CE683" s="1125">
        <f t="shared" si="807"/>
        <v>1</v>
      </c>
      <c r="CF683" s="1125">
        <f t="shared" si="808"/>
        <v>0</v>
      </c>
      <c r="CG683" s="1125">
        <f t="shared" si="809"/>
        <v>0</v>
      </c>
      <c r="CH683" s="1125">
        <f t="shared" si="810"/>
        <v>0</v>
      </c>
      <c r="CI683" s="1125">
        <f t="shared" si="811"/>
        <v>0.85</v>
      </c>
      <c r="CJ683" s="1125">
        <f t="shared" si="812"/>
        <v>0.85</v>
      </c>
      <c r="CK683" s="1125">
        <f t="shared" si="813"/>
        <v>0.85</v>
      </c>
      <c r="CL683" s="1125">
        <f t="shared" si="814"/>
        <v>0.85</v>
      </c>
      <c r="CM683" s="1125">
        <f t="shared" si="815"/>
        <v>0.85</v>
      </c>
      <c r="CN683" s="1125">
        <f t="shared" si="816"/>
        <v>0.85</v>
      </c>
      <c r="CO683" s="1125">
        <f t="shared" si="817"/>
        <v>0.7</v>
      </c>
      <c r="CP683" s="1125">
        <f t="shared" si="818"/>
        <v>0.7</v>
      </c>
      <c r="CQ683" s="1125">
        <f t="shared" si="819"/>
        <v>0.85</v>
      </c>
      <c r="CR683" s="1125">
        <f t="shared" si="820"/>
        <v>0.85</v>
      </c>
      <c r="CS683" s="1125">
        <f t="shared" si="821"/>
        <v>0.85</v>
      </c>
      <c r="CT683" s="1125">
        <f t="shared" si="822"/>
        <v>0.85</v>
      </c>
      <c r="CU683" s="1125">
        <v>1</v>
      </c>
      <c r="CV683" s="1125"/>
      <c r="CW683" s="1125">
        <f t="shared" si="823"/>
        <v>153</v>
      </c>
      <c r="CX683" s="1125">
        <f t="shared" si="824"/>
        <v>212</v>
      </c>
      <c r="CY683" s="1136" t="s">
        <v>4889</v>
      </c>
      <c r="CZ683" s="1129" t="s">
        <v>4899</v>
      </c>
      <c r="DA683" s="1129"/>
      <c r="DB683" s="1129"/>
      <c r="DC683" s="1125" t="s">
        <v>5182</v>
      </c>
      <c r="DD683" s="1125" t="s">
        <v>566</v>
      </c>
      <c r="DE683" s="1120" t="str">
        <f t="shared" si="825"/>
        <v/>
      </c>
      <c r="DF683" s="1133">
        <v>0</v>
      </c>
      <c r="DG683" s="1125">
        <v>0</v>
      </c>
    </row>
    <row r="684" spans="1:111">
      <c r="A684" s="1120" t="s">
        <v>5906</v>
      </c>
      <c r="B684" s="1120" t="s">
        <v>4474</v>
      </c>
      <c r="C684" s="1120" t="s">
        <v>4475</v>
      </c>
      <c r="D684" s="1120" t="s">
        <v>905</v>
      </c>
      <c r="E684" s="1120">
        <v>4786</v>
      </c>
      <c r="F684" s="1120">
        <v>-111.97</v>
      </c>
      <c r="G684" s="1120">
        <v>41.12</v>
      </c>
      <c r="H684" s="1120">
        <v>-7</v>
      </c>
      <c r="I684" s="1121">
        <v>12.2</v>
      </c>
      <c r="J684" s="1121">
        <v>90.860001373291013</v>
      </c>
      <c r="K684" s="1122">
        <v>60.619999313354491</v>
      </c>
      <c r="L684" s="1120">
        <v>5887.8</v>
      </c>
      <c r="M684" s="1120">
        <v>1081.8</v>
      </c>
      <c r="N684" s="1123">
        <v>31.81999999731779</v>
      </c>
      <c r="O684" s="1123">
        <v>32</v>
      </c>
      <c r="P684" s="1123">
        <v>37.579999828338622</v>
      </c>
      <c r="Q684" s="1123">
        <v>43.52000017166138</v>
      </c>
      <c r="R684" s="1123">
        <v>61.7</v>
      </c>
      <c r="S684" s="1123">
        <v>69.8</v>
      </c>
      <c r="T684" s="1123">
        <v>78.439998626708984</v>
      </c>
      <c r="U684" s="1123">
        <v>74.3</v>
      </c>
      <c r="V684" s="1123">
        <v>63.86000137329102</v>
      </c>
      <c r="W684" s="1123">
        <v>49.459999656677248</v>
      </c>
      <c r="X684" s="1123">
        <v>37.76000008583069</v>
      </c>
      <c r="Y684" s="1123">
        <v>32.720000010728839</v>
      </c>
      <c r="Z684" s="1123">
        <v>51.207726001743588</v>
      </c>
      <c r="AA684" s="1123">
        <f t="shared" si="751"/>
        <v>47.438379697357327</v>
      </c>
      <c r="AB684" s="1123">
        <f t="shared" si="752"/>
        <v>46.21154633610557</v>
      </c>
      <c r="AC684" s="1123">
        <f t="shared" si="753"/>
        <v>47.851036660960411</v>
      </c>
      <c r="AD684" s="1123">
        <f t="shared" si="754"/>
        <v>51.929492253437751</v>
      </c>
      <c r="AE684" s="1123">
        <f t="shared" si="755"/>
        <v>57.383800812455206</v>
      </c>
      <c r="AF684" s="1123">
        <f t="shared" si="756"/>
        <v>62.79221275866572</v>
      </c>
      <c r="AG684" s="1123">
        <f t="shared" si="757"/>
        <v>66.744942172138551</v>
      </c>
      <c r="AH684" s="1123">
        <f t="shared" si="758"/>
        <v>68.211649217847906</v>
      </c>
      <c r="AI684" s="1123">
        <f t="shared" si="759"/>
        <v>66.810014101689916</v>
      </c>
      <c r="AJ684" s="1123">
        <f t="shared" si="760"/>
        <v>62.905394616542097</v>
      </c>
      <c r="AK684" s="1123">
        <f t="shared" si="761"/>
        <v>57.515590003215898</v>
      </c>
      <c r="AL684" s="1123">
        <f t="shared" si="762"/>
        <v>52.045535893578069</v>
      </c>
      <c r="AM684" s="1120">
        <f t="shared" si="763"/>
        <v>1</v>
      </c>
      <c r="AN684" s="1120">
        <f t="shared" si="764"/>
        <v>1</v>
      </c>
      <c r="AO684" s="1120">
        <f t="shared" si="765"/>
        <v>1</v>
      </c>
      <c r="AP684" s="1120">
        <f t="shared" si="766"/>
        <v>1</v>
      </c>
      <c r="AQ684" s="1120">
        <f t="shared" si="767"/>
        <v>1</v>
      </c>
      <c r="AR684" s="1120">
        <f t="shared" si="768"/>
        <v>0</v>
      </c>
      <c r="AS684" s="1120">
        <f t="shared" si="769"/>
        <v>0</v>
      </c>
      <c r="AT684" s="1120">
        <f t="shared" si="770"/>
        <v>0</v>
      </c>
      <c r="AU684" s="1120">
        <f t="shared" si="771"/>
        <v>1</v>
      </c>
      <c r="AV684" s="1120">
        <f t="shared" si="772"/>
        <v>1</v>
      </c>
      <c r="AW684" s="1120">
        <f t="shared" si="773"/>
        <v>1</v>
      </c>
      <c r="AX684" s="1120">
        <f t="shared" si="774"/>
        <v>1</v>
      </c>
      <c r="AY684" s="1120">
        <f t="shared" si="775"/>
        <v>0</v>
      </c>
      <c r="AZ684" s="1120">
        <f t="shared" si="776"/>
        <v>0</v>
      </c>
      <c r="BA684" s="1120">
        <f t="shared" si="777"/>
        <v>0</v>
      </c>
      <c r="BB684" s="1120">
        <f t="shared" si="778"/>
        <v>0</v>
      </c>
      <c r="BC684" s="1120">
        <f t="shared" si="779"/>
        <v>0</v>
      </c>
      <c r="BD684" s="1120">
        <f t="shared" si="780"/>
        <v>1</v>
      </c>
      <c r="BE684" s="1120">
        <f t="shared" si="781"/>
        <v>1</v>
      </c>
      <c r="BF684" s="1120">
        <f t="shared" si="782"/>
        <v>1</v>
      </c>
      <c r="BG684" s="1120">
        <f t="shared" si="783"/>
        <v>0</v>
      </c>
      <c r="BH684" s="1120">
        <f t="shared" si="784"/>
        <v>0</v>
      </c>
      <c r="BI684" s="1120">
        <f t="shared" si="785"/>
        <v>0</v>
      </c>
      <c r="BJ684" s="1120">
        <f t="shared" si="786"/>
        <v>0</v>
      </c>
      <c r="BK684" s="1120">
        <f t="shared" si="787"/>
        <v>1</v>
      </c>
      <c r="BL684" s="1120">
        <f t="shared" si="788"/>
        <v>1</v>
      </c>
      <c r="BM684" s="1120">
        <f t="shared" si="789"/>
        <v>1</v>
      </c>
      <c r="BN684" s="1120">
        <f t="shared" si="790"/>
        <v>1</v>
      </c>
      <c r="BO684" s="1120">
        <f t="shared" si="791"/>
        <v>1</v>
      </c>
      <c r="BP684" s="1120">
        <f t="shared" si="792"/>
        <v>1</v>
      </c>
      <c r="BQ684" s="1120">
        <f t="shared" si="793"/>
        <v>0</v>
      </c>
      <c r="BR684" s="1120">
        <f t="shared" si="794"/>
        <v>0</v>
      </c>
      <c r="BS684" s="1120">
        <f t="shared" si="795"/>
        <v>1</v>
      </c>
      <c r="BT684" s="1120">
        <f t="shared" si="796"/>
        <v>1</v>
      </c>
      <c r="BU684" s="1120">
        <f t="shared" si="797"/>
        <v>1</v>
      </c>
      <c r="BV684" s="1120">
        <f t="shared" si="798"/>
        <v>1</v>
      </c>
      <c r="BW684" s="1120">
        <f t="shared" si="799"/>
        <v>0</v>
      </c>
      <c r="BX684" s="1120">
        <f t="shared" si="800"/>
        <v>0</v>
      </c>
      <c r="BY684" s="1120">
        <f t="shared" si="801"/>
        <v>0</v>
      </c>
      <c r="BZ684" s="1120">
        <f t="shared" si="802"/>
        <v>0</v>
      </c>
      <c r="CA684" s="1120">
        <f t="shared" si="803"/>
        <v>1</v>
      </c>
      <c r="CB684" s="1120">
        <f t="shared" si="804"/>
        <v>1</v>
      </c>
      <c r="CC684" s="1120">
        <f t="shared" si="805"/>
        <v>1</v>
      </c>
      <c r="CD684" s="1120">
        <f t="shared" si="806"/>
        <v>1</v>
      </c>
      <c r="CE684" s="1120">
        <f t="shared" si="807"/>
        <v>1</v>
      </c>
      <c r="CF684" s="1120">
        <f t="shared" si="808"/>
        <v>0</v>
      </c>
      <c r="CG684" s="1120">
        <f t="shared" si="809"/>
        <v>0</v>
      </c>
      <c r="CH684" s="1120">
        <f t="shared" si="810"/>
        <v>0</v>
      </c>
      <c r="CI684" s="1120">
        <f t="shared" si="811"/>
        <v>0.85</v>
      </c>
      <c r="CJ684" s="1120">
        <f t="shared" si="812"/>
        <v>0.85</v>
      </c>
      <c r="CK684" s="1120">
        <f t="shared" si="813"/>
        <v>0.85</v>
      </c>
      <c r="CL684" s="1120">
        <f t="shared" si="814"/>
        <v>0.85</v>
      </c>
      <c r="CM684" s="1120">
        <f t="shared" si="815"/>
        <v>0.85</v>
      </c>
      <c r="CN684" s="1120">
        <f t="shared" si="816"/>
        <v>0.85</v>
      </c>
      <c r="CO684" s="1120">
        <f t="shared" si="817"/>
        <v>0.7</v>
      </c>
      <c r="CP684" s="1120">
        <f t="shared" si="818"/>
        <v>0.7</v>
      </c>
      <c r="CQ684" s="1120">
        <f t="shared" si="819"/>
        <v>0.85</v>
      </c>
      <c r="CR684" s="1120">
        <f t="shared" si="820"/>
        <v>0.85</v>
      </c>
      <c r="CS684" s="1120">
        <f t="shared" si="821"/>
        <v>0.85</v>
      </c>
      <c r="CT684" s="1120">
        <f t="shared" si="822"/>
        <v>0.85</v>
      </c>
      <c r="CU684" s="1120">
        <v>1</v>
      </c>
      <c r="CV684" s="1120"/>
      <c r="CW684" s="1120">
        <f t="shared" si="823"/>
        <v>153</v>
      </c>
      <c r="CX684" s="1120">
        <f t="shared" si="824"/>
        <v>212</v>
      </c>
      <c r="CY684" s="1136" t="s">
        <v>4889</v>
      </c>
      <c r="CZ684" s="1129" t="s">
        <v>4890</v>
      </c>
      <c r="DA684" s="1129"/>
      <c r="DB684" s="1129"/>
      <c r="DC684" s="1125" t="s">
        <v>6005</v>
      </c>
      <c r="DD684" s="1125" t="s">
        <v>905</v>
      </c>
      <c r="DE684" s="1120" t="b">
        <f t="shared" si="825"/>
        <v>0</v>
      </c>
      <c r="DF684" s="1133">
        <v>1</v>
      </c>
      <c r="DG684" s="1120">
        <v>0</v>
      </c>
    </row>
    <row r="685" spans="1:111">
      <c r="A685" s="1125" t="s">
        <v>4076</v>
      </c>
      <c r="B685" s="1125" t="s">
        <v>4476</v>
      </c>
      <c r="C685" s="1125" t="s">
        <v>4477</v>
      </c>
      <c r="D685" s="1125" t="s">
        <v>905</v>
      </c>
      <c r="E685" s="1125">
        <v>4467</v>
      </c>
      <c r="F685" s="1125">
        <v>-112.02</v>
      </c>
      <c r="G685" s="1125">
        <v>41.2</v>
      </c>
      <c r="H685" s="1125">
        <v>-7</v>
      </c>
      <c r="I685" s="1126">
        <v>12.019999313354491</v>
      </c>
      <c r="J685" s="1126">
        <v>96.979997253417977</v>
      </c>
      <c r="K685" s="1127">
        <v>57.380000686645509</v>
      </c>
      <c r="L685" s="1125">
        <v>5706</v>
      </c>
      <c r="M685" s="1125">
        <v>1229.4000000000001</v>
      </c>
      <c r="N685" s="1128">
        <v>26.6</v>
      </c>
      <c r="O685" s="1128">
        <v>31.81999999731779</v>
      </c>
      <c r="P685" s="1128">
        <v>40.1</v>
      </c>
      <c r="Q685" s="1128">
        <v>53.6</v>
      </c>
      <c r="R685" s="1128">
        <v>61.519999313354496</v>
      </c>
      <c r="S685" s="1128">
        <v>69.439998626708984</v>
      </c>
      <c r="T685" s="1128">
        <v>79.519999313354489</v>
      </c>
      <c r="U685" s="1128">
        <v>75.560001373291016</v>
      </c>
      <c r="V685" s="1128">
        <v>63.680000686645506</v>
      </c>
      <c r="W685" s="1128">
        <v>51.259999656677245</v>
      </c>
      <c r="X685" s="1128">
        <v>40.1</v>
      </c>
      <c r="Y685" s="1128">
        <v>31.279999989271165</v>
      </c>
      <c r="Z685" s="1128">
        <v>52.155068406438176</v>
      </c>
      <c r="AA685" s="1128">
        <f t="shared" si="751"/>
        <v>46.748901822124367</v>
      </c>
      <c r="AB685" s="1128">
        <f t="shared" si="752"/>
        <v>45.432014258147625</v>
      </c>
      <c r="AC685" s="1128">
        <f t="shared" si="753"/>
        <v>47.431586826122171</v>
      </c>
      <c r="AD685" s="1128">
        <f t="shared" si="754"/>
        <v>52.226400121859434</v>
      </c>
      <c r="AE685" s="1128">
        <f t="shared" si="755"/>
        <v>58.566612169515956</v>
      </c>
      <c r="AF685" s="1128">
        <f t="shared" si="756"/>
        <v>64.799548993244898</v>
      </c>
      <c r="AG685" s="1128">
        <f t="shared" si="757"/>
        <v>69.300499557477366</v>
      </c>
      <c r="AH685" s="1128">
        <f t="shared" si="758"/>
        <v>70.896221735898408</v>
      </c>
      <c r="AI685" s="1128">
        <f t="shared" si="759"/>
        <v>69.17076595187946</v>
      </c>
      <c r="AJ685" s="1128">
        <f t="shared" si="760"/>
        <v>64.573898845603566</v>
      </c>
      <c r="AK685" s="1128">
        <f t="shared" si="761"/>
        <v>58.303864668187934</v>
      </c>
      <c r="AL685" s="1128">
        <f t="shared" si="762"/>
        <v>51.995044452127438</v>
      </c>
      <c r="AM685" s="1125">
        <f t="shared" si="763"/>
        <v>1</v>
      </c>
      <c r="AN685" s="1125">
        <f t="shared" si="764"/>
        <v>1</v>
      </c>
      <c r="AO685" s="1125">
        <f t="shared" si="765"/>
        <v>1</v>
      </c>
      <c r="AP685" s="1125">
        <f t="shared" si="766"/>
        <v>1</v>
      </c>
      <c r="AQ685" s="1125">
        <f t="shared" si="767"/>
        <v>1</v>
      </c>
      <c r="AR685" s="1125">
        <f t="shared" si="768"/>
        <v>0</v>
      </c>
      <c r="AS685" s="1125">
        <f t="shared" si="769"/>
        <v>0</v>
      </c>
      <c r="AT685" s="1125">
        <f t="shared" si="770"/>
        <v>0</v>
      </c>
      <c r="AU685" s="1125">
        <f t="shared" si="771"/>
        <v>1</v>
      </c>
      <c r="AV685" s="1125">
        <f t="shared" si="772"/>
        <v>1</v>
      </c>
      <c r="AW685" s="1125">
        <f t="shared" si="773"/>
        <v>1</v>
      </c>
      <c r="AX685" s="1125">
        <f t="shared" si="774"/>
        <v>1</v>
      </c>
      <c r="AY685" s="1125">
        <f t="shared" si="775"/>
        <v>0</v>
      </c>
      <c r="AZ685" s="1125">
        <f t="shared" si="776"/>
        <v>0</v>
      </c>
      <c r="BA685" s="1125">
        <f t="shared" si="777"/>
        <v>0</v>
      </c>
      <c r="BB685" s="1125">
        <f t="shared" si="778"/>
        <v>0</v>
      </c>
      <c r="BC685" s="1125">
        <f t="shared" si="779"/>
        <v>0</v>
      </c>
      <c r="BD685" s="1125">
        <f t="shared" si="780"/>
        <v>1</v>
      </c>
      <c r="BE685" s="1125">
        <f t="shared" si="781"/>
        <v>1</v>
      </c>
      <c r="BF685" s="1125">
        <f t="shared" si="782"/>
        <v>1</v>
      </c>
      <c r="BG685" s="1125">
        <f t="shared" si="783"/>
        <v>0</v>
      </c>
      <c r="BH685" s="1125">
        <f t="shared" si="784"/>
        <v>0</v>
      </c>
      <c r="BI685" s="1125">
        <f t="shared" si="785"/>
        <v>0</v>
      </c>
      <c r="BJ685" s="1125">
        <f t="shared" si="786"/>
        <v>0</v>
      </c>
      <c r="BK685" s="1125">
        <f t="shared" si="787"/>
        <v>1</v>
      </c>
      <c r="BL685" s="1125">
        <f t="shared" si="788"/>
        <v>1</v>
      </c>
      <c r="BM685" s="1125">
        <f t="shared" si="789"/>
        <v>1</v>
      </c>
      <c r="BN685" s="1125">
        <f t="shared" si="790"/>
        <v>1</v>
      </c>
      <c r="BO685" s="1125">
        <f t="shared" si="791"/>
        <v>1</v>
      </c>
      <c r="BP685" s="1125">
        <f t="shared" si="792"/>
        <v>1</v>
      </c>
      <c r="BQ685" s="1125">
        <f t="shared" si="793"/>
        <v>0</v>
      </c>
      <c r="BR685" s="1125">
        <f t="shared" si="794"/>
        <v>0</v>
      </c>
      <c r="BS685" s="1125">
        <f t="shared" si="795"/>
        <v>1</v>
      </c>
      <c r="BT685" s="1125">
        <f t="shared" si="796"/>
        <v>1</v>
      </c>
      <c r="BU685" s="1125">
        <f t="shared" si="797"/>
        <v>1</v>
      </c>
      <c r="BV685" s="1125">
        <f t="shared" si="798"/>
        <v>1</v>
      </c>
      <c r="BW685" s="1125">
        <f t="shared" si="799"/>
        <v>0</v>
      </c>
      <c r="BX685" s="1125">
        <f t="shared" si="800"/>
        <v>0</v>
      </c>
      <c r="BY685" s="1125">
        <f t="shared" si="801"/>
        <v>0</v>
      </c>
      <c r="BZ685" s="1125">
        <f t="shared" si="802"/>
        <v>0</v>
      </c>
      <c r="CA685" s="1125">
        <f t="shared" si="803"/>
        <v>1</v>
      </c>
      <c r="CB685" s="1125">
        <f t="shared" si="804"/>
        <v>1</v>
      </c>
      <c r="CC685" s="1125">
        <f t="shared" si="805"/>
        <v>1</v>
      </c>
      <c r="CD685" s="1125">
        <f t="shared" si="806"/>
        <v>1</v>
      </c>
      <c r="CE685" s="1125">
        <f t="shared" si="807"/>
        <v>1</v>
      </c>
      <c r="CF685" s="1125">
        <f t="shared" si="808"/>
        <v>0</v>
      </c>
      <c r="CG685" s="1125">
        <f t="shared" si="809"/>
        <v>0</v>
      </c>
      <c r="CH685" s="1125">
        <f t="shared" si="810"/>
        <v>0</v>
      </c>
      <c r="CI685" s="1125">
        <f t="shared" si="811"/>
        <v>0.85</v>
      </c>
      <c r="CJ685" s="1125">
        <f t="shared" si="812"/>
        <v>0.85</v>
      </c>
      <c r="CK685" s="1125">
        <f t="shared" si="813"/>
        <v>0.85</v>
      </c>
      <c r="CL685" s="1125">
        <f t="shared" si="814"/>
        <v>0.85</v>
      </c>
      <c r="CM685" s="1125">
        <f t="shared" si="815"/>
        <v>0.85</v>
      </c>
      <c r="CN685" s="1125">
        <f t="shared" si="816"/>
        <v>0.85</v>
      </c>
      <c r="CO685" s="1125">
        <f t="shared" si="817"/>
        <v>0.7</v>
      </c>
      <c r="CP685" s="1125">
        <f t="shared" si="818"/>
        <v>0.7</v>
      </c>
      <c r="CQ685" s="1125">
        <f t="shared" si="819"/>
        <v>0.85</v>
      </c>
      <c r="CR685" s="1125">
        <f t="shared" si="820"/>
        <v>0.85</v>
      </c>
      <c r="CS685" s="1125">
        <f t="shared" si="821"/>
        <v>0.85</v>
      </c>
      <c r="CT685" s="1125">
        <f t="shared" si="822"/>
        <v>0.85</v>
      </c>
      <c r="CU685" s="1125">
        <v>1</v>
      </c>
      <c r="CV685" s="1125"/>
      <c r="CW685" s="1125">
        <f t="shared" si="823"/>
        <v>153</v>
      </c>
      <c r="CX685" s="1125">
        <f t="shared" si="824"/>
        <v>212</v>
      </c>
      <c r="CY685" s="1136" t="s">
        <v>4889</v>
      </c>
      <c r="CZ685" s="1129" t="s">
        <v>4890</v>
      </c>
      <c r="DA685" s="1129"/>
      <c r="DB685" s="1129"/>
      <c r="DC685" s="1125" t="s">
        <v>5622</v>
      </c>
      <c r="DD685" s="1125" t="s">
        <v>905</v>
      </c>
      <c r="DE685" s="1120" t="str">
        <f t="shared" si="825"/>
        <v/>
      </c>
      <c r="DF685" s="1133">
        <v>0</v>
      </c>
      <c r="DG685" s="1125">
        <v>0</v>
      </c>
    </row>
    <row r="686" spans="1:111">
      <c r="A686" s="1120" t="s">
        <v>4078</v>
      </c>
      <c r="B686" s="1120" t="s">
        <v>4182</v>
      </c>
      <c r="C686" s="1120" t="s">
        <v>4183</v>
      </c>
      <c r="D686" s="1120" t="s">
        <v>229</v>
      </c>
      <c r="E686" s="1120">
        <v>928</v>
      </c>
      <c r="F686" s="1120">
        <v>-83.07</v>
      </c>
      <c r="G686" s="1120">
        <v>40.07</v>
      </c>
      <c r="H686" s="1120">
        <v>-5</v>
      </c>
      <c r="I686" s="1121">
        <v>11.659999656677245</v>
      </c>
      <c r="J686" s="1121">
        <v>88.16000137329101</v>
      </c>
      <c r="K686" s="1122">
        <v>73.039998626708979</v>
      </c>
      <c r="L686" s="1120">
        <v>5067</v>
      </c>
      <c r="M686" s="1120">
        <v>1166.4000000000001</v>
      </c>
      <c r="N686" s="1123">
        <v>29.480000042915343</v>
      </c>
      <c r="O686" s="1123">
        <v>35.6</v>
      </c>
      <c r="P686" s="1123">
        <v>42.620000171661374</v>
      </c>
      <c r="Q686" s="1123">
        <v>49.819999313354494</v>
      </c>
      <c r="R686" s="1123">
        <v>57.740000343322755</v>
      </c>
      <c r="S686" s="1123">
        <v>70.519999313354489</v>
      </c>
      <c r="T686" s="1123">
        <v>75.380000686645502</v>
      </c>
      <c r="U686" s="1123">
        <v>77.719999313354492</v>
      </c>
      <c r="V686" s="1123">
        <v>69.619999313354498</v>
      </c>
      <c r="W686" s="1123">
        <v>56.119999313354491</v>
      </c>
      <c r="X686" s="1123">
        <v>44.779999828338624</v>
      </c>
      <c r="Y686" s="1123">
        <v>33.980000042915343</v>
      </c>
      <c r="Z686" s="1123">
        <v>53.707506658606334</v>
      </c>
      <c r="AA686" s="1123">
        <f t="shared" si="751"/>
        <v>48.835932914265854</v>
      </c>
      <c r="AB686" s="1123">
        <f t="shared" si="752"/>
        <v>47.757377020936694</v>
      </c>
      <c r="AC686" s="1123">
        <f t="shared" si="753"/>
        <v>49.793806574738234</v>
      </c>
      <c r="AD686" s="1123">
        <f t="shared" si="754"/>
        <v>54.414394830142733</v>
      </c>
      <c r="AE686" s="1123">
        <f t="shared" si="755"/>
        <v>60.414714252958632</v>
      </c>
      <c r="AF686" s="1123">
        <f t="shared" si="756"/>
        <v>66.230689117907687</v>
      </c>
      <c r="AG686" s="1123">
        <f t="shared" si="757"/>
        <v>70.34629594955527</v>
      </c>
      <c r="AH686" s="1123">
        <f t="shared" si="758"/>
        <v>71.688738403811357</v>
      </c>
      <c r="AI686" s="1123">
        <f t="shared" si="759"/>
        <v>69.908088167309657</v>
      </c>
      <c r="AJ686" s="1123">
        <f t="shared" si="760"/>
        <v>65.468499164845113</v>
      </c>
      <c r="AK686" s="1123">
        <f t="shared" si="761"/>
        <v>59.52721868604759</v>
      </c>
      <c r="AL686" s="1123">
        <f t="shared" si="762"/>
        <v>53.632933045619254</v>
      </c>
      <c r="AM686" s="1120">
        <f t="shared" si="763"/>
        <v>1</v>
      </c>
      <c r="AN686" s="1120">
        <f t="shared" si="764"/>
        <v>1</v>
      </c>
      <c r="AO686" s="1120">
        <f t="shared" si="765"/>
        <v>1</v>
      </c>
      <c r="AP686" s="1120">
        <f t="shared" si="766"/>
        <v>1</v>
      </c>
      <c r="AQ686" s="1120">
        <f t="shared" si="767"/>
        <v>1</v>
      </c>
      <c r="AR686" s="1120">
        <f t="shared" si="768"/>
        <v>0</v>
      </c>
      <c r="AS686" s="1120">
        <f t="shared" si="769"/>
        <v>0</v>
      </c>
      <c r="AT686" s="1120">
        <f t="shared" si="770"/>
        <v>0</v>
      </c>
      <c r="AU686" s="1120">
        <f t="shared" si="771"/>
        <v>0</v>
      </c>
      <c r="AV686" s="1120">
        <f t="shared" si="772"/>
        <v>1</v>
      </c>
      <c r="AW686" s="1120">
        <f t="shared" si="773"/>
        <v>1</v>
      </c>
      <c r="AX686" s="1120">
        <f t="shared" si="774"/>
        <v>1</v>
      </c>
      <c r="AY686" s="1120">
        <f t="shared" si="775"/>
        <v>0</v>
      </c>
      <c r="AZ686" s="1120">
        <f t="shared" si="776"/>
        <v>0</v>
      </c>
      <c r="BA686" s="1120">
        <f t="shared" si="777"/>
        <v>0</v>
      </c>
      <c r="BB686" s="1120">
        <f t="shared" si="778"/>
        <v>0</v>
      </c>
      <c r="BC686" s="1120">
        <f t="shared" si="779"/>
        <v>0</v>
      </c>
      <c r="BD686" s="1120">
        <f t="shared" si="780"/>
        <v>1</v>
      </c>
      <c r="BE686" s="1120">
        <f t="shared" si="781"/>
        <v>1</v>
      </c>
      <c r="BF686" s="1120">
        <f t="shared" si="782"/>
        <v>1</v>
      </c>
      <c r="BG686" s="1120">
        <f t="shared" si="783"/>
        <v>1</v>
      </c>
      <c r="BH686" s="1120">
        <f t="shared" si="784"/>
        <v>0</v>
      </c>
      <c r="BI686" s="1120">
        <f t="shared" si="785"/>
        <v>0</v>
      </c>
      <c r="BJ686" s="1120">
        <f t="shared" si="786"/>
        <v>0</v>
      </c>
      <c r="BK686" s="1120">
        <f t="shared" si="787"/>
        <v>1</v>
      </c>
      <c r="BL686" s="1120">
        <f t="shared" si="788"/>
        <v>1</v>
      </c>
      <c r="BM686" s="1120">
        <f t="shared" si="789"/>
        <v>1</v>
      </c>
      <c r="BN686" s="1120">
        <f t="shared" si="790"/>
        <v>1</v>
      </c>
      <c r="BO686" s="1120">
        <f t="shared" si="791"/>
        <v>1</v>
      </c>
      <c r="BP686" s="1120">
        <f t="shared" si="792"/>
        <v>1</v>
      </c>
      <c r="BQ686" s="1120">
        <f t="shared" si="793"/>
        <v>0</v>
      </c>
      <c r="BR686" s="1120">
        <f t="shared" si="794"/>
        <v>0</v>
      </c>
      <c r="BS686" s="1120">
        <f t="shared" si="795"/>
        <v>0</v>
      </c>
      <c r="BT686" s="1120">
        <f t="shared" si="796"/>
        <v>1</v>
      </c>
      <c r="BU686" s="1120">
        <f t="shared" si="797"/>
        <v>1</v>
      </c>
      <c r="BV686" s="1120">
        <f t="shared" si="798"/>
        <v>1</v>
      </c>
      <c r="BW686" s="1120">
        <f t="shared" si="799"/>
        <v>0</v>
      </c>
      <c r="BX686" s="1120">
        <f t="shared" si="800"/>
        <v>0</v>
      </c>
      <c r="BY686" s="1120">
        <f t="shared" si="801"/>
        <v>0</v>
      </c>
      <c r="BZ686" s="1120">
        <f t="shared" si="802"/>
        <v>0</v>
      </c>
      <c r="CA686" s="1120">
        <f t="shared" si="803"/>
        <v>1</v>
      </c>
      <c r="CB686" s="1120">
        <f t="shared" si="804"/>
        <v>1</v>
      </c>
      <c r="CC686" s="1120">
        <f t="shared" si="805"/>
        <v>1</v>
      </c>
      <c r="CD686" s="1120">
        <f t="shared" si="806"/>
        <v>1</v>
      </c>
      <c r="CE686" s="1120">
        <f t="shared" si="807"/>
        <v>1</v>
      </c>
      <c r="CF686" s="1120">
        <f t="shared" si="808"/>
        <v>1</v>
      </c>
      <c r="CG686" s="1120">
        <f t="shared" si="809"/>
        <v>0</v>
      </c>
      <c r="CH686" s="1120">
        <f t="shared" si="810"/>
        <v>0</v>
      </c>
      <c r="CI686" s="1120">
        <f t="shared" si="811"/>
        <v>0.85</v>
      </c>
      <c r="CJ686" s="1120">
        <f t="shared" si="812"/>
        <v>0.85</v>
      </c>
      <c r="CK686" s="1120">
        <f t="shared" si="813"/>
        <v>0.85</v>
      </c>
      <c r="CL686" s="1120">
        <f t="shared" si="814"/>
        <v>0.85</v>
      </c>
      <c r="CM686" s="1120">
        <f t="shared" si="815"/>
        <v>0.85</v>
      </c>
      <c r="CN686" s="1120">
        <f t="shared" si="816"/>
        <v>0.85</v>
      </c>
      <c r="CO686" s="1120">
        <f t="shared" si="817"/>
        <v>0.7</v>
      </c>
      <c r="CP686" s="1120">
        <f t="shared" si="818"/>
        <v>0.7</v>
      </c>
      <c r="CQ686" s="1120">
        <f t="shared" si="819"/>
        <v>0.7</v>
      </c>
      <c r="CR686" s="1120">
        <f t="shared" si="820"/>
        <v>0.85</v>
      </c>
      <c r="CS686" s="1120">
        <f t="shared" si="821"/>
        <v>0.85</v>
      </c>
      <c r="CT686" s="1120">
        <f t="shared" si="822"/>
        <v>0.85</v>
      </c>
      <c r="CU686" s="1120">
        <v>1</v>
      </c>
      <c r="CV686" s="1120"/>
      <c r="CW686" s="1120">
        <f t="shared" si="823"/>
        <v>184</v>
      </c>
      <c r="CX686" s="1120">
        <f t="shared" si="824"/>
        <v>181</v>
      </c>
      <c r="CY686" s="1136" t="s">
        <v>4889</v>
      </c>
      <c r="CZ686" s="1129" t="s">
        <v>4897</v>
      </c>
      <c r="DA686" s="1129"/>
      <c r="DB686" s="1129"/>
      <c r="DC686" s="1125" t="s">
        <v>5497</v>
      </c>
      <c r="DD686" s="1125" t="s">
        <v>229</v>
      </c>
      <c r="DE686" s="1120" t="str">
        <f t="shared" si="825"/>
        <v/>
      </c>
      <c r="DF686" s="1133">
        <v>1</v>
      </c>
      <c r="DG686" s="1120">
        <v>0</v>
      </c>
    </row>
    <row r="687" spans="1:111">
      <c r="A687" s="1125" t="s">
        <v>4080</v>
      </c>
      <c r="B687" s="1120" t="s">
        <v>4206</v>
      </c>
      <c r="C687" s="1120" t="s">
        <v>4207</v>
      </c>
      <c r="D687" s="1120" t="s">
        <v>61</v>
      </c>
      <c r="E687" s="1120">
        <v>1260</v>
      </c>
      <c r="F687" s="1120">
        <v>-97.38</v>
      </c>
      <c r="G687" s="1120">
        <v>35.42</v>
      </c>
      <c r="H687" s="1120">
        <v>-6</v>
      </c>
      <c r="I687" s="1121">
        <v>17.959999656677248</v>
      </c>
      <c r="J687" s="1121">
        <v>96.620002746582031</v>
      </c>
      <c r="K687" s="1122">
        <v>73.939998626708984</v>
      </c>
      <c r="L687" s="1120">
        <v>3895.2000000000003</v>
      </c>
      <c r="M687" s="1120">
        <v>2149.2000000000003</v>
      </c>
      <c r="N687" s="1123">
        <v>38.299999999999997</v>
      </c>
      <c r="O687" s="1123">
        <v>38.120000171661374</v>
      </c>
      <c r="P687" s="1123">
        <v>45.859999656677246</v>
      </c>
      <c r="Q687" s="1123">
        <v>59</v>
      </c>
      <c r="R687" s="1123">
        <v>70.7</v>
      </c>
      <c r="S687" s="1123">
        <v>80.419999313354495</v>
      </c>
      <c r="T687" s="1123">
        <v>84.380000686645502</v>
      </c>
      <c r="U687" s="1123">
        <v>80.599999999999994</v>
      </c>
      <c r="V687" s="1123">
        <v>69.619999313354498</v>
      </c>
      <c r="W687" s="1123">
        <v>61.519999313354496</v>
      </c>
      <c r="X687" s="1123">
        <v>45.679999828338623</v>
      </c>
      <c r="Y687" s="1123">
        <v>39.200000000000003</v>
      </c>
      <c r="Z687" s="1123">
        <v>59.578958761136825</v>
      </c>
      <c r="AA687" s="1123">
        <f t="shared" si="751"/>
        <v>53.434862644440862</v>
      </c>
      <c r="AB687" s="1123">
        <f t="shared" si="752"/>
        <v>52.935992473736384</v>
      </c>
      <c r="AC687" s="1123">
        <f t="shared" si="753"/>
        <v>55.732706299850896</v>
      </c>
      <c r="AD687" s="1123">
        <f t="shared" si="754"/>
        <v>61.095997565342998</v>
      </c>
      <c r="AE687" s="1123">
        <f t="shared" si="755"/>
        <v>67.627841751041956</v>
      </c>
      <c r="AF687" s="1123">
        <f t="shared" si="756"/>
        <v>73.625613011179524</v>
      </c>
      <c r="AG687" s="1123">
        <f t="shared" si="757"/>
        <v>77.525899838347939</v>
      </c>
      <c r="AH687" s="1123">
        <f t="shared" si="758"/>
        <v>78.312032365806374</v>
      </c>
      <c r="AI687" s="1123">
        <f t="shared" si="759"/>
        <v>75.779093035603836</v>
      </c>
      <c r="AJ687" s="1123">
        <f t="shared" si="760"/>
        <v>70.587331517934217</v>
      </c>
      <c r="AK687" s="1123">
        <f t="shared" si="761"/>
        <v>64.090060459844921</v>
      </c>
      <c r="AL687" s="1123">
        <f t="shared" si="762"/>
        <v>57.980893688604716</v>
      </c>
      <c r="AM687" s="1120">
        <f t="shared" si="763"/>
        <v>1</v>
      </c>
      <c r="AN687" s="1120">
        <f t="shared" si="764"/>
        <v>1</v>
      </c>
      <c r="AO687" s="1120">
        <f t="shared" si="765"/>
        <v>1</v>
      </c>
      <c r="AP687" s="1120">
        <f t="shared" si="766"/>
        <v>1</v>
      </c>
      <c r="AQ687" s="1120">
        <f t="shared" si="767"/>
        <v>0</v>
      </c>
      <c r="AR687" s="1120">
        <f t="shared" si="768"/>
        <v>0</v>
      </c>
      <c r="AS687" s="1120">
        <f t="shared" si="769"/>
        <v>0</v>
      </c>
      <c r="AT687" s="1120">
        <f t="shared" si="770"/>
        <v>0</v>
      </c>
      <c r="AU687" s="1120">
        <f t="shared" si="771"/>
        <v>0</v>
      </c>
      <c r="AV687" s="1120">
        <f t="shared" si="772"/>
        <v>1</v>
      </c>
      <c r="AW687" s="1120">
        <f t="shared" si="773"/>
        <v>1</v>
      </c>
      <c r="AX687" s="1120">
        <f t="shared" si="774"/>
        <v>1</v>
      </c>
      <c r="AY687" s="1120">
        <f t="shared" si="775"/>
        <v>0</v>
      </c>
      <c r="AZ687" s="1120">
        <f t="shared" si="776"/>
        <v>0</v>
      </c>
      <c r="BA687" s="1120">
        <f t="shared" si="777"/>
        <v>0</v>
      </c>
      <c r="BB687" s="1120">
        <f t="shared" si="778"/>
        <v>0</v>
      </c>
      <c r="BC687" s="1120">
        <f t="shared" si="779"/>
        <v>1</v>
      </c>
      <c r="BD687" s="1120">
        <f t="shared" si="780"/>
        <v>1</v>
      </c>
      <c r="BE687" s="1120">
        <f t="shared" si="781"/>
        <v>1</v>
      </c>
      <c r="BF687" s="1120">
        <f t="shared" si="782"/>
        <v>1</v>
      </c>
      <c r="BG687" s="1120">
        <f t="shared" si="783"/>
        <v>1</v>
      </c>
      <c r="BH687" s="1120">
        <f t="shared" si="784"/>
        <v>0</v>
      </c>
      <c r="BI687" s="1120">
        <f t="shared" si="785"/>
        <v>0</v>
      </c>
      <c r="BJ687" s="1120">
        <f t="shared" si="786"/>
        <v>0</v>
      </c>
      <c r="BK687" s="1120">
        <f t="shared" si="787"/>
        <v>1</v>
      </c>
      <c r="BL687" s="1120">
        <f t="shared" si="788"/>
        <v>1</v>
      </c>
      <c r="BM687" s="1120">
        <f t="shared" si="789"/>
        <v>1</v>
      </c>
      <c r="BN687" s="1120">
        <f t="shared" si="790"/>
        <v>1</v>
      </c>
      <c r="BO687" s="1120">
        <f t="shared" si="791"/>
        <v>1</v>
      </c>
      <c r="BP687" s="1120">
        <f t="shared" si="792"/>
        <v>0</v>
      </c>
      <c r="BQ687" s="1120">
        <f t="shared" si="793"/>
        <v>0</v>
      </c>
      <c r="BR687" s="1120">
        <f t="shared" si="794"/>
        <v>0</v>
      </c>
      <c r="BS687" s="1120">
        <f t="shared" si="795"/>
        <v>0</v>
      </c>
      <c r="BT687" s="1120">
        <f t="shared" si="796"/>
        <v>1</v>
      </c>
      <c r="BU687" s="1120">
        <f t="shared" si="797"/>
        <v>1</v>
      </c>
      <c r="BV687" s="1120">
        <f t="shared" si="798"/>
        <v>1</v>
      </c>
      <c r="BW687" s="1120">
        <f t="shared" si="799"/>
        <v>0</v>
      </c>
      <c r="BX687" s="1120">
        <f t="shared" si="800"/>
        <v>0</v>
      </c>
      <c r="BY687" s="1120">
        <f t="shared" si="801"/>
        <v>0</v>
      </c>
      <c r="BZ687" s="1120">
        <f t="shared" si="802"/>
        <v>1</v>
      </c>
      <c r="CA687" s="1120">
        <f t="shared" si="803"/>
        <v>1</v>
      </c>
      <c r="CB687" s="1120">
        <f t="shared" si="804"/>
        <v>1</v>
      </c>
      <c r="CC687" s="1120">
        <f t="shared" si="805"/>
        <v>1</v>
      </c>
      <c r="CD687" s="1120">
        <f t="shared" si="806"/>
        <v>1</v>
      </c>
      <c r="CE687" s="1120">
        <f t="shared" si="807"/>
        <v>1</v>
      </c>
      <c r="CF687" s="1120">
        <f t="shared" si="808"/>
        <v>1</v>
      </c>
      <c r="CG687" s="1120">
        <f t="shared" si="809"/>
        <v>0</v>
      </c>
      <c r="CH687" s="1120">
        <f t="shared" si="810"/>
        <v>0</v>
      </c>
      <c r="CI687" s="1120">
        <f t="shared" si="811"/>
        <v>0.85</v>
      </c>
      <c r="CJ687" s="1120">
        <f t="shared" si="812"/>
        <v>0.85</v>
      </c>
      <c r="CK687" s="1120">
        <f t="shared" si="813"/>
        <v>0.85</v>
      </c>
      <c r="CL687" s="1120">
        <f t="shared" si="814"/>
        <v>0.85</v>
      </c>
      <c r="CM687" s="1120">
        <f t="shared" si="815"/>
        <v>0.85</v>
      </c>
      <c r="CN687" s="1120">
        <f t="shared" si="816"/>
        <v>0.7</v>
      </c>
      <c r="CO687" s="1120">
        <f t="shared" si="817"/>
        <v>0.7</v>
      </c>
      <c r="CP687" s="1120">
        <f t="shared" si="818"/>
        <v>0.7</v>
      </c>
      <c r="CQ687" s="1120">
        <f t="shared" si="819"/>
        <v>0.7</v>
      </c>
      <c r="CR687" s="1120">
        <f t="shared" si="820"/>
        <v>0.85</v>
      </c>
      <c r="CS687" s="1120">
        <f t="shared" si="821"/>
        <v>0.85</v>
      </c>
      <c r="CT687" s="1120">
        <f t="shared" si="822"/>
        <v>0.85</v>
      </c>
      <c r="CU687" s="1120">
        <v>1</v>
      </c>
      <c r="CV687" s="1120"/>
      <c r="CW687" s="1120">
        <f t="shared" si="823"/>
        <v>214</v>
      </c>
      <c r="CX687" s="1120">
        <f t="shared" si="824"/>
        <v>151</v>
      </c>
      <c r="CY687" s="1135" t="s">
        <v>4881</v>
      </c>
      <c r="CZ687" s="1124" t="s">
        <v>4882</v>
      </c>
      <c r="DA687" s="1124"/>
      <c r="DB687" s="1124"/>
      <c r="DC687" s="1120" t="s">
        <v>5510</v>
      </c>
      <c r="DD687" s="1120" t="s">
        <v>61</v>
      </c>
      <c r="DE687" s="1120" t="b">
        <f t="shared" si="825"/>
        <v>0</v>
      </c>
      <c r="DF687" s="1133">
        <v>0</v>
      </c>
      <c r="DG687" s="1125">
        <v>0</v>
      </c>
    </row>
    <row r="688" spans="1:111">
      <c r="A688" s="1120" t="s">
        <v>4082</v>
      </c>
      <c r="B688" s="1125" t="s">
        <v>4208</v>
      </c>
      <c r="C688" s="1125" t="s">
        <v>4209</v>
      </c>
      <c r="D688" s="1125" t="s">
        <v>61</v>
      </c>
      <c r="E688" s="1125">
        <v>1299</v>
      </c>
      <c r="F688" s="1125">
        <v>-97.65</v>
      </c>
      <c r="G688" s="1125">
        <v>35.53</v>
      </c>
      <c r="H688" s="1125">
        <v>-6</v>
      </c>
      <c r="I688" s="1126">
        <v>17.959999656677248</v>
      </c>
      <c r="J688" s="1126">
        <v>97.160001373291024</v>
      </c>
      <c r="K688" s="1127">
        <v>73.939998626708984</v>
      </c>
      <c r="L688" s="1125">
        <v>3934.8</v>
      </c>
      <c r="M688" s="1125">
        <v>2176.2000000000003</v>
      </c>
      <c r="N688" s="1128">
        <v>37.4</v>
      </c>
      <c r="O688" s="1128">
        <v>37.579999828338622</v>
      </c>
      <c r="P688" s="1128">
        <v>45.859999656677246</v>
      </c>
      <c r="Q688" s="1128">
        <v>60.080000686645505</v>
      </c>
      <c r="R688" s="1128">
        <v>71.780000686645508</v>
      </c>
      <c r="S688" s="1128">
        <v>75.2</v>
      </c>
      <c r="T688" s="1128">
        <v>82.219999313354492</v>
      </c>
      <c r="U688" s="1128">
        <v>84.560001373291016</v>
      </c>
      <c r="V688" s="1128">
        <v>71.239998626708982</v>
      </c>
      <c r="W688" s="1128">
        <v>62.239998626708989</v>
      </c>
      <c r="X688" s="1128">
        <v>45.320000171661377</v>
      </c>
      <c r="Y688" s="1128">
        <v>39.740000343322755</v>
      </c>
      <c r="Z688" s="1128">
        <v>59.575999944503991</v>
      </c>
      <c r="AA688" s="1128">
        <f t="shared" si="751"/>
        <v>53.196515128513624</v>
      </c>
      <c r="AB688" s="1128">
        <f t="shared" si="752"/>
        <v>52.687626685352015</v>
      </c>
      <c r="AC688" s="1128">
        <f t="shared" si="753"/>
        <v>55.538291348032345</v>
      </c>
      <c r="AD688" s="1128">
        <f t="shared" si="754"/>
        <v>61.005439442154781</v>
      </c>
      <c r="AE688" s="1128">
        <f t="shared" si="755"/>
        <v>67.663974565683915</v>
      </c>
      <c r="AF688" s="1128">
        <f t="shared" si="756"/>
        <v>73.778246927539612</v>
      </c>
      <c r="AG688" s="1128">
        <f t="shared" si="757"/>
        <v>77.754477212814948</v>
      </c>
      <c r="AH688" s="1128">
        <f t="shared" si="758"/>
        <v>78.556199722089431</v>
      </c>
      <c r="AI688" s="1128">
        <f t="shared" si="759"/>
        <v>75.974433128402808</v>
      </c>
      <c r="AJ688" s="1128">
        <f t="shared" si="760"/>
        <v>70.682154680627022</v>
      </c>
      <c r="AK688" s="1128">
        <f t="shared" si="761"/>
        <v>64.058878312654414</v>
      </c>
      <c r="AL688" s="1128">
        <f t="shared" si="762"/>
        <v>57.83106307757545</v>
      </c>
      <c r="AM688" s="1125">
        <f t="shared" si="763"/>
        <v>1</v>
      </c>
      <c r="AN688" s="1125">
        <f t="shared" si="764"/>
        <v>1</v>
      </c>
      <c r="AO688" s="1125">
        <f t="shared" si="765"/>
        <v>1</v>
      </c>
      <c r="AP688" s="1125">
        <f t="shared" si="766"/>
        <v>1</v>
      </c>
      <c r="AQ688" s="1125">
        <f t="shared" si="767"/>
        <v>0</v>
      </c>
      <c r="AR688" s="1125">
        <f t="shared" si="768"/>
        <v>0</v>
      </c>
      <c r="AS688" s="1125">
        <f t="shared" si="769"/>
        <v>0</v>
      </c>
      <c r="AT688" s="1125">
        <f t="shared" si="770"/>
        <v>0</v>
      </c>
      <c r="AU688" s="1125">
        <f t="shared" si="771"/>
        <v>0</v>
      </c>
      <c r="AV688" s="1125">
        <f t="shared" si="772"/>
        <v>1</v>
      </c>
      <c r="AW688" s="1125">
        <f t="shared" si="773"/>
        <v>1</v>
      </c>
      <c r="AX688" s="1125">
        <f t="shared" si="774"/>
        <v>1</v>
      </c>
      <c r="AY688" s="1125">
        <f t="shared" si="775"/>
        <v>0</v>
      </c>
      <c r="AZ688" s="1125">
        <f t="shared" si="776"/>
        <v>0</v>
      </c>
      <c r="BA688" s="1125">
        <f t="shared" si="777"/>
        <v>0</v>
      </c>
      <c r="BB688" s="1125">
        <f t="shared" si="778"/>
        <v>0</v>
      </c>
      <c r="BC688" s="1125">
        <f t="shared" si="779"/>
        <v>1</v>
      </c>
      <c r="BD688" s="1125">
        <f t="shared" si="780"/>
        <v>1</v>
      </c>
      <c r="BE688" s="1125">
        <f t="shared" si="781"/>
        <v>1</v>
      </c>
      <c r="BF688" s="1125">
        <f t="shared" si="782"/>
        <v>1</v>
      </c>
      <c r="BG688" s="1125">
        <f t="shared" si="783"/>
        <v>1</v>
      </c>
      <c r="BH688" s="1125">
        <f t="shared" si="784"/>
        <v>0</v>
      </c>
      <c r="BI688" s="1125">
        <f t="shared" si="785"/>
        <v>0</v>
      </c>
      <c r="BJ688" s="1125">
        <f t="shared" si="786"/>
        <v>0</v>
      </c>
      <c r="BK688" s="1125">
        <f t="shared" si="787"/>
        <v>1</v>
      </c>
      <c r="BL688" s="1125">
        <f t="shared" si="788"/>
        <v>1</v>
      </c>
      <c r="BM688" s="1125">
        <f t="shared" si="789"/>
        <v>1</v>
      </c>
      <c r="BN688" s="1125">
        <f t="shared" si="790"/>
        <v>1</v>
      </c>
      <c r="BO688" s="1125">
        <f t="shared" si="791"/>
        <v>1</v>
      </c>
      <c r="BP688" s="1125">
        <f t="shared" si="792"/>
        <v>0</v>
      </c>
      <c r="BQ688" s="1125">
        <f t="shared" si="793"/>
        <v>0</v>
      </c>
      <c r="BR688" s="1125">
        <f t="shared" si="794"/>
        <v>0</v>
      </c>
      <c r="BS688" s="1125">
        <f t="shared" si="795"/>
        <v>0</v>
      </c>
      <c r="BT688" s="1125">
        <f t="shared" si="796"/>
        <v>1</v>
      </c>
      <c r="BU688" s="1125">
        <f t="shared" si="797"/>
        <v>1</v>
      </c>
      <c r="BV688" s="1125">
        <f t="shared" si="798"/>
        <v>1</v>
      </c>
      <c r="BW688" s="1125">
        <f t="shared" si="799"/>
        <v>0</v>
      </c>
      <c r="BX688" s="1125">
        <f t="shared" si="800"/>
        <v>0</v>
      </c>
      <c r="BY688" s="1125">
        <f t="shared" si="801"/>
        <v>0</v>
      </c>
      <c r="BZ688" s="1125">
        <f t="shared" si="802"/>
        <v>1</v>
      </c>
      <c r="CA688" s="1125">
        <f t="shared" si="803"/>
        <v>1</v>
      </c>
      <c r="CB688" s="1125">
        <f t="shared" si="804"/>
        <v>1</v>
      </c>
      <c r="CC688" s="1125">
        <f t="shared" si="805"/>
        <v>1</v>
      </c>
      <c r="CD688" s="1125">
        <f t="shared" si="806"/>
        <v>1</v>
      </c>
      <c r="CE688" s="1125">
        <f t="shared" si="807"/>
        <v>1</v>
      </c>
      <c r="CF688" s="1125">
        <f t="shared" si="808"/>
        <v>1</v>
      </c>
      <c r="CG688" s="1125">
        <f t="shared" si="809"/>
        <v>0</v>
      </c>
      <c r="CH688" s="1125">
        <f t="shared" si="810"/>
        <v>0</v>
      </c>
      <c r="CI688" s="1125">
        <f t="shared" si="811"/>
        <v>0.85</v>
      </c>
      <c r="CJ688" s="1125">
        <f t="shared" si="812"/>
        <v>0.85</v>
      </c>
      <c r="CK688" s="1125">
        <f t="shared" si="813"/>
        <v>0.85</v>
      </c>
      <c r="CL688" s="1125">
        <f t="shared" si="814"/>
        <v>0.85</v>
      </c>
      <c r="CM688" s="1125">
        <f t="shared" si="815"/>
        <v>0.85</v>
      </c>
      <c r="CN688" s="1125">
        <f t="shared" si="816"/>
        <v>0.7</v>
      </c>
      <c r="CO688" s="1125">
        <f t="shared" si="817"/>
        <v>0.7</v>
      </c>
      <c r="CP688" s="1125">
        <f t="shared" si="818"/>
        <v>0.7</v>
      </c>
      <c r="CQ688" s="1125">
        <f t="shared" si="819"/>
        <v>0.7</v>
      </c>
      <c r="CR688" s="1125">
        <f t="shared" si="820"/>
        <v>0.85</v>
      </c>
      <c r="CS688" s="1125">
        <f t="shared" si="821"/>
        <v>0.85</v>
      </c>
      <c r="CT688" s="1125">
        <f t="shared" si="822"/>
        <v>0.85</v>
      </c>
      <c r="CU688" s="1125">
        <v>1</v>
      </c>
      <c r="CV688" s="1125"/>
      <c r="CW688" s="1125">
        <f t="shared" si="823"/>
        <v>214</v>
      </c>
      <c r="CX688" s="1125">
        <f t="shared" si="824"/>
        <v>151</v>
      </c>
      <c r="CY688" s="1136" t="s">
        <v>4881</v>
      </c>
      <c r="CZ688" s="1129" t="s">
        <v>4882</v>
      </c>
      <c r="DA688" s="1129"/>
      <c r="DB688" s="1129"/>
      <c r="DC688" s="1125" t="s">
        <v>5990</v>
      </c>
      <c r="DD688" s="1125" t="s">
        <v>61</v>
      </c>
      <c r="DE688" s="1120" t="str">
        <f t="shared" si="825"/>
        <v/>
      </c>
      <c r="DF688" s="1133">
        <v>1</v>
      </c>
      <c r="DG688" s="1120">
        <v>0</v>
      </c>
    </row>
    <row r="689" spans="1:111">
      <c r="A689" s="1125" t="s">
        <v>4084</v>
      </c>
      <c r="B689" s="1120" t="s">
        <v>4210</v>
      </c>
      <c r="C689" s="1120" t="s">
        <v>4211</v>
      </c>
      <c r="D689" s="1120" t="s">
        <v>61</v>
      </c>
      <c r="E689" s="1120">
        <v>1305</v>
      </c>
      <c r="F689" s="1120">
        <v>-97.6</v>
      </c>
      <c r="G689" s="1120">
        <v>35.380000000000003</v>
      </c>
      <c r="H689" s="1120">
        <v>-6</v>
      </c>
      <c r="I689" s="1121">
        <v>17.419999313354491</v>
      </c>
      <c r="J689" s="1121">
        <v>96.8</v>
      </c>
      <c r="K689" s="1122">
        <v>74.119999313354498</v>
      </c>
      <c r="L689" s="1120">
        <v>3540.6</v>
      </c>
      <c r="M689" s="1120">
        <v>2091.6</v>
      </c>
      <c r="N689" s="1123">
        <v>33.619999957084659</v>
      </c>
      <c r="O689" s="1123">
        <v>44.240000343322755</v>
      </c>
      <c r="P689" s="1123">
        <v>50.719999313354492</v>
      </c>
      <c r="Q689" s="1123">
        <v>61.160001373291017</v>
      </c>
      <c r="R689" s="1123">
        <v>69.080000686645505</v>
      </c>
      <c r="S689" s="1123">
        <v>77</v>
      </c>
      <c r="T689" s="1123">
        <v>81.860001373291013</v>
      </c>
      <c r="U689" s="1123">
        <v>82.219999313354492</v>
      </c>
      <c r="V689" s="1123">
        <v>73.400000000000006</v>
      </c>
      <c r="W689" s="1123">
        <v>62.6</v>
      </c>
      <c r="X689" s="1123">
        <v>49.640000343322754</v>
      </c>
      <c r="Y689" s="1123">
        <v>38.47999982833862</v>
      </c>
      <c r="Z689" s="1123">
        <v>60.412876919850909</v>
      </c>
      <c r="AA689" s="1123">
        <f t="shared" si="751"/>
        <v>53.399862730479036</v>
      </c>
      <c r="AB689" s="1123">
        <f t="shared" si="752"/>
        <v>52.968094265913344</v>
      </c>
      <c r="AC689" s="1123">
        <f t="shared" si="753"/>
        <v>56.040915590468771</v>
      </c>
      <c r="AD689" s="1123">
        <f t="shared" si="754"/>
        <v>61.81734847228995</v>
      </c>
      <c r="AE689" s="1123">
        <f t="shared" si="755"/>
        <v>68.791676663204953</v>
      </c>
      <c r="AF689" s="1123">
        <f t="shared" si="756"/>
        <v>75.145934042601027</v>
      </c>
      <c r="AG689" s="1123">
        <f t="shared" si="757"/>
        <v>79.223785502468317</v>
      </c>
      <c r="AH689" s="1123">
        <f t="shared" si="758"/>
        <v>79.962276218199193</v>
      </c>
      <c r="AI689" s="1123">
        <f t="shared" si="759"/>
        <v>77.168907204252008</v>
      </c>
      <c r="AJ689" s="1123">
        <f t="shared" si="760"/>
        <v>71.571813141231615</v>
      </c>
      <c r="AK689" s="1123">
        <f t="shared" si="761"/>
        <v>64.629962850494664</v>
      </c>
      <c r="AL689" s="1123">
        <f t="shared" si="762"/>
        <v>58.152856587472904</v>
      </c>
      <c r="AM689" s="1120">
        <f t="shared" si="763"/>
        <v>1</v>
      </c>
      <c r="AN689" s="1120">
        <f t="shared" si="764"/>
        <v>1</v>
      </c>
      <c r="AO689" s="1120">
        <f t="shared" si="765"/>
        <v>1</v>
      </c>
      <c r="AP689" s="1120">
        <f t="shared" si="766"/>
        <v>1</v>
      </c>
      <c r="AQ689" s="1120">
        <f t="shared" si="767"/>
        <v>0</v>
      </c>
      <c r="AR689" s="1120">
        <f t="shared" si="768"/>
        <v>0</v>
      </c>
      <c r="AS689" s="1120">
        <f t="shared" si="769"/>
        <v>0</v>
      </c>
      <c r="AT689" s="1120">
        <f t="shared" si="770"/>
        <v>0</v>
      </c>
      <c r="AU689" s="1120">
        <f t="shared" si="771"/>
        <v>0</v>
      </c>
      <c r="AV689" s="1120">
        <f t="shared" si="772"/>
        <v>1</v>
      </c>
      <c r="AW689" s="1120">
        <f t="shared" si="773"/>
        <v>1</v>
      </c>
      <c r="AX689" s="1120">
        <f t="shared" si="774"/>
        <v>1</v>
      </c>
      <c r="AY689" s="1120">
        <f t="shared" si="775"/>
        <v>0</v>
      </c>
      <c r="AZ689" s="1120">
        <f t="shared" si="776"/>
        <v>0</v>
      </c>
      <c r="BA689" s="1120">
        <f t="shared" si="777"/>
        <v>0</v>
      </c>
      <c r="BB689" s="1120">
        <f t="shared" si="778"/>
        <v>0</v>
      </c>
      <c r="BC689" s="1120">
        <f t="shared" si="779"/>
        <v>1</v>
      </c>
      <c r="BD689" s="1120">
        <f t="shared" si="780"/>
        <v>1</v>
      </c>
      <c r="BE689" s="1120">
        <f t="shared" si="781"/>
        <v>1</v>
      </c>
      <c r="BF689" s="1120">
        <f t="shared" si="782"/>
        <v>1</v>
      </c>
      <c r="BG689" s="1120">
        <f t="shared" si="783"/>
        <v>1</v>
      </c>
      <c r="BH689" s="1120">
        <f t="shared" si="784"/>
        <v>0</v>
      </c>
      <c r="BI689" s="1120">
        <f t="shared" si="785"/>
        <v>0</v>
      </c>
      <c r="BJ689" s="1120">
        <f t="shared" si="786"/>
        <v>0</v>
      </c>
      <c r="BK689" s="1120">
        <f t="shared" si="787"/>
        <v>1</v>
      </c>
      <c r="BL689" s="1120">
        <f t="shared" si="788"/>
        <v>1</v>
      </c>
      <c r="BM689" s="1120">
        <f t="shared" si="789"/>
        <v>1</v>
      </c>
      <c r="BN689" s="1120">
        <f t="shared" si="790"/>
        <v>1</v>
      </c>
      <c r="BO689" s="1120">
        <f t="shared" si="791"/>
        <v>1</v>
      </c>
      <c r="BP689" s="1120">
        <f t="shared" si="792"/>
        <v>0</v>
      </c>
      <c r="BQ689" s="1120">
        <f t="shared" si="793"/>
        <v>0</v>
      </c>
      <c r="BR689" s="1120">
        <f t="shared" si="794"/>
        <v>0</v>
      </c>
      <c r="BS689" s="1120">
        <f t="shared" si="795"/>
        <v>0</v>
      </c>
      <c r="BT689" s="1120">
        <f t="shared" si="796"/>
        <v>1</v>
      </c>
      <c r="BU689" s="1120">
        <f t="shared" si="797"/>
        <v>1</v>
      </c>
      <c r="BV689" s="1120">
        <f t="shared" si="798"/>
        <v>1</v>
      </c>
      <c r="BW689" s="1120">
        <f t="shared" si="799"/>
        <v>0</v>
      </c>
      <c r="BX689" s="1120">
        <f t="shared" si="800"/>
        <v>0</v>
      </c>
      <c r="BY689" s="1120">
        <f t="shared" si="801"/>
        <v>0</v>
      </c>
      <c r="BZ689" s="1120">
        <f t="shared" si="802"/>
        <v>1</v>
      </c>
      <c r="CA689" s="1120">
        <f t="shared" si="803"/>
        <v>1</v>
      </c>
      <c r="CB689" s="1120">
        <f t="shared" si="804"/>
        <v>1</v>
      </c>
      <c r="CC689" s="1120">
        <f t="shared" si="805"/>
        <v>1</v>
      </c>
      <c r="CD689" s="1120">
        <f t="shared" si="806"/>
        <v>1</v>
      </c>
      <c r="CE689" s="1120">
        <f t="shared" si="807"/>
        <v>1</v>
      </c>
      <c r="CF689" s="1120">
        <f t="shared" si="808"/>
        <v>1</v>
      </c>
      <c r="CG689" s="1120">
        <f t="shared" si="809"/>
        <v>0</v>
      </c>
      <c r="CH689" s="1120">
        <f t="shared" si="810"/>
        <v>0</v>
      </c>
      <c r="CI689" s="1120">
        <f t="shared" si="811"/>
        <v>0.85</v>
      </c>
      <c r="CJ689" s="1120">
        <f t="shared" si="812"/>
        <v>0.85</v>
      </c>
      <c r="CK689" s="1120">
        <f t="shared" si="813"/>
        <v>0.85</v>
      </c>
      <c r="CL689" s="1120">
        <f t="shared" si="814"/>
        <v>0.85</v>
      </c>
      <c r="CM689" s="1120">
        <f t="shared" si="815"/>
        <v>0.85</v>
      </c>
      <c r="CN689" s="1120">
        <f t="shared" si="816"/>
        <v>0.7</v>
      </c>
      <c r="CO689" s="1120">
        <f t="shared" si="817"/>
        <v>0.7</v>
      </c>
      <c r="CP689" s="1120">
        <f t="shared" si="818"/>
        <v>0.7</v>
      </c>
      <c r="CQ689" s="1120">
        <f t="shared" si="819"/>
        <v>0.7</v>
      </c>
      <c r="CR689" s="1120">
        <f t="shared" si="820"/>
        <v>0.85</v>
      </c>
      <c r="CS689" s="1120">
        <f t="shared" si="821"/>
        <v>0.85</v>
      </c>
      <c r="CT689" s="1120">
        <f t="shared" si="822"/>
        <v>0.85</v>
      </c>
      <c r="CU689" s="1120">
        <v>1</v>
      </c>
      <c r="CV689" s="1120"/>
      <c r="CW689" s="1120">
        <f t="shared" si="823"/>
        <v>214</v>
      </c>
      <c r="CX689" s="1120">
        <f t="shared" si="824"/>
        <v>151</v>
      </c>
      <c r="CY689" s="1135" t="s">
        <v>4881</v>
      </c>
      <c r="CZ689" s="1124" t="s">
        <v>4882</v>
      </c>
      <c r="DA689" s="1124"/>
      <c r="DB689" s="1124"/>
      <c r="DC689" s="1120" t="s">
        <v>5507</v>
      </c>
      <c r="DD689" s="1120" t="s">
        <v>61</v>
      </c>
      <c r="DE689" s="1120" t="str">
        <f t="shared" si="825"/>
        <v/>
      </c>
      <c r="DF689" s="1133">
        <v>1</v>
      </c>
      <c r="DG689" s="1125">
        <v>0</v>
      </c>
    </row>
    <row r="690" spans="1:111">
      <c r="A690" s="1120" t="s">
        <v>4104</v>
      </c>
      <c r="B690" s="1120" t="s">
        <v>3575</v>
      </c>
      <c r="C690" s="1120" t="s">
        <v>3576</v>
      </c>
      <c r="D690" s="1120" t="s">
        <v>256</v>
      </c>
      <c r="E690" s="1120">
        <v>1086</v>
      </c>
      <c r="F690" s="1120">
        <v>-94.88</v>
      </c>
      <c r="G690" s="1120">
        <v>38.83</v>
      </c>
      <c r="H690" s="1120">
        <v>-6</v>
      </c>
      <c r="I690" s="1121">
        <v>3.5599996566772454</v>
      </c>
      <c r="J690" s="1121">
        <v>93.379997253417969</v>
      </c>
      <c r="K690" s="1122">
        <v>75.380000686645502</v>
      </c>
      <c r="L690" s="1120">
        <v>4836.6000000000004</v>
      </c>
      <c r="M690" s="1120">
        <v>1548</v>
      </c>
      <c r="N690" s="1123">
        <v>32.9</v>
      </c>
      <c r="O690" s="1123">
        <v>30.559999978542329</v>
      </c>
      <c r="P690" s="1123">
        <v>48.2</v>
      </c>
      <c r="Q690" s="1123">
        <v>55.4</v>
      </c>
      <c r="R690" s="1123">
        <v>68</v>
      </c>
      <c r="S690" s="1123">
        <v>76.280000686645508</v>
      </c>
      <c r="T690" s="1123">
        <v>77.539998626708979</v>
      </c>
      <c r="U690" s="1123">
        <v>78.619999313354498</v>
      </c>
      <c r="V690" s="1123">
        <v>68.539998626708979</v>
      </c>
      <c r="W690" s="1123">
        <v>56.480000686645511</v>
      </c>
      <c r="X690" s="1123">
        <v>39.740000343322755</v>
      </c>
      <c r="Y690" s="1123">
        <v>30.919999957084656</v>
      </c>
      <c r="Z690" s="1123">
        <v>55.416273822457825</v>
      </c>
      <c r="AA690" s="1123">
        <f t="shared" si="751"/>
        <v>50.064607376294759</v>
      </c>
      <c r="AB690" s="1123">
        <f t="shared" si="752"/>
        <v>49.136184890645097</v>
      </c>
      <c r="AC690" s="1123">
        <f t="shared" si="753"/>
        <v>51.408756826971157</v>
      </c>
      <c r="AD690" s="1123">
        <f t="shared" si="754"/>
        <v>56.289942288675938</v>
      </c>
      <c r="AE690" s="1123">
        <f t="shared" si="755"/>
        <v>62.507385063821189</v>
      </c>
      <c r="AF690" s="1123">
        <f t="shared" si="756"/>
        <v>68.440412879371877</v>
      </c>
      <c r="AG690" s="1123">
        <f t="shared" si="757"/>
        <v>72.542490604478488</v>
      </c>
      <c r="AH690" s="1123">
        <f t="shared" si="758"/>
        <v>73.744348465160755</v>
      </c>
      <c r="AI690" s="1123">
        <f t="shared" si="759"/>
        <v>71.732703688841568</v>
      </c>
      <c r="AJ690" s="1123">
        <f t="shared" si="760"/>
        <v>67.031922486852906</v>
      </c>
      <c r="AK690" s="1123">
        <f t="shared" si="761"/>
        <v>60.867335920724209</v>
      </c>
      <c r="AL690" s="1123">
        <f t="shared" si="762"/>
        <v>54.845838478071514</v>
      </c>
      <c r="AM690" s="1120">
        <f t="shared" si="763"/>
        <v>1</v>
      </c>
      <c r="AN690" s="1120">
        <f t="shared" si="764"/>
        <v>1</v>
      </c>
      <c r="AO690" s="1120">
        <f t="shared" si="765"/>
        <v>1</v>
      </c>
      <c r="AP690" s="1120">
        <f t="shared" si="766"/>
        <v>1</v>
      </c>
      <c r="AQ690" s="1120">
        <f t="shared" si="767"/>
        <v>0</v>
      </c>
      <c r="AR690" s="1120">
        <f t="shared" si="768"/>
        <v>0</v>
      </c>
      <c r="AS690" s="1120">
        <f t="shared" si="769"/>
        <v>0</v>
      </c>
      <c r="AT690" s="1120">
        <f t="shared" si="770"/>
        <v>0</v>
      </c>
      <c r="AU690" s="1120">
        <f t="shared" si="771"/>
        <v>0</v>
      </c>
      <c r="AV690" s="1120">
        <f t="shared" si="772"/>
        <v>1</v>
      </c>
      <c r="AW690" s="1120">
        <f t="shared" si="773"/>
        <v>1</v>
      </c>
      <c r="AX690" s="1120">
        <f t="shared" si="774"/>
        <v>1</v>
      </c>
      <c r="AY690" s="1120">
        <f t="shared" si="775"/>
        <v>0</v>
      </c>
      <c r="AZ690" s="1120">
        <f t="shared" si="776"/>
        <v>0</v>
      </c>
      <c r="BA690" s="1120">
        <f t="shared" si="777"/>
        <v>0</v>
      </c>
      <c r="BB690" s="1120">
        <f t="shared" si="778"/>
        <v>0</v>
      </c>
      <c r="BC690" s="1120">
        <f t="shared" si="779"/>
        <v>1</v>
      </c>
      <c r="BD690" s="1120">
        <f t="shared" si="780"/>
        <v>1</v>
      </c>
      <c r="BE690" s="1120">
        <f t="shared" si="781"/>
        <v>1</v>
      </c>
      <c r="BF690" s="1120">
        <f t="shared" si="782"/>
        <v>1</v>
      </c>
      <c r="BG690" s="1120">
        <f t="shared" si="783"/>
        <v>1</v>
      </c>
      <c r="BH690" s="1120">
        <f t="shared" si="784"/>
        <v>0</v>
      </c>
      <c r="BI690" s="1120">
        <f t="shared" si="785"/>
        <v>0</v>
      </c>
      <c r="BJ690" s="1120">
        <f t="shared" si="786"/>
        <v>0</v>
      </c>
      <c r="BK690" s="1120">
        <f t="shared" si="787"/>
        <v>1</v>
      </c>
      <c r="BL690" s="1120">
        <f t="shared" si="788"/>
        <v>1</v>
      </c>
      <c r="BM690" s="1120">
        <f t="shared" si="789"/>
        <v>1</v>
      </c>
      <c r="BN690" s="1120">
        <f t="shared" si="790"/>
        <v>1</v>
      </c>
      <c r="BO690" s="1120">
        <f t="shared" si="791"/>
        <v>1</v>
      </c>
      <c r="BP690" s="1120">
        <f t="shared" si="792"/>
        <v>0</v>
      </c>
      <c r="BQ690" s="1120">
        <f t="shared" si="793"/>
        <v>0</v>
      </c>
      <c r="BR690" s="1120">
        <f t="shared" si="794"/>
        <v>0</v>
      </c>
      <c r="BS690" s="1120">
        <f t="shared" si="795"/>
        <v>0</v>
      </c>
      <c r="BT690" s="1120">
        <f t="shared" si="796"/>
        <v>1</v>
      </c>
      <c r="BU690" s="1120">
        <f t="shared" si="797"/>
        <v>1</v>
      </c>
      <c r="BV690" s="1120">
        <f t="shared" si="798"/>
        <v>1</v>
      </c>
      <c r="BW690" s="1120">
        <f t="shared" si="799"/>
        <v>0</v>
      </c>
      <c r="BX690" s="1120">
        <f t="shared" si="800"/>
        <v>0</v>
      </c>
      <c r="BY690" s="1120">
        <f t="shared" si="801"/>
        <v>0</v>
      </c>
      <c r="BZ690" s="1120">
        <f t="shared" si="802"/>
        <v>1</v>
      </c>
      <c r="CA690" s="1120">
        <f t="shared" si="803"/>
        <v>1</v>
      </c>
      <c r="CB690" s="1120">
        <f t="shared" si="804"/>
        <v>1</v>
      </c>
      <c r="CC690" s="1120">
        <f t="shared" si="805"/>
        <v>1</v>
      </c>
      <c r="CD690" s="1120">
        <f t="shared" si="806"/>
        <v>1</v>
      </c>
      <c r="CE690" s="1120">
        <f t="shared" si="807"/>
        <v>1</v>
      </c>
      <c r="CF690" s="1120">
        <f t="shared" si="808"/>
        <v>1</v>
      </c>
      <c r="CG690" s="1120">
        <f t="shared" si="809"/>
        <v>0</v>
      </c>
      <c r="CH690" s="1120">
        <f t="shared" si="810"/>
        <v>0</v>
      </c>
      <c r="CI690" s="1120">
        <f t="shared" si="811"/>
        <v>0.85</v>
      </c>
      <c r="CJ690" s="1120">
        <f t="shared" si="812"/>
        <v>0.85</v>
      </c>
      <c r="CK690" s="1120">
        <f t="shared" si="813"/>
        <v>0.85</v>
      </c>
      <c r="CL690" s="1120">
        <f t="shared" si="814"/>
        <v>0.85</v>
      </c>
      <c r="CM690" s="1120">
        <f t="shared" si="815"/>
        <v>0.85</v>
      </c>
      <c r="CN690" s="1120">
        <f t="shared" si="816"/>
        <v>0.7</v>
      </c>
      <c r="CO690" s="1120">
        <f t="shared" si="817"/>
        <v>0.7</v>
      </c>
      <c r="CP690" s="1120">
        <f t="shared" si="818"/>
        <v>0.7</v>
      </c>
      <c r="CQ690" s="1120">
        <f t="shared" si="819"/>
        <v>0.7</v>
      </c>
      <c r="CR690" s="1120">
        <f t="shared" si="820"/>
        <v>0.85</v>
      </c>
      <c r="CS690" s="1120">
        <f t="shared" si="821"/>
        <v>0.85</v>
      </c>
      <c r="CT690" s="1120">
        <f t="shared" si="822"/>
        <v>0.85</v>
      </c>
      <c r="CU690" s="1120">
        <v>1</v>
      </c>
      <c r="CV690" s="1120"/>
      <c r="CW690" s="1120">
        <f t="shared" si="823"/>
        <v>214</v>
      </c>
      <c r="CX690" s="1120">
        <f t="shared" si="824"/>
        <v>151</v>
      </c>
      <c r="CY690" s="1135" t="s">
        <v>4881</v>
      </c>
      <c r="CZ690" s="1124" t="s">
        <v>4885</v>
      </c>
      <c r="DA690" s="1124"/>
      <c r="DB690" s="1124"/>
      <c r="DC690" s="1120" t="s">
        <v>5236</v>
      </c>
      <c r="DD690" s="1120" t="s">
        <v>256</v>
      </c>
      <c r="DE690" s="1120" t="str">
        <f t="shared" si="825"/>
        <v/>
      </c>
      <c r="DF690" s="1133">
        <v>0</v>
      </c>
      <c r="DG690" s="1120">
        <v>0</v>
      </c>
    </row>
    <row r="691" spans="1:111">
      <c r="A691" s="1125" t="s">
        <v>1327</v>
      </c>
      <c r="B691" s="1125" t="s">
        <v>3573</v>
      </c>
      <c r="C691" s="1125" t="s">
        <v>3574</v>
      </c>
      <c r="D691" s="1125" t="s">
        <v>256</v>
      </c>
      <c r="E691" s="1125">
        <v>1096</v>
      </c>
      <c r="F691" s="1125">
        <v>-94.73</v>
      </c>
      <c r="G691" s="1125">
        <v>38.85</v>
      </c>
      <c r="H691" s="1125">
        <v>-6</v>
      </c>
      <c r="I691" s="1126">
        <v>9.8599996566772461</v>
      </c>
      <c r="J691" s="1126">
        <v>92.479997253417977</v>
      </c>
      <c r="K691" s="1127">
        <v>75.919999313354495</v>
      </c>
      <c r="L691" s="1125">
        <v>4469.4000000000005</v>
      </c>
      <c r="M691" s="1125">
        <v>1490.4</v>
      </c>
      <c r="N691" s="1128">
        <v>34.339999914169312</v>
      </c>
      <c r="O691" s="1128">
        <v>31.459999978542328</v>
      </c>
      <c r="P691" s="1128">
        <v>46.4</v>
      </c>
      <c r="Q691" s="1128">
        <v>55.940000343322751</v>
      </c>
      <c r="R691" s="1128">
        <v>62.060001373291016</v>
      </c>
      <c r="S691" s="1128">
        <v>72.319999313354487</v>
      </c>
      <c r="T691" s="1128">
        <v>79.7</v>
      </c>
      <c r="U691" s="1128">
        <v>77.539998626708979</v>
      </c>
      <c r="V691" s="1128">
        <v>73.400000000000006</v>
      </c>
      <c r="W691" s="1128">
        <v>56.659999656677243</v>
      </c>
      <c r="X691" s="1128">
        <v>52.159999656677243</v>
      </c>
      <c r="Y691" s="1128">
        <v>31.639999994635581</v>
      </c>
      <c r="Z691" s="1128">
        <v>56.257588946108946</v>
      </c>
      <c r="AA691" s="1128">
        <f t="shared" si="751"/>
        <v>50.60613474353493</v>
      </c>
      <c r="AB691" s="1128">
        <f t="shared" si="752"/>
        <v>49.751239013968714</v>
      </c>
      <c r="AC691" s="1128">
        <f t="shared" si="753"/>
        <v>52.156316122901153</v>
      </c>
      <c r="AD691" s="1128">
        <f t="shared" si="754"/>
        <v>57.194445658528856</v>
      </c>
      <c r="AE691" s="1128">
        <f t="shared" si="755"/>
        <v>63.552361517464178</v>
      </c>
      <c r="AF691" s="1128">
        <f t="shared" si="756"/>
        <v>69.57277495262646</v>
      </c>
      <c r="AG691" s="1128">
        <f t="shared" si="757"/>
        <v>73.686372424761274</v>
      </c>
      <c r="AH691" s="1128">
        <f t="shared" si="758"/>
        <v>74.82088136030076</v>
      </c>
      <c r="AI691" s="1128">
        <f t="shared" si="759"/>
        <v>72.680574521884637</v>
      </c>
      <c r="AJ691" s="1128">
        <f t="shared" si="760"/>
        <v>67.823355870072831</v>
      </c>
      <c r="AK691" s="1128">
        <f t="shared" si="761"/>
        <v>61.515334298465262</v>
      </c>
      <c r="AL691" s="1128">
        <f t="shared" si="762"/>
        <v>55.400792839256397</v>
      </c>
      <c r="AM691" s="1125">
        <f t="shared" si="763"/>
        <v>1</v>
      </c>
      <c r="AN691" s="1125">
        <f t="shared" si="764"/>
        <v>1</v>
      </c>
      <c r="AO691" s="1125">
        <f t="shared" si="765"/>
        <v>1</v>
      </c>
      <c r="AP691" s="1125">
        <f t="shared" si="766"/>
        <v>1</v>
      </c>
      <c r="AQ691" s="1125">
        <f t="shared" si="767"/>
        <v>1</v>
      </c>
      <c r="AR691" s="1125">
        <f t="shared" si="768"/>
        <v>0</v>
      </c>
      <c r="AS691" s="1125">
        <f t="shared" si="769"/>
        <v>0</v>
      </c>
      <c r="AT691" s="1125">
        <f t="shared" si="770"/>
        <v>0</v>
      </c>
      <c r="AU691" s="1125">
        <f t="shared" si="771"/>
        <v>0</v>
      </c>
      <c r="AV691" s="1125">
        <f t="shared" si="772"/>
        <v>1</v>
      </c>
      <c r="AW691" s="1125">
        <f t="shared" si="773"/>
        <v>1</v>
      </c>
      <c r="AX691" s="1125">
        <f t="shared" si="774"/>
        <v>1</v>
      </c>
      <c r="AY691" s="1125">
        <f t="shared" si="775"/>
        <v>0</v>
      </c>
      <c r="AZ691" s="1125">
        <f t="shared" si="776"/>
        <v>0</v>
      </c>
      <c r="BA691" s="1125">
        <f t="shared" si="777"/>
        <v>0</v>
      </c>
      <c r="BB691" s="1125">
        <f t="shared" si="778"/>
        <v>0</v>
      </c>
      <c r="BC691" s="1125">
        <f t="shared" si="779"/>
        <v>0</v>
      </c>
      <c r="BD691" s="1125">
        <f t="shared" si="780"/>
        <v>1</v>
      </c>
      <c r="BE691" s="1125">
        <f t="shared" si="781"/>
        <v>1</v>
      </c>
      <c r="BF691" s="1125">
        <f t="shared" si="782"/>
        <v>1</v>
      </c>
      <c r="BG691" s="1125">
        <f t="shared" si="783"/>
        <v>1</v>
      </c>
      <c r="BH691" s="1125">
        <f t="shared" si="784"/>
        <v>0</v>
      </c>
      <c r="BI691" s="1125">
        <f t="shared" si="785"/>
        <v>0</v>
      </c>
      <c r="BJ691" s="1125">
        <f t="shared" si="786"/>
        <v>0</v>
      </c>
      <c r="BK691" s="1125">
        <f t="shared" si="787"/>
        <v>1</v>
      </c>
      <c r="BL691" s="1125">
        <f t="shared" si="788"/>
        <v>1</v>
      </c>
      <c r="BM691" s="1125">
        <f t="shared" si="789"/>
        <v>1</v>
      </c>
      <c r="BN691" s="1125">
        <f t="shared" si="790"/>
        <v>1</v>
      </c>
      <c r="BO691" s="1125">
        <f t="shared" si="791"/>
        <v>1</v>
      </c>
      <c r="BP691" s="1125">
        <f t="shared" si="792"/>
        <v>1</v>
      </c>
      <c r="BQ691" s="1125">
        <f t="shared" si="793"/>
        <v>0</v>
      </c>
      <c r="BR691" s="1125">
        <f t="shared" si="794"/>
        <v>0</v>
      </c>
      <c r="BS691" s="1125">
        <f t="shared" si="795"/>
        <v>0</v>
      </c>
      <c r="BT691" s="1125">
        <f t="shared" si="796"/>
        <v>1</v>
      </c>
      <c r="BU691" s="1125">
        <f t="shared" si="797"/>
        <v>1</v>
      </c>
      <c r="BV691" s="1125">
        <f t="shared" si="798"/>
        <v>1</v>
      </c>
      <c r="BW691" s="1125">
        <f t="shared" si="799"/>
        <v>0</v>
      </c>
      <c r="BX691" s="1125">
        <f t="shared" si="800"/>
        <v>0</v>
      </c>
      <c r="BY691" s="1125">
        <f t="shared" si="801"/>
        <v>0</v>
      </c>
      <c r="BZ691" s="1125">
        <f t="shared" si="802"/>
        <v>0</v>
      </c>
      <c r="CA691" s="1125">
        <f t="shared" si="803"/>
        <v>1</v>
      </c>
      <c r="CB691" s="1125">
        <f t="shared" si="804"/>
        <v>1</v>
      </c>
      <c r="CC691" s="1125">
        <f t="shared" si="805"/>
        <v>1</v>
      </c>
      <c r="CD691" s="1125">
        <f t="shared" si="806"/>
        <v>1</v>
      </c>
      <c r="CE691" s="1125">
        <f t="shared" si="807"/>
        <v>1</v>
      </c>
      <c r="CF691" s="1125">
        <f t="shared" si="808"/>
        <v>1</v>
      </c>
      <c r="CG691" s="1125">
        <f t="shared" si="809"/>
        <v>0</v>
      </c>
      <c r="CH691" s="1125">
        <f t="shared" si="810"/>
        <v>0</v>
      </c>
      <c r="CI691" s="1125">
        <f t="shared" si="811"/>
        <v>0.85</v>
      </c>
      <c r="CJ691" s="1125">
        <f t="shared" si="812"/>
        <v>0.85</v>
      </c>
      <c r="CK691" s="1125">
        <f t="shared" si="813"/>
        <v>0.85</v>
      </c>
      <c r="CL691" s="1125">
        <f t="shared" si="814"/>
        <v>0.85</v>
      </c>
      <c r="CM691" s="1125">
        <f t="shared" si="815"/>
        <v>0.85</v>
      </c>
      <c r="CN691" s="1125">
        <f t="shared" si="816"/>
        <v>0.85</v>
      </c>
      <c r="CO691" s="1125">
        <f t="shared" si="817"/>
        <v>0.7</v>
      </c>
      <c r="CP691" s="1125">
        <f t="shared" si="818"/>
        <v>0.7</v>
      </c>
      <c r="CQ691" s="1125">
        <f t="shared" si="819"/>
        <v>0.7</v>
      </c>
      <c r="CR691" s="1125">
        <f t="shared" si="820"/>
        <v>0.85</v>
      </c>
      <c r="CS691" s="1125">
        <f t="shared" si="821"/>
        <v>0.85</v>
      </c>
      <c r="CT691" s="1125">
        <f t="shared" si="822"/>
        <v>0.85</v>
      </c>
      <c r="CU691" s="1125">
        <v>1</v>
      </c>
      <c r="CV691" s="1125"/>
      <c r="CW691" s="1125">
        <f t="shared" si="823"/>
        <v>184</v>
      </c>
      <c r="CX691" s="1125">
        <f t="shared" si="824"/>
        <v>181</v>
      </c>
      <c r="CY691" s="1136" t="s">
        <v>4881</v>
      </c>
      <c r="CZ691" s="1129" t="s">
        <v>4885</v>
      </c>
      <c r="DA691" s="1129"/>
      <c r="DB691" s="1129"/>
      <c r="DC691" s="1125" t="s">
        <v>5970</v>
      </c>
      <c r="DD691" s="1125" t="s">
        <v>256</v>
      </c>
      <c r="DE691" s="1120" t="b">
        <f t="shared" si="825"/>
        <v>0</v>
      </c>
      <c r="DF691" s="1133">
        <v>0</v>
      </c>
      <c r="DG691" s="1125">
        <v>0</v>
      </c>
    </row>
    <row r="692" spans="1:111">
      <c r="A692" s="1120" t="s">
        <v>4088</v>
      </c>
      <c r="B692" s="1120" t="s">
        <v>4568</v>
      </c>
      <c r="C692" s="1120" t="s">
        <v>4569</v>
      </c>
      <c r="D692" s="1120" t="s">
        <v>238</v>
      </c>
      <c r="E692" s="1120">
        <v>207</v>
      </c>
      <c r="F692" s="1120">
        <v>-122.9</v>
      </c>
      <c r="G692" s="1120">
        <v>46.97</v>
      </c>
      <c r="H692" s="1120">
        <v>-8</v>
      </c>
      <c r="I692" s="1121">
        <v>24.079999828338622</v>
      </c>
      <c r="J692" s="1121">
        <v>83.3</v>
      </c>
      <c r="K692" s="1122">
        <v>64.760001373291018</v>
      </c>
      <c r="L692" s="1120">
        <v>5167.8</v>
      </c>
      <c r="M692" s="1120">
        <v>115.2</v>
      </c>
      <c r="N692" s="1123">
        <v>40.279999828338624</v>
      </c>
      <c r="O692" s="1123">
        <v>40.640000343322754</v>
      </c>
      <c r="P692" s="1123">
        <v>42.97999982833862</v>
      </c>
      <c r="Q692" s="1123">
        <v>48.2</v>
      </c>
      <c r="R692" s="1123">
        <v>53.780000686645508</v>
      </c>
      <c r="S692" s="1123">
        <v>59</v>
      </c>
      <c r="T692" s="1123">
        <v>64.400000000000006</v>
      </c>
      <c r="U692" s="1123">
        <v>63.86000137329102</v>
      </c>
      <c r="V692" s="1123">
        <v>58.819999313354494</v>
      </c>
      <c r="W692" s="1123">
        <v>50.719999313354492</v>
      </c>
      <c r="X692" s="1123">
        <v>44.420000171661378</v>
      </c>
      <c r="Y692" s="1123">
        <v>38.839999914169312</v>
      </c>
      <c r="Z692" s="1123">
        <v>50.552821982004872</v>
      </c>
      <c r="AA692" s="1123">
        <f t="shared" si="751"/>
        <v>51.302155417452489</v>
      </c>
      <c r="AB692" s="1123">
        <f t="shared" si="752"/>
        <v>50.60549540282318</v>
      </c>
      <c r="AC692" s="1123">
        <f t="shared" si="753"/>
        <v>51.459097712134415</v>
      </c>
      <c r="AD692" s="1123">
        <f t="shared" si="754"/>
        <v>53.640457749054463</v>
      </c>
      <c r="AE692" s="1123">
        <f t="shared" si="755"/>
        <v>56.580970404184391</v>
      </c>
      <c r="AF692" s="1123">
        <f t="shared" si="756"/>
        <v>59.514145739292914</v>
      </c>
      <c r="AG692" s="1123">
        <f t="shared" si="757"/>
        <v>61.675406401683844</v>
      </c>
      <c r="AH692" s="1123">
        <f t="shared" si="758"/>
        <v>62.501386493669997</v>
      </c>
      <c r="AI692" s="1123">
        <f t="shared" si="759"/>
        <v>61.776781575536681</v>
      </c>
      <c r="AJ692" s="1123">
        <f t="shared" si="760"/>
        <v>59.690471085695144</v>
      </c>
      <c r="AK692" s="1123">
        <f t="shared" si="761"/>
        <v>56.78628400434043</v>
      </c>
      <c r="AL692" s="1123">
        <f t="shared" si="762"/>
        <v>53.821241449105273</v>
      </c>
      <c r="AM692" s="1120">
        <f t="shared" si="763"/>
        <v>1</v>
      </c>
      <c r="AN692" s="1120">
        <f t="shared" si="764"/>
        <v>1</v>
      </c>
      <c r="AO692" s="1120">
        <f t="shared" si="765"/>
        <v>1</v>
      </c>
      <c r="AP692" s="1120">
        <f t="shared" si="766"/>
        <v>1</v>
      </c>
      <c r="AQ692" s="1120">
        <f t="shared" si="767"/>
        <v>1</v>
      </c>
      <c r="AR692" s="1120">
        <f t="shared" si="768"/>
        <v>1</v>
      </c>
      <c r="AS692" s="1120">
        <f t="shared" si="769"/>
        <v>1</v>
      </c>
      <c r="AT692" s="1120">
        <f t="shared" si="770"/>
        <v>1</v>
      </c>
      <c r="AU692" s="1120">
        <f t="shared" si="771"/>
        <v>1</v>
      </c>
      <c r="AV692" s="1120">
        <f t="shared" si="772"/>
        <v>1</v>
      </c>
      <c r="AW692" s="1120">
        <f t="shared" si="773"/>
        <v>1</v>
      </c>
      <c r="AX692" s="1120">
        <f t="shared" si="774"/>
        <v>1</v>
      </c>
      <c r="AY692" s="1120">
        <f t="shared" si="775"/>
        <v>0</v>
      </c>
      <c r="AZ692" s="1120">
        <f t="shared" si="776"/>
        <v>0</v>
      </c>
      <c r="BA692" s="1120">
        <f t="shared" si="777"/>
        <v>0</v>
      </c>
      <c r="BB692" s="1120">
        <f t="shared" si="778"/>
        <v>0</v>
      </c>
      <c r="BC692" s="1120">
        <f t="shared" si="779"/>
        <v>0</v>
      </c>
      <c r="BD692" s="1120">
        <f t="shared" si="780"/>
        <v>0</v>
      </c>
      <c r="BE692" s="1120">
        <f t="shared" si="781"/>
        <v>1</v>
      </c>
      <c r="BF692" s="1120">
        <f t="shared" si="782"/>
        <v>1</v>
      </c>
      <c r="BG692" s="1120">
        <f t="shared" si="783"/>
        <v>0</v>
      </c>
      <c r="BH692" s="1120">
        <f t="shared" si="784"/>
        <v>0</v>
      </c>
      <c r="BI692" s="1120">
        <f t="shared" si="785"/>
        <v>0</v>
      </c>
      <c r="BJ692" s="1120">
        <f t="shared" si="786"/>
        <v>0</v>
      </c>
      <c r="BK692" s="1120">
        <f t="shared" si="787"/>
        <v>1</v>
      </c>
      <c r="BL692" s="1120">
        <f t="shared" si="788"/>
        <v>1</v>
      </c>
      <c r="BM692" s="1120">
        <f t="shared" si="789"/>
        <v>1</v>
      </c>
      <c r="BN692" s="1120">
        <f t="shared" si="790"/>
        <v>1</v>
      </c>
      <c r="BO692" s="1120">
        <f t="shared" si="791"/>
        <v>1</v>
      </c>
      <c r="BP692" s="1120">
        <f t="shared" si="792"/>
        <v>1</v>
      </c>
      <c r="BQ692" s="1120">
        <f t="shared" si="793"/>
        <v>1</v>
      </c>
      <c r="BR692" s="1120">
        <f t="shared" si="794"/>
        <v>1</v>
      </c>
      <c r="BS692" s="1120">
        <f t="shared" si="795"/>
        <v>1</v>
      </c>
      <c r="BT692" s="1120">
        <f t="shared" si="796"/>
        <v>1</v>
      </c>
      <c r="BU692" s="1120">
        <f t="shared" si="797"/>
        <v>1</v>
      </c>
      <c r="BV692" s="1120">
        <f t="shared" si="798"/>
        <v>1</v>
      </c>
      <c r="BW692" s="1120">
        <f t="shared" si="799"/>
        <v>0</v>
      </c>
      <c r="BX692" s="1120">
        <f t="shared" si="800"/>
        <v>0</v>
      </c>
      <c r="BY692" s="1120">
        <f t="shared" si="801"/>
        <v>0</v>
      </c>
      <c r="BZ692" s="1120">
        <f t="shared" si="802"/>
        <v>0</v>
      </c>
      <c r="CA692" s="1120">
        <f t="shared" si="803"/>
        <v>0</v>
      </c>
      <c r="CB692" s="1120">
        <f t="shared" si="804"/>
        <v>0</v>
      </c>
      <c r="CC692" s="1120">
        <f t="shared" si="805"/>
        <v>1</v>
      </c>
      <c r="CD692" s="1120">
        <f t="shared" si="806"/>
        <v>1</v>
      </c>
      <c r="CE692" s="1120">
        <f t="shared" si="807"/>
        <v>0</v>
      </c>
      <c r="CF692" s="1120">
        <f t="shared" si="808"/>
        <v>0</v>
      </c>
      <c r="CG692" s="1120">
        <f t="shared" si="809"/>
        <v>0</v>
      </c>
      <c r="CH692" s="1120">
        <f t="shared" si="810"/>
        <v>0</v>
      </c>
      <c r="CI692" s="1120">
        <f t="shared" si="811"/>
        <v>0.85</v>
      </c>
      <c r="CJ692" s="1120">
        <f t="shared" si="812"/>
        <v>0.85</v>
      </c>
      <c r="CK692" s="1120">
        <f t="shared" si="813"/>
        <v>0.85</v>
      </c>
      <c r="CL692" s="1120">
        <f t="shared" si="814"/>
        <v>0.85</v>
      </c>
      <c r="CM692" s="1120">
        <f t="shared" si="815"/>
        <v>0.85</v>
      </c>
      <c r="CN692" s="1120">
        <f t="shared" si="816"/>
        <v>0.85</v>
      </c>
      <c r="CO692" s="1120">
        <f t="shared" si="817"/>
        <v>0.85</v>
      </c>
      <c r="CP692" s="1120">
        <f t="shared" si="818"/>
        <v>0.85</v>
      </c>
      <c r="CQ692" s="1120">
        <f t="shared" si="819"/>
        <v>0.85</v>
      </c>
      <c r="CR692" s="1120">
        <f t="shared" si="820"/>
        <v>0.85</v>
      </c>
      <c r="CS692" s="1120">
        <f t="shared" si="821"/>
        <v>0.85</v>
      </c>
      <c r="CT692" s="1120">
        <f t="shared" si="822"/>
        <v>0.85</v>
      </c>
      <c r="CU692" s="1120">
        <v>1</v>
      </c>
      <c r="CV692" s="1120"/>
      <c r="CW692" s="1120">
        <f t="shared" si="823"/>
        <v>62</v>
      </c>
      <c r="CX692" s="1120">
        <f t="shared" si="824"/>
        <v>303</v>
      </c>
      <c r="CY692" s="1135" t="s">
        <v>4893</v>
      </c>
      <c r="CZ692" s="1124" t="s">
        <v>4894</v>
      </c>
      <c r="DA692" s="1124"/>
      <c r="DB692" s="1124"/>
      <c r="DC692" s="1120" t="s">
        <v>5660</v>
      </c>
      <c r="DD692" s="1120" t="s">
        <v>238</v>
      </c>
      <c r="DE692" s="1120" t="str">
        <f t="shared" si="825"/>
        <v/>
      </c>
      <c r="DF692" s="1133">
        <v>0</v>
      </c>
      <c r="DG692" s="1120">
        <v>0</v>
      </c>
    </row>
    <row r="693" spans="1:111">
      <c r="A693" s="1125" t="s">
        <v>4086</v>
      </c>
      <c r="B693" s="1120" t="s">
        <v>4022</v>
      </c>
      <c r="C693" s="1120" t="s">
        <v>4023</v>
      </c>
      <c r="D693" s="1120" t="s">
        <v>771</v>
      </c>
      <c r="E693" s="1120">
        <v>981</v>
      </c>
      <c r="F693" s="1120">
        <v>-95.9</v>
      </c>
      <c r="G693" s="1120">
        <v>41.32</v>
      </c>
      <c r="H693" s="1120">
        <v>-6</v>
      </c>
      <c r="I693" s="1121">
        <v>-0.76000137329101647</v>
      </c>
      <c r="J693" s="1121">
        <v>91.760001373291018</v>
      </c>
      <c r="K693" s="1122">
        <v>75.019999313354489</v>
      </c>
      <c r="L693" s="1120">
        <v>5851.8</v>
      </c>
      <c r="M693" s="1120">
        <v>1339.2</v>
      </c>
      <c r="N693" s="1123">
        <v>23.179999828338623</v>
      </c>
      <c r="O693" s="1123">
        <v>23.540000343322752</v>
      </c>
      <c r="P693" s="1123">
        <v>40.459999656677248</v>
      </c>
      <c r="Q693" s="1123">
        <v>53.959999656677248</v>
      </c>
      <c r="R693" s="1123">
        <v>63.680000686645506</v>
      </c>
      <c r="S693" s="1123">
        <v>74.480000686645511</v>
      </c>
      <c r="T693" s="1123">
        <v>78.260001373291018</v>
      </c>
      <c r="U693" s="1123">
        <v>75.019999313354489</v>
      </c>
      <c r="V693" s="1123">
        <v>66.380000686645502</v>
      </c>
      <c r="W693" s="1123">
        <v>54.680000686645506</v>
      </c>
      <c r="X693" s="1123">
        <v>41.720000171661376</v>
      </c>
      <c r="Y693" s="1123">
        <v>26.960000085830689</v>
      </c>
      <c r="Z693" s="1123">
        <v>52.013041359496441</v>
      </c>
      <c r="AA693" s="1123">
        <f t="shared" si="751"/>
        <v>46.190770657410724</v>
      </c>
      <c r="AB693" s="1123">
        <f t="shared" si="752"/>
        <v>44.80802051072267</v>
      </c>
      <c r="AC693" s="1123">
        <f t="shared" si="753"/>
        <v>46.867362543798535</v>
      </c>
      <c r="AD693" s="1123">
        <f t="shared" si="754"/>
        <v>51.831997520295751</v>
      </c>
      <c r="AE693" s="1123">
        <f t="shared" si="755"/>
        <v>58.407816826249459</v>
      </c>
      <c r="AF693" s="1123">
        <f t="shared" si="756"/>
        <v>64.880731823119902</v>
      </c>
      <c r="AG693" s="1123">
        <f t="shared" si="757"/>
        <v>69.563477466333268</v>
      </c>
      <c r="AH693" s="1123">
        <f t="shared" si="758"/>
        <v>71.235423940691263</v>
      </c>
      <c r="AI693" s="1123">
        <f t="shared" si="759"/>
        <v>69.460752632177403</v>
      </c>
      <c r="AJ693" s="1123">
        <f t="shared" si="760"/>
        <v>64.702058965868503</v>
      </c>
      <c r="AK693" s="1123">
        <f t="shared" si="761"/>
        <v>58.199769779577174</v>
      </c>
      <c r="AL693" s="1123">
        <f t="shared" si="762"/>
        <v>51.648806953019765</v>
      </c>
      <c r="AM693" s="1120">
        <f t="shared" si="763"/>
        <v>1</v>
      </c>
      <c r="AN693" s="1120">
        <f t="shared" si="764"/>
        <v>1</v>
      </c>
      <c r="AO693" s="1120">
        <f t="shared" si="765"/>
        <v>1</v>
      </c>
      <c r="AP693" s="1120">
        <f t="shared" si="766"/>
        <v>1</v>
      </c>
      <c r="AQ693" s="1120">
        <f t="shared" si="767"/>
        <v>1</v>
      </c>
      <c r="AR693" s="1120">
        <f t="shared" si="768"/>
        <v>0</v>
      </c>
      <c r="AS693" s="1120">
        <f t="shared" si="769"/>
        <v>0</v>
      </c>
      <c r="AT693" s="1120">
        <f t="shared" si="770"/>
        <v>0</v>
      </c>
      <c r="AU693" s="1120">
        <f t="shared" si="771"/>
        <v>0</v>
      </c>
      <c r="AV693" s="1120">
        <f t="shared" si="772"/>
        <v>1</v>
      </c>
      <c r="AW693" s="1120">
        <f t="shared" si="773"/>
        <v>1</v>
      </c>
      <c r="AX693" s="1120">
        <f t="shared" si="774"/>
        <v>1</v>
      </c>
      <c r="AY693" s="1120">
        <f t="shared" si="775"/>
        <v>0</v>
      </c>
      <c r="AZ693" s="1120">
        <f t="shared" si="776"/>
        <v>0</v>
      </c>
      <c r="BA693" s="1120">
        <f t="shared" si="777"/>
        <v>0</v>
      </c>
      <c r="BB693" s="1120">
        <f t="shared" si="778"/>
        <v>0</v>
      </c>
      <c r="BC693" s="1120">
        <f t="shared" si="779"/>
        <v>0</v>
      </c>
      <c r="BD693" s="1120">
        <f t="shared" si="780"/>
        <v>1</v>
      </c>
      <c r="BE693" s="1120">
        <f t="shared" si="781"/>
        <v>1</v>
      </c>
      <c r="BF693" s="1120">
        <f t="shared" si="782"/>
        <v>1</v>
      </c>
      <c r="BG693" s="1120">
        <f t="shared" si="783"/>
        <v>1</v>
      </c>
      <c r="BH693" s="1120">
        <f t="shared" si="784"/>
        <v>0</v>
      </c>
      <c r="BI693" s="1120">
        <f t="shared" si="785"/>
        <v>0</v>
      </c>
      <c r="BJ693" s="1120">
        <f t="shared" si="786"/>
        <v>0</v>
      </c>
      <c r="BK693" s="1120">
        <f t="shared" si="787"/>
        <v>1</v>
      </c>
      <c r="BL693" s="1120">
        <f t="shared" si="788"/>
        <v>1</v>
      </c>
      <c r="BM693" s="1120">
        <f t="shared" si="789"/>
        <v>1</v>
      </c>
      <c r="BN693" s="1120">
        <f t="shared" si="790"/>
        <v>1</v>
      </c>
      <c r="BO693" s="1120">
        <f t="shared" si="791"/>
        <v>1</v>
      </c>
      <c r="BP693" s="1120">
        <f t="shared" si="792"/>
        <v>1</v>
      </c>
      <c r="BQ693" s="1120">
        <f t="shared" si="793"/>
        <v>0</v>
      </c>
      <c r="BR693" s="1120">
        <f t="shared" si="794"/>
        <v>0</v>
      </c>
      <c r="BS693" s="1120">
        <f t="shared" si="795"/>
        <v>0</v>
      </c>
      <c r="BT693" s="1120">
        <f t="shared" si="796"/>
        <v>1</v>
      </c>
      <c r="BU693" s="1120">
        <f t="shared" si="797"/>
        <v>1</v>
      </c>
      <c r="BV693" s="1120">
        <f t="shared" si="798"/>
        <v>1</v>
      </c>
      <c r="BW693" s="1120">
        <f t="shared" si="799"/>
        <v>0</v>
      </c>
      <c r="BX693" s="1120">
        <f t="shared" si="800"/>
        <v>0</v>
      </c>
      <c r="BY693" s="1120">
        <f t="shared" si="801"/>
        <v>0</v>
      </c>
      <c r="BZ693" s="1120">
        <f t="shared" si="802"/>
        <v>0</v>
      </c>
      <c r="CA693" s="1120">
        <f t="shared" si="803"/>
        <v>1</v>
      </c>
      <c r="CB693" s="1120">
        <f t="shared" si="804"/>
        <v>1</v>
      </c>
      <c r="CC693" s="1120">
        <f t="shared" si="805"/>
        <v>1</v>
      </c>
      <c r="CD693" s="1120">
        <f t="shared" si="806"/>
        <v>1</v>
      </c>
      <c r="CE693" s="1120">
        <f t="shared" si="807"/>
        <v>1</v>
      </c>
      <c r="CF693" s="1120">
        <f t="shared" si="808"/>
        <v>1</v>
      </c>
      <c r="CG693" s="1120">
        <f t="shared" si="809"/>
        <v>0</v>
      </c>
      <c r="CH693" s="1120">
        <f t="shared" si="810"/>
        <v>0</v>
      </c>
      <c r="CI693" s="1120">
        <f t="shared" si="811"/>
        <v>0.85</v>
      </c>
      <c r="CJ693" s="1120">
        <f t="shared" si="812"/>
        <v>0.85</v>
      </c>
      <c r="CK693" s="1120">
        <f t="shared" si="813"/>
        <v>0.85</v>
      </c>
      <c r="CL693" s="1120">
        <f t="shared" si="814"/>
        <v>0.85</v>
      </c>
      <c r="CM693" s="1120">
        <f t="shared" si="815"/>
        <v>0.85</v>
      </c>
      <c r="CN693" s="1120">
        <f t="shared" si="816"/>
        <v>0.85</v>
      </c>
      <c r="CO693" s="1120">
        <f t="shared" si="817"/>
        <v>0.7</v>
      </c>
      <c r="CP693" s="1120">
        <f t="shared" si="818"/>
        <v>0.7</v>
      </c>
      <c r="CQ693" s="1120">
        <f t="shared" si="819"/>
        <v>0.7</v>
      </c>
      <c r="CR693" s="1120">
        <f t="shared" si="820"/>
        <v>0.85</v>
      </c>
      <c r="CS693" s="1120">
        <f t="shared" si="821"/>
        <v>0.85</v>
      </c>
      <c r="CT693" s="1120">
        <f t="shared" si="822"/>
        <v>0.85</v>
      </c>
      <c r="CU693" s="1120">
        <v>1</v>
      </c>
      <c r="CV693" s="1120"/>
      <c r="CW693" s="1120">
        <f t="shared" si="823"/>
        <v>184</v>
      </c>
      <c r="CX693" s="1120">
        <f t="shared" si="824"/>
        <v>181</v>
      </c>
      <c r="CY693" s="1135" t="s">
        <v>4889</v>
      </c>
      <c r="CZ693" s="1124" t="s">
        <v>4897</v>
      </c>
      <c r="DA693" s="1124"/>
      <c r="DB693" s="1124"/>
      <c r="DC693" s="1120" t="s">
        <v>5426</v>
      </c>
      <c r="DD693" s="1120" t="s">
        <v>771</v>
      </c>
      <c r="DE693" s="1120" t="str">
        <f t="shared" si="825"/>
        <v/>
      </c>
      <c r="DF693" s="1133">
        <v>0</v>
      </c>
      <c r="DG693" s="1125">
        <v>0</v>
      </c>
    </row>
    <row r="694" spans="1:111">
      <c r="A694" s="1120" t="s">
        <v>4090</v>
      </c>
      <c r="B694" s="1125" t="s">
        <v>4024</v>
      </c>
      <c r="C694" s="1125" t="s">
        <v>4025</v>
      </c>
      <c r="D694" s="1125" t="s">
        <v>771</v>
      </c>
      <c r="E694" s="1125">
        <v>1309</v>
      </c>
      <c r="F694" s="1125">
        <v>-96.02</v>
      </c>
      <c r="G694" s="1125">
        <v>41.37</v>
      </c>
      <c r="H694" s="1125">
        <v>-6</v>
      </c>
      <c r="I694" s="1126">
        <v>-1.4800006866455087</v>
      </c>
      <c r="J694" s="1126">
        <v>90.5</v>
      </c>
      <c r="K694" s="1127">
        <v>74.3</v>
      </c>
      <c r="L694" s="1125">
        <v>6136.2</v>
      </c>
      <c r="M694" s="1125">
        <v>1261.8</v>
      </c>
      <c r="N694" s="1128">
        <v>20.120000171661378</v>
      </c>
      <c r="O694" s="1128">
        <v>23.9</v>
      </c>
      <c r="P694" s="1128">
        <v>40.640000343322754</v>
      </c>
      <c r="Q694" s="1128">
        <v>54.859999656677246</v>
      </c>
      <c r="R694" s="1128">
        <v>62.780000686645508</v>
      </c>
      <c r="S694" s="1128">
        <v>73.939998626708984</v>
      </c>
      <c r="T694" s="1128">
        <v>76.639998626708987</v>
      </c>
      <c r="U694" s="1128">
        <v>75.019999313354489</v>
      </c>
      <c r="V694" s="1128">
        <v>66.560001373291016</v>
      </c>
      <c r="W694" s="1128">
        <v>53.240000343322755</v>
      </c>
      <c r="X694" s="1128">
        <v>37.220000171661376</v>
      </c>
      <c r="Y694" s="1128">
        <v>25.7</v>
      </c>
      <c r="Z694" s="1128">
        <v>51.027232818864796</v>
      </c>
      <c r="AA694" s="1128">
        <f t="shared" si="751"/>
        <v>45.24765454187704</v>
      </c>
      <c r="AB694" s="1128">
        <f t="shared" si="752"/>
        <v>43.745423738880127</v>
      </c>
      <c r="AC694" s="1128">
        <f t="shared" si="753"/>
        <v>45.705301151454719</v>
      </c>
      <c r="AD694" s="1128">
        <f t="shared" si="754"/>
        <v>50.616414529388095</v>
      </c>
      <c r="AE694" s="1128">
        <f t="shared" si="755"/>
        <v>57.198606488173873</v>
      </c>
      <c r="AF694" s="1128">
        <f t="shared" si="756"/>
        <v>63.736127259106055</v>
      </c>
      <c r="AG694" s="1128">
        <f t="shared" si="757"/>
        <v>68.524871306996531</v>
      </c>
      <c r="AH694" s="1128">
        <f t="shared" si="758"/>
        <v>70.316578698983051</v>
      </c>
      <c r="AI694" s="1128">
        <f t="shared" si="759"/>
        <v>68.644213292297636</v>
      </c>
      <c r="AJ694" s="1128">
        <f t="shared" si="760"/>
        <v>63.943702902123874</v>
      </c>
      <c r="AK694" s="1128">
        <f t="shared" si="761"/>
        <v>57.440307998718339</v>
      </c>
      <c r="AL694" s="1128">
        <f t="shared" si="762"/>
        <v>50.82923868400276</v>
      </c>
      <c r="AM694" s="1125">
        <f t="shared" si="763"/>
        <v>1</v>
      </c>
      <c r="AN694" s="1125">
        <f t="shared" si="764"/>
        <v>1</v>
      </c>
      <c r="AO694" s="1125">
        <f t="shared" si="765"/>
        <v>1</v>
      </c>
      <c r="AP694" s="1125">
        <f t="shared" si="766"/>
        <v>1</v>
      </c>
      <c r="AQ694" s="1125">
        <f t="shared" si="767"/>
        <v>1</v>
      </c>
      <c r="AR694" s="1125">
        <f t="shared" si="768"/>
        <v>0</v>
      </c>
      <c r="AS694" s="1125">
        <f t="shared" si="769"/>
        <v>0</v>
      </c>
      <c r="AT694" s="1125">
        <f t="shared" si="770"/>
        <v>0</v>
      </c>
      <c r="AU694" s="1125">
        <f t="shared" si="771"/>
        <v>0</v>
      </c>
      <c r="AV694" s="1125">
        <f t="shared" si="772"/>
        <v>1</v>
      </c>
      <c r="AW694" s="1125">
        <f t="shared" si="773"/>
        <v>1</v>
      </c>
      <c r="AX694" s="1125">
        <f t="shared" si="774"/>
        <v>1</v>
      </c>
      <c r="AY694" s="1125">
        <f t="shared" si="775"/>
        <v>0</v>
      </c>
      <c r="AZ694" s="1125">
        <f t="shared" si="776"/>
        <v>0</v>
      </c>
      <c r="BA694" s="1125">
        <f t="shared" si="777"/>
        <v>0</v>
      </c>
      <c r="BB694" s="1125">
        <f t="shared" si="778"/>
        <v>0</v>
      </c>
      <c r="BC694" s="1125">
        <f t="shared" si="779"/>
        <v>0</v>
      </c>
      <c r="BD694" s="1125">
        <f t="shared" si="780"/>
        <v>1</v>
      </c>
      <c r="BE694" s="1125">
        <f t="shared" si="781"/>
        <v>1</v>
      </c>
      <c r="BF694" s="1125">
        <f t="shared" si="782"/>
        <v>1</v>
      </c>
      <c r="BG694" s="1125">
        <f t="shared" si="783"/>
        <v>1</v>
      </c>
      <c r="BH694" s="1125">
        <f t="shared" si="784"/>
        <v>0</v>
      </c>
      <c r="BI694" s="1125">
        <f t="shared" si="785"/>
        <v>0</v>
      </c>
      <c r="BJ694" s="1125">
        <f t="shared" si="786"/>
        <v>0</v>
      </c>
      <c r="BK694" s="1125">
        <f t="shared" si="787"/>
        <v>1</v>
      </c>
      <c r="BL694" s="1125">
        <f t="shared" si="788"/>
        <v>1</v>
      </c>
      <c r="BM694" s="1125">
        <f t="shared" si="789"/>
        <v>1</v>
      </c>
      <c r="BN694" s="1125">
        <f t="shared" si="790"/>
        <v>1</v>
      </c>
      <c r="BO694" s="1125">
        <f t="shared" si="791"/>
        <v>1</v>
      </c>
      <c r="BP694" s="1125">
        <f t="shared" si="792"/>
        <v>1</v>
      </c>
      <c r="BQ694" s="1125">
        <f t="shared" si="793"/>
        <v>0</v>
      </c>
      <c r="BR694" s="1125">
        <f t="shared" si="794"/>
        <v>0</v>
      </c>
      <c r="BS694" s="1125">
        <f t="shared" si="795"/>
        <v>0</v>
      </c>
      <c r="BT694" s="1125">
        <f t="shared" si="796"/>
        <v>1</v>
      </c>
      <c r="BU694" s="1125">
        <f t="shared" si="797"/>
        <v>1</v>
      </c>
      <c r="BV694" s="1125">
        <f t="shared" si="798"/>
        <v>1</v>
      </c>
      <c r="BW694" s="1125">
        <f t="shared" si="799"/>
        <v>0</v>
      </c>
      <c r="BX694" s="1125">
        <f t="shared" si="800"/>
        <v>0</v>
      </c>
      <c r="BY694" s="1125">
        <f t="shared" si="801"/>
        <v>0</v>
      </c>
      <c r="BZ694" s="1125">
        <f t="shared" si="802"/>
        <v>0</v>
      </c>
      <c r="CA694" s="1125">
        <f t="shared" si="803"/>
        <v>1</v>
      </c>
      <c r="CB694" s="1125">
        <f t="shared" si="804"/>
        <v>1</v>
      </c>
      <c r="CC694" s="1125">
        <f t="shared" si="805"/>
        <v>1</v>
      </c>
      <c r="CD694" s="1125">
        <f t="shared" si="806"/>
        <v>1</v>
      </c>
      <c r="CE694" s="1125">
        <f t="shared" si="807"/>
        <v>1</v>
      </c>
      <c r="CF694" s="1125">
        <f t="shared" si="808"/>
        <v>1</v>
      </c>
      <c r="CG694" s="1125">
        <f t="shared" si="809"/>
        <v>0</v>
      </c>
      <c r="CH694" s="1125">
        <f t="shared" si="810"/>
        <v>0</v>
      </c>
      <c r="CI694" s="1125">
        <f t="shared" si="811"/>
        <v>0.85</v>
      </c>
      <c r="CJ694" s="1125">
        <f t="shared" si="812"/>
        <v>0.85</v>
      </c>
      <c r="CK694" s="1125">
        <f t="shared" si="813"/>
        <v>0.85</v>
      </c>
      <c r="CL694" s="1125">
        <f t="shared" si="814"/>
        <v>0.85</v>
      </c>
      <c r="CM694" s="1125">
        <f t="shared" si="815"/>
        <v>0.85</v>
      </c>
      <c r="CN694" s="1125">
        <f t="shared" si="816"/>
        <v>0.85</v>
      </c>
      <c r="CO694" s="1125">
        <f t="shared" si="817"/>
        <v>0.7</v>
      </c>
      <c r="CP694" s="1125">
        <f t="shared" si="818"/>
        <v>0.7</v>
      </c>
      <c r="CQ694" s="1125">
        <f t="shared" si="819"/>
        <v>0.7</v>
      </c>
      <c r="CR694" s="1125">
        <f t="shared" si="820"/>
        <v>0.85</v>
      </c>
      <c r="CS694" s="1125">
        <f t="shared" si="821"/>
        <v>0.85</v>
      </c>
      <c r="CT694" s="1125">
        <f t="shared" si="822"/>
        <v>0.85</v>
      </c>
      <c r="CU694" s="1125">
        <v>1</v>
      </c>
      <c r="CV694" s="1125"/>
      <c r="CW694" s="1125">
        <f t="shared" si="823"/>
        <v>184</v>
      </c>
      <c r="CX694" s="1125">
        <f t="shared" si="824"/>
        <v>181</v>
      </c>
      <c r="CY694" s="1136" t="s">
        <v>4889</v>
      </c>
      <c r="CZ694" s="1129" t="s">
        <v>4897</v>
      </c>
      <c r="DA694" s="1129"/>
      <c r="DB694" s="1129"/>
      <c r="DC694" s="1125" t="s">
        <v>5427</v>
      </c>
      <c r="DD694" s="1125" t="s">
        <v>771</v>
      </c>
      <c r="DE694" s="1120" t="str">
        <f t="shared" si="825"/>
        <v/>
      </c>
      <c r="DF694" s="1133">
        <v>0</v>
      </c>
      <c r="DG694" s="1120">
        <v>0</v>
      </c>
    </row>
    <row r="695" spans="1:111">
      <c r="A695" s="1125" t="s">
        <v>4092</v>
      </c>
      <c r="B695" s="1120" t="s">
        <v>3455</v>
      </c>
      <c r="C695" s="1120" t="s">
        <v>3456</v>
      </c>
      <c r="D695" s="1120" t="s">
        <v>566</v>
      </c>
      <c r="E695" s="1120">
        <v>1414</v>
      </c>
      <c r="F695" s="1120">
        <v>-96.07</v>
      </c>
      <c r="G695" s="1120">
        <v>42.98</v>
      </c>
      <c r="H695" s="1120">
        <v>-6</v>
      </c>
      <c r="I695" s="1121">
        <v>-9.5800006866455085</v>
      </c>
      <c r="J695" s="1121">
        <v>91.579997253417972</v>
      </c>
      <c r="K695" s="1122">
        <v>80.780000686645508</v>
      </c>
      <c r="L695" s="1120">
        <v>6701.4000000000005</v>
      </c>
      <c r="M695" s="1120">
        <v>927</v>
      </c>
      <c r="N695" s="1123">
        <v>19.220000171661376</v>
      </c>
      <c r="O695" s="1123">
        <v>23.179999828338623</v>
      </c>
      <c r="P695" s="1123">
        <v>42.440000343322751</v>
      </c>
      <c r="Q695" s="1123">
        <v>49.640000343322754</v>
      </c>
      <c r="R695" s="1123">
        <v>59.540000343322752</v>
      </c>
      <c r="S695" s="1123">
        <v>69.8</v>
      </c>
      <c r="T695" s="1123">
        <v>74.66000137329101</v>
      </c>
      <c r="U695" s="1123">
        <v>73.760001373291018</v>
      </c>
      <c r="V695" s="1123">
        <v>61.160001373291017</v>
      </c>
      <c r="W695" s="1123">
        <v>49.459999656677248</v>
      </c>
      <c r="X695" s="1123">
        <v>31.639999994635581</v>
      </c>
      <c r="Y695" s="1123">
        <v>26.6</v>
      </c>
      <c r="Z695" s="1123">
        <v>48.581699034628805</v>
      </c>
      <c r="AA695" s="1123">
        <f t="shared" si="751"/>
        <v>43.87850148595308</v>
      </c>
      <c r="AB695" s="1123">
        <f t="shared" si="752"/>
        <v>42.223971981806613</v>
      </c>
      <c r="AC695" s="1123">
        <f t="shared" si="753"/>
        <v>43.790674472316653</v>
      </c>
      <c r="AD695" s="1123">
        <f t="shared" si="754"/>
        <v>48.170223809715566</v>
      </c>
      <c r="AE695" s="1123">
        <f t="shared" si="755"/>
        <v>54.221022968312084</v>
      </c>
      <c r="AF695" s="1123">
        <f t="shared" si="756"/>
        <v>60.365837901780495</v>
      </c>
      <c r="AG695" s="1123">
        <f t="shared" si="757"/>
        <v>65.002927903247738</v>
      </c>
      <c r="AH695" s="1123">
        <f t="shared" si="758"/>
        <v>66.923564004111384</v>
      </c>
      <c r="AI695" s="1123">
        <f t="shared" si="759"/>
        <v>65.6271028067831</v>
      </c>
      <c r="AJ695" s="1123">
        <f t="shared" si="760"/>
        <v>61.451486901418313</v>
      </c>
      <c r="AK695" s="1123">
        <f t="shared" si="761"/>
        <v>55.485154921939255</v>
      </c>
      <c r="AL695" s="1123">
        <f t="shared" si="762"/>
        <v>49.283323242756069</v>
      </c>
      <c r="AM695" s="1120">
        <f t="shared" si="763"/>
        <v>1</v>
      </c>
      <c r="AN695" s="1120">
        <f t="shared" si="764"/>
        <v>1</v>
      </c>
      <c r="AO695" s="1120">
        <f t="shared" si="765"/>
        <v>1</v>
      </c>
      <c r="AP695" s="1120">
        <f t="shared" si="766"/>
        <v>1</v>
      </c>
      <c r="AQ695" s="1120">
        <f t="shared" si="767"/>
        <v>1</v>
      </c>
      <c r="AR695" s="1120">
        <f t="shared" si="768"/>
        <v>0</v>
      </c>
      <c r="AS695" s="1120">
        <f t="shared" si="769"/>
        <v>0</v>
      </c>
      <c r="AT695" s="1120">
        <f t="shared" si="770"/>
        <v>0</v>
      </c>
      <c r="AU695" s="1120">
        <f t="shared" si="771"/>
        <v>1</v>
      </c>
      <c r="AV695" s="1120">
        <f t="shared" si="772"/>
        <v>1</v>
      </c>
      <c r="AW695" s="1120">
        <f t="shared" si="773"/>
        <v>1</v>
      </c>
      <c r="AX695" s="1120">
        <f t="shared" si="774"/>
        <v>1</v>
      </c>
      <c r="AY695" s="1120">
        <f t="shared" si="775"/>
        <v>0</v>
      </c>
      <c r="AZ695" s="1120">
        <f t="shared" si="776"/>
        <v>0</v>
      </c>
      <c r="BA695" s="1120">
        <f t="shared" si="777"/>
        <v>0</v>
      </c>
      <c r="BB695" s="1120">
        <f t="shared" si="778"/>
        <v>0</v>
      </c>
      <c r="BC695" s="1120">
        <f t="shared" si="779"/>
        <v>0</v>
      </c>
      <c r="BD695" s="1120">
        <f t="shared" si="780"/>
        <v>1</v>
      </c>
      <c r="BE695" s="1120">
        <f t="shared" si="781"/>
        <v>1</v>
      </c>
      <c r="BF695" s="1120">
        <f t="shared" si="782"/>
        <v>1</v>
      </c>
      <c r="BG695" s="1120">
        <f t="shared" si="783"/>
        <v>0</v>
      </c>
      <c r="BH695" s="1120">
        <f t="shared" si="784"/>
        <v>0</v>
      </c>
      <c r="BI695" s="1120">
        <f t="shared" si="785"/>
        <v>0</v>
      </c>
      <c r="BJ695" s="1120">
        <f t="shared" si="786"/>
        <v>0</v>
      </c>
      <c r="BK695" s="1120">
        <f t="shared" si="787"/>
        <v>1</v>
      </c>
      <c r="BL695" s="1120">
        <f t="shared" si="788"/>
        <v>1</v>
      </c>
      <c r="BM695" s="1120">
        <f t="shared" si="789"/>
        <v>1</v>
      </c>
      <c r="BN695" s="1120">
        <f t="shared" si="790"/>
        <v>1</v>
      </c>
      <c r="BO695" s="1120">
        <f t="shared" si="791"/>
        <v>1</v>
      </c>
      <c r="BP695" s="1120">
        <f t="shared" si="792"/>
        <v>1</v>
      </c>
      <c r="BQ695" s="1120">
        <f t="shared" si="793"/>
        <v>0</v>
      </c>
      <c r="BR695" s="1120">
        <f t="shared" si="794"/>
        <v>0</v>
      </c>
      <c r="BS695" s="1120">
        <f t="shared" si="795"/>
        <v>1</v>
      </c>
      <c r="BT695" s="1120">
        <f t="shared" si="796"/>
        <v>1</v>
      </c>
      <c r="BU695" s="1120">
        <f t="shared" si="797"/>
        <v>1</v>
      </c>
      <c r="BV695" s="1120">
        <f t="shared" si="798"/>
        <v>1</v>
      </c>
      <c r="BW695" s="1120">
        <f t="shared" si="799"/>
        <v>0</v>
      </c>
      <c r="BX695" s="1120">
        <f t="shared" si="800"/>
        <v>0</v>
      </c>
      <c r="BY695" s="1120">
        <f t="shared" si="801"/>
        <v>0</v>
      </c>
      <c r="BZ695" s="1120">
        <f t="shared" si="802"/>
        <v>0</v>
      </c>
      <c r="CA695" s="1120">
        <f t="shared" si="803"/>
        <v>1</v>
      </c>
      <c r="CB695" s="1120">
        <f t="shared" si="804"/>
        <v>1</v>
      </c>
      <c r="CC695" s="1120">
        <f t="shared" si="805"/>
        <v>1</v>
      </c>
      <c r="CD695" s="1120">
        <f t="shared" si="806"/>
        <v>1</v>
      </c>
      <c r="CE695" s="1120">
        <f t="shared" si="807"/>
        <v>1</v>
      </c>
      <c r="CF695" s="1120">
        <f t="shared" si="808"/>
        <v>0</v>
      </c>
      <c r="CG695" s="1120">
        <f t="shared" si="809"/>
        <v>0</v>
      </c>
      <c r="CH695" s="1120">
        <f t="shared" si="810"/>
        <v>0</v>
      </c>
      <c r="CI695" s="1120">
        <f t="shared" si="811"/>
        <v>0.85</v>
      </c>
      <c r="CJ695" s="1120">
        <f t="shared" si="812"/>
        <v>0.85</v>
      </c>
      <c r="CK695" s="1120">
        <f t="shared" si="813"/>
        <v>0.85</v>
      </c>
      <c r="CL695" s="1120">
        <f t="shared" si="814"/>
        <v>0.85</v>
      </c>
      <c r="CM695" s="1120">
        <f t="shared" si="815"/>
        <v>0.85</v>
      </c>
      <c r="CN695" s="1120">
        <f t="shared" si="816"/>
        <v>0.85</v>
      </c>
      <c r="CO695" s="1120">
        <f t="shared" si="817"/>
        <v>0.7</v>
      </c>
      <c r="CP695" s="1120">
        <f t="shared" si="818"/>
        <v>0.7</v>
      </c>
      <c r="CQ695" s="1120">
        <f t="shared" si="819"/>
        <v>0.85</v>
      </c>
      <c r="CR695" s="1120">
        <f t="shared" si="820"/>
        <v>0.85</v>
      </c>
      <c r="CS695" s="1120">
        <f t="shared" si="821"/>
        <v>0.85</v>
      </c>
      <c r="CT695" s="1120">
        <f t="shared" si="822"/>
        <v>0.85</v>
      </c>
      <c r="CU695" s="1120">
        <v>1</v>
      </c>
      <c r="CV695" s="1120"/>
      <c r="CW695" s="1120">
        <f t="shared" si="823"/>
        <v>153</v>
      </c>
      <c r="CX695" s="1120">
        <f t="shared" si="824"/>
        <v>212</v>
      </c>
      <c r="CY695" s="1135" t="s">
        <v>4889</v>
      </c>
      <c r="CZ695" s="1124" t="s">
        <v>4899</v>
      </c>
      <c r="DA695" s="1124"/>
      <c r="DB695" s="1124"/>
      <c r="DC695" s="1120" t="s">
        <v>5183</v>
      </c>
      <c r="DD695" s="1120" t="s">
        <v>566</v>
      </c>
      <c r="DE695" s="1120" t="str">
        <f t="shared" si="825"/>
        <v/>
      </c>
      <c r="DF695" s="1133">
        <v>1</v>
      </c>
      <c r="DG695" s="1125">
        <v>0</v>
      </c>
    </row>
    <row r="696" spans="1:111">
      <c r="A696" s="1120" t="s">
        <v>4094</v>
      </c>
      <c r="B696" s="1120" t="s">
        <v>4028</v>
      </c>
      <c r="C696" s="1120" t="s">
        <v>4029</v>
      </c>
      <c r="D696" s="1120" t="s">
        <v>771</v>
      </c>
      <c r="E696" s="1120">
        <v>2070</v>
      </c>
      <c r="F696" s="1120">
        <v>-98.95</v>
      </c>
      <c r="G696" s="1120">
        <v>41.62</v>
      </c>
      <c r="H696" s="1120">
        <v>-6</v>
      </c>
      <c r="I696" s="1121">
        <v>-5.9800006866455089</v>
      </c>
      <c r="J696" s="1121">
        <v>95.179997253417966</v>
      </c>
      <c r="K696" s="1122">
        <v>74.119999313354498</v>
      </c>
      <c r="L696" s="1120">
        <v>6255</v>
      </c>
      <c r="M696" s="1120">
        <v>941.4</v>
      </c>
      <c r="N696" s="1123">
        <v>24.079999828338622</v>
      </c>
      <c r="O696" s="1123">
        <v>23.720000171661376</v>
      </c>
      <c r="P696" s="1123">
        <v>39.559999656677249</v>
      </c>
      <c r="Q696" s="1123">
        <v>50.719999313354492</v>
      </c>
      <c r="R696" s="1123">
        <v>63.680000686645506</v>
      </c>
      <c r="S696" s="1123">
        <v>71.419999313354495</v>
      </c>
      <c r="T696" s="1123">
        <v>75.739998626708982</v>
      </c>
      <c r="U696" s="1123">
        <v>69.080000686645505</v>
      </c>
      <c r="V696" s="1123">
        <v>61.7</v>
      </c>
      <c r="W696" s="1123">
        <v>51.440000343322751</v>
      </c>
      <c r="X696" s="1123">
        <v>34.519999957084657</v>
      </c>
      <c r="Y696" s="1123">
        <v>30.919999957084656</v>
      </c>
      <c r="Z696" s="1123">
        <v>49.875232755256029</v>
      </c>
      <c r="AA696" s="1123">
        <f t="shared" si="751"/>
        <v>45.410697854865589</v>
      </c>
      <c r="AB696" s="1123">
        <f t="shared" si="752"/>
        <v>43.944438500941345</v>
      </c>
      <c r="AC696" s="1123">
        <f t="shared" si="753"/>
        <v>45.588124528509056</v>
      </c>
      <c r="AD696" s="1123">
        <f t="shared" si="754"/>
        <v>49.913303844514779</v>
      </c>
      <c r="AE696" s="1123">
        <f t="shared" si="755"/>
        <v>55.792551807210785</v>
      </c>
      <c r="AF696" s="1123">
        <f t="shared" si="756"/>
        <v>61.693351833166766</v>
      </c>
      <c r="AG696" s="1123">
        <f t="shared" si="757"/>
        <v>66.077569461536342</v>
      </c>
      <c r="AH696" s="1123">
        <f t="shared" si="758"/>
        <v>67.802390804646208</v>
      </c>
      <c r="AI696" s="1123">
        <f t="shared" si="759"/>
        <v>66.418214599113313</v>
      </c>
      <c r="AJ696" s="1123">
        <f t="shared" si="760"/>
        <v>62.285847703710814</v>
      </c>
      <c r="AK696" s="1123">
        <f t="shared" si="761"/>
        <v>56.482455231426847</v>
      </c>
      <c r="AL696" s="1123">
        <f t="shared" si="762"/>
        <v>50.520780863147351</v>
      </c>
      <c r="AM696" s="1120">
        <f t="shared" si="763"/>
        <v>1</v>
      </c>
      <c r="AN696" s="1120">
        <f t="shared" si="764"/>
        <v>1</v>
      </c>
      <c r="AO696" s="1120">
        <f t="shared" si="765"/>
        <v>1</v>
      </c>
      <c r="AP696" s="1120">
        <f t="shared" si="766"/>
        <v>1</v>
      </c>
      <c r="AQ696" s="1120">
        <f t="shared" si="767"/>
        <v>1</v>
      </c>
      <c r="AR696" s="1120">
        <f t="shared" si="768"/>
        <v>0</v>
      </c>
      <c r="AS696" s="1120">
        <f t="shared" si="769"/>
        <v>0</v>
      </c>
      <c r="AT696" s="1120">
        <f t="shared" si="770"/>
        <v>0</v>
      </c>
      <c r="AU696" s="1120">
        <f t="shared" si="771"/>
        <v>1</v>
      </c>
      <c r="AV696" s="1120">
        <f t="shared" si="772"/>
        <v>1</v>
      </c>
      <c r="AW696" s="1120">
        <f t="shared" si="773"/>
        <v>1</v>
      </c>
      <c r="AX696" s="1120">
        <f t="shared" si="774"/>
        <v>1</v>
      </c>
      <c r="AY696" s="1120">
        <f t="shared" si="775"/>
        <v>0</v>
      </c>
      <c r="AZ696" s="1120">
        <f t="shared" si="776"/>
        <v>0</v>
      </c>
      <c r="BA696" s="1120">
        <f t="shared" si="777"/>
        <v>0</v>
      </c>
      <c r="BB696" s="1120">
        <f t="shared" si="778"/>
        <v>0</v>
      </c>
      <c r="BC696" s="1120">
        <f t="shared" si="779"/>
        <v>0</v>
      </c>
      <c r="BD696" s="1120">
        <f t="shared" si="780"/>
        <v>1</v>
      </c>
      <c r="BE696" s="1120">
        <f t="shared" si="781"/>
        <v>1</v>
      </c>
      <c r="BF696" s="1120">
        <f t="shared" si="782"/>
        <v>1</v>
      </c>
      <c r="BG696" s="1120">
        <f t="shared" si="783"/>
        <v>0</v>
      </c>
      <c r="BH696" s="1120">
        <f t="shared" si="784"/>
        <v>0</v>
      </c>
      <c r="BI696" s="1120">
        <f t="shared" si="785"/>
        <v>0</v>
      </c>
      <c r="BJ696" s="1120">
        <f t="shared" si="786"/>
        <v>0</v>
      </c>
      <c r="BK696" s="1120">
        <f t="shared" si="787"/>
        <v>1</v>
      </c>
      <c r="BL696" s="1120">
        <f t="shared" si="788"/>
        <v>1</v>
      </c>
      <c r="BM696" s="1120">
        <f t="shared" si="789"/>
        <v>1</v>
      </c>
      <c r="BN696" s="1120">
        <f t="shared" si="790"/>
        <v>1</v>
      </c>
      <c r="BO696" s="1120">
        <f t="shared" si="791"/>
        <v>1</v>
      </c>
      <c r="BP696" s="1120">
        <f t="shared" si="792"/>
        <v>1</v>
      </c>
      <c r="BQ696" s="1120">
        <f t="shared" si="793"/>
        <v>0</v>
      </c>
      <c r="BR696" s="1120">
        <f t="shared" si="794"/>
        <v>0</v>
      </c>
      <c r="BS696" s="1120">
        <f t="shared" si="795"/>
        <v>1</v>
      </c>
      <c r="BT696" s="1120">
        <f t="shared" si="796"/>
        <v>1</v>
      </c>
      <c r="BU696" s="1120">
        <f t="shared" si="797"/>
        <v>1</v>
      </c>
      <c r="BV696" s="1120">
        <f t="shared" si="798"/>
        <v>1</v>
      </c>
      <c r="BW696" s="1120">
        <f t="shared" si="799"/>
        <v>0</v>
      </c>
      <c r="BX696" s="1120">
        <f t="shared" si="800"/>
        <v>0</v>
      </c>
      <c r="BY696" s="1120">
        <f t="shared" si="801"/>
        <v>0</v>
      </c>
      <c r="BZ696" s="1120">
        <f t="shared" si="802"/>
        <v>0</v>
      </c>
      <c r="CA696" s="1120">
        <f t="shared" si="803"/>
        <v>1</v>
      </c>
      <c r="CB696" s="1120">
        <f t="shared" si="804"/>
        <v>1</v>
      </c>
      <c r="CC696" s="1120">
        <f t="shared" si="805"/>
        <v>1</v>
      </c>
      <c r="CD696" s="1120">
        <f t="shared" si="806"/>
        <v>1</v>
      </c>
      <c r="CE696" s="1120">
        <f t="shared" si="807"/>
        <v>1</v>
      </c>
      <c r="CF696" s="1120">
        <f t="shared" si="808"/>
        <v>0</v>
      </c>
      <c r="CG696" s="1120">
        <f t="shared" si="809"/>
        <v>0</v>
      </c>
      <c r="CH696" s="1120">
        <f t="shared" si="810"/>
        <v>0</v>
      </c>
      <c r="CI696" s="1120">
        <f t="shared" si="811"/>
        <v>0.85</v>
      </c>
      <c r="CJ696" s="1120">
        <f t="shared" si="812"/>
        <v>0.85</v>
      </c>
      <c r="CK696" s="1120">
        <f t="shared" si="813"/>
        <v>0.85</v>
      </c>
      <c r="CL696" s="1120">
        <f t="shared" si="814"/>
        <v>0.85</v>
      </c>
      <c r="CM696" s="1120">
        <f t="shared" si="815"/>
        <v>0.85</v>
      </c>
      <c r="CN696" s="1120">
        <f t="shared" si="816"/>
        <v>0.85</v>
      </c>
      <c r="CO696" s="1120">
        <f t="shared" si="817"/>
        <v>0.7</v>
      </c>
      <c r="CP696" s="1120">
        <f t="shared" si="818"/>
        <v>0.7</v>
      </c>
      <c r="CQ696" s="1120">
        <f t="shared" si="819"/>
        <v>0.85</v>
      </c>
      <c r="CR696" s="1120">
        <f t="shared" si="820"/>
        <v>0.85</v>
      </c>
      <c r="CS696" s="1120">
        <f t="shared" si="821"/>
        <v>0.85</v>
      </c>
      <c r="CT696" s="1120">
        <f t="shared" si="822"/>
        <v>0.85</v>
      </c>
      <c r="CU696" s="1120">
        <v>1</v>
      </c>
      <c r="CV696" s="1120"/>
      <c r="CW696" s="1120">
        <f t="shared" si="823"/>
        <v>153</v>
      </c>
      <c r="CX696" s="1120">
        <f t="shared" si="824"/>
        <v>212</v>
      </c>
      <c r="CY696" s="1135" t="s">
        <v>4889</v>
      </c>
      <c r="CZ696" s="1124" t="s">
        <v>4897</v>
      </c>
      <c r="DA696" s="1124"/>
      <c r="DB696" s="1124"/>
      <c r="DC696" s="1120" t="s">
        <v>5985</v>
      </c>
      <c r="DD696" s="1120" t="s">
        <v>771</v>
      </c>
      <c r="DE696" s="1120" t="str">
        <f t="shared" si="825"/>
        <v/>
      </c>
      <c r="DF696" s="1133">
        <v>0</v>
      </c>
      <c r="DG696" s="1120">
        <v>0</v>
      </c>
    </row>
    <row r="697" spans="1:111">
      <c r="A697" s="1125" t="s">
        <v>4096</v>
      </c>
      <c r="B697" s="1120" t="s">
        <v>3314</v>
      </c>
      <c r="C697" s="1120" t="s">
        <v>3315</v>
      </c>
      <c r="D697" s="1120" t="s">
        <v>594</v>
      </c>
      <c r="E697" s="1120">
        <v>108</v>
      </c>
      <c r="F697" s="1120">
        <v>-81.33</v>
      </c>
      <c r="G697" s="1120">
        <v>28.55</v>
      </c>
      <c r="H697" s="1120">
        <v>-5</v>
      </c>
      <c r="I697" s="1121">
        <v>44.240000343322755</v>
      </c>
      <c r="J697" s="1121">
        <v>92.660001373291024</v>
      </c>
      <c r="K697" s="1122">
        <v>75.919999313354495</v>
      </c>
      <c r="L697" s="1120">
        <v>655.20000000000005</v>
      </c>
      <c r="M697" s="1120">
        <v>149.4</v>
      </c>
      <c r="N697" s="1123">
        <v>56.119999313354491</v>
      </c>
      <c r="O697" s="1123">
        <v>62.419999313354495</v>
      </c>
      <c r="P697" s="1123">
        <v>68.360001373291013</v>
      </c>
      <c r="Q697" s="1123">
        <v>73.039998626708979</v>
      </c>
      <c r="R697" s="1123">
        <v>77.539998626708979</v>
      </c>
      <c r="S697" s="1123">
        <v>79.880000686645502</v>
      </c>
      <c r="T697" s="1123">
        <v>81.680000686645513</v>
      </c>
      <c r="U697" s="1123">
        <v>80.239998626708982</v>
      </c>
      <c r="V697" s="1123">
        <v>80.239998626708982</v>
      </c>
      <c r="W697" s="1123">
        <v>77.360001373291013</v>
      </c>
      <c r="X697" s="1123">
        <v>65.83999862670899</v>
      </c>
      <c r="Y697" s="1123">
        <v>59.359999656677246</v>
      </c>
      <c r="Z697" s="1123">
        <v>71.885533882559159</v>
      </c>
      <c r="AA697" s="1123">
        <f t="shared" si="751"/>
        <v>69.274704648658144</v>
      </c>
      <c r="AB697" s="1123">
        <f t="shared" si="752"/>
        <v>69.873945571286129</v>
      </c>
      <c r="AC697" s="1123">
        <f t="shared" si="753"/>
        <v>72.561530449560479</v>
      </c>
      <c r="AD697" s="1123">
        <f t="shared" si="754"/>
        <v>76.636898868022328</v>
      </c>
      <c r="AE697" s="1123">
        <f t="shared" si="755"/>
        <v>81.037743245071226</v>
      </c>
      <c r="AF697" s="1123">
        <f t="shared" si="756"/>
        <v>84.61691567476467</v>
      </c>
      <c r="AG697" s="1123">
        <f t="shared" si="757"/>
        <v>86.44144970658634</v>
      </c>
      <c r="AH697" s="1123">
        <f t="shared" si="758"/>
        <v>86.035752428221386</v>
      </c>
      <c r="AI697" s="1123">
        <f t="shared" si="759"/>
        <v>83.505575087259942</v>
      </c>
      <c r="AJ697" s="1123">
        <f t="shared" si="760"/>
        <v>79.510447398836689</v>
      </c>
      <c r="AK697" s="1123">
        <f t="shared" si="761"/>
        <v>75.091760961720439</v>
      </c>
      <c r="AL697" s="1123">
        <f t="shared" si="762"/>
        <v>71.401314489764729</v>
      </c>
      <c r="AM697" s="1120">
        <f t="shared" si="763"/>
        <v>1</v>
      </c>
      <c r="AN697" s="1120">
        <f t="shared" si="764"/>
        <v>1</v>
      </c>
      <c r="AO697" s="1120">
        <f t="shared" si="765"/>
        <v>0</v>
      </c>
      <c r="AP697" s="1120">
        <f t="shared" si="766"/>
        <v>0</v>
      </c>
      <c r="AQ697" s="1120">
        <f t="shared" si="767"/>
        <v>0</v>
      </c>
      <c r="AR697" s="1120">
        <f t="shared" si="768"/>
        <v>0</v>
      </c>
      <c r="AS697" s="1120">
        <f t="shared" si="769"/>
        <v>0</v>
      </c>
      <c r="AT697" s="1120">
        <f t="shared" si="770"/>
        <v>0</v>
      </c>
      <c r="AU697" s="1120">
        <f t="shared" si="771"/>
        <v>0</v>
      </c>
      <c r="AV697" s="1120">
        <f t="shared" si="772"/>
        <v>0</v>
      </c>
      <c r="AW697" s="1120">
        <f t="shared" si="773"/>
        <v>1</v>
      </c>
      <c r="AX697" s="1120">
        <f t="shared" si="774"/>
        <v>1</v>
      </c>
      <c r="AY697" s="1120">
        <f t="shared" si="775"/>
        <v>0</v>
      </c>
      <c r="AZ697" s="1120">
        <f t="shared" si="776"/>
        <v>0</v>
      </c>
      <c r="BA697" s="1120">
        <f t="shared" si="777"/>
        <v>1</v>
      </c>
      <c r="BB697" s="1120">
        <f t="shared" si="778"/>
        <v>1</v>
      </c>
      <c r="BC697" s="1120">
        <f t="shared" si="779"/>
        <v>1</v>
      </c>
      <c r="BD697" s="1120">
        <f t="shared" si="780"/>
        <v>1</v>
      </c>
      <c r="BE697" s="1120">
        <f t="shared" si="781"/>
        <v>1</v>
      </c>
      <c r="BF697" s="1120">
        <f t="shared" si="782"/>
        <v>1</v>
      </c>
      <c r="BG697" s="1120">
        <f t="shared" si="783"/>
        <v>1</v>
      </c>
      <c r="BH697" s="1120">
        <f t="shared" si="784"/>
        <v>1</v>
      </c>
      <c r="BI697" s="1120">
        <f t="shared" si="785"/>
        <v>0</v>
      </c>
      <c r="BJ697" s="1120">
        <f t="shared" si="786"/>
        <v>0</v>
      </c>
      <c r="BK697" s="1120">
        <f t="shared" si="787"/>
        <v>1</v>
      </c>
      <c r="BL697" s="1120">
        <f t="shared" si="788"/>
        <v>1</v>
      </c>
      <c r="BM697" s="1120">
        <f t="shared" si="789"/>
        <v>1</v>
      </c>
      <c r="BN697" s="1120">
        <f t="shared" si="790"/>
        <v>0</v>
      </c>
      <c r="BO697" s="1120">
        <f t="shared" si="791"/>
        <v>0</v>
      </c>
      <c r="BP697" s="1120">
        <f t="shared" si="792"/>
        <v>0</v>
      </c>
      <c r="BQ697" s="1120">
        <f t="shared" si="793"/>
        <v>0</v>
      </c>
      <c r="BR697" s="1120">
        <f t="shared" si="794"/>
        <v>0</v>
      </c>
      <c r="BS697" s="1120">
        <f t="shared" si="795"/>
        <v>0</v>
      </c>
      <c r="BT697" s="1120">
        <f t="shared" si="796"/>
        <v>0</v>
      </c>
      <c r="BU697" s="1120">
        <f t="shared" si="797"/>
        <v>1</v>
      </c>
      <c r="BV697" s="1120">
        <f t="shared" si="798"/>
        <v>1</v>
      </c>
      <c r="BW697" s="1120">
        <f t="shared" si="799"/>
        <v>0</v>
      </c>
      <c r="BX697" s="1120">
        <f t="shared" si="800"/>
        <v>1</v>
      </c>
      <c r="BY697" s="1120">
        <f t="shared" si="801"/>
        <v>1</v>
      </c>
      <c r="BZ697" s="1120">
        <f t="shared" si="802"/>
        <v>1</v>
      </c>
      <c r="CA697" s="1120">
        <f t="shared" si="803"/>
        <v>1</v>
      </c>
      <c r="CB697" s="1120">
        <f t="shared" si="804"/>
        <v>1</v>
      </c>
      <c r="CC697" s="1120">
        <f t="shared" si="805"/>
        <v>1</v>
      </c>
      <c r="CD697" s="1120">
        <f t="shared" si="806"/>
        <v>1</v>
      </c>
      <c r="CE697" s="1120">
        <f t="shared" si="807"/>
        <v>1</v>
      </c>
      <c r="CF697" s="1120">
        <f t="shared" si="808"/>
        <v>1</v>
      </c>
      <c r="CG697" s="1120">
        <f t="shared" si="809"/>
        <v>1</v>
      </c>
      <c r="CH697" s="1120">
        <f t="shared" si="810"/>
        <v>0</v>
      </c>
      <c r="CI697" s="1120">
        <f t="shared" si="811"/>
        <v>0.85</v>
      </c>
      <c r="CJ697" s="1120">
        <f t="shared" si="812"/>
        <v>0.85</v>
      </c>
      <c r="CK697" s="1120">
        <f t="shared" si="813"/>
        <v>0.85</v>
      </c>
      <c r="CL697" s="1120">
        <f t="shared" si="814"/>
        <v>0.7</v>
      </c>
      <c r="CM697" s="1120">
        <f t="shared" si="815"/>
        <v>0.7</v>
      </c>
      <c r="CN697" s="1120">
        <f t="shared" si="816"/>
        <v>0.7</v>
      </c>
      <c r="CO697" s="1120">
        <f t="shared" si="817"/>
        <v>0.7</v>
      </c>
      <c r="CP697" s="1120">
        <f t="shared" si="818"/>
        <v>0.7</v>
      </c>
      <c r="CQ697" s="1120">
        <f t="shared" si="819"/>
        <v>0.7</v>
      </c>
      <c r="CR697" s="1120">
        <f t="shared" si="820"/>
        <v>0.7</v>
      </c>
      <c r="CS697" s="1120">
        <f t="shared" si="821"/>
        <v>0.85</v>
      </c>
      <c r="CT697" s="1120">
        <f t="shared" si="822"/>
        <v>0.85</v>
      </c>
      <c r="CU697" s="1120">
        <v>1</v>
      </c>
      <c r="CV697" s="1120"/>
      <c r="CW697" s="1120">
        <f t="shared" si="823"/>
        <v>303</v>
      </c>
      <c r="CX697" s="1120">
        <f t="shared" si="824"/>
        <v>62</v>
      </c>
      <c r="CY697" s="1136" t="s">
        <v>4883</v>
      </c>
      <c r="CZ697" s="1129" t="s">
        <v>4884</v>
      </c>
      <c r="DA697" s="1129"/>
      <c r="DB697" s="1129"/>
      <c r="DC697" s="1125" t="s">
        <v>5111</v>
      </c>
      <c r="DD697" s="1125" t="s">
        <v>594</v>
      </c>
      <c r="DE697" s="1120" t="str">
        <f t="shared" si="825"/>
        <v/>
      </c>
      <c r="DF697" s="1133">
        <v>1</v>
      </c>
      <c r="DG697" s="1125">
        <v>0</v>
      </c>
    </row>
    <row r="698" spans="1:111">
      <c r="A698" s="1120" t="s">
        <v>4098</v>
      </c>
      <c r="B698" s="1125" t="s">
        <v>3316</v>
      </c>
      <c r="C698" s="1125" t="s">
        <v>3317</v>
      </c>
      <c r="D698" s="1125" t="s">
        <v>594</v>
      </c>
      <c r="E698" s="1125">
        <v>95</v>
      </c>
      <c r="F698" s="1125">
        <v>-81.33</v>
      </c>
      <c r="G698" s="1125">
        <v>28.43</v>
      </c>
      <c r="H698" s="1125">
        <v>-5</v>
      </c>
      <c r="I698" s="1126">
        <v>41.9</v>
      </c>
      <c r="J698" s="1126">
        <v>92.479997253417977</v>
      </c>
      <c r="K698" s="1127">
        <v>76.280000686645508</v>
      </c>
      <c r="L698" s="1125">
        <v>507.6</v>
      </c>
      <c r="M698" s="1125">
        <v>3049.2000000000003</v>
      </c>
      <c r="N698" s="1128">
        <v>58.280000686645508</v>
      </c>
      <c r="O698" s="1128">
        <v>63.319999313354494</v>
      </c>
      <c r="P698" s="1128">
        <v>65.83999862670899</v>
      </c>
      <c r="Q698" s="1128">
        <v>70.880000686645502</v>
      </c>
      <c r="R698" s="1128">
        <v>76.280000686645508</v>
      </c>
      <c r="S698" s="1128">
        <v>79.7</v>
      </c>
      <c r="T698" s="1128">
        <v>80.419999313354495</v>
      </c>
      <c r="U698" s="1128">
        <v>79.16000137329101</v>
      </c>
      <c r="V698" s="1128">
        <v>78.980000686645511</v>
      </c>
      <c r="W698" s="1128">
        <v>73.580000686645505</v>
      </c>
      <c r="X698" s="1128">
        <v>68.180000686645513</v>
      </c>
      <c r="Y698" s="1128">
        <v>61.519999313354496</v>
      </c>
      <c r="Z698" s="1128">
        <v>71.377096065364469</v>
      </c>
      <c r="AA698" s="1128">
        <f t="shared" si="751"/>
        <v>69.982537002760381</v>
      </c>
      <c r="AB698" s="1128">
        <f t="shared" si="752"/>
        <v>70.464678048201407</v>
      </c>
      <c r="AC698" s="1128">
        <f t="shared" si="753"/>
        <v>72.748647373402079</v>
      </c>
      <c r="AD698" s="1128">
        <f t="shared" si="754"/>
        <v>76.239093176716125</v>
      </c>
      <c r="AE698" s="1128">
        <f t="shared" si="755"/>
        <v>80.02617697011172</v>
      </c>
      <c r="AF698" s="1128">
        <f t="shared" si="756"/>
        <v>83.122737002112487</v>
      </c>
      <c r="AG698" s="1128">
        <f t="shared" si="757"/>
        <v>84.721607180942868</v>
      </c>
      <c r="AH698" s="1128">
        <f t="shared" si="758"/>
        <v>84.406017355155456</v>
      </c>
      <c r="AI698" s="1128">
        <f t="shared" si="759"/>
        <v>82.258230876228154</v>
      </c>
      <c r="AJ698" s="1128">
        <f t="shared" si="760"/>
        <v>78.838101388284898</v>
      </c>
      <c r="AK698" s="1128">
        <f t="shared" si="761"/>
        <v>75.037138348148872</v>
      </c>
      <c r="AL698" s="1128">
        <f t="shared" si="762"/>
        <v>71.846121346845052</v>
      </c>
      <c r="AM698" s="1125">
        <f t="shared" si="763"/>
        <v>1</v>
      </c>
      <c r="AN698" s="1125">
        <f t="shared" si="764"/>
        <v>1</v>
      </c>
      <c r="AO698" s="1125">
        <f t="shared" si="765"/>
        <v>1</v>
      </c>
      <c r="AP698" s="1125">
        <f t="shared" si="766"/>
        <v>0</v>
      </c>
      <c r="AQ698" s="1125">
        <f t="shared" si="767"/>
        <v>0</v>
      </c>
      <c r="AR698" s="1125">
        <f t="shared" si="768"/>
        <v>0</v>
      </c>
      <c r="AS698" s="1125">
        <f t="shared" si="769"/>
        <v>0</v>
      </c>
      <c r="AT698" s="1125">
        <f t="shared" si="770"/>
        <v>0</v>
      </c>
      <c r="AU698" s="1125">
        <f t="shared" si="771"/>
        <v>0</v>
      </c>
      <c r="AV698" s="1125">
        <f t="shared" si="772"/>
        <v>0</v>
      </c>
      <c r="AW698" s="1125">
        <f t="shared" si="773"/>
        <v>0</v>
      </c>
      <c r="AX698" s="1125">
        <f t="shared" si="774"/>
        <v>1</v>
      </c>
      <c r="AY698" s="1125">
        <f t="shared" si="775"/>
        <v>0</v>
      </c>
      <c r="AZ698" s="1125">
        <f t="shared" si="776"/>
        <v>0</v>
      </c>
      <c r="BA698" s="1125">
        <f t="shared" si="777"/>
        <v>0</v>
      </c>
      <c r="BB698" s="1125">
        <f t="shared" si="778"/>
        <v>1</v>
      </c>
      <c r="BC698" s="1125">
        <f t="shared" si="779"/>
        <v>1</v>
      </c>
      <c r="BD698" s="1125">
        <f t="shared" si="780"/>
        <v>1</v>
      </c>
      <c r="BE698" s="1125">
        <f t="shared" si="781"/>
        <v>1</v>
      </c>
      <c r="BF698" s="1125">
        <f t="shared" si="782"/>
        <v>1</v>
      </c>
      <c r="BG698" s="1125">
        <f t="shared" si="783"/>
        <v>1</v>
      </c>
      <c r="BH698" s="1125">
        <f t="shared" si="784"/>
        <v>1</v>
      </c>
      <c r="BI698" s="1125">
        <f t="shared" si="785"/>
        <v>1</v>
      </c>
      <c r="BJ698" s="1125">
        <f t="shared" si="786"/>
        <v>0</v>
      </c>
      <c r="BK698" s="1125">
        <f t="shared" si="787"/>
        <v>1</v>
      </c>
      <c r="BL698" s="1125">
        <f t="shared" si="788"/>
        <v>1</v>
      </c>
      <c r="BM698" s="1125">
        <f t="shared" si="789"/>
        <v>1</v>
      </c>
      <c r="BN698" s="1125">
        <f t="shared" si="790"/>
        <v>1</v>
      </c>
      <c r="BO698" s="1125">
        <f t="shared" si="791"/>
        <v>0</v>
      </c>
      <c r="BP698" s="1125">
        <f t="shared" si="792"/>
        <v>0</v>
      </c>
      <c r="BQ698" s="1125">
        <f t="shared" si="793"/>
        <v>0</v>
      </c>
      <c r="BR698" s="1125">
        <f t="shared" si="794"/>
        <v>0</v>
      </c>
      <c r="BS698" s="1125">
        <f t="shared" si="795"/>
        <v>0</v>
      </c>
      <c r="BT698" s="1125">
        <f t="shared" si="796"/>
        <v>0</v>
      </c>
      <c r="BU698" s="1125">
        <f t="shared" si="797"/>
        <v>0</v>
      </c>
      <c r="BV698" s="1125">
        <f t="shared" si="798"/>
        <v>1</v>
      </c>
      <c r="BW698" s="1125">
        <f t="shared" si="799"/>
        <v>0</v>
      </c>
      <c r="BX698" s="1125">
        <f t="shared" si="800"/>
        <v>0</v>
      </c>
      <c r="BY698" s="1125">
        <f t="shared" si="801"/>
        <v>1</v>
      </c>
      <c r="BZ698" s="1125">
        <f t="shared" si="802"/>
        <v>1</v>
      </c>
      <c r="CA698" s="1125">
        <f t="shared" si="803"/>
        <v>1</v>
      </c>
      <c r="CB698" s="1125">
        <f t="shared" si="804"/>
        <v>1</v>
      </c>
      <c r="CC698" s="1125">
        <f t="shared" si="805"/>
        <v>1</v>
      </c>
      <c r="CD698" s="1125">
        <f t="shared" si="806"/>
        <v>1</v>
      </c>
      <c r="CE698" s="1125">
        <f t="shared" si="807"/>
        <v>1</v>
      </c>
      <c r="CF698" s="1125">
        <f t="shared" si="808"/>
        <v>1</v>
      </c>
      <c r="CG698" s="1125">
        <f t="shared" si="809"/>
        <v>1</v>
      </c>
      <c r="CH698" s="1125">
        <f t="shared" si="810"/>
        <v>1</v>
      </c>
      <c r="CI698" s="1125">
        <f t="shared" si="811"/>
        <v>0.85</v>
      </c>
      <c r="CJ698" s="1125">
        <f t="shared" si="812"/>
        <v>0.85</v>
      </c>
      <c r="CK698" s="1125">
        <f t="shared" si="813"/>
        <v>0.85</v>
      </c>
      <c r="CL698" s="1125">
        <f t="shared" si="814"/>
        <v>0.85</v>
      </c>
      <c r="CM698" s="1125">
        <f t="shared" si="815"/>
        <v>0.7</v>
      </c>
      <c r="CN698" s="1125">
        <f t="shared" si="816"/>
        <v>0.7</v>
      </c>
      <c r="CO698" s="1125">
        <f t="shared" si="817"/>
        <v>0.7</v>
      </c>
      <c r="CP698" s="1125">
        <f t="shared" si="818"/>
        <v>0.7</v>
      </c>
      <c r="CQ698" s="1125">
        <f t="shared" si="819"/>
        <v>0.7</v>
      </c>
      <c r="CR698" s="1125">
        <f t="shared" si="820"/>
        <v>0.7</v>
      </c>
      <c r="CS698" s="1125">
        <f t="shared" si="821"/>
        <v>0.7</v>
      </c>
      <c r="CT698" s="1125">
        <f t="shared" si="822"/>
        <v>0.85</v>
      </c>
      <c r="CU698" s="1125">
        <v>1</v>
      </c>
      <c r="CV698" s="1125"/>
      <c r="CW698" s="1125">
        <f t="shared" si="823"/>
        <v>306</v>
      </c>
      <c r="CX698" s="1125">
        <f t="shared" si="824"/>
        <v>59</v>
      </c>
      <c r="CY698" s="1135" t="s">
        <v>4883</v>
      </c>
      <c r="CZ698" s="1124" t="s">
        <v>4884</v>
      </c>
      <c r="DA698" s="1124"/>
      <c r="DB698" s="1124"/>
      <c r="DC698" s="1120" t="s">
        <v>5112</v>
      </c>
      <c r="DD698" s="1120" t="s">
        <v>594</v>
      </c>
      <c r="DE698" s="1120" t="str">
        <f t="shared" si="825"/>
        <v/>
      </c>
      <c r="DF698" s="1133">
        <v>0</v>
      </c>
      <c r="DG698" s="1120">
        <v>0</v>
      </c>
    </row>
    <row r="699" spans="1:111">
      <c r="A699" s="1125" t="s">
        <v>4100</v>
      </c>
      <c r="B699" s="1120" t="s">
        <v>3312</v>
      </c>
      <c r="C699" s="1120" t="s">
        <v>3313</v>
      </c>
      <c r="D699" s="1120" t="s">
        <v>594</v>
      </c>
      <c r="E699" s="1120">
        <v>56</v>
      </c>
      <c r="F699" s="1120">
        <v>-81.25</v>
      </c>
      <c r="G699" s="1120">
        <v>28.78</v>
      </c>
      <c r="H699" s="1120">
        <v>-5</v>
      </c>
      <c r="I699" s="1121">
        <v>42.259999656677245</v>
      </c>
      <c r="J699" s="1121">
        <v>93.020002746582037</v>
      </c>
      <c r="K699" s="1122">
        <v>75.019999313354489</v>
      </c>
      <c r="L699" s="1120">
        <v>660.6</v>
      </c>
      <c r="M699" s="1120">
        <v>3056.4</v>
      </c>
      <c r="N699" s="1123">
        <v>62.239998626708989</v>
      </c>
      <c r="O699" s="1123">
        <v>60.980000686645511</v>
      </c>
      <c r="P699" s="1123">
        <v>60.8</v>
      </c>
      <c r="Q699" s="1123">
        <v>69.8</v>
      </c>
      <c r="R699" s="1123">
        <v>75.380000686645502</v>
      </c>
      <c r="S699" s="1123">
        <v>79.880000686645502</v>
      </c>
      <c r="T699" s="1123">
        <v>84.019999313354489</v>
      </c>
      <c r="U699" s="1123">
        <v>80.239998626708982</v>
      </c>
      <c r="V699" s="1123">
        <v>77.719999313354492</v>
      </c>
      <c r="W699" s="1123">
        <v>74.119999313354498</v>
      </c>
      <c r="X699" s="1123">
        <v>64.760001373291018</v>
      </c>
      <c r="Y699" s="1123">
        <v>60.8</v>
      </c>
      <c r="Z699" s="1123">
        <v>70.952986175328093</v>
      </c>
      <c r="AA699" s="1123">
        <f t="shared" si="751"/>
        <v>69.254158954826949</v>
      </c>
      <c r="AB699" s="1123">
        <f t="shared" si="752"/>
        <v>69.727890950172693</v>
      </c>
      <c r="AC699" s="1123">
        <f t="shared" si="753"/>
        <v>72.084955358042919</v>
      </c>
      <c r="AD699" s="1123">
        <f t="shared" si="754"/>
        <v>75.7109470170642</v>
      </c>
      <c r="AE699" s="1123">
        <f t="shared" si="755"/>
        <v>79.660695323089783</v>
      </c>
      <c r="AF699" s="1123">
        <f t="shared" si="756"/>
        <v>82.904637512690243</v>
      </c>
      <c r="AG699" s="1123">
        <f t="shared" si="757"/>
        <v>84.597190063483879</v>
      </c>
      <c r="AH699" s="1123">
        <f t="shared" si="758"/>
        <v>84.297163070081993</v>
      </c>
      <c r="AI699" s="1123">
        <f t="shared" si="759"/>
        <v>82.082763191870711</v>
      </c>
      <c r="AJ699" s="1123">
        <f t="shared" si="760"/>
        <v>78.531207882040874</v>
      </c>
      <c r="AK699" s="1123">
        <f t="shared" si="761"/>
        <v>74.568264763223667</v>
      </c>
      <c r="AL699" s="1123">
        <f t="shared" si="762"/>
        <v>71.226936030140834</v>
      </c>
      <c r="AM699" s="1120">
        <f t="shared" si="763"/>
        <v>1</v>
      </c>
      <c r="AN699" s="1120">
        <f t="shared" si="764"/>
        <v>1</v>
      </c>
      <c r="AO699" s="1120">
        <f t="shared" si="765"/>
        <v>1</v>
      </c>
      <c r="AP699" s="1120">
        <f t="shared" si="766"/>
        <v>0</v>
      </c>
      <c r="AQ699" s="1120">
        <f t="shared" si="767"/>
        <v>0</v>
      </c>
      <c r="AR699" s="1120">
        <f t="shared" si="768"/>
        <v>0</v>
      </c>
      <c r="AS699" s="1120">
        <f t="shared" si="769"/>
        <v>0</v>
      </c>
      <c r="AT699" s="1120">
        <f t="shared" si="770"/>
        <v>0</v>
      </c>
      <c r="AU699" s="1120">
        <f t="shared" si="771"/>
        <v>0</v>
      </c>
      <c r="AV699" s="1120">
        <f t="shared" si="772"/>
        <v>0</v>
      </c>
      <c r="AW699" s="1120">
        <f t="shared" si="773"/>
        <v>1</v>
      </c>
      <c r="AX699" s="1120">
        <f t="shared" si="774"/>
        <v>1</v>
      </c>
      <c r="AY699" s="1120">
        <f t="shared" si="775"/>
        <v>0</v>
      </c>
      <c r="AZ699" s="1120">
        <f t="shared" si="776"/>
        <v>0</v>
      </c>
      <c r="BA699" s="1120">
        <f t="shared" si="777"/>
        <v>0</v>
      </c>
      <c r="BB699" s="1120">
        <f t="shared" si="778"/>
        <v>1</v>
      </c>
      <c r="BC699" s="1120">
        <f t="shared" si="779"/>
        <v>1</v>
      </c>
      <c r="BD699" s="1120">
        <f t="shared" si="780"/>
        <v>1</v>
      </c>
      <c r="BE699" s="1120">
        <f t="shared" si="781"/>
        <v>1</v>
      </c>
      <c r="BF699" s="1120">
        <f t="shared" si="782"/>
        <v>1</v>
      </c>
      <c r="BG699" s="1120">
        <f t="shared" si="783"/>
        <v>1</v>
      </c>
      <c r="BH699" s="1120">
        <f t="shared" si="784"/>
        <v>1</v>
      </c>
      <c r="BI699" s="1120">
        <f t="shared" si="785"/>
        <v>0</v>
      </c>
      <c r="BJ699" s="1120">
        <f t="shared" si="786"/>
        <v>0</v>
      </c>
      <c r="BK699" s="1120">
        <f t="shared" si="787"/>
        <v>1</v>
      </c>
      <c r="BL699" s="1120">
        <f t="shared" si="788"/>
        <v>1</v>
      </c>
      <c r="BM699" s="1120">
        <f t="shared" si="789"/>
        <v>1</v>
      </c>
      <c r="BN699" s="1120">
        <f t="shared" si="790"/>
        <v>1</v>
      </c>
      <c r="BO699" s="1120">
        <f t="shared" si="791"/>
        <v>0</v>
      </c>
      <c r="BP699" s="1120">
        <f t="shared" si="792"/>
        <v>0</v>
      </c>
      <c r="BQ699" s="1120">
        <f t="shared" si="793"/>
        <v>0</v>
      </c>
      <c r="BR699" s="1120">
        <f t="shared" si="794"/>
        <v>0</v>
      </c>
      <c r="BS699" s="1120">
        <f t="shared" si="795"/>
        <v>0</v>
      </c>
      <c r="BT699" s="1120">
        <f t="shared" si="796"/>
        <v>0</v>
      </c>
      <c r="BU699" s="1120">
        <f t="shared" si="797"/>
        <v>1</v>
      </c>
      <c r="BV699" s="1120">
        <f t="shared" si="798"/>
        <v>1</v>
      </c>
      <c r="BW699" s="1120">
        <f t="shared" si="799"/>
        <v>0</v>
      </c>
      <c r="BX699" s="1120">
        <f t="shared" si="800"/>
        <v>0</v>
      </c>
      <c r="BY699" s="1120">
        <f t="shared" si="801"/>
        <v>1</v>
      </c>
      <c r="BZ699" s="1120">
        <f t="shared" si="802"/>
        <v>1</v>
      </c>
      <c r="CA699" s="1120">
        <f t="shared" si="803"/>
        <v>1</v>
      </c>
      <c r="CB699" s="1120">
        <f t="shared" si="804"/>
        <v>1</v>
      </c>
      <c r="CC699" s="1120">
        <f t="shared" si="805"/>
        <v>1</v>
      </c>
      <c r="CD699" s="1120">
        <f t="shared" si="806"/>
        <v>1</v>
      </c>
      <c r="CE699" s="1120">
        <f t="shared" si="807"/>
        <v>1</v>
      </c>
      <c r="CF699" s="1120">
        <f t="shared" si="808"/>
        <v>1</v>
      </c>
      <c r="CG699" s="1120">
        <f t="shared" si="809"/>
        <v>1</v>
      </c>
      <c r="CH699" s="1120">
        <f t="shared" si="810"/>
        <v>0</v>
      </c>
      <c r="CI699" s="1120">
        <f t="shared" si="811"/>
        <v>0.85</v>
      </c>
      <c r="CJ699" s="1120">
        <f t="shared" si="812"/>
        <v>0.85</v>
      </c>
      <c r="CK699" s="1120">
        <f t="shared" si="813"/>
        <v>0.85</v>
      </c>
      <c r="CL699" s="1120">
        <f t="shared" si="814"/>
        <v>0.85</v>
      </c>
      <c r="CM699" s="1120">
        <f t="shared" si="815"/>
        <v>0.7</v>
      </c>
      <c r="CN699" s="1120">
        <f t="shared" si="816"/>
        <v>0.7</v>
      </c>
      <c r="CO699" s="1120">
        <f t="shared" si="817"/>
        <v>0.7</v>
      </c>
      <c r="CP699" s="1120">
        <f t="shared" si="818"/>
        <v>0.7</v>
      </c>
      <c r="CQ699" s="1120">
        <f t="shared" si="819"/>
        <v>0.7</v>
      </c>
      <c r="CR699" s="1120">
        <f t="shared" si="820"/>
        <v>0.7</v>
      </c>
      <c r="CS699" s="1120">
        <f t="shared" si="821"/>
        <v>0.85</v>
      </c>
      <c r="CT699" s="1120">
        <f t="shared" si="822"/>
        <v>0.85</v>
      </c>
      <c r="CU699" s="1120">
        <v>1</v>
      </c>
      <c r="CV699" s="1120"/>
      <c r="CW699" s="1120">
        <f t="shared" si="823"/>
        <v>275</v>
      </c>
      <c r="CX699" s="1120">
        <f t="shared" si="824"/>
        <v>90</v>
      </c>
      <c r="CY699" s="1136" t="s">
        <v>4883</v>
      </c>
      <c r="CZ699" s="1129" t="s">
        <v>4884</v>
      </c>
      <c r="DA699" s="1129"/>
      <c r="DB699" s="1129"/>
      <c r="DC699" s="1125" t="s">
        <v>5113</v>
      </c>
      <c r="DD699" s="1125" t="s">
        <v>594</v>
      </c>
      <c r="DE699" s="1120" t="str">
        <f t="shared" si="825"/>
        <v/>
      </c>
      <c r="DF699" s="1133">
        <v>0</v>
      </c>
      <c r="DG699" s="1125">
        <v>0</v>
      </c>
    </row>
    <row r="700" spans="1:111">
      <c r="A700" s="1120" t="s">
        <v>4102</v>
      </c>
      <c r="B700" s="1125" t="s">
        <v>3815</v>
      </c>
      <c r="C700" s="1125" t="s">
        <v>3816</v>
      </c>
      <c r="D700" s="1125" t="s">
        <v>934</v>
      </c>
      <c r="E700" s="1125">
        <v>1302</v>
      </c>
      <c r="F700" s="1125">
        <v>-92.87</v>
      </c>
      <c r="G700" s="1125">
        <v>48.02</v>
      </c>
      <c r="H700" s="1125">
        <v>-6</v>
      </c>
      <c r="I700" s="1126">
        <v>-18.760001373291018</v>
      </c>
      <c r="J700" s="1126">
        <v>82.039998626708979</v>
      </c>
      <c r="K700" s="1127">
        <v>68.900000000000006</v>
      </c>
      <c r="L700" s="1125">
        <v>10130.4</v>
      </c>
      <c r="M700" s="1125">
        <v>187.20000000000002</v>
      </c>
      <c r="N700" s="1128">
        <v>-3.100000000000001</v>
      </c>
      <c r="O700" s="1128">
        <v>19.940000343322755</v>
      </c>
      <c r="P700" s="1128">
        <v>22.820000171661377</v>
      </c>
      <c r="Q700" s="1128">
        <v>39.379999828338626</v>
      </c>
      <c r="R700" s="1128">
        <v>51.8</v>
      </c>
      <c r="S700" s="1128">
        <v>62.6</v>
      </c>
      <c r="T700" s="1128">
        <v>59.9</v>
      </c>
      <c r="U700" s="1128">
        <v>63.5</v>
      </c>
      <c r="V700" s="1128">
        <v>57.919999313354495</v>
      </c>
      <c r="W700" s="1128">
        <v>34.880000042915341</v>
      </c>
      <c r="X700" s="1128">
        <v>23.179999828338623</v>
      </c>
      <c r="Y700" s="1128">
        <v>12.919999313354491</v>
      </c>
      <c r="Z700" s="1128">
        <v>37.191890312547557</v>
      </c>
      <c r="AA700" s="1128">
        <f t="shared" si="751"/>
        <v>34.878421268683169</v>
      </c>
      <c r="AB700" s="1128">
        <f t="shared" si="752"/>
        <v>32.366406627392152</v>
      </c>
      <c r="AC700" s="1128">
        <f t="shared" si="753"/>
        <v>32.676221134390254</v>
      </c>
      <c r="AD700" s="1128">
        <f t="shared" si="754"/>
        <v>35.727106864042341</v>
      </c>
      <c r="AE700" s="1128">
        <f t="shared" si="755"/>
        <v>40.723803435342361</v>
      </c>
      <c r="AF700" s="1128">
        <f t="shared" si="756"/>
        <v>46.363844885555984</v>
      </c>
      <c r="AG700" s="1128">
        <f t="shared" si="757"/>
        <v>51.177067495015365</v>
      </c>
      <c r="AH700" s="1128">
        <f t="shared" si="758"/>
        <v>53.908830616559278</v>
      </c>
      <c r="AI700" s="1128">
        <f t="shared" si="759"/>
        <v>53.847058094813306</v>
      </c>
      <c r="AJ700" s="1128">
        <f t="shared" si="760"/>
        <v>51.007851889513923</v>
      </c>
      <c r="AK700" s="1128">
        <f t="shared" si="761"/>
        <v>46.131294851564427</v>
      </c>
      <c r="AL700" s="1128">
        <f t="shared" si="762"/>
        <v>40.488536722925105</v>
      </c>
      <c r="AM700" s="1125">
        <f t="shared" si="763"/>
        <v>1</v>
      </c>
      <c r="AN700" s="1125">
        <f t="shared" si="764"/>
        <v>1</v>
      </c>
      <c r="AO700" s="1125">
        <f t="shared" si="765"/>
        <v>1</v>
      </c>
      <c r="AP700" s="1125">
        <f t="shared" si="766"/>
        <v>1</v>
      </c>
      <c r="AQ700" s="1125">
        <f t="shared" si="767"/>
        <v>1</v>
      </c>
      <c r="AR700" s="1125">
        <f t="shared" si="768"/>
        <v>1</v>
      </c>
      <c r="AS700" s="1125">
        <f t="shared" si="769"/>
        <v>1</v>
      </c>
      <c r="AT700" s="1125">
        <f t="shared" si="770"/>
        <v>1</v>
      </c>
      <c r="AU700" s="1125">
        <f t="shared" si="771"/>
        <v>1</v>
      </c>
      <c r="AV700" s="1125">
        <f t="shared" si="772"/>
        <v>1</v>
      </c>
      <c r="AW700" s="1125">
        <f t="shared" si="773"/>
        <v>1</v>
      </c>
      <c r="AX700" s="1125">
        <f t="shared" si="774"/>
        <v>1</v>
      </c>
      <c r="AY700" s="1125">
        <f t="shared" si="775"/>
        <v>0</v>
      </c>
      <c r="AZ700" s="1125">
        <f t="shared" si="776"/>
        <v>0</v>
      </c>
      <c r="BA700" s="1125">
        <f t="shared" si="777"/>
        <v>0</v>
      </c>
      <c r="BB700" s="1125">
        <f t="shared" si="778"/>
        <v>0</v>
      </c>
      <c r="BC700" s="1125">
        <f t="shared" si="779"/>
        <v>0</v>
      </c>
      <c r="BD700" s="1125">
        <f t="shared" si="780"/>
        <v>0</v>
      </c>
      <c r="BE700" s="1125">
        <f t="shared" si="781"/>
        <v>1</v>
      </c>
      <c r="BF700" s="1125">
        <f t="shared" si="782"/>
        <v>1</v>
      </c>
      <c r="BG700" s="1125">
        <f t="shared" si="783"/>
        <v>0</v>
      </c>
      <c r="BH700" s="1125">
        <f t="shared" si="784"/>
        <v>0</v>
      </c>
      <c r="BI700" s="1125">
        <f t="shared" si="785"/>
        <v>0</v>
      </c>
      <c r="BJ700" s="1125">
        <f t="shared" si="786"/>
        <v>0</v>
      </c>
      <c r="BK700" s="1125">
        <f t="shared" si="787"/>
        <v>1</v>
      </c>
      <c r="BL700" s="1125">
        <f t="shared" si="788"/>
        <v>1</v>
      </c>
      <c r="BM700" s="1125">
        <f t="shared" si="789"/>
        <v>1</v>
      </c>
      <c r="BN700" s="1125">
        <f t="shared" si="790"/>
        <v>1</v>
      </c>
      <c r="BO700" s="1125">
        <f t="shared" si="791"/>
        <v>1</v>
      </c>
      <c r="BP700" s="1125">
        <f t="shared" si="792"/>
        <v>1</v>
      </c>
      <c r="BQ700" s="1125">
        <f t="shared" si="793"/>
        <v>1</v>
      </c>
      <c r="BR700" s="1125">
        <f t="shared" si="794"/>
        <v>1</v>
      </c>
      <c r="BS700" s="1125">
        <f t="shared" si="795"/>
        <v>1</v>
      </c>
      <c r="BT700" s="1125">
        <f t="shared" si="796"/>
        <v>1</v>
      </c>
      <c r="BU700" s="1125">
        <f t="shared" si="797"/>
        <v>1</v>
      </c>
      <c r="BV700" s="1125">
        <f t="shared" si="798"/>
        <v>1</v>
      </c>
      <c r="BW700" s="1125">
        <f t="shared" si="799"/>
        <v>0</v>
      </c>
      <c r="BX700" s="1125">
        <f t="shared" si="800"/>
        <v>0</v>
      </c>
      <c r="BY700" s="1125">
        <f t="shared" si="801"/>
        <v>0</v>
      </c>
      <c r="BZ700" s="1125">
        <f t="shared" si="802"/>
        <v>0</v>
      </c>
      <c r="CA700" s="1125">
        <f t="shared" si="803"/>
        <v>0</v>
      </c>
      <c r="CB700" s="1125">
        <f t="shared" si="804"/>
        <v>0</v>
      </c>
      <c r="CC700" s="1125">
        <f t="shared" si="805"/>
        <v>1</v>
      </c>
      <c r="CD700" s="1125">
        <f t="shared" si="806"/>
        <v>1</v>
      </c>
      <c r="CE700" s="1125">
        <f t="shared" si="807"/>
        <v>0</v>
      </c>
      <c r="CF700" s="1125">
        <f t="shared" si="808"/>
        <v>0</v>
      </c>
      <c r="CG700" s="1125">
        <f t="shared" si="809"/>
        <v>0</v>
      </c>
      <c r="CH700" s="1125">
        <f t="shared" si="810"/>
        <v>0</v>
      </c>
      <c r="CI700" s="1125">
        <f t="shared" si="811"/>
        <v>0.85</v>
      </c>
      <c r="CJ700" s="1125">
        <f t="shared" si="812"/>
        <v>0.85</v>
      </c>
      <c r="CK700" s="1125">
        <f t="shared" si="813"/>
        <v>0.85</v>
      </c>
      <c r="CL700" s="1125">
        <f t="shared" si="814"/>
        <v>0.85</v>
      </c>
      <c r="CM700" s="1125">
        <f t="shared" si="815"/>
        <v>0.85</v>
      </c>
      <c r="CN700" s="1125">
        <f t="shared" si="816"/>
        <v>0.85</v>
      </c>
      <c r="CO700" s="1125">
        <f t="shared" si="817"/>
        <v>0.85</v>
      </c>
      <c r="CP700" s="1125">
        <f t="shared" si="818"/>
        <v>0.85</v>
      </c>
      <c r="CQ700" s="1125">
        <f t="shared" si="819"/>
        <v>0.85</v>
      </c>
      <c r="CR700" s="1125">
        <f t="shared" si="820"/>
        <v>0.85</v>
      </c>
      <c r="CS700" s="1125">
        <f t="shared" si="821"/>
        <v>0.85</v>
      </c>
      <c r="CT700" s="1125">
        <f t="shared" si="822"/>
        <v>0.85</v>
      </c>
      <c r="CU700" s="1125">
        <v>1</v>
      </c>
      <c r="CV700" s="1125"/>
      <c r="CW700" s="1125">
        <f t="shared" si="823"/>
        <v>62</v>
      </c>
      <c r="CX700" s="1125">
        <f t="shared" si="824"/>
        <v>303</v>
      </c>
      <c r="CY700" s="1136" t="s">
        <v>4879</v>
      </c>
      <c r="CZ700" s="1129">
        <v>7</v>
      </c>
      <c r="DA700" s="1129"/>
      <c r="DB700" s="1129"/>
      <c r="DC700" s="1125" t="s">
        <v>5335</v>
      </c>
      <c r="DD700" s="1125" t="s">
        <v>934</v>
      </c>
      <c r="DE700" s="1120" t="str">
        <f t="shared" si="825"/>
        <v/>
      </c>
      <c r="DF700" s="1133">
        <v>1</v>
      </c>
      <c r="DG700" s="1120">
        <v>0</v>
      </c>
    </row>
    <row r="701" spans="1:111">
      <c r="A701" s="1125" t="s">
        <v>4106</v>
      </c>
      <c r="B701" s="1125" t="s">
        <v>3749</v>
      </c>
      <c r="C701" s="1125" t="s">
        <v>3750</v>
      </c>
      <c r="D701" s="1125" t="s">
        <v>540</v>
      </c>
      <c r="E701" s="1125">
        <v>617</v>
      </c>
      <c r="F701" s="1125">
        <v>-83.4</v>
      </c>
      <c r="G701" s="1125">
        <v>44.45</v>
      </c>
      <c r="H701" s="1125">
        <v>-5</v>
      </c>
      <c r="I701" s="1126">
        <v>2.6600013732910148</v>
      </c>
      <c r="J701" s="1126">
        <v>86.180000686645513</v>
      </c>
      <c r="K701" s="1127">
        <v>71.419999313354495</v>
      </c>
      <c r="L701" s="1125">
        <v>6903</v>
      </c>
      <c r="M701" s="1125">
        <v>502.2</v>
      </c>
      <c r="N701" s="1128">
        <v>27.860000085830688</v>
      </c>
      <c r="O701" s="1128">
        <v>22.1</v>
      </c>
      <c r="P701" s="1128">
        <v>37.220000171661376</v>
      </c>
      <c r="Q701" s="1128">
        <v>45.320000171661377</v>
      </c>
      <c r="R701" s="1128">
        <v>51.619999313354491</v>
      </c>
      <c r="S701" s="1128">
        <v>66.739998626708982</v>
      </c>
      <c r="T701" s="1128">
        <v>72.139998626708987</v>
      </c>
      <c r="U701" s="1128">
        <v>64.580000686645505</v>
      </c>
      <c r="V701" s="1128">
        <v>59.180000686645506</v>
      </c>
      <c r="W701" s="1128">
        <v>49.1</v>
      </c>
      <c r="X701" s="1128">
        <v>40.279999828338624</v>
      </c>
      <c r="Y701" s="1128">
        <v>24.8</v>
      </c>
      <c r="Z701" s="1128">
        <v>46.880328615920185</v>
      </c>
      <c r="AA701" s="1128">
        <f t="shared" si="751"/>
        <v>43.74931627714659</v>
      </c>
      <c r="AB701" s="1128">
        <f t="shared" si="752"/>
        <v>42.15880764444649</v>
      </c>
      <c r="AC701" s="1128">
        <f t="shared" si="753"/>
        <v>43.36302867660045</v>
      </c>
      <c r="AD701" s="1128">
        <f t="shared" si="754"/>
        <v>47.048080603969709</v>
      </c>
      <c r="AE701" s="1128">
        <f t="shared" si="755"/>
        <v>52.253397853316301</v>
      </c>
      <c r="AF701" s="1128">
        <f t="shared" si="756"/>
        <v>57.622134267231083</v>
      </c>
      <c r="AG701" s="1128">
        <f t="shared" si="757"/>
        <v>61.754845964694681</v>
      </c>
      <c r="AH701" s="1128">
        <f t="shared" si="758"/>
        <v>63.574277954748162</v>
      </c>
      <c r="AI701" s="1128">
        <f t="shared" si="759"/>
        <v>62.606167250888404</v>
      </c>
      <c r="AJ701" s="1128">
        <f t="shared" si="760"/>
        <v>59.102866827113985</v>
      </c>
      <c r="AK701" s="1128">
        <f t="shared" si="761"/>
        <v>53.977565926375448</v>
      </c>
      <c r="AL701" s="1128">
        <f t="shared" si="762"/>
        <v>48.566253211727954</v>
      </c>
      <c r="AM701" s="1125">
        <f t="shared" si="763"/>
        <v>1</v>
      </c>
      <c r="AN701" s="1125">
        <f t="shared" si="764"/>
        <v>1</v>
      </c>
      <c r="AO701" s="1125">
        <f t="shared" si="765"/>
        <v>1</v>
      </c>
      <c r="AP701" s="1125">
        <f t="shared" si="766"/>
        <v>1</v>
      </c>
      <c r="AQ701" s="1125">
        <f t="shared" si="767"/>
        <v>1</v>
      </c>
      <c r="AR701" s="1125">
        <f t="shared" si="768"/>
        <v>0</v>
      </c>
      <c r="AS701" s="1125">
        <f t="shared" si="769"/>
        <v>0</v>
      </c>
      <c r="AT701" s="1125">
        <f t="shared" si="770"/>
        <v>1</v>
      </c>
      <c r="AU701" s="1125">
        <f t="shared" si="771"/>
        <v>1</v>
      </c>
      <c r="AV701" s="1125">
        <f t="shared" si="772"/>
        <v>1</v>
      </c>
      <c r="AW701" s="1125">
        <f t="shared" si="773"/>
        <v>1</v>
      </c>
      <c r="AX701" s="1125">
        <f t="shared" si="774"/>
        <v>1</v>
      </c>
      <c r="AY701" s="1125">
        <f t="shared" si="775"/>
        <v>0</v>
      </c>
      <c r="AZ701" s="1125">
        <f t="shared" si="776"/>
        <v>0</v>
      </c>
      <c r="BA701" s="1125">
        <f t="shared" si="777"/>
        <v>0</v>
      </c>
      <c r="BB701" s="1125">
        <f t="shared" si="778"/>
        <v>0</v>
      </c>
      <c r="BC701" s="1125">
        <f t="shared" si="779"/>
        <v>0</v>
      </c>
      <c r="BD701" s="1125">
        <f t="shared" si="780"/>
        <v>1</v>
      </c>
      <c r="BE701" s="1125">
        <f t="shared" si="781"/>
        <v>1</v>
      </c>
      <c r="BF701" s="1125">
        <f t="shared" si="782"/>
        <v>1</v>
      </c>
      <c r="BG701" s="1125">
        <f t="shared" si="783"/>
        <v>0</v>
      </c>
      <c r="BH701" s="1125">
        <f t="shared" si="784"/>
        <v>0</v>
      </c>
      <c r="BI701" s="1125">
        <f t="shared" si="785"/>
        <v>0</v>
      </c>
      <c r="BJ701" s="1125">
        <f t="shared" si="786"/>
        <v>0</v>
      </c>
      <c r="BK701" s="1125">
        <f t="shared" si="787"/>
        <v>1</v>
      </c>
      <c r="BL701" s="1125">
        <f t="shared" si="788"/>
        <v>1</v>
      </c>
      <c r="BM701" s="1125">
        <f t="shared" si="789"/>
        <v>1</v>
      </c>
      <c r="BN701" s="1125">
        <f t="shared" si="790"/>
        <v>1</v>
      </c>
      <c r="BO701" s="1125">
        <f t="shared" si="791"/>
        <v>1</v>
      </c>
      <c r="BP701" s="1125">
        <f t="shared" si="792"/>
        <v>1</v>
      </c>
      <c r="BQ701" s="1125">
        <f t="shared" si="793"/>
        <v>0</v>
      </c>
      <c r="BR701" s="1125">
        <f t="shared" si="794"/>
        <v>1</v>
      </c>
      <c r="BS701" s="1125">
        <f t="shared" si="795"/>
        <v>1</v>
      </c>
      <c r="BT701" s="1125">
        <f t="shared" si="796"/>
        <v>1</v>
      </c>
      <c r="BU701" s="1125">
        <f t="shared" si="797"/>
        <v>1</v>
      </c>
      <c r="BV701" s="1125">
        <f t="shared" si="798"/>
        <v>1</v>
      </c>
      <c r="BW701" s="1125">
        <f t="shared" si="799"/>
        <v>0</v>
      </c>
      <c r="BX701" s="1125">
        <f t="shared" si="800"/>
        <v>0</v>
      </c>
      <c r="BY701" s="1125">
        <f t="shared" si="801"/>
        <v>0</v>
      </c>
      <c r="BZ701" s="1125">
        <f t="shared" si="802"/>
        <v>0</v>
      </c>
      <c r="CA701" s="1125">
        <f t="shared" si="803"/>
        <v>1</v>
      </c>
      <c r="CB701" s="1125">
        <f t="shared" si="804"/>
        <v>1</v>
      </c>
      <c r="CC701" s="1125">
        <f t="shared" si="805"/>
        <v>1</v>
      </c>
      <c r="CD701" s="1125">
        <f t="shared" si="806"/>
        <v>1</v>
      </c>
      <c r="CE701" s="1125">
        <f t="shared" si="807"/>
        <v>0</v>
      </c>
      <c r="CF701" s="1125">
        <f t="shared" si="808"/>
        <v>0</v>
      </c>
      <c r="CG701" s="1125">
        <f t="shared" si="809"/>
        <v>0</v>
      </c>
      <c r="CH701" s="1125">
        <f t="shared" si="810"/>
        <v>0</v>
      </c>
      <c r="CI701" s="1125">
        <f t="shared" si="811"/>
        <v>0.85</v>
      </c>
      <c r="CJ701" s="1125">
        <f t="shared" si="812"/>
        <v>0.85</v>
      </c>
      <c r="CK701" s="1125">
        <f t="shared" si="813"/>
        <v>0.85</v>
      </c>
      <c r="CL701" s="1125">
        <f t="shared" si="814"/>
        <v>0.85</v>
      </c>
      <c r="CM701" s="1125">
        <f t="shared" si="815"/>
        <v>0.85</v>
      </c>
      <c r="CN701" s="1125">
        <f t="shared" si="816"/>
        <v>0.85</v>
      </c>
      <c r="CO701" s="1125">
        <f t="shared" si="817"/>
        <v>0.7</v>
      </c>
      <c r="CP701" s="1125">
        <f t="shared" si="818"/>
        <v>0.85</v>
      </c>
      <c r="CQ701" s="1125">
        <f t="shared" si="819"/>
        <v>0.85</v>
      </c>
      <c r="CR701" s="1125">
        <f t="shared" si="820"/>
        <v>0.85</v>
      </c>
      <c r="CS701" s="1125">
        <f t="shared" si="821"/>
        <v>0.85</v>
      </c>
      <c r="CT701" s="1125">
        <f t="shared" si="822"/>
        <v>0.85</v>
      </c>
      <c r="CU701" s="1125">
        <v>1</v>
      </c>
      <c r="CV701" s="1125"/>
      <c r="CW701" s="1125">
        <f t="shared" si="823"/>
        <v>123</v>
      </c>
      <c r="CX701" s="1125">
        <f t="shared" si="824"/>
        <v>242</v>
      </c>
      <c r="CY701" s="1135" t="s">
        <v>4889</v>
      </c>
      <c r="CZ701" s="1124" t="s">
        <v>4899</v>
      </c>
      <c r="DA701" s="1124"/>
      <c r="DB701" s="1124"/>
      <c r="DC701" s="1120" t="s">
        <v>5313</v>
      </c>
      <c r="DD701" s="1120" t="s">
        <v>540</v>
      </c>
      <c r="DE701" s="1120" t="str">
        <f t="shared" si="825"/>
        <v/>
      </c>
      <c r="DF701" s="1133">
        <v>0</v>
      </c>
      <c r="DG701" s="1125">
        <v>0</v>
      </c>
    </row>
    <row r="702" spans="1:111">
      <c r="A702" s="1120" t="s">
        <v>4108</v>
      </c>
      <c r="B702" s="1125" t="s">
        <v>3667</v>
      </c>
      <c r="C702" s="1125" t="s">
        <v>3668</v>
      </c>
      <c r="D702" s="1125" t="s">
        <v>250</v>
      </c>
      <c r="E702" s="1125">
        <v>131</v>
      </c>
      <c r="F702" s="1125">
        <v>-70.52</v>
      </c>
      <c r="G702" s="1125">
        <v>41.65</v>
      </c>
      <c r="H702" s="1125">
        <v>-5</v>
      </c>
      <c r="I702" s="1126">
        <v>12.919999313354491</v>
      </c>
      <c r="J702" s="1126">
        <v>81.860001373291013</v>
      </c>
      <c r="K702" s="1127">
        <v>71.060001373291016</v>
      </c>
      <c r="L702" s="1125">
        <v>5792.4000000000005</v>
      </c>
      <c r="M702" s="1125">
        <v>597.6</v>
      </c>
      <c r="N702" s="1128">
        <v>35.419999957084656</v>
      </c>
      <c r="O702" s="1128">
        <v>33.440000021457671</v>
      </c>
      <c r="P702" s="1128">
        <v>36.679999828338623</v>
      </c>
      <c r="Q702" s="1128">
        <v>43.7</v>
      </c>
      <c r="R702" s="1128">
        <v>53.780000686645508</v>
      </c>
      <c r="S702" s="1128">
        <v>63.5</v>
      </c>
      <c r="T702" s="1128">
        <v>71.060001373291016</v>
      </c>
      <c r="U702" s="1128">
        <v>73.400000000000006</v>
      </c>
      <c r="V702" s="1128">
        <v>60.259999656677245</v>
      </c>
      <c r="W702" s="1128">
        <v>55.4</v>
      </c>
      <c r="X702" s="1128">
        <v>38.47999982833862</v>
      </c>
      <c r="Y702" s="1128">
        <v>35.779999828338624</v>
      </c>
      <c r="Z702" s="1128">
        <v>50.196274074071077</v>
      </c>
      <c r="AA702" s="1128">
        <f t="shared" si="751"/>
        <v>48.0771403636709</v>
      </c>
      <c r="AB702" s="1128">
        <f t="shared" si="752"/>
        <v>46.968214330753717</v>
      </c>
      <c r="AC702" s="1128">
        <f t="shared" si="753"/>
        <v>48.264724278637473</v>
      </c>
      <c r="AD702" s="1128">
        <f t="shared" si="754"/>
        <v>51.628714909583181</v>
      </c>
      <c r="AE702" s="1128">
        <f t="shared" si="755"/>
        <v>56.183310224970015</v>
      </c>
      <c r="AF702" s="1128">
        <f t="shared" si="756"/>
        <v>60.741284767404004</v>
      </c>
      <c r="AG702" s="1128">
        <f t="shared" si="757"/>
        <v>64.11453223188586</v>
      </c>
      <c r="AH702" s="1128">
        <f t="shared" si="758"/>
        <v>65.423763683481454</v>
      </c>
      <c r="AI702" s="1128">
        <f t="shared" si="759"/>
        <v>64.32770776846499</v>
      </c>
      <c r="AJ702" s="1128">
        <f t="shared" si="760"/>
        <v>61.112068351818444</v>
      </c>
      <c r="AK702" s="1128">
        <f t="shared" si="761"/>
        <v>56.615051401994151</v>
      </c>
      <c r="AL702" s="1128">
        <f t="shared" si="762"/>
        <v>52.008873688092748</v>
      </c>
      <c r="AM702" s="1125">
        <f t="shared" si="763"/>
        <v>1</v>
      </c>
      <c r="AN702" s="1125">
        <f t="shared" si="764"/>
        <v>1</v>
      </c>
      <c r="AO702" s="1125">
        <f t="shared" si="765"/>
        <v>1</v>
      </c>
      <c r="AP702" s="1125">
        <f t="shared" si="766"/>
        <v>1</v>
      </c>
      <c r="AQ702" s="1125">
        <f t="shared" si="767"/>
        <v>1</v>
      </c>
      <c r="AR702" s="1125">
        <f t="shared" si="768"/>
        <v>1</v>
      </c>
      <c r="AS702" s="1125">
        <f t="shared" si="769"/>
        <v>0</v>
      </c>
      <c r="AT702" s="1125">
        <f t="shared" si="770"/>
        <v>0</v>
      </c>
      <c r="AU702" s="1125">
        <f t="shared" si="771"/>
        <v>1</v>
      </c>
      <c r="AV702" s="1125">
        <f t="shared" si="772"/>
        <v>1</v>
      </c>
      <c r="AW702" s="1125">
        <f t="shared" si="773"/>
        <v>1</v>
      </c>
      <c r="AX702" s="1125">
        <f t="shared" si="774"/>
        <v>1</v>
      </c>
      <c r="AY702" s="1125">
        <f t="shared" si="775"/>
        <v>0</v>
      </c>
      <c r="AZ702" s="1125">
        <f t="shared" si="776"/>
        <v>0</v>
      </c>
      <c r="BA702" s="1125">
        <f t="shared" si="777"/>
        <v>0</v>
      </c>
      <c r="BB702" s="1125">
        <f t="shared" si="778"/>
        <v>0</v>
      </c>
      <c r="BC702" s="1125">
        <f t="shared" si="779"/>
        <v>0</v>
      </c>
      <c r="BD702" s="1125">
        <f t="shared" si="780"/>
        <v>0</v>
      </c>
      <c r="BE702" s="1125">
        <f t="shared" si="781"/>
        <v>1</v>
      </c>
      <c r="BF702" s="1125">
        <f t="shared" si="782"/>
        <v>1</v>
      </c>
      <c r="BG702" s="1125">
        <f t="shared" si="783"/>
        <v>0</v>
      </c>
      <c r="BH702" s="1125">
        <f t="shared" si="784"/>
        <v>0</v>
      </c>
      <c r="BI702" s="1125">
        <f t="shared" si="785"/>
        <v>0</v>
      </c>
      <c r="BJ702" s="1125">
        <f t="shared" si="786"/>
        <v>0</v>
      </c>
      <c r="BK702" s="1125">
        <f t="shared" si="787"/>
        <v>1</v>
      </c>
      <c r="BL702" s="1125">
        <f t="shared" si="788"/>
        <v>1</v>
      </c>
      <c r="BM702" s="1125">
        <f t="shared" si="789"/>
        <v>1</v>
      </c>
      <c r="BN702" s="1125">
        <f t="shared" si="790"/>
        <v>1</v>
      </c>
      <c r="BO702" s="1125">
        <f t="shared" si="791"/>
        <v>1</v>
      </c>
      <c r="BP702" s="1125">
        <f t="shared" si="792"/>
        <v>1</v>
      </c>
      <c r="BQ702" s="1125">
        <f t="shared" si="793"/>
        <v>1</v>
      </c>
      <c r="BR702" s="1125">
        <f t="shared" si="794"/>
        <v>0</v>
      </c>
      <c r="BS702" s="1125">
        <f t="shared" si="795"/>
        <v>1</v>
      </c>
      <c r="BT702" s="1125">
        <f t="shared" si="796"/>
        <v>1</v>
      </c>
      <c r="BU702" s="1125">
        <f t="shared" si="797"/>
        <v>1</v>
      </c>
      <c r="BV702" s="1125">
        <f t="shared" si="798"/>
        <v>1</v>
      </c>
      <c r="BW702" s="1125">
        <f t="shared" si="799"/>
        <v>0</v>
      </c>
      <c r="BX702" s="1125">
        <f t="shared" si="800"/>
        <v>0</v>
      </c>
      <c r="BY702" s="1125">
        <f t="shared" si="801"/>
        <v>0</v>
      </c>
      <c r="BZ702" s="1125">
        <f t="shared" si="802"/>
        <v>0</v>
      </c>
      <c r="CA702" s="1125">
        <f t="shared" si="803"/>
        <v>0</v>
      </c>
      <c r="CB702" s="1125">
        <f t="shared" si="804"/>
        <v>1</v>
      </c>
      <c r="CC702" s="1125">
        <f t="shared" si="805"/>
        <v>1</v>
      </c>
      <c r="CD702" s="1125">
        <f t="shared" si="806"/>
        <v>1</v>
      </c>
      <c r="CE702" s="1125">
        <f t="shared" si="807"/>
        <v>1</v>
      </c>
      <c r="CF702" s="1125">
        <f t="shared" si="808"/>
        <v>0</v>
      </c>
      <c r="CG702" s="1125">
        <f t="shared" si="809"/>
        <v>0</v>
      </c>
      <c r="CH702" s="1125">
        <f t="shared" si="810"/>
        <v>0</v>
      </c>
      <c r="CI702" s="1125">
        <f t="shared" si="811"/>
        <v>0.85</v>
      </c>
      <c r="CJ702" s="1125">
        <f t="shared" si="812"/>
        <v>0.85</v>
      </c>
      <c r="CK702" s="1125">
        <f t="shared" si="813"/>
        <v>0.85</v>
      </c>
      <c r="CL702" s="1125">
        <f t="shared" si="814"/>
        <v>0.85</v>
      </c>
      <c r="CM702" s="1125">
        <f t="shared" si="815"/>
        <v>0.85</v>
      </c>
      <c r="CN702" s="1125">
        <f t="shared" si="816"/>
        <v>0.85</v>
      </c>
      <c r="CO702" s="1125">
        <f t="shared" si="817"/>
        <v>0.85</v>
      </c>
      <c r="CP702" s="1125">
        <f t="shared" si="818"/>
        <v>0.7</v>
      </c>
      <c r="CQ702" s="1125">
        <f t="shared" si="819"/>
        <v>0.85</v>
      </c>
      <c r="CR702" s="1125">
        <f t="shared" si="820"/>
        <v>0.85</v>
      </c>
      <c r="CS702" s="1125">
        <f t="shared" si="821"/>
        <v>0.85</v>
      </c>
      <c r="CT702" s="1125">
        <f t="shared" si="822"/>
        <v>0.85</v>
      </c>
      <c r="CU702" s="1125">
        <v>1</v>
      </c>
      <c r="CV702" s="1125"/>
      <c r="CW702" s="1125">
        <f t="shared" si="823"/>
        <v>122</v>
      </c>
      <c r="CX702" s="1125">
        <f t="shared" si="824"/>
        <v>243</v>
      </c>
      <c r="CY702" s="1136" t="s">
        <v>4889</v>
      </c>
      <c r="CZ702" s="1129" t="s">
        <v>4897</v>
      </c>
      <c r="DA702" s="1129"/>
      <c r="DB702" s="1129"/>
      <c r="DC702" s="1125" t="s">
        <v>5275</v>
      </c>
      <c r="DD702" s="1125" t="s">
        <v>250</v>
      </c>
      <c r="DE702" s="1120" t="str">
        <f t="shared" si="825"/>
        <v/>
      </c>
      <c r="DF702" s="1133">
        <v>1</v>
      </c>
      <c r="DG702" s="1120">
        <v>0</v>
      </c>
    </row>
    <row r="703" spans="1:111">
      <c r="A703" s="1125" t="s">
        <v>4110</v>
      </c>
      <c r="B703" s="1125" t="s">
        <v>3457</v>
      </c>
      <c r="C703" s="1125" t="s">
        <v>3458</v>
      </c>
      <c r="D703" s="1125" t="s">
        <v>566</v>
      </c>
      <c r="E703" s="1125">
        <v>843</v>
      </c>
      <c r="F703" s="1125">
        <v>-92.45</v>
      </c>
      <c r="G703" s="1125">
        <v>41.1</v>
      </c>
      <c r="H703" s="1125">
        <v>-6</v>
      </c>
      <c r="I703" s="1126">
        <v>0.49999999999999922</v>
      </c>
      <c r="J703" s="1126">
        <v>90.320002746582034</v>
      </c>
      <c r="K703" s="1127">
        <v>75.2</v>
      </c>
      <c r="L703" s="1125">
        <v>6478.2</v>
      </c>
      <c r="M703" s="1125">
        <v>9</v>
      </c>
      <c r="N703" s="1128">
        <v>25.520000171661376</v>
      </c>
      <c r="O703" s="1128">
        <v>22.820000171661377</v>
      </c>
      <c r="P703" s="1128">
        <v>40.640000343322754</v>
      </c>
      <c r="Q703" s="1128">
        <v>52.519999313354489</v>
      </c>
      <c r="R703" s="1128">
        <v>58.819999313354494</v>
      </c>
      <c r="S703" s="1128">
        <v>73.400000000000006</v>
      </c>
      <c r="T703" s="1128">
        <v>76.819999313354487</v>
      </c>
      <c r="U703" s="1128">
        <v>66.919999313354495</v>
      </c>
      <c r="V703" s="1128">
        <v>65.480000686645511</v>
      </c>
      <c r="W703" s="1128">
        <v>51.080000686645505</v>
      </c>
      <c r="X703" s="1128">
        <v>42.440000343322751</v>
      </c>
      <c r="Y703" s="1128">
        <v>12.380000686645507</v>
      </c>
      <c r="Z703" s="1128">
        <v>49.182849341875887</v>
      </c>
      <c r="AA703" s="1128">
        <f t="shared" si="751"/>
        <v>42.499757720543741</v>
      </c>
      <c r="AB703" s="1128">
        <f t="shared" si="752"/>
        <v>40.625007665768237</v>
      </c>
      <c r="AC703" s="1128">
        <f t="shared" si="753"/>
        <v>42.544983387001224</v>
      </c>
      <c r="AD703" s="1128">
        <f t="shared" si="754"/>
        <v>47.759213624781864</v>
      </c>
      <c r="AE703" s="1128">
        <f t="shared" si="755"/>
        <v>54.908528913912356</v>
      </c>
      <c r="AF703" s="1128">
        <f t="shared" si="756"/>
        <v>62.129350049997313</v>
      </c>
      <c r="AG703" s="1128">
        <f t="shared" si="757"/>
        <v>67.539458727694154</v>
      </c>
      <c r="AH703" s="1128">
        <f t="shared" si="758"/>
        <v>69.728626747862847</v>
      </c>
      <c r="AI703" s="1128">
        <f t="shared" si="759"/>
        <v>68.126213729946016</v>
      </c>
      <c r="AJ703" s="1128">
        <f t="shared" si="760"/>
        <v>63.149913320995786</v>
      </c>
      <c r="AK703" s="1128">
        <f t="shared" si="761"/>
        <v>56.096874909715638</v>
      </c>
      <c r="AL703" s="1128">
        <f t="shared" si="762"/>
        <v>48.805581648617689</v>
      </c>
      <c r="AM703" s="1125">
        <f t="shared" si="763"/>
        <v>1</v>
      </c>
      <c r="AN703" s="1125">
        <f t="shared" si="764"/>
        <v>1</v>
      </c>
      <c r="AO703" s="1125">
        <f t="shared" si="765"/>
        <v>1</v>
      </c>
      <c r="AP703" s="1125">
        <f t="shared" si="766"/>
        <v>1</v>
      </c>
      <c r="AQ703" s="1125">
        <f t="shared" si="767"/>
        <v>1</v>
      </c>
      <c r="AR703" s="1125">
        <f t="shared" si="768"/>
        <v>0</v>
      </c>
      <c r="AS703" s="1125">
        <f t="shared" si="769"/>
        <v>0</v>
      </c>
      <c r="AT703" s="1125">
        <f t="shared" si="770"/>
        <v>0</v>
      </c>
      <c r="AU703" s="1125">
        <f t="shared" si="771"/>
        <v>1</v>
      </c>
      <c r="AV703" s="1125">
        <f t="shared" si="772"/>
        <v>1</v>
      </c>
      <c r="AW703" s="1125">
        <f t="shared" si="773"/>
        <v>1</v>
      </c>
      <c r="AX703" s="1125">
        <f t="shared" si="774"/>
        <v>1</v>
      </c>
      <c r="AY703" s="1125">
        <f t="shared" si="775"/>
        <v>0</v>
      </c>
      <c r="AZ703" s="1125">
        <f t="shared" si="776"/>
        <v>0</v>
      </c>
      <c r="BA703" s="1125">
        <f t="shared" si="777"/>
        <v>0</v>
      </c>
      <c r="BB703" s="1125">
        <f t="shared" si="778"/>
        <v>0</v>
      </c>
      <c r="BC703" s="1125">
        <f t="shared" si="779"/>
        <v>0</v>
      </c>
      <c r="BD703" s="1125">
        <f t="shared" si="780"/>
        <v>1</v>
      </c>
      <c r="BE703" s="1125">
        <f t="shared" si="781"/>
        <v>1</v>
      </c>
      <c r="BF703" s="1125">
        <f t="shared" si="782"/>
        <v>1</v>
      </c>
      <c r="BG703" s="1125">
        <f t="shared" si="783"/>
        <v>0</v>
      </c>
      <c r="BH703" s="1125">
        <f t="shared" si="784"/>
        <v>0</v>
      </c>
      <c r="BI703" s="1125">
        <f t="shared" si="785"/>
        <v>0</v>
      </c>
      <c r="BJ703" s="1125">
        <f t="shared" si="786"/>
        <v>0</v>
      </c>
      <c r="BK703" s="1125">
        <f t="shared" si="787"/>
        <v>1</v>
      </c>
      <c r="BL703" s="1125">
        <f t="shared" si="788"/>
        <v>1</v>
      </c>
      <c r="BM703" s="1125">
        <f t="shared" si="789"/>
        <v>1</v>
      </c>
      <c r="BN703" s="1125">
        <f t="shared" si="790"/>
        <v>1</v>
      </c>
      <c r="BO703" s="1125">
        <f t="shared" si="791"/>
        <v>1</v>
      </c>
      <c r="BP703" s="1125">
        <f t="shared" si="792"/>
        <v>1</v>
      </c>
      <c r="BQ703" s="1125">
        <f t="shared" si="793"/>
        <v>0</v>
      </c>
      <c r="BR703" s="1125">
        <f t="shared" si="794"/>
        <v>0</v>
      </c>
      <c r="BS703" s="1125">
        <f t="shared" si="795"/>
        <v>1</v>
      </c>
      <c r="BT703" s="1125">
        <f t="shared" si="796"/>
        <v>1</v>
      </c>
      <c r="BU703" s="1125">
        <f t="shared" si="797"/>
        <v>1</v>
      </c>
      <c r="BV703" s="1125">
        <f t="shared" si="798"/>
        <v>1</v>
      </c>
      <c r="BW703" s="1125">
        <f t="shared" si="799"/>
        <v>0</v>
      </c>
      <c r="BX703" s="1125">
        <f t="shared" si="800"/>
        <v>0</v>
      </c>
      <c r="BY703" s="1125">
        <f t="shared" si="801"/>
        <v>0</v>
      </c>
      <c r="BZ703" s="1125">
        <f t="shared" si="802"/>
        <v>0</v>
      </c>
      <c r="CA703" s="1125">
        <f t="shared" si="803"/>
        <v>1</v>
      </c>
      <c r="CB703" s="1125">
        <f t="shared" si="804"/>
        <v>1</v>
      </c>
      <c r="CC703" s="1125">
        <f t="shared" si="805"/>
        <v>1</v>
      </c>
      <c r="CD703" s="1125">
        <f t="shared" si="806"/>
        <v>1</v>
      </c>
      <c r="CE703" s="1125">
        <f t="shared" si="807"/>
        <v>1</v>
      </c>
      <c r="CF703" s="1125">
        <f t="shared" si="808"/>
        <v>0</v>
      </c>
      <c r="CG703" s="1125">
        <f t="shared" si="809"/>
        <v>0</v>
      </c>
      <c r="CH703" s="1125">
        <f t="shared" si="810"/>
        <v>0</v>
      </c>
      <c r="CI703" s="1125">
        <f t="shared" si="811"/>
        <v>0.85</v>
      </c>
      <c r="CJ703" s="1125">
        <f t="shared" si="812"/>
        <v>0.85</v>
      </c>
      <c r="CK703" s="1125">
        <f t="shared" si="813"/>
        <v>0.85</v>
      </c>
      <c r="CL703" s="1125">
        <f t="shared" si="814"/>
        <v>0.85</v>
      </c>
      <c r="CM703" s="1125">
        <f t="shared" si="815"/>
        <v>0.85</v>
      </c>
      <c r="CN703" s="1125">
        <f t="shared" si="816"/>
        <v>0.85</v>
      </c>
      <c r="CO703" s="1125">
        <f t="shared" si="817"/>
        <v>0.7</v>
      </c>
      <c r="CP703" s="1125">
        <f t="shared" si="818"/>
        <v>0.7</v>
      </c>
      <c r="CQ703" s="1125">
        <f t="shared" si="819"/>
        <v>0.85</v>
      </c>
      <c r="CR703" s="1125">
        <f t="shared" si="820"/>
        <v>0.85</v>
      </c>
      <c r="CS703" s="1125">
        <f t="shared" si="821"/>
        <v>0.85</v>
      </c>
      <c r="CT703" s="1125">
        <f t="shared" si="822"/>
        <v>0.85</v>
      </c>
      <c r="CU703" s="1125">
        <v>1</v>
      </c>
      <c r="CV703" s="1125"/>
      <c r="CW703" s="1125">
        <f t="shared" si="823"/>
        <v>153</v>
      </c>
      <c r="CX703" s="1125">
        <f t="shared" si="824"/>
        <v>212</v>
      </c>
      <c r="CY703" s="1136" t="s">
        <v>4889</v>
      </c>
      <c r="CZ703" s="1129" t="s">
        <v>4897</v>
      </c>
      <c r="DA703" s="1129"/>
      <c r="DB703" s="1129"/>
      <c r="DC703" s="1125" t="s">
        <v>5184</v>
      </c>
      <c r="DD703" s="1125" t="s">
        <v>566</v>
      </c>
      <c r="DE703" s="1120" t="str">
        <f t="shared" si="825"/>
        <v/>
      </c>
      <c r="DF703" s="1133">
        <v>1</v>
      </c>
      <c r="DG703" s="1125">
        <v>0</v>
      </c>
    </row>
    <row r="704" spans="1:111">
      <c r="A704" s="1120" t="s">
        <v>4112</v>
      </c>
      <c r="B704" s="1120" t="s">
        <v>5886</v>
      </c>
      <c r="C704" s="1120" t="s">
        <v>5887</v>
      </c>
      <c r="D704" s="1120" t="s">
        <v>934</v>
      </c>
      <c r="E704" s="1120">
        <v>1148</v>
      </c>
      <c r="F704" s="1120">
        <v>-93.25</v>
      </c>
      <c r="G704" s="1120">
        <v>44.12</v>
      </c>
      <c r="H704" s="1120">
        <v>-6</v>
      </c>
      <c r="I704" s="1121">
        <v>-8.5000000000000018</v>
      </c>
      <c r="J704" s="1121">
        <v>86.180000686645513</v>
      </c>
      <c r="K704" s="1122">
        <v>72.680000686645513</v>
      </c>
      <c r="L704" s="1120">
        <v>7471.8</v>
      </c>
      <c r="M704" s="1120">
        <v>714.6</v>
      </c>
      <c r="N704" s="1123">
        <v>16.519999313354493</v>
      </c>
      <c r="O704" s="1123">
        <v>18.679999828338623</v>
      </c>
      <c r="P704" s="1123">
        <v>33.980000042915343</v>
      </c>
      <c r="Q704" s="1123">
        <v>47.3</v>
      </c>
      <c r="R704" s="1123">
        <v>58.1</v>
      </c>
      <c r="S704" s="1123">
        <v>71.419999313354495</v>
      </c>
      <c r="T704" s="1123">
        <v>68</v>
      </c>
      <c r="U704" s="1123">
        <v>71.960001373291021</v>
      </c>
      <c r="V704" s="1123">
        <v>63.86000137329102</v>
      </c>
      <c r="W704" s="1123">
        <v>43.159999656677243</v>
      </c>
      <c r="X704" s="1123">
        <v>30.919999957084656</v>
      </c>
      <c r="Y704" s="1123">
        <v>25.339999914169312</v>
      </c>
      <c r="Z704" s="1123">
        <v>45.909315133747988</v>
      </c>
      <c r="AA704" s="1123">
        <f t="shared" si="751"/>
        <v>42.125320410403489</v>
      </c>
      <c r="AB704" s="1123">
        <f t="shared" si="752"/>
        <v>40.308480726641868</v>
      </c>
      <c r="AC704" s="1123">
        <f t="shared" si="753"/>
        <v>41.515577305362115</v>
      </c>
      <c r="AD704" s="1123">
        <f t="shared" si="754"/>
        <v>45.431961821399454</v>
      </c>
      <c r="AE704" s="1123">
        <f t="shared" si="755"/>
        <v>51.036768297336479</v>
      </c>
      <c r="AF704" s="1123">
        <f t="shared" si="756"/>
        <v>56.869017552537926</v>
      </c>
      <c r="AG704" s="1123">
        <f t="shared" si="757"/>
        <v>61.408443940953951</v>
      </c>
      <c r="AH704" s="1123">
        <f t="shared" si="758"/>
        <v>63.471776019765755</v>
      </c>
      <c r="AI704" s="1123">
        <f t="shared" si="759"/>
        <v>62.521174485721218</v>
      </c>
      <c r="AJ704" s="1123">
        <f t="shared" si="760"/>
        <v>58.804428277882124</v>
      </c>
      <c r="AK704" s="1123">
        <f t="shared" si="761"/>
        <v>53.290364572114541</v>
      </c>
      <c r="AL704" s="1123">
        <f t="shared" si="762"/>
        <v>47.416309047620658</v>
      </c>
      <c r="AM704" s="1120">
        <f t="shared" si="763"/>
        <v>1</v>
      </c>
      <c r="AN704" s="1120">
        <f t="shared" si="764"/>
        <v>1</v>
      </c>
      <c r="AO704" s="1120">
        <f t="shared" si="765"/>
        <v>1</v>
      </c>
      <c r="AP704" s="1120">
        <f t="shared" si="766"/>
        <v>1</v>
      </c>
      <c r="AQ704" s="1120">
        <f t="shared" si="767"/>
        <v>1</v>
      </c>
      <c r="AR704" s="1120">
        <f t="shared" si="768"/>
        <v>0</v>
      </c>
      <c r="AS704" s="1120">
        <f t="shared" si="769"/>
        <v>0</v>
      </c>
      <c r="AT704" s="1120">
        <f t="shared" si="770"/>
        <v>0</v>
      </c>
      <c r="AU704" s="1120">
        <f t="shared" si="771"/>
        <v>1</v>
      </c>
      <c r="AV704" s="1120">
        <f t="shared" si="772"/>
        <v>1</v>
      </c>
      <c r="AW704" s="1120">
        <f t="shared" si="773"/>
        <v>1</v>
      </c>
      <c r="AX704" s="1120">
        <f t="shared" si="774"/>
        <v>1</v>
      </c>
      <c r="AY704" s="1120">
        <f t="shared" si="775"/>
        <v>0</v>
      </c>
      <c r="AZ704" s="1120">
        <f t="shared" si="776"/>
        <v>0</v>
      </c>
      <c r="BA704" s="1120">
        <f t="shared" si="777"/>
        <v>0</v>
      </c>
      <c r="BB704" s="1120">
        <f t="shared" si="778"/>
        <v>0</v>
      </c>
      <c r="BC704" s="1120">
        <f t="shared" si="779"/>
        <v>0</v>
      </c>
      <c r="BD704" s="1120">
        <f t="shared" si="780"/>
        <v>1</v>
      </c>
      <c r="BE704" s="1120">
        <f t="shared" si="781"/>
        <v>1</v>
      </c>
      <c r="BF704" s="1120">
        <f t="shared" si="782"/>
        <v>1</v>
      </c>
      <c r="BG704" s="1120">
        <f t="shared" si="783"/>
        <v>0</v>
      </c>
      <c r="BH704" s="1120">
        <f t="shared" si="784"/>
        <v>0</v>
      </c>
      <c r="BI704" s="1120">
        <f t="shared" si="785"/>
        <v>0</v>
      </c>
      <c r="BJ704" s="1120">
        <f t="shared" si="786"/>
        <v>0</v>
      </c>
      <c r="BK704" s="1120">
        <f t="shared" si="787"/>
        <v>1</v>
      </c>
      <c r="BL704" s="1120">
        <f t="shared" si="788"/>
        <v>1</v>
      </c>
      <c r="BM704" s="1120">
        <f t="shared" si="789"/>
        <v>1</v>
      </c>
      <c r="BN704" s="1120">
        <f t="shared" si="790"/>
        <v>1</v>
      </c>
      <c r="BO704" s="1120">
        <f t="shared" si="791"/>
        <v>1</v>
      </c>
      <c r="BP704" s="1120">
        <f t="shared" si="792"/>
        <v>1</v>
      </c>
      <c r="BQ704" s="1120">
        <f t="shared" si="793"/>
        <v>0</v>
      </c>
      <c r="BR704" s="1120">
        <f t="shared" si="794"/>
        <v>0</v>
      </c>
      <c r="BS704" s="1120">
        <f t="shared" si="795"/>
        <v>1</v>
      </c>
      <c r="BT704" s="1120">
        <f t="shared" si="796"/>
        <v>1</v>
      </c>
      <c r="BU704" s="1120">
        <f t="shared" si="797"/>
        <v>1</v>
      </c>
      <c r="BV704" s="1120">
        <f t="shared" si="798"/>
        <v>1</v>
      </c>
      <c r="BW704" s="1120">
        <f t="shared" si="799"/>
        <v>0</v>
      </c>
      <c r="BX704" s="1120">
        <f t="shared" si="800"/>
        <v>0</v>
      </c>
      <c r="BY704" s="1120">
        <f t="shared" si="801"/>
        <v>0</v>
      </c>
      <c r="BZ704" s="1120">
        <f t="shared" si="802"/>
        <v>0</v>
      </c>
      <c r="CA704" s="1120">
        <f t="shared" si="803"/>
        <v>1</v>
      </c>
      <c r="CB704" s="1120">
        <f t="shared" si="804"/>
        <v>1</v>
      </c>
      <c r="CC704" s="1120">
        <f t="shared" si="805"/>
        <v>1</v>
      </c>
      <c r="CD704" s="1120">
        <f t="shared" si="806"/>
        <v>1</v>
      </c>
      <c r="CE704" s="1120">
        <f t="shared" si="807"/>
        <v>1</v>
      </c>
      <c r="CF704" s="1120">
        <f t="shared" si="808"/>
        <v>0</v>
      </c>
      <c r="CG704" s="1120">
        <f t="shared" si="809"/>
        <v>0</v>
      </c>
      <c r="CH704" s="1120">
        <f t="shared" si="810"/>
        <v>0</v>
      </c>
      <c r="CI704" s="1120">
        <f t="shared" si="811"/>
        <v>0.85</v>
      </c>
      <c r="CJ704" s="1120">
        <f t="shared" si="812"/>
        <v>0.85</v>
      </c>
      <c r="CK704" s="1120">
        <f t="shared" si="813"/>
        <v>0.85</v>
      </c>
      <c r="CL704" s="1120">
        <f t="shared" si="814"/>
        <v>0.85</v>
      </c>
      <c r="CM704" s="1120">
        <f t="shared" si="815"/>
        <v>0.85</v>
      </c>
      <c r="CN704" s="1120">
        <f t="shared" si="816"/>
        <v>0.85</v>
      </c>
      <c r="CO704" s="1120">
        <f t="shared" si="817"/>
        <v>0.7</v>
      </c>
      <c r="CP704" s="1120">
        <f t="shared" si="818"/>
        <v>0.7</v>
      </c>
      <c r="CQ704" s="1120">
        <f t="shared" si="819"/>
        <v>0.85</v>
      </c>
      <c r="CR704" s="1120">
        <f t="shared" si="820"/>
        <v>0.85</v>
      </c>
      <c r="CS704" s="1120">
        <f t="shared" si="821"/>
        <v>0.85</v>
      </c>
      <c r="CT704" s="1120">
        <f t="shared" si="822"/>
        <v>0.85</v>
      </c>
      <c r="CU704" s="1120">
        <v>1</v>
      </c>
      <c r="CV704" s="1120"/>
      <c r="CW704" s="1120">
        <f t="shared" si="823"/>
        <v>153</v>
      </c>
      <c r="CX704" s="1120">
        <f t="shared" si="824"/>
        <v>212</v>
      </c>
      <c r="CY704" s="1135" t="s">
        <v>4889</v>
      </c>
      <c r="CZ704" s="1124" t="s">
        <v>4899</v>
      </c>
      <c r="DA704" s="1124"/>
      <c r="DB704" s="1124"/>
      <c r="DC704" s="1120" t="s">
        <v>5760</v>
      </c>
      <c r="DD704" s="1120" t="s">
        <v>934</v>
      </c>
      <c r="DE704" s="1120" t="str">
        <f t="shared" si="825"/>
        <v/>
      </c>
      <c r="DF704" s="1133">
        <v>0</v>
      </c>
      <c r="DG704" s="1120">
        <v>0</v>
      </c>
    </row>
    <row r="705" spans="1:111">
      <c r="A705" s="1125" t="s">
        <v>4114</v>
      </c>
      <c r="B705" s="1120" t="s">
        <v>5832</v>
      </c>
      <c r="C705" s="1120" t="s">
        <v>5833</v>
      </c>
      <c r="D705" s="1120" t="s">
        <v>620</v>
      </c>
      <c r="E705" s="1120">
        <v>728</v>
      </c>
      <c r="F705" s="1120">
        <v>-73.13</v>
      </c>
      <c r="G705" s="1120">
        <v>41.48</v>
      </c>
      <c r="H705" s="1120">
        <v>-5</v>
      </c>
      <c r="I705" s="1121">
        <v>8.7800006866455078</v>
      </c>
      <c r="J705" s="1121">
        <v>83.83999862670899</v>
      </c>
      <c r="K705" s="1122">
        <v>70.880000686645502</v>
      </c>
      <c r="L705" s="1120">
        <v>6208.2</v>
      </c>
      <c r="M705" s="1120">
        <v>585</v>
      </c>
      <c r="N705" s="1123">
        <v>24.620000171661378</v>
      </c>
      <c r="O705" s="1123">
        <v>30.919999957084656</v>
      </c>
      <c r="P705" s="1123">
        <v>32.360000005364419</v>
      </c>
      <c r="Q705" s="1123">
        <v>45.5</v>
      </c>
      <c r="R705" s="1123">
        <v>55.940000343322751</v>
      </c>
      <c r="S705" s="1123">
        <v>64.039998626708979</v>
      </c>
      <c r="T705" s="1123">
        <v>72.319999313354487</v>
      </c>
      <c r="U705" s="1123">
        <v>70.16000137329101</v>
      </c>
      <c r="V705" s="1123">
        <v>62.6</v>
      </c>
      <c r="W705" s="1123">
        <v>51.440000343322751</v>
      </c>
      <c r="X705" s="1123">
        <v>44.959999656677248</v>
      </c>
      <c r="Y705" s="1123">
        <v>32.360000005364419</v>
      </c>
      <c r="Z705" s="1123">
        <v>49.024547932948153</v>
      </c>
      <c r="AA705" s="1123">
        <f t="shared" si="751"/>
        <v>45.683513749562032</v>
      </c>
      <c r="AB705" s="1123">
        <f t="shared" si="752"/>
        <v>44.286194402342332</v>
      </c>
      <c r="AC705" s="1123">
        <f t="shared" si="753"/>
        <v>45.687992385912068</v>
      </c>
      <c r="AD705" s="1123">
        <f t="shared" si="754"/>
        <v>49.523507453492975</v>
      </c>
      <c r="AE705" s="1123">
        <f t="shared" si="755"/>
        <v>54.792953495643737</v>
      </c>
      <c r="AF705" s="1123">
        <f t="shared" si="756"/>
        <v>60.122768196856207</v>
      </c>
      <c r="AG705" s="1123">
        <f t="shared" si="757"/>
        <v>64.123653220328606</v>
      </c>
      <c r="AH705" s="1123">
        <f t="shared" si="758"/>
        <v>65.752716229188337</v>
      </c>
      <c r="AI705" s="1123">
        <f t="shared" si="759"/>
        <v>64.585316845555241</v>
      </c>
      <c r="AJ705" s="1123">
        <f t="shared" si="760"/>
        <v>60.925755708942347</v>
      </c>
      <c r="AK705" s="1123">
        <f t="shared" si="761"/>
        <v>55.727953825152007</v>
      </c>
      <c r="AL705" s="1123">
        <f t="shared" si="762"/>
        <v>50.346798355745797</v>
      </c>
      <c r="AM705" s="1120">
        <f t="shared" si="763"/>
        <v>1</v>
      </c>
      <c r="AN705" s="1120">
        <f t="shared" si="764"/>
        <v>1</v>
      </c>
      <c r="AO705" s="1120">
        <f t="shared" si="765"/>
        <v>1</v>
      </c>
      <c r="AP705" s="1120">
        <f t="shared" si="766"/>
        <v>1</v>
      </c>
      <c r="AQ705" s="1120">
        <f t="shared" si="767"/>
        <v>1</v>
      </c>
      <c r="AR705" s="1120">
        <f t="shared" si="768"/>
        <v>1</v>
      </c>
      <c r="AS705" s="1120">
        <f t="shared" si="769"/>
        <v>0</v>
      </c>
      <c r="AT705" s="1120">
        <f t="shared" si="770"/>
        <v>0</v>
      </c>
      <c r="AU705" s="1120">
        <f t="shared" si="771"/>
        <v>1</v>
      </c>
      <c r="AV705" s="1120">
        <f t="shared" si="772"/>
        <v>1</v>
      </c>
      <c r="AW705" s="1120">
        <f t="shared" si="773"/>
        <v>1</v>
      </c>
      <c r="AX705" s="1120">
        <f t="shared" si="774"/>
        <v>1</v>
      </c>
      <c r="AY705" s="1120">
        <f t="shared" si="775"/>
        <v>0</v>
      </c>
      <c r="AZ705" s="1120">
        <f t="shared" si="776"/>
        <v>0</v>
      </c>
      <c r="BA705" s="1120">
        <f t="shared" si="777"/>
        <v>0</v>
      </c>
      <c r="BB705" s="1120">
        <f t="shared" si="778"/>
        <v>0</v>
      </c>
      <c r="BC705" s="1120">
        <f t="shared" si="779"/>
        <v>0</v>
      </c>
      <c r="BD705" s="1120">
        <f t="shared" si="780"/>
        <v>0</v>
      </c>
      <c r="BE705" s="1120">
        <f t="shared" si="781"/>
        <v>1</v>
      </c>
      <c r="BF705" s="1120">
        <f t="shared" si="782"/>
        <v>1</v>
      </c>
      <c r="BG705" s="1120">
        <f t="shared" si="783"/>
        <v>0</v>
      </c>
      <c r="BH705" s="1120">
        <f t="shared" si="784"/>
        <v>0</v>
      </c>
      <c r="BI705" s="1120">
        <f t="shared" si="785"/>
        <v>0</v>
      </c>
      <c r="BJ705" s="1120">
        <f t="shared" si="786"/>
        <v>0</v>
      </c>
      <c r="BK705" s="1120">
        <f t="shared" si="787"/>
        <v>1</v>
      </c>
      <c r="BL705" s="1120">
        <f t="shared" si="788"/>
        <v>1</v>
      </c>
      <c r="BM705" s="1120">
        <f t="shared" si="789"/>
        <v>1</v>
      </c>
      <c r="BN705" s="1120">
        <f t="shared" si="790"/>
        <v>1</v>
      </c>
      <c r="BO705" s="1120">
        <f t="shared" si="791"/>
        <v>1</v>
      </c>
      <c r="BP705" s="1120">
        <f t="shared" si="792"/>
        <v>1</v>
      </c>
      <c r="BQ705" s="1120">
        <f t="shared" si="793"/>
        <v>1</v>
      </c>
      <c r="BR705" s="1120">
        <f t="shared" si="794"/>
        <v>0</v>
      </c>
      <c r="BS705" s="1120">
        <f t="shared" si="795"/>
        <v>1</v>
      </c>
      <c r="BT705" s="1120">
        <f t="shared" si="796"/>
        <v>1</v>
      </c>
      <c r="BU705" s="1120">
        <f t="shared" si="797"/>
        <v>1</v>
      </c>
      <c r="BV705" s="1120">
        <f t="shared" si="798"/>
        <v>1</v>
      </c>
      <c r="BW705" s="1120">
        <f t="shared" si="799"/>
        <v>0</v>
      </c>
      <c r="BX705" s="1120">
        <f t="shared" si="800"/>
        <v>0</v>
      </c>
      <c r="BY705" s="1120">
        <f t="shared" si="801"/>
        <v>0</v>
      </c>
      <c r="BZ705" s="1120">
        <f t="shared" si="802"/>
        <v>0</v>
      </c>
      <c r="CA705" s="1120">
        <f t="shared" si="803"/>
        <v>0</v>
      </c>
      <c r="CB705" s="1120">
        <f t="shared" si="804"/>
        <v>1</v>
      </c>
      <c r="CC705" s="1120">
        <f t="shared" si="805"/>
        <v>1</v>
      </c>
      <c r="CD705" s="1120">
        <f t="shared" si="806"/>
        <v>1</v>
      </c>
      <c r="CE705" s="1120">
        <f t="shared" si="807"/>
        <v>1</v>
      </c>
      <c r="CF705" s="1120">
        <f t="shared" si="808"/>
        <v>0</v>
      </c>
      <c r="CG705" s="1120">
        <f t="shared" si="809"/>
        <v>0</v>
      </c>
      <c r="CH705" s="1120">
        <f t="shared" si="810"/>
        <v>0</v>
      </c>
      <c r="CI705" s="1120">
        <f t="shared" si="811"/>
        <v>0.85</v>
      </c>
      <c r="CJ705" s="1120">
        <f t="shared" si="812"/>
        <v>0.85</v>
      </c>
      <c r="CK705" s="1120">
        <f t="shared" si="813"/>
        <v>0.85</v>
      </c>
      <c r="CL705" s="1120">
        <f t="shared" si="814"/>
        <v>0.85</v>
      </c>
      <c r="CM705" s="1120">
        <f t="shared" si="815"/>
        <v>0.85</v>
      </c>
      <c r="CN705" s="1120">
        <f t="shared" si="816"/>
        <v>0.85</v>
      </c>
      <c r="CO705" s="1120">
        <f t="shared" si="817"/>
        <v>0.85</v>
      </c>
      <c r="CP705" s="1120">
        <f t="shared" si="818"/>
        <v>0.7</v>
      </c>
      <c r="CQ705" s="1120">
        <f t="shared" si="819"/>
        <v>0.85</v>
      </c>
      <c r="CR705" s="1120">
        <f t="shared" si="820"/>
        <v>0.85</v>
      </c>
      <c r="CS705" s="1120">
        <f t="shared" si="821"/>
        <v>0.85</v>
      </c>
      <c r="CT705" s="1120">
        <f t="shared" si="822"/>
        <v>0.85</v>
      </c>
      <c r="CU705" s="1120">
        <v>1</v>
      </c>
      <c r="CV705" s="1120"/>
      <c r="CW705" s="1120">
        <f t="shared" si="823"/>
        <v>122</v>
      </c>
      <c r="CX705" s="1120">
        <f t="shared" si="824"/>
        <v>243</v>
      </c>
      <c r="CY705" s="1135" t="s">
        <v>4889</v>
      </c>
      <c r="CZ705" s="1124" t="s">
        <v>4897</v>
      </c>
      <c r="DA705" s="1124"/>
      <c r="DB705" s="1124"/>
      <c r="DC705" s="1120" t="s">
        <v>5725</v>
      </c>
      <c r="DD705" s="1120" t="s">
        <v>620</v>
      </c>
      <c r="DE705" s="1120" t="str">
        <f t="shared" si="825"/>
        <v/>
      </c>
      <c r="DF705" s="1133">
        <v>1</v>
      </c>
      <c r="DG705" s="1125">
        <v>0</v>
      </c>
    </row>
    <row r="706" spans="1:111">
      <c r="A706" s="1120" t="s">
        <v>4116</v>
      </c>
      <c r="B706" s="1120" t="s">
        <v>3152</v>
      </c>
      <c r="C706" s="1120" t="s">
        <v>3153</v>
      </c>
      <c r="D706" s="1120" t="s">
        <v>954</v>
      </c>
      <c r="E706" s="1120">
        <v>36</v>
      </c>
      <c r="F706" s="1120">
        <v>-119.2</v>
      </c>
      <c r="G706" s="1120">
        <v>34.200000000000003</v>
      </c>
      <c r="H706" s="1120">
        <v>-8</v>
      </c>
      <c r="I706" s="1121">
        <v>40.820000171661377</v>
      </c>
      <c r="J706" s="1121">
        <v>80.780000686645508</v>
      </c>
      <c r="K706" s="1122">
        <v>66.2</v>
      </c>
      <c r="L706" s="1120">
        <v>1913.4</v>
      </c>
      <c r="M706" s="1120">
        <v>183.6</v>
      </c>
      <c r="N706" s="1123">
        <v>52.340000343322757</v>
      </c>
      <c r="O706" s="1123">
        <v>55.219999313354492</v>
      </c>
      <c r="P706" s="1123">
        <v>58.640000343322754</v>
      </c>
      <c r="Q706" s="1123">
        <v>55.759999656677245</v>
      </c>
      <c r="R706" s="1123">
        <v>60.440000343322751</v>
      </c>
      <c r="S706" s="1123">
        <v>63.139998626708987</v>
      </c>
      <c r="T706" s="1123">
        <v>64.219999313354492</v>
      </c>
      <c r="U706" s="1123">
        <v>62.419999313354495</v>
      </c>
      <c r="V706" s="1123">
        <v>69.080000686645505</v>
      </c>
      <c r="W706" s="1123">
        <v>60.980000686645511</v>
      </c>
      <c r="X706" s="1123">
        <v>57.919999313354495</v>
      </c>
      <c r="Y706" s="1123">
        <v>55.4</v>
      </c>
      <c r="Z706" s="1123">
        <v>59.646027232653474</v>
      </c>
      <c r="AA706" s="1123">
        <f t="shared" si="751"/>
        <v>61.24440755209806</v>
      </c>
      <c r="AB706" s="1123">
        <f t="shared" si="752"/>
        <v>61.066401451598573</v>
      </c>
      <c r="AC706" s="1123">
        <f t="shared" si="753"/>
        <v>62.082145385100588</v>
      </c>
      <c r="AD706" s="1123">
        <f t="shared" si="754"/>
        <v>64.026870043248977</v>
      </c>
      <c r="AE706" s="1123">
        <f t="shared" si="755"/>
        <v>66.393652974783222</v>
      </c>
      <c r="AF706" s="1123">
        <f t="shared" si="756"/>
        <v>68.565555735369927</v>
      </c>
      <c r="AG706" s="1123">
        <f t="shared" si="757"/>
        <v>69.976438400427469</v>
      </c>
      <c r="AH706" s="1123">
        <f t="shared" si="758"/>
        <v>70.258532660948617</v>
      </c>
      <c r="AI706" s="1123">
        <f t="shared" si="759"/>
        <v>69.338306300724383</v>
      </c>
      <c r="AJ706" s="1123">
        <f t="shared" si="760"/>
        <v>67.455630501664686</v>
      </c>
      <c r="AK706" s="1123">
        <f t="shared" si="761"/>
        <v>65.101253723706705</v>
      </c>
      <c r="AL706" s="1123">
        <f t="shared" si="762"/>
        <v>62.888880556069601</v>
      </c>
      <c r="AM706" s="1120">
        <f t="shared" si="763"/>
        <v>1</v>
      </c>
      <c r="AN706" s="1120">
        <f t="shared" si="764"/>
        <v>1</v>
      </c>
      <c r="AO706" s="1120">
        <f t="shared" si="765"/>
        <v>1</v>
      </c>
      <c r="AP706" s="1120">
        <f t="shared" si="766"/>
        <v>1</v>
      </c>
      <c r="AQ706" s="1120">
        <f t="shared" si="767"/>
        <v>1</v>
      </c>
      <c r="AR706" s="1120">
        <f t="shared" si="768"/>
        <v>1</v>
      </c>
      <c r="AS706" s="1120">
        <f t="shared" si="769"/>
        <v>1</v>
      </c>
      <c r="AT706" s="1120">
        <f t="shared" si="770"/>
        <v>1</v>
      </c>
      <c r="AU706" s="1120">
        <f t="shared" si="771"/>
        <v>0</v>
      </c>
      <c r="AV706" s="1120">
        <f t="shared" si="772"/>
        <v>1</v>
      </c>
      <c r="AW706" s="1120">
        <f t="shared" si="773"/>
        <v>1</v>
      </c>
      <c r="AX706" s="1120">
        <f t="shared" si="774"/>
        <v>1</v>
      </c>
      <c r="AY706" s="1120">
        <f t="shared" si="775"/>
        <v>0</v>
      </c>
      <c r="AZ706" s="1120">
        <f t="shared" si="776"/>
        <v>0</v>
      </c>
      <c r="BA706" s="1120">
        <f t="shared" si="777"/>
        <v>0</v>
      </c>
      <c r="BB706" s="1120">
        <f t="shared" si="778"/>
        <v>0</v>
      </c>
      <c r="BC706" s="1120">
        <f t="shared" si="779"/>
        <v>0</v>
      </c>
      <c r="BD706" s="1120">
        <f t="shared" si="780"/>
        <v>0</v>
      </c>
      <c r="BE706" s="1120">
        <f t="shared" si="781"/>
        <v>1</v>
      </c>
      <c r="BF706" s="1120">
        <f t="shared" si="782"/>
        <v>1</v>
      </c>
      <c r="BG706" s="1120">
        <f t="shared" si="783"/>
        <v>1</v>
      </c>
      <c r="BH706" s="1120">
        <f t="shared" si="784"/>
        <v>0</v>
      </c>
      <c r="BI706" s="1120">
        <f t="shared" si="785"/>
        <v>0</v>
      </c>
      <c r="BJ706" s="1120">
        <f t="shared" si="786"/>
        <v>0</v>
      </c>
      <c r="BK706" s="1120">
        <f t="shared" si="787"/>
        <v>1</v>
      </c>
      <c r="BL706" s="1120">
        <f t="shared" si="788"/>
        <v>1</v>
      </c>
      <c r="BM706" s="1120">
        <f t="shared" si="789"/>
        <v>1</v>
      </c>
      <c r="BN706" s="1120">
        <f t="shared" si="790"/>
        <v>1</v>
      </c>
      <c r="BO706" s="1120">
        <f t="shared" si="791"/>
        <v>1</v>
      </c>
      <c r="BP706" s="1120">
        <f t="shared" si="792"/>
        <v>1</v>
      </c>
      <c r="BQ706" s="1120">
        <f t="shared" si="793"/>
        <v>1</v>
      </c>
      <c r="BR706" s="1120">
        <f t="shared" si="794"/>
        <v>1</v>
      </c>
      <c r="BS706" s="1120">
        <f t="shared" si="795"/>
        <v>0</v>
      </c>
      <c r="BT706" s="1120">
        <f t="shared" si="796"/>
        <v>1</v>
      </c>
      <c r="BU706" s="1120">
        <f t="shared" si="797"/>
        <v>1</v>
      </c>
      <c r="BV706" s="1120">
        <f t="shared" si="798"/>
        <v>1</v>
      </c>
      <c r="BW706" s="1120">
        <f t="shared" si="799"/>
        <v>0</v>
      </c>
      <c r="BX706" s="1120">
        <f t="shared" si="800"/>
        <v>0</v>
      </c>
      <c r="BY706" s="1120">
        <f t="shared" si="801"/>
        <v>0</v>
      </c>
      <c r="BZ706" s="1120">
        <f t="shared" si="802"/>
        <v>0</v>
      </c>
      <c r="CA706" s="1120">
        <f t="shared" si="803"/>
        <v>0</v>
      </c>
      <c r="CB706" s="1120">
        <f t="shared" si="804"/>
        <v>0</v>
      </c>
      <c r="CC706" s="1120">
        <f t="shared" si="805"/>
        <v>1</v>
      </c>
      <c r="CD706" s="1120">
        <f t="shared" si="806"/>
        <v>1</v>
      </c>
      <c r="CE706" s="1120">
        <f t="shared" si="807"/>
        <v>1</v>
      </c>
      <c r="CF706" s="1120">
        <f t="shared" si="808"/>
        <v>1</v>
      </c>
      <c r="CG706" s="1120">
        <f t="shared" si="809"/>
        <v>0</v>
      </c>
      <c r="CH706" s="1120">
        <f t="shared" si="810"/>
        <v>0</v>
      </c>
      <c r="CI706" s="1120">
        <f t="shared" si="811"/>
        <v>0.85</v>
      </c>
      <c r="CJ706" s="1120">
        <f t="shared" si="812"/>
        <v>0.85</v>
      </c>
      <c r="CK706" s="1120">
        <f t="shared" si="813"/>
        <v>0.85</v>
      </c>
      <c r="CL706" s="1120">
        <f t="shared" si="814"/>
        <v>0.85</v>
      </c>
      <c r="CM706" s="1120">
        <f t="shared" si="815"/>
        <v>0.85</v>
      </c>
      <c r="CN706" s="1120">
        <f t="shared" si="816"/>
        <v>0.85</v>
      </c>
      <c r="CO706" s="1120">
        <f t="shared" si="817"/>
        <v>0.85</v>
      </c>
      <c r="CP706" s="1120">
        <f t="shared" si="818"/>
        <v>0.85</v>
      </c>
      <c r="CQ706" s="1120">
        <f t="shared" si="819"/>
        <v>0.7</v>
      </c>
      <c r="CR706" s="1120">
        <f t="shared" si="820"/>
        <v>0.85</v>
      </c>
      <c r="CS706" s="1120">
        <f t="shared" si="821"/>
        <v>0.85</v>
      </c>
      <c r="CT706" s="1120">
        <f t="shared" si="822"/>
        <v>0.85</v>
      </c>
      <c r="CU706" s="1120">
        <v>1</v>
      </c>
      <c r="CV706" s="1120"/>
      <c r="CW706" s="1120">
        <f t="shared" si="823"/>
        <v>123</v>
      </c>
      <c r="CX706" s="1120">
        <f t="shared" si="824"/>
        <v>242</v>
      </c>
      <c r="CY706" s="1136" t="s">
        <v>4893</v>
      </c>
      <c r="CZ706" s="1129" t="s">
        <v>4895</v>
      </c>
      <c r="DA706" s="1129"/>
      <c r="DB706" s="1129"/>
      <c r="DC706" s="1125" t="s">
        <v>5041</v>
      </c>
      <c r="DD706" s="1125" t="s">
        <v>954</v>
      </c>
      <c r="DE706" s="1120" t="str">
        <f t="shared" si="825"/>
        <v/>
      </c>
      <c r="DF706" s="1120">
        <v>1</v>
      </c>
      <c r="DG706" s="1120">
        <v>0</v>
      </c>
    </row>
    <row r="707" spans="1:111">
      <c r="A707" s="1125" t="s">
        <v>4152</v>
      </c>
      <c r="B707" s="1120" t="s">
        <v>3611</v>
      </c>
      <c r="C707" s="1120" t="s">
        <v>3612</v>
      </c>
      <c r="D707" s="1120" t="s">
        <v>1107</v>
      </c>
      <c r="E707" s="1120">
        <v>407</v>
      </c>
      <c r="F707" s="1120">
        <v>-88.77</v>
      </c>
      <c r="G707" s="1120">
        <v>37.049999999999997</v>
      </c>
      <c r="H707" s="1120">
        <v>-6</v>
      </c>
      <c r="I707" s="1121">
        <v>14.540000343322754</v>
      </c>
      <c r="J707" s="1121">
        <v>92.3</v>
      </c>
      <c r="K707" s="1122">
        <v>76.280000686645508</v>
      </c>
      <c r="L707" s="1120">
        <v>3673.8</v>
      </c>
      <c r="M707" s="1120">
        <v>1495.8</v>
      </c>
      <c r="N707" s="1123">
        <v>36.5</v>
      </c>
      <c r="O707" s="1123">
        <v>37.579999828338622</v>
      </c>
      <c r="P707" s="1123">
        <v>48.740000343322755</v>
      </c>
      <c r="Q707" s="1123">
        <v>60.980000686645511</v>
      </c>
      <c r="R707" s="1123">
        <v>65.119999313354498</v>
      </c>
      <c r="S707" s="1123">
        <v>77.180000686645513</v>
      </c>
      <c r="T707" s="1123">
        <v>78.980000686645511</v>
      </c>
      <c r="U707" s="1123">
        <v>74.83999862670899</v>
      </c>
      <c r="V707" s="1123">
        <v>66.919999313354495</v>
      </c>
      <c r="W707" s="1123">
        <v>59.540000343322752</v>
      </c>
      <c r="X707" s="1123">
        <v>50.719999313354492</v>
      </c>
      <c r="Y707" s="1123">
        <v>42.440000343322751</v>
      </c>
      <c r="Z707" s="1123">
        <v>58.403287628905417</v>
      </c>
      <c r="AA707" s="1123">
        <f t="shared" ref="AA707:AA770" si="826">MAX($Z707+6+(0.4+0.01*($Z707-44))*(MAX($N707:$Y707)-MIN($N707:$Y707))/2*SIN((0.986*((1*30-15)-15-(35-1*($Z707-44)))-90)*PI()/180),32)</f>
        <v>53.566323509180947</v>
      </c>
      <c r="AB707" s="1123">
        <f t="shared" ref="AB707:AB770" si="827">MAX($Z707+6+(0.4+0.01*($Z707-44))*(MAX($N707:$Y707)-MIN($N707:$Y707))/2*SIN((0.986*((2*30-15)-15-(35-1*($Z707-44)))-90)*PI()/180),32)</f>
        <v>52.998991889091791</v>
      </c>
      <c r="AC707" s="1123">
        <f t="shared" ref="AC707:AC770" si="828">MAX($Z707+6+(0.4+0.01*($Z707-44))*(MAX($N707:$Y707)-MIN($N707:$Y707))/2*SIN((0.986*((3*30-15)-15-(35-1*($Z707-44)))-90)*PI()/180),32)</f>
        <v>55.404365699102179</v>
      </c>
      <c r="AD707" s="1123">
        <f t="shared" ref="AD707:AD770" si="829">MAX($Z707+6+(0.4+0.01*($Z707-44))*(MAX($N707:$Y707)-MIN($N707:$Y707))/2*SIN((0.986*((4*30-15)-15-(35-1*($Z707-44)))-90)*PI()/180),32)</f>
        <v>60.155447187700453</v>
      </c>
      <c r="AE707" s="1123">
        <f t="shared" ref="AE707:AE770" si="830">MAX($Z707+6+(0.4+0.01*($Z707-44))*(MAX($N707:$Y707)-MIN($N707:$Y707))/2*SIN((0.986*((5*30-15)-15-(35-1*($Z707-44)))-90)*PI()/180),32)</f>
        <v>66.013793748501499</v>
      </c>
      <c r="AF707" s="1123">
        <f t="shared" ref="AF707:AF770" si="831">MAX($Z707+6+(0.4+0.01*($Z707-44))*(MAX($N707:$Y707)-MIN($N707:$Y707))/2*SIN((0.986*((6*30-15)-15-(35-1*($Z707-44)))-90)*PI()/180),32)</f>
        <v>71.452337070579262</v>
      </c>
      <c r="AG707" s="1123">
        <f t="shared" ref="AG707:AG770" si="832">MAX($Z707+6+(0.4+0.01*($Z707-44))*(MAX($N707:$Y707)-MIN($N707:$Y707))/2*SIN((0.986*((7*30-15)-15-(35-1*($Z707-44)))-90)*PI()/180),32)</f>
        <v>75.053437026544671</v>
      </c>
      <c r="AH707" s="1123">
        <f t="shared" ref="AH707:AH770" si="833">MAX($Z707+6+(0.4+0.01*($Z707-44))*(MAX($N707:$Y707)-MIN($N707:$Y707))/2*SIN((0.986*((8*30-15)-15-(35-1*($Z707-44)))-90)*PI()/180),32)</f>
        <v>75.878411418245207</v>
      </c>
      <c r="AI707" s="1123">
        <f t="shared" ref="AI707:AI770" si="834">MAX($Z707+6+(0.4+0.01*($Z707-44))*(MAX($N707:$Y707)-MIN($N707:$Y707))/2*SIN((0.986*((9*30-15)-15-(35-1*($Z707-44)))-90)*PI()/180),32)</f>
        <v>73.712217957243908</v>
      </c>
      <c r="AJ707" s="1123">
        <f t="shared" ref="AJ707:AJ770" si="835">MAX($Z707+6+(0.4+0.01*($Z707-44))*(MAX($N707:$Y707)-MIN($N707:$Y707))/2*SIN((0.986*((10*30-15)-15-(35-1*($Z707-44)))-90)*PI()/180),32)</f>
        <v>69.119508351202498</v>
      </c>
      <c r="AK707" s="1123">
        <f t="shared" ref="AK707:AK770" si="836">MAX($Z707+6+(0.4+0.01*($Z707-44))*(MAX($N707:$Y707)-MIN($N707:$Y707))/2*SIN((0.986*((11*30-15)-15-(35-1*($Z707-44)))-90)*PI()/180),32)</f>
        <v>63.29744313473303</v>
      </c>
      <c r="AL707" s="1123">
        <f t="shared" ref="AL707:AL770" si="837">MAX($Z707+6+(0.4+0.01*($Z707-44))*(MAX($N707:$Y707)-MIN($N707:$Y707))/2*SIN((0.986*((12*30-15)-15-(35-1*($Z707-44)))-90)*PI()/180),32)</f>
        <v>57.763633327249096</v>
      </c>
      <c r="AM707" s="1120">
        <f t="shared" ref="AM707:AM770" si="838">IF(AND(OR(LEFT(AM$1,3)="Jan",LEFT(AM$1,3)="Dec"),I707&lt;59),1,IF(N707&lt;66,1,0))</f>
        <v>1</v>
      </c>
      <c r="AN707" s="1120">
        <f t="shared" ref="AN707:AN770" si="839">IF(AND(OR(LEFT(AN$1,3)="Jan",LEFT(AN$1,3)="Dec"),J707&lt;59),1,IF(O707&lt;66,1,0))</f>
        <v>1</v>
      </c>
      <c r="AO707" s="1120">
        <f t="shared" ref="AO707:AO770" si="840">IF(AND(OR(LEFT(AO$1,3)="Jan",LEFT(AO$1,3)="Dec"),K707&lt;59),1,IF(P707&lt;66,1,0))</f>
        <v>1</v>
      </c>
      <c r="AP707" s="1120">
        <f t="shared" ref="AP707:AP770" si="841">IF(AND(OR(LEFT(AP$1,3)="Jan",LEFT(AP$1,3)="Dec"),L707&lt;59),1,IF(Q707&lt;66,1,0))</f>
        <v>1</v>
      </c>
      <c r="AQ707" s="1120">
        <f t="shared" ref="AQ707:AQ770" si="842">IF(AND(OR(LEFT(AQ$1,3)="Jan",LEFT(AQ$1,3)="Dec"),M707&lt;59),1,IF(R707&lt;66,1,0))</f>
        <v>1</v>
      </c>
      <c r="AR707" s="1120">
        <f t="shared" ref="AR707:AR770" si="843">IF(AND(OR(LEFT(AR$1,3)="Jan",LEFT(AR$1,3)="Dec"),N707&lt;59),1,IF(S707&lt;66,1,0))</f>
        <v>0</v>
      </c>
      <c r="AS707" s="1120">
        <f t="shared" ref="AS707:AS770" si="844">IF(AND(OR(LEFT(AS$1,3)="Jan",LEFT(AS$1,3)="Dec"),O707&lt;59),1,IF(T707&lt;66,1,0))</f>
        <v>0</v>
      </c>
      <c r="AT707" s="1120">
        <f t="shared" ref="AT707:AT770" si="845">IF(AND(OR(LEFT(AT$1,3)="Jan",LEFT(AT$1,3)="Dec"),P707&lt;59),1,IF(U707&lt;66,1,0))</f>
        <v>0</v>
      </c>
      <c r="AU707" s="1120">
        <f t="shared" ref="AU707:AU770" si="846">IF(AND(OR(LEFT(AU$1,3)="Jan",LEFT(AU$1,3)="Dec"),Q707&lt;59),1,IF(V707&lt;66,1,0))</f>
        <v>0</v>
      </c>
      <c r="AV707" s="1120">
        <f t="shared" ref="AV707:AV770" si="847">IF(AND(OR(LEFT(AV$1,3)="Jan",LEFT(AV$1,3)="Dec"),R707&lt;59),1,IF(W707&lt;66,1,0))</f>
        <v>1</v>
      </c>
      <c r="AW707" s="1120">
        <f t="shared" ref="AW707:AW770" si="848">IF(AND(OR(LEFT(AW$1,3)="Jan",LEFT(AW$1,3)="Dec"),S707&lt;59),1,IF(X707&lt;66,1,0))</f>
        <v>1</v>
      </c>
      <c r="AX707" s="1120">
        <f t="shared" ref="AX707:AX770" si="849">IF(AND(OR(LEFT(AX$1,3)="Jan",LEFT(AX$1,3)="Dec"),T707&lt;59),1,IF(Y707&lt;66,1,0))</f>
        <v>1</v>
      </c>
      <c r="AY707" s="1120">
        <f t="shared" ref="AY707:AY770" si="850">IF(OR(LEFT(AY$1,3)="Jul", LEFT(AY$1,3)="Aug"),1,IF(N707&gt;66,1,0))</f>
        <v>0</v>
      </c>
      <c r="AZ707" s="1120">
        <f t="shared" ref="AZ707:AZ770" si="851">IF(OR(LEFT(AZ$1,3)="Jul", LEFT(AZ$1,3)="Aug"),1,IF(O707&gt;66,1,0))</f>
        <v>0</v>
      </c>
      <c r="BA707" s="1120">
        <f t="shared" ref="BA707:BA770" si="852">IF(OR(LEFT(BA$1,3)="Jul", LEFT(BA$1,3)="Aug"),1,IF(P707&gt;66,1,0))</f>
        <v>0</v>
      </c>
      <c r="BB707" s="1120">
        <f t="shared" ref="BB707:BB770" si="853">IF(OR(LEFT(BB$1,3)="Jul", LEFT(BB$1,3)="Aug"),1,IF(Q707&gt;66,1,0))</f>
        <v>0</v>
      </c>
      <c r="BC707" s="1120">
        <f t="shared" ref="BC707:BC770" si="854">IF(OR(LEFT(BC$1,3)="Jul", LEFT(BC$1,3)="Aug"),1,IF(R707&gt;66,1,0))</f>
        <v>0</v>
      </c>
      <c r="BD707" s="1120">
        <f t="shared" ref="BD707:BD770" si="855">IF(OR(LEFT(BD$1,3)="Jul", LEFT(BD$1,3)="Aug"),1,IF(S707&gt;66,1,0))</f>
        <v>1</v>
      </c>
      <c r="BE707" s="1120">
        <f t="shared" ref="BE707:BE770" si="856">IF(OR(LEFT(BE$1,3)="Jul", LEFT(BE$1,3)="Aug"),1,IF(T707&gt;66,1,0))</f>
        <v>1</v>
      </c>
      <c r="BF707" s="1120">
        <f t="shared" ref="BF707:BF770" si="857">IF(OR(LEFT(BF$1,3)="Jul", LEFT(BF$1,3)="Aug"),1,IF(U707&gt;66,1,0))</f>
        <v>1</v>
      </c>
      <c r="BG707" s="1120">
        <f t="shared" ref="BG707:BG770" si="858">IF(OR(LEFT(BG$1,3)="Jul", LEFT(BG$1,3)="Aug"),1,IF(V707&gt;66,1,0))</f>
        <v>1</v>
      </c>
      <c r="BH707" s="1120">
        <f t="shared" ref="BH707:BH770" si="859">IF(OR(LEFT(BH$1,3)="Jul", LEFT(BH$1,3)="Aug"),1,IF(W707&gt;66,1,0))</f>
        <v>0</v>
      </c>
      <c r="BI707" s="1120">
        <f t="shared" ref="BI707:BI770" si="860">IF(OR(LEFT(BI$1,3)="Jul", LEFT(BI$1,3)="Aug"),1,IF(X707&gt;66,1,0))</f>
        <v>0</v>
      </c>
      <c r="BJ707" s="1120">
        <f t="shared" ref="BJ707:BJ770" si="861">IF(OR(LEFT(BJ$1,3)="Jul", LEFT(BJ$1,3)="Aug"),1,IF(Y707&gt;66,1,0))</f>
        <v>0</v>
      </c>
      <c r="BK707" s="1120">
        <f t="shared" ref="BK707:BK770" si="862">IF(AND(AY707=1,BJ707=0),1,AM707)</f>
        <v>1</v>
      </c>
      <c r="BL707" s="1120">
        <f t="shared" ref="BL707:BL770" si="863">IF(AND(AY707=0,AZ707=1),1,AN707)</f>
        <v>1</v>
      </c>
      <c r="BM707" s="1120">
        <f t="shared" ref="BM707:BM770" si="864">IF(AND(AZ707=0,BA707=1),1,AO707)</f>
        <v>1</v>
      </c>
      <c r="BN707" s="1120">
        <f t="shared" ref="BN707:BN770" si="865">IF(AND(BA707=0,BB707=1),1,AP707)</f>
        <v>1</v>
      </c>
      <c r="BO707" s="1120">
        <f t="shared" ref="BO707:BO770" si="866">IF(AND(BB707=0,BC707=1),1,AQ707)</f>
        <v>1</v>
      </c>
      <c r="BP707" s="1120">
        <f t="shared" ref="BP707:BP770" si="867">IF(AND(BC707=0,BD707=1),1,AR707)</f>
        <v>1</v>
      </c>
      <c r="BQ707" s="1120">
        <f t="shared" ref="BQ707:BQ770" si="868">IF(AND(BD707=0,BE707=1),1,AS707)</f>
        <v>0</v>
      </c>
      <c r="BR707" s="1120">
        <f t="shared" ref="BR707:BR770" si="869">IF(AND(BE707=0,BF707=1),1,AT707)</f>
        <v>0</v>
      </c>
      <c r="BS707" s="1120">
        <f t="shared" ref="BS707:BS770" si="870">IF(AND(BF707=0,BG707=1),1,AU707)</f>
        <v>0</v>
      </c>
      <c r="BT707" s="1120">
        <f t="shared" ref="BT707:BT770" si="871">IF(AND(BG707=0,BH707=1),1,AV707)</f>
        <v>1</v>
      </c>
      <c r="BU707" s="1120">
        <f t="shared" ref="BU707:BU770" si="872">IF(AND(BH707=0,BI707=1),1,AW707)</f>
        <v>1</v>
      </c>
      <c r="BV707" s="1120">
        <f t="shared" ref="BV707:BV770" si="873">IF(AND(BI707=0,BJ707=1),1,AX707)</f>
        <v>1</v>
      </c>
      <c r="BW707" s="1120">
        <f t="shared" ref="BW707:BW770" si="874">IF(OR(AND(AX707=0,AM707=1),AND(AM707=1,AN707=0)),1,AY707)</f>
        <v>0</v>
      </c>
      <c r="BX707" s="1120">
        <f t="shared" ref="BX707:BX770" si="875">IF(OR(AND(AM707=0,AN707=1),AND(AN707=1,AO707=0)),1,AZ707)</f>
        <v>0</v>
      </c>
      <c r="BY707" s="1120">
        <f t="shared" ref="BY707:BY770" si="876">IF(OR(AND(AN707=0,AO707=1),AND(AO707=1,AP707=0)),1,BA707)</f>
        <v>0</v>
      </c>
      <c r="BZ707" s="1120">
        <f t="shared" ref="BZ707:BZ770" si="877">IF(OR(AND(AO707=0,AP707=1),AND(AP707=1,AQ707=0)),1,BB707)</f>
        <v>0</v>
      </c>
      <c r="CA707" s="1120">
        <f t="shared" ref="CA707:CA770" si="878">IF(OR(AND(AP707=0,AQ707=1),AND(AQ707=1,AR707=0)),1,BC707)</f>
        <v>1</v>
      </c>
      <c r="CB707" s="1120">
        <f t="shared" ref="CB707:CB770" si="879">IF(OR(AND(AQ707=0,AR707=1),AND(AR707=1,AS707=0)),1,BD707)</f>
        <v>1</v>
      </c>
      <c r="CC707" s="1120">
        <f t="shared" ref="CC707:CC770" si="880">IF(OR(AND(AR707=0,AS707=1),AND(AS707=1,AT707=0)),1,BE707)</f>
        <v>1</v>
      </c>
      <c r="CD707" s="1120">
        <f t="shared" ref="CD707:CD770" si="881">IF(OR(AND(AS707=0,AT707=1),AND(AT707=1,AU707=0)),1,BF707)</f>
        <v>1</v>
      </c>
      <c r="CE707" s="1120">
        <f t="shared" ref="CE707:CE770" si="882">IF(OR(AND(AT707=0,AU707=1),AND(AU707=1,AV707=0)),1,BG707)</f>
        <v>1</v>
      </c>
      <c r="CF707" s="1120">
        <f t="shared" ref="CF707:CF770" si="883">IF(OR(AND(AU707=0,AV707=1),AND(AV707=1,AW707=0)),1,BH707)</f>
        <v>1</v>
      </c>
      <c r="CG707" s="1120">
        <f t="shared" ref="CG707:CG770" si="884">IF(OR(AND(AV707=0,AW707=1),AND(AW707=1,AX707=0)),1,BI707)</f>
        <v>0</v>
      </c>
      <c r="CH707" s="1120">
        <f t="shared" ref="CH707:CH770" si="885">IF(OR(AND(AW707=0,AX707=1),AND(AX707=1,AM707=0)),1,BJ707)</f>
        <v>0</v>
      </c>
      <c r="CI707" s="1120">
        <f t="shared" ref="CI707:CI770" si="886">IF(BK707=1,0.85,0.7)</f>
        <v>0.85</v>
      </c>
      <c r="CJ707" s="1120">
        <f t="shared" ref="CJ707:CJ770" si="887">IF(BL707=1,0.85,0.7)</f>
        <v>0.85</v>
      </c>
      <c r="CK707" s="1120">
        <f t="shared" ref="CK707:CK770" si="888">IF(BM707=1,0.85,0.7)</f>
        <v>0.85</v>
      </c>
      <c r="CL707" s="1120">
        <f t="shared" ref="CL707:CL770" si="889">IF(BN707=1,0.85,0.7)</f>
        <v>0.85</v>
      </c>
      <c r="CM707" s="1120">
        <f t="shared" ref="CM707:CM770" si="890">IF(BO707=1,0.85,0.7)</f>
        <v>0.85</v>
      </c>
      <c r="CN707" s="1120">
        <f t="shared" ref="CN707:CN770" si="891">IF(BP707=1,0.85,0.7)</f>
        <v>0.85</v>
      </c>
      <c r="CO707" s="1120">
        <f t="shared" ref="CO707:CO770" si="892">IF(BQ707=1,0.85,0.7)</f>
        <v>0.7</v>
      </c>
      <c r="CP707" s="1120">
        <f t="shared" ref="CP707:CP770" si="893">IF(BR707=1,0.85,0.7)</f>
        <v>0.7</v>
      </c>
      <c r="CQ707" s="1120">
        <f t="shared" ref="CQ707:CQ770" si="894">IF(BS707=1,0.85,0.7)</f>
        <v>0.7</v>
      </c>
      <c r="CR707" s="1120">
        <f t="shared" ref="CR707:CR770" si="895">IF(BT707=1,0.85,0.7)</f>
        <v>0.85</v>
      </c>
      <c r="CS707" s="1120">
        <f t="shared" ref="CS707:CS770" si="896">IF(BU707=1,0.85,0.7)</f>
        <v>0.85</v>
      </c>
      <c r="CT707" s="1120">
        <f t="shared" ref="CT707:CT770" si="897">IF(BV707=1,0.85,0.7)</f>
        <v>0.85</v>
      </c>
      <c r="CU707" s="1120">
        <v>1</v>
      </c>
      <c r="CV707" s="1120"/>
      <c r="CW707" s="1120">
        <f t="shared" ref="CW707:CW770" si="898">BW707*31+BX707*28+BY707*31+BZ707*30+CA707*31+CB707*30+CC707*31+CD707*31+CE707*30+CF707*31+CG707*30+CH707*31</f>
        <v>184</v>
      </c>
      <c r="CX707" s="1120">
        <f t="shared" ref="CX707:CX770" si="899">365-CW707</f>
        <v>181</v>
      </c>
      <c r="CY707" s="1135" t="s">
        <v>4881</v>
      </c>
      <c r="CZ707" s="1124" t="s">
        <v>4885</v>
      </c>
      <c r="DA707" s="1124"/>
      <c r="DB707" s="1124"/>
      <c r="DC707" s="1120" t="s">
        <v>5249</v>
      </c>
      <c r="DD707" s="1120" t="s">
        <v>1107</v>
      </c>
      <c r="DE707" s="1120" t="str">
        <f t="shared" si="825"/>
        <v/>
      </c>
      <c r="DF707" s="1133">
        <v>0</v>
      </c>
      <c r="DG707" s="1125">
        <v>0</v>
      </c>
    </row>
    <row r="708" spans="1:111">
      <c r="A708" s="1120" t="s">
        <v>4118</v>
      </c>
      <c r="B708" s="1120" t="s">
        <v>3060</v>
      </c>
      <c r="C708" s="1120" t="s">
        <v>3061</v>
      </c>
      <c r="D708" s="1120" t="s">
        <v>1250</v>
      </c>
      <c r="E708" s="1120">
        <v>4277</v>
      </c>
      <c r="F708" s="1120">
        <v>-111.45</v>
      </c>
      <c r="G708" s="1120">
        <v>36.93</v>
      </c>
      <c r="H708" s="1120">
        <v>-7</v>
      </c>
      <c r="I708" s="1121">
        <v>25.339999914169312</v>
      </c>
      <c r="J708" s="1121">
        <v>97.520002746582037</v>
      </c>
      <c r="K708" s="1122">
        <v>62.060001373291016</v>
      </c>
      <c r="L708" s="1120">
        <v>3565.8</v>
      </c>
      <c r="M708" s="1120">
        <v>2106</v>
      </c>
      <c r="N708" s="1123">
        <v>41.179999828338623</v>
      </c>
      <c r="O708" s="1123">
        <v>41</v>
      </c>
      <c r="P708" s="1123">
        <v>51.259999656677245</v>
      </c>
      <c r="Q708" s="1123">
        <v>63.86000137329102</v>
      </c>
      <c r="R708" s="1123">
        <v>70.33999862670899</v>
      </c>
      <c r="S708" s="1123">
        <v>80.239998626708982</v>
      </c>
      <c r="T708" s="1123">
        <v>83.83999862670899</v>
      </c>
      <c r="U708" s="1123">
        <v>80.060001373291016</v>
      </c>
      <c r="V708" s="1123">
        <v>71.780000686645508</v>
      </c>
      <c r="W708" s="1123">
        <v>59.719999313354492</v>
      </c>
      <c r="X708" s="1123">
        <v>43.7</v>
      </c>
      <c r="Y708" s="1123">
        <v>36.860000085830691</v>
      </c>
      <c r="Z708" s="1123">
        <v>60.428657379281034</v>
      </c>
      <c r="AA708" s="1123">
        <f t="shared" si="826"/>
        <v>53.844760347764122</v>
      </c>
      <c r="AB708" s="1123">
        <f t="shared" si="827"/>
        <v>53.429101734805847</v>
      </c>
      <c r="AC708" s="1123">
        <f t="shared" si="828"/>
        <v>56.40197762979642</v>
      </c>
      <c r="AD708" s="1123">
        <f t="shared" si="829"/>
        <v>61.988462117302255</v>
      </c>
      <c r="AE708" s="1123">
        <f t="shared" si="830"/>
        <v>68.732351925323059</v>
      </c>
      <c r="AF708" s="1123">
        <f t="shared" si="831"/>
        <v>74.875748248910469</v>
      </c>
      <c r="AG708" s="1123">
        <f t="shared" si="832"/>
        <v>78.817280163718323</v>
      </c>
      <c r="AH708" s="1123">
        <f t="shared" si="833"/>
        <v>79.529526635306567</v>
      </c>
      <c r="AI708" s="1123">
        <f t="shared" si="834"/>
        <v>76.826829644805343</v>
      </c>
      <c r="AJ708" s="1123">
        <f t="shared" si="835"/>
        <v>71.413688812610147</v>
      </c>
      <c r="AK708" s="1123">
        <f t="shared" si="836"/>
        <v>64.701122715657959</v>
      </c>
      <c r="AL708" s="1123">
        <f t="shared" si="837"/>
        <v>58.438865150894145</v>
      </c>
      <c r="AM708" s="1120">
        <f t="shared" si="838"/>
        <v>1</v>
      </c>
      <c r="AN708" s="1120">
        <f t="shared" si="839"/>
        <v>1</v>
      </c>
      <c r="AO708" s="1120">
        <f t="shared" si="840"/>
        <v>1</v>
      </c>
      <c r="AP708" s="1120">
        <f t="shared" si="841"/>
        <v>1</v>
      </c>
      <c r="AQ708" s="1120">
        <f t="shared" si="842"/>
        <v>0</v>
      </c>
      <c r="AR708" s="1120">
        <f t="shared" si="843"/>
        <v>0</v>
      </c>
      <c r="AS708" s="1120">
        <f t="shared" si="844"/>
        <v>0</v>
      </c>
      <c r="AT708" s="1120">
        <f t="shared" si="845"/>
        <v>0</v>
      </c>
      <c r="AU708" s="1120">
        <f t="shared" si="846"/>
        <v>0</v>
      </c>
      <c r="AV708" s="1120">
        <f t="shared" si="847"/>
        <v>1</v>
      </c>
      <c r="AW708" s="1120">
        <f t="shared" si="848"/>
        <v>1</v>
      </c>
      <c r="AX708" s="1120">
        <f t="shared" si="849"/>
        <v>1</v>
      </c>
      <c r="AY708" s="1120">
        <f t="shared" si="850"/>
        <v>0</v>
      </c>
      <c r="AZ708" s="1120">
        <f t="shared" si="851"/>
        <v>0</v>
      </c>
      <c r="BA708" s="1120">
        <f t="shared" si="852"/>
        <v>0</v>
      </c>
      <c r="BB708" s="1120">
        <f t="shared" si="853"/>
        <v>0</v>
      </c>
      <c r="BC708" s="1120">
        <f t="shared" si="854"/>
        <v>1</v>
      </c>
      <c r="BD708" s="1120">
        <f t="shared" si="855"/>
        <v>1</v>
      </c>
      <c r="BE708" s="1120">
        <f t="shared" si="856"/>
        <v>1</v>
      </c>
      <c r="BF708" s="1120">
        <f t="shared" si="857"/>
        <v>1</v>
      </c>
      <c r="BG708" s="1120">
        <f t="shared" si="858"/>
        <v>1</v>
      </c>
      <c r="BH708" s="1120">
        <f t="shared" si="859"/>
        <v>0</v>
      </c>
      <c r="BI708" s="1120">
        <f t="shared" si="860"/>
        <v>0</v>
      </c>
      <c r="BJ708" s="1120">
        <f t="shared" si="861"/>
        <v>0</v>
      </c>
      <c r="BK708" s="1120">
        <f t="shared" si="862"/>
        <v>1</v>
      </c>
      <c r="BL708" s="1120">
        <f t="shared" si="863"/>
        <v>1</v>
      </c>
      <c r="BM708" s="1120">
        <f t="shared" si="864"/>
        <v>1</v>
      </c>
      <c r="BN708" s="1120">
        <f t="shared" si="865"/>
        <v>1</v>
      </c>
      <c r="BO708" s="1120">
        <f t="shared" si="866"/>
        <v>1</v>
      </c>
      <c r="BP708" s="1120">
        <f t="shared" si="867"/>
        <v>0</v>
      </c>
      <c r="BQ708" s="1120">
        <f t="shared" si="868"/>
        <v>0</v>
      </c>
      <c r="BR708" s="1120">
        <f t="shared" si="869"/>
        <v>0</v>
      </c>
      <c r="BS708" s="1120">
        <f t="shared" si="870"/>
        <v>0</v>
      </c>
      <c r="BT708" s="1120">
        <f t="shared" si="871"/>
        <v>1</v>
      </c>
      <c r="BU708" s="1120">
        <f t="shared" si="872"/>
        <v>1</v>
      </c>
      <c r="BV708" s="1120">
        <f t="shared" si="873"/>
        <v>1</v>
      </c>
      <c r="BW708" s="1120">
        <f t="shared" si="874"/>
        <v>0</v>
      </c>
      <c r="BX708" s="1120">
        <f t="shared" si="875"/>
        <v>0</v>
      </c>
      <c r="BY708" s="1120">
        <f t="shared" si="876"/>
        <v>0</v>
      </c>
      <c r="BZ708" s="1120">
        <f t="shared" si="877"/>
        <v>1</v>
      </c>
      <c r="CA708" s="1120">
        <f t="shared" si="878"/>
        <v>1</v>
      </c>
      <c r="CB708" s="1120">
        <f t="shared" si="879"/>
        <v>1</v>
      </c>
      <c r="CC708" s="1120">
        <f t="shared" si="880"/>
        <v>1</v>
      </c>
      <c r="CD708" s="1120">
        <f t="shared" si="881"/>
        <v>1</v>
      </c>
      <c r="CE708" s="1120">
        <f t="shared" si="882"/>
        <v>1</v>
      </c>
      <c r="CF708" s="1120">
        <f t="shared" si="883"/>
        <v>1</v>
      </c>
      <c r="CG708" s="1120">
        <f t="shared" si="884"/>
        <v>0</v>
      </c>
      <c r="CH708" s="1120">
        <f t="shared" si="885"/>
        <v>0</v>
      </c>
      <c r="CI708" s="1120">
        <f t="shared" si="886"/>
        <v>0.85</v>
      </c>
      <c r="CJ708" s="1120">
        <f t="shared" si="887"/>
        <v>0.85</v>
      </c>
      <c r="CK708" s="1120">
        <f t="shared" si="888"/>
        <v>0.85</v>
      </c>
      <c r="CL708" s="1120">
        <f t="shared" si="889"/>
        <v>0.85</v>
      </c>
      <c r="CM708" s="1120">
        <f t="shared" si="890"/>
        <v>0.85</v>
      </c>
      <c r="CN708" s="1120">
        <f t="shared" si="891"/>
        <v>0.7</v>
      </c>
      <c r="CO708" s="1120">
        <f t="shared" si="892"/>
        <v>0.7</v>
      </c>
      <c r="CP708" s="1120">
        <f t="shared" si="893"/>
        <v>0.7</v>
      </c>
      <c r="CQ708" s="1120">
        <f t="shared" si="894"/>
        <v>0.7</v>
      </c>
      <c r="CR708" s="1120">
        <f t="shared" si="895"/>
        <v>0.85</v>
      </c>
      <c r="CS708" s="1120">
        <f t="shared" si="896"/>
        <v>0.85</v>
      </c>
      <c r="CT708" s="1120">
        <f t="shared" si="897"/>
        <v>0.85</v>
      </c>
      <c r="CU708" s="1120">
        <v>1</v>
      </c>
      <c r="CV708" s="1120"/>
      <c r="CW708" s="1120">
        <f t="shared" si="898"/>
        <v>214</v>
      </c>
      <c r="CX708" s="1120">
        <f t="shared" si="899"/>
        <v>151</v>
      </c>
      <c r="CY708" s="1135" t="s">
        <v>4889</v>
      </c>
      <c r="CZ708" s="1124" t="s">
        <v>4890</v>
      </c>
      <c r="DA708" s="1124"/>
      <c r="DB708" s="1124"/>
      <c r="DC708" s="1120" t="s">
        <v>5000</v>
      </c>
      <c r="DD708" s="1120" t="s">
        <v>1250</v>
      </c>
      <c r="DE708" s="1120" t="b">
        <f t="shared" si="825"/>
        <v>0</v>
      </c>
      <c r="DF708" s="1120">
        <v>0</v>
      </c>
      <c r="DG708" s="1120">
        <v>0</v>
      </c>
    </row>
    <row r="709" spans="1:111">
      <c r="A709" s="1125" t="s">
        <v>4120</v>
      </c>
      <c r="B709" s="1120" t="s">
        <v>4436</v>
      </c>
      <c r="C709" s="1120" t="s">
        <v>4437</v>
      </c>
      <c r="D709" s="1120" t="s">
        <v>228</v>
      </c>
      <c r="E709" s="1120">
        <v>16</v>
      </c>
      <c r="F709" s="1120">
        <v>-96.25</v>
      </c>
      <c r="G709" s="1120">
        <v>28.72</v>
      </c>
      <c r="H709" s="1120">
        <v>-6</v>
      </c>
      <c r="I709" s="1121">
        <v>35.960000085830686</v>
      </c>
      <c r="J709" s="1121">
        <v>91.039998626708993</v>
      </c>
      <c r="K709" s="1122">
        <v>78.980000686645511</v>
      </c>
      <c r="L709" s="1120">
        <v>1270.8</v>
      </c>
      <c r="M709" s="1120">
        <v>3074.4</v>
      </c>
      <c r="N709" s="1123">
        <v>52.159999656677243</v>
      </c>
      <c r="O709" s="1123">
        <v>57.919999313354495</v>
      </c>
      <c r="P709" s="1123">
        <v>57.740000343322755</v>
      </c>
      <c r="Q709" s="1123">
        <v>70.880000686645502</v>
      </c>
      <c r="R709" s="1123">
        <v>77</v>
      </c>
      <c r="S709" s="1123">
        <v>80.960001373291021</v>
      </c>
      <c r="T709" s="1123">
        <v>82.939998626708984</v>
      </c>
      <c r="U709" s="1123">
        <v>81.860001373291013</v>
      </c>
      <c r="V709" s="1123">
        <v>77.360001373291013</v>
      </c>
      <c r="W709" s="1123">
        <v>71.419999313354495</v>
      </c>
      <c r="X709" s="1123">
        <v>66.380000686645502</v>
      </c>
      <c r="Y709" s="1123">
        <v>55.040000343322752</v>
      </c>
      <c r="Z709" s="1123">
        <v>69.348274229389347</v>
      </c>
      <c r="AA709" s="1123">
        <f t="shared" si="826"/>
        <v>65.429583603022095</v>
      </c>
      <c r="AB709" s="1123">
        <f t="shared" si="827"/>
        <v>65.901504332365349</v>
      </c>
      <c r="AC709" s="1123">
        <f t="shared" si="828"/>
        <v>68.835871214498667</v>
      </c>
      <c r="AD709" s="1123">
        <f t="shared" si="829"/>
        <v>73.467796301631537</v>
      </c>
      <c r="AE709" s="1123">
        <f t="shared" si="830"/>
        <v>78.589896939676535</v>
      </c>
      <c r="AF709" s="1123">
        <f t="shared" si="831"/>
        <v>82.867018663367105</v>
      </c>
      <c r="AG709" s="1123">
        <f t="shared" si="832"/>
        <v>85.184263782982356</v>
      </c>
      <c r="AH709" s="1123">
        <f t="shared" si="833"/>
        <v>84.937606648266367</v>
      </c>
      <c r="AI709" s="1123">
        <f t="shared" si="834"/>
        <v>82.191342242484367</v>
      </c>
      <c r="AJ709" s="1123">
        <f t="shared" si="835"/>
        <v>77.661326704218979</v>
      </c>
      <c r="AK709" s="1123">
        <f t="shared" si="836"/>
        <v>72.528378393171636</v>
      </c>
      <c r="AL709" s="1123">
        <f t="shared" si="837"/>
        <v>68.130479387744671</v>
      </c>
      <c r="AM709" s="1120">
        <f t="shared" si="838"/>
        <v>1</v>
      </c>
      <c r="AN709" s="1120">
        <f t="shared" si="839"/>
        <v>1</v>
      </c>
      <c r="AO709" s="1120">
        <f t="shared" si="840"/>
        <v>1</v>
      </c>
      <c r="AP709" s="1120">
        <f t="shared" si="841"/>
        <v>0</v>
      </c>
      <c r="AQ709" s="1120">
        <f t="shared" si="842"/>
        <v>0</v>
      </c>
      <c r="AR709" s="1120">
        <f t="shared" si="843"/>
        <v>0</v>
      </c>
      <c r="AS709" s="1120">
        <f t="shared" si="844"/>
        <v>0</v>
      </c>
      <c r="AT709" s="1120">
        <f t="shared" si="845"/>
        <v>0</v>
      </c>
      <c r="AU709" s="1120">
        <f t="shared" si="846"/>
        <v>0</v>
      </c>
      <c r="AV709" s="1120">
        <f t="shared" si="847"/>
        <v>0</v>
      </c>
      <c r="AW709" s="1120">
        <f t="shared" si="848"/>
        <v>0</v>
      </c>
      <c r="AX709" s="1120">
        <f t="shared" si="849"/>
        <v>1</v>
      </c>
      <c r="AY709" s="1120">
        <f t="shared" si="850"/>
        <v>0</v>
      </c>
      <c r="AZ709" s="1120">
        <f t="shared" si="851"/>
        <v>0</v>
      </c>
      <c r="BA709" s="1120">
        <f t="shared" si="852"/>
        <v>0</v>
      </c>
      <c r="BB709" s="1120">
        <f t="shared" si="853"/>
        <v>1</v>
      </c>
      <c r="BC709" s="1120">
        <f t="shared" si="854"/>
        <v>1</v>
      </c>
      <c r="BD709" s="1120">
        <f t="shared" si="855"/>
        <v>1</v>
      </c>
      <c r="BE709" s="1120">
        <f t="shared" si="856"/>
        <v>1</v>
      </c>
      <c r="BF709" s="1120">
        <f t="shared" si="857"/>
        <v>1</v>
      </c>
      <c r="BG709" s="1120">
        <f t="shared" si="858"/>
        <v>1</v>
      </c>
      <c r="BH709" s="1120">
        <f t="shared" si="859"/>
        <v>1</v>
      </c>
      <c r="BI709" s="1120">
        <f t="shared" si="860"/>
        <v>1</v>
      </c>
      <c r="BJ709" s="1120">
        <f t="shared" si="861"/>
        <v>0</v>
      </c>
      <c r="BK709" s="1120">
        <f t="shared" si="862"/>
        <v>1</v>
      </c>
      <c r="BL709" s="1120">
        <f t="shared" si="863"/>
        <v>1</v>
      </c>
      <c r="BM709" s="1120">
        <f t="shared" si="864"/>
        <v>1</v>
      </c>
      <c r="BN709" s="1120">
        <f t="shared" si="865"/>
        <v>1</v>
      </c>
      <c r="BO709" s="1120">
        <f t="shared" si="866"/>
        <v>0</v>
      </c>
      <c r="BP709" s="1120">
        <f t="shared" si="867"/>
        <v>0</v>
      </c>
      <c r="BQ709" s="1120">
        <f t="shared" si="868"/>
        <v>0</v>
      </c>
      <c r="BR709" s="1120">
        <f t="shared" si="869"/>
        <v>0</v>
      </c>
      <c r="BS709" s="1120">
        <f t="shared" si="870"/>
        <v>0</v>
      </c>
      <c r="BT709" s="1120">
        <f t="shared" si="871"/>
        <v>0</v>
      </c>
      <c r="BU709" s="1120">
        <f t="shared" si="872"/>
        <v>0</v>
      </c>
      <c r="BV709" s="1120">
        <f t="shared" si="873"/>
        <v>1</v>
      </c>
      <c r="BW709" s="1120">
        <f t="shared" si="874"/>
        <v>0</v>
      </c>
      <c r="BX709" s="1120">
        <f t="shared" si="875"/>
        <v>0</v>
      </c>
      <c r="BY709" s="1120">
        <f t="shared" si="876"/>
        <v>1</v>
      </c>
      <c r="BZ709" s="1120">
        <f t="shared" si="877"/>
        <v>1</v>
      </c>
      <c r="CA709" s="1120">
        <f t="shared" si="878"/>
        <v>1</v>
      </c>
      <c r="CB709" s="1120">
        <f t="shared" si="879"/>
        <v>1</v>
      </c>
      <c r="CC709" s="1120">
        <f t="shared" si="880"/>
        <v>1</v>
      </c>
      <c r="CD709" s="1120">
        <f t="shared" si="881"/>
        <v>1</v>
      </c>
      <c r="CE709" s="1120">
        <f t="shared" si="882"/>
        <v>1</v>
      </c>
      <c r="CF709" s="1120">
        <f t="shared" si="883"/>
        <v>1</v>
      </c>
      <c r="CG709" s="1120">
        <f t="shared" si="884"/>
        <v>1</v>
      </c>
      <c r="CH709" s="1120">
        <f t="shared" si="885"/>
        <v>1</v>
      </c>
      <c r="CI709" s="1120">
        <f t="shared" si="886"/>
        <v>0.85</v>
      </c>
      <c r="CJ709" s="1120">
        <f t="shared" si="887"/>
        <v>0.85</v>
      </c>
      <c r="CK709" s="1120">
        <f t="shared" si="888"/>
        <v>0.85</v>
      </c>
      <c r="CL709" s="1120">
        <f t="shared" si="889"/>
        <v>0.85</v>
      </c>
      <c r="CM709" s="1120">
        <f t="shared" si="890"/>
        <v>0.7</v>
      </c>
      <c r="CN709" s="1120">
        <f t="shared" si="891"/>
        <v>0.7</v>
      </c>
      <c r="CO709" s="1120">
        <f t="shared" si="892"/>
        <v>0.7</v>
      </c>
      <c r="CP709" s="1120">
        <f t="shared" si="893"/>
        <v>0.7</v>
      </c>
      <c r="CQ709" s="1120">
        <f t="shared" si="894"/>
        <v>0.7</v>
      </c>
      <c r="CR709" s="1120">
        <f t="shared" si="895"/>
        <v>0.7</v>
      </c>
      <c r="CS709" s="1120">
        <f t="shared" si="896"/>
        <v>0.7</v>
      </c>
      <c r="CT709" s="1120">
        <f t="shared" si="897"/>
        <v>0.85</v>
      </c>
      <c r="CU709" s="1120">
        <v>1</v>
      </c>
      <c r="CV709" s="1120"/>
      <c r="CW709" s="1120">
        <f t="shared" si="898"/>
        <v>306</v>
      </c>
      <c r="CX709" s="1120">
        <f t="shared" si="899"/>
        <v>59</v>
      </c>
      <c r="CY709" s="1135" t="s">
        <v>4883</v>
      </c>
      <c r="CZ709" s="1124" t="s">
        <v>4884</v>
      </c>
      <c r="DA709" s="1124"/>
      <c r="DB709" s="1124"/>
      <c r="DC709" s="1120" t="s">
        <v>5608</v>
      </c>
      <c r="DD709" s="1120" t="s">
        <v>228</v>
      </c>
      <c r="DE709" s="1120" t="str">
        <f t="shared" si="825"/>
        <v/>
      </c>
      <c r="DF709" s="1133">
        <v>0</v>
      </c>
      <c r="DG709" s="1125">
        <v>0</v>
      </c>
    </row>
    <row r="710" spans="1:111">
      <c r="A710" s="1120" t="s">
        <v>4122</v>
      </c>
      <c r="B710" s="1125" t="s">
        <v>3156</v>
      </c>
      <c r="C710" s="1125" t="s">
        <v>3157</v>
      </c>
      <c r="D710" s="1125" t="s">
        <v>954</v>
      </c>
      <c r="E710" s="1125">
        <v>476</v>
      </c>
      <c r="F710" s="1125">
        <v>-116.5</v>
      </c>
      <c r="G710" s="1125">
        <v>33.83</v>
      </c>
      <c r="H710" s="1125">
        <v>-8</v>
      </c>
      <c r="I710" s="1126">
        <v>44.779999828338624</v>
      </c>
      <c r="J710" s="1126">
        <v>109.03999862670899</v>
      </c>
      <c r="K710" s="1127">
        <v>72.139998626708987</v>
      </c>
      <c r="L710" s="1125">
        <v>608.4</v>
      </c>
      <c r="M710" s="1125">
        <v>4593.6000000000004</v>
      </c>
      <c r="N710" s="1128">
        <v>57.740000343322755</v>
      </c>
      <c r="O710" s="1128">
        <v>59.540000343322752</v>
      </c>
      <c r="P710" s="1128">
        <v>67.099999999999994</v>
      </c>
      <c r="Q710" s="1128">
        <v>73.939998626708984</v>
      </c>
      <c r="R710" s="1128">
        <v>81.680000686645513</v>
      </c>
      <c r="S710" s="1128">
        <v>89.239998626708982</v>
      </c>
      <c r="T710" s="1128">
        <v>94.279997253417974</v>
      </c>
      <c r="U710" s="1128">
        <v>94.100000000000009</v>
      </c>
      <c r="V710" s="1128">
        <v>85.639998626708987</v>
      </c>
      <c r="W710" s="1128">
        <v>73.400000000000006</v>
      </c>
      <c r="X710" s="1128">
        <v>66.560001373291016</v>
      </c>
      <c r="Y710" s="1128">
        <v>59.359999656677246</v>
      </c>
      <c r="Z710" s="1128">
        <v>75.304054420157655</v>
      </c>
      <c r="AA710" s="1128">
        <f t="shared" si="826"/>
        <v>68.303146007884763</v>
      </c>
      <c r="AB710" s="1128">
        <f t="shared" si="827"/>
        <v>69.588848195962214</v>
      </c>
      <c r="AC710" s="1128">
        <f t="shared" si="828"/>
        <v>73.928299423168909</v>
      </c>
      <c r="AD710" s="1128">
        <f t="shared" si="829"/>
        <v>80.190354854165818</v>
      </c>
      <c r="AE710" s="1128">
        <f t="shared" si="830"/>
        <v>86.742713239668305</v>
      </c>
      <c r="AF710" s="1128">
        <f t="shared" si="831"/>
        <v>91.877401391595967</v>
      </c>
      <c r="AG710" s="1128">
        <f t="shared" si="832"/>
        <v>94.25598371520924</v>
      </c>
      <c r="AH710" s="1128">
        <f t="shared" si="833"/>
        <v>93.258446072795181</v>
      </c>
      <c r="AI710" s="1128">
        <f t="shared" si="834"/>
        <v>89.144812023369411</v>
      </c>
      <c r="AJ710" s="1128">
        <f t="shared" si="835"/>
        <v>82.987363674934358</v>
      </c>
      <c r="AK710" s="1128">
        <f t="shared" si="836"/>
        <v>76.39113482866091</v>
      </c>
      <c r="AL710" s="1128">
        <f t="shared" si="837"/>
        <v>71.07553418429373</v>
      </c>
      <c r="AM710" s="1125">
        <f t="shared" si="838"/>
        <v>1</v>
      </c>
      <c r="AN710" s="1125">
        <f t="shared" si="839"/>
        <v>1</v>
      </c>
      <c r="AO710" s="1125">
        <f t="shared" si="840"/>
        <v>0</v>
      </c>
      <c r="AP710" s="1125">
        <f t="shared" si="841"/>
        <v>0</v>
      </c>
      <c r="AQ710" s="1125">
        <f t="shared" si="842"/>
        <v>0</v>
      </c>
      <c r="AR710" s="1125">
        <f t="shared" si="843"/>
        <v>0</v>
      </c>
      <c r="AS710" s="1125">
        <f t="shared" si="844"/>
        <v>0</v>
      </c>
      <c r="AT710" s="1125">
        <f t="shared" si="845"/>
        <v>0</v>
      </c>
      <c r="AU710" s="1125">
        <f t="shared" si="846"/>
        <v>0</v>
      </c>
      <c r="AV710" s="1125">
        <f t="shared" si="847"/>
        <v>0</v>
      </c>
      <c r="AW710" s="1125">
        <f t="shared" si="848"/>
        <v>0</v>
      </c>
      <c r="AX710" s="1125">
        <f t="shared" si="849"/>
        <v>1</v>
      </c>
      <c r="AY710" s="1125">
        <f t="shared" si="850"/>
        <v>0</v>
      </c>
      <c r="AZ710" s="1125">
        <f t="shared" si="851"/>
        <v>0</v>
      </c>
      <c r="BA710" s="1125">
        <f t="shared" si="852"/>
        <v>1</v>
      </c>
      <c r="BB710" s="1125">
        <f t="shared" si="853"/>
        <v>1</v>
      </c>
      <c r="BC710" s="1125">
        <f t="shared" si="854"/>
        <v>1</v>
      </c>
      <c r="BD710" s="1125">
        <f t="shared" si="855"/>
        <v>1</v>
      </c>
      <c r="BE710" s="1125">
        <f t="shared" si="856"/>
        <v>1</v>
      </c>
      <c r="BF710" s="1125">
        <f t="shared" si="857"/>
        <v>1</v>
      </c>
      <c r="BG710" s="1125">
        <f t="shared" si="858"/>
        <v>1</v>
      </c>
      <c r="BH710" s="1125">
        <f t="shared" si="859"/>
        <v>1</v>
      </c>
      <c r="BI710" s="1125">
        <f t="shared" si="860"/>
        <v>1</v>
      </c>
      <c r="BJ710" s="1125">
        <f t="shared" si="861"/>
        <v>0</v>
      </c>
      <c r="BK710" s="1125">
        <f t="shared" si="862"/>
        <v>1</v>
      </c>
      <c r="BL710" s="1125">
        <f t="shared" si="863"/>
        <v>1</v>
      </c>
      <c r="BM710" s="1125">
        <f t="shared" si="864"/>
        <v>1</v>
      </c>
      <c r="BN710" s="1125">
        <f t="shared" si="865"/>
        <v>0</v>
      </c>
      <c r="BO710" s="1125">
        <f t="shared" si="866"/>
        <v>0</v>
      </c>
      <c r="BP710" s="1125">
        <f t="shared" si="867"/>
        <v>0</v>
      </c>
      <c r="BQ710" s="1125">
        <f t="shared" si="868"/>
        <v>0</v>
      </c>
      <c r="BR710" s="1125">
        <f t="shared" si="869"/>
        <v>0</v>
      </c>
      <c r="BS710" s="1125">
        <f t="shared" si="870"/>
        <v>0</v>
      </c>
      <c r="BT710" s="1125">
        <f t="shared" si="871"/>
        <v>0</v>
      </c>
      <c r="BU710" s="1125">
        <f t="shared" si="872"/>
        <v>0</v>
      </c>
      <c r="BV710" s="1125">
        <f t="shared" si="873"/>
        <v>1</v>
      </c>
      <c r="BW710" s="1125">
        <f t="shared" si="874"/>
        <v>0</v>
      </c>
      <c r="BX710" s="1125">
        <f t="shared" si="875"/>
        <v>1</v>
      </c>
      <c r="BY710" s="1125">
        <f t="shared" si="876"/>
        <v>1</v>
      </c>
      <c r="BZ710" s="1125">
        <f t="shared" si="877"/>
        <v>1</v>
      </c>
      <c r="CA710" s="1125">
        <f t="shared" si="878"/>
        <v>1</v>
      </c>
      <c r="CB710" s="1125">
        <f t="shared" si="879"/>
        <v>1</v>
      </c>
      <c r="CC710" s="1125">
        <f t="shared" si="880"/>
        <v>1</v>
      </c>
      <c r="CD710" s="1125">
        <f t="shared" si="881"/>
        <v>1</v>
      </c>
      <c r="CE710" s="1125">
        <f t="shared" si="882"/>
        <v>1</v>
      </c>
      <c r="CF710" s="1125">
        <f t="shared" si="883"/>
        <v>1</v>
      </c>
      <c r="CG710" s="1125">
        <f t="shared" si="884"/>
        <v>1</v>
      </c>
      <c r="CH710" s="1125">
        <f t="shared" si="885"/>
        <v>1</v>
      </c>
      <c r="CI710" s="1125">
        <f t="shared" si="886"/>
        <v>0.85</v>
      </c>
      <c r="CJ710" s="1125">
        <f t="shared" si="887"/>
        <v>0.85</v>
      </c>
      <c r="CK710" s="1125">
        <f t="shared" si="888"/>
        <v>0.85</v>
      </c>
      <c r="CL710" s="1125">
        <f t="shared" si="889"/>
        <v>0.7</v>
      </c>
      <c r="CM710" s="1125">
        <f t="shared" si="890"/>
        <v>0.7</v>
      </c>
      <c r="CN710" s="1125">
        <f t="shared" si="891"/>
        <v>0.7</v>
      </c>
      <c r="CO710" s="1125">
        <f t="shared" si="892"/>
        <v>0.7</v>
      </c>
      <c r="CP710" s="1125">
        <f t="shared" si="893"/>
        <v>0.7</v>
      </c>
      <c r="CQ710" s="1125">
        <f t="shared" si="894"/>
        <v>0.7</v>
      </c>
      <c r="CR710" s="1125">
        <f t="shared" si="895"/>
        <v>0.7</v>
      </c>
      <c r="CS710" s="1125">
        <f t="shared" si="896"/>
        <v>0.7</v>
      </c>
      <c r="CT710" s="1125">
        <f t="shared" si="897"/>
        <v>0.85</v>
      </c>
      <c r="CU710" s="1125">
        <v>1</v>
      </c>
      <c r="CV710" s="1125"/>
      <c r="CW710" s="1125">
        <f t="shared" si="898"/>
        <v>334</v>
      </c>
      <c r="CX710" s="1125">
        <f t="shared" si="899"/>
        <v>31</v>
      </c>
      <c r="CY710" s="1135" t="s">
        <v>4886</v>
      </c>
      <c r="CZ710" s="1124" t="s">
        <v>4888</v>
      </c>
      <c r="DA710" s="1124"/>
      <c r="DB710" s="1124"/>
      <c r="DC710" s="1120" t="s">
        <v>5042</v>
      </c>
      <c r="DD710" s="1120" t="s">
        <v>954</v>
      </c>
      <c r="DE710" s="1120" t="str">
        <f t="shared" si="825"/>
        <v/>
      </c>
      <c r="DF710" s="1125">
        <v>0</v>
      </c>
      <c r="DG710" s="1120">
        <v>0</v>
      </c>
    </row>
    <row r="711" spans="1:111">
      <c r="A711" s="1125" t="s">
        <v>4124</v>
      </c>
      <c r="B711" s="1120" t="s">
        <v>3154</v>
      </c>
      <c r="C711" s="1120" t="s">
        <v>3155</v>
      </c>
      <c r="D711" s="1120" t="s">
        <v>954</v>
      </c>
      <c r="E711" s="1120">
        <v>-112</v>
      </c>
      <c r="F711" s="1120">
        <v>-116.17</v>
      </c>
      <c r="G711" s="1120">
        <v>33.630000000000003</v>
      </c>
      <c r="H711" s="1120">
        <v>-8</v>
      </c>
      <c r="I711" s="1121">
        <v>34.160000085830688</v>
      </c>
      <c r="J711" s="1121">
        <v>108.86000137329101</v>
      </c>
      <c r="K711" s="1122">
        <v>72.680000686645513</v>
      </c>
      <c r="L711" s="1120">
        <v>1092.6000000000001</v>
      </c>
      <c r="M711" s="1120">
        <v>4271.4000000000005</v>
      </c>
      <c r="N711" s="1123">
        <v>53.780000686645508</v>
      </c>
      <c r="O711" s="1123">
        <v>56.480000686645511</v>
      </c>
      <c r="P711" s="1123">
        <v>66.019999313354489</v>
      </c>
      <c r="Q711" s="1123">
        <v>72.860001373291013</v>
      </c>
      <c r="R711" s="1123">
        <v>80.780000686645508</v>
      </c>
      <c r="S711" s="1123">
        <v>88.7</v>
      </c>
      <c r="T711" s="1123">
        <v>92.120002746582031</v>
      </c>
      <c r="U711" s="1123">
        <v>91.579997253417972</v>
      </c>
      <c r="V711" s="1123">
        <v>87.439998626708984</v>
      </c>
      <c r="W711" s="1123">
        <v>70.16000137329101</v>
      </c>
      <c r="X711" s="1123">
        <v>62.6</v>
      </c>
      <c r="Y711" s="1123">
        <v>53.6</v>
      </c>
      <c r="Z711" s="1123">
        <v>73.092274200230435</v>
      </c>
      <c r="AA711" s="1123">
        <f t="shared" si="826"/>
        <v>65.853812977675886</v>
      </c>
      <c r="AB711" s="1123">
        <f t="shared" si="827"/>
        <v>66.912532129256149</v>
      </c>
      <c r="AC711" s="1123">
        <f t="shared" si="828"/>
        <v>71.14608874714267</v>
      </c>
      <c r="AD711" s="1123">
        <f t="shared" si="829"/>
        <v>77.450941057801018</v>
      </c>
      <c r="AE711" s="1123">
        <f t="shared" si="830"/>
        <v>84.183632145742948</v>
      </c>
      <c r="AF711" s="1123">
        <f t="shared" si="831"/>
        <v>89.589182324986126</v>
      </c>
      <c r="AG711" s="1123">
        <f t="shared" si="832"/>
        <v>92.258551639261043</v>
      </c>
      <c r="AH711" s="1123">
        <f t="shared" si="833"/>
        <v>91.495927840575604</v>
      </c>
      <c r="AI711" s="1123">
        <f t="shared" si="834"/>
        <v>87.500100574445653</v>
      </c>
      <c r="AJ711" s="1123">
        <f t="shared" si="835"/>
        <v>81.31264379535007</v>
      </c>
      <c r="AK711" s="1123">
        <f t="shared" si="836"/>
        <v>74.546413464355354</v>
      </c>
      <c r="AL711" s="1123">
        <f t="shared" si="837"/>
        <v>68.965131788000946</v>
      </c>
      <c r="AM711" s="1120">
        <f t="shared" si="838"/>
        <v>1</v>
      </c>
      <c r="AN711" s="1120">
        <f t="shared" si="839"/>
        <v>1</v>
      </c>
      <c r="AO711" s="1120">
        <f t="shared" si="840"/>
        <v>0</v>
      </c>
      <c r="AP711" s="1120">
        <f t="shared" si="841"/>
        <v>0</v>
      </c>
      <c r="AQ711" s="1120">
        <f t="shared" si="842"/>
        <v>0</v>
      </c>
      <c r="AR711" s="1120">
        <f t="shared" si="843"/>
        <v>0</v>
      </c>
      <c r="AS711" s="1120">
        <f t="shared" si="844"/>
        <v>0</v>
      </c>
      <c r="AT711" s="1120">
        <f t="shared" si="845"/>
        <v>0</v>
      </c>
      <c r="AU711" s="1120">
        <f t="shared" si="846"/>
        <v>0</v>
      </c>
      <c r="AV711" s="1120">
        <f t="shared" si="847"/>
        <v>0</v>
      </c>
      <c r="AW711" s="1120">
        <f t="shared" si="848"/>
        <v>1</v>
      </c>
      <c r="AX711" s="1120">
        <f t="shared" si="849"/>
        <v>1</v>
      </c>
      <c r="AY711" s="1120">
        <f t="shared" si="850"/>
        <v>0</v>
      </c>
      <c r="AZ711" s="1120">
        <f t="shared" si="851"/>
        <v>0</v>
      </c>
      <c r="BA711" s="1120">
        <f t="shared" si="852"/>
        <v>1</v>
      </c>
      <c r="BB711" s="1120">
        <f t="shared" si="853"/>
        <v>1</v>
      </c>
      <c r="BC711" s="1120">
        <f t="shared" si="854"/>
        <v>1</v>
      </c>
      <c r="BD711" s="1120">
        <f t="shared" si="855"/>
        <v>1</v>
      </c>
      <c r="BE711" s="1120">
        <f t="shared" si="856"/>
        <v>1</v>
      </c>
      <c r="BF711" s="1120">
        <f t="shared" si="857"/>
        <v>1</v>
      </c>
      <c r="BG711" s="1120">
        <f t="shared" si="858"/>
        <v>1</v>
      </c>
      <c r="BH711" s="1120">
        <f t="shared" si="859"/>
        <v>1</v>
      </c>
      <c r="BI711" s="1120">
        <f t="shared" si="860"/>
        <v>0</v>
      </c>
      <c r="BJ711" s="1120">
        <f t="shared" si="861"/>
        <v>0</v>
      </c>
      <c r="BK711" s="1120">
        <f t="shared" si="862"/>
        <v>1</v>
      </c>
      <c r="BL711" s="1120">
        <f t="shared" si="863"/>
        <v>1</v>
      </c>
      <c r="BM711" s="1120">
        <f t="shared" si="864"/>
        <v>1</v>
      </c>
      <c r="BN711" s="1120">
        <f t="shared" si="865"/>
        <v>0</v>
      </c>
      <c r="BO711" s="1120">
        <f t="shared" si="866"/>
        <v>0</v>
      </c>
      <c r="BP711" s="1120">
        <f t="shared" si="867"/>
        <v>0</v>
      </c>
      <c r="BQ711" s="1120">
        <f t="shared" si="868"/>
        <v>0</v>
      </c>
      <c r="BR711" s="1120">
        <f t="shared" si="869"/>
        <v>0</v>
      </c>
      <c r="BS711" s="1120">
        <f t="shared" si="870"/>
        <v>0</v>
      </c>
      <c r="BT711" s="1120">
        <f t="shared" si="871"/>
        <v>0</v>
      </c>
      <c r="BU711" s="1120">
        <f t="shared" si="872"/>
        <v>1</v>
      </c>
      <c r="BV711" s="1120">
        <f t="shared" si="873"/>
        <v>1</v>
      </c>
      <c r="BW711" s="1120">
        <f t="shared" si="874"/>
        <v>0</v>
      </c>
      <c r="BX711" s="1120">
        <f t="shared" si="875"/>
        <v>1</v>
      </c>
      <c r="BY711" s="1120">
        <f t="shared" si="876"/>
        <v>1</v>
      </c>
      <c r="BZ711" s="1120">
        <f t="shared" si="877"/>
        <v>1</v>
      </c>
      <c r="CA711" s="1120">
        <f t="shared" si="878"/>
        <v>1</v>
      </c>
      <c r="CB711" s="1120">
        <f t="shared" si="879"/>
        <v>1</v>
      </c>
      <c r="CC711" s="1120">
        <f t="shared" si="880"/>
        <v>1</v>
      </c>
      <c r="CD711" s="1120">
        <f t="shared" si="881"/>
        <v>1</v>
      </c>
      <c r="CE711" s="1120">
        <f t="shared" si="882"/>
        <v>1</v>
      </c>
      <c r="CF711" s="1120">
        <f t="shared" si="883"/>
        <v>1</v>
      </c>
      <c r="CG711" s="1120">
        <f t="shared" si="884"/>
        <v>1</v>
      </c>
      <c r="CH711" s="1120">
        <f t="shared" si="885"/>
        <v>0</v>
      </c>
      <c r="CI711" s="1120">
        <f t="shared" si="886"/>
        <v>0.85</v>
      </c>
      <c r="CJ711" s="1120">
        <f t="shared" si="887"/>
        <v>0.85</v>
      </c>
      <c r="CK711" s="1120">
        <f t="shared" si="888"/>
        <v>0.85</v>
      </c>
      <c r="CL711" s="1120">
        <f t="shared" si="889"/>
        <v>0.7</v>
      </c>
      <c r="CM711" s="1120">
        <f t="shared" si="890"/>
        <v>0.7</v>
      </c>
      <c r="CN711" s="1120">
        <f t="shared" si="891"/>
        <v>0.7</v>
      </c>
      <c r="CO711" s="1120">
        <f t="shared" si="892"/>
        <v>0.7</v>
      </c>
      <c r="CP711" s="1120">
        <f t="shared" si="893"/>
        <v>0.7</v>
      </c>
      <c r="CQ711" s="1120">
        <f t="shared" si="894"/>
        <v>0.7</v>
      </c>
      <c r="CR711" s="1120">
        <f t="shared" si="895"/>
        <v>0.7</v>
      </c>
      <c r="CS711" s="1120">
        <f t="shared" si="896"/>
        <v>0.85</v>
      </c>
      <c r="CT711" s="1120">
        <f t="shared" si="897"/>
        <v>0.85</v>
      </c>
      <c r="CU711" s="1120">
        <v>1</v>
      </c>
      <c r="CV711" s="1120"/>
      <c r="CW711" s="1120">
        <f t="shared" si="898"/>
        <v>303</v>
      </c>
      <c r="CX711" s="1120">
        <f t="shared" si="899"/>
        <v>62</v>
      </c>
      <c r="CY711" s="1136" t="s">
        <v>4886</v>
      </c>
      <c r="CZ711" s="1129" t="s">
        <v>4888</v>
      </c>
      <c r="DA711" s="1129"/>
      <c r="DB711" s="1129"/>
      <c r="DC711" s="1125" t="s">
        <v>5043</v>
      </c>
      <c r="DD711" s="1125" t="s">
        <v>954</v>
      </c>
      <c r="DE711" s="1120" t="str">
        <f t="shared" si="825"/>
        <v/>
      </c>
      <c r="DF711" s="1120">
        <v>0</v>
      </c>
      <c r="DG711" s="1125">
        <v>0</v>
      </c>
    </row>
    <row r="712" spans="1:111">
      <c r="A712" s="1120" t="s">
        <v>4126</v>
      </c>
      <c r="B712" s="1125" t="s">
        <v>3158</v>
      </c>
      <c r="C712" s="1125" t="s">
        <v>3159</v>
      </c>
      <c r="D712" s="1125" t="s">
        <v>954</v>
      </c>
      <c r="E712" s="1125">
        <v>2522</v>
      </c>
      <c r="F712" s="1125">
        <v>-118.08</v>
      </c>
      <c r="G712" s="1125">
        <v>34.630000000000003</v>
      </c>
      <c r="H712" s="1125">
        <v>-8</v>
      </c>
      <c r="I712" s="1126">
        <v>26.420000171661378</v>
      </c>
      <c r="J712" s="1126">
        <v>102.02000274658204</v>
      </c>
      <c r="K712" s="1127">
        <v>66.019999313354489</v>
      </c>
      <c r="L712" s="1125">
        <v>2851.2000000000003</v>
      </c>
      <c r="M712" s="1125">
        <v>23.400000000000002</v>
      </c>
      <c r="N712" s="1128">
        <v>43.879999828338626</v>
      </c>
      <c r="O712" s="1128">
        <v>47.3</v>
      </c>
      <c r="P712" s="1128">
        <v>51.619999313354491</v>
      </c>
      <c r="Q712" s="1128">
        <v>61.880000686645509</v>
      </c>
      <c r="R712" s="1128">
        <v>70.33999862670899</v>
      </c>
      <c r="S712" s="1128">
        <v>77.360001373291013</v>
      </c>
      <c r="T712" s="1128">
        <v>82.219999313354492</v>
      </c>
      <c r="U712" s="1128">
        <v>81.319999313354487</v>
      </c>
      <c r="V712" s="1128">
        <v>76.280000686645508</v>
      </c>
      <c r="W712" s="1128">
        <v>61.7</v>
      </c>
      <c r="X712" s="1128">
        <v>49.640000343322754</v>
      </c>
      <c r="Y712" s="1128">
        <v>44.779999828338624</v>
      </c>
      <c r="Z712" s="1128">
        <v>62.440712261983791</v>
      </c>
      <c r="AA712" s="1128">
        <f t="shared" si="826"/>
        <v>57.689440663126561</v>
      </c>
      <c r="AB712" s="1128">
        <f t="shared" si="827"/>
        <v>57.53597623113032</v>
      </c>
      <c r="AC712" s="1128">
        <f t="shared" si="828"/>
        <v>60.224999292645023</v>
      </c>
      <c r="AD712" s="1128">
        <f t="shared" si="829"/>
        <v>65.055574547587113</v>
      </c>
      <c r="AE712" s="1128">
        <f t="shared" si="830"/>
        <v>70.768538114337943</v>
      </c>
      <c r="AF712" s="1128">
        <f t="shared" si="831"/>
        <v>75.87471799979042</v>
      </c>
      <c r="AG712" s="1128">
        <f t="shared" si="832"/>
        <v>79.043109728187432</v>
      </c>
      <c r="AH712" s="1128">
        <f t="shared" si="833"/>
        <v>79.447823169127801</v>
      </c>
      <c r="AI712" s="1128">
        <f t="shared" si="834"/>
        <v>76.983363527407505</v>
      </c>
      <c r="AJ712" s="1128">
        <f t="shared" si="835"/>
        <v>72.292130187113628</v>
      </c>
      <c r="AK712" s="1128">
        <f t="shared" si="836"/>
        <v>66.596965412487833</v>
      </c>
      <c r="AL712" s="1128">
        <f t="shared" si="837"/>
        <v>61.382401667182194</v>
      </c>
      <c r="AM712" s="1125">
        <f t="shared" si="838"/>
        <v>1</v>
      </c>
      <c r="AN712" s="1125">
        <f t="shared" si="839"/>
        <v>1</v>
      </c>
      <c r="AO712" s="1125">
        <f t="shared" si="840"/>
        <v>1</v>
      </c>
      <c r="AP712" s="1125">
        <f t="shared" si="841"/>
        <v>1</v>
      </c>
      <c r="AQ712" s="1125">
        <f t="shared" si="842"/>
        <v>0</v>
      </c>
      <c r="AR712" s="1125">
        <f t="shared" si="843"/>
        <v>0</v>
      </c>
      <c r="AS712" s="1125">
        <f t="shared" si="844"/>
        <v>0</v>
      </c>
      <c r="AT712" s="1125">
        <f t="shared" si="845"/>
        <v>0</v>
      </c>
      <c r="AU712" s="1125">
        <f t="shared" si="846"/>
        <v>0</v>
      </c>
      <c r="AV712" s="1125">
        <f t="shared" si="847"/>
        <v>1</v>
      </c>
      <c r="AW712" s="1125">
        <f t="shared" si="848"/>
        <v>1</v>
      </c>
      <c r="AX712" s="1125">
        <f t="shared" si="849"/>
        <v>1</v>
      </c>
      <c r="AY712" s="1125">
        <f t="shared" si="850"/>
        <v>0</v>
      </c>
      <c r="AZ712" s="1125">
        <f t="shared" si="851"/>
        <v>0</v>
      </c>
      <c r="BA712" s="1125">
        <f t="shared" si="852"/>
        <v>0</v>
      </c>
      <c r="BB712" s="1125">
        <f t="shared" si="853"/>
        <v>0</v>
      </c>
      <c r="BC712" s="1125">
        <f t="shared" si="854"/>
        <v>1</v>
      </c>
      <c r="BD712" s="1125">
        <f t="shared" si="855"/>
        <v>1</v>
      </c>
      <c r="BE712" s="1125">
        <f t="shared" si="856"/>
        <v>1</v>
      </c>
      <c r="BF712" s="1125">
        <f t="shared" si="857"/>
        <v>1</v>
      </c>
      <c r="BG712" s="1125">
        <f t="shared" si="858"/>
        <v>1</v>
      </c>
      <c r="BH712" s="1125">
        <f t="shared" si="859"/>
        <v>0</v>
      </c>
      <c r="BI712" s="1125">
        <f t="shared" si="860"/>
        <v>0</v>
      </c>
      <c r="BJ712" s="1125">
        <f t="shared" si="861"/>
        <v>0</v>
      </c>
      <c r="BK712" s="1125">
        <f t="shared" si="862"/>
        <v>1</v>
      </c>
      <c r="BL712" s="1125">
        <f t="shared" si="863"/>
        <v>1</v>
      </c>
      <c r="BM712" s="1125">
        <f t="shared" si="864"/>
        <v>1</v>
      </c>
      <c r="BN712" s="1125">
        <f t="shared" si="865"/>
        <v>1</v>
      </c>
      <c r="BO712" s="1125">
        <f t="shared" si="866"/>
        <v>1</v>
      </c>
      <c r="BP712" s="1125">
        <f t="shared" si="867"/>
        <v>0</v>
      </c>
      <c r="BQ712" s="1125">
        <f t="shared" si="868"/>
        <v>0</v>
      </c>
      <c r="BR712" s="1125">
        <f t="shared" si="869"/>
        <v>0</v>
      </c>
      <c r="BS712" s="1125">
        <f t="shared" si="870"/>
        <v>0</v>
      </c>
      <c r="BT712" s="1125">
        <f t="shared" si="871"/>
        <v>1</v>
      </c>
      <c r="BU712" s="1125">
        <f t="shared" si="872"/>
        <v>1</v>
      </c>
      <c r="BV712" s="1125">
        <f t="shared" si="873"/>
        <v>1</v>
      </c>
      <c r="BW712" s="1125">
        <f t="shared" si="874"/>
        <v>0</v>
      </c>
      <c r="BX712" s="1125">
        <f t="shared" si="875"/>
        <v>0</v>
      </c>
      <c r="BY712" s="1125">
        <f t="shared" si="876"/>
        <v>0</v>
      </c>
      <c r="BZ712" s="1125">
        <f t="shared" si="877"/>
        <v>1</v>
      </c>
      <c r="CA712" s="1125">
        <f t="shared" si="878"/>
        <v>1</v>
      </c>
      <c r="CB712" s="1125">
        <f t="shared" si="879"/>
        <v>1</v>
      </c>
      <c r="CC712" s="1125">
        <f t="shared" si="880"/>
        <v>1</v>
      </c>
      <c r="CD712" s="1125">
        <f t="shared" si="881"/>
        <v>1</v>
      </c>
      <c r="CE712" s="1125">
        <f t="shared" si="882"/>
        <v>1</v>
      </c>
      <c r="CF712" s="1125">
        <f t="shared" si="883"/>
        <v>1</v>
      </c>
      <c r="CG712" s="1125">
        <f t="shared" si="884"/>
        <v>0</v>
      </c>
      <c r="CH712" s="1125">
        <f t="shared" si="885"/>
        <v>0</v>
      </c>
      <c r="CI712" s="1125">
        <f t="shared" si="886"/>
        <v>0.85</v>
      </c>
      <c r="CJ712" s="1125">
        <f t="shared" si="887"/>
        <v>0.85</v>
      </c>
      <c r="CK712" s="1125">
        <f t="shared" si="888"/>
        <v>0.85</v>
      </c>
      <c r="CL712" s="1125">
        <f t="shared" si="889"/>
        <v>0.85</v>
      </c>
      <c r="CM712" s="1125">
        <f t="shared" si="890"/>
        <v>0.85</v>
      </c>
      <c r="CN712" s="1125">
        <f t="shared" si="891"/>
        <v>0.7</v>
      </c>
      <c r="CO712" s="1125">
        <f t="shared" si="892"/>
        <v>0.7</v>
      </c>
      <c r="CP712" s="1125">
        <f t="shared" si="893"/>
        <v>0.7</v>
      </c>
      <c r="CQ712" s="1125">
        <f t="shared" si="894"/>
        <v>0.7</v>
      </c>
      <c r="CR712" s="1125">
        <f t="shared" si="895"/>
        <v>0.85</v>
      </c>
      <c r="CS712" s="1125">
        <f t="shared" si="896"/>
        <v>0.85</v>
      </c>
      <c r="CT712" s="1125">
        <f t="shared" si="897"/>
        <v>0.85</v>
      </c>
      <c r="CU712" s="1125">
        <v>1</v>
      </c>
      <c r="CV712" s="1125"/>
      <c r="CW712" s="1125">
        <f t="shared" si="898"/>
        <v>214</v>
      </c>
      <c r="CX712" s="1125">
        <f t="shared" si="899"/>
        <v>151</v>
      </c>
      <c r="CY712" s="1135" t="s">
        <v>4886</v>
      </c>
      <c r="CZ712" s="1124" t="s">
        <v>4888</v>
      </c>
      <c r="DA712" s="1124"/>
      <c r="DB712" s="1124"/>
      <c r="DC712" s="1120" t="s">
        <v>5044</v>
      </c>
      <c r="DD712" s="1120" t="s">
        <v>954</v>
      </c>
      <c r="DE712" s="1120" t="str">
        <f t="shared" si="825"/>
        <v/>
      </c>
      <c r="DF712" s="1125">
        <v>0</v>
      </c>
      <c r="DG712" s="1120">
        <v>0</v>
      </c>
    </row>
    <row r="713" spans="1:111">
      <c r="A713" s="1125" t="s">
        <v>4128</v>
      </c>
      <c r="B713" s="1125" t="s">
        <v>2974</v>
      </c>
      <c r="C713" s="1125" t="s">
        <v>2975</v>
      </c>
      <c r="D713" s="1125" t="s">
        <v>953</v>
      </c>
      <c r="E713" s="1125">
        <v>233</v>
      </c>
      <c r="F713" s="1125">
        <v>-149.08000000000001</v>
      </c>
      <c r="G713" s="1125">
        <v>61.6</v>
      </c>
      <c r="H713" s="1125">
        <v>-9</v>
      </c>
      <c r="I713" s="1126">
        <v>-9.0399986267089858</v>
      </c>
      <c r="J713" s="1126">
        <v>71.780000686645508</v>
      </c>
      <c r="K713" s="1127">
        <v>58.459999656677248</v>
      </c>
      <c r="L713" s="1125">
        <v>8379</v>
      </c>
      <c r="M713" s="1125">
        <v>9</v>
      </c>
      <c r="N713" s="1128">
        <v>29.3</v>
      </c>
      <c r="O713" s="1128">
        <v>32.360000005364419</v>
      </c>
      <c r="P713" s="1128">
        <v>31.81999999731779</v>
      </c>
      <c r="Q713" s="1128">
        <v>40.459999656677248</v>
      </c>
      <c r="R713" s="1128">
        <v>45.320000171661377</v>
      </c>
      <c r="S713" s="1128">
        <v>56.659999656677243</v>
      </c>
      <c r="T713" s="1128">
        <v>58.1</v>
      </c>
      <c r="U713" s="1128">
        <v>58.1</v>
      </c>
      <c r="V713" s="1128">
        <v>48.2</v>
      </c>
      <c r="W713" s="1128">
        <v>33.799999999999997</v>
      </c>
      <c r="X713" s="1128">
        <v>36.320000171661377</v>
      </c>
      <c r="Y713" s="1128">
        <v>26.779999828338624</v>
      </c>
      <c r="Z713" s="1128">
        <v>41.466027355116523</v>
      </c>
      <c r="AA713" s="1128">
        <f t="shared" si="826"/>
        <v>42.780812826767558</v>
      </c>
      <c r="AB713" s="1128">
        <f t="shared" si="827"/>
        <v>41.648090791340927</v>
      </c>
      <c r="AC713" s="1128">
        <f t="shared" si="828"/>
        <v>42.03190357837876</v>
      </c>
      <c r="AD713" s="1128">
        <f t="shared" si="829"/>
        <v>43.832204470205539</v>
      </c>
      <c r="AE713" s="1128">
        <f t="shared" si="830"/>
        <v>46.579717295890106</v>
      </c>
      <c r="AF713" s="1128">
        <f t="shared" si="831"/>
        <v>49.558260496963484</v>
      </c>
      <c r="AG713" s="1128">
        <f t="shared" si="832"/>
        <v>51.99143088732577</v>
      </c>
      <c r="AH713" s="1128">
        <f t="shared" si="833"/>
        <v>53.244985108438314</v>
      </c>
      <c r="AI713" s="1128">
        <f t="shared" si="834"/>
        <v>52.992164934712847</v>
      </c>
      <c r="AJ713" s="1128">
        <f t="shared" si="835"/>
        <v>51.298871840507708</v>
      </c>
      <c r="AK713" s="1128">
        <f t="shared" si="836"/>
        <v>48.606488765263926</v>
      </c>
      <c r="AL713" s="1128">
        <f t="shared" si="837"/>
        <v>45.616826848422903</v>
      </c>
      <c r="AM713" s="1125">
        <f t="shared" si="838"/>
        <v>1</v>
      </c>
      <c r="AN713" s="1125">
        <f t="shared" si="839"/>
        <v>1</v>
      </c>
      <c r="AO713" s="1125">
        <f t="shared" si="840"/>
        <v>1</v>
      </c>
      <c r="AP713" s="1125">
        <f t="shared" si="841"/>
        <v>1</v>
      </c>
      <c r="AQ713" s="1125">
        <f t="shared" si="842"/>
        <v>1</v>
      </c>
      <c r="AR713" s="1125">
        <f t="shared" si="843"/>
        <v>1</v>
      </c>
      <c r="AS713" s="1125">
        <f t="shared" si="844"/>
        <v>1</v>
      </c>
      <c r="AT713" s="1125">
        <f t="shared" si="845"/>
        <v>1</v>
      </c>
      <c r="AU713" s="1125">
        <f t="shared" si="846"/>
        <v>1</v>
      </c>
      <c r="AV713" s="1125">
        <f t="shared" si="847"/>
        <v>1</v>
      </c>
      <c r="AW713" s="1125">
        <f t="shared" si="848"/>
        <v>1</v>
      </c>
      <c r="AX713" s="1125">
        <f t="shared" si="849"/>
        <v>1</v>
      </c>
      <c r="AY713" s="1125">
        <f t="shared" si="850"/>
        <v>0</v>
      </c>
      <c r="AZ713" s="1125">
        <f t="shared" si="851"/>
        <v>0</v>
      </c>
      <c r="BA713" s="1125">
        <f t="shared" si="852"/>
        <v>0</v>
      </c>
      <c r="BB713" s="1125">
        <f t="shared" si="853"/>
        <v>0</v>
      </c>
      <c r="BC713" s="1125">
        <f t="shared" si="854"/>
        <v>0</v>
      </c>
      <c r="BD713" s="1125">
        <f t="shared" si="855"/>
        <v>0</v>
      </c>
      <c r="BE713" s="1125">
        <f t="shared" si="856"/>
        <v>1</v>
      </c>
      <c r="BF713" s="1125">
        <f t="shared" si="857"/>
        <v>1</v>
      </c>
      <c r="BG713" s="1125">
        <f t="shared" si="858"/>
        <v>0</v>
      </c>
      <c r="BH713" s="1125">
        <f t="shared" si="859"/>
        <v>0</v>
      </c>
      <c r="BI713" s="1125">
        <f t="shared" si="860"/>
        <v>0</v>
      </c>
      <c r="BJ713" s="1125">
        <f t="shared" si="861"/>
        <v>0</v>
      </c>
      <c r="BK713" s="1125">
        <f t="shared" si="862"/>
        <v>1</v>
      </c>
      <c r="BL713" s="1125">
        <f t="shared" si="863"/>
        <v>1</v>
      </c>
      <c r="BM713" s="1125">
        <f t="shared" si="864"/>
        <v>1</v>
      </c>
      <c r="BN713" s="1125">
        <f t="shared" si="865"/>
        <v>1</v>
      </c>
      <c r="BO713" s="1125">
        <f t="shared" si="866"/>
        <v>1</v>
      </c>
      <c r="BP713" s="1125">
        <f t="shared" si="867"/>
        <v>1</v>
      </c>
      <c r="BQ713" s="1125">
        <f t="shared" si="868"/>
        <v>1</v>
      </c>
      <c r="BR713" s="1125">
        <f t="shared" si="869"/>
        <v>1</v>
      </c>
      <c r="BS713" s="1125">
        <f t="shared" si="870"/>
        <v>1</v>
      </c>
      <c r="BT713" s="1125">
        <f t="shared" si="871"/>
        <v>1</v>
      </c>
      <c r="BU713" s="1125">
        <f t="shared" si="872"/>
        <v>1</v>
      </c>
      <c r="BV713" s="1125">
        <f t="shared" si="873"/>
        <v>1</v>
      </c>
      <c r="BW713" s="1125">
        <f t="shared" si="874"/>
        <v>0</v>
      </c>
      <c r="BX713" s="1125">
        <f t="shared" si="875"/>
        <v>0</v>
      </c>
      <c r="BY713" s="1125">
        <f t="shared" si="876"/>
        <v>0</v>
      </c>
      <c r="BZ713" s="1125">
        <f t="shared" si="877"/>
        <v>0</v>
      </c>
      <c r="CA713" s="1125">
        <f t="shared" si="878"/>
        <v>0</v>
      </c>
      <c r="CB713" s="1125">
        <f t="shared" si="879"/>
        <v>0</v>
      </c>
      <c r="CC713" s="1125">
        <f t="shared" si="880"/>
        <v>1</v>
      </c>
      <c r="CD713" s="1125">
        <f t="shared" si="881"/>
        <v>1</v>
      </c>
      <c r="CE713" s="1125">
        <f t="shared" si="882"/>
        <v>0</v>
      </c>
      <c r="CF713" s="1125">
        <f t="shared" si="883"/>
        <v>0</v>
      </c>
      <c r="CG713" s="1125">
        <f t="shared" si="884"/>
        <v>0</v>
      </c>
      <c r="CH713" s="1125">
        <f t="shared" si="885"/>
        <v>0</v>
      </c>
      <c r="CI713" s="1125">
        <f t="shared" si="886"/>
        <v>0.85</v>
      </c>
      <c r="CJ713" s="1125">
        <f t="shared" si="887"/>
        <v>0.85</v>
      </c>
      <c r="CK713" s="1125">
        <f t="shared" si="888"/>
        <v>0.85</v>
      </c>
      <c r="CL713" s="1125">
        <f t="shared" si="889"/>
        <v>0.85</v>
      </c>
      <c r="CM713" s="1125">
        <f t="shared" si="890"/>
        <v>0.85</v>
      </c>
      <c r="CN713" s="1125">
        <f t="shared" si="891"/>
        <v>0.85</v>
      </c>
      <c r="CO713" s="1125">
        <f t="shared" si="892"/>
        <v>0.85</v>
      </c>
      <c r="CP713" s="1125">
        <f t="shared" si="893"/>
        <v>0.85</v>
      </c>
      <c r="CQ713" s="1125">
        <f t="shared" si="894"/>
        <v>0.85</v>
      </c>
      <c r="CR713" s="1125">
        <f t="shared" si="895"/>
        <v>0.85</v>
      </c>
      <c r="CS713" s="1125">
        <f t="shared" si="896"/>
        <v>0.85</v>
      </c>
      <c r="CT713" s="1125">
        <f t="shared" si="897"/>
        <v>0.85</v>
      </c>
      <c r="CU713" s="1125">
        <v>1</v>
      </c>
      <c r="CV713" s="1125"/>
      <c r="CW713" s="1125">
        <f t="shared" si="898"/>
        <v>62</v>
      </c>
      <c r="CX713" s="1125">
        <f t="shared" si="899"/>
        <v>303</v>
      </c>
      <c r="CY713" s="1136" t="s">
        <v>4879</v>
      </c>
      <c r="CZ713" s="1129">
        <v>7</v>
      </c>
      <c r="DA713" s="1129"/>
      <c r="DB713" s="1129"/>
      <c r="DC713" s="1125" t="s">
        <v>4952</v>
      </c>
      <c r="DD713" s="1125" t="s">
        <v>953</v>
      </c>
      <c r="DE713" s="1125" t="str">
        <f t="shared" si="825"/>
        <v/>
      </c>
      <c r="DF713" s="1125">
        <v>1</v>
      </c>
      <c r="DG713" s="1125">
        <v>0</v>
      </c>
    </row>
    <row r="714" spans="1:111">
      <c r="A714" s="1120" t="s">
        <v>4130</v>
      </c>
      <c r="B714" s="1125" t="s">
        <v>3318</v>
      </c>
      <c r="C714" s="1125" t="s">
        <v>3319</v>
      </c>
      <c r="D714" s="1125" t="s">
        <v>594</v>
      </c>
      <c r="E714" s="1125">
        <v>20</v>
      </c>
      <c r="F714" s="1125">
        <v>-85.68</v>
      </c>
      <c r="G714" s="1125">
        <v>30.2</v>
      </c>
      <c r="H714" s="1125">
        <v>-6</v>
      </c>
      <c r="I714" s="1126">
        <v>35.960000085830686</v>
      </c>
      <c r="J714" s="1126">
        <v>91.039998626708993</v>
      </c>
      <c r="K714" s="1127">
        <v>76.819999313354487</v>
      </c>
      <c r="L714" s="1125">
        <v>1207.8</v>
      </c>
      <c r="M714" s="1125">
        <v>2921.4</v>
      </c>
      <c r="N714" s="1128">
        <v>56.119999313354491</v>
      </c>
      <c r="O714" s="1128">
        <v>58.640000343322754</v>
      </c>
      <c r="P714" s="1128">
        <v>59.719999313354492</v>
      </c>
      <c r="Q714" s="1128">
        <v>65.480000686645511</v>
      </c>
      <c r="R714" s="1128">
        <v>77</v>
      </c>
      <c r="S714" s="1128">
        <v>80.419999313354495</v>
      </c>
      <c r="T714" s="1128">
        <v>82.939998626708984</v>
      </c>
      <c r="U714" s="1128">
        <v>82.760001373291018</v>
      </c>
      <c r="V714" s="1128">
        <v>78.439998626708984</v>
      </c>
      <c r="W714" s="1128">
        <v>69.619999313354498</v>
      </c>
      <c r="X714" s="1128">
        <v>65.3</v>
      </c>
      <c r="Y714" s="1128">
        <v>52.340000343322757</v>
      </c>
      <c r="Z714" s="1128">
        <v>69.114027164929539</v>
      </c>
      <c r="AA714" s="1128">
        <f t="shared" si="826"/>
        <v>65.29540697521432</v>
      </c>
      <c r="AB714" s="1128">
        <f t="shared" si="827"/>
        <v>65.742465329452472</v>
      </c>
      <c r="AC714" s="1128">
        <f t="shared" si="828"/>
        <v>68.632365696247163</v>
      </c>
      <c r="AD714" s="1128">
        <f t="shared" si="829"/>
        <v>73.211811010280655</v>
      </c>
      <c r="AE714" s="1128">
        <f t="shared" si="830"/>
        <v>78.287098279061652</v>
      </c>
      <c r="AF714" s="1128">
        <f t="shared" si="831"/>
        <v>82.5352756634381</v>
      </c>
      <c r="AG714" s="1128">
        <f t="shared" si="832"/>
        <v>84.848990261777132</v>
      </c>
      <c r="AH714" s="1128">
        <f t="shared" si="833"/>
        <v>84.625136708600436</v>
      </c>
      <c r="AI714" s="1128">
        <f t="shared" si="834"/>
        <v>81.922065882231209</v>
      </c>
      <c r="AJ714" s="1128">
        <f t="shared" si="835"/>
        <v>77.444374849144907</v>
      </c>
      <c r="AK714" s="1128">
        <f t="shared" si="836"/>
        <v>72.359242780423017</v>
      </c>
      <c r="AL714" s="1128">
        <f t="shared" si="837"/>
        <v>67.99218771403514</v>
      </c>
      <c r="AM714" s="1125">
        <f t="shared" si="838"/>
        <v>1</v>
      </c>
      <c r="AN714" s="1125">
        <f t="shared" si="839"/>
        <v>1</v>
      </c>
      <c r="AO714" s="1125">
        <f t="shared" si="840"/>
        <v>1</v>
      </c>
      <c r="AP714" s="1125">
        <f t="shared" si="841"/>
        <v>1</v>
      </c>
      <c r="AQ714" s="1125">
        <f t="shared" si="842"/>
        <v>0</v>
      </c>
      <c r="AR714" s="1125">
        <f t="shared" si="843"/>
        <v>0</v>
      </c>
      <c r="AS714" s="1125">
        <f t="shared" si="844"/>
        <v>0</v>
      </c>
      <c r="AT714" s="1125">
        <f t="shared" si="845"/>
        <v>0</v>
      </c>
      <c r="AU714" s="1125">
        <f t="shared" si="846"/>
        <v>0</v>
      </c>
      <c r="AV714" s="1125">
        <f t="shared" si="847"/>
        <v>0</v>
      </c>
      <c r="AW714" s="1125">
        <f t="shared" si="848"/>
        <v>1</v>
      </c>
      <c r="AX714" s="1125">
        <f t="shared" si="849"/>
        <v>1</v>
      </c>
      <c r="AY714" s="1125">
        <f t="shared" si="850"/>
        <v>0</v>
      </c>
      <c r="AZ714" s="1125">
        <f t="shared" si="851"/>
        <v>0</v>
      </c>
      <c r="BA714" s="1125">
        <f t="shared" si="852"/>
        <v>0</v>
      </c>
      <c r="BB714" s="1125">
        <f t="shared" si="853"/>
        <v>0</v>
      </c>
      <c r="BC714" s="1125">
        <f t="shared" si="854"/>
        <v>1</v>
      </c>
      <c r="BD714" s="1125">
        <f t="shared" si="855"/>
        <v>1</v>
      </c>
      <c r="BE714" s="1125">
        <f t="shared" si="856"/>
        <v>1</v>
      </c>
      <c r="BF714" s="1125">
        <f t="shared" si="857"/>
        <v>1</v>
      </c>
      <c r="BG714" s="1125">
        <f t="shared" si="858"/>
        <v>1</v>
      </c>
      <c r="BH714" s="1125">
        <f t="shared" si="859"/>
        <v>1</v>
      </c>
      <c r="BI714" s="1125">
        <f t="shared" si="860"/>
        <v>0</v>
      </c>
      <c r="BJ714" s="1125">
        <f t="shared" si="861"/>
        <v>0</v>
      </c>
      <c r="BK714" s="1125">
        <f t="shared" si="862"/>
        <v>1</v>
      </c>
      <c r="BL714" s="1125">
        <f t="shared" si="863"/>
        <v>1</v>
      </c>
      <c r="BM714" s="1125">
        <f t="shared" si="864"/>
        <v>1</v>
      </c>
      <c r="BN714" s="1125">
        <f t="shared" si="865"/>
        <v>1</v>
      </c>
      <c r="BO714" s="1125">
        <f t="shared" si="866"/>
        <v>1</v>
      </c>
      <c r="BP714" s="1125">
        <f t="shared" si="867"/>
        <v>0</v>
      </c>
      <c r="BQ714" s="1125">
        <f t="shared" si="868"/>
        <v>0</v>
      </c>
      <c r="BR714" s="1125">
        <f t="shared" si="869"/>
        <v>0</v>
      </c>
      <c r="BS714" s="1125">
        <f t="shared" si="870"/>
        <v>0</v>
      </c>
      <c r="BT714" s="1125">
        <f t="shared" si="871"/>
        <v>0</v>
      </c>
      <c r="BU714" s="1125">
        <f t="shared" si="872"/>
        <v>1</v>
      </c>
      <c r="BV714" s="1125">
        <f t="shared" si="873"/>
        <v>1</v>
      </c>
      <c r="BW714" s="1125">
        <f t="shared" si="874"/>
        <v>0</v>
      </c>
      <c r="BX714" s="1125">
        <f t="shared" si="875"/>
        <v>0</v>
      </c>
      <c r="BY714" s="1125">
        <f t="shared" si="876"/>
        <v>0</v>
      </c>
      <c r="BZ714" s="1125">
        <f t="shared" si="877"/>
        <v>1</v>
      </c>
      <c r="CA714" s="1125">
        <f t="shared" si="878"/>
        <v>1</v>
      </c>
      <c r="CB714" s="1125">
        <f t="shared" si="879"/>
        <v>1</v>
      </c>
      <c r="CC714" s="1125">
        <f t="shared" si="880"/>
        <v>1</v>
      </c>
      <c r="CD714" s="1125">
        <f t="shared" si="881"/>
        <v>1</v>
      </c>
      <c r="CE714" s="1125">
        <f t="shared" si="882"/>
        <v>1</v>
      </c>
      <c r="CF714" s="1125">
        <f t="shared" si="883"/>
        <v>1</v>
      </c>
      <c r="CG714" s="1125">
        <f t="shared" si="884"/>
        <v>1</v>
      </c>
      <c r="CH714" s="1125">
        <f t="shared" si="885"/>
        <v>0</v>
      </c>
      <c r="CI714" s="1125">
        <f t="shared" si="886"/>
        <v>0.85</v>
      </c>
      <c r="CJ714" s="1125">
        <f t="shared" si="887"/>
        <v>0.85</v>
      </c>
      <c r="CK714" s="1125">
        <f t="shared" si="888"/>
        <v>0.85</v>
      </c>
      <c r="CL714" s="1125">
        <f t="shared" si="889"/>
        <v>0.85</v>
      </c>
      <c r="CM714" s="1125">
        <f t="shared" si="890"/>
        <v>0.85</v>
      </c>
      <c r="CN714" s="1125">
        <f t="shared" si="891"/>
        <v>0.7</v>
      </c>
      <c r="CO714" s="1125">
        <f t="shared" si="892"/>
        <v>0.7</v>
      </c>
      <c r="CP714" s="1125">
        <f t="shared" si="893"/>
        <v>0.7</v>
      </c>
      <c r="CQ714" s="1125">
        <f t="shared" si="894"/>
        <v>0.7</v>
      </c>
      <c r="CR714" s="1125">
        <f t="shared" si="895"/>
        <v>0.7</v>
      </c>
      <c r="CS714" s="1125">
        <f t="shared" si="896"/>
        <v>0.85</v>
      </c>
      <c r="CT714" s="1125">
        <f t="shared" si="897"/>
        <v>0.85</v>
      </c>
      <c r="CU714" s="1125">
        <v>1</v>
      </c>
      <c r="CV714" s="1125"/>
      <c r="CW714" s="1125">
        <f t="shared" si="898"/>
        <v>244</v>
      </c>
      <c r="CX714" s="1125">
        <f t="shared" si="899"/>
        <v>121</v>
      </c>
      <c r="CY714" s="1135" t="s">
        <v>4883</v>
      </c>
      <c r="CZ714" s="1124" t="s">
        <v>4884</v>
      </c>
      <c r="DA714" s="1124"/>
      <c r="DB714" s="1124"/>
      <c r="DC714" s="1120" t="s">
        <v>5114</v>
      </c>
      <c r="DD714" s="1120" t="s">
        <v>594</v>
      </c>
      <c r="DE714" s="1120" t="str">
        <f t="shared" si="825"/>
        <v/>
      </c>
      <c r="DF714" s="1133">
        <v>1</v>
      </c>
      <c r="DG714" s="1120">
        <v>0</v>
      </c>
    </row>
    <row r="715" spans="1:111">
      <c r="A715" s="1125" t="s">
        <v>5909</v>
      </c>
      <c r="B715" s="1125" t="s">
        <v>3817</v>
      </c>
      <c r="C715" s="1125" t="s">
        <v>3818</v>
      </c>
      <c r="D715" s="1125" t="s">
        <v>934</v>
      </c>
      <c r="E715" s="1125">
        <v>1433</v>
      </c>
      <c r="F715" s="1125">
        <v>-95.07</v>
      </c>
      <c r="G715" s="1125">
        <v>46.9</v>
      </c>
      <c r="H715" s="1125">
        <v>-6</v>
      </c>
      <c r="I715" s="1126">
        <v>-16.960001373291018</v>
      </c>
      <c r="J715" s="1126">
        <v>84.019999313354489</v>
      </c>
      <c r="K715" s="1127">
        <v>69.260001373291018</v>
      </c>
      <c r="L715" s="1125">
        <v>8888.4</v>
      </c>
      <c r="M715" s="1125">
        <v>298.8</v>
      </c>
      <c r="N715" s="1128">
        <v>9.8599996566772461</v>
      </c>
      <c r="O715" s="1128">
        <v>13.1</v>
      </c>
      <c r="P715" s="1128">
        <v>23.540000343322752</v>
      </c>
      <c r="Q715" s="1128">
        <v>47.119999313354491</v>
      </c>
      <c r="R715" s="1128">
        <v>55.580000686645505</v>
      </c>
      <c r="S715" s="1128">
        <v>65.480000686645511</v>
      </c>
      <c r="T715" s="1128">
        <v>66.919999313354495</v>
      </c>
      <c r="U715" s="1128">
        <v>63.139998626708987</v>
      </c>
      <c r="V715" s="1128">
        <v>58.819999313354494</v>
      </c>
      <c r="W715" s="1128">
        <v>42.620000171661374</v>
      </c>
      <c r="X715" s="1128">
        <v>27.5</v>
      </c>
      <c r="Y715" s="1128">
        <v>14.9</v>
      </c>
      <c r="Z715" s="1128">
        <v>40.843177923698946</v>
      </c>
      <c r="AA715" s="1128">
        <f t="shared" si="826"/>
        <v>38.517670743083286</v>
      </c>
      <c r="AB715" s="1128">
        <f t="shared" si="827"/>
        <v>36.435206383494041</v>
      </c>
      <c r="AC715" s="1128">
        <f t="shared" si="828"/>
        <v>37.065740197555655</v>
      </c>
      <c r="AD715" s="1128">
        <f t="shared" si="829"/>
        <v>40.244913829812766</v>
      </c>
      <c r="AE715" s="1128">
        <f t="shared" si="830"/>
        <v>45.144026680468897</v>
      </c>
      <c r="AF715" s="1128">
        <f t="shared" si="831"/>
        <v>50.486049487386197</v>
      </c>
      <c r="AG715" s="1128">
        <f t="shared" si="832"/>
        <v>54.87850168287833</v>
      </c>
      <c r="AH715" s="1128">
        <f t="shared" si="833"/>
        <v>57.176422912452978</v>
      </c>
      <c r="AI715" s="1128">
        <f t="shared" si="834"/>
        <v>56.780824595583461</v>
      </c>
      <c r="AJ715" s="1128">
        <f t="shared" si="835"/>
        <v>53.794825529916402</v>
      </c>
      <c r="AK715" s="1128">
        <f t="shared" si="836"/>
        <v>48.996772387556412</v>
      </c>
      <c r="AL715" s="1128">
        <f t="shared" si="837"/>
        <v>43.637351660296694</v>
      </c>
      <c r="AM715" s="1125">
        <f t="shared" si="838"/>
        <v>1</v>
      </c>
      <c r="AN715" s="1125">
        <f t="shared" si="839"/>
        <v>1</v>
      </c>
      <c r="AO715" s="1125">
        <f t="shared" si="840"/>
        <v>1</v>
      </c>
      <c r="AP715" s="1125">
        <f t="shared" si="841"/>
        <v>1</v>
      </c>
      <c r="AQ715" s="1125">
        <f t="shared" si="842"/>
        <v>1</v>
      </c>
      <c r="AR715" s="1125">
        <f t="shared" si="843"/>
        <v>1</v>
      </c>
      <c r="AS715" s="1125">
        <f t="shared" si="844"/>
        <v>0</v>
      </c>
      <c r="AT715" s="1125">
        <f t="shared" si="845"/>
        <v>1</v>
      </c>
      <c r="AU715" s="1125">
        <f t="shared" si="846"/>
        <v>1</v>
      </c>
      <c r="AV715" s="1125">
        <f t="shared" si="847"/>
        <v>1</v>
      </c>
      <c r="AW715" s="1125">
        <f t="shared" si="848"/>
        <v>1</v>
      </c>
      <c r="AX715" s="1125">
        <f t="shared" si="849"/>
        <v>1</v>
      </c>
      <c r="AY715" s="1125">
        <f t="shared" si="850"/>
        <v>0</v>
      </c>
      <c r="AZ715" s="1125">
        <f t="shared" si="851"/>
        <v>0</v>
      </c>
      <c r="BA715" s="1125">
        <f t="shared" si="852"/>
        <v>0</v>
      </c>
      <c r="BB715" s="1125">
        <f t="shared" si="853"/>
        <v>0</v>
      </c>
      <c r="BC715" s="1125">
        <f t="shared" si="854"/>
        <v>0</v>
      </c>
      <c r="BD715" s="1125">
        <f t="shared" si="855"/>
        <v>0</v>
      </c>
      <c r="BE715" s="1125">
        <f t="shared" si="856"/>
        <v>1</v>
      </c>
      <c r="BF715" s="1125">
        <f t="shared" si="857"/>
        <v>1</v>
      </c>
      <c r="BG715" s="1125">
        <f t="shared" si="858"/>
        <v>0</v>
      </c>
      <c r="BH715" s="1125">
        <f t="shared" si="859"/>
        <v>0</v>
      </c>
      <c r="BI715" s="1125">
        <f t="shared" si="860"/>
        <v>0</v>
      </c>
      <c r="BJ715" s="1125">
        <f t="shared" si="861"/>
        <v>0</v>
      </c>
      <c r="BK715" s="1125">
        <f t="shared" si="862"/>
        <v>1</v>
      </c>
      <c r="BL715" s="1125">
        <f t="shared" si="863"/>
        <v>1</v>
      </c>
      <c r="BM715" s="1125">
        <f t="shared" si="864"/>
        <v>1</v>
      </c>
      <c r="BN715" s="1125">
        <f t="shared" si="865"/>
        <v>1</v>
      </c>
      <c r="BO715" s="1125">
        <f t="shared" si="866"/>
        <v>1</v>
      </c>
      <c r="BP715" s="1125">
        <f t="shared" si="867"/>
        <v>1</v>
      </c>
      <c r="BQ715" s="1125">
        <f t="shared" si="868"/>
        <v>1</v>
      </c>
      <c r="BR715" s="1125">
        <f t="shared" si="869"/>
        <v>1</v>
      </c>
      <c r="BS715" s="1125">
        <f t="shared" si="870"/>
        <v>1</v>
      </c>
      <c r="BT715" s="1125">
        <f t="shared" si="871"/>
        <v>1</v>
      </c>
      <c r="BU715" s="1125">
        <f t="shared" si="872"/>
        <v>1</v>
      </c>
      <c r="BV715" s="1125">
        <f t="shared" si="873"/>
        <v>1</v>
      </c>
      <c r="BW715" s="1125">
        <f t="shared" si="874"/>
        <v>0</v>
      </c>
      <c r="BX715" s="1125">
        <f t="shared" si="875"/>
        <v>0</v>
      </c>
      <c r="BY715" s="1125">
        <f t="shared" si="876"/>
        <v>0</v>
      </c>
      <c r="BZ715" s="1125">
        <f t="shared" si="877"/>
        <v>0</v>
      </c>
      <c r="CA715" s="1125">
        <f t="shared" si="878"/>
        <v>0</v>
      </c>
      <c r="CB715" s="1125">
        <f t="shared" si="879"/>
        <v>1</v>
      </c>
      <c r="CC715" s="1125">
        <f t="shared" si="880"/>
        <v>1</v>
      </c>
      <c r="CD715" s="1125">
        <f t="shared" si="881"/>
        <v>1</v>
      </c>
      <c r="CE715" s="1125">
        <f t="shared" si="882"/>
        <v>0</v>
      </c>
      <c r="CF715" s="1125">
        <f t="shared" si="883"/>
        <v>0</v>
      </c>
      <c r="CG715" s="1125">
        <f t="shared" si="884"/>
        <v>0</v>
      </c>
      <c r="CH715" s="1125">
        <f t="shared" si="885"/>
        <v>0</v>
      </c>
      <c r="CI715" s="1125">
        <f t="shared" si="886"/>
        <v>0.85</v>
      </c>
      <c r="CJ715" s="1125">
        <f t="shared" si="887"/>
        <v>0.85</v>
      </c>
      <c r="CK715" s="1125">
        <f t="shared" si="888"/>
        <v>0.85</v>
      </c>
      <c r="CL715" s="1125">
        <f t="shared" si="889"/>
        <v>0.85</v>
      </c>
      <c r="CM715" s="1125">
        <f t="shared" si="890"/>
        <v>0.85</v>
      </c>
      <c r="CN715" s="1125">
        <f t="shared" si="891"/>
        <v>0.85</v>
      </c>
      <c r="CO715" s="1125">
        <f t="shared" si="892"/>
        <v>0.85</v>
      </c>
      <c r="CP715" s="1125">
        <f t="shared" si="893"/>
        <v>0.85</v>
      </c>
      <c r="CQ715" s="1125">
        <f t="shared" si="894"/>
        <v>0.85</v>
      </c>
      <c r="CR715" s="1125">
        <f t="shared" si="895"/>
        <v>0.85</v>
      </c>
      <c r="CS715" s="1125">
        <f t="shared" si="896"/>
        <v>0.85</v>
      </c>
      <c r="CT715" s="1125">
        <f t="shared" si="897"/>
        <v>0.85</v>
      </c>
      <c r="CU715" s="1125">
        <v>1</v>
      </c>
      <c r="CV715" s="1125"/>
      <c r="CW715" s="1125">
        <f t="shared" si="898"/>
        <v>92</v>
      </c>
      <c r="CX715" s="1125">
        <f t="shared" si="899"/>
        <v>273</v>
      </c>
      <c r="CY715" s="1136" t="s">
        <v>4879</v>
      </c>
      <c r="CZ715" s="1129">
        <v>7</v>
      </c>
      <c r="DA715" s="1129"/>
      <c r="DB715" s="1129"/>
      <c r="DC715" s="1125" t="s">
        <v>5336</v>
      </c>
      <c r="DD715" s="1125" t="s">
        <v>934</v>
      </c>
      <c r="DE715" s="1120" t="str">
        <f t="shared" si="825"/>
        <v/>
      </c>
      <c r="DF715" s="1133">
        <v>0</v>
      </c>
      <c r="DG715" s="1125">
        <v>0</v>
      </c>
    </row>
    <row r="716" spans="1:111">
      <c r="A716" s="1120" t="s">
        <v>4132</v>
      </c>
      <c r="B716" s="1120" t="s">
        <v>4661</v>
      </c>
      <c r="C716" s="1120" t="s">
        <v>4662</v>
      </c>
      <c r="D716" s="1120" t="s">
        <v>513</v>
      </c>
      <c r="E716" s="1120">
        <v>830</v>
      </c>
      <c r="F716" s="1120">
        <v>-81.430000000000007</v>
      </c>
      <c r="G716" s="1120">
        <v>39.35</v>
      </c>
      <c r="H716" s="1120">
        <v>-5</v>
      </c>
      <c r="I716" s="1121">
        <v>11.840000343322753</v>
      </c>
      <c r="J716" s="1121">
        <v>88.33999862670899</v>
      </c>
      <c r="K716" s="1122">
        <v>72.860001373291013</v>
      </c>
      <c r="L716" s="1120">
        <v>4816.8</v>
      </c>
      <c r="M716" s="1120">
        <v>1103.4000000000001</v>
      </c>
      <c r="N716" s="1123">
        <v>25.160000085830688</v>
      </c>
      <c r="O716" s="1123">
        <v>33.440000021457671</v>
      </c>
      <c r="P716" s="1123">
        <v>43.7</v>
      </c>
      <c r="Q716" s="1123">
        <v>57.559999656677249</v>
      </c>
      <c r="R716" s="1123">
        <v>61.7</v>
      </c>
      <c r="S716" s="1123">
        <v>70.519999313354489</v>
      </c>
      <c r="T716" s="1123">
        <v>73.400000000000006</v>
      </c>
      <c r="U716" s="1123">
        <v>75.2</v>
      </c>
      <c r="V716" s="1123">
        <v>69.619999313354498</v>
      </c>
      <c r="W716" s="1123">
        <v>55.4</v>
      </c>
      <c r="X716" s="1123">
        <v>47.659999656677243</v>
      </c>
      <c r="Y716" s="1123">
        <v>36.320000171661377</v>
      </c>
      <c r="Z716" s="1123">
        <v>54.231232730917732</v>
      </c>
      <c r="AA716" s="1123">
        <f t="shared" si="826"/>
        <v>48.787887846717283</v>
      </c>
      <c r="AB716" s="1123">
        <f t="shared" si="827"/>
        <v>47.714270903285865</v>
      </c>
      <c r="AC716" s="1123">
        <f t="shared" si="828"/>
        <v>49.903392952447248</v>
      </c>
      <c r="AD716" s="1123">
        <f t="shared" si="829"/>
        <v>54.784625596695591</v>
      </c>
      <c r="AE716" s="1123">
        <f t="shared" si="830"/>
        <v>61.085600325235553</v>
      </c>
      <c r="AF716" s="1123">
        <f t="shared" si="831"/>
        <v>67.163870974113422</v>
      </c>
      <c r="AG716" s="1123">
        <f t="shared" si="832"/>
        <v>71.435042629713109</v>
      </c>
      <c r="AH716" s="1123">
        <f t="shared" si="833"/>
        <v>72.785768579255006</v>
      </c>
      <c r="AI716" s="1123">
        <f t="shared" si="834"/>
        <v>70.863961288674048</v>
      </c>
      <c r="AJ716" s="1123">
        <f t="shared" si="835"/>
        <v>66.170569444206961</v>
      </c>
      <c r="AK716" s="1123">
        <f t="shared" si="836"/>
        <v>59.928997957471765</v>
      </c>
      <c r="AL716" s="1123">
        <f t="shared" si="837"/>
        <v>53.766208622014084</v>
      </c>
      <c r="AM716" s="1120">
        <f t="shared" si="838"/>
        <v>1</v>
      </c>
      <c r="AN716" s="1120">
        <f t="shared" si="839"/>
        <v>1</v>
      </c>
      <c r="AO716" s="1120">
        <f t="shared" si="840"/>
        <v>1</v>
      </c>
      <c r="AP716" s="1120">
        <f t="shared" si="841"/>
        <v>1</v>
      </c>
      <c r="AQ716" s="1120">
        <f t="shared" si="842"/>
        <v>1</v>
      </c>
      <c r="AR716" s="1120">
        <f t="shared" si="843"/>
        <v>0</v>
      </c>
      <c r="AS716" s="1120">
        <f t="shared" si="844"/>
        <v>0</v>
      </c>
      <c r="AT716" s="1120">
        <f t="shared" si="845"/>
        <v>0</v>
      </c>
      <c r="AU716" s="1120">
        <f t="shared" si="846"/>
        <v>0</v>
      </c>
      <c r="AV716" s="1120">
        <f t="shared" si="847"/>
        <v>1</v>
      </c>
      <c r="AW716" s="1120">
        <f t="shared" si="848"/>
        <v>1</v>
      </c>
      <c r="AX716" s="1120">
        <f t="shared" si="849"/>
        <v>1</v>
      </c>
      <c r="AY716" s="1120">
        <f t="shared" si="850"/>
        <v>0</v>
      </c>
      <c r="AZ716" s="1120">
        <f t="shared" si="851"/>
        <v>0</v>
      </c>
      <c r="BA716" s="1120">
        <f t="shared" si="852"/>
        <v>0</v>
      </c>
      <c r="BB716" s="1120">
        <f t="shared" si="853"/>
        <v>0</v>
      </c>
      <c r="BC716" s="1120">
        <f t="shared" si="854"/>
        <v>0</v>
      </c>
      <c r="BD716" s="1120">
        <f t="shared" si="855"/>
        <v>1</v>
      </c>
      <c r="BE716" s="1120">
        <f t="shared" si="856"/>
        <v>1</v>
      </c>
      <c r="BF716" s="1120">
        <f t="shared" si="857"/>
        <v>1</v>
      </c>
      <c r="BG716" s="1120">
        <f t="shared" si="858"/>
        <v>1</v>
      </c>
      <c r="BH716" s="1120">
        <f t="shared" si="859"/>
        <v>0</v>
      </c>
      <c r="BI716" s="1120">
        <f t="shared" si="860"/>
        <v>0</v>
      </c>
      <c r="BJ716" s="1120">
        <f t="shared" si="861"/>
        <v>0</v>
      </c>
      <c r="BK716" s="1120">
        <f t="shared" si="862"/>
        <v>1</v>
      </c>
      <c r="BL716" s="1120">
        <f t="shared" si="863"/>
        <v>1</v>
      </c>
      <c r="BM716" s="1120">
        <f t="shared" si="864"/>
        <v>1</v>
      </c>
      <c r="BN716" s="1120">
        <f t="shared" si="865"/>
        <v>1</v>
      </c>
      <c r="BO716" s="1120">
        <f t="shared" si="866"/>
        <v>1</v>
      </c>
      <c r="BP716" s="1120">
        <f t="shared" si="867"/>
        <v>1</v>
      </c>
      <c r="BQ716" s="1120">
        <f t="shared" si="868"/>
        <v>0</v>
      </c>
      <c r="BR716" s="1120">
        <f t="shared" si="869"/>
        <v>0</v>
      </c>
      <c r="BS716" s="1120">
        <f t="shared" si="870"/>
        <v>0</v>
      </c>
      <c r="BT716" s="1120">
        <f t="shared" si="871"/>
        <v>1</v>
      </c>
      <c r="BU716" s="1120">
        <f t="shared" si="872"/>
        <v>1</v>
      </c>
      <c r="BV716" s="1120">
        <f t="shared" si="873"/>
        <v>1</v>
      </c>
      <c r="BW716" s="1120">
        <f t="shared" si="874"/>
        <v>0</v>
      </c>
      <c r="BX716" s="1120">
        <f t="shared" si="875"/>
        <v>0</v>
      </c>
      <c r="BY716" s="1120">
        <f t="shared" si="876"/>
        <v>0</v>
      </c>
      <c r="BZ716" s="1120">
        <f t="shared" si="877"/>
        <v>0</v>
      </c>
      <c r="CA716" s="1120">
        <f t="shared" si="878"/>
        <v>1</v>
      </c>
      <c r="CB716" s="1120">
        <f t="shared" si="879"/>
        <v>1</v>
      </c>
      <c r="CC716" s="1120">
        <f t="shared" si="880"/>
        <v>1</v>
      </c>
      <c r="CD716" s="1120">
        <f t="shared" si="881"/>
        <v>1</v>
      </c>
      <c r="CE716" s="1120">
        <f t="shared" si="882"/>
        <v>1</v>
      </c>
      <c r="CF716" s="1120">
        <f t="shared" si="883"/>
        <v>1</v>
      </c>
      <c r="CG716" s="1120">
        <f t="shared" si="884"/>
        <v>0</v>
      </c>
      <c r="CH716" s="1120">
        <f t="shared" si="885"/>
        <v>0</v>
      </c>
      <c r="CI716" s="1120">
        <f t="shared" si="886"/>
        <v>0.85</v>
      </c>
      <c r="CJ716" s="1120">
        <f t="shared" si="887"/>
        <v>0.85</v>
      </c>
      <c r="CK716" s="1120">
        <f t="shared" si="888"/>
        <v>0.85</v>
      </c>
      <c r="CL716" s="1120">
        <f t="shared" si="889"/>
        <v>0.85</v>
      </c>
      <c r="CM716" s="1120">
        <f t="shared" si="890"/>
        <v>0.85</v>
      </c>
      <c r="CN716" s="1120">
        <f t="shared" si="891"/>
        <v>0.85</v>
      </c>
      <c r="CO716" s="1120">
        <f t="shared" si="892"/>
        <v>0.7</v>
      </c>
      <c r="CP716" s="1120">
        <f t="shared" si="893"/>
        <v>0.7</v>
      </c>
      <c r="CQ716" s="1120">
        <f t="shared" si="894"/>
        <v>0.7</v>
      </c>
      <c r="CR716" s="1120">
        <f t="shared" si="895"/>
        <v>0.85</v>
      </c>
      <c r="CS716" s="1120">
        <f t="shared" si="896"/>
        <v>0.85</v>
      </c>
      <c r="CT716" s="1120">
        <f t="shared" si="897"/>
        <v>0.85</v>
      </c>
      <c r="CU716" s="1120">
        <v>1</v>
      </c>
      <c r="CV716" s="1120"/>
      <c r="CW716" s="1120">
        <f t="shared" si="898"/>
        <v>184</v>
      </c>
      <c r="CX716" s="1120">
        <f t="shared" si="899"/>
        <v>181</v>
      </c>
      <c r="CY716" s="1136" t="s">
        <v>4881</v>
      </c>
      <c r="CZ716" s="1129" t="s">
        <v>4885</v>
      </c>
      <c r="DA716" s="1129"/>
      <c r="DB716" s="1129"/>
      <c r="DC716" s="1125" t="s">
        <v>5693</v>
      </c>
      <c r="DD716" s="1125" t="s">
        <v>513</v>
      </c>
      <c r="DE716" s="1120" t="str">
        <f t="shared" si="825"/>
        <v/>
      </c>
      <c r="DF716" s="1133">
        <v>0</v>
      </c>
      <c r="DG716" s="1120">
        <v>0</v>
      </c>
    </row>
    <row r="717" spans="1:111">
      <c r="A717" s="1125" t="s">
        <v>4134</v>
      </c>
      <c r="B717" s="1125" t="s">
        <v>4570</v>
      </c>
      <c r="C717" s="1125" t="s">
        <v>4571</v>
      </c>
      <c r="D717" s="1125" t="s">
        <v>238</v>
      </c>
      <c r="E717" s="1125">
        <v>446</v>
      </c>
      <c r="F717" s="1125">
        <v>-119.12</v>
      </c>
      <c r="G717" s="1125">
        <v>46.27</v>
      </c>
      <c r="H717" s="1125">
        <v>-8</v>
      </c>
      <c r="I717" s="1126">
        <v>14.540000343322754</v>
      </c>
      <c r="J717" s="1126">
        <v>96.439998626708984</v>
      </c>
      <c r="K717" s="1127">
        <v>68.539998626708979</v>
      </c>
      <c r="L717" s="1125">
        <v>4717.8</v>
      </c>
      <c r="M717" s="1125">
        <v>855</v>
      </c>
      <c r="N717" s="1128">
        <v>35.419999957084656</v>
      </c>
      <c r="O717" s="1128">
        <v>37.579999828338622</v>
      </c>
      <c r="P717" s="1128">
        <v>46.220000171661376</v>
      </c>
      <c r="Q717" s="1128">
        <v>55.4</v>
      </c>
      <c r="R717" s="1128">
        <v>62.419999313354495</v>
      </c>
      <c r="S717" s="1128">
        <v>69.619999313354498</v>
      </c>
      <c r="T717" s="1128">
        <v>76.460001373291021</v>
      </c>
      <c r="U717" s="1128">
        <v>71.960001373291021</v>
      </c>
      <c r="V717" s="1128">
        <v>60.8</v>
      </c>
      <c r="W717" s="1128">
        <v>49.819999313354494</v>
      </c>
      <c r="X717" s="1128">
        <v>42.440000343322751</v>
      </c>
      <c r="Y717" s="1128">
        <v>36.860000085830691</v>
      </c>
      <c r="Z717" s="1128">
        <v>53.846575435938902</v>
      </c>
      <c r="AA717" s="1128">
        <f t="shared" si="826"/>
        <v>50.56145308752356</v>
      </c>
      <c r="AB717" s="1128">
        <f t="shared" si="827"/>
        <v>49.653613521236274</v>
      </c>
      <c r="AC717" s="1128">
        <f t="shared" si="828"/>
        <v>51.402726556314043</v>
      </c>
      <c r="AD717" s="1128">
        <f t="shared" si="829"/>
        <v>55.352858925516081</v>
      </c>
      <c r="AE717" s="1128">
        <f t="shared" si="830"/>
        <v>60.474347753427445</v>
      </c>
      <c r="AF717" s="1128">
        <f t="shared" si="831"/>
        <v>65.432198052521159</v>
      </c>
      <c r="AG717" s="1128">
        <f t="shared" si="832"/>
        <v>68.934069739552669</v>
      </c>
      <c r="AH717" s="1128">
        <f t="shared" si="833"/>
        <v>70.067145993820972</v>
      </c>
      <c r="AI717" s="1128">
        <f t="shared" si="834"/>
        <v>68.53607302841742</v>
      </c>
      <c r="AJ717" s="1128">
        <f t="shared" si="835"/>
        <v>64.73994860632304</v>
      </c>
      <c r="AK717" s="1128">
        <f t="shared" si="836"/>
        <v>59.668291058204865</v>
      </c>
      <c r="AL717" s="1128">
        <f t="shared" si="837"/>
        <v>54.643106080588495</v>
      </c>
      <c r="AM717" s="1125">
        <f t="shared" si="838"/>
        <v>1</v>
      </c>
      <c r="AN717" s="1125">
        <f t="shared" si="839"/>
        <v>1</v>
      </c>
      <c r="AO717" s="1125">
        <f t="shared" si="840"/>
        <v>1</v>
      </c>
      <c r="AP717" s="1125">
        <f t="shared" si="841"/>
        <v>1</v>
      </c>
      <c r="AQ717" s="1125">
        <f t="shared" si="842"/>
        <v>1</v>
      </c>
      <c r="AR717" s="1125">
        <f t="shared" si="843"/>
        <v>0</v>
      </c>
      <c r="AS717" s="1125">
        <f t="shared" si="844"/>
        <v>0</v>
      </c>
      <c r="AT717" s="1125">
        <f t="shared" si="845"/>
        <v>0</v>
      </c>
      <c r="AU717" s="1125">
        <f t="shared" si="846"/>
        <v>1</v>
      </c>
      <c r="AV717" s="1125">
        <f t="shared" si="847"/>
        <v>1</v>
      </c>
      <c r="AW717" s="1125">
        <f t="shared" si="848"/>
        <v>1</v>
      </c>
      <c r="AX717" s="1125">
        <f t="shared" si="849"/>
        <v>1</v>
      </c>
      <c r="AY717" s="1125">
        <f t="shared" si="850"/>
        <v>0</v>
      </c>
      <c r="AZ717" s="1125">
        <f t="shared" si="851"/>
        <v>0</v>
      </c>
      <c r="BA717" s="1125">
        <f t="shared" si="852"/>
        <v>0</v>
      </c>
      <c r="BB717" s="1125">
        <f t="shared" si="853"/>
        <v>0</v>
      </c>
      <c r="BC717" s="1125">
        <f t="shared" si="854"/>
        <v>0</v>
      </c>
      <c r="BD717" s="1125">
        <f t="shared" si="855"/>
        <v>1</v>
      </c>
      <c r="BE717" s="1125">
        <f t="shared" si="856"/>
        <v>1</v>
      </c>
      <c r="BF717" s="1125">
        <f t="shared" si="857"/>
        <v>1</v>
      </c>
      <c r="BG717" s="1125">
        <f t="shared" si="858"/>
        <v>0</v>
      </c>
      <c r="BH717" s="1125">
        <f t="shared" si="859"/>
        <v>0</v>
      </c>
      <c r="BI717" s="1125">
        <f t="shared" si="860"/>
        <v>0</v>
      </c>
      <c r="BJ717" s="1125">
        <f t="shared" si="861"/>
        <v>0</v>
      </c>
      <c r="BK717" s="1125">
        <f t="shared" si="862"/>
        <v>1</v>
      </c>
      <c r="BL717" s="1125">
        <f t="shared" si="863"/>
        <v>1</v>
      </c>
      <c r="BM717" s="1125">
        <f t="shared" si="864"/>
        <v>1</v>
      </c>
      <c r="BN717" s="1125">
        <f t="shared" si="865"/>
        <v>1</v>
      </c>
      <c r="BO717" s="1125">
        <f t="shared" si="866"/>
        <v>1</v>
      </c>
      <c r="BP717" s="1125">
        <f t="shared" si="867"/>
        <v>1</v>
      </c>
      <c r="BQ717" s="1125">
        <f t="shared" si="868"/>
        <v>0</v>
      </c>
      <c r="BR717" s="1125">
        <f t="shared" si="869"/>
        <v>0</v>
      </c>
      <c r="BS717" s="1125">
        <f t="shared" si="870"/>
        <v>1</v>
      </c>
      <c r="BT717" s="1125">
        <f t="shared" si="871"/>
        <v>1</v>
      </c>
      <c r="BU717" s="1125">
        <f t="shared" si="872"/>
        <v>1</v>
      </c>
      <c r="BV717" s="1125">
        <f t="shared" si="873"/>
        <v>1</v>
      </c>
      <c r="BW717" s="1125">
        <f t="shared" si="874"/>
        <v>0</v>
      </c>
      <c r="BX717" s="1125">
        <f t="shared" si="875"/>
        <v>0</v>
      </c>
      <c r="BY717" s="1125">
        <f t="shared" si="876"/>
        <v>0</v>
      </c>
      <c r="BZ717" s="1125">
        <f t="shared" si="877"/>
        <v>0</v>
      </c>
      <c r="CA717" s="1125">
        <f t="shared" si="878"/>
        <v>1</v>
      </c>
      <c r="CB717" s="1125">
        <f t="shared" si="879"/>
        <v>1</v>
      </c>
      <c r="CC717" s="1125">
        <f t="shared" si="880"/>
        <v>1</v>
      </c>
      <c r="CD717" s="1125">
        <f t="shared" si="881"/>
        <v>1</v>
      </c>
      <c r="CE717" s="1125">
        <f t="shared" si="882"/>
        <v>1</v>
      </c>
      <c r="CF717" s="1125">
        <f t="shared" si="883"/>
        <v>0</v>
      </c>
      <c r="CG717" s="1125">
        <f t="shared" si="884"/>
        <v>0</v>
      </c>
      <c r="CH717" s="1125">
        <f t="shared" si="885"/>
        <v>0</v>
      </c>
      <c r="CI717" s="1125">
        <f t="shared" si="886"/>
        <v>0.85</v>
      </c>
      <c r="CJ717" s="1125">
        <f t="shared" si="887"/>
        <v>0.85</v>
      </c>
      <c r="CK717" s="1125">
        <f t="shared" si="888"/>
        <v>0.85</v>
      </c>
      <c r="CL717" s="1125">
        <f t="shared" si="889"/>
        <v>0.85</v>
      </c>
      <c r="CM717" s="1125">
        <f t="shared" si="890"/>
        <v>0.85</v>
      </c>
      <c r="CN717" s="1125">
        <f t="shared" si="891"/>
        <v>0.85</v>
      </c>
      <c r="CO717" s="1125">
        <f t="shared" si="892"/>
        <v>0.7</v>
      </c>
      <c r="CP717" s="1125">
        <f t="shared" si="893"/>
        <v>0.7</v>
      </c>
      <c r="CQ717" s="1125">
        <f t="shared" si="894"/>
        <v>0.85</v>
      </c>
      <c r="CR717" s="1125">
        <f t="shared" si="895"/>
        <v>0.85</v>
      </c>
      <c r="CS717" s="1125">
        <f t="shared" si="896"/>
        <v>0.85</v>
      </c>
      <c r="CT717" s="1125">
        <f t="shared" si="897"/>
        <v>0.85</v>
      </c>
      <c r="CU717" s="1125">
        <v>1</v>
      </c>
      <c r="CV717" s="1125"/>
      <c r="CW717" s="1125">
        <f t="shared" si="898"/>
        <v>153</v>
      </c>
      <c r="CX717" s="1125">
        <f t="shared" si="899"/>
        <v>212</v>
      </c>
      <c r="CY717" s="1136" t="s">
        <v>4889</v>
      </c>
      <c r="CZ717" s="1129" t="s">
        <v>4890</v>
      </c>
      <c r="DA717" s="1129"/>
      <c r="DB717" s="1129"/>
      <c r="DC717" s="1125" t="s">
        <v>5661</v>
      </c>
      <c r="DD717" s="1125" t="s">
        <v>238</v>
      </c>
      <c r="DE717" s="1120" t="str">
        <f t="shared" si="825"/>
        <v/>
      </c>
      <c r="DF717" s="1133">
        <v>0</v>
      </c>
      <c r="DG717" s="1125">
        <v>0</v>
      </c>
    </row>
    <row r="718" spans="1:111">
      <c r="A718" s="1120" t="s">
        <v>4136</v>
      </c>
      <c r="B718" s="1120" t="s">
        <v>3160</v>
      </c>
      <c r="C718" s="1120" t="s">
        <v>3161</v>
      </c>
      <c r="D718" s="1120" t="s">
        <v>954</v>
      </c>
      <c r="E718" s="1120">
        <v>800</v>
      </c>
      <c r="F718" s="1120">
        <v>-120.63</v>
      </c>
      <c r="G718" s="1120">
        <v>35.67</v>
      </c>
      <c r="H718" s="1120">
        <v>-8</v>
      </c>
      <c r="I718" s="1121">
        <v>28.939999914169313</v>
      </c>
      <c r="J718" s="1121">
        <v>98.779997253417974</v>
      </c>
      <c r="K718" s="1122">
        <v>66.560001373291016</v>
      </c>
      <c r="L718" s="1120">
        <v>2768.4</v>
      </c>
      <c r="M718" s="1120">
        <v>673.2</v>
      </c>
      <c r="N718" s="1123">
        <v>45.859999656677246</v>
      </c>
      <c r="O718" s="1123">
        <v>47.3</v>
      </c>
      <c r="P718" s="1123">
        <v>53.419999313354495</v>
      </c>
      <c r="Q718" s="1123">
        <v>58.459999656677248</v>
      </c>
      <c r="R718" s="1123">
        <v>63.139998626708987</v>
      </c>
      <c r="S718" s="1123">
        <v>67.639998626708987</v>
      </c>
      <c r="T718" s="1123">
        <v>69.8</v>
      </c>
      <c r="U718" s="1123">
        <v>70.33999862670899</v>
      </c>
      <c r="V718" s="1123">
        <v>67.099999999999994</v>
      </c>
      <c r="W718" s="1123">
        <v>59.719999313354492</v>
      </c>
      <c r="X718" s="1123">
        <v>52.7</v>
      </c>
      <c r="Y718" s="1123">
        <v>48.019999313354489</v>
      </c>
      <c r="Z718" s="1123">
        <v>58.68684873659317</v>
      </c>
      <c r="AA718" s="1123">
        <f t="shared" si="826"/>
        <v>58.398006670974837</v>
      </c>
      <c r="AB718" s="1123">
        <f t="shared" si="827"/>
        <v>58.085968898843774</v>
      </c>
      <c r="AC718" s="1123">
        <f t="shared" si="828"/>
        <v>59.494552179059504</v>
      </c>
      <c r="AD718" s="1123">
        <f t="shared" si="829"/>
        <v>62.256587572708391</v>
      </c>
      <c r="AE718" s="1123">
        <f t="shared" si="830"/>
        <v>65.652107990182031</v>
      </c>
      <c r="AF718" s="1123">
        <f t="shared" si="831"/>
        <v>68.796018708112356</v>
      </c>
      <c r="AG718" s="1123">
        <f t="shared" si="832"/>
        <v>70.868810948740148</v>
      </c>
      <c r="AH718" s="1123">
        <f t="shared" si="833"/>
        <v>71.330179471850428</v>
      </c>
      <c r="AI718" s="1123">
        <f t="shared" si="834"/>
        <v>70.059861461990351</v>
      </c>
      <c r="AJ718" s="1123">
        <f t="shared" si="835"/>
        <v>67.388984884623042</v>
      </c>
      <c r="AK718" s="1123">
        <f t="shared" si="836"/>
        <v>64.013754879093241</v>
      </c>
      <c r="AL718" s="1123">
        <f t="shared" si="837"/>
        <v>60.813977160211117</v>
      </c>
      <c r="AM718" s="1120">
        <f t="shared" si="838"/>
        <v>1</v>
      </c>
      <c r="AN718" s="1120">
        <f t="shared" si="839"/>
        <v>1</v>
      </c>
      <c r="AO718" s="1120">
        <f t="shared" si="840"/>
        <v>1</v>
      </c>
      <c r="AP718" s="1120">
        <f t="shared" si="841"/>
        <v>1</v>
      </c>
      <c r="AQ718" s="1120">
        <f t="shared" si="842"/>
        <v>1</v>
      </c>
      <c r="AR718" s="1120">
        <f t="shared" si="843"/>
        <v>0</v>
      </c>
      <c r="AS718" s="1120">
        <f t="shared" si="844"/>
        <v>0</v>
      </c>
      <c r="AT718" s="1120">
        <f t="shared" si="845"/>
        <v>0</v>
      </c>
      <c r="AU718" s="1120">
        <f t="shared" si="846"/>
        <v>0</v>
      </c>
      <c r="AV718" s="1120">
        <f t="shared" si="847"/>
        <v>1</v>
      </c>
      <c r="AW718" s="1120">
        <f t="shared" si="848"/>
        <v>1</v>
      </c>
      <c r="AX718" s="1120">
        <f t="shared" si="849"/>
        <v>1</v>
      </c>
      <c r="AY718" s="1120">
        <f t="shared" si="850"/>
        <v>0</v>
      </c>
      <c r="AZ718" s="1120">
        <f t="shared" si="851"/>
        <v>0</v>
      </c>
      <c r="BA718" s="1120">
        <f t="shared" si="852"/>
        <v>0</v>
      </c>
      <c r="BB718" s="1120">
        <f t="shared" si="853"/>
        <v>0</v>
      </c>
      <c r="BC718" s="1120">
        <f t="shared" si="854"/>
        <v>0</v>
      </c>
      <c r="BD718" s="1120">
        <f t="shared" si="855"/>
        <v>1</v>
      </c>
      <c r="BE718" s="1120">
        <f t="shared" si="856"/>
        <v>1</v>
      </c>
      <c r="BF718" s="1120">
        <f t="shared" si="857"/>
        <v>1</v>
      </c>
      <c r="BG718" s="1120">
        <f t="shared" si="858"/>
        <v>1</v>
      </c>
      <c r="BH718" s="1120">
        <f t="shared" si="859"/>
        <v>0</v>
      </c>
      <c r="BI718" s="1120">
        <f t="shared" si="860"/>
        <v>0</v>
      </c>
      <c r="BJ718" s="1120">
        <f t="shared" si="861"/>
        <v>0</v>
      </c>
      <c r="BK718" s="1120">
        <f t="shared" si="862"/>
        <v>1</v>
      </c>
      <c r="BL718" s="1120">
        <f t="shared" si="863"/>
        <v>1</v>
      </c>
      <c r="BM718" s="1120">
        <f t="shared" si="864"/>
        <v>1</v>
      </c>
      <c r="BN718" s="1120">
        <f t="shared" si="865"/>
        <v>1</v>
      </c>
      <c r="BO718" s="1120">
        <f t="shared" si="866"/>
        <v>1</v>
      </c>
      <c r="BP718" s="1120">
        <f t="shared" si="867"/>
        <v>1</v>
      </c>
      <c r="BQ718" s="1120">
        <f t="shared" si="868"/>
        <v>0</v>
      </c>
      <c r="BR718" s="1120">
        <f t="shared" si="869"/>
        <v>0</v>
      </c>
      <c r="BS718" s="1120">
        <f t="shared" si="870"/>
        <v>0</v>
      </c>
      <c r="BT718" s="1120">
        <f t="shared" si="871"/>
        <v>1</v>
      </c>
      <c r="BU718" s="1120">
        <f t="shared" si="872"/>
        <v>1</v>
      </c>
      <c r="BV718" s="1120">
        <f t="shared" si="873"/>
        <v>1</v>
      </c>
      <c r="BW718" s="1120">
        <f t="shared" si="874"/>
        <v>0</v>
      </c>
      <c r="BX718" s="1120">
        <f t="shared" si="875"/>
        <v>0</v>
      </c>
      <c r="BY718" s="1120">
        <f t="shared" si="876"/>
        <v>0</v>
      </c>
      <c r="BZ718" s="1120">
        <f t="shared" si="877"/>
        <v>0</v>
      </c>
      <c r="CA718" s="1120">
        <f t="shared" si="878"/>
        <v>1</v>
      </c>
      <c r="CB718" s="1120">
        <f t="shared" si="879"/>
        <v>1</v>
      </c>
      <c r="CC718" s="1120">
        <f t="shared" si="880"/>
        <v>1</v>
      </c>
      <c r="CD718" s="1120">
        <f t="shared" si="881"/>
        <v>1</v>
      </c>
      <c r="CE718" s="1120">
        <f t="shared" si="882"/>
        <v>1</v>
      </c>
      <c r="CF718" s="1120">
        <f t="shared" si="883"/>
        <v>1</v>
      </c>
      <c r="CG718" s="1120">
        <f t="shared" si="884"/>
        <v>0</v>
      </c>
      <c r="CH718" s="1120">
        <f t="shared" si="885"/>
        <v>0</v>
      </c>
      <c r="CI718" s="1120">
        <f t="shared" si="886"/>
        <v>0.85</v>
      </c>
      <c r="CJ718" s="1120">
        <f t="shared" si="887"/>
        <v>0.85</v>
      </c>
      <c r="CK718" s="1120">
        <f t="shared" si="888"/>
        <v>0.85</v>
      </c>
      <c r="CL718" s="1120">
        <f t="shared" si="889"/>
        <v>0.85</v>
      </c>
      <c r="CM718" s="1120">
        <f t="shared" si="890"/>
        <v>0.85</v>
      </c>
      <c r="CN718" s="1120">
        <f t="shared" si="891"/>
        <v>0.85</v>
      </c>
      <c r="CO718" s="1120">
        <f t="shared" si="892"/>
        <v>0.7</v>
      </c>
      <c r="CP718" s="1120">
        <f t="shared" si="893"/>
        <v>0.7</v>
      </c>
      <c r="CQ718" s="1120">
        <f t="shared" si="894"/>
        <v>0.7</v>
      </c>
      <c r="CR718" s="1120">
        <f t="shared" si="895"/>
        <v>0.85</v>
      </c>
      <c r="CS718" s="1120">
        <f t="shared" si="896"/>
        <v>0.85</v>
      </c>
      <c r="CT718" s="1120">
        <f t="shared" si="897"/>
        <v>0.85</v>
      </c>
      <c r="CU718" s="1120">
        <v>1</v>
      </c>
      <c r="CV718" s="1120"/>
      <c r="CW718" s="1120">
        <f t="shared" si="898"/>
        <v>184</v>
      </c>
      <c r="CX718" s="1120">
        <f t="shared" si="899"/>
        <v>181</v>
      </c>
      <c r="CY718" s="1136" t="s">
        <v>4893</v>
      </c>
      <c r="CZ718" s="1129" t="s">
        <v>4895</v>
      </c>
      <c r="DA718" s="1129"/>
      <c r="DB718" s="1129"/>
      <c r="DC718" s="1125" t="s">
        <v>5045</v>
      </c>
      <c r="DD718" s="1125" t="s">
        <v>954</v>
      </c>
      <c r="DE718" s="1120" t="str">
        <f t="shared" si="825"/>
        <v/>
      </c>
      <c r="DF718" s="1120">
        <v>0</v>
      </c>
      <c r="DG718" s="1120">
        <v>0</v>
      </c>
    </row>
    <row r="719" spans="1:111">
      <c r="A719" s="1125" t="s">
        <v>4138</v>
      </c>
      <c r="B719" s="1120" t="s">
        <v>3643</v>
      </c>
      <c r="C719" s="1120" t="s">
        <v>3644</v>
      </c>
      <c r="D719" s="1120" t="s">
        <v>591</v>
      </c>
      <c r="E719" s="1120">
        <v>10</v>
      </c>
      <c r="F719" s="1120">
        <v>-91.33</v>
      </c>
      <c r="G719" s="1120">
        <v>29.72</v>
      </c>
      <c r="H719" s="1120">
        <v>-6</v>
      </c>
      <c r="I719" s="1121">
        <v>35.6</v>
      </c>
      <c r="J719" s="1121">
        <v>91.22000274658204</v>
      </c>
      <c r="K719" s="1122">
        <v>76.460001373291021</v>
      </c>
      <c r="L719" s="1120">
        <v>1364.4</v>
      </c>
      <c r="M719" s="1120">
        <v>2575.8000000000002</v>
      </c>
      <c r="N719" s="1123">
        <v>55.580000686645505</v>
      </c>
      <c r="O719" s="1123">
        <v>58.280000686645508</v>
      </c>
      <c r="P719" s="1123">
        <v>59.180000686645506</v>
      </c>
      <c r="Q719" s="1123">
        <v>66.019999313354489</v>
      </c>
      <c r="R719" s="1123">
        <v>74.66000137329101</v>
      </c>
      <c r="S719" s="1123">
        <v>79.16000137329101</v>
      </c>
      <c r="T719" s="1123">
        <v>82.580000686645505</v>
      </c>
      <c r="U719" s="1123">
        <v>80.780000686645508</v>
      </c>
      <c r="V719" s="1123">
        <v>77.539998626708979</v>
      </c>
      <c r="W719" s="1123">
        <v>66.560001373291016</v>
      </c>
      <c r="X719" s="1123">
        <v>57.740000343322755</v>
      </c>
      <c r="Y719" s="1123">
        <v>53.780000686645508</v>
      </c>
      <c r="Z719" s="1123">
        <v>67.70509643972737</v>
      </c>
      <c r="AA719" s="1123">
        <f t="shared" si="826"/>
        <v>64.704310351117513</v>
      </c>
      <c r="AB719" s="1123">
        <f t="shared" si="827"/>
        <v>65.002737180792678</v>
      </c>
      <c r="AC719" s="1123">
        <f t="shared" si="828"/>
        <v>67.569568058724741</v>
      </c>
      <c r="AD719" s="1123">
        <f t="shared" si="829"/>
        <v>71.735718960519549</v>
      </c>
      <c r="AE719" s="1123">
        <f t="shared" si="830"/>
        <v>76.415218451295473</v>
      </c>
      <c r="AF719" s="1123">
        <f t="shared" si="831"/>
        <v>80.388282875511791</v>
      </c>
      <c r="AG719" s="1123">
        <f t="shared" si="832"/>
        <v>82.619271764220414</v>
      </c>
      <c r="AH719" s="1123">
        <f t="shared" si="833"/>
        <v>82.526643482999958</v>
      </c>
      <c r="AI719" s="1123">
        <f t="shared" si="834"/>
        <v>80.13454302079559</v>
      </c>
      <c r="AJ719" s="1123">
        <f t="shared" si="835"/>
        <v>76.066508226464819</v>
      </c>
      <c r="AK719" s="1123">
        <f t="shared" si="836"/>
        <v>71.382935059463762</v>
      </c>
      <c r="AL719" s="1123">
        <f t="shared" si="837"/>
        <v>67.304669041818514</v>
      </c>
      <c r="AM719" s="1120">
        <f t="shared" si="838"/>
        <v>1</v>
      </c>
      <c r="AN719" s="1120">
        <f t="shared" si="839"/>
        <v>1</v>
      </c>
      <c r="AO719" s="1120">
        <f t="shared" si="840"/>
        <v>1</v>
      </c>
      <c r="AP719" s="1120">
        <f t="shared" si="841"/>
        <v>0</v>
      </c>
      <c r="AQ719" s="1120">
        <f t="shared" si="842"/>
        <v>0</v>
      </c>
      <c r="AR719" s="1120">
        <f t="shared" si="843"/>
        <v>0</v>
      </c>
      <c r="AS719" s="1120">
        <f t="shared" si="844"/>
        <v>0</v>
      </c>
      <c r="AT719" s="1120">
        <f t="shared" si="845"/>
        <v>0</v>
      </c>
      <c r="AU719" s="1120">
        <f t="shared" si="846"/>
        <v>0</v>
      </c>
      <c r="AV719" s="1120">
        <f t="shared" si="847"/>
        <v>0</v>
      </c>
      <c r="AW719" s="1120">
        <f t="shared" si="848"/>
        <v>1</v>
      </c>
      <c r="AX719" s="1120">
        <f t="shared" si="849"/>
        <v>1</v>
      </c>
      <c r="AY719" s="1120">
        <f t="shared" si="850"/>
        <v>0</v>
      </c>
      <c r="AZ719" s="1120">
        <f t="shared" si="851"/>
        <v>0</v>
      </c>
      <c r="BA719" s="1120">
        <f t="shared" si="852"/>
        <v>0</v>
      </c>
      <c r="BB719" s="1120">
        <f t="shared" si="853"/>
        <v>1</v>
      </c>
      <c r="BC719" s="1120">
        <f t="shared" si="854"/>
        <v>1</v>
      </c>
      <c r="BD719" s="1120">
        <f t="shared" si="855"/>
        <v>1</v>
      </c>
      <c r="BE719" s="1120">
        <f t="shared" si="856"/>
        <v>1</v>
      </c>
      <c r="BF719" s="1120">
        <f t="shared" si="857"/>
        <v>1</v>
      </c>
      <c r="BG719" s="1120">
        <f t="shared" si="858"/>
        <v>1</v>
      </c>
      <c r="BH719" s="1120">
        <f t="shared" si="859"/>
        <v>1</v>
      </c>
      <c r="BI719" s="1120">
        <f t="shared" si="860"/>
        <v>0</v>
      </c>
      <c r="BJ719" s="1120">
        <f t="shared" si="861"/>
        <v>0</v>
      </c>
      <c r="BK719" s="1120">
        <f t="shared" si="862"/>
        <v>1</v>
      </c>
      <c r="BL719" s="1120">
        <f t="shared" si="863"/>
        <v>1</v>
      </c>
      <c r="BM719" s="1120">
        <f t="shared" si="864"/>
        <v>1</v>
      </c>
      <c r="BN719" s="1120">
        <f t="shared" si="865"/>
        <v>1</v>
      </c>
      <c r="BO719" s="1120">
        <f t="shared" si="866"/>
        <v>0</v>
      </c>
      <c r="BP719" s="1120">
        <f t="shared" si="867"/>
        <v>0</v>
      </c>
      <c r="BQ719" s="1120">
        <f t="shared" si="868"/>
        <v>0</v>
      </c>
      <c r="BR719" s="1120">
        <f t="shared" si="869"/>
        <v>0</v>
      </c>
      <c r="BS719" s="1120">
        <f t="shared" si="870"/>
        <v>0</v>
      </c>
      <c r="BT719" s="1120">
        <f t="shared" si="871"/>
        <v>0</v>
      </c>
      <c r="BU719" s="1120">
        <f t="shared" si="872"/>
        <v>1</v>
      </c>
      <c r="BV719" s="1120">
        <f t="shared" si="873"/>
        <v>1</v>
      </c>
      <c r="BW719" s="1120">
        <f t="shared" si="874"/>
        <v>0</v>
      </c>
      <c r="BX719" s="1120">
        <f t="shared" si="875"/>
        <v>0</v>
      </c>
      <c r="BY719" s="1120">
        <f t="shared" si="876"/>
        <v>1</v>
      </c>
      <c r="BZ719" s="1120">
        <f t="shared" si="877"/>
        <v>1</v>
      </c>
      <c r="CA719" s="1120">
        <f t="shared" si="878"/>
        <v>1</v>
      </c>
      <c r="CB719" s="1120">
        <f t="shared" si="879"/>
        <v>1</v>
      </c>
      <c r="CC719" s="1120">
        <f t="shared" si="880"/>
        <v>1</v>
      </c>
      <c r="CD719" s="1120">
        <f t="shared" si="881"/>
        <v>1</v>
      </c>
      <c r="CE719" s="1120">
        <f t="shared" si="882"/>
        <v>1</v>
      </c>
      <c r="CF719" s="1120">
        <f t="shared" si="883"/>
        <v>1</v>
      </c>
      <c r="CG719" s="1120">
        <f t="shared" si="884"/>
        <v>1</v>
      </c>
      <c r="CH719" s="1120">
        <f t="shared" si="885"/>
        <v>0</v>
      </c>
      <c r="CI719" s="1120">
        <f t="shared" si="886"/>
        <v>0.85</v>
      </c>
      <c r="CJ719" s="1120">
        <f t="shared" si="887"/>
        <v>0.85</v>
      </c>
      <c r="CK719" s="1120">
        <f t="shared" si="888"/>
        <v>0.85</v>
      </c>
      <c r="CL719" s="1120">
        <f t="shared" si="889"/>
        <v>0.85</v>
      </c>
      <c r="CM719" s="1120">
        <f t="shared" si="890"/>
        <v>0.7</v>
      </c>
      <c r="CN719" s="1120">
        <f t="shared" si="891"/>
        <v>0.7</v>
      </c>
      <c r="CO719" s="1120">
        <f t="shared" si="892"/>
        <v>0.7</v>
      </c>
      <c r="CP719" s="1120">
        <f t="shared" si="893"/>
        <v>0.7</v>
      </c>
      <c r="CQ719" s="1120">
        <f t="shared" si="894"/>
        <v>0.7</v>
      </c>
      <c r="CR719" s="1120">
        <f t="shared" si="895"/>
        <v>0.7</v>
      </c>
      <c r="CS719" s="1120">
        <f t="shared" si="896"/>
        <v>0.85</v>
      </c>
      <c r="CT719" s="1120">
        <f t="shared" si="897"/>
        <v>0.85</v>
      </c>
      <c r="CU719" s="1120">
        <v>1</v>
      </c>
      <c r="CV719" s="1120"/>
      <c r="CW719" s="1120">
        <f t="shared" si="898"/>
        <v>275</v>
      </c>
      <c r="CX719" s="1120">
        <f t="shared" si="899"/>
        <v>90</v>
      </c>
      <c r="CY719" s="1135" t="s">
        <v>4883</v>
      </c>
      <c r="CZ719" s="1124" t="s">
        <v>4884</v>
      </c>
      <c r="DA719" s="1124"/>
      <c r="DB719" s="1124"/>
      <c r="DC719" s="1120" t="s">
        <v>5262</v>
      </c>
      <c r="DD719" s="1120" t="s">
        <v>591</v>
      </c>
      <c r="DE719" s="1120" t="str">
        <f t="shared" si="825"/>
        <v/>
      </c>
      <c r="DF719" s="1133">
        <v>0</v>
      </c>
      <c r="DG719" s="1125">
        <v>0</v>
      </c>
    </row>
    <row r="720" spans="1:111">
      <c r="A720" s="1120" t="s">
        <v>4140</v>
      </c>
      <c r="B720" s="1125" t="s">
        <v>3681</v>
      </c>
      <c r="C720" s="1125" t="s">
        <v>3682</v>
      </c>
      <c r="D720" s="1125" t="s">
        <v>590</v>
      </c>
      <c r="E720" s="1125">
        <v>46</v>
      </c>
      <c r="F720" s="1125">
        <v>-76.42</v>
      </c>
      <c r="G720" s="1125">
        <v>38.299999999999997</v>
      </c>
      <c r="H720" s="1125">
        <v>-5</v>
      </c>
      <c r="I720" s="1126">
        <v>20.840000343322753</v>
      </c>
      <c r="J720" s="1126">
        <v>89.960001373291021</v>
      </c>
      <c r="K720" s="1127">
        <v>75.739998626708982</v>
      </c>
      <c r="L720" s="1125">
        <v>3349.8</v>
      </c>
      <c r="M720" s="1125">
        <v>1481.4</v>
      </c>
      <c r="N720" s="1128">
        <v>42.440000343322751</v>
      </c>
      <c r="O720" s="1128">
        <v>42.079999828338622</v>
      </c>
      <c r="P720" s="1128">
        <v>50</v>
      </c>
      <c r="Q720" s="1128">
        <v>56.659999656677243</v>
      </c>
      <c r="R720" s="1128">
        <v>66.380000686645502</v>
      </c>
      <c r="S720" s="1128">
        <v>74.83999862670899</v>
      </c>
      <c r="T720" s="1128">
        <v>77.539998626708979</v>
      </c>
      <c r="U720" s="1128">
        <v>77.719999313354492</v>
      </c>
      <c r="V720" s="1128">
        <v>69.619999313354498</v>
      </c>
      <c r="W720" s="1128">
        <v>58.640000343322754</v>
      </c>
      <c r="X720" s="1128">
        <v>52.7</v>
      </c>
      <c r="Y720" s="1128">
        <v>41.9</v>
      </c>
      <c r="Z720" s="1128">
        <v>59.304273703588201</v>
      </c>
      <c r="AA720" s="1128">
        <f t="shared" si="826"/>
        <v>55.962805992845531</v>
      </c>
      <c r="AB720" s="1128">
        <f t="shared" si="827"/>
        <v>55.554599160170241</v>
      </c>
      <c r="AC720" s="1128">
        <f t="shared" si="828"/>
        <v>57.687795244269495</v>
      </c>
      <c r="AD720" s="1128">
        <f t="shared" si="829"/>
        <v>61.80634381227609</v>
      </c>
      <c r="AE720" s="1128">
        <f t="shared" si="830"/>
        <v>66.836681711184497</v>
      </c>
      <c r="AF720" s="1128">
        <f t="shared" si="831"/>
        <v>71.467573847790703</v>
      </c>
      <c r="AG720" s="1128">
        <f t="shared" si="832"/>
        <v>74.491906822480303</v>
      </c>
      <c r="AH720" s="1128">
        <f t="shared" si="833"/>
        <v>75.121341639018553</v>
      </c>
      <c r="AI720" s="1128">
        <f t="shared" si="834"/>
        <v>73.191806412590608</v>
      </c>
      <c r="AJ720" s="1128">
        <f t="shared" si="835"/>
        <v>69.206264235002848</v>
      </c>
      <c r="AK720" s="1128">
        <f t="shared" si="836"/>
        <v>64.20360809390759</v>
      </c>
      <c r="AL720" s="1128">
        <f t="shared" si="837"/>
        <v>59.48785740574607</v>
      </c>
      <c r="AM720" s="1125">
        <f t="shared" si="838"/>
        <v>1</v>
      </c>
      <c r="AN720" s="1125">
        <f t="shared" si="839"/>
        <v>1</v>
      </c>
      <c r="AO720" s="1125">
        <f t="shared" si="840"/>
        <v>1</v>
      </c>
      <c r="AP720" s="1125">
        <f t="shared" si="841"/>
        <v>1</v>
      </c>
      <c r="AQ720" s="1125">
        <f t="shared" si="842"/>
        <v>0</v>
      </c>
      <c r="AR720" s="1125">
        <f t="shared" si="843"/>
        <v>0</v>
      </c>
      <c r="AS720" s="1125">
        <f t="shared" si="844"/>
        <v>0</v>
      </c>
      <c r="AT720" s="1125">
        <f t="shared" si="845"/>
        <v>0</v>
      </c>
      <c r="AU720" s="1125">
        <f t="shared" si="846"/>
        <v>0</v>
      </c>
      <c r="AV720" s="1125">
        <f t="shared" si="847"/>
        <v>1</v>
      </c>
      <c r="AW720" s="1125">
        <f t="shared" si="848"/>
        <v>1</v>
      </c>
      <c r="AX720" s="1125">
        <f t="shared" si="849"/>
        <v>1</v>
      </c>
      <c r="AY720" s="1125">
        <f t="shared" si="850"/>
        <v>0</v>
      </c>
      <c r="AZ720" s="1125">
        <f t="shared" si="851"/>
        <v>0</v>
      </c>
      <c r="BA720" s="1125">
        <f t="shared" si="852"/>
        <v>0</v>
      </c>
      <c r="BB720" s="1125">
        <f t="shared" si="853"/>
        <v>0</v>
      </c>
      <c r="BC720" s="1125">
        <f t="shared" si="854"/>
        <v>1</v>
      </c>
      <c r="BD720" s="1125">
        <f t="shared" si="855"/>
        <v>1</v>
      </c>
      <c r="BE720" s="1125">
        <f t="shared" si="856"/>
        <v>1</v>
      </c>
      <c r="BF720" s="1125">
        <f t="shared" si="857"/>
        <v>1</v>
      </c>
      <c r="BG720" s="1125">
        <f t="shared" si="858"/>
        <v>1</v>
      </c>
      <c r="BH720" s="1125">
        <f t="shared" si="859"/>
        <v>0</v>
      </c>
      <c r="BI720" s="1125">
        <f t="shared" si="860"/>
        <v>0</v>
      </c>
      <c r="BJ720" s="1125">
        <f t="shared" si="861"/>
        <v>0</v>
      </c>
      <c r="BK720" s="1125">
        <f t="shared" si="862"/>
        <v>1</v>
      </c>
      <c r="BL720" s="1125">
        <f t="shared" si="863"/>
        <v>1</v>
      </c>
      <c r="BM720" s="1125">
        <f t="shared" si="864"/>
        <v>1</v>
      </c>
      <c r="BN720" s="1125">
        <f t="shared" si="865"/>
        <v>1</v>
      </c>
      <c r="BO720" s="1125">
        <f t="shared" si="866"/>
        <v>1</v>
      </c>
      <c r="BP720" s="1125">
        <f t="shared" si="867"/>
        <v>0</v>
      </c>
      <c r="BQ720" s="1125">
        <f t="shared" si="868"/>
        <v>0</v>
      </c>
      <c r="BR720" s="1125">
        <f t="shared" si="869"/>
        <v>0</v>
      </c>
      <c r="BS720" s="1125">
        <f t="shared" si="870"/>
        <v>0</v>
      </c>
      <c r="BT720" s="1125">
        <f t="shared" si="871"/>
        <v>1</v>
      </c>
      <c r="BU720" s="1125">
        <f t="shared" si="872"/>
        <v>1</v>
      </c>
      <c r="BV720" s="1125">
        <f t="shared" si="873"/>
        <v>1</v>
      </c>
      <c r="BW720" s="1125">
        <f t="shared" si="874"/>
        <v>0</v>
      </c>
      <c r="BX720" s="1125">
        <f t="shared" si="875"/>
        <v>0</v>
      </c>
      <c r="BY720" s="1125">
        <f t="shared" si="876"/>
        <v>0</v>
      </c>
      <c r="BZ720" s="1125">
        <f t="shared" si="877"/>
        <v>1</v>
      </c>
      <c r="CA720" s="1125">
        <f t="shared" si="878"/>
        <v>1</v>
      </c>
      <c r="CB720" s="1125">
        <f t="shared" si="879"/>
        <v>1</v>
      </c>
      <c r="CC720" s="1125">
        <f t="shared" si="880"/>
        <v>1</v>
      </c>
      <c r="CD720" s="1125">
        <f t="shared" si="881"/>
        <v>1</v>
      </c>
      <c r="CE720" s="1125">
        <f t="shared" si="882"/>
        <v>1</v>
      </c>
      <c r="CF720" s="1125">
        <f t="shared" si="883"/>
        <v>1</v>
      </c>
      <c r="CG720" s="1125">
        <f t="shared" si="884"/>
        <v>0</v>
      </c>
      <c r="CH720" s="1125">
        <f t="shared" si="885"/>
        <v>0</v>
      </c>
      <c r="CI720" s="1125">
        <f t="shared" si="886"/>
        <v>0.85</v>
      </c>
      <c r="CJ720" s="1125">
        <f t="shared" si="887"/>
        <v>0.85</v>
      </c>
      <c r="CK720" s="1125">
        <f t="shared" si="888"/>
        <v>0.85</v>
      </c>
      <c r="CL720" s="1125">
        <f t="shared" si="889"/>
        <v>0.85</v>
      </c>
      <c r="CM720" s="1125">
        <f t="shared" si="890"/>
        <v>0.85</v>
      </c>
      <c r="CN720" s="1125">
        <f t="shared" si="891"/>
        <v>0.7</v>
      </c>
      <c r="CO720" s="1125">
        <f t="shared" si="892"/>
        <v>0.7</v>
      </c>
      <c r="CP720" s="1125">
        <f t="shared" si="893"/>
        <v>0.7</v>
      </c>
      <c r="CQ720" s="1125">
        <f t="shared" si="894"/>
        <v>0.7</v>
      </c>
      <c r="CR720" s="1125">
        <f t="shared" si="895"/>
        <v>0.85</v>
      </c>
      <c r="CS720" s="1125">
        <f t="shared" si="896"/>
        <v>0.85</v>
      </c>
      <c r="CT720" s="1125">
        <f t="shared" si="897"/>
        <v>0.85</v>
      </c>
      <c r="CU720" s="1125">
        <v>1</v>
      </c>
      <c r="CV720" s="1125"/>
      <c r="CW720" s="1125">
        <f t="shared" si="898"/>
        <v>214</v>
      </c>
      <c r="CX720" s="1125">
        <f t="shared" si="899"/>
        <v>151</v>
      </c>
      <c r="CY720" s="1136" t="s">
        <v>4881</v>
      </c>
      <c r="CZ720" s="1129" t="s">
        <v>4885</v>
      </c>
      <c r="DA720" s="1129"/>
      <c r="DB720" s="1129"/>
      <c r="DC720" s="1125" t="s">
        <v>5281</v>
      </c>
      <c r="DD720" s="1125" t="s">
        <v>590</v>
      </c>
      <c r="DE720" s="1120" t="str">
        <f t="shared" si="825"/>
        <v/>
      </c>
      <c r="DF720" s="1133">
        <v>0</v>
      </c>
      <c r="DG720" s="1120">
        <v>0</v>
      </c>
    </row>
    <row r="721" spans="1:111">
      <c r="A721" s="1125" t="s">
        <v>4144</v>
      </c>
      <c r="B721" s="1120" t="s">
        <v>5917</v>
      </c>
      <c r="C721" s="1120" t="s">
        <v>5918</v>
      </c>
      <c r="D721" s="1120" t="s">
        <v>789</v>
      </c>
      <c r="E721" s="1120">
        <v>440</v>
      </c>
      <c r="F721" s="1120">
        <v>-71.5</v>
      </c>
      <c r="G721" s="1120">
        <v>41.92</v>
      </c>
      <c r="H721" s="1120">
        <v>-5</v>
      </c>
      <c r="I721" s="1121">
        <v>8.9599996566772457</v>
      </c>
      <c r="J721" s="1121">
        <v>84.019999313354489</v>
      </c>
      <c r="K721" s="1122">
        <v>70.7</v>
      </c>
      <c r="L721" s="1120">
        <v>6253.2</v>
      </c>
      <c r="M721" s="1120">
        <v>532.80000000000007</v>
      </c>
      <c r="N721" s="1123">
        <v>25.7</v>
      </c>
      <c r="O721" s="1123">
        <v>32.360000005364419</v>
      </c>
      <c r="P721" s="1123">
        <v>33.080000042915344</v>
      </c>
      <c r="Q721" s="1123">
        <v>45.859999656677246</v>
      </c>
      <c r="R721" s="1123">
        <v>55.759999656677245</v>
      </c>
      <c r="S721" s="1123">
        <v>67.280000686645508</v>
      </c>
      <c r="T721" s="1123">
        <v>66.919999313354495</v>
      </c>
      <c r="U721" s="1123">
        <v>70.7</v>
      </c>
      <c r="V721" s="1123">
        <v>64.039998626708979</v>
      </c>
      <c r="W721" s="1123">
        <v>49.459999656677248</v>
      </c>
      <c r="X721" s="1123">
        <v>37.939999914169313</v>
      </c>
      <c r="Y721" s="1123">
        <v>34.880000042915341</v>
      </c>
      <c r="Z721" s="1123">
        <v>48.742958703465661</v>
      </c>
      <c r="AA721" s="1123">
        <f t="shared" si="826"/>
        <v>46.009941824808237</v>
      </c>
      <c r="AB721" s="1123">
        <f t="shared" si="827"/>
        <v>44.675891484901825</v>
      </c>
      <c r="AC721" s="1123">
        <f t="shared" si="828"/>
        <v>45.9659773537159</v>
      </c>
      <c r="AD721" s="1123">
        <f t="shared" si="829"/>
        <v>49.543918668719066</v>
      </c>
      <c r="AE721" s="1123">
        <f t="shared" si="830"/>
        <v>54.477069888411059</v>
      </c>
      <c r="AF721" s="1123">
        <f t="shared" si="831"/>
        <v>59.479529125217709</v>
      </c>
      <c r="AG721" s="1123">
        <f t="shared" si="832"/>
        <v>63.247328288835014</v>
      </c>
      <c r="AH721" s="1123">
        <f t="shared" si="833"/>
        <v>64.79833246372344</v>
      </c>
      <c r="AI721" s="1123">
        <f t="shared" si="834"/>
        <v>63.728248510000505</v>
      </c>
      <c r="AJ721" s="1123">
        <f t="shared" si="835"/>
        <v>60.316010300696959</v>
      </c>
      <c r="AK721" s="1123">
        <f t="shared" si="836"/>
        <v>55.451070309250284</v>
      </c>
      <c r="AL721" s="1123">
        <f t="shared" si="837"/>
        <v>50.401550115425714</v>
      </c>
      <c r="AM721" s="1120">
        <f t="shared" si="838"/>
        <v>1</v>
      </c>
      <c r="AN721" s="1120">
        <f t="shared" si="839"/>
        <v>1</v>
      </c>
      <c r="AO721" s="1120">
        <f t="shared" si="840"/>
        <v>1</v>
      </c>
      <c r="AP721" s="1120">
        <f t="shared" si="841"/>
        <v>1</v>
      </c>
      <c r="AQ721" s="1120">
        <f t="shared" si="842"/>
        <v>1</v>
      </c>
      <c r="AR721" s="1120">
        <f t="shared" si="843"/>
        <v>0</v>
      </c>
      <c r="AS721" s="1120">
        <f t="shared" si="844"/>
        <v>0</v>
      </c>
      <c r="AT721" s="1120">
        <f t="shared" si="845"/>
        <v>0</v>
      </c>
      <c r="AU721" s="1120">
        <f t="shared" si="846"/>
        <v>1</v>
      </c>
      <c r="AV721" s="1120">
        <f t="shared" si="847"/>
        <v>1</v>
      </c>
      <c r="AW721" s="1120">
        <f t="shared" si="848"/>
        <v>1</v>
      </c>
      <c r="AX721" s="1120">
        <f t="shared" si="849"/>
        <v>1</v>
      </c>
      <c r="AY721" s="1120">
        <f t="shared" si="850"/>
        <v>0</v>
      </c>
      <c r="AZ721" s="1120">
        <f t="shared" si="851"/>
        <v>0</v>
      </c>
      <c r="BA721" s="1120">
        <f t="shared" si="852"/>
        <v>0</v>
      </c>
      <c r="BB721" s="1120">
        <f t="shared" si="853"/>
        <v>0</v>
      </c>
      <c r="BC721" s="1120">
        <f t="shared" si="854"/>
        <v>0</v>
      </c>
      <c r="BD721" s="1120">
        <f t="shared" si="855"/>
        <v>1</v>
      </c>
      <c r="BE721" s="1120">
        <f t="shared" si="856"/>
        <v>1</v>
      </c>
      <c r="BF721" s="1120">
        <f t="shared" si="857"/>
        <v>1</v>
      </c>
      <c r="BG721" s="1120">
        <f t="shared" si="858"/>
        <v>0</v>
      </c>
      <c r="BH721" s="1120">
        <f t="shared" si="859"/>
        <v>0</v>
      </c>
      <c r="BI721" s="1120">
        <f t="shared" si="860"/>
        <v>0</v>
      </c>
      <c r="BJ721" s="1120">
        <f t="shared" si="861"/>
        <v>0</v>
      </c>
      <c r="BK721" s="1120">
        <f t="shared" si="862"/>
        <v>1</v>
      </c>
      <c r="BL721" s="1120">
        <f t="shared" si="863"/>
        <v>1</v>
      </c>
      <c r="BM721" s="1120">
        <f t="shared" si="864"/>
        <v>1</v>
      </c>
      <c r="BN721" s="1120">
        <f t="shared" si="865"/>
        <v>1</v>
      </c>
      <c r="BO721" s="1120">
        <f t="shared" si="866"/>
        <v>1</v>
      </c>
      <c r="BP721" s="1120">
        <f t="shared" si="867"/>
        <v>1</v>
      </c>
      <c r="BQ721" s="1120">
        <f t="shared" si="868"/>
        <v>0</v>
      </c>
      <c r="BR721" s="1120">
        <f t="shared" si="869"/>
        <v>0</v>
      </c>
      <c r="BS721" s="1120">
        <f t="shared" si="870"/>
        <v>1</v>
      </c>
      <c r="BT721" s="1120">
        <f t="shared" si="871"/>
        <v>1</v>
      </c>
      <c r="BU721" s="1120">
        <f t="shared" si="872"/>
        <v>1</v>
      </c>
      <c r="BV721" s="1120">
        <f t="shared" si="873"/>
        <v>1</v>
      </c>
      <c r="BW721" s="1120">
        <f t="shared" si="874"/>
        <v>0</v>
      </c>
      <c r="BX721" s="1120">
        <f t="shared" si="875"/>
        <v>0</v>
      </c>
      <c r="BY721" s="1120">
        <f t="shared" si="876"/>
        <v>0</v>
      </c>
      <c r="BZ721" s="1120">
        <f t="shared" si="877"/>
        <v>0</v>
      </c>
      <c r="CA721" s="1120">
        <f t="shared" si="878"/>
        <v>1</v>
      </c>
      <c r="CB721" s="1120">
        <f t="shared" si="879"/>
        <v>1</v>
      </c>
      <c r="CC721" s="1120">
        <f t="shared" si="880"/>
        <v>1</v>
      </c>
      <c r="CD721" s="1120">
        <f t="shared" si="881"/>
        <v>1</v>
      </c>
      <c r="CE721" s="1120">
        <f t="shared" si="882"/>
        <v>1</v>
      </c>
      <c r="CF721" s="1120">
        <f t="shared" si="883"/>
        <v>0</v>
      </c>
      <c r="CG721" s="1120">
        <f t="shared" si="884"/>
        <v>0</v>
      </c>
      <c r="CH721" s="1120">
        <f t="shared" si="885"/>
        <v>0</v>
      </c>
      <c r="CI721" s="1120">
        <f t="shared" si="886"/>
        <v>0.85</v>
      </c>
      <c r="CJ721" s="1120">
        <f t="shared" si="887"/>
        <v>0.85</v>
      </c>
      <c r="CK721" s="1120">
        <f t="shared" si="888"/>
        <v>0.85</v>
      </c>
      <c r="CL721" s="1120">
        <f t="shared" si="889"/>
        <v>0.85</v>
      </c>
      <c r="CM721" s="1120">
        <f t="shared" si="890"/>
        <v>0.85</v>
      </c>
      <c r="CN721" s="1120">
        <f t="shared" si="891"/>
        <v>0.85</v>
      </c>
      <c r="CO721" s="1120">
        <f t="shared" si="892"/>
        <v>0.7</v>
      </c>
      <c r="CP721" s="1120">
        <f t="shared" si="893"/>
        <v>0.7</v>
      </c>
      <c r="CQ721" s="1120">
        <f t="shared" si="894"/>
        <v>0.85</v>
      </c>
      <c r="CR721" s="1120">
        <f t="shared" si="895"/>
        <v>0.85</v>
      </c>
      <c r="CS721" s="1120">
        <f t="shared" si="896"/>
        <v>0.85</v>
      </c>
      <c r="CT721" s="1120">
        <f t="shared" si="897"/>
        <v>0.85</v>
      </c>
      <c r="CU721" s="1120">
        <v>1</v>
      </c>
      <c r="CV721" s="1120"/>
      <c r="CW721" s="1120">
        <f t="shared" si="898"/>
        <v>153</v>
      </c>
      <c r="CX721" s="1120">
        <f t="shared" si="899"/>
        <v>212</v>
      </c>
      <c r="CY721" s="1135" t="s">
        <v>4889</v>
      </c>
      <c r="CZ721" s="1124" t="s">
        <v>4897</v>
      </c>
      <c r="DA721" s="1124"/>
      <c r="DB721" s="1124"/>
      <c r="DC721" s="1120" t="s">
        <v>5780</v>
      </c>
      <c r="DD721" s="1120" t="s">
        <v>789</v>
      </c>
      <c r="DE721" s="1120" t="str">
        <f t="shared" si="825"/>
        <v/>
      </c>
      <c r="DF721" s="1133">
        <v>0</v>
      </c>
      <c r="DG721" s="1125">
        <v>0</v>
      </c>
    </row>
    <row r="722" spans="1:111">
      <c r="A722" s="1120" t="s">
        <v>4146</v>
      </c>
      <c r="B722" s="1120" t="s">
        <v>4048</v>
      </c>
      <c r="C722" s="1120" t="s">
        <v>4049</v>
      </c>
      <c r="D722" s="1120" t="s">
        <v>1249</v>
      </c>
      <c r="E722" s="1120">
        <v>102</v>
      </c>
      <c r="F722" s="1120">
        <v>-70.819999999999993</v>
      </c>
      <c r="G722" s="1120">
        <v>43.08</v>
      </c>
      <c r="H722" s="1120">
        <v>-5</v>
      </c>
      <c r="I722" s="1121">
        <v>7.6999999999999993</v>
      </c>
      <c r="J722" s="1121">
        <v>85.819999313354487</v>
      </c>
      <c r="K722" s="1122">
        <v>71.060001373291016</v>
      </c>
      <c r="L722" s="1120">
        <v>6530.4000000000005</v>
      </c>
      <c r="M722" s="1120">
        <v>585</v>
      </c>
      <c r="N722" s="1123">
        <v>30.559999978542329</v>
      </c>
      <c r="O722" s="1123">
        <v>26.779999828338624</v>
      </c>
      <c r="P722" s="1123">
        <v>33.080000042915344</v>
      </c>
      <c r="Q722" s="1123">
        <v>42.259999656677245</v>
      </c>
      <c r="R722" s="1123">
        <v>55.4</v>
      </c>
      <c r="S722" s="1123">
        <v>66.380000686645502</v>
      </c>
      <c r="T722" s="1123">
        <v>71.419999313354495</v>
      </c>
      <c r="U722" s="1123">
        <v>68.900000000000006</v>
      </c>
      <c r="V722" s="1123">
        <v>60.440000343322751</v>
      </c>
      <c r="W722" s="1123">
        <v>48.919999313354495</v>
      </c>
      <c r="X722" s="1123">
        <v>38.299999999999997</v>
      </c>
      <c r="Y722" s="1123">
        <v>33.259999978542325</v>
      </c>
      <c r="Z722" s="1123">
        <v>48.106794447180341</v>
      </c>
      <c r="AA722" s="1123">
        <f t="shared" si="826"/>
        <v>45.620943507101622</v>
      </c>
      <c r="AB722" s="1123">
        <f t="shared" si="827"/>
        <v>44.263321020895852</v>
      </c>
      <c r="AC722" s="1123">
        <f t="shared" si="828"/>
        <v>45.471551575768316</v>
      </c>
      <c r="AD722" s="1123">
        <f t="shared" si="829"/>
        <v>48.930691258195068</v>
      </c>
      <c r="AE722" s="1123">
        <f t="shared" si="830"/>
        <v>53.739062002995475</v>
      </c>
      <c r="AF722" s="1123">
        <f t="shared" si="831"/>
        <v>58.643287876301166</v>
      </c>
      <c r="AG722" s="1123">
        <f t="shared" si="832"/>
        <v>62.365006827826633</v>
      </c>
      <c r="AH722" s="1123">
        <f t="shared" si="833"/>
        <v>63.934095459431639</v>
      </c>
      <c r="AI722" s="1123">
        <f t="shared" si="834"/>
        <v>62.941546638900597</v>
      </c>
      <c r="AJ722" s="1123">
        <f t="shared" si="835"/>
        <v>59.646083511945243</v>
      </c>
      <c r="AK722" s="1123">
        <f t="shared" si="836"/>
        <v>54.906719327230505</v>
      </c>
      <c r="AL722" s="1123">
        <f t="shared" si="837"/>
        <v>49.958842395315166</v>
      </c>
      <c r="AM722" s="1120">
        <f t="shared" si="838"/>
        <v>1</v>
      </c>
      <c r="AN722" s="1120">
        <f t="shared" si="839"/>
        <v>1</v>
      </c>
      <c r="AO722" s="1120">
        <f t="shared" si="840"/>
        <v>1</v>
      </c>
      <c r="AP722" s="1120">
        <f t="shared" si="841"/>
        <v>1</v>
      </c>
      <c r="AQ722" s="1120">
        <f t="shared" si="842"/>
        <v>1</v>
      </c>
      <c r="AR722" s="1120">
        <f t="shared" si="843"/>
        <v>0</v>
      </c>
      <c r="AS722" s="1120">
        <f t="shared" si="844"/>
        <v>0</v>
      </c>
      <c r="AT722" s="1120">
        <f t="shared" si="845"/>
        <v>0</v>
      </c>
      <c r="AU722" s="1120">
        <f t="shared" si="846"/>
        <v>1</v>
      </c>
      <c r="AV722" s="1120">
        <f t="shared" si="847"/>
        <v>1</v>
      </c>
      <c r="AW722" s="1120">
        <f t="shared" si="848"/>
        <v>1</v>
      </c>
      <c r="AX722" s="1120">
        <f t="shared" si="849"/>
        <v>1</v>
      </c>
      <c r="AY722" s="1120">
        <f t="shared" si="850"/>
        <v>0</v>
      </c>
      <c r="AZ722" s="1120">
        <f t="shared" si="851"/>
        <v>0</v>
      </c>
      <c r="BA722" s="1120">
        <f t="shared" si="852"/>
        <v>0</v>
      </c>
      <c r="BB722" s="1120">
        <f t="shared" si="853"/>
        <v>0</v>
      </c>
      <c r="BC722" s="1120">
        <f t="shared" si="854"/>
        <v>0</v>
      </c>
      <c r="BD722" s="1120">
        <f t="shared" si="855"/>
        <v>1</v>
      </c>
      <c r="BE722" s="1120">
        <f t="shared" si="856"/>
        <v>1</v>
      </c>
      <c r="BF722" s="1120">
        <f t="shared" si="857"/>
        <v>1</v>
      </c>
      <c r="BG722" s="1120">
        <f t="shared" si="858"/>
        <v>0</v>
      </c>
      <c r="BH722" s="1120">
        <f t="shared" si="859"/>
        <v>0</v>
      </c>
      <c r="BI722" s="1120">
        <f t="shared" si="860"/>
        <v>0</v>
      </c>
      <c r="BJ722" s="1120">
        <f t="shared" si="861"/>
        <v>0</v>
      </c>
      <c r="BK722" s="1120">
        <f t="shared" si="862"/>
        <v>1</v>
      </c>
      <c r="BL722" s="1120">
        <f t="shared" si="863"/>
        <v>1</v>
      </c>
      <c r="BM722" s="1120">
        <f t="shared" si="864"/>
        <v>1</v>
      </c>
      <c r="BN722" s="1120">
        <f t="shared" si="865"/>
        <v>1</v>
      </c>
      <c r="BO722" s="1120">
        <f t="shared" si="866"/>
        <v>1</v>
      </c>
      <c r="BP722" s="1120">
        <f t="shared" si="867"/>
        <v>1</v>
      </c>
      <c r="BQ722" s="1120">
        <f t="shared" si="868"/>
        <v>0</v>
      </c>
      <c r="BR722" s="1120">
        <f t="shared" si="869"/>
        <v>0</v>
      </c>
      <c r="BS722" s="1120">
        <f t="shared" si="870"/>
        <v>1</v>
      </c>
      <c r="BT722" s="1120">
        <f t="shared" si="871"/>
        <v>1</v>
      </c>
      <c r="BU722" s="1120">
        <f t="shared" si="872"/>
        <v>1</v>
      </c>
      <c r="BV722" s="1120">
        <f t="shared" si="873"/>
        <v>1</v>
      </c>
      <c r="BW722" s="1120">
        <f t="shared" si="874"/>
        <v>0</v>
      </c>
      <c r="BX722" s="1120">
        <f t="shared" si="875"/>
        <v>0</v>
      </c>
      <c r="BY722" s="1120">
        <f t="shared" si="876"/>
        <v>0</v>
      </c>
      <c r="BZ722" s="1120">
        <f t="shared" si="877"/>
        <v>0</v>
      </c>
      <c r="CA722" s="1120">
        <f t="shared" si="878"/>
        <v>1</v>
      </c>
      <c r="CB722" s="1120">
        <f t="shared" si="879"/>
        <v>1</v>
      </c>
      <c r="CC722" s="1120">
        <f t="shared" si="880"/>
        <v>1</v>
      </c>
      <c r="CD722" s="1120">
        <f t="shared" si="881"/>
        <v>1</v>
      </c>
      <c r="CE722" s="1120">
        <f t="shared" si="882"/>
        <v>1</v>
      </c>
      <c r="CF722" s="1120">
        <f t="shared" si="883"/>
        <v>0</v>
      </c>
      <c r="CG722" s="1120">
        <f t="shared" si="884"/>
        <v>0</v>
      </c>
      <c r="CH722" s="1120">
        <f t="shared" si="885"/>
        <v>0</v>
      </c>
      <c r="CI722" s="1120">
        <f t="shared" si="886"/>
        <v>0.85</v>
      </c>
      <c r="CJ722" s="1120">
        <f t="shared" si="887"/>
        <v>0.85</v>
      </c>
      <c r="CK722" s="1120">
        <f t="shared" si="888"/>
        <v>0.85</v>
      </c>
      <c r="CL722" s="1120">
        <f t="shared" si="889"/>
        <v>0.85</v>
      </c>
      <c r="CM722" s="1120">
        <f t="shared" si="890"/>
        <v>0.85</v>
      </c>
      <c r="CN722" s="1120">
        <f t="shared" si="891"/>
        <v>0.85</v>
      </c>
      <c r="CO722" s="1120">
        <f t="shared" si="892"/>
        <v>0.7</v>
      </c>
      <c r="CP722" s="1120">
        <f t="shared" si="893"/>
        <v>0.7</v>
      </c>
      <c r="CQ722" s="1120">
        <f t="shared" si="894"/>
        <v>0.85</v>
      </c>
      <c r="CR722" s="1120">
        <f t="shared" si="895"/>
        <v>0.85</v>
      </c>
      <c r="CS722" s="1120">
        <f t="shared" si="896"/>
        <v>0.85</v>
      </c>
      <c r="CT722" s="1120">
        <f t="shared" si="897"/>
        <v>0.85</v>
      </c>
      <c r="CU722" s="1120">
        <v>1</v>
      </c>
      <c r="CV722" s="1120"/>
      <c r="CW722" s="1120">
        <f t="shared" si="898"/>
        <v>153</v>
      </c>
      <c r="CX722" s="1120">
        <f t="shared" si="899"/>
        <v>212</v>
      </c>
      <c r="CY722" s="1135" t="s">
        <v>4889</v>
      </c>
      <c r="CZ722" s="1124" t="s">
        <v>4897</v>
      </c>
      <c r="DA722" s="1124"/>
      <c r="DB722" s="1124"/>
      <c r="DC722" s="1120" t="s">
        <v>5438</v>
      </c>
      <c r="DD722" s="1120" t="s">
        <v>1249</v>
      </c>
      <c r="DE722" s="1120" t="str">
        <f t="shared" si="825"/>
        <v/>
      </c>
      <c r="DF722" s="1133">
        <v>0</v>
      </c>
      <c r="DG722" s="1120">
        <v>0</v>
      </c>
    </row>
    <row r="723" spans="1:111">
      <c r="A723" s="1125" t="s">
        <v>4148</v>
      </c>
      <c r="B723" s="1120" t="s">
        <v>3751</v>
      </c>
      <c r="C723" s="1120" t="s">
        <v>3752</v>
      </c>
      <c r="D723" s="1120" t="s">
        <v>540</v>
      </c>
      <c r="E723" s="1120">
        <v>715</v>
      </c>
      <c r="F723" s="1120">
        <v>-84.78</v>
      </c>
      <c r="G723" s="1120">
        <v>45.57</v>
      </c>
      <c r="H723" s="1120">
        <v>-5</v>
      </c>
      <c r="I723" s="1121">
        <v>-3.6399986267089854</v>
      </c>
      <c r="J723" s="1121">
        <v>84.019999313354489</v>
      </c>
      <c r="K723" s="1122">
        <v>69.619999313354498</v>
      </c>
      <c r="L723" s="1120">
        <v>7054.2</v>
      </c>
      <c r="M723" s="1120">
        <v>450</v>
      </c>
      <c r="N723" s="1123">
        <v>23.540000343322752</v>
      </c>
      <c r="O723" s="1123">
        <v>24.979999828338624</v>
      </c>
      <c r="P723" s="1123">
        <v>36.679999828338623</v>
      </c>
      <c r="Q723" s="1123">
        <v>45.5</v>
      </c>
      <c r="R723" s="1123">
        <v>57.919999313354495</v>
      </c>
      <c r="S723" s="1123">
        <v>64.400000000000006</v>
      </c>
      <c r="T723" s="1123">
        <v>70.16000137329101</v>
      </c>
      <c r="U723" s="1123">
        <v>64.939998626708984</v>
      </c>
      <c r="V723" s="1123">
        <v>60.980000686645511</v>
      </c>
      <c r="W723" s="1123">
        <v>44.779999828338624</v>
      </c>
      <c r="X723" s="1123">
        <v>35.960000085830686</v>
      </c>
      <c r="Y723" s="1123">
        <v>24.620000171661378</v>
      </c>
      <c r="Z723" s="1123">
        <v>46.319123294255505</v>
      </c>
      <c r="AA723" s="1123">
        <f t="shared" si="826"/>
        <v>43.973918891436689</v>
      </c>
      <c r="AB723" s="1123">
        <f t="shared" si="827"/>
        <v>42.465031686386119</v>
      </c>
      <c r="AC723" s="1123">
        <f t="shared" si="828"/>
        <v>43.52476531507503</v>
      </c>
      <c r="AD723" s="1123">
        <f t="shared" si="829"/>
        <v>46.876883876196096</v>
      </c>
      <c r="AE723" s="1123">
        <f t="shared" si="830"/>
        <v>51.647606009082438</v>
      </c>
      <c r="AF723" s="1123">
        <f t="shared" si="831"/>
        <v>56.593369470743738</v>
      </c>
      <c r="AG723" s="1123">
        <f t="shared" si="832"/>
        <v>60.424984798375988</v>
      </c>
      <c r="AH723" s="1123">
        <f t="shared" si="833"/>
        <v>62.143682409852318</v>
      </c>
      <c r="AI723" s="1123">
        <f t="shared" si="834"/>
        <v>61.30145728680948</v>
      </c>
      <c r="AJ723" s="1123">
        <f t="shared" si="835"/>
        <v>58.117848386650635</v>
      </c>
      <c r="AK723" s="1123">
        <f t="shared" si="836"/>
        <v>53.42271243010039</v>
      </c>
      <c r="AL723" s="1123">
        <f t="shared" si="837"/>
        <v>48.439908958468799</v>
      </c>
      <c r="AM723" s="1120">
        <f t="shared" si="838"/>
        <v>1</v>
      </c>
      <c r="AN723" s="1120">
        <f t="shared" si="839"/>
        <v>1</v>
      </c>
      <c r="AO723" s="1120">
        <f t="shared" si="840"/>
        <v>1</v>
      </c>
      <c r="AP723" s="1120">
        <f t="shared" si="841"/>
        <v>1</v>
      </c>
      <c r="AQ723" s="1120">
        <f t="shared" si="842"/>
        <v>1</v>
      </c>
      <c r="AR723" s="1120">
        <f t="shared" si="843"/>
        <v>1</v>
      </c>
      <c r="AS723" s="1120">
        <f t="shared" si="844"/>
        <v>0</v>
      </c>
      <c r="AT723" s="1120">
        <f t="shared" si="845"/>
        <v>1</v>
      </c>
      <c r="AU723" s="1120">
        <f t="shared" si="846"/>
        <v>1</v>
      </c>
      <c r="AV723" s="1120">
        <f t="shared" si="847"/>
        <v>1</v>
      </c>
      <c r="AW723" s="1120">
        <f t="shared" si="848"/>
        <v>1</v>
      </c>
      <c r="AX723" s="1120">
        <f t="shared" si="849"/>
        <v>1</v>
      </c>
      <c r="AY723" s="1120">
        <f t="shared" si="850"/>
        <v>0</v>
      </c>
      <c r="AZ723" s="1120">
        <f t="shared" si="851"/>
        <v>0</v>
      </c>
      <c r="BA723" s="1120">
        <f t="shared" si="852"/>
        <v>0</v>
      </c>
      <c r="BB723" s="1120">
        <f t="shared" si="853"/>
        <v>0</v>
      </c>
      <c r="BC723" s="1120">
        <f t="shared" si="854"/>
        <v>0</v>
      </c>
      <c r="BD723" s="1120">
        <f t="shared" si="855"/>
        <v>0</v>
      </c>
      <c r="BE723" s="1120">
        <f t="shared" si="856"/>
        <v>1</v>
      </c>
      <c r="BF723" s="1120">
        <f t="shared" si="857"/>
        <v>1</v>
      </c>
      <c r="BG723" s="1120">
        <f t="shared" si="858"/>
        <v>0</v>
      </c>
      <c r="BH723" s="1120">
        <f t="shared" si="859"/>
        <v>0</v>
      </c>
      <c r="BI723" s="1120">
        <f t="shared" si="860"/>
        <v>0</v>
      </c>
      <c r="BJ723" s="1120">
        <f t="shared" si="861"/>
        <v>0</v>
      </c>
      <c r="BK723" s="1120">
        <f t="shared" si="862"/>
        <v>1</v>
      </c>
      <c r="BL723" s="1120">
        <f t="shared" si="863"/>
        <v>1</v>
      </c>
      <c r="BM723" s="1120">
        <f t="shared" si="864"/>
        <v>1</v>
      </c>
      <c r="BN723" s="1120">
        <f t="shared" si="865"/>
        <v>1</v>
      </c>
      <c r="BO723" s="1120">
        <f t="shared" si="866"/>
        <v>1</v>
      </c>
      <c r="BP723" s="1120">
        <f t="shared" si="867"/>
        <v>1</v>
      </c>
      <c r="BQ723" s="1120">
        <f t="shared" si="868"/>
        <v>1</v>
      </c>
      <c r="BR723" s="1120">
        <f t="shared" si="869"/>
        <v>1</v>
      </c>
      <c r="BS723" s="1120">
        <f t="shared" si="870"/>
        <v>1</v>
      </c>
      <c r="BT723" s="1120">
        <f t="shared" si="871"/>
        <v>1</v>
      </c>
      <c r="BU723" s="1120">
        <f t="shared" si="872"/>
        <v>1</v>
      </c>
      <c r="BV723" s="1120">
        <f t="shared" si="873"/>
        <v>1</v>
      </c>
      <c r="BW723" s="1120">
        <f t="shared" si="874"/>
        <v>0</v>
      </c>
      <c r="BX723" s="1120">
        <f t="shared" si="875"/>
        <v>0</v>
      </c>
      <c r="BY723" s="1120">
        <f t="shared" si="876"/>
        <v>0</v>
      </c>
      <c r="BZ723" s="1120">
        <f t="shared" si="877"/>
        <v>0</v>
      </c>
      <c r="CA723" s="1120">
        <f t="shared" si="878"/>
        <v>0</v>
      </c>
      <c r="CB723" s="1120">
        <f t="shared" si="879"/>
        <v>1</v>
      </c>
      <c r="CC723" s="1120">
        <f t="shared" si="880"/>
        <v>1</v>
      </c>
      <c r="CD723" s="1120">
        <f t="shared" si="881"/>
        <v>1</v>
      </c>
      <c r="CE723" s="1120">
        <f t="shared" si="882"/>
        <v>0</v>
      </c>
      <c r="CF723" s="1120">
        <f t="shared" si="883"/>
        <v>0</v>
      </c>
      <c r="CG723" s="1120">
        <f t="shared" si="884"/>
        <v>0</v>
      </c>
      <c r="CH723" s="1120">
        <f t="shared" si="885"/>
        <v>0</v>
      </c>
      <c r="CI723" s="1120">
        <f t="shared" si="886"/>
        <v>0.85</v>
      </c>
      <c r="CJ723" s="1120">
        <f t="shared" si="887"/>
        <v>0.85</v>
      </c>
      <c r="CK723" s="1120">
        <f t="shared" si="888"/>
        <v>0.85</v>
      </c>
      <c r="CL723" s="1120">
        <f t="shared" si="889"/>
        <v>0.85</v>
      </c>
      <c r="CM723" s="1120">
        <f t="shared" si="890"/>
        <v>0.85</v>
      </c>
      <c r="CN723" s="1120">
        <f t="shared" si="891"/>
        <v>0.85</v>
      </c>
      <c r="CO723" s="1120">
        <f t="shared" si="892"/>
        <v>0.85</v>
      </c>
      <c r="CP723" s="1120">
        <f t="shared" si="893"/>
        <v>0.85</v>
      </c>
      <c r="CQ723" s="1120">
        <f t="shared" si="894"/>
        <v>0.85</v>
      </c>
      <c r="CR723" s="1120">
        <f t="shared" si="895"/>
        <v>0.85</v>
      </c>
      <c r="CS723" s="1120">
        <f t="shared" si="896"/>
        <v>0.85</v>
      </c>
      <c r="CT723" s="1120">
        <f t="shared" si="897"/>
        <v>0.85</v>
      </c>
      <c r="CU723" s="1120">
        <v>1</v>
      </c>
      <c r="CV723" s="1120"/>
      <c r="CW723" s="1120">
        <f t="shared" si="898"/>
        <v>92</v>
      </c>
      <c r="CX723" s="1120">
        <f t="shared" si="899"/>
        <v>273</v>
      </c>
      <c r="CY723" s="1136" t="s">
        <v>4889</v>
      </c>
      <c r="CZ723" s="1129" t="s">
        <v>4899</v>
      </c>
      <c r="DA723" s="1129"/>
      <c r="DB723" s="1129"/>
      <c r="DC723" s="1125" t="s">
        <v>5314</v>
      </c>
      <c r="DD723" s="1125" t="s">
        <v>540</v>
      </c>
      <c r="DE723" s="1120" t="str">
        <f t="shared" si="825"/>
        <v/>
      </c>
      <c r="DF723" s="1133">
        <v>1</v>
      </c>
      <c r="DG723" s="1125">
        <v>0</v>
      </c>
    </row>
    <row r="724" spans="1:111">
      <c r="A724" s="1120" t="s">
        <v>4150</v>
      </c>
      <c r="B724" s="1120" t="s">
        <v>4240</v>
      </c>
      <c r="C724" s="1120" t="s">
        <v>4241</v>
      </c>
      <c r="D724" s="1120" t="s">
        <v>427</v>
      </c>
      <c r="E724" s="1120">
        <v>1483</v>
      </c>
      <c r="F724" s="1120">
        <v>-118.83</v>
      </c>
      <c r="G724" s="1120">
        <v>45.7</v>
      </c>
      <c r="H724" s="1120">
        <v>-8</v>
      </c>
      <c r="I724" s="1121">
        <v>14.9</v>
      </c>
      <c r="J724" s="1121">
        <v>92.83999862670899</v>
      </c>
      <c r="K724" s="1122">
        <v>63.680000686645506</v>
      </c>
      <c r="L724" s="1120">
        <v>5112</v>
      </c>
      <c r="M724" s="1120">
        <v>655.20000000000005</v>
      </c>
      <c r="N724" s="1123">
        <v>32.180000002682206</v>
      </c>
      <c r="O724" s="1123">
        <v>38.660000085830688</v>
      </c>
      <c r="P724" s="1123">
        <v>43.7</v>
      </c>
      <c r="Q724" s="1123">
        <v>50.540000343322752</v>
      </c>
      <c r="R724" s="1123">
        <v>57.019999313354489</v>
      </c>
      <c r="S724" s="1123">
        <v>63.86000137329102</v>
      </c>
      <c r="T724" s="1123">
        <v>72.319999313354487</v>
      </c>
      <c r="U724" s="1123">
        <v>72.5</v>
      </c>
      <c r="V724" s="1123">
        <v>62.960001373291014</v>
      </c>
      <c r="W724" s="1123">
        <v>51.8</v>
      </c>
      <c r="X724" s="1123">
        <v>45.5</v>
      </c>
      <c r="Y724" s="1123">
        <v>34.160000085830688</v>
      </c>
      <c r="Z724" s="1123">
        <v>52.170849466499398</v>
      </c>
      <c r="AA724" s="1123">
        <f t="shared" si="826"/>
        <v>49.476413574617197</v>
      </c>
      <c r="AB724" s="1123">
        <f t="shared" si="827"/>
        <v>48.474060508817288</v>
      </c>
      <c r="AC724" s="1123">
        <f t="shared" si="828"/>
        <v>49.999324916878322</v>
      </c>
      <c r="AD724" s="1123">
        <f t="shared" si="829"/>
        <v>53.654623125803184</v>
      </c>
      <c r="AE724" s="1123">
        <f t="shared" si="830"/>
        <v>58.487145327585111</v>
      </c>
      <c r="AF724" s="1123">
        <f t="shared" si="831"/>
        <v>63.237220138908278</v>
      </c>
      <c r="AG724" s="1123">
        <f t="shared" si="832"/>
        <v>66.666667359332706</v>
      </c>
      <c r="AH724" s="1123">
        <f t="shared" si="833"/>
        <v>67.881548721473337</v>
      </c>
      <c r="AI724" s="1123">
        <f t="shared" si="834"/>
        <v>66.565186676399748</v>
      </c>
      <c r="AJ724" s="1123">
        <f t="shared" si="835"/>
        <v>63.060711276913509</v>
      </c>
      <c r="AK724" s="1123">
        <f t="shared" si="836"/>
        <v>58.281618041491342</v>
      </c>
      <c r="AL724" s="1123">
        <f t="shared" si="837"/>
        <v>53.473651270002129</v>
      </c>
      <c r="AM724" s="1120">
        <f t="shared" si="838"/>
        <v>1</v>
      </c>
      <c r="AN724" s="1120">
        <f t="shared" si="839"/>
        <v>1</v>
      </c>
      <c r="AO724" s="1120">
        <f t="shared" si="840"/>
        <v>1</v>
      </c>
      <c r="AP724" s="1120">
        <f t="shared" si="841"/>
        <v>1</v>
      </c>
      <c r="AQ724" s="1120">
        <f t="shared" si="842"/>
        <v>1</v>
      </c>
      <c r="AR724" s="1120">
        <f t="shared" si="843"/>
        <v>1</v>
      </c>
      <c r="AS724" s="1120">
        <f t="shared" si="844"/>
        <v>0</v>
      </c>
      <c r="AT724" s="1120">
        <f t="shared" si="845"/>
        <v>0</v>
      </c>
      <c r="AU724" s="1120">
        <f t="shared" si="846"/>
        <v>1</v>
      </c>
      <c r="AV724" s="1120">
        <f t="shared" si="847"/>
        <v>1</v>
      </c>
      <c r="AW724" s="1120">
        <f t="shared" si="848"/>
        <v>1</v>
      </c>
      <c r="AX724" s="1120">
        <f t="shared" si="849"/>
        <v>1</v>
      </c>
      <c r="AY724" s="1120">
        <f t="shared" si="850"/>
        <v>0</v>
      </c>
      <c r="AZ724" s="1120">
        <f t="shared" si="851"/>
        <v>0</v>
      </c>
      <c r="BA724" s="1120">
        <f t="shared" si="852"/>
        <v>0</v>
      </c>
      <c r="BB724" s="1120">
        <f t="shared" si="853"/>
        <v>0</v>
      </c>
      <c r="BC724" s="1120">
        <f t="shared" si="854"/>
        <v>0</v>
      </c>
      <c r="BD724" s="1120">
        <f t="shared" si="855"/>
        <v>0</v>
      </c>
      <c r="BE724" s="1120">
        <f t="shared" si="856"/>
        <v>1</v>
      </c>
      <c r="BF724" s="1120">
        <f t="shared" si="857"/>
        <v>1</v>
      </c>
      <c r="BG724" s="1120">
        <f t="shared" si="858"/>
        <v>0</v>
      </c>
      <c r="BH724" s="1120">
        <f t="shared" si="859"/>
        <v>0</v>
      </c>
      <c r="BI724" s="1120">
        <f t="shared" si="860"/>
        <v>0</v>
      </c>
      <c r="BJ724" s="1120">
        <f t="shared" si="861"/>
        <v>0</v>
      </c>
      <c r="BK724" s="1120">
        <f t="shared" si="862"/>
        <v>1</v>
      </c>
      <c r="BL724" s="1120">
        <f t="shared" si="863"/>
        <v>1</v>
      </c>
      <c r="BM724" s="1120">
        <f t="shared" si="864"/>
        <v>1</v>
      </c>
      <c r="BN724" s="1120">
        <f t="shared" si="865"/>
        <v>1</v>
      </c>
      <c r="BO724" s="1120">
        <f t="shared" si="866"/>
        <v>1</v>
      </c>
      <c r="BP724" s="1120">
        <f t="shared" si="867"/>
        <v>1</v>
      </c>
      <c r="BQ724" s="1120">
        <f t="shared" si="868"/>
        <v>1</v>
      </c>
      <c r="BR724" s="1120">
        <f t="shared" si="869"/>
        <v>0</v>
      </c>
      <c r="BS724" s="1120">
        <f t="shared" si="870"/>
        <v>1</v>
      </c>
      <c r="BT724" s="1120">
        <f t="shared" si="871"/>
        <v>1</v>
      </c>
      <c r="BU724" s="1120">
        <f t="shared" si="872"/>
        <v>1</v>
      </c>
      <c r="BV724" s="1120">
        <f t="shared" si="873"/>
        <v>1</v>
      </c>
      <c r="BW724" s="1120">
        <f t="shared" si="874"/>
        <v>0</v>
      </c>
      <c r="BX724" s="1120">
        <f t="shared" si="875"/>
        <v>0</v>
      </c>
      <c r="BY724" s="1120">
        <f t="shared" si="876"/>
        <v>0</v>
      </c>
      <c r="BZ724" s="1120">
        <f t="shared" si="877"/>
        <v>0</v>
      </c>
      <c r="CA724" s="1120">
        <f t="shared" si="878"/>
        <v>0</v>
      </c>
      <c r="CB724" s="1120">
        <f t="shared" si="879"/>
        <v>1</v>
      </c>
      <c r="CC724" s="1120">
        <f t="shared" si="880"/>
        <v>1</v>
      </c>
      <c r="CD724" s="1120">
        <f t="shared" si="881"/>
        <v>1</v>
      </c>
      <c r="CE724" s="1120">
        <f t="shared" si="882"/>
        <v>1</v>
      </c>
      <c r="CF724" s="1120">
        <f t="shared" si="883"/>
        <v>0</v>
      </c>
      <c r="CG724" s="1120">
        <f t="shared" si="884"/>
        <v>0</v>
      </c>
      <c r="CH724" s="1120">
        <f t="shared" si="885"/>
        <v>0</v>
      </c>
      <c r="CI724" s="1120">
        <f t="shared" si="886"/>
        <v>0.85</v>
      </c>
      <c r="CJ724" s="1120">
        <f t="shared" si="887"/>
        <v>0.85</v>
      </c>
      <c r="CK724" s="1120">
        <f t="shared" si="888"/>
        <v>0.85</v>
      </c>
      <c r="CL724" s="1120">
        <f t="shared" si="889"/>
        <v>0.85</v>
      </c>
      <c r="CM724" s="1120">
        <f t="shared" si="890"/>
        <v>0.85</v>
      </c>
      <c r="CN724" s="1120">
        <f t="shared" si="891"/>
        <v>0.85</v>
      </c>
      <c r="CO724" s="1120">
        <f t="shared" si="892"/>
        <v>0.85</v>
      </c>
      <c r="CP724" s="1120">
        <f t="shared" si="893"/>
        <v>0.7</v>
      </c>
      <c r="CQ724" s="1120">
        <f t="shared" si="894"/>
        <v>0.85</v>
      </c>
      <c r="CR724" s="1120">
        <f t="shared" si="895"/>
        <v>0.85</v>
      </c>
      <c r="CS724" s="1120">
        <f t="shared" si="896"/>
        <v>0.85</v>
      </c>
      <c r="CT724" s="1120">
        <f t="shared" si="897"/>
        <v>0.85</v>
      </c>
      <c r="CU724" s="1120">
        <v>1</v>
      </c>
      <c r="CV724" s="1120"/>
      <c r="CW724" s="1120">
        <f t="shared" si="898"/>
        <v>122</v>
      </c>
      <c r="CX724" s="1120">
        <f t="shared" si="899"/>
        <v>243</v>
      </c>
      <c r="CY724" s="1135" t="s">
        <v>4889</v>
      </c>
      <c r="CZ724" s="1124" t="s">
        <v>4890</v>
      </c>
      <c r="DA724" s="1124"/>
      <c r="DB724" s="1124"/>
      <c r="DC724" s="1120" t="s">
        <v>5523</v>
      </c>
      <c r="DD724" s="1120" t="s">
        <v>427</v>
      </c>
      <c r="DE724" s="1120" t="str">
        <f t="shared" ref="DE724:DE787" si="900">IF(AND(C724=DC724,D724=DD724),"",FALSE)</f>
        <v/>
      </c>
      <c r="DF724" s="1133">
        <v>0</v>
      </c>
      <c r="DG724" s="1120">
        <v>0</v>
      </c>
    </row>
    <row r="725" spans="1:111">
      <c r="A725" s="1125" t="s">
        <v>4142</v>
      </c>
      <c r="B725" s="1120" t="s">
        <v>3320</v>
      </c>
      <c r="C725" s="1120" t="s">
        <v>3321</v>
      </c>
      <c r="D725" s="1120" t="s">
        <v>594</v>
      </c>
      <c r="E725" s="1120">
        <v>33</v>
      </c>
      <c r="F725" s="1120">
        <v>-87.32</v>
      </c>
      <c r="G725" s="1120">
        <v>30.35</v>
      </c>
      <c r="H725" s="1120">
        <v>-6</v>
      </c>
      <c r="I725" s="1121">
        <v>32.180000002682206</v>
      </c>
      <c r="J725" s="1121">
        <v>91.4</v>
      </c>
      <c r="K725" s="1122">
        <v>78.080000686645505</v>
      </c>
      <c r="L725" s="1120">
        <v>1465.2</v>
      </c>
      <c r="M725" s="1120">
        <v>2680.2000000000003</v>
      </c>
      <c r="N725" s="1123">
        <v>50.359999656677246</v>
      </c>
      <c r="O725" s="1123">
        <v>51.259999656677245</v>
      </c>
      <c r="P725" s="1123">
        <v>62.060001373291016</v>
      </c>
      <c r="Q725" s="1123">
        <v>69.260001373291018</v>
      </c>
      <c r="R725" s="1123">
        <v>76.460001373291021</v>
      </c>
      <c r="S725" s="1123">
        <v>80.599999999999994</v>
      </c>
      <c r="T725" s="1123">
        <v>80.960001373291021</v>
      </c>
      <c r="U725" s="1123">
        <v>79.880000686645502</v>
      </c>
      <c r="V725" s="1123">
        <v>79.33999862670899</v>
      </c>
      <c r="W725" s="1123">
        <v>67.819999313354487</v>
      </c>
      <c r="X725" s="1123">
        <v>59.359999656677246</v>
      </c>
      <c r="Y725" s="1123">
        <v>53.959999656677248</v>
      </c>
      <c r="Z725" s="1123">
        <v>67.694739963061195</v>
      </c>
      <c r="AA725" s="1123">
        <f t="shared" si="826"/>
        <v>64.133294536525369</v>
      </c>
      <c r="AB725" s="1123">
        <f t="shared" si="827"/>
        <v>64.449436556807981</v>
      </c>
      <c r="AC725" s="1123">
        <f t="shared" si="828"/>
        <v>67.175509384368638</v>
      </c>
      <c r="AD725" s="1123">
        <f t="shared" si="829"/>
        <v>71.600920126649783</v>
      </c>
      <c r="AE725" s="1123">
        <f t="shared" si="830"/>
        <v>76.572117276031932</v>
      </c>
      <c r="AF725" s="1123">
        <f t="shared" si="831"/>
        <v>80.793281687061651</v>
      </c>
      <c r="AG725" s="1123">
        <f t="shared" si="832"/>
        <v>83.16410180589142</v>
      </c>
      <c r="AH725" s="1123">
        <f t="shared" si="833"/>
        <v>83.066586833104324</v>
      </c>
      <c r="AI725" s="1123">
        <f t="shared" si="834"/>
        <v>80.526155549108523</v>
      </c>
      <c r="AJ725" s="1123">
        <f t="shared" si="835"/>
        <v>76.205010517308651</v>
      </c>
      <c r="AK725" s="1123">
        <f t="shared" si="836"/>
        <v>71.229524781103962</v>
      </c>
      <c r="AL725" s="1123">
        <f t="shared" si="837"/>
        <v>66.896635372192335</v>
      </c>
      <c r="AM725" s="1120">
        <f t="shared" si="838"/>
        <v>1</v>
      </c>
      <c r="AN725" s="1120">
        <f t="shared" si="839"/>
        <v>1</v>
      </c>
      <c r="AO725" s="1120">
        <f t="shared" si="840"/>
        <v>1</v>
      </c>
      <c r="AP725" s="1120">
        <f t="shared" si="841"/>
        <v>0</v>
      </c>
      <c r="AQ725" s="1120">
        <f t="shared" si="842"/>
        <v>0</v>
      </c>
      <c r="AR725" s="1120">
        <f t="shared" si="843"/>
        <v>0</v>
      </c>
      <c r="AS725" s="1120">
        <f t="shared" si="844"/>
        <v>0</v>
      </c>
      <c r="AT725" s="1120">
        <f t="shared" si="845"/>
        <v>0</v>
      </c>
      <c r="AU725" s="1120">
        <f t="shared" si="846"/>
        <v>0</v>
      </c>
      <c r="AV725" s="1120">
        <f t="shared" si="847"/>
        <v>0</v>
      </c>
      <c r="AW725" s="1120">
        <f t="shared" si="848"/>
        <v>1</v>
      </c>
      <c r="AX725" s="1120">
        <f t="shared" si="849"/>
        <v>1</v>
      </c>
      <c r="AY725" s="1120">
        <f t="shared" si="850"/>
        <v>0</v>
      </c>
      <c r="AZ725" s="1120">
        <f t="shared" si="851"/>
        <v>0</v>
      </c>
      <c r="BA725" s="1120">
        <f t="shared" si="852"/>
        <v>0</v>
      </c>
      <c r="BB725" s="1120">
        <f t="shared" si="853"/>
        <v>1</v>
      </c>
      <c r="BC725" s="1120">
        <f t="shared" si="854"/>
        <v>1</v>
      </c>
      <c r="BD725" s="1120">
        <f t="shared" si="855"/>
        <v>1</v>
      </c>
      <c r="BE725" s="1120">
        <f t="shared" si="856"/>
        <v>1</v>
      </c>
      <c r="BF725" s="1120">
        <f t="shared" si="857"/>
        <v>1</v>
      </c>
      <c r="BG725" s="1120">
        <f t="shared" si="858"/>
        <v>1</v>
      </c>
      <c r="BH725" s="1120">
        <f t="shared" si="859"/>
        <v>1</v>
      </c>
      <c r="BI725" s="1120">
        <f t="shared" si="860"/>
        <v>0</v>
      </c>
      <c r="BJ725" s="1120">
        <f t="shared" si="861"/>
        <v>0</v>
      </c>
      <c r="BK725" s="1120">
        <f t="shared" si="862"/>
        <v>1</v>
      </c>
      <c r="BL725" s="1120">
        <f t="shared" si="863"/>
        <v>1</v>
      </c>
      <c r="BM725" s="1120">
        <f t="shared" si="864"/>
        <v>1</v>
      </c>
      <c r="BN725" s="1120">
        <f t="shared" si="865"/>
        <v>1</v>
      </c>
      <c r="BO725" s="1120">
        <f t="shared" si="866"/>
        <v>0</v>
      </c>
      <c r="BP725" s="1120">
        <f t="shared" si="867"/>
        <v>0</v>
      </c>
      <c r="BQ725" s="1120">
        <f t="shared" si="868"/>
        <v>0</v>
      </c>
      <c r="BR725" s="1120">
        <f t="shared" si="869"/>
        <v>0</v>
      </c>
      <c r="BS725" s="1120">
        <f t="shared" si="870"/>
        <v>0</v>
      </c>
      <c r="BT725" s="1120">
        <f t="shared" si="871"/>
        <v>0</v>
      </c>
      <c r="BU725" s="1120">
        <f t="shared" si="872"/>
        <v>1</v>
      </c>
      <c r="BV725" s="1120">
        <f t="shared" si="873"/>
        <v>1</v>
      </c>
      <c r="BW725" s="1120">
        <f t="shared" si="874"/>
        <v>0</v>
      </c>
      <c r="BX725" s="1120">
        <f t="shared" si="875"/>
        <v>0</v>
      </c>
      <c r="BY725" s="1120">
        <f t="shared" si="876"/>
        <v>1</v>
      </c>
      <c r="BZ725" s="1120">
        <f t="shared" si="877"/>
        <v>1</v>
      </c>
      <c r="CA725" s="1120">
        <f t="shared" si="878"/>
        <v>1</v>
      </c>
      <c r="CB725" s="1120">
        <f t="shared" si="879"/>
        <v>1</v>
      </c>
      <c r="CC725" s="1120">
        <f t="shared" si="880"/>
        <v>1</v>
      </c>
      <c r="CD725" s="1120">
        <f t="shared" si="881"/>
        <v>1</v>
      </c>
      <c r="CE725" s="1120">
        <f t="shared" si="882"/>
        <v>1</v>
      </c>
      <c r="CF725" s="1120">
        <f t="shared" si="883"/>
        <v>1</v>
      </c>
      <c r="CG725" s="1120">
        <f t="shared" si="884"/>
        <v>1</v>
      </c>
      <c r="CH725" s="1120">
        <f t="shared" si="885"/>
        <v>0</v>
      </c>
      <c r="CI725" s="1120">
        <f t="shared" si="886"/>
        <v>0.85</v>
      </c>
      <c r="CJ725" s="1120">
        <f t="shared" si="887"/>
        <v>0.85</v>
      </c>
      <c r="CK725" s="1120">
        <f t="shared" si="888"/>
        <v>0.85</v>
      </c>
      <c r="CL725" s="1120">
        <f t="shared" si="889"/>
        <v>0.85</v>
      </c>
      <c r="CM725" s="1120">
        <f t="shared" si="890"/>
        <v>0.7</v>
      </c>
      <c r="CN725" s="1120">
        <f t="shared" si="891"/>
        <v>0.7</v>
      </c>
      <c r="CO725" s="1120">
        <f t="shared" si="892"/>
        <v>0.7</v>
      </c>
      <c r="CP725" s="1120">
        <f t="shared" si="893"/>
        <v>0.7</v>
      </c>
      <c r="CQ725" s="1120">
        <f t="shared" si="894"/>
        <v>0.7</v>
      </c>
      <c r="CR725" s="1120">
        <f t="shared" si="895"/>
        <v>0.7</v>
      </c>
      <c r="CS725" s="1120">
        <f t="shared" si="896"/>
        <v>0.85</v>
      </c>
      <c r="CT725" s="1120">
        <f t="shared" si="897"/>
        <v>0.85</v>
      </c>
      <c r="CU725" s="1120">
        <v>1</v>
      </c>
      <c r="CV725" s="1120"/>
      <c r="CW725" s="1120">
        <f t="shared" si="898"/>
        <v>275</v>
      </c>
      <c r="CX725" s="1120">
        <f t="shared" si="899"/>
        <v>90</v>
      </c>
      <c r="CY725" s="1136" t="s">
        <v>4883</v>
      </c>
      <c r="CZ725" s="1129" t="s">
        <v>4884</v>
      </c>
      <c r="DA725" s="1129"/>
      <c r="DB725" s="1129"/>
      <c r="DC725" s="1125" t="s">
        <v>5115</v>
      </c>
      <c r="DD725" s="1125" t="s">
        <v>594</v>
      </c>
      <c r="DE725" s="1120" t="str">
        <f t="shared" si="900"/>
        <v/>
      </c>
      <c r="DF725" s="1133">
        <v>0</v>
      </c>
      <c r="DG725" s="1125">
        <v>0</v>
      </c>
    </row>
    <row r="726" spans="1:111">
      <c r="A726" s="1120" t="s">
        <v>4154</v>
      </c>
      <c r="B726" s="1125" t="s">
        <v>3322</v>
      </c>
      <c r="C726" s="1125" t="s">
        <v>3323</v>
      </c>
      <c r="D726" s="1125" t="s">
        <v>594</v>
      </c>
      <c r="E726" s="1125">
        <v>112</v>
      </c>
      <c r="F726" s="1125">
        <v>-87.18</v>
      </c>
      <c r="G726" s="1125">
        <v>30.48</v>
      </c>
      <c r="H726" s="1125">
        <v>-6</v>
      </c>
      <c r="I726" s="1126">
        <v>33.259999978542325</v>
      </c>
      <c r="J726" s="1126">
        <v>91.579997253417972</v>
      </c>
      <c r="K726" s="1127">
        <v>77.180000686645513</v>
      </c>
      <c r="L726" s="1125">
        <v>1123.2</v>
      </c>
      <c r="M726" s="1125">
        <v>2730.6</v>
      </c>
      <c r="N726" s="1128">
        <v>52.880000686645509</v>
      </c>
      <c r="O726" s="1128">
        <v>57.019999313354489</v>
      </c>
      <c r="P726" s="1128">
        <v>61.519999313354496</v>
      </c>
      <c r="Q726" s="1128">
        <v>68.360001373291013</v>
      </c>
      <c r="R726" s="1128">
        <v>76.460001373291021</v>
      </c>
      <c r="S726" s="1128">
        <v>79.7</v>
      </c>
      <c r="T726" s="1128">
        <v>81.139998626708987</v>
      </c>
      <c r="U726" s="1128">
        <v>80.419999313354495</v>
      </c>
      <c r="V726" s="1128">
        <v>77</v>
      </c>
      <c r="W726" s="1128">
        <v>70.33999862670899</v>
      </c>
      <c r="X726" s="1128">
        <v>64.039998626708979</v>
      </c>
      <c r="Y726" s="1128">
        <v>56.119999313354491</v>
      </c>
      <c r="Z726" s="1128">
        <v>68.807780535972284</v>
      </c>
      <c r="AA726" s="1128">
        <f t="shared" si="826"/>
        <v>65.790940318014762</v>
      </c>
      <c r="AB726" s="1128">
        <f t="shared" si="827"/>
        <v>66.177320017404128</v>
      </c>
      <c r="AC726" s="1128">
        <f t="shared" si="828"/>
        <v>68.813362250380749</v>
      </c>
      <c r="AD726" s="1128">
        <f t="shared" si="829"/>
        <v>73.011941986278799</v>
      </c>
      <c r="AE726" s="1128">
        <f t="shared" si="830"/>
        <v>77.678634714864202</v>
      </c>
      <c r="AF726" s="1128">
        <f t="shared" si="831"/>
        <v>81.596995060519376</v>
      </c>
      <c r="AG726" s="1128">
        <f t="shared" si="832"/>
        <v>83.745642015388555</v>
      </c>
      <c r="AH726" s="1128">
        <f t="shared" si="833"/>
        <v>83.56449763903322</v>
      </c>
      <c r="AI726" s="1128">
        <f t="shared" si="834"/>
        <v>81.100780004669758</v>
      </c>
      <c r="AJ726" s="1128">
        <f t="shared" si="835"/>
        <v>76.996695080732977</v>
      </c>
      <c r="AK726" s="1128">
        <f t="shared" si="836"/>
        <v>72.322035848510126</v>
      </c>
      <c r="AL726" s="1128">
        <f t="shared" si="837"/>
        <v>68.295324275559437</v>
      </c>
      <c r="AM726" s="1125">
        <f t="shared" si="838"/>
        <v>1</v>
      </c>
      <c r="AN726" s="1125">
        <f t="shared" si="839"/>
        <v>1</v>
      </c>
      <c r="AO726" s="1125">
        <f t="shared" si="840"/>
        <v>1</v>
      </c>
      <c r="AP726" s="1125">
        <f t="shared" si="841"/>
        <v>0</v>
      </c>
      <c r="AQ726" s="1125">
        <f t="shared" si="842"/>
        <v>0</v>
      </c>
      <c r="AR726" s="1125">
        <f t="shared" si="843"/>
        <v>0</v>
      </c>
      <c r="AS726" s="1125">
        <f t="shared" si="844"/>
        <v>0</v>
      </c>
      <c r="AT726" s="1125">
        <f t="shared" si="845"/>
        <v>0</v>
      </c>
      <c r="AU726" s="1125">
        <f t="shared" si="846"/>
        <v>0</v>
      </c>
      <c r="AV726" s="1125">
        <f t="shared" si="847"/>
        <v>0</v>
      </c>
      <c r="AW726" s="1125">
        <f t="shared" si="848"/>
        <v>1</v>
      </c>
      <c r="AX726" s="1125">
        <f t="shared" si="849"/>
        <v>1</v>
      </c>
      <c r="AY726" s="1125">
        <f t="shared" si="850"/>
        <v>0</v>
      </c>
      <c r="AZ726" s="1125">
        <f t="shared" si="851"/>
        <v>0</v>
      </c>
      <c r="BA726" s="1125">
        <f t="shared" si="852"/>
        <v>0</v>
      </c>
      <c r="BB726" s="1125">
        <f t="shared" si="853"/>
        <v>1</v>
      </c>
      <c r="BC726" s="1125">
        <f t="shared" si="854"/>
        <v>1</v>
      </c>
      <c r="BD726" s="1125">
        <f t="shared" si="855"/>
        <v>1</v>
      </c>
      <c r="BE726" s="1125">
        <f t="shared" si="856"/>
        <v>1</v>
      </c>
      <c r="BF726" s="1125">
        <f t="shared" si="857"/>
        <v>1</v>
      </c>
      <c r="BG726" s="1125">
        <f t="shared" si="858"/>
        <v>1</v>
      </c>
      <c r="BH726" s="1125">
        <f t="shared" si="859"/>
        <v>1</v>
      </c>
      <c r="BI726" s="1125">
        <f t="shared" si="860"/>
        <v>0</v>
      </c>
      <c r="BJ726" s="1125">
        <f t="shared" si="861"/>
        <v>0</v>
      </c>
      <c r="BK726" s="1125">
        <f t="shared" si="862"/>
        <v>1</v>
      </c>
      <c r="BL726" s="1125">
        <f t="shared" si="863"/>
        <v>1</v>
      </c>
      <c r="BM726" s="1125">
        <f t="shared" si="864"/>
        <v>1</v>
      </c>
      <c r="BN726" s="1125">
        <f t="shared" si="865"/>
        <v>1</v>
      </c>
      <c r="BO726" s="1125">
        <f t="shared" si="866"/>
        <v>0</v>
      </c>
      <c r="BP726" s="1125">
        <f t="shared" si="867"/>
        <v>0</v>
      </c>
      <c r="BQ726" s="1125">
        <f t="shared" si="868"/>
        <v>0</v>
      </c>
      <c r="BR726" s="1125">
        <f t="shared" si="869"/>
        <v>0</v>
      </c>
      <c r="BS726" s="1125">
        <f t="shared" si="870"/>
        <v>0</v>
      </c>
      <c r="BT726" s="1125">
        <f t="shared" si="871"/>
        <v>0</v>
      </c>
      <c r="BU726" s="1125">
        <f t="shared" si="872"/>
        <v>1</v>
      </c>
      <c r="BV726" s="1125">
        <f t="shared" si="873"/>
        <v>1</v>
      </c>
      <c r="BW726" s="1125">
        <f t="shared" si="874"/>
        <v>0</v>
      </c>
      <c r="BX726" s="1125">
        <f t="shared" si="875"/>
        <v>0</v>
      </c>
      <c r="BY726" s="1125">
        <f t="shared" si="876"/>
        <v>1</v>
      </c>
      <c r="BZ726" s="1125">
        <f t="shared" si="877"/>
        <v>1</v>
      </c>
      <c r="CA726" s="1125">
        <f t="shared" si="878"/>
        <v>1</v>
      </c>
      <c r="CB726" s="1125">
        <f t="shared" si="879"/>
        <v>1</v>
      </c>
      <c r="CC726" s="1125">
        <f t="shared" si="880"/>
        <v>1</v>
      </c>
      <c r="CD726" s="1125">
        <f t="shared" si="881"/>
        <v>1</v>
      </c>
      <c r="CE726" s="1125">
        <f t="shared" si="882"/>
        <v>1</v>
      </c>
      <c r="CF726" s="1125">
        <f t="shared" si="883"/>
        <v>1</v>
      </c>
      <c r="CG726" s="1125">
        <f t="shared" si="884"/>
        <v>1</v>
      </c>
      <c r="CH726" s="1125">
        <f t="shared" si="885"/>
        <v>0</v>
      </c>
      <c r="CI726" s="1125">
        <f t="shared" si="886"/>
        <v>0.85</v>
      </c>
      <c r="CJ726" s="1125">
        <f t="shared" si="887"/>
        <v>0.85</v>
      </c>
      <c r="CK726" s="1125">
        <f t="shared" si="888"/>
        <v>0.85</v>
      </c>
      <c r="CL726" s="1125">
        <f t="shared" si="889"/>
        <v>0.85</v>
      </c>
      <c r="CM726" s="1125">
        <f t="shared" si="890"/>
        <v>0.7</v>
      </c>
      <c r="CN726" s="1125">
        <f t="shared" si="891"/>
        <v>0.7</v>
      </c>
      <c r="CO726" s="1125">
        <f t="shared" si="892"/>
        <v>0.7</v>
      </c>
      <c r="CP726" s="1125">
        <f t="shared" si="893"/>
        <v>0.7</v>
      </c>
      <c r="CQ726" s="1125">
        <f t="shared" si="894"/>
        <v>0.7</v>
      </c>
      <c r="CR726" s="1125">
        <f t="shared" si="895"/>
        <v>0.7</v>
      </c>
      <c r="CS726" s="1125">
        <f t="shared" si="896"/>
        <v>0.85</v>
      </c>
      <c r="CT726" s="1125">
        <f t="shared" si="897"/>
        <v>0.85</v>
      </c>
      <c r="CU726" s="1125">
        <v>1</v>
      </c>
      <c r="CV726" s="1125"/>
      <c r="CW726" s="1125">
        <f t="shared" si="898"/>
        <v>275</v>
      </c>
      <c r="CX726" s="1125">
        <f t="shared" si="899"/>
        <v>90</v>
      </c>
      <c r="CY726" s="1135" t="s">
        <v>4883</v>
      </c>
      <c r="CZ726" s="1124" t="s">
        <v>4884</v>
      </c>
      <c r="DA726" s="1124"/>
      <c r="DB726" s="1124"/>
      <c r="DC726" s="1120" t="s">
        <v>5116</v>
      </c>
      <c r="DD726" s="1120" t="s">
        <v>594</v>
      </c>
      <c r="DE726" s="1120" t="str">
        <f t="shared" si="900"/>
        <v/>
      </c>
      <c r="DF726" s="1133">
        <v>0</v>
      </c>
      <c r="DG726" s="1120">
        <v>0</v>
      </c>
    </row>
    <row r="727" spans="1:111">
      <c r="A727" s="1125" t="s">
        <v>4156</v>
      </c>
      <c r="B727" s="1125" t="s">
        <v>3517</v>
      </c>
      <c r="C727" s="1125" t="s">
        <v>3518</v>
      </c>
      <c r="D727" s="1125" t="s">
        <v>932</v>
      </c>
      <c r="E727" s="1125">
        <v>653</v>
      </c>
      <c r="F727" s="1125">
        <v>-89.68</v>
      </c>
      <c r="G727" s="1125">
        <v>40.67</v>
      </c>
      <c r="H727" s="1125">
        <v>-6</v>
      </c>
      <c r="I727" s="1126">
        <v>2.2999999999999994</v>
      </c>
      <c r="J727" s="1126">
        <v>90.139998626708987</v>
      </c>
      <c r="K727" s="1127">
        <v>75.380000686645502</v>
      </c>
      <c r="L727" s="1125">
        <v>6053.4000000000005</v>
      </c>
      <c r="M727" s="1125">
        <v>970.2</v>
      </c>
      <c r="N727" s="1128">
        <v>22.279999828338624</v>
      </c>
      <c r="O727" s="1128">
        <v>27.320000171661377</v>
      </c>
      <c r="P727" s="1128">
        <v>39.740000343322755</v>
      </c>
      <c r="Q727" s="1128">
        <v>52.519999313354489</v>
      </c>
      <c r="R727" s="1128">
        <v>63.319999313354494</v>
      </c>
      <c r="S727" s="1128">
        <v>70.33999862670899</v>
      </c>
      <c r="T727" s="1128">
        <v>74.480000686645511</v>
      </c>
      <c r="U727" s="1128">
        <v>72.139998626708987</v>
      </c>
      <c r="V727" s="1128">
        <v>65.119999313354498</v>
      </c>
      <c r="W727" s="1128">
        <v>51.259999656677245</v>
      </c>
      <c r="X727" s="1128">
        <v>37.939999914169313</v>
      </c>
      <c r="Y727" s="1128">
        <v>27.679999828338623</v>
      </c>
      <c r="Z727" s="1128">
        <v>50.467013333203042</v>
      </c>
      <c r="AA727" s="1128">
        <f t="shared" si="826"/>
        <v>45.772019390820226</v>
      </c>
      <c r="AB727" s="1128">
        <f t="shared" si="827"/>
        <v>44.342987292522039</v>
      </c>
      <c r="AC727" s="1128">
        <f t="shared" si="828"/>
        <v>46.074269418624134</v>
      </c>
      <c r="AD727" s="1128">
        <f t="shared" si="829"/>
        <v>50.514580403092864</v>
      </c>
      <c r="AE727" s="1128">
        <f t="shared" si="830"/>
        <v>56.506484760562905</v>
      </c>
      <c r="AF727" s="1128">
        <f t="shared" si="831"/>
        <v>62.488100282218483</v>
      </c>
      <c r="AG727" s="1128">
        <f t="shared" si="832"/>
        <v>66.900226702854638</v>
      </c>
      <c r="AH727" s="1128">
        <f t="shared" si="833"/>
        <v>68.5927752780063</v>
      </c>
      <c r="AI727" s="1128">
        <f t="shared" si="834"/>
        <v>67.124557138597098</v>
      </c>
      <c r="AJ727" s="1128">
        <f t="shared" si="835"/>
        <v>62.878285968590461</v>
      </c>
      <c r="AK727" s="1128">
        <f t="shared" si="836"/>
        <v>56.960817785468102</v>
      </c>
      <c r="AL727" s="1128">
        <f t="shared" si="837"/>
        <v>50.914631862105921</v>
      </c>
      <c r="AM727" s="1125">
        <f t="shared" si="838"/>
        <v>1</v>
      </c>
      <c r="AN727" s="1125">
        <f t="shared" si="839"/>
        <v>1</v>
      </c>
      <c r="AO727" s="1125">
        <f t="shared" si="840"/>
        <v>1</v>
      </c>
      <c r="AP727" s="1125">
        <f t="shared" si="841"/>
        <v>1</v>
      </c>
      <c r="AQ727" s="1125">
        <f t="shared" si="842"/>
        <v>1</v>
      </c>
      <c r="AR727" s="1125">
        <f t="shared" si="843"/>
        <v>0</v>
      </c>
      <c r="AS727" s="1125">
        <f t="shared" si="844"/>
        <v>0</v>
      </c>
      <c r="AT727" s="1125">
        <f t="shared" si="845"/>
        <v>0</v>
      </c>
      <c r="AU727" s="1125">
        <f t="shared" si="846"/>
        <v>1</v>
      </c>
      <c r="AV727" s="1125">
        <f t="shared" si="847"/>
        <v>1</v>
      </c>
      <c r="AW727" s="1125">
        <f t="shared" si="848"/>
        <v>1</v>
      </c>
      <c r="AX727" s="1125">
        <f t="shared" si="849"/>
        <v>1</v>
      </c>
      <c r="AY727" s="1125">
        <f t="shared" si="850"/>
        <v>0</v>
      </c>
      <c r="AZ727" s="1125">
        <f t="shared" si="851"/>
        <v>0</v>
      </c>
      <c r="BA727" s="1125">
        <f t="shared" si="852"/>
        <v>0</v>
      </c>
      <c r="BB727" s="1125">
        <f t="shared" si="853"/>
        <v>0</v>
      </c>
      <c r="BC727" s="1125">
        <f t="shared" si="854"/>
        <v>0</v>
      </c>
      <c r="BD727" s="1125">
        <f t="shared" si="855"/>
        <v>1</v>
      </c>
      <c r="BE727" s="1125">
        <f t="shared" si="856"/>
        <v>1</v>
      </c>
      <c r="BF727" s="1125">
        <f t="shared" si="857"/>
        <v>1</v>
      </c>
      <c r="BG727" s="1125">
        <f t="shared" si="858"/>
        <v>0</v>
      </c>
      <c r="BH727" s="1125">
        <f t="shared" si="859"/>
        <v>0</v>
      </c>
      <c r="BI727" s="1125">
        <f t="shared" si="860"/>
        <v>0</v>
      </c>
      <c r="BJ727" s="1125">
        <f t="shared" si="861"/>
        <v>0</v>
      </c>
      <c r="BK727" s="1125">
        <f t="shared" si="862"/>
        <v>1</v>
      </c>
      <c r="BL727" s="1125">
        <f t="shared" si="863"/>
        <v>1</v>
      </c>
      <c r="BM727" s="1125">
        <f t="shared" si="864"/>
        <v>1</v>
      </c>
      <c r="BN727" s="1125">
        <f t="shared" si="865"/>
        <v>1</v>
      </c>
      <c r="BO727" s="1125">
        <f t="shared" si="866"/>
        <v>1</v>
      </c>
      <c r="BP727" s="1125">
        <f t="shared" si="867"/>
        <v>1</v>
      </c>
      <c r="BQ727" s="1125">
        <f t="shared" si="868"/>
        <v>0</v>
      </c>
      <c r="BR727" s="1125">
        <f t="shared" si="869"/>
        <v>0</v>
      </c>
      <c r="BS727" s="1125">
        <f t="shared" si="870"/>
        <v>1</v>
      </c>
      <c r="BT727" s="1125">
        <f t="shared" si="871"/>
        <v>1</v>
      </c>
      <c r="BU727" s="1125">
        <f t="shared" si="872"/>
        <v>1</v>
      </c>
      <c r="BV727" s="1125">
        <f t="shared" si="873"/>
        <v>1</v>
      </c>
      <c r="BW727" s="1125">
        <f t="shared" si="874"/>
        <v>0</v>
      </c>
      <c r="BX727" s="1125">
        <f t="shared" si="875"/>
        <v>0</v>
      </c>
      <c r="BY727" s="1125">
        <f t="shared" si="876"/>
        <v>0</v>
      </c>
      <c r="BZ727" s="1125">
        <f t="shared" si="877"/>
        <v>0</v>
      </c>
      <c r="CA727" s="1125">
        <f t="shared" si="878"/>
        <v>1</v>
      </c>
      <c r="CB727" s="1125">
        <f t="shared" si="879"/>
        <v>1</v>
      </c>
      <c r="CC727" s="1125">
        <f t="shared" si="880"/>
        <v>1</v>
      </c>
      <c r="CD727" s="1125">
        <f t="shared" si="881"/>
        <v>1</v>
      </c>
      <c r="CE727" s="1125">
        <f t="shared" si="882"/>
        <v>1</v>
      </c>
      <c r="CF727" s="1125">
        <f t="shared" si="883"/>
        <v>0</v>
      </c>
      <c r="CG727" s="1125">
        <f t="shared" si="884"/>
        <v>0</v>
      </c>
      <c r="CH727" s="1125">
        <f t="shared" si="885"/>
        <v>0</v>
      </c>
      <c r="CI727" s="1125">
        <f t="shared" si="886"/>
        <v>0.85</v>
      </c>
      <c r="CJ727" s="1125">
        <f t="shared" si="887"/>
        <v>0.85</v>
      </c>
      <c r="CK727" s="1125">
        <f t="shared" si="888"/>
        <v>0.85</v>
      </c>
      <c r="CL727" s="1125">
        <f t="shared" si="889"/>
        <v>0.85</v>
      </c>
      <c r="CM727" s="1125">
        <f t="shared" si="890"/>
        <v>0.85</v>
      </c>
      <c r="CN727" s="1125">
        <f t="shared" si="891"/>
        <v>0.85</v>
      </c>
      <c r="CO727" s="1125">
        <f t="shared" si="892"/>
        <v>0.7</v>
      </c>
      <c r="CP727" s="1125">
        <f t="shared" si="893"/>
        <v>0.7</v>
      </c>
      <c r="CQ727" s="1125">
        <f t="shared" si="894"/>
        <v>0.85</v>
      </c>
      <c r="CR727" s="1125">
        <f t="shared" si="895"/>
        <v>0.85</v>
      </c>
      <c r="CS727" s="1125">
        <f t="shared" si="896"/>
        <v>0.85</v>
      </c>
      <c r="CT727" s="1125">
        <f t="shared" si="897"/>
        <v>0.85</v>
      </c>
      <c r="CU727" s="1125">
        <v>1</v>
      </c>
      <c r="CV727" s="1125"/>
      <c r="CW727" s="1125">
        <f t="shared" si="898"/>
        <v>153</v>
      </c>
      <c r="CX727" s="1125">
        <f t="shared" si="899"/>
        <v>212</v>
      </c>
      <c r="CY727" s="1135" t="s">
        <v>4889</v>
      </c>
      <c r="CZ727" s="1124" t="s">
        <v>4897</v>
      </c>
      <c r="DA727" s="1124"/>
      <c r="DB727" s="1124"/>
      <c r="DC727" s="1120" t="s">
        <v>5209</v>
      </c>
      <c r="DD727" s="1120" t="s">
        <v>932</v>
      </c>
      <c r="DE727" s="1120" t="str">
        <f t="shared" si="900"/>
        <v/>
      </c>
      <c r="DF727" s="1133">
        <v>0</v>
      </c>
      <c r="DG727" s="1125">
        <v>0</v>
      </c>
    </row>
    <row r="728" spans="1:111">
      <c r="A728" s="1120" t="s">
        <v>4158</v>
      </c>
      <c r="B728" s="1120" t="s">
        <v>266</v>
      </c>
      <c r="C728" s="1120" t="s">
        <v>267</v>
      </c>
      <c r="D728" s="1120" t="s">
        <v>953</v>
      </c>
      <c r="E728" s="1120">
        <v>108</v>
      </c>
      <c r="F728" s="1120">
        <v>-132.94999999999999</v>
      </c>
      <c r="G728" s="1120">
        <v>56.8</v>
      </c>
      <c r="H728" s="1120">
        <v>-9</v>
      </c>
      <c r="I728" s="1121">
        <v>12.2</v>
      </c>
      <c r="J728" s="1121">
        <v>66.019999313354489</v>
      </c>
      <c r="K728" s="1122">
        <v>56.3</v>
      </c>
      <c r="L728" s="1120">
        <v>8215.2000000000007</v>
      </c>
      <c r="M728" s="1120">
        <v>9</v>
      </c>
      <c r="N728" s="1123">
        <v>27.860000085830688</v>
      </c>
      <c r="O728" s="1123">
        <v>32.360000005364419</v>
      </c>
      <c r="P728" s="1123">
        <v>33.440000021457671</v>
      </c>
      <c r="Q728" s="1123">
        <v>42.079999828338622</v>
      </c>
      <c r="R728" s="1123">
        <v>47.119999313354491</v>
      </c>
      <c r="S728" s="1123">
        <v>55.219999313354492</v>
      </c>
      <c r="T728" s="1123">
        <v>55.040000343322752</v>
      </c>
      <c r="U728" s="1123">
        <v>54.859999656677246</v>
      </c>
      <c r="V728" s="1123">
        <v>48.019999313354489</v>
      </c>
      <c r="W728" s="1123">
        <v>41.720000171661376</v>
      </c>
      <c r="X728" s="1123">
        <v>34.700000000000003</v>
      </c>
      <c r="Y728" s="1123">
        <v>30.019999957084657</v>
      </c>
      <c r="Z728" s="1123">
        <v>41.91380805433613</v>
      </c>
      <c r="AA728" s="1123">
        <f t="shared" si="826"/>
        <v>43.748126686129865</v>
      </c>
      <c r="AB728" s="1123">
        <f t="shared" si="827"/>
        <v>42.765716008222775</v>
      </c>
      <c r="AC728" s="1123">
        <f t="shared" si="828"/>
        <v>43.125234856634997</v>
      </c>
      <c r="AD728" s="1123">
        <f t="shared" si="829"/>
        <v>44.732969103174725</v>
      </c>
      <c r="AE728" s="1123">
        <f t="shared" si="830"/>
        <v>47.169838040546679</v>
      </c>
      <c r="AF728" s="1123">
        <f t="shared" si="831"/>
        <v>49.800634226937802</v>
      </c>
      <c r="AG728" s="1123">
        <f t="shared" si="832"/>
        <v>51.939600094568839</v>
      </c>
      <c r="AH728" s="1123">
        <f t="shared" si="833"/>
        <v>53.029181227579961</v>
      </c>
      <c r="AI728" s="1123">
        <f t="shared" si="834"/>
        <v>52.785361512698302</v>
      </c>
      <c r="AJ728" s="1123">
        <f t="shared" si="835"/>
        <v>51.27169631598332</v>
      </c>
      <c r="AK728" s="1123">
        <f t="shared" si="836"/>
        <v>48.882745797245526</v>
      </c>
      <c r="AL728" s="1123">
        <f t="shared" si="837"/>
        <v>46.241226724035791</v>
      </c>
      <c r="AM728" s="1120">
        <f t="shared" si="838"/>
        <v>1</v>
      </c>
      <c r="AN728" s="1120">
        <f t="shared" si="839"/>
        <v>1</v>
      </c>
      <c r="AO728" s="1120">
        <f t="shared" si="840"/>
        <v>1</v>
      </c>
      <c r="AP728" s="1120">
        <f t="shared" si="841"/>
        <v>1</v>
      </c>
      <c r="AQ728" s="1120">
        <f t="shared" si="842"/>
        <v>1</v>
      </c>
      <c r="AR728" s="1120">
        <f t="shared" si="843"/>
        <v>1</v>
      </c>
      <c r="AS728" s="1120">
        <f t="shared" si="844"/>
        <v>1</v>
      </c>
      <c r="AT728" s="1120">
        <f t="shared" si="845"/>
        <v>1</v>
      </c>
      <c r="AU728" s="1120">
        <f t="shared" si="846"/>
        <v>1</v>
      </c>
      <c r="AV728" s="1120">
        <f t="shared" si="847"/>
        <v>1</v>
      </c>
      <c r="AW728" s="1120">
        <f t="shared" si="848"/>
        <v>1</v>
      </c>
      <c r="AX728" s="1120">
        <f t="shared" si="849"/>
        <v>1</v>
      </c>
      <c r="AY728" s="1120">
        <f t="shared" si="850"/>
        <v>0</v>
      </c>
      <c r="AZ728" s="1120">
        <f t="shared" si="851"/>
        <v>0</v>
      </c>
      <c r="BA728" s="1120">
        <f t="shared" si="852"/>
        <v>0</v>
      </c>
      <c r="BB728" s="1120">
        <f t="shared" si="853"/>
        <v>0</v>
      </c>
      <c r="BC728" s="1120">
        <f t="shared" si="854"/>
        <v>0</v>
      </c>
      <c r="BD728" s="1120">
        <f t="shared" si="855"/>
        <v>0</v>
      </c>
      <c r="BE728" s="1120">
        <f t="shared" si="856"/>
        <v>1</v>
      </c>
      <c r="BF728" s="1120">
        <f t="shared" si="857"/>
        <v>1</v>
      </c>
      <c r="BG728" s="1120">
        <f t="shared" si="858"/>
        <v>0</v>
      </c>
      <c r="BH728" s="1120">
        <f t="shared" si="859"/>
        <v>0</v>
      </c>
      <c r="BI728" s="1120">
        <f t="shared" si="860"/>
        <v>0</v>
      </c>
      <c r="BJ728" s="1120">
        <f t="shared" si="861"/>
        <v>0</v>
      </c>
      <c r="BK728" s="1120">
        <f t="shared" si="862"/>
        <v>1</v>
      </c>
      <c r="BL728" s="1120">
        <f t="shared" si="863"/>
        <v>1</v>
      </c>
      <c r="BM728" s="1120">
        <f t="shared" si="864"/>
        <v>1</v>
      </c>
      <c r="BN728" s="1120">
        <f t="shared" si="865"/>
        <v>1</v>
      </c>
      <c r="BO728" s="1120">
        <f t="shared" si="866"/>
        <v>1</v>
      </c>
      <c r="BP728" s="1120">
        <f t="shared" si="867"/>
        <v>1</v>
      </c>
      <c r="BQ728" s="1120">
        <f t="shared" si="868"/>
        <v>1</v>
      </c>
      <c r="BR728" s="1120">
        <f t="shared" si="869"/>
        <v>1</v>
      </c>
      <c r="BS728" s="1120">
        <f t="shared" si="870"/>
        <v>1</v>
      </c>
      <c r="BT728" s="1120">
        <f t="shared" si="871"/>
        <v>1</v>
      </c>
      <c r="BU728" s="1120">
        <f t="shared" si="872"/>
        <v>1</v>
      </c>
      <c r="BV728" s="1120">
        <f t="shared" si="873"/>
        <v>1</v>
      </c>
      <c r="BW728" s="1120">
        <f t="shared" si="874"/>
        <v>0</v>
      </c>
      <c r="BX728" s="1120">
        <f t="shared" si="875"/>
        <v>0</v>
      </c>
      <c r="BY728" s="1120">
        <f t="shared" si="876"/>
        <v>0</v>
      </c>
      <c r="BZ728" s="1120">
        <f t="shared" si="877"/>
        <v>0</v>
      </c>
      <c r="CA728" s="1120">
        <f t="shared" si="878"/>
        <v>0</v>
      </c>
      <c r="CB728" s="1120">
        <f t="shared" si="879"/>
        <v>0</v>
      </c>
      <c r="CC728" s="1120">
        <f t="shared" si="880"/>
        <v>1</v>
      </c>
      <c r="CD728" s="1120">
        <f t="shared" si="881"/>
        <v>1</v>
      </c>
      <c r="CE728" s="1120">
        <f t="shared" si="882"/>
        <v>0</v>
      </c>
      <c r="CF728" s="1120">
        <f t="shared" si="883"/>
        <v>0</v>
      </c>
      <c r="CG728" s="1120">
        <f t="shared" si="884"/>
        <v>0</v>
      </c>
      <c r="CH728" s="1120">
        <f t="shared" si="885"/>
        <v>0</v>
      </c>
      <c r="CI728" s="1120">
        <f t="shared" si="886"/>
        <v>0.85</v>
      </c>
      <c r="CJ728" s="1120">
        <f t="shared" si="887"/>
        <v>0.85</v>
      </c>
      <c r="CK728" s="1120">
        <f t="shared" si="888"/>
        <v>0.85</v>
      </c>
      <c r="CL728" s="1120">
        <f t="shared" si="889"/>
        <v>0.85</v>
      </c>
      <c r="CM728" s="1120">
        <f t="shared" si="890"/>
        <v>0.85</v>
      </c>
      <c r="CN728" s="1120">
        <f t="shared" si="891"/>
        <v>0.85</v>
      </c>
      <c r="CO728" s="1120">
        <f t="shared" si="892"/>
        <v>0.85</v>
      </c>
      <c r="CP728" s="1120">
        <f t="shared" si="893"/>
        <v>0.85</v>
      </c>
      <c r="CQ728" s="1120">
        <f t="shared" si="894"/>
        <v>0.85</v>
      </c>
      <c r="CR728" s="1120">
        <f t="shared" si="895"/>
        <v>0.85</v>
      </c>
      <c r="CS728" s="1120">
        <f t="shared" si="896"/>
        <v>0.85</v>
      </c>
      <c r="CT728" s="1120">
        <f t="shared" si="897"/>
        <v>0.85</v>
      </c>
      <c r="CU728" s="1120">
        <v>1</v>
      </c>
      <c r="CV728" s="1120"/>
      <c r="CW728" s="1120">
        <f t="shared" si="898"/>
        <v>62</v>
      </c>
      <c r="CX728" s="1120">
        <f t="shared" si="899"/>
        <v>303</v>
      </c>
      <c r="CY728" s="1135" t="s">
        <v>4879</v>
      </c>
      <c r="CZ728" s="1124">
        <v>7</v>
      </c>
      <c r="DA728" s="1124"/>
      <c r="DB728" s="1124"/>
      <c r="DC728" s="1120" t="s">
        <v>4953</v>
      </c>
      <c r="DD728" s="1120" t="s">
        <v>953</v>
      </c>
      <c r="DE728" s="1120" t="str">
        <f t="shared" si="900"/>
        <v/>
      </c>
      <c r="DF728" s="1120">
        <v>0</v>
      </c>
      <c r="DG728" s="1120">
        <v>0</v>
      </c>
    </row>
    <row r="729" spans="1:111">
      <c r="A729" s="1125" t="s">
        <v>4160</v>
      </c>
      <c r="B729" s="1125" t="s">
        <v>4276</v>
      </c>
      <c r="C729" s="1125" t="s">
        <v>4277</v>
      </c>
      <c r="D729" s="1125" t="s">
        <v>539</v>
      </c>
      <c r="E729" s="1125">
        <v>7</v>
      </c>
      <c r="F729" s="1125">
        <v>-75.23</v>
      </c>
      <c r="G729" s="1125">
        <v>39.869999999999997</v>
      </c>
      <c r="H729" s="1125">
        <v>-5</v>
      </c>
      <c r="I729" s="1126">
        <v>16.880000686645506</v>
      </c>
      <c r="J729" s="1126">
        <v>90.679997253417966</v>
      </c>
      <c r="K729" s="1127">
        <v>74.480000686645511</v>
      </c>
      <c r="L729" s="1125">
        <v>4678.2</v>
      </c>
      <c r="M729" s="1125">
        <v>1227.6000000000001</v>
      </c>
      <c r="N729" s="1128">
        <v>29.119999957084655</v>
      </c>
      <c r="O729" s="1128">
        <v>32.9</v>
      </c>
      <c r="P729" s="1128">
        <v>45.140000343322754</v>
      </c>
      <c r="Q729" s="1128">
        <v>54.5</v>
      </c>
      <c r="R729" s="1128">
        <v>64.400000000000006</v>
      </c>
      <c r="S729" s="1128">
        <v>71.960001373291021</v>
      </c>
      <c r="T729" s="1128">
        <v>77.539998626708979</v>
      </c>
      <c r="U729" s="1128">
        <v>75.019999313354489</v>
      </c>
      <c r="V729" s="1128">
        <v>69.439998626708984</v>
      </c>
      <c r="W729" s="1128">
        <v>54.140000343322754</v>
      </c>
      <c r="X729" s="1128">
        <v>45.320000171661377</v>
      </c>
      <c r="Y729" s="1128">
        <v>38.299999999999997</v>
      </c>
      <c r="Z729" s="1128">
        <v>54.934958797938201</v>
      </c>
      <c r="AA729" s="1128">
        <f t="shared" si="826"/>
        <v>49.646034853247002</v>
      </c>
      <c r="AB729" s="1128">
        <f t="shared" si="827"/>
        <v>48.667866565040484</v>
      </c>
      <c r="AC729" s="1128">
        <f t="shared" si="828"/>
        <v>50.887304908952309</v>
      </c>
      <c r="AD729" s="1128">
        <f t="shared" si="829"/>
        <v>55.725819078061676</v>
      </c>
      <c r="AE729" s="1128">
        <f t="shared" si="830"/>
        <v>61.922175790429854</v>
      </c>
      <c r="AF729" s="1128">
        <f t="shared" si="831"/>
        <v>67.861199180230727</v>
      </c>
      <c r="AG729" s="1128">
        <f t="shared" si="832"/>
        <v>71.994791277791862</v>
      </c>
      <c r="AH729" s="1128">
        <f t="shared" si="833"/>
        <v>73.245467602301545</v>
      </c>
      <c r="AI729" s="1128">
        <f t="shared" si="834"/>
        <v>71.287220096270744</v>
      </c>
      <c r="AJ729" s="1128">
        <f t="shared" si="835"/>
        <v>66.630496149653936</v>
      </c>
      <c r="AK729" s="1128">
        <f t="shared" si="836"/>
        <v>60.489142621425032</v>
      </c>
      <c r="AL729" s="1128">
        <f t="shared" si="837"/>
        <v>54.463997949839523</v>
      </c>
      <c r="AM729" s="1125">
        <f t="shared" si="838"/>
        <v>1</v>
      </c>
      <c r="AN729" s="1125">
        <f t="shared" si="839"/>
        <v>1</v>
      </c>
      <c r="AO729" s="1125">
        <f t="shared" si="840"/>
        <v>1</v>
      </c>
      <c r="AP729" s="1125">
        <f t="shared" si="841"/>
        <v>1</v>
      </c>
      <c r="AQ729" s="1125">
        <f t="shared" si="842"/>
        <v>1</v>
      </c>
      <c r="AR729" s="1125">
        <f t="shared" si="843"/>
        <v>0</v>
      </c>
      <c r="AS729" s="1125">
        <f t="shared" si="844"/>
        <v>0</v>
      </c>
      <c r="AT729" s="1125">
        <f t="shared" si="845"/>
        <v>0</v>
      </c>
      <c r="AU729" s="1125">
        <f t="shared" si="846"/>
        <v>0</v>
      </c>
      <c r="AV729" s="1125">
        <f t="shared" si="847"/>
        <v>1</v>
      </c>
      <c r="AW729" s="1125">
        <f t="shared" si="848"/>
        <v>1</v>
      </c>
      <c r="AX729" s="1125">
        <f t="shared" si="849"/>
        <v>1</v>
      </c>
      <c r="AY729" s="1125">
        <f t="shared" si="850"/>
        <v>0</v>
      </c>
      <c r="AZ729" s="1125">
        <f t="shared" si="851"/>
        <v>0</v>
      </c>
      <c r="BA729" s="1125">
        <f t="shared" si="852"/>
        <v>0</v>
      </c>
      <c r="BB729" s="1125">
        <f t="shared" si="853"/>
        <v>0</v>
      </c>
      <c r="BC729" s="1125">
        <f t="shared" si="854"/>
        <v>0</v>
      </c>
      <c r="BD729" s="1125">
        <f t="shared" si="855"/>
        <v>1</v>
      </c>
      <c r="BE729" s="1125">
        <f t="shared" si="856"/>
        <v>1</v>
      </c>
      <c r="BF729" s="1125">
        <f t="shared" si="857"/>
        <v>1</v>
      </c>
      <c r="BG729" s="1125">
        <f t="shared" si="858"/>
        <v>1</v>
      </c>
      <c r="BH729" s="1125">
        <f t="shared" si="859"/>
        <v>0</v>
      </c>
      <c r="BI729" s="1125">
        <f t="shared" si="860"/>
        <v>0</v>
      </c>
      <c r="BJ729" s="1125">
        <f t="shared" si="861"/>
        <v>0</v>
      </c>
      <c r="BK729" s="1125">
        <f t="shared" si="862"/>
        <v>1</v>
      </c>
      <c r="BL729" s="1125">
        <f t="shared" si="863"/>
        <v>1</v>
      </c>
      <c r="BM729" s="1125">
        <f t="shared" si="864"/>
        <v>1</v>
      </c>
      <c r="BN729" s="1125">
        <f t="shared" si="865"/>
        <v>1</v>
      </c>
      <c r="BO729" s="1125">
        <f t="shared" si="866"/>
        <v>1</v>
      </c>
      <c r="BP729" s="1125">
        <f t="shared" si="867"/>
        <v>1</v>
      </c>
      <c r="BQ729" s="1125">
        <f t="shared" si="868"/>
        <v>0</v>
      </c>
      <c r="BR729" s="1125">
        <f t="shared" si="869"/>
        <v>0</v>
      </c>
      <c r="BS729" s="1125">
        <f t="shared" si="870"/>
        <v>0</v>
      </c>
      <c r="BT729" s="1125">
        <f t="shared" si="871"/>
        <v>1</v>
      </c>
      <c r="BU729" s="1125">
        <f t="shared" si="872"/>
        <v>1</v>
      </c>
      <c r="BV729" s="1125">
        <f t="shared" si="873"/>
        <v>1</v>
      </c>
      <c r="BW729" s="1125">
        <f t="shared" si="874"/>
        <v>0</v>
      </c>
      <c r="BX729" s="1125">
        <f t="shared" si="875"/>
        <v>0</v>
      </c>
      <c r="BY729" s="1125">
        <f t="shared" si="876"/>
        <v>0</v>
      </c>
      <c r="BZ729" s="1125">
        <f t="shared" si="877"/>
        <v>0</v>
      </c>
      <c r="CA729" s="1125">
        <f t="shared" si="878"/>
        <v>1</v>
      </c>
      <c r="CB729" s="1125">
        <f t="shared" si="879"/>
        <v>1</v>
      </c>
      <c r="CC729" s="1125">
        <f t="shared" si="880"/>
        <v>1</v>
      </c>
      <c r="CD729" s="1125">
        <f t="shared" si="881"/>
        <v>1</v>
      </c>
      <c r="CE729" s="1125">
        <f t="shared" si="882"/>
        <v>1</v>
      </c>
      <c r="CF729" s="1125">
        <f t="shared" si="883"/>
        <v>1</v>
      </c>
      <c r="CG729" s="1125">
        <f t="shared" si="884"/>
        <v>0</v>
      </c>
      <c r="CH729" s="1125">
        <f t="shared" si="885"/>
        <v>0</v>
      </c>
      <c r="CI729" s="1125">
        <f t="shared" si="886"/>
        <v>0.85</v>
      </c>
      <c r="CJ729" s="1125">
        <f t="shared" si="887"/>
        <v>0.85</v>
      </c>
      <c r="CK729" s="1125">
        <f t="shared" si="888"/>
        <v>0.85</v>
      </c>
      <c r="CL729" s="1125">
        <f t="shared" si="889"/>
        <v>0.85</v>
      </c>
      <c r="CM729" s="1125">
        <f t="shared" si="890"/>
        <v>0.85</v>
      </c>
      <c r="CN729" s="1125">
        <f t="shared" si="891"/>
        <v>0.85</v>
      </c>
      <c r="CO729" s="1125">
        <f t="shared" si="892"/>
        <v>0.7</v>
      </c>
      <c r="CP729" s="1125">
        <f t="shared" si="893"/>
        <v>0.7</v>
      </c>
      <c r="CQ729" s="1125">
        <f t="shared" si="894"/>
        <v>0.7</v>
      </c>
      <c r="CR729" s="1125">
        <f t="shared" si="895"/>
        <v>0.85</v>
      </c>
      <c r="CS729" s="1125">
        <f t="shared" si="896"/>
        <v>0.85</v>
      </c>
      <c r="CT729" s="1125">
        <f t="shared" si="897"/>
        <v>0.85</v>
      </c>
      <c r="CU729" s="1125">
        <v>1</v>
      </c>
      <c r="CV729" s="1125"/>
      <c r="CW729" s="1125">
        <f t="shared" si="898"/>
        <v>184</v>
      </c>
      <c r="CX729" s="1125">
        <f t="shared" si="899"/>
        <v>181</v>
      </c>
      <c r="CY729" s="1136" t="s">
        <v>4881</v>
      </c>
      <c r="CZ729" s="1129" t="s">
        <v>4885</v>
      </c>
      <c r="DA729" s="1129"/>
      <c r="DB729" s="1129"/>
      <c r="DC729" s="1125" t="s">
        <v>5539</v>
      </c>
      <c r="DD729" s="1125" t="s">
        <v>539</v>
      </c>
      <c r="DE729" s="1120" t="str">
        <f t="shared" si="900"/>
        <v/>
      </c>
      <c r="DF729" s="1133">
        <v>1</v>
      </c>
      <c r="DG729" s="1125">
        <v>0</v>
      </c>
    </row>
    <row r="730" spans="1:111">
      <c r="A730" s="1120" t="s">
        <v>4162</v>
      </c>
      <c r="B730" s="1120" t="s">
        <v>4274</v>
      </c>
      <c r="C730" s="1120" t="s">
        <v>4275</v>
      </c>
      <c r="D730" s="1120" t="s">
        <v>539</v>
      </c>
      <c r="E730" s="1120">
        <v>98</v>
      </c>
      <c r="F730" s="1120">
        <v>-75.02</v>
      </c>
      <c r="G730" s="1120">
        <v>40.08</v>
      </c>
      <c r="H730" s="1120">
        <v>-5</v>
      </c>
      <c r="I730" s="1121">
        <v>15.619999313354493</v>
      </c>
      <c r="J730" s="1121">
        <v>90.320002746582034</v>
      </c>
      <c r="K730" s="1122">
        <v>74.66000137329101</v>
      </c>
      <c r="L730" s="1120">
        <v>4629.6000000000004</v>
      </c>
      <c r="M730" s="1120">
        <v>1285.2</v>
      </c>
      <c r="N730" s="1123">
        <v>26.060000085830687</v>
      </c>
      <c r="O730" s="1123">
        <v>35.060000085830687</v>
      </c>
      <c r="P730" s="1123">
        <v>44.959999656677248</v>
      </c>
      <c r="Q730" s="1123">
        <v>54.140000343322754</v>
      </c>
      <c r="R730" s="1123">
        <v>61.880000686645509</v>
      </c>
      <c r="S730" s="1123">
        <v>71.419999313354495</v>
      </c>
      <c r="T730" s="1123">
        <v>76.460001373291021</v>
      </c>
      <c r="U730" s="1123">
        <v>78.619999313354498</v>
      </c>
      <c r="V730" s="1123">
        <v>69.980000686645511</v>
      </c>
      <c r="W730" s="1123">
        <v>56.3</v>
      </c>
      <c r="X730" s="1123">
        <v>46.580000686645505</v>
      </c>
      <c r="Y730" s="1123">
        <v>40.279999828338624</v>
      </c>
      <c r="Z730" s="1123">
        <v>55.251068664576913</v>
      </c>
      <c r="AA730" s="1123">
        <f t="shared" si="826"/>
        <v>48.891568848474733</v>
      </c>
      <c r="AB730" s="1123">
        <f t="shared" si="827"/>
        <v>47.860144814805679</v>
      </c>
      <c r="AC730" s="1123">
        <f t="shared" si="828"/>
        <v>50.319271442962489</v>
      </c>
      <c r="AD730" s="1123">
        <f t="shared" si="829"/>
        <v>55.627939481027653</v>
      </c>
      <c r="AE730" s="1123">
        <f t="shared" si="830"/>
        <v>62.402362795828672</v>
      </c>
      <c r="AF730" s="1123">
        <f t="shared" si="831"/>
        <v>68.876683553339319</v>
      </c>
      <c r="AG730" s="1123">
        <f t="shared" si="832"/>
        <v>73.363270275811473</v>
      </c>
      <c r="AH730" s="1123">
        <f t="shared" si="833"/>
        <v>74.692624993638532</v>
      </c>
      <c r="AI730" s="1123">
        <f t="shared" si="834"/>
        <v>72.51823091364254</v>
      </c>
      <c r="AJ730" s="1123">
        <f t="shared" si="835"/>
        <v>67.406877361201552</v>
      </c>
      <c r="AK730" s="1123">
        <f t="shared" si="836"/>
        <v>60.690917408101818</v>
      </c>
      <c r="AL730" s="1123">
        <f t="shared" si="837"/>
        <v>54.120969512194463</v>
      </c>
      <c r="AM730" s="1120">
        <f t="shared" si="838"/>
        <v>1</v>
      </c>
      <c r="AN730" s="1120">
        <f t="shared" si="839"/>
        <v>1</v>
      </c>
      <c r="AO730" s="1120">
        <f t="shared" si="840"/>
        <v>1</v>
      </c>
      <c r="AP730" s="1120">
        <f t="shared" si="841"/>
        <v>1</v>
      </c>
      <c r="AQ730" s="1120">
        <f t="shared" si="842"/>
        <v>1</v>
      </c>
      <c r="AR730" s="1120">
        <f t="shared" si="843"/>
        <v>0</v>
      </c>
      <c r="AS730" s="1120">
        <f t="shared" si="844"/>
        <v>0</v>
      </c>
      <c r="AT730" s="1120">
        <f t="shared" si="845"/>
        <v>0</v>
      </c>
      <c r="AU730" s="1120">
        <f t="shared" si="846"/>
        <v>0</v>
      </c>
      <c r="AV730" s="1120">
        <f t="shared" si="847"/>
        <v>1</v>
      </c>
      <c r="AW730" s="1120">
        <f t="shared" si="848"/>
        <v>1</v>
      </c>
      <c r="AX730" s="1120">
        <f t="shared" si="849"/>
        <v>1</v>
      </c>
      <c r="AY730" s="1120">
        <f t="shared" si="850"/>
        <v>0</v>
      </c>
      <c r="AZ730" s="1120">
        <f t="shared" si="851"/>
        <v>0</v>
      </c>
      <c r="BA730" s="1120">
        <f t="shared" si="852"/>
        <v>0</v>
      </c>
      <c r="BB730" s="1120">
        <f t="shared" si="853"/>
        <v>0</v>
      </c>
      <c r="BC730" s="1120">
        <f t="shared" si="854"/>
        <v>0</v>
      </c>
      <c r="BD730" s="1120">
        <f t="shared" si="855"/>
        <v>1</v>
      </c>
      <c r="BE730" s="1120">
        <f t="shared" si="856"/>
        <v>1</v>
      </c>
      <c r="BF730" s="1120">
        <f t="shared" si="857"/>
        <v>1</v>
      </c>
      <c r="BG730" s="1120">
        <f t="shared" si="858"/>
        <v>1</v>
      </c>
      <c r="BH730" s="1120">
        <f t="shared" si="859"/>
        <v>0</v>
      </c>
      <c r="BI730" s="1120">
        <f t="shared" si="860"/>
        <v>0</v>
      </c>
      <c r="BJ730" s="1120">
        <f t="shared" si="861"/>
        <v>0</v>
      </c>
      <c r="BK730" s="1120">
        <f t="shared" si="862"/>
        <v>1</v>
      </c>
      <c r="BL730" s="1120">
        <f t="shared" si="863"/>
        <v>1</v>
      </c>
      <c r="BM730" s="1120">
        <f t="shared" si="864"/>
        <v>1</v>
      </c>
      <c r="BN730" s="1120">
        <f t="shared" si="865"/>
        <v>1</v>
      </c>
      <c r="BO730" s="1120">
        <f t="shared" si="866"/>
        <v>1</v>
      </c>
      <c r="BP730" s="1120">
        <f t="shared" si="867"/>
        <v>1</v>
      </c>
      <c r="BQ730" s="1120">
        <f t="shared" si="868"/>
        <v>0</v>
      </c>
      <c r="BR730" s="1120">
        <f t="shared" si="869"/>
        <v>0</v>
      </c>
      <c r="BS730" s="1120">
        <f t="shared" si="870"/>
        <v>0</v>
      </c>
      <c r="BT730" s="1120">
        <f t="shared" si="871"/>
        <v>1</v>
      </c>
      <c r="BU730" s="1120">
        <f t="shared" si="872"/>
        <v>1</v>
      </c>
      <c r="BV730" s="1120">
        <f t="shared" si="873"/>
        <v>1</v>
      </c>
      <c r="BW730" s="1120">
        <f t="shared" si="874"/>
        <v>0</v>
      </c>
      <c r="BX730" s="1120">
        <f t="shared" si="875"/>
        <v>0</v>
      </c>
      <c r="BY730" s="1120">
        <f t="shared" si="876"/>
        <v>0</v>
      </c>
      <c r="BZ730" s="1120">
        <f t="shared" si="877"/>
        <v>0</v>
      </c>
      <c r="CA730" s="1120">
        <f t="shared" si="878"/>
        <v>1</v>
      </c>
      <c r="CB730" s="1120">
        <f t="shared" si="879"/>
        <v>1</v>
      </c>
      <c r="CC730" s="1120">
        <f t="shared" si="880"/>
        <v>1</v>
      </c>
      <c r="CD730" s="1120">
        <f t="shared" si="881"/>
        <v>1</v>
      </c>
      <c r="CE730" s="1120">
        <f t="shared" si="882"/>
        <v>1</v>
      </c>
      <c r="CF730" s="1120">
        <f t="shared" si="883"/>
        <v>1</v>
      </c>
      <c r="CG730" s="1120">
        <f t="shared" si="884"/>
        <v>0</v>
      </c>
      <c r="CH730" s="1120">
        <f t="shared" si="885"/>
        <v>0</v>
      </c>
      <c r="CI730" s="1120">
        <f t="shared" si="886"/>
        <v>0.85</v>
      </c>
      <c r="CJ730" s="1120">
        <f t="shared" si="887"/>
        <v>0.85</v>
      </c>
      <c r="CK730" s="1120">
        <f t="shared" si="888"/>
        <v>0.85</v>
      </c>
      <c r="CL730" s="1120">
        <f t="shared" si="889"/>
        <v>0.85</v>
      </c>
      <c r="CM730" s="1120">
        <f t="shared" si="890"/>
        <v>0.85</v>
      </c>
      <c r="CN730" s="1120">
        <f t="shared" si="891"/>
        <v>0.85</v>
      </c>
      <c r="CO730" s="1120">
        <f t="shared" si="892"/>
        <v>0.7</v>
      </c>
      <c r="CP730" s="1120">
        <f t="shared" si="893"/>
        <v>0.7</v>
      </c>
      <c r="CQ730" s="1120">
        <f t="shared" si="894"/>
        <v>0.7</v>
      </c>
      <c r="CR730" s="1120">
        <f t="shared" si="895"/>
        <v>0.85</v>
      </c>
      <c r="CS730" s="1120">
        <f t="shared" si="896"/>
        <v>0.85</v>
      </c>
      <c r="CT730" s="1120">
        <f t="shared" si="897"/>
        <v>0.85</v>
      </c>
      <c r="CU730" s="1120">
        <v>1</v>
      </c>
      <c r="CV730" s="1120"/>
      <c r="CW730" s="1120">
        <f t="shared" si="898"/>
        <v>184</v>
      </c>
      <c r="CX730" s="1120">
        <f t="shared" si="899"/>
        <v>181</v>
      </c>
      <c r="CY730" s="1135" t="s">
        <v>4881</v>
      </c>
      <c r="CZ730" s="1124" t="s">
        <v>4885</v>
      </c>
      <c r="DA730" s="1124"/>
      <c r="DB730" s="1124"/>
      <c r="DC730" s="1120" t="s">
        <v>5540</v>
      </c>
      <c r="DD730" s="1120" t="s">
        <v>539</v>
      </c>
      <c r="DE730" s="1120" t="str">
        <f t="shared" si="900"/>
        <v/>
      </c>
      <c r="DF730" s="1133">
        <v>0</v>
      </c>
      <c r="DG730" s="1120">
        <v>0</v>
      </c>
    </row>
    <row r="731" spans="1:111">
      <c r="A731" s="1125" t="s">
        <v>4164</v>
      </c>
      <c r="B731" s="1120" t="s">
        <v>4632</v>
      </c>
      <c r="C731" s="1120" t="s">
        <v>4633</v>
      </c>
      <c r="D731" s="1120" t="s">
        <v>1278</v>
      </c>
      <c r="E731" s="1120">
        <v>1473</v>
      </c>
      <c r="F731" s="1120">
        <v>-90.4</v>
      </c>
      <c r="G731" s="1120">
        <v>45.7</v>
      </c>
      <c r="H731" s="1120">
        <v>-6</v>
      </c>
      <c r="I731" s="1121">
        <v>-12.639998626708985</v>
      </c>
      <c r="J731" s="1121">
        <v>82.219999313354492</v>
      </c>
      <c r="K731" s="1122">
        <v>69.080000686645505</v>
      </c>
      <c r="L731" s="1120">
        <v>8249.4</v>
      </c>
      <c r="M731" s="1120">
        <v>410.40000000000003</v>
      </c>
      <c r="N731" s="1123">
        <v>13.280000686645508</v>
      </c>
      <c r="O731" s="1123">
        <v>11.480000686645507</v>
      </c>
      <c r="P731" s="1123">
        <v>27.5</v>
      </c>
      <c r="Q731" s="1123">
        <v>45.679999828338623</v>
      </c>
      <c r="R731" s="1123">
        <v>54.319999313354494</v>
      </c>
      <c r="S731" s="1123">
        <v>65.66000137329101</v>
      </c>
      <c r="T731" s="1123">
        <v>66.380000686645502</v>
      </c>
      <c r="U731" s="1123">
        <v>68.360001373291013</v>
      </c>
      <c r="V731" s="1123">
        <v>59.719999313354492</v>
      </c>
      <c r="W731" s="1123">
        <v>44.059999656677249</v>
      </c>
      <c r="X731" s="1123">
        <v>35.060000085830687</v>
      </c>
      <c r="Y731" s="1123">
        <v>21.559999656677245</v>
      </c>
      <c r="Z731" s="1123">
        <v>42.915890629650796</v>
      </c>
      <c r="AA731" s="1123">
        <f t="shared" si="826"/>
        <v>39.914383615747425</v>
      </c>
      <c r="AB731" s="1123">
        <f t="shared" si="827"/>
        <v>37.908819541058904</v>
      </c>
      <c r="AC731" s="1123">
        <f t="shared" si="828"/>
        <v>38.772418169711813</v>
      </c>
      <c r="AD731" s="1123">
        <f t="shared" si="829"/>
        <v>42.280069210690058</v>
      </c>
      <c r="AE731" s="1123">
        <f t="shared" si="830"/>
        <v>47.517449365623904</v>
      </c>
      <c r="AF731" s="1123">
        <f t="shared" si="831"/>
        <v>53.119354786658569</v>
      </c>
      <c r="AG731" s="1123">
        <f t="shared" si="832"/>
        <v>57.625562497825705</v>
      </c>
      <c r="AH731" s="1123">
        <f t="shared" si="833"/>
        <v>59.861460016446756</v>
      </c>
      <c r="AI731" s="1123">
        <f t="shared" si="834"/>
        <v>59.244226198069398</v>
      </c>
      <c r="AJ731" s="1123">
        <f t="shared" si="835"/>
        <v>55.934752549314751</v>
      </c>
      <c r="AK731" s="1123">
        <f t="shared" si="836"/>
        <v>50.795704377263426</v>
      </c>
      <c r="AL731" s="1123">
        <f t="shared" si="837"/>
        <v>45.166653783090133</v>
      </c>
      <c r="AM731" s="1120">
        <f t="shared" si="838"/>
        <v>1</v>
      </c>
      <c r="AN731" s="1120">
        <f t="shared" si="839"/>
        <v>1</v>
      </c>
      <c r="AO731" s="1120">
        <f t="shared" si="840"/>
        <v>1</v>
      </c>
      <c r="AP731" s="1120">
        <f t="shared" si="841"/>
        <v>1</v>
      </c>
      <c r="AQ731" s="1120">
        <f t="shared" si="842"/>
        <v>1</v>
      </c>
      <c r="AR731" s="1120">
        <f t="shared" si="843"/>
        <v>1</v>
      </c>
      <c r="AS731" s="1120">
        <f t="shared" si="844"/>
        <v>0</v>
      </c>
      <c r="AT731" s="1120">
        <f t="shared" si="845"/>
        <v>0</v>
      </c>
      <c r="AU731" s="1120">
        <f t="shared" si="846"/>
        <v>1</v>
      </c>
      <c r="AV731" s="1120">
        <f t="shared" si="847"/>
        <v>1</v>
      </c>
      <c r="AW731" s="1120">
        <f t="shared" si="848"/>
        <v>1</v>
      </c>
      <c r="AX731" s="1120">
        <f t="shared" si="849"/>
        <v>1</v>
      </c>
      <c r="AY731" s="1120">
        <f t="shared" si="850"/>
        <v>0</v>
      </c>
      <c r="AZ731" s="1120">
        <f t="shared" si="851"/>
        <v>0</v>
      </c>
      <c r="BA731" s="1120">
        <f t="shared" si="852"/>
        <v>0</v>
      </c>
      <c r="BB731" s="1120">
        <f t="shared" si="853"/>
        <v>0</v>
      </c>
      <c r="BC731" s="1120">
        <f t="shared" si="854"/>
        <v>0</v>
      </c>
      <c r="BD731" s="1120">
        <f t="shared" si="855"/>
        <v>0</v>
      </c>
      <c r="BE731" s="1120">
        <f t="shared" si="856"/>
        <v>1</v>
      </c>
      <c r="BF731" s="1120">
        <f t="shared" si="857"/>
        <v>1</v>
      </c>
      <c r="BG731" s="1120">
        <f t="shared" si="858"/>
        <v>0</v>
      </c>
      <c r="BH731" s="1120">
        <f t="shared" si="859"/>
        <v>0</v>
      </c>
      <c r="BI731" s="1120">
        <f t="shared" si="860"/>
        <v>0</v>
      </c>
      <c r="BJ731" s="1120">
        <f t="shared" si="861"/>
        <v>0</v>
      </c>
      <c r="BK731" s="1120">
        <f t="shared" si="862"/>
        <v>1</v>
      </c>
      <c r="BL731" s="1120">
        <f t="shared" si="863"/>
        <v>1</v>
      </c>
      <c r="BM731" s="1120">
        <f t="shared" si="864"/>
        <v>1</v>
      </c>
      <c r="BN731" s="1120">
        <f t="shared" si="865"/>
        <v>1</v>
      </c>
      <c r="BO731" s="1120">
        <f t="shared" si="866"/>
        <v>1</v>
      </c>
      <c r="BP731" s="1120">
        <f t="shared" si="867"/>
        <v>1</v>
      </c>
      <c r="BQ731" s="1120">
        <f t="shared" si="868"/>
        <v>1</v>
      </c>
      <c r="BR731" s="1120">
        <f t="shared" si="869"/>
        <v>0</v>
      </c>
      <c r="BS731" s="1120">
        <f t="shared" si="870"/>
        <v>1</v>
      </c>
      <c r="BT731" s="1120">
        <f t="shared" si="871"/>
        <v>1</v>
      </c>
      <c r="BU731" s="1120">
        <f t="shared" si="872"/>
        <v>1</v>
      </c>
      <c r="BV731" s="1120">
        <f t="shared" si="873"/>
        <v>1</v>
      </c>
      <c r="BW731" s="1120">
        <f t="shared" si="874"/>
        <v>0</v>
      </c>
      <c r="BX731" s="1120">
        <f t="shared" si="875"/>
        <v>0</v>
      </c>
      <c r="BY731" s="1120">
        <f t="shared" si="876"/>
        <v>0</v>
      </c>
      <c r="BZ731" s="1120">
        <f t="shared" si="877"/>
        <v>0</v>
      </c>
      <c r="CA731" s="1120">
        <f t="shared" si="878"/>
        <v>0</v>
      </c>
      <c r="CB731" s="1120">
        <f t="shared" si="879"/>
        <v>1</v>
      </c>
      <c r="CC731" s="1120">
        <f t="shared" si="880"/>
        <v>1</v>
      </c>
      <c r="CD731" s="1120">
        <f t="shared" si="881"/>
        <v>1</v>
      </c>
      <c r="CE731" s="1120">
        <f t="shared" si="882"/>
        <v>1</v>
      </c>
      <c r="CF731" s="1120">
        <f t="shared" si="883"/>
        <v>0</v>
      </c>
      <c r="CG731" s="1120">
        <f t="shared" si="884"/>
        <v>0</v>
      </c>
      <c r="CH731" s="1120">
        <f t="shared" si="885"/>
        <v>0</v>
      </c>
      <c r="CI731" s="1120">
        <f t="shared" si="886"/>
        <v>0.85</v>
      </c>
      <c r="CJ731" s="1120">
        <f t="shared" si="887"/>
        <v>0.85</v>
      </c>
      <c r="CK731" s="1120">
        <f t="shared" si="888"/>
        <v>0.85</v>
      </c>
      <c r="CL731" s="1120">
        <f t="shared" si="889"/>
        <v>0.85</v>
      </c>
      <c r="CM731" s="1120">
        <f t="shared" si="890"/>
        <v>0.85</v>
      </c>
      <c r="CN731" s="1120">
        <f t="shared" si="891"/>
        <v>0.85</v>
      </c>
      <c r="CO731" s="1120">
        <f t="shared" si="892"/>
        <v>0.85</v>
      </c>
      <c r="CP731" s="1120">
        <f t="shared" si="893"/>
        <v>0.7</v>
      </c>
      <c r="CQ731" s="1120">
        <f t="shared" si="894"/>
        <v>0.85</v>
      </c>
      <c r="CR731" s="1120">
        <f t="shared" si="895"/>
        <v>0.85</v>
      </c>
      <c r="CS731" s="1120">
        <f t="shared" si="896"/>
        <v>0.85</v>
      </c>
      <c r="CT731" s="1120">
        <f t="shared" si="897"/>
        <v>0.85</v>
      </c>
      <c r="CU731" s="1120">
        <v>1</v>
      </c>
      <c r="CV731" s="1120"/>
      <c r="CW731" s="1120">
        <f t="shared" si="898"/>
        <v>122</v>
      </c>
      <c r="CX731" s="1120">
        <f t="shared" si="899"/>
        <v>243</v>
      </c>
      <c r="CY731" s="1136" t="s">
        <v>4879</v>
      </c>
      <c r="CZ731" s="1129">
        <v>7</v>
      </c>
      <c r="DA731" s="1129"/>
      <c r="DB731" s="1129"/>
      <c r="DC731" s="1125" t="s">
        <v>6023</v>
      </c>
      <c r="DD731" s="1125" t="s">
        <v>1278</v>
      </c>
      <c r="DE731" s="1120" t="b">
        <f t="shared" si="900"/>
        <v>0</v>
      </c>
      <c r="DF731" s="1133">
        <v>0</v>
      </c>
      <c r="DG731" s="1125">
        <v>0</v>
      </c>
    </row>
    <row r="732" spans="1:111">
      <c r="A732" s="1120" t="s">
        <v>4168</v>
      </c>
      <c r="B732" s="1125" t="s">
        <v>3064</v>
      </c>
      <c r="C732" s="1125" t="s">
        <v>3065</v>
      </c>
      <c r="D732" s="1125" t="s">
        <v>1250</v>
      </c>
      <c r="E732" s="1125">
        <v>1105</v>
      </c>
      <c r="F732" s="1125">
        <v>-111.98</v>
      </c>
      <c r="G732" s="1125">
        <v>33.450000000000003</v>
      </c>
      <c r="H732" s="1125">
        <v>-7</v>
      </c>
      <c r="I732" s="1126">
        <v>41.359999656677246</v>
      </c>
      <c r="J732" s="1126">
        <v>108.13999862670899</v>
      </c>
      <c r="K732" s="1127">
        <v>69.8</v>
      </c>
      <c r="L732" s="1125">
        <v>977.4</v>
      </c>
      <c r="M732" s="1125">
        <v>4789.8</v>
      </c>
      <c r="N732" s="1128">
        <v>55.4</v>
      </c>
      <c r="O732" s="1128">
        <v>60.259999656677245</v>
      </c>
      <c r="P732" s="1128">
        <v>63.139998626708987</v>
      </c>
      <c r="Q732" s="1128">
        <v>74.66000137329101</v>
      </c>
      <c r="R732" s="1128">
        <v>81.139998626708987</v>
      </c>
      <c r="S732" s="1128">
        <v>93.2</v>
      </c>
      <c r="T732" s="1128">
        <v>96.079997253417972</v>
      </c>
      <c r="U732" s="1128">
        <v>92.83999862670899</v>
      </c>
      <c r="V732" s="1128">
        <v>86.719999313354492</v>
      </c>
      <c r="W732" s="1128">
        <v>76.639998626708987</v>
      </c>
      <c r="X732" s="1128">
        <v>64.400000000000006</v>
      </c>
      <c r="Y732" s="1128">
        <v>53.059999656677249</v>
      </c>
      <c r="Z732" s="1128">
        <v>74.860218479208754</v>
      </c>
      <c r="AA732" s="1128">
        <f t="shared" si="826"/>
        <v>65.656849072882039</v>
      </c>
      <c r="AB732" s="1128">
        <f t="shared" si="827"/>
        <v>67.102775607931946</v>
      </c>
      <c r="AC732" s="1128">
        <f t="shared" si="828"/>
        <v>72.134791635992244</v>
      </c>
      <c r="AD732" s="1128">
        <f t="shared" si="829"/>
        <v>79.441224633634732</v>
      </c>
      <c r="AE732" s="1128">
        <f t="shared" si="830"/>
        <v>87.11754024448318</v>
      </c>
      <c r="AF732" s="1128">
        <f t="shared" si="831"/>
        <v>93.162788508965576</v>
      </c>
      <c r="AG732" s="1128">
        <f t="shared" si="832"/>
        <v>96.001182306848918</v>
      </c>
      <c r="AH732" s="1128">
        <f t="shared" si="833"/>
        <v>94.892850553742434</v>
      </c>
      <c r="AI732" s="1128">
        <f t="shared" si="834"/>
        <v>90.126697001002668</v>
      </c>
      <c r="AJ732" s="1128">
        <f t="shared" si="835"/>
        <v>82.945093020800769</v>
      </c>
      <c r="AK732" s="1128">
        <f t="shared" si="836"/>
        <v>75.22003436244367</v>
      </c>
      <c r="AL732" s="1128">
        <f t="shared" si="837"/>
        <v>68.965176611989619</v>
      </c>
      <c r="AM732" s="1125">
        <f t="shared" si="838"/>
        <v>1</v>
      </c>
      <c r="AN732" s="1125">
        <f t="shared" si="839"/>
        <v>1</v>
      </c>
      <c r="AO732" s="1125">
        <f t="shared" si="840"/>
        <v>1</v>
      </c>
      <c r="AP732" s="1125">
        <f t="shared" si="841"/>
        <v>0</v>
      </c>
      <c r="AQ732" s="1125">
        <f t="shared" si="842"/>
        <v>0</v>
      </c>
      <c r="AR732" s="1125">
        <f t="shared" si="843"/>
        <v>0</v>
      </c>
      <c r="AS732" s="1125">
        <f t="shared" si="844"/>
        <v>0</v>
      </c>
      <c r="AT732" s="1125">
        <f t="shared" si="845"/>
        <v>0</v>
      </c>
      <c r="AU732" s="1125">
        <f t="shared" si="846"/>
        <v>0</v>
      </c>
      <c r="AV732" s="1125">
        <f t="shared" si="847"/>
        <v>0</v>
      </c>
      <c r="AW732" s="1125">
        <f t="shared" si="848"/>
        <v>1</v>
      </c>
      <c r="AX732" s="1125">
        <f t="shared" si="849"/>
        <v>1</v>
      </c>
      <c r="AY732" s="1125">
        <f t="shared" si="850"/>
        <v>0</v>
      </c>
      <c r="AZ732" s="1125">
        <f t="shared" si="851"/>
        <v>0</v>
      </c>
      <c r="BA732" s="1125">
        <f t="shared" si="852"/>
        <v>0</v>
      </c>
      <c r="BB732" s="1125">
        <f t="shared" si="853"/>
        <v>1</v>
      </c>
      <c r="BC732" s="1125">
        <f t="shared" si="854"/>
        <v>1</v>
      </c>
      <c r="BD732" s="1125">
        <f t="shared" si="855"/>
        <v>1</v>
      </c>
      <c r="BE732" s="1125">
        <f t="shared" si="856"/>
        <v>1</v>
      </c>
      <c r="BF732" s="1125">
        <f t="shared" si="857"/>
        <v>1</v>
      </c>
      <c r="BG732" s="1125">
        <f t="shared" si="858"/>
        <v>1</v>
      </c>
      <c r="BH732" s="1125">
        <f t="shared" si="859"/>
        <v>1</v>
      </c>
      <c r="BI732" s="1125">
        <f t="shared" si="860"/>
        <v>0</v>
      </c>
      <c r="BJ732" s="1125">
        <f t="shared" si="861"/>
        <v>0</v>
      </c>
      <c r="BK732" s="1125">
        <f t="shared" si="862"/>
        <v>1</v>
      </c>
      <c r="BL732" s="1125">
        <f t="shared" si="863"/>
        <v>1</v>
      </c>
      <c r="BM732" s="1125">
        <f t="shared" si="864"/>
        <v>1</v>
      </c>
      <c r="BN732" s="1125">
        <f t="shared" si="865"/>
        <v>1</v>
      </c>
      <c r="BO732" s="1125">
        <f t="shared" si="866"/>
        <v>0</v>
      </c>
      <c r="BP732" s="1125">
        <f t="shared" si="867"/>
        <v>0</v>
      </c>
      <c r="BQ732" s="1125">
        <f t="shared" si="868"/>
        <v>0</v>
      </c>
      <c r="BR732" s="1125">
        <f t="shared" si="869"/>
        <v>0</v>
      </c>
      <c r="BS732" s="1125">
        <f t="shared" si="870"/>
        <v>0</v>
      </c>
      <c r="BT732" s="1125">
        <f t="shared" si="871"/>
        <v>0</v>
      </c>
      <c r="BU732" s="1125">
        <f t="shared" si="872"/>
        <v>1</v>
      </c>
      <c r="BV732" s="1125">
        <f t="shared" si="873"/>
        <v>1</v>
      </c>
      <c r="BW732" s="1125">
        <f t="shared" si="874"/>
        <v>0</v>
      </c>
      <c r="BX732" s="1125">
        <f t="shared" si="875"/>
        <v>0</v>
      </c>
      <c r="BY732" s="1125">
        <f t="shared" si="876"/>
        <v>1</v>
      </c>
      <c r="BZ732" s="1125">
        <f t="shared" si="877"/>
        <v>1</v>
      </c>
      <c r="CA732" s="1125">
        <f t="shared" si="878"/>
        <v>1</v>
      </c>
      <c r="CB732" s="1125">
        <f t="shared" si="879"/>
        <v>1</v>
      </c>
      <c r="CC732" s="1125">
        <f t="shared" si="880"/>
        <v>1</v>
      </c>
      <c r="CD732" s="1125">
        <f t="shared" si="881"/>
        <v>1</v>
      </c>
      <c r="CE732" s="1125">
        <f t="shared" si="882"/>
        <v>1</v>
      </c>
      <c r="CF732" s="1125">
        <f t="shared" si="883"/>
        <v>1</v>
      </c>
      <c r="CG732" s="1125">
        <f t="shared" si="884"/>
        <v>1</v>
      </c>
      <c r="CH732" s="1125">
        <f t="shared" si="885"/>
        <v>0</v>
      </c>
      <c r="CI732" s="1125">
        <f t="shared" si="886"/>
        <v>0.85</v>
      </c>
      <c r="CJ732" s="1125">
        <f t="shared" si="887"/>
        <v>0.85</v>
      </c>
      <c r="CK732" s="1125">
        <f t="shared" si="888"/>
        <v>0.85</v>
      </c>
      <c r="CL732" s="1125">
        <f t="shared" si="889"/>
        <v>0.85</v>
      </c>
      <c r="CM732" s="1125">
        <f t="shared" si="890"/>
        <v>0.7</v>
      </c>
      <c r="CN732" s="1125">
        <f t="shared" si="891"/>
        <v>0.7</v>
      </c>
      <c r="CO732" s="1125">
        <f t="shared" si="892"/>
        <v>0.7</v>
      </c>
      <c r="CP732" s="1125">
        <f t="shared" si="893"/>
        <v>0.7</v>
      </c>
      <c r="CQ732" s="1125">
        <f t="shared" si="894"/>
        <v>0.7</v>
      </c>
      <c r="CR732" s="1125">
        <f t="shared" si="895"/>
        <v>0.7</v>
      </c>
      <c r="CS732" s="1125">
        <f t="shared" si="896"/>
        <v>0.85</v>
      </c>
      <c r="CT732" s="1125">
        <f t="shared" si="897"/>
        <v>0.85</v>
      </c>
      <c r="CU732" s="1125">
        <v>1</v>
      </c>
      <c r="CV732" s="1125"/>
      <c r="CW732" s="1125">
        <f t="shared" si="898"/>
        <v>275</v>
      </c>
      <c r="CX732" s="1125">
        <f t="shared" si="899"/>
        <v>90</v>
      </c>
      <c r="CY732" s="1136" t="s">
        <v>4886</v>
      </c>
      <c r="CZ732" s="1129" t="s">
        <v>4887</v>
      </c>
      <c r="DA732" s="1129"/>
      <c r="DB732" s="1129"/>
      <c r="DC732" s="1125" t="s">
        <v>5001</v>
      </c>
      <c r="DD732" s="1125" t="s">
        <v>1250</v>
      </c>
      <c r="DE732" s="1125" t="str">
        <f t="shared" si="900"/>
        <v/>
      </c>
      <c r="DF732" s="1125">
        <v>0</v>
      </c>
      <c r="DG732" s="1120">
        <v>0</v>
      </c>
    </row>
    <row r="733" spans="1:111">
      <c r="A733" s="1125" t="s">
        <v>4166</v>
      </c>
      <c r="B733" s="1125" t="s">
        <v>4326</v>
      </c>
      <c r="C733" s="1125" t="s">
        <v>4327</v>
      </c>
      <c r="D733" s="1125" t="s">
        <v>1147</v>
      </c>
      <c r="E733" s="1125">
        <v>1732</v>
      </c>
      <c r="F733" s="1125">
        <v>-100.28</v>
      </c>
      <c r="G733" s="1125">
        <v>44.38</v>
      </c>
      <c r="H733" s="1125">
        <v>-7</v>
      </c>
      <c r="I733" s="1126">
        <v>-6.5199993133544929</v>
      </c>
      <c r="J733" s="1126">
        <v>95</v>
      </c>
      <c r="K733" s="1127">
        <v>70.519999313354489</v>
      </c>
      <c r="L733" s="1125">
        <v>6989.4000000000005</v>
      </c>
      <c r="M733" s="1125">
        <v>889.2</v>
      </c>
      <c r="N733" s="1128">
        <v>16.159999656677247</v>
      </c>
      <c r="O733" s="1128">
        <v>24.440000343322755</v>
      </c>
      <c r="P733" s="1128">
        <v>36.320000171661377</v>
      </c>
      <c r="Q733" s="1128">
        <v>47.659999656677243</v>
      </c>
      <c r="R733" s="1128">
        <v>59.9</v>
      </c>
      <c r="S733" s="1128">
        <v>69.439998626708984</v>
      </c>
      <c r="T733" s="1128">
        <v>75.560001373291016</v>
      </c>
      <c r="U733" s="1128">
        <v>73.219999313354492</v>
      </c>
      <c r="V733" s="1128">
        <v>62.6</v>
      </c>
      <c r="W733" s="1128">
        <v>48.919999313354495</v>
      </c>
      <c r="X733" s="1128">
        <v>34.339999914169312</v>
      </c>
      <c r="Y733" s="1128">
        <v>21.920000171661378</v>
      </c>
      <c r="Z733" s="1128">
        <v>47.664438234355352</v>
      </c>
      <c r="AA733" s="1128">
        <f t="shared" si="826"/>
        <v>42.536397547984535</v>
      </c>
      <c r="AB733" s="1128">
        <f t="shared" si="827"/>
        <v>40.699524792067166</v>
      </c>
      <c r="AC733" s="1128">
        <f t="shared" si="828"/>
        <v>42.24215652024612</v>
      </c>
      <c r="AD733" s="1128">
        <f t="shared" si="829"/>
        <v>46.762181999897017</v>
      </c>
      <c r="AE733" s="1128">
        <f t="shared" si="830"/>
        <v>53.08138693404775</v>
      </c>
      <c r="AF733" s="1128">
        <f t="shared" si="831"/>
        <v>59.552573174716173</v>
      </c>
      <c r="AG733" s="1128">
        <f t="shared" si="832"/>
        <v>64.488926304273477</v>
      </c>
      <c r="AH733" s="1128">
        <f t="shared" si="833"/>
        <v>66.603709807996154</v>
      </c>
      <c r="AI733" s="1128">
        <f t="shared" si="834"/>
        <v>65.345672775838622</v>
      </c>
      <c r="AJ733" s="1128">
        <f t="shared" si="835"/>
        <v>61.042741947170221</v>
      </c>
      <c r="AK733" s="1128">
        <f t="shared" si="836"/>
        <v>54.816542552654646</v>
      </c>
      <c r="AL733" s="1128">
        <f t="shared" si="837"/>
        <v>48.290029413109394</v>
      </c>
      <c r="AM733" s="1125">
        <f t="shared" si="838"/>
        <v>1</v>
      </c>
      <c r="AN733" s="1125">
        <f t="shared" si="839"/>
        <v>1</v>
      </c>
      <c r="AO733" s="1125">
        <f t="shared" si="840"/>
        <v>1</v>
      </c>
      <c r="AP733" s="1125">
        <f t="shared" si="841"/>
        <v>1</v>
      </c>
      <c r="AQ733" s="1125">
        <f t="shared" si="842"/>
        <v>1</v>
      </c>
      <c r="AR733" s="1125">
        <f t="shared" si="843"/>
        <v>0</v>
      </c>
      <c r="AS733" s="1125">
        <f t="shared" si="844"/>
        <v>0</v>
      </c>
      <c r="AT733" s="1125">
        <f t="shared" si="845"/>
        <v>0</v>
      </c>
      <c r="AU733" s="1125">
        <f t="shared" si="846"/>
        <v>1</v>
      </c>
      <c r="AV733" s="1125">
        <f t="shared" si="847"/>
        <v>1</v>
      </c>
      <c r="AW733" s="1125">
        <f t="shared" si="848"/>
        <v>1</v>
      </c>
      <c r="AX733" s="1125">
        <f t="shared" si="849"/>
        <v>1</v>
      </c>
      <c r="AY733" s="1125">
        <f t="shared" si="850"/>
        <v>0</v>
      </c>
      <c r="AZ733" s="1125">
        <f t="shared" si="851"/>
        <v>0</v>
      </c>
      <c r="BA733" s="1125">
        <f t="shared" si="852"/>
        <v>0</v>
      </c>
      <c r="BB733" s="1125">
        <f t="shared" si="853"/>
        <v>0</v>
      </c>
      <c r="BC733" s="1125">
        <f t="shared" si="854"/>
        <v>0</v>
      </c>
      <c r="BD733" s="1125">
        <f t="shared" si="855"/>
        <v>1</v>
      </c>
      <c r="BE733" s="1125">
        <f t="shared" si="856"/>
        <v>1</v>
      </c>
      <c r="BF733" s="1125">
        <f t="shared" si="857"/>
        <v>1</v>
      </c>
      <c r="BG733" s="1125">
        <f t="shared" si="858"/>
        <v>0</v>
      </c>
      <c r="BH733" s="1125">
        <f t="shared" si="859"/>
        <v>0</v>
      </c>
      <c r="BI733" s="1125">
        <f t="shared" si="860"/>
        <v>0</v>
      </c>
      <c r="BJ733" s="1125">
        <f t="shared" si="861"/>
        <v>0</v>
      </c>
      <c r="BK733" s="1125">
        <f t="shared" si="862"/>
        <v>1</v>
      </c>
      <c r="BL733" s="1125">
        <f t="shared" si="863"/>
        <v>1</v>
      </c>
      <c r="BM733" s="1125">
        <f t="shared" si="864"/>
        <v>1</v>
      </c>
      <c r="BN733" s="1125">
        <f t="shared" si="865"/>
        <v>1</v>
      </c>
      <c r="BO733" s="1125">
        <f t="shared" si="866"/>
        <v>1</v>
      </c>
      <c r="BP733" s="1125">
        <f t="shared" si="867"/>
        <v>1</v>
      </c>
      <c r="BQ733" s="1125">
        <f t="shared" si="868"/>
        <v>0</v>
      </c>
      <c r="BR733" s="1125">
        <f t="shared" si="869"/>
        <v>0</v>
      </c>
      <c r="BS733" s="1125">
        <f t="shared" si="870"/>
        <v>1</v>
      </c>
      <c r="BT733" s="1125">
        <f t="shared" si="871"/>
        <v>1</v>
      </c>
      <c r="BU733" s="1125">
        <f t="shared" si="872"/>
        <v>1</v>
      </c>
      <c r="BV733" s="1125">
        <f t="shared" si="873"/>
        <v>1</v>
      </c>
      <c r="BW733" s="1125">
        <f t="shared" si="874"/>
        <v>0</v>
      </c>
      <c r="BX733" s="1125">
        <f t="shared" si="875"/>
        <v>0</v>
      </c>
      <c r="BY733" s="1125">
        <f t="shared" si="876"/>
        <v>0</v>
      </c>
      <c r="BZ733" s="1125">
        <f t="shared" si="877"/>
        <v>0</v>
      </c>
      <c r="CA733" s="1125">
        <f t="shared" si="878"/>
        <v>1</v>
      </c>
      <c r="CB733" s="1125">
        <f t="shared" si="879"/>
        <v>1</v>
      </c>
      <c r="CC733" s="1125">
        <f t="shared" si="880"/>
        <v>1</v>
      </c>
      <c r="CD733" s="1125">
        <f t="shared" si="881"/>
        <v>1</v>
      </c>
      <c r="CE733" s="1125">
        <f t="shared" si="882"/>
        <v>1</v>
      </c>
      <c r="CF733" s="1125">
        <f t="shared" si="883"/>
        <v>0</v>
      </c>
      <c r="CG733" s="1125">
        <f t="shared" si="884"/>
        <v>0</v>
      </c>
      <c r="CH733" s="1125">
        <f t="shared" si="885"/>
        <v>0</v>
      </c>
      <c r="CI733" s="1125">
        <f t="shared" si="886"/>
        <v>0.85</v>
      </c>
      <c r="CJ733" s="1125">
        <f t="shared" si="887"/>
        <v>0.85</v>
      </c>
      <c r="CK733" s="1125">
        <f t="shared" si="888"/>
        <v>0.85</v>
      </c>
      <c r="CL733" s="1125">
        <f t="shared" si="889"/>
        <v>0.85</v>
      </c>
      <c r="CM733" s="1125">
        <f t="shared" si="890"/>
        <v>0.85</v>
      </c>
      <c r="CN733" s="1125">
        <f t="shared" si="891"/>
        <v>0.85</v>
      </c>
      <c r="CO733" s="1125">
        <f t="shared" si="892"/>
        <v>0.7</v>
      </c>
      <c r="CP733" s="1125">
        <f t="shared" si="893"/>
        <v>0.7</v>
      </c>
      <c r="CQ733" s="1125">
        <f t="shared" si="894"/>
        <v>0.85</v>
      </c>
      <c r="CR733" s="1125">
        <f t="shared" si="895"/>
        <v>0.85</v>
      </c>
      <c r="CS733" s="1125">
        <f t="shared" si="896"/>
        <v>0.85</v>
      </c>
      <c r="CT733" s="1125">
        <f t="shared" si="897"/>
        <v>0.85</v>
      </c>
      <c r="CU733" s="1125">
        <v>1</v>
      </c>
      <c r="CV733" s="1125"/>
      <c r="CW733" s="1125">
        <f t="shared" si="898"/>
        <v>153</v>
      </c>
      <c r="CX733" s="1125">
        <f t="shared" si="899"/>
        <v>212</v>
      </c>
      <c r="CY733" s="1136" t="s">
        <v>4889</v>
      </c>
      <c r="CZ733" s="1129" t="s">
        <v>4899</v>
      </c>
      <c r="DA733" s="1129"/>
      <c r="DB733" s="1129"/>
      <c r="DC733" s="1125" t="s">
        <v>5561</v>
      </c>
      <c r="DD733" s="1125" t="s">
        <v>1147</v>
      </c>
      <c r="DE733" s="1120" t="str">
        <f t="shared" si="900"/>
        <v/>
      </c>
      <c r="DF733" s="1133">
        <v>0</v>
      </c>
      <c r="DG733" s="1125">
        <v>0</v>
      </c>
    </row>
    <row r="734" spans="1:111">
      <c r="A734" s="1120" t="s">
        <v>4170</v>
      </c>
      <c r="B734" s="1125" t="s">
        <v>3040</v>
      </c>
      <c r="C734" s="1125" t="s">
        <v>3041</v>
      </c>
      <c r="D734" s="1125" t="s">
        <v>1176</v>
      </c>
      <c r="E734" s="1125">
        <v>207</v>
      </c>
      <c r="F734" s="1125">
        <v>-91.93</v>
      </c>
      <c r="G734" s="1125">
        <v>34.17</v>
      </c>
      <c r="H734" s="1125">
        <v>-6</v>
      </c>
      <c r="I734" s="1126">
        <v>25.339999914169312</v>
      </c>
      <c r="J734" s="1126">
        <v>95</v>
      </c>
      <c r="K734" s="1127">
        <v>77.539998626708979</v>
      </c>
      <c r="L734" s="1125">
        <v>3279.6</v>
      </c>
      <c r="M734" s="1125">
        <v>2482.2000000000003</v>
      </c>
      <c r="N734" s="1128">
        <v>39.559999656677249</v>
      </c>
      <c r="O734" s="1128">
        <v>47.840000343322757</v>
      </c>
      <c r="P734" s="1128">
        <v>49.640000343322754</v>
      </c>
      <c r="Q734" s="1128">
        <v>66.019999313354489</v>
      </c>
      <c r="R734" s="1128">
        <v>72.319999313354487</v>
      </c>
      <c r="S734" s="1128">
        <v>78.619999313354498</v>
      </c>
      <c r="T734" s="1128">
        <v>79.33999862670899</v>
      </c>
      <c r="U734" s="1128">
        <v>85.819999313354487</v>
      </c>
      <c r="V734" s="1128">
        <v>79.16000137329101</v>
      </c>
      <c r="W734" s="1128">
        <v>62.6</v>
      </c>
      <c r="X734" s="1128">
        <v>50</v>
      </c>
      <c r="Y734" s="1128">
        <v>35.060000085830687</v>
      </c>
      <c r="Z734" s="1128">
        <v>62.213862814054096</v>
      </c>
      <c r="AA734" s="1128">
        <f t="shared" si="826"/>
        <v>54.051360218775244</v>
      </c>
      <c r="AB734" s="1128">
        <f t="shared" si="827"/>
        <v>53.819535128318464</v>
      </c>
      <c r="AC734" s="1128">
        <f t="shared" si="828"/>
        <v>57.339813372452852</v>
      </c>
      <c r="AD734" s="1128">
        <f t="shared" si="829"/>
        <v>63.694580177714919</v>
      </c>
      <c r="AE734" s="1128">
        <f t="shared" si="830"/>
        <v>71.227367646392338</v>
      </c>
      <c r="AF734" s="1128">
        <f t="shared" si="831"/>
        <v>77.974638641005612</v>
      </c>
      <c r="AG734" s="1128">
        <f t="shared" si="832"/>
        <v>82.177612998215366</v>
      </c>
      <c r="AH734" s="1128">
        <f t="shared" si="833"/>
        <v>82.740720682019457</v>
      </c>
      <c r="AI734" s="1128">
        <f t="shared" si="834"/>
        <v>79.517178996882279</v>
      </c>
      <c r="AJ734" s="1128">
        <f t="shared" si="835"/>
        <v>73.34725375931589</v>
      </c>
      <c r="AK734" s="1128">
        <f t="shared" si="836"/>
        <v>65.839231063917964</v>
      </c>
      <c r="AL734" s="1128">
        <f t="shared" si="837"/>
        <v>58.950192728375988</v>
      </c>
      <c r="AM734" s="1125">
        <f t="shared" si="838"/>
        <v>1</v>
      </c>
      <c r="AN734" s="1125">
        <f t="shared" si="839"/>
        <v>1</v>
      </c>
      <c r="AO734" s="1125">
        <f t="shared" si="840"/>
        <v>1</v>
      </c>
      <c r="AP734" s="1125">
        <f t="shared" si="841"/>
        <v>0</v>
      </c>
      <c r="AQ734" s="1125">
        <f t="shared" si="842"/>
        <v>0</v>
      </c>
      <c r="AR734" s="1125">
        <f t="shared" si="843"/>
        <v>0</v>
      </c>
      <c r="AS734" s="1125">
        <f t="shared" si="844"/>
        <v>0</v>
      </c>
      <c r="AT734" s="1125">
        <f t="shared" si="845"/>
        <v>0</v>
      </c>
      <c r="AU734" s="1125">
        <f t="shared" si="846"/>
        <v>0</v>
      </c>
      <c r="AV734" s="1125">
        <f t="shared" si="847"/>
        <v>1</v>
      </c>
      <c r="AW734" s="1125">
        <f t="shared" si="848"/>
        <v>1</v>
      </c>
      <c r="AX734" s="1125">
        <f t="shared" si="849"/>
        <v>1</v>
      </c>
      <c r="AY734" s="1125">
        <f t="shared" si="850"/>
        <v>0</v>
      </c>
      <c r="AZ734" s="1125">
        <f t="shared" si="851"/>
        <v>0</v>
      </c>
      <c r="BA734" s="1125">
        <f t="shared" si="852"/>
        <v>0</v>
      </c>
      <c r="BB734" s="1125">
        <f t="shared" si="853"/>
        <v>1</v>
      </c>
      <c r="BC734" s="1125">
        <f t="shared" si="854"/>
        <v>1</v>
      </c>
      <c r="BD734" s="1125">
        <f t="shared" si="855"/>
        <v>1</v>
      </c>
      <c r="BE734" s="1125">
        <f t="shared" si="856"/>
        <v>1</v>
      </c>
      <c r="BF734" s="1125">
        <f t="shared" si="857"/>
        <v>1</v>
      </c>
      <c r="BG734" s="1125">
        <f t="shared" si="858"/>
        <v>1</v>
      </c>
      <c r="BH734" s="1125">
        <f t="shared" si="859"/>
        <v>0</v>
      </c>
      <c r="BI734" s="1125">
        <f t="shared" si="860"/>
        <v>0</v>
      </c>
      <c r="BJ734" s="1125">
        <f t="shared" si="861"/>
        <v>0</v>
      </c>
      <c r="BK734" s="1125">
        <f t="shared" si="862"/>
        <v>1</v>
      </c>
      <c r="BL734" s="1125">
        <f t="shared" si="863"/>
        <v>1</v>
      </c>
      <c r="BM734" s="1125">
        <f t="shared" si="864"/>
        <v>1</v>
      </c>
      <c r="BN734" s="1125">
        <f t="shared" si="865"/>
        <v>1</v>
      </c>
      <c r="BO734" s="1125">
        <f t="shared" si="866"/>
        <v>0</v>
      </c>
      <c r="BP734" s="1125">
        <f t="shared" si="867"/>
        <v>0</v>
      </c>
      <c r="BQ734" s="1125">
        <f t="shared" si="868"/>
        <v>0</v>
      </c>
      <c r="BR734" s="1125">
        <f t="shared" si="869"/>
        <v>0</v>
      </c>
      <c r="BS734" s="1125">
        <f t="shared" si="870"/>
        <v>0</v>
      </c>
      <c r="BT734" s="1125">
        <f t="shared" si="871"/>
        <v>1</v>
      </c>
      <c r="BU734" s="1125">
        <f t="shared" si="872"/>
        <v>1</v>
      </c>
      <c r="BV734" s="1125">
        <f t="shared" si="873"/>
        <v>1</v>
      </c>
      <c r="BW734" s="1125">
        <f t="shared" si="874"/>
        <v>0</v>
      </c>
      <c r="BX734" s="1125">
        <f t="shared" si="875"/>
        <v>0</v>
      </c>
      <c r="BY734" s="1125">
        <f t="shared" si="876"/>
        <v>1</v>
      </c>
      <c r="BZ734" s="1125">
        <f t="shared" si="877"/>
        <v>1</v>
      </c>
      <c r="CA734" s="1125">
        <f t="shared" si="878"/>
        <v>1</v>
      </c>
      <c r="CB734" s="1125">
        <f t="shared" si="879"/>
        <v>1</v>
      </c>
      <c r="CC734" s="1125">
        <f t="shared" si="880"/>
        <v>1</v>
      </c>
      <c r="CD734" s="1125">
        <f t="shared" si="881"/>
        <v>1</v>
      </c>
      <c r="CE734" s="1125">
        <f t="shared" si="882"/>
        <v>1</v>
      </c>
      <c r="CF734" s="1125">
        <f t="shared" si="883"/>
        <v>1</v>
      </c>
      <c r="CG734" s="1125">
        <f t="shared" si="884"/>
        <v>0</v>
      </c>
      <c r="CH734" s="1125">
        <f t="shared" si="885"/>
        <v>0</v>
      </c>
      <c r="CI734" s="1125">
        <f t="shared" si="886"/>
        <v>0.85</v>
      </c>
      <c r="CJ734" s="1125">
        <f t="shared" si="887"/>
        <v>0.85</v>
      </c>
      <c r="CK734" s="1125">
        <f t="shared" si="888"/>
        <v>0.85</v>
      </c>
      <c r="CL734" s="1125">
        <f t="shared" si="889"/>
        <v>0.85</v>
      </c>
      <c r="CM734" s="1125">
        <f t="shared" si="890"/>
        <v>0.7</v>
      </c>
      <c r="CN734" s="1125">
        <f t="shared" si="891"/>
        <v>0.7</v>
      </c>
      <c r="CO734" s="1125">
        <f t="shared" si="892"/>
        <v>0.7</v>
      </c>
      <c r="CP734" s="1125">
        <f t="shared" si="893"/>
        <v>0.7</v>
      </c>
      <c r="CQ734" s="1125">
        <f t="shared" si="894"/>
        <v>0.7</v>
      </c>
      <c r="CR734" s="1125">
        <f t="shared" si="895"/>
        <v>0.85</v>
      </c>
      <c r="CS734" s="1125">
        <f t="shared" si="896"/>
        <v>0.85</v>
      </c>
      <c r="CT734" s="1125">
        <f t="shared" si="897"/>
        <v>0.85</v>
      </c>
      <c r="CU734" s="1125">
        <v>1</v>
      </c>
      <c r="CV734" s="1125"/>
      <c r="CW734" s="1125">
        <f t="shared" si="898"/>
        <v>245</v>
      </c>
      <c r="CX734" s="1125">
        <f t="shared" si="899"/>
        <v>120</v>
      </c>
      <c r="CY734" s="1136" t="s">
        <v>4881</v>
      </c>
      <c r="CZ734" s="1129" t="s">
        <v>4882</v>
      </c>
      <c r="DA734" s="1129"/>
      <c r="DB734" s="1129"/>
      <c r="DC734" s="1125" t="s">
        <v>4992</v>
      </c>
      <c r="DD734" s="1125" t="s">
        <v>1176</v>
      </c>
      <c r="DE734" s="1125" t="str">
        <f t="shared" si="900"/>
        <v/>
      </c>
      <c r="DF734" s="1125">
        <v>0</v>
      </c>
      <c r="DG734" s="1120">
        <v>0</v>
      </c>
    </row>
    <row r="735" spans="1:111">
      <c r="A735" s="1125" t="s">
        <v>4172</v>
      </c>
      <c r="B735" s="1120" t="s">
        <v>5888</v>
      </c>
      <c r="C735" s="1120" t="s">
        <v>5889</v>
      </c>
      <c r="D735" s="1120" t="s">
        <v>934</v>
      </c>
      <c r="E735" s="1120">
        <v>1735</v>
      </c>
      <c r="F735" s="1120">
        <v>-96.32</v>
      </c>
      <c r="G735" s="1120">
        <v>43.98</v>
      </c>
      <c r="H735" s="1120">
        <v>-6</v>
      </c>
      <c r="I735" s="1121">
        <v>-8.1399986267089854</v>
      </c>
      <c r="J735" s="1121">
        <v>86</v>
      </c>
      <c r="K735" s="1122">
        <v>73.219999313354492</v>
      </c>
      <c r="L735" s="1120">
        <v>8447.4</v>
      </c>
      <c r="M735" s="1120">
        <v>720</v>
      </c>
      <c r="N735" s="1123">
        <v>11.119999313354493</v>
      </c>
      <c r="O735" s="1123">
        <v>10.759999656677246</v>
      </c>
      <c r="P735" s="1123">
        <v>37.039999914169314</v>
      </c>
      <c r="Q735" s="1123">
        <v>45.140000343322754</v>
      </c>
      <c r="R735" s="1123">
        <v>56.119999313354491</v>
      </c>
      <c r="S735" s="1123">
        <v>68.539998626708979</v>
      </c>
      <c r="T735" s="1123">
        <v>74.119999313354498</v>
      </c>
      <c r="U735" s="1123">
        <v>68.539998626708979</v>
      </c>
      <c r="V735" s="1123">
        <v>62.060001373291016</v>
      </c>
      <c r="W735" s="1123">
        <v>43.7</v>
      </c>
      <c r="X735" s="1123">
        <v>30.740000021457671</v>
      </c>
      <c r="Y735" s="1123">
        <v>8.6</v>
      </c>
      <c r="Z735" s="1123">
        <v>43.211287375998822</v>
      </c>
      <c r="AA735" s="1123">
        <f t="shared" si="826"/>
        <v>38.725898893910752</v>
      </c>
      <c r="AB735" s="1123">
        <f t="shared" si="827"/>
        <v>36.429354943134115</v>
      </c>
      <c r="AC735" s="1123">
        <f t="shared" si="828"/>
        <v>37.464618656524863</v>
      </c>
      <c r="AD735" s="1123">
        <f t="shared" si="829"/>
        <v>41.561832593290937</v>
      </c>
      <c r="AE735" s="1123">
        <f t="shared" si="830"/>
        <v>47.652994800836268</v>
      </c>
      <c r="AF735" s="1123">
        <f t="shared" si="831"/>
        <v>54.150349982113205</v>
      </c>
      <c r="AG735" s="1123">
        <f t="shared" si="832"/>
        <v>59.360262381847747</v>
      </c>
      <c r="AH735" s="1123">
        <f t="shared" si="833"/>
        <v>61.924688045868713</v>
      </c>
      <c r="AI735" s="1123">
        <f t="shared" si="834"/>
        <v>61.175169905853338</v>
      </c>
      <c r="AJ735" s="1123">
        <f t="shared" si="835"/>
        <v>57.307081415420797</v>
      </c>
      <c r="AK735" s="1123">
        <f t="shared" si="836"/>
        <v>51.328699448650319</v>
      </c>
      <c r="AL735" s="1123">
        <f t="shared" si="837"/>
        <v>44.798381394835474</v>
      </c>
      <c r="AM735" s="1120">
        <f t="shared" si="838"/>
        <v>1</v>
      </c>
      <c r="AN735" s="1120">
        <f t="shared" si="839"/>
        <v>1</v>
      </c>
      <c r="AO735" s="1120">
        <f t="shared" si="840"/>
        <v>1</v>
      </c>
      <c r="AP735" s="1120">
        <f t="shared" si="841"/>
        <v>1</v>
      </c>
      <c r="AQ735" s="1120">
        <f t="shared" si="842"/>
        <v>1</v>
      </c>
      <c r="AR735" s="1120">
        <f t="shared" si="843"/>
        <v>0</v>
      </c>
      <c r="AS735" s="1120">
        <f t="shared" si="844"/>
        <v>0</v>
      </c>
      <c r="AT735" s="1120">
        <f t="shared" si="845"/>
        <v>0</v>
      </c>
      <c r="AU735" s="1120">
        <f t="shared" si="846"/>
        <v>1</v>
      </c>
      <c r="AV735" s="1120">
        <f t="shared" si="847"/>
        <v>1</v>
      </c>
      <c r="AW735" s="1120">
        <f t="shared" si="848"/>
        <v>1</v>
      </c>
      <c r="AX735" s="1120">
        <f t="shared" si="849"/>
        <v>1</v>
      </c>
      <c r="AY735" s="1120">
        <f t="shared" si="850"/>
        <v>0</v>
      </c>
      <c r="AZ735" s="1120">
        <f t="shared" si="851"/>
        <v>0</v>
      </c>
      <c r="BA735" s="1120">
        <f t="shared" si="852"/>
        <v>0</v>
      </c>
      <c r="BB735" s="1120">
        <f t="shared" si="853"/>
        <v>0</v>
      </c>
      <c r="BC735" s="1120">
        <f t="shared" si="854"/>
        <v>0</v>
      </c>
      <c r="BD735" s="1120">
        <f t="shared" si="855"/>
        <v>1</v>
      </c>
      <c r="BE735" s="1120">
        <f t="shared" si="856"/>
        <v>1</v>
      </c>
      <c r="BF735" s="1120">
        <f t="shared" si="857"/>
        <v>1</v>
      </c>
      <c r="BG735" s="1120">
        <f t="shared" si="858"/>
        <v>0</v>
      </c>
      <c r="BH735" s="1120">
        <f t="shared" si="859"/>
        <v>0</v>
      </c>
      <c r="BI735" s="1120">
        <f t="shared" si="860"/>
        <v>0</v>
      </c>
      <c r="BJ735" s="1120">
        <f t="shared" si="861"/>
        <v>0</v>
      </c>
      <c r="BK735" s="1120">
        <f t="shared" si="862"/>
        <v>1</v>
      </c>
      <c r="BL735" s="1120">
        <f t="shared" si="863"/>
        <v>1</v>
      </c>
      <c r="BM735" s="1120">
        <f t="shared" si="864"/>
        <v>1</v>
      </c>
      <c r="BN735" s="1120">
        <f t="shared" si="865"/>
        <v>1</v>
      </c>
      <c r="BO735" s="1120">
        <f t="shared" si="866"/>
        <v>1</v>
      </c>
      <c r="BP735" s="1120">
        <f t="shared" si="867"/>
        <v>1</v>
      </c>
      <c r="BQ735" s="1120">
        <f t="shared" si="868"/>
        <v>0</v>
      </c>
      <c r="BR735" s="1120">
        <f t="shared" si="869"/>
        <v>0</v>
      </c>
      <c r="BS735" s="1120">
        <f t="shared" si="870"/>
        <v>1</v>
      </c>
      <c r="BT735" s="1120">
        <f t="shared" si="871"/>
        <v>1</v>
      </c>
      <c r="BU735" s="1120">
        <f t="shared" si="872"/>
        <v>1</v>
      </c>
      <c r="BV735" s="1120">
        <f t="shared" si="873"/>
        <v>1</v>
      </c>
      <c r="BW735" s="1120">
        <f t="shared" si="874"/>
        <v>0</v>
      </c>
      <c r="BX735" s="1120">
        <f t="shared" si="875"/>
        <v>0</v>
      </c>
      <c r="BY735" s="1120">
        <f t="shared" si="876"/>
        <v>0</v>
      </c>
      <c r="BZ735" s="1120">
        <f t="shared" si="877"/>
        <v>0</v>
      </c>
      <c r="CA735" s="1120">
        <f t="shared" si="878"/>
        <v>1</v>
      </c>
      <c r="CB735" s="1120">
        <f t="shared" si="879"/>
        <v>1</v>
      </c>
      <c r="CC735" s="1120">
        <f t="shared" si="880"/>
        <v>1</v>
      </c>
      <c r="CD735" s="1120">
        <f t="shared" si="881"/>
        <v>1</v>
      </c>
      <c r="CE735" s="1120">
        <f t="shared" si="882"/>
        <v>1</v>
      </c>
      <c r="CF735" s="1120">
        <f t="shared" si="883"/>
        <v>0</v>
      </c>
      <c r="CG735" s="1120">
        <f t="shared" si="884"/>
        <v>0</v>
      </c>
      <c r="CH735" s="1120">
        <f t="shared" si="885"/>
        <v>0</v>
      </c>
      <c r="CI735" s="1120">
        <f t="shared" si="886"/>
        <v>0.85</v>
      </c>
      <c r="CJ735" s="1120">
        <f t="shared" si="887"/>
        <v>0.85</v>
      </c>
      <c r="CK735" s="1120">
        <f t="shared" si="888"/>
        <v>0.85</v>
      </c>
      <c r="CL735" s="1120">
        <f t="shared" si="889"/>
        <v>0.85</v>
      </c>
      <c r="CM735" s="1120">
        <f t="shared" si="890"/>
        <v>0.85</v>
      </c>
      <c r="CN735" s="1120">
        <f t="shared" si="891"/>
        <v>0.85</v>
      </c>
      <c r="CO735" s="1120">
        <f t="shared" si="892"/>
        <v>0.7</v>
      </c>
      <c r="CP735" s="1120">
        <f t="shared" si="893"/>
        <v>0.7</v>
      </c>
      <c r="CQ735" s="1120">
        <f t="shared" si="894"/>
        <v>0.85</v>
      </c>
      <c r="CR735" s="1120">
        <f t="shared" si="895"/>
        <v>0.85</v>
      </c>
      <c r="CS735" s="1120">
        <f t="shared" si="896"/>
        <v>0.85</v>
      </c>
      <c r="CT735" s="1120">
        <f t="shared" si="897"/>
        <v>0.85</v>
      </c>
      <c r="CU735" s="1120">
        <v>1</v>
      </c>
      <c r="CV735" s="1120"/>
      <c r="CW735" s="1120">
        <f t="shared" si="898"/>
        <v>153</v>
      </c>
      <c r="CX735" s="1120">
        <f t="shared" si="899"/>
        <v>212</v>
      </c>
      <c r="CY735" s="1135" t="s">
        <v>4889</v>
      </c>
      <c r="CZ735" s="1124" t="s">
        <v>4899</v>
      </c>
      <c r="DA735" s="1124"/>
      <c r="DB735" s="1124"/>
      <c r="DC735" s="1120" t="s">
        <v>5761</v>
      </c>
      <c r="DD735" s="1120" t="s">
        <v>934</v>
      </c>
      <c r="DE735" s="1120" t="str">
        <f t="shared" si="900"/>
        <v/>
      </c>
      <c r="DF735" s="1133">
        <v>0</v>
      </c>
      <c r="DG735" s="1125">
        <v>0</v>
      </c>
    </row>
    <row r="736" spans="1:111">
      <c r="A736" s="1120" t="s">
        <v>4176</v>
      </c>
      <c r="B736" s="1125" t="s">
        <v>3956</v>
      </c>
      <c r="C736" s="1125" t="s">
        <v>3957</v>
      </c>
      <c r="D736" s="1125" t="s">
        <v>426</v>
      </c>
      <c r="E736" s="1125">
        <v>26</v>
      </c>
      <c r="F736" s="1125">
        <v>-77.400000000000006</v>
      </c>
      <c r="G736" s="1125">
        <v>35.630000000000003</v>
      </c>
      <c r="H736" s="1125">
        <v>-5</v>
      </c>
      <c r="I736" s="1126">
        <v>24.8</v>
      </c>
      <c r="J736" s="1126">
        <v>93.020002746582037</v>
      </c>
      <c r="K736" s="1127">
        <v>75.380000686645502</v>
      </c>
      <c r="L736" s="1125">
        <v>2935.8</v>
      </c>
      <c r="M736" s="1125">
        <v>1605.6000000000001</v>
      </c>
      <c r="N736" s="1128">
        <v>40.640000343322754</v>
      </c>
      <c r="O736" s="1128">
        <v>43.159999656677243</v>
      </c>
      <c r="P736" s="1128">
        <v>46.040000343322752</v>
      </c>
      <c r="Q736" s="1128">
        <v>61.880000686645509</v>
      </c>
      <c r="R736" s="1128">
        <v>69.980000686645511</v>
      </c>
      <c r="S736" s="1128">
        <v>73.039998626708979</v>
      </c>
      <c r="T736" s="1128">
        <v>79.33999862670899</v>
      </c>
      <c r="U736" s="1128">
        <v>74.480000686645511</v>
      </c>
      <c r="V736" s="1128">
        <v>68.539998626708979</v>
      </c>
      <c r="W736" s="1128">
        <v>63.139998626708987</v>
      </c>
      <c r="X736" s="1128">
        <v>59.540000343322752</v>
      </c>
      <c r="Y736" s="1128">
        <v>48.2</v>
      </c>
      <c r="Z736" s="1128">
        <v>60.753150459185036</v>
      </c>
      <c r="AA736" s="1128">
        <f t="shared" si="826"/>
        <v>56.308391034285968</v>
      </c>
      <c r="AB736" s="1128">
        <f t="shared" si="827"/>
        <v>55.99527661150821</v>
      </c>
      <c r="AC736" s="1128">
        <f t="shared" si="828"/>
        <v>58.486367790981646</v>
      </c>
      <c r="AD736" s="1128">
        <f t="shared" si="829"/>
        <v>63.132323267899423</v>
      </c>
      <c r="AE736" s="1128">
        <f t="shared" si="830"/>
        <v>68.722103150861827</v>
      </c>
      <c r="AF736" s="1128">
        <f t="shared" si="831"/>
        <v>73.798645172259228</v>
      </c>
      <c r="AG736" s="1128">
        <f t="shared" si="832"/>
        <v>77.038670422333809</v>
      </c>
      <c r="AH736" s="1128">
        <f t="shared" si="833"/>
        <v>77.597616389353121</v>
      </c>
      <c r="AI736" s="1128">
        <f t="shared" si="834"/>
        <v>75.329785193395509</v>
      </c>
      <c r="AJ736" s="1128">
        <f t="shared" si="835"/>
        <v>70.826321984023949</v>
      </c>
      <c r="AK736" s="1128">
        <f t="shared" si="836"/>
        <v>65.261123847229896</v>
      </c>
      <c r="AL736" s="1128">
        <f t="shared" si="837"/>
        <v>60.084845439668037</v>
      </c>
      <c r="AM736" s="1125">
        <f t="shared" si="838"/>
        <v>1</v>
      </c>
      <c r="AN736" s="1125">
        <f t="shared" si="839"/>
        <v>1</v>
      </c>
      <c r="AO736" s="1125">
        <f t="shared" si="840"/>
        <v>1</v>
      </c>
      <c r="AP736" s="1125">
        <f t="shared" si="841"/>
        <v>1</v>
      </c>
      <c r="AQ736" s="1125">
        <f t="shared" si="842"/>
        <v>0</v>
      </c>
      <c r="AR736" s="1125">
        <f t="shared" si="843"/>
        <v>0</v>
      </c>
      <c r="AS736" s="1125">
        <f t="shared" si="844"/>
        <v>0</v>
      </c>
      <c r="AT736" s="1125">
        <f t="shared" si="845"/>
        <v>0</v>
      </c>
      <c r="AU736" s="1125">
        <f t="shared" si="846"/>
        <v>0</v>
      </c>
      <c r="AV736" s="1125">
        <f t="shared" si="847"/>
        <v>1</v>
      </c>
      <c r="AW736" s="1125">
        <f t="shared" si="848"/>
        <v>1</v>
      </c>
      <c r="AX736" s="1125">
        <f t="shared" si="849"/>
        <v>1</v>
      </c>
      <c r="AY736" s="1125">
        <f t="shared" si="850"/>
        <v>0</v>
      </c>
      <c r="AZ736" s="1125">
        <f t="shared" si="851"/>
        <v>0</v>
      </c>
      <c r="BA736" s="1125">
        <f t="shared" si="852"/>
        <v>0</v>
      </c>
      <c r="BB736" s="1125">
        <f t="shared" si="853"/>
        <v>0</v>
      </c>
      <c r="BC736" s="1125">
        <f t="shared" si="854"/>
        <v>1</v>
      </c>
      <c r="BD736" s="1125">
        <f t="shared" si="855"/>
        <v>1</v>
      </c>
      <c r="BE736" s="1125">
        <f t="shared" si="856"/>
        <v>1</v>
      </c>
      <c r="BF736" s="1125">
        <f t="shared" si="857"/>
        <v>1</v>
      </c>
      <c r="BG736" s="1125">
        <f t="shared" si="858"/>
        <v>1</v>
      </c>
      <c r="BH736" s="1125">
        <f t="shared" si="859"/>
        <v>0</v>
      </c>
      <c r="BI736" s="1125">
        <f t="shared" si="860"/>
        <v>0</v>
      </c>
      <c r="BJ736" s="1125">
        <f t="shared" si="861"/>
        <v>0</v>
      </c>
      <c r="BK736" s="1125">
        <f t="shared" si="862"/>
        <v>1</v>
      </c>
      <c r="BL736" s="1125">
        <f t="shared" si="863"/>
        <v>1</v>
      </c>
      <c r="BM736" s="1125">
        <f t="shared" si="864"/>
        <v>1</v>
      </c>
      <c r="BN736" s="1125">
        <f t="shared" si="865"/>
        <v>1</v>
      </c>
      <c r="BO736" s="1125">
        <f t="shared" si="866"/>
        <v>1</v>
      </c>
      <c r="BP736" s="1125">
        <f t="shared" si="867"/>
        <v>0</v>
      </c>
      <c r="BQ736" s="1125">
        <f t="shared" si="868"/>
        <v>0</v>
      </c>
      <c r="BR736" s="1125">
        <f t="shared" si="869"/>
        <v>0</v>
      </c>
      <c r="BS736" s="1125">
        <f t="shared" si="870"/>
        <v>0</v>
      </c>
      <c r="BT736" s="1125">
        <f t="shared" si="871"/>
        <v>1</v>
      </c>
      <c r="BU736" s="1125">
        <f t="shared" si="872"/>
        <v>1</v>
      </c>
      <c r="BV736" s="1125">
        <f t="shared" si="873"/>
        <v>1</v>
      </c>
      <c r="BW736" s="1125">
        <f t="shared" si="874"/>
        <v>0</v>
      </c>
      <c r="BX736" s="1125">
        <f t="shared" si="875"/>
        <v>0</v>
      </c>
      <c r="BY736" s="1125">
        <f t="shared" si="876"/>
        <v>0</v>
      </c>
      <c r="BZ736" s="1125">
        <f t="shared" si="877"/>
        <v>1</v>
      </c>
      <c r="CA736" s="1125">
        <f t="shared" si="878"/>
        <v>1</v>
      </c>
      <c r="CB736" s="1125">
        <f t="shared" si="879"/>
        <v>1</v>
      </c>
      <c r="CC736" s="1125">
        <f t="shared" si="880"/>
        <v>1</v>
      </c>
      <c r="CD736" s="1125">
        <f t="shared" si="881"/>
        <v>1</v>
      </c>
      <c r="CE736" s="1125">
        <f t="shared" si="882"/>
        <v>1</v>
      </c>
      <c r="CF736" s="1125">
        <f t="shared" si="883"/>
        <v>1</v>
      </c>
      <c r="CG736" s="1125">
        <f t="shared" si="884"/>
        <v>0</v>
      </c>
      <c r="CH736" s="1125">
        <f t="shared" si="885"/>
        <v>0</v>
      </c>
      <c r="CI736" s="1125">
        <f t="shared" si="886"/>
        <v>0.85</v>
      </c>
      <c r="CJ736" s="1125">
        <f t="shared" si="887"/>
        <v>0.85</v>
      </c>
      <c r="CK736" s="1125">
        <f t="shared" si="888"/>
        <v>0.85</v>
      </c>
      <c r="CL736" s="1125">
        <f t="shared" si="889"/>
        <v>0.85</v>
      </c>
      <c r="CM736" s="1125">
        <f t="shared" si="890"/>
        <v>0.85</v>
      </c>
      <c r="CN736" s="1125">
        <f t="shared" si="891"/>
        <v>0.7</v>
      </c>
      <c r="CO736" s="1125">
        <f t="shared" si="892"/>
        <v>0.7</v>
      </c>
      <c r="CP736" s="1125">
        <f t="shared" si="893"/>
        <v>0.7</v>
      </c>
      <c r="CQ736" s="1125">
        <f t="shared" si="894"/>
        <v>0.7</v>
      </c>
      <c r="CR736" s="1125">
        <f t="shared" si="895"/>
        <v>0.85</v>
      </c>
      <c r="CS736" s="1125">
        <f t="shared" si="896"/>
        <v>0.85</v>
      </c>
      <c r="CT736" s="1125">
        <f t="shared" si="897"/>
        <v>0.85</v>
      </c>
      <c r="CU736" s="1125">
        <v>1</v>
      </c>
      <c r="CV736" s="1125"/>
      <c r="CW736" s="1125">
        <f t="shared" si="898"/>
        <v>214</v>
      </c>
      <c r="CX736" s="1125">
        <f t="shared" si="899"/>
        <v>151</v>
      </c>
      <c r="CY736" s="1136" t="s">
        <v>4881</v>
      </c>
      <c r="CZ736" s="1129" t="s">
        <v>4882</v>
      </c>
      <c r="DA736" s="1129"/>
      <c r="DB736" s="1129"/>
      <c r="DC736" s="1125" t="s">
        <v>5396</v>
      </c>
      <c r="DD736" s="1125" t="s">
        <v>426</v>
      </c>
      <c r="DE736" s="1120" t="str">
        <f t="shared" si="900"/>
        <v/>
      </c>
      <c r="DF736" s="1133">
        <v>0</v>
      </c>
      <c r="DG736" s="1120">
        <v>0</v>
      </c>
    </row>
    <row r="737" spans="1:111">
      <c r="A737" s="1125" t="s">
        <v>4174</v>
      </c>
      <c r="B737" s="1125" t="s">
        <v>4278</v>
      </c>
      <c r="C737" s="1125" t="s">
        <v>4279</v>
      </c>
      <c r="D737" s="1125" t="s">
        <v>539</v>
      </c>
      <c r="E737" s="1125">
        <v>1246</v>
      </c>
      <c r="F737" s="1125">
        <v>-79.92</v>
      </c>
      <c r="G737" s="1125">
        <v>40.35</v>
      </c>
      <c r="H737" s="1125">
        <v>-5</v>
      </c>
      <c r="I737" s="1126">
        <v>9.8599996566772461</v>
      </c>
      <c r="J737" s="1126">
        <v>87.439998626708984</v>
      </c>
      <c r="K737" s="1127">
        <v>71.060001373291016</v>
      </c>
      <c r="L737" s="1125">
        <v>5101.2</v>
      </c>
      <c r="M737" s="1125">
        <v>658.80000000000007</v>
      </c>
      <c r="N737" s="1128">
        <v>31.1</v>
      </c>
      <c r="O737" s="1128">
        <v>31.279999989271165</v>
      </c>
      <c r="P737" s="1128">
        <v>45.5</v>
      </c>
      <c r="Q737" s="1128">
        <v>54.859999656677246</v>
      </c>
      <c r="R737" s="1128">
        <v>59.540000343322752</v>
      </c>
      <c r="S737" s="1128">
        <v>66.560001373291016</v>
      </c>
      <c r="T737" s="1128">
        <v>70.880000686645502</v>
      </c>
      <c r="U737" s="1128">
        <v>69.619999313354498</v>
      </c>
      <c r="V737" s="1128">
        <v>63.86000137329102</v>
      </c>
      <c r="W737" s="1128">
        <v>53.059999656677249</v>
      </c>
      <c r="X737" s="1128">
        <v>45.320000171661377</v>
      </c>
      <c r="Y737" s="1128">
        <v>33.799999999999997</v>
      </c>
      <c r="Z737" s="1128">
        <v>52.225589251910172</v>
      </c>
      <c r="AA737" s="1128">
        <f t="shared" si="826"/>
        <v>49.633827383680988</v>
      </c>
      <c r="AB737" s="1128">
        <f t="shared" si="827"/>
        <v>48.648293364331451</v>
      </c>
      <c r="AC737" s="1128">
        <f t="shared" si="828"/>
        <v>50.15922910867647</v>
      </c>
      <c r="AD737" s="1128">
        <f t="shared" si="829"/>
        <v>53.772785930727878</v>
      </c>
      <c r="AE737" s="1128">
        <f t="shared" si="830"/>
        <v>58.547034558221739</v>
      </c>
      <c r="AF737" s="1128">
        <f t="shared" si="831"/>
        <v>63.237493513003372</v>
      </c>
      <c r="AG737" s="1128">
        <f t="shared" si="832"/>
        <v>66.621522386348488</v>
      </c>
      <c r="AH737" s="1128">
        <f t="shared" si="833"/>
        <v>67.817021902956199</v>
      </c>
      <c r="AI737" s="1128">
        <f t="shared" si="834"/>
        <v>66.512366690617483</v>
      </c>
      <c r="AJ737" s="1128">
        <f t="shared" si="835"/>
        <v>63.047635235773846</v>
      </c>
      <c r="AK737" s="1128">
        <f t="shared" si="836"/>
        <v>58.325963185258175</v>
      </c>
      <c r="AL737" s="1128">
        <f t="shared" si="837"/>
        <v>53.578127122206219</v>
      </c>
      <c r="AM737" s="1125">
        <f t="shared" si="838"/>
        <v>1</v>
      </c>
      <c r="AN737" s="1125">
        <f t="shared" si="839"/>
        <v>1</v>
      </c>
      <c r="AO737" s="1125">
        <f t="shared" si="840"/>
        <v>1</v>
      </c>
      <c r="AP737" s="1125">
        <f t="shared" si="841"/>
        <v>1</v>
      </c>
      <c r="AQ737" s="1125">
        <f t="shared" si="842"/>
        <v>1</v>
      </c>
      <c r="AR737" s="1125">
        <f t="shared" si="843"/>
        <v>0</v>
      </c>
      <c r="AS737" s="1125">
        <f t="shared" si="844"/>
        <v>0</v>
      </c>
      <c r="AT737" s="1125">
        <f t="shared" si="845"/>
        <v>0</v>
      </c>
      <c r="AU737" s="1125">
        <f t="shared" si="846"/>
        <v>1</v>
      </c>
      <c r="AV737" s="1125">
        <f t="shared" si="847"/>
        <v>1</v>
      </c>
      <c r="AW737" s="1125">
        <f t="shared" si="848"/>
        <v>1</v>
      </c>
      <c r="AX737" s="1125">
        <f t="shared" si="849"/>
        <v>1</v>
      </c>
      <c r="AY737" s="1125">
        <f t="shared" si="850"/>
        <v>0</v>
      </c>
      <c r="AZ737" s="1125">
        <f t="shared" si="851"/>
        <v>0</v>
      </c>
      <c r="BA737" s="1125">
        <f t="shared" si="852"/>
        <v>0</v>
      </c>
      <c r="BB737" s="1125">
        <f t="shared" si="853"/>
        <v>0</v>
      </c>
      <c r="BC737" s="1125">
        <f t="shared" si="854"/>
        <v>0</v>
      </c>
      <c r="BD737" s="1125">
        <f t="shared" si="855"/>
        <v>1</v>
      </c>
      <c r="BE737" s="1125">
        <f t="shared" si="856"/>
        <v>1</v>
      </c>
      <c r="BF737" s="1125">
        <f t="shared" si="857"/>
        <v>1</v>
      </c>
      <c r="BG737" s="1125">
        <f t="shared" si="858"/>
        <v>0</v>
      </c>
      <c r="BH737" s="1125">
        <f t="shared" si="859"/>
        <v>0</v>
      </c>
      <c r="BI737" s="1125">
        <f t="shared" si="860"/>
        <v>0</v>
      </c>
      <c r="BJ737" s="1125">
        <f t="shared" si="861"/>
        <v>0</v>
      </c>
      <c r="BK737" s="1125">
        <f t="shared" si="862"/>
        <v>1</v>
      </c>
      <c r="BL737" s="1125">
        <f t="shared" si="863"/>
        <v>1</v>
      </c>
      <c r="BM737" s="1125">
        <f t="shared" si="864"/>
        <v>1</v>
      </c>
      <c r="BN737" s="1125">
        <f t="shared" si="865"/>
        <v>1</v>
      </c>
      <c r="BO737" s="1125">
        <f t="shared" si="866"/>
        <v>1</v>
      </c>
      <c r="BP737" s="1125">
        <f t="shared" si="867"/>
        <v>1</v>
      </c>
      <c r="BQ737" s="1125">
        <f t="shared" si="868"/>
        <v>0</v>
      </c>
      <c r="BR737" s="1125">
        <f t="shared" si="869"/>
        <v>0</v>
      </c>
      <c r="BS737" s="1125">
        <f t="shared" si="870"/>
        <v>1</v>
      </c>
      <c r="BT737" s="1125">
        <f t="shared" si="871"/>
        <v>1</v>
      </c>
      <c r="BU737" s="1125">
        <f t="shared" si="872"/>
        <v>1</v>
      </c>
      <c r="BV737" s="1125">
        <f t="shared" si="873"/>
        <v>1</v>
      </c>
      <c r="BW737" s="1125">
        <f t="shared" si="874"/>
        <v>0</v>
      </c>
      <c r="BX737" s="1125">
        <f t="shared" si="875"/>
        <v>0</v>
      </c>
      <c r="BY737" s="1125">
        <f t="shared" si="876"/>
        <v>0</v>
      </c>
      <c r="BZ737" s="1125">
        <f t="shared" si="877"/>
        <v>0</v>
      </c>
      <c r="CA737" s="1125">
        <f t="shared" si="878"/>
        <v>1</v>
      </c>
      <c r="CB737" s="1125">
        <f t="shared" si="879"/>
        <v>1</v>
      </c>
      <c r="CC737" s="1125">
        <f t="shared" si="880"/>
        <v>1</v>
      </c>
      <c r="CD737" s="1125">
        <f t="shared" si="881"/>
        <v>1</v>
      </c>
      <c r="CE737" s="1125">
        <f t="shared" si="882"/>
        <v>1</v>
      </c>
      <c r="CF737" s="1125">
        <f t="shared" si="883"/>
        <v>0</v>
      </c>
      <c r="CG737" s="1125">
        <f t="shared" si="884"/>
        <v>0</v>
      </c>
      <c r="CH737" s="1125">
        <f t="shared" si="885"/>
        <v>0</v>
      </c>
      <c r="CI737" s="1125">
        <f t="shared" si="886"/>
        <v>0.85</v>
      </c>
      <c r="CJ737" s="1125">
        <f t="shared" si="887"/>
        <v>0.85</v>
      </c>
      <c r="CK737" s="1125">
        <f t="shared" si="888"/>
        <v>0.85</v>
      </c>
      <c r="CL737" s="1125">
        <f t="shared" si="889"/>
        <v>0.85</v>
      </c>
      <c r="CM737" s="1125">
        <f t="shared" si="890"/>
        <v>0.85</v>
      </c>
      <c r="CN737" s="1125">
        <f t="shared" si="891"/>
        <v>0.85</v>
      </c>
      <c r="CO737" s="1125">
        <f t="shared" si="892"/>
        <v>0.7</v>
      </c>
      <c r="CP737" s="1125">
        <f t="shared" si="893"/>
        <v>0.7</v>
      </c>
      <c r="CQ737" s="1125">
        <f t="shared" si="894"/>
        <v>0.85</v>
      </c>
      <c r="CR737" s="1125">
        <f t="shared" si="895"/>
        <v>0.85</v>
      </c>
      <c r="CS737" s="1125">
        <f t="shared" si="896"/>
        <v>0.85</v>
      </c>
      <c r="CT737" s="1125">
        <f t="shared" si="897"/>
        <v>0.85</v>
      </c>
      <c r="CU737" s="1125">
        <v>1</v>
      </c>
      <c r="CV737" s="1125"/>
      <c r="CW737" s="1125">
        <f t="shared" si="898"/>
        <v>153</v>
      </c>
      <c r="CX737" s="1125">
        <f t="shared" si="899"/>
        <v>212</v>
      </c>
      <c r="CY737" s="1136" t="s">
        <v>4889</v>
      </c>
      <c r="CZ737" s="1129" t="s">
        <v>4897</v>
      </c>
      <c r="DA737" s="1129"/>
      <c r="DB737" s="1129"/>
      <c r="DC737" s="1125" t="s">
        <v>5541</v>
      </c>
      <c r="DD737" s="1125" t="s">
        <v>539</v>
      </c>
      <c r="DE737" s="1120" t="str">
        <f t="shared" si="900"/>
        <v/>
      </c>
      <c r="DF737" s="1133">
        <v>0</v>
      </c>
      <c r="DG737" s="1125">
        <v>0</v>
      </c>
    </row>
    <row r="738" spans="1:111">
      <c r="A738" s="1120" t="s">
        <v>4178</v>
      </c>
      <c r="B738" s="1120" t="s">
        <v>4280</v>
      </c>
      <c r="C738" s="1120" t="s">
        <v>4281</v>
      </c>
      <c r="D738" s="1120" t="s">
        <v>539</v>
      </c>
      <c r="E738" s="1120">
        <v>1148</v>
      </c>
      <c r="F738" s="1120">
        <v>-80.23</v>
      </c>
      <c r="G738" s="1120">
        <v>40.5</v>
      </c>
      <c r="H738" s="1120">
        <v>-5</v>
      </c>
      <c r="I738" s="1121">
        <v>9.5</v>
      </c>
      <c r="J738" s="1121">
        <v>86.719999313354492</v>
      </c>
      <c r="K738" s="1122">
        <v>71.060001373291016</v>
      </c>
      <c r="L738" s="1120">
        <v>5675.4000000000005</v>
      </c>
      <c r="M738" s="1120">
        <v>797.4</v>
      </c>
      <c r="N738" s="1123">
        <v>28.220000171661376</v>
      </c>
      <c r="O738" s="1123">
        <v>28.4</v>
      </c>
      <c r="P738" s="1123">
        <v>41.720000171661376</v>
      </c>
      <c r="Q738" s="1123">
        <v>51.080000686645505</v>
      </c>
      <c r="R738" s="1123">
        <v>59.540000343322752</v>
      </c>
      <c r="S738" s="1123">
        <v>68.900000000000006</v>
      </c>
      <c r="T738" s="1123">
        <v>73.400000000000006</v>
      </c>
      <c r="U738" s="1123">
        <v>71.239998626708982</v>
      </c>
      <c r="V738" s="1123">
        <v>63.5</v>
      </c>
      <c r="W738" s="1123">
        <v>49.640000343322754</v>
      </c>
      <c r="X738" s="1123">
        <v>44.059999656677249</v>
      </c>
      <c r="Y738" s="1123">
        <v>31.279999989271165</v>
      </c>
      <c r="Z738" s="1123">
        <v>51.034630135134478</v>
      </c>
      <c r="AA738" s="1123">
        <f t="shared" si="826"/>
        <v>47.616362886124215</v>
      </c>
      <c r="AB738" s="1123">
        <f t="shared" si="827"/>
        <v>46.416019598582452</v>
      </c>
      <c r="AC738" s="1123">
        <f t="shared" si="828"/>
        <v>47.98358078513462</v>
      </c>
      <c r="AD738" s="1123">
        <f t="shared" si="829"/>
        <v>51.910437465656784</v>
      </c>
      <c r="AE738" s="1123">
        <f t="shared" si="830"/>
        <v>57.172993931677631</v>
      </c>
      <c r="AF738" s="1123">
        <f t="shared" si="831"/>
        <v>62.399483741878861</v>
      </c>
      <c r="AG738" s="1123">
        <f t="shared" si="832"/>
        <v>66.22754178458554</v>
      </c>
      <c r="AH738" s="1123">
        <f t="shared" si="833"/>
        <v>67.659325738806047</v>
      </c>
      <c r="AI738" s="1123">
        <f t="shared" si="834"/>
        <v>66.321619052414206</v>
      </c>
      <c r="AJ738" s="1123">
        <f t="shared" si="835"/>
        <v>62.563115587902075</v>
      </c>
      <c r="AK738" s="1123">
        <f t="shared" si="836"/>
        <v>57.363527193586371</v>
      </c>
      <c r="AL738" s="1123">
        <f t="shared" si="837"/>
        <v>52.078206712528079</v>
      </c>
      <c r="AM738" s="1120">
        <f t="shared" si="838"/>
        <v>1</v>
      </c>
      <c r="AN738" s="1120">
        <f t="shared" si="839"/>
        <v>1</v>
      </c>
      <c r="AO738" s="1120">
        <f t="shared" si="840"/>
        <v>1</v>
      </c>
      <c r="AP738" s="1120">
        <f t="shared" si="841"/>
        <v>1</v>
      </c>
      <c r="AQ738" s="1120">
        <f t="shared" si="842"/>
        <v>1</v>
      </c>
      <c r="AR738" s="1120">
        <f t="shared" si="843"/>
        <v>0</v>
      </c>
      <c r="AS738" s="1120">
        <f t="shared" si="844"/>
        <v>0</v>
      </c>
      <c r="AT738" s="1120">
        <f t="shared" si="845"/>
        <v>0</v>
      </c>
      <c r="AU738" s="1120">
        <f t="shared" si="846"/>
        <v>1</v>
      </c>
      <c r="AV738" s="1120">
        <f t="shared" si="847"/>
        <v>1</v>
      </c>
      <c r="AW738" s="1120">
        <f t="shared" si="848"/>
        <v>1</v>
      </c>
      <c r="AX738" s="1120">
        <f t="shared" si="849"/>
        <v>1</v>
      </c>
      <c r="AY738" s="1120">
        <f t="shared" si="850"/>
        <v>0</v>
      </c>
      <c r="AZ738" s="1120">
        <f t="shared" si="851"/>
        <v>0</v>
      </c>
      <c r="BA738" s="1120">
        <f t="shared" si="852"/>
        <v>0</v>
      </c>
      <c r="BB738" s="1120">
        <f t="shared" si="853"/>
        <v>0</v>
      </c>
      <c r="BC738" s="1120">
        <f t="shared" si="854"/>
        <v>0</v>
      </c>
      <c r="BD738" s="1120">
        <f t="shared" si="855"/>
        <v>1</v>
      </c>
      <c r="BE738" s="1120">
        <f t="shared" si="856"/>
        <v>1</v>
      </c>
      <c r="BF738" s="1120">
        <f t="shared" si="857"/>
        <v>1</v>
      </c>
      <c r="BG738" s="1120">
        <f t="shared" si="858"/>
        <v>0</v>
      </c>
      <c r="BH738" s="1120">
        <f t="shared" si="859"/>
        <v>0</v>
      </c>
      <c r="BI738" s="1120">
        <f t="shared" si="860"/>
        <v>0</v>
      </c>
      <c r="BJ738" s="1120">
        <f t="shared" si="861"/>
        <v>0</v>
      </c>
      <c r="BK738" s="1120">
        <f t="shared" si="862"/>
        <v>1</v>
      </c>
      <c r="BL738" s="1120">
        <f t="shared" si="863"/>
        <v>1</v>
      </c>
      <c r="BM738" s="1120">
        <f t="shared" si="864"/>
        <v>1</v>
      </c>
      <c r="BN738" s="1120">
        <f t="shared" si="865"/>
        <v>1</v>
      </c>
      <c r="BO738" s="1120">
        <f t="shared" si="866"/>
        <v>1</v>
      </c>
      <c r="BP738" s="1120">
        <f t="shared" si="867"/>
        <v>1</v>
      </c>
      <c r="BQ738" s="1120">
        <f t="shared" si="868"/>
        <v>0</v>
      </c>
      <c r="BR738" s="1120">
        <f t="shared" si="869"/>
        <v>0</v>
      </c>
      <c r="BS738" s="1120">
        <f t="shared" si="870"/>
        <v>1</v>
      </c>
      <c r="BT738" s="1120">
        <f t="shared" si="871"/>
        <v>1</v>
      </c>
      <c r="BU738" s="1120">
        <f t="shared" si="872"/>
        <v>1</v>
      </c>
      <c r="BV738" s="1120">
        <f t="shared" si="873"/>
        <v>1</v>
      </c>
      <c r="BW738" s="1120">
        <f t="shared" si="874"/>
        <v>0</v>
      </c>
      <c r="BX738" s="1120">
        <f t="shared" si="875"/>
        <v>0</v>
      </c>
      <c r="BY738" s="1120">
        <f t="shared" si="876"/>
        <v>0</v>
      </c>
      <c r="BZ738" s="1120">
        <f t="shared" si="877"/>
        <v>0</v>
      </c>
      <c r="CA738" s="1120">
        <f t="shared" si="878"/>
        <v>1</v>
      </c>
      <c r="CB738" s="1120">
        <f t="shared" si="879"/>
        <v>1</v>
      </c>
      <c r="CC738" s="1120">
        <f t="shared" si="880"/>
        <v>1</v>
      </c>
      <c r="CD738" s="1120">
        <f t="shared" si="881"/>
        <v>1</v>
      </c>
      <c r="CE738" s="1120">
        <f t="shared" si="882"/>
        <v>1</v>
      </c>
      <c r="CF738" s="1120">
        <f t="shared" si="883"/>
        <v>0</v>
      </c>
      <c r="CG738" s="1120">
        <f t="shared" si="884"/>
        <v>0</v>
      </c>
      <c r="CH738" s="1120">
        <f t="shared" si="885"/>
        <v>0</v>
      </c>
      <c r="CI738" s="1120">
        <f t="shared" si="886"/>
        <v>0.85</v>
      </c>
      <c r="CJ738" s="1120">
        <f t="shared" si="887"/>
        <v>0.85</v>
      </c>
      <c r="CK738" s="1120">
        <f t="shared" si="888"/>
        <v>0.85</v>
      </c>
      <c r="CL738" s="1120">
        <f t="shared" si="889"/>
        <v>0.85</v>
      </c>
      <c r="CM738" s="1120">
        <f t="shared" si="890"/>
        <v>0.85</v>
      </c>
      <c r="CN738" s="1120">
        <f t="shared" si="891"/>
        <v>0.85</v>
      </c>
      <c r="CO738" s="1120">
        <f t="shared" si="892"/>
        <v>0.7</v>
      </c>
      <c r="CP738" s="1120">
        <f t="shared" si="893"/>
        <v>0.7</v>
      </c>
      <c r="CQ738" s="1120">
        <f t="shared" si="894"/>
        <v>0.85</v>
      </c>
      <c r="CR738" s="1120">
        <f t="shared" si="895"/>
        <v>0.85</v>
      </c>
      <c r="CS738" s="1120">
        <f t="shared" si="896"/>
        <v>0.85</v>
      </c>
      <c r="CT738" s="1120">
        <f t="shared" si="897"/>
        <v>0.85</v>
      </c>
      <c r="CU738" s="1120">
        <v>1</v>
      </c>
      <c r="CV738" s="1120"/>
      <c r="CW738" s="1120">
        <f t="shared" si="898"/>
        <v>153</v>
      </c>
      <c r="CX738" s="1120">
        <f t="shared" si="899"/>
        <v>212</v>
      </c>
      <c r="CY738" s="1135" t="s">
        <v>4889</v>
      </c>
      <c r="CZ738" s="1124" t="s">
        <v>4897</v>
      </c>
      <c r="DA738" s="1124"/>
      <c r="DB738" s="1124"/>
      <c r="DC738" s="1120" t="s">
        <v>5542</v>
      </c>
      <c r="DD738" s="1120" t="s">
        <v>539</v>
      </c>
      <c r="DE738" s="1120" t="str">
        <f t="shared" si="900"/>
        <v/>
      </c>
      <c r="DF738" s="1133">
        <v>0</v>
      </c>
      <c r="DG738" s="1120">
        <v>0</v>
      </c>
    </row>
    <row r="739" spans="1:111">
      <c r="A739" s="1125" t="s">
        <v>4180</v>
      </c>
      <c r="B739" s="1120" t="s">
        <v>3669</v>
      </c>
      <c r="C739" s="1120" t="s">
        <v>3670</v>
      </c>
      <c r="D739" s="1120" t="s">
        <v>250</v>
      </c>
      <c r="E739" s="1120">
        <v>148</v>
      </c>
      <c r="F739" s="1120">
        <v>-70.73</v>
      </c>
      <c r="G739" s="1120">
        <v>41.92</v>
      </c>
      <c r="H739" s="1120">
        <v>-5</v>
      </c>
      <c r="I739" s="1121">
        <v>9.6800006866455064</v>
      </c>
      <c r="J739" s="1121">
        <v>84.2</v>
      </c>
      <c r="K739" s="1122">
        <v>71.780000686645508</v>
      </c>
      <c r="L739" s="1120">
        <v>5565.6</v>
      </c>
      <c r="M739" s="1120">
        <v>415.8</v>
      </c>
      <c r="N739" s="1123">
        <v>28.4</v>
      </c>
      <c r="O739" s="1123">
        <v>28.580000042915344</v>
      </c>
      <c r="P739" s="1123">
        <v>41.720000171661376</v>
      </c>
      <c r="Q739" s="1123">
        <v>45.859999656677246</v>
      </c>
      <c r="R739" s="1123">
        <v>55.759999656677245</v>
      </c>
      <c r="S739" s="1123">
        <v>62.6</v>
      </c>
      <c r="T739" s="1123">
        <v>68.900000000000006</v>
      </c>
      <c r="U739" s="1123">
        <v>67.819999313354487</v>
      </c>
      <c r="V739" s="1123">
        <v>64.939998626708984</v>
      </c>
      <c r="W739" s="1123">
        <v>54.859999656677246</v>
      </c>
      <c r="X739" s="1123">
        <v>45.320000171661377</v>
      </c>
      <c r="Y739" s="1123">
        <v>37.220000171661376</v>
      </c>
      <c r="Z739" s="1123">
        <v>50.292931295682308</v>
      </c>
      <c r="AA739" s="1123">
        <f t="shared" si="826"/>
        <v>48.039457109223683</v>
      </c>
      <c r="AB739" s="1123">
        <f t="shared" si="827"/>
        <v>46.920933046330575</v>
      </c>
      <c r="AC739" s="1123">
        <f t="shared" si="828"/>
        <v>48.24536475399578</v>
      </c>
      <c r="AD739" s="1123">
        <f t="shared" si="829"/>
        <v>51.66751869750594</v>
      </c>
      <c r="AE739" s="1123">
        <f t="shared" si="830"/>
        <v>56.295357714496532</v>
      </c>
      <c r="AF739" s="1123">
        <f t="shared" si="831"/>
        <v>60.922564248030952</v>
      </c>
      <c r="AG739" s="1123">
        <f t="shared" si="832"/>
        <v>64.342985607732317</v>
      </c>
      <c r="AH739" s="1123">
        <f t="shared" si="833"/>
        <v>65.665036255905775</v>
      </c>
      <c r="AI739" s="1123">
        <f t="shared" si="834"/>
        <v>64.544103317687743</v>
      </c>
      <c r="AJ739" s="1123">
        <f t="shared" si="835"/>
        <v>61.272375237524194</v>
      </c>
      <c r="AK739" s="1123">
        <f t="shared" si="836"/>
        <v>56.70267835836566</v>
      </c>
      <c r="AL739" s="1123">
        <f t="shared" si="837"/>
        <v>52.026174592925329</v>
      </c>
      <c r="AM739" s="1120">
        <f t="shared" si="838"/>
        <v>1</v>
      </c>
      <c r="AN739" s="1120">
        <f t="shared" si="839"/>
        <v>1</v>
      </c>
      <c r="AO739" s="1120">
        <f t="shared" si="840"/>
        <v>1</v>
      </c>
      <c r="AP739" s="1120">
        <f t="shared" si="841"/>
        <v>1</v>
      </c>
      <c r="AQ739" s="1120">
        <f t="shared" si="842"/>
        <v>1</v>
      </c>
      <c r="AR739" s="1120">
        <f t="shared" si="843"/>
        <v>1</v>
      </c>
      <c r="AS739" s="1120">
        <f t="shared" si="844"/>
        <v>0</v>
      </c>
      <c r="AT739" s="1120">
        <f t="shared" si="845"/>
        <v>0</v>
      </c>
      <c r="AU739" s="1120">
        <f t="shared" si="846"/>
        <v>1</v>
      </c>
      <c r="AV739" s="1120">
        <f t="shared" si="847"/>
        <v>1</v>
      </c>
      <c r="AW739" s="1120">
        <f t="shared" si="848"/>
        <v>1</v>
      </c>
      <c r="AX739" s="1120">
        <f t="shared" si="849"/>
        <v>1</v>
      </c>
      <c r="AY739" s="1120">
        <f t="shared" si="850"/>
        <v>0</v>
      </c>
      <c r="AZ739" s="1120">
        <f t="shared" si="851"/>
        <v>0</v>
      </c>
      <c r="BA739" s="1120">
        <f t="shared" si="852"/>
        <v>0</v>
      </c>
      <c r="BB739" s="1120">
        <f t="shared" si="853"/>
        <v>0</v>
      </c>
      <c r="BC739" s="1120">
        <f t="shared" si="854"/>
        <v>0</v>
      </c>
      <c r="BD739" s="1120">
        <f t="shared" si="855"/>
        <v>0</v>
      </c>
      <c r="BE739" s="1120">
        <f t="shared" si="856"/>
        <v>1</v>
      </c>
      <c r="BF739" s="1120">
        <f t="shared" si="857"/>
        <v>1</v>
      </c>
      <c r="BG739" s="1120">
        <f t="shared" si="858"/>
        <v>0</v>
      </c>
      <c r="BH739" s="1120">
        <f t="shared" si="859"/>
        <v>0</v>
      </c>
      <c r="BI739" s="1120">
        <f t="shared" si="860"/>
        <v>0</v>
      </c>
      <c r="BJ739" s="1120">
        <f t="shared" si="861"/>
        <v>0</v>
      </c>
      <c r="BK739" s="1120">
        <f t="shared" si="862"/>
        <v>1</v>
      </c>
      <c r="BL739" s="1120">
        <f t="shared" si="863"/>
        <v>1</v>
      </c>
      <c r="BM739" s="1120">
        <f t="shared" si="864"/>
        <v>1</v>
      </c>
      <c r="BN739" s="1120">
        <f t="shared" si="865"/>
        <v>1</v>
      </c>
      <c r="BO739" s="1120">
        <f t="shared" si="866"/>
        <v>1</v>
      </c>
      <c r="BP739" s="1120">
        <f t="shared" si="867"/>
        <v>1</v>
      </c>
      <c r="BQ739" s="1120">
        <f t="shared" si="868"/>
        <v>1</v>
      </c>
      <c r="BR739" s="1120">
        <f t="shared" si="869"/>
        <v>0</v>
      </c>
      <c r="BS739" s="1120">
        <f t="shared" si="870"/>
        <v>1</v>
      </c>
      <c r="BT739" s="1120">
        <f t="shared" si="871"/>
        <v>1</v>
      </c>
      <c r="BU739" s="1120">
        <f t="shared" si="872"/>
        <v>1</v>
      </c>
      <c r="BV739" s="1120">
        <f t="shared" si="873"/>
        <v>1</v>
      </c>
      <c r="BW739" s="1120">
        <f t="shared" si="874"/>
        <v>0</v>
      </c>
      <c r="BX739" s="1120">
        <f t="shared" si="875"/>
        <v>0</v>
      </c>
      <c r="BY739" s="1120">
        <f t="shared" si="876"/>
        <v>0</v>
      </c>
      <c r="BZ739" s="1120">
        <f t="shared" si="877"/>
        <v>0</v>
      </c>
      <c r="CA739" s="1120">
        <f t="shared" si="878"/>
        <v>0</v>
      </c>
      <c r="CB739" s="1120">
        <f t="shared" si="879"/>
        <v>1</v>
      </c>
      <c r="CC739" s="1120">
        <f t="shared" si="880"/>
        <v>1</v>
      </c>
      <c r="CD739" s="1120">
        <f t="shared" si="881"/>
        <v>1</v>
      </c>
      <c r="CE739" s="1120">
        <f t="shared" si="882"/>
        <v>1</v>
      </c>
      <c r="CF739" s="1120">
        <f t="shared" si="883"/>
        <v>0</v>
      </c>
      <c r="CG739" s="1120">
        <f t="shared" si="884"/>
        <v>0</v>
      </c>
      <c r="CH739" s="1120">
        <f t="shared" si="885"/>
        <v>0</v>
      </c>
      <c r="CI739" s="1120">
        <f t="shared" si="886"/>
        <v>0.85</v>
      </c>
      <c r="CJ739" s="1120">
        <f t="shared" si="887"/>
        <v>0.85</v>
      </c>
      <c r="CK739" s="1120">
        <f t="shared" si="888"/>
        <v>0.85</v>
      </c>
      <c r="CL739" s="1120">
        <f t="shared" si="889"/>
        <v>0.85</v>
      </c>
      <c r="CM739" s="1120">
        <f t="shared" si="890"/>
        <v>0.85</v>
      </c>
      <c r="CN739" s="1120">
        <f t="shared" si="891"/>
        <v>0.85</v>
      </c>
      <c r="CO739" s="1120">
        <f t="shared" si="892"/>
        <v>0.85</v>
      </c>
      <c r="CP739" s="1120">
        <f t="shared" si="893"/>
        <v>0.7</v>
      </c>
      <c r="CQ739" s="1120">
        <f t="shared" si="894"/>
        <v>0.85</v>
      </c>
      <c r="CR739" s="1120">
        <f t="shared" si="895"/>
        <v>0.85</v>
      </c>
      <c r="CS739" s="1120">
        <f t="shared" si="896"/>
        <v>0.85</v>
      </c>
      <c r="CT739" s="1120">
        <f t="shared" si="897"/>
        <v>0.85</v>
      </c>
      <c r="CU739" s="1120">
        <v>1</v>
      </c>
      <c r="CV739" s="1120"/>
      <c r="CW739" s="1120">
        <f t="shared" si="898"/>
        <v>122</v>
      </c>
      <c r="CX739" s="1120">
        <f t="shared" si="899"/>
        <v>243</v>
      </c>
      <c r="CY739" s="1135" t="s">
        <v>4889</v>
      </c>
      <c r="CZ739" s="1124" t="s">
        <v>4897</v>
      </c>
      <c r="DA739" s="1124"/>
      <c r="DB739" s="1124"/>
      <c r="DC739" s="1120" t="s">
        <v>5276</v>
      </c>
      <c r="DD739" s="1120" t="s">
        <v>250</v>
      </c>
      <c r="DE739" s="1120" t="str">
        <f t="shared" si="900"/>
        <v/>
      </c>
      <c r="DF739" s="1133">
        <v>0</v>
      </c>
      <c r="DG739" s="1125">
        <v>0</v>
      </c>
    </row>
    <row r="740" spans="1:111">
      <c r="A740" s="1120" t="s">
        <v>4182</v>
      </c>
      <c r="B740" s="1125" t="s">
        <v>3491</v>
      </c>
      <c r="C740" s="1125" t="s">
        <v>3492</v>
      </c>
      <c r="D740" s="1125" t="s">
        <v>249</v>
      </c>
      <c r="E740" s="1125">
        <v>4438</v>
      </c>
      <c r="F740" s="1125">
        <v>-112.57</v>
      </c>
      <c r="G740" s="1125">
        <v>42.92</v>
      </c>
      <c r="H740" s="1125">
        <v>-7</v>
      </c>
      <c r="I740" s="1126">
        <v>1.2199993133544915</v>
      </c>
      <c r="J740" s="1126">
        <v>91.22000274658204</v>
      </c>
      <c r="K740" s="1127">
        <v>61.160001373291017</v>
      </c>
      <c r="L740" s="1125">
        <v>6847.2</v>
      </c>
      <c r="M740" s="1125">
        <v>532.80000000000007</v>
      </c>
      <c r="N740" s="1128">
        <v>21.740000343322755</v>
      </c>
      <c r="O740" s="1128">
        <v>29.3</v>
      </c>
      <c r="P740" s="1128">
        <v>39.200000000000003</v>
      </c>
      <c r="Q740" s="1128">
        <v>48.2</v>
      </c>
      <c r="R740" s="1128">
        <v>55.4</v>
      </c>
      <c r="S740" s="1128">
        <v>63.5</v>
      </c>
      <c r="T740" s="1128">
        <v>71.960001373291021</v>
      </c>
      <c r="U740" s="1128">
        <v>69.080000686645505</v>
      </c>
      <c r="V740" s="1128">
        <v>58.819999313354494</v>
      </c>
      <c r="W740" s="1128">
        <v>46.220000171661376</v>
      </c>
      <c r="X740" s="1128">
        <v>35.779999828338624</v>
      </c>
      <c r="Y740" s="1128">
        <v>24.8</v>
      </c>
      <c r="Z740" s="1128">
        <v>47.095342613899547</v>
      </c>
      <c r="AA740" s="1128">
        <f t="shared" si="826"/>
        <v>43.864575170026043</v>
      </c>
      <c r="AB740" s="1128">
        <f t="shared" si="827"/>
        <v>42.279914194470756</v>
      </c>
      <c r="AC740" s="1128">
        <f t="shared" si="828"/>
        <v>43.514461307236601</v>
      </c>
      <c r="AD740" s="1128">
        <f t="shared" si="829"/>
        <v>47.246412778434291</v>
      </c>
      <c r="AE740" s="1128">
        <f t="shared" si="830"/>
        <v>52.502977945983112</v>
      </c>
      <c r="AF740" s="1128">
        <f t="shared" si="831"/>
        <v>57.913952092840205</v>
      </c>
      <c r="AG740" s="1128">
        <f t="shared" si="832"/>
        <v>62.068881421991605</v>
      </c>
      <c r="AH740" s="1128">
        <f t="shared" si="833"/>
        <v>63.884719574394886</v>
      </c>
      <c r="AI740" s="1128">
        <f t="shared" si="834"/>
        <v>62.888140352713165</v>
      </c>
      <c r="AJ740" s="1128">
        <f t="shared" si="835"/>
        <v>59.338917488828457</v>
      </c>
      <c r="AK740" s="1128">
        <f t="shared" si="836"/>
        <v>54.162210617392262</v>
      </c>
      <c r="AL740" s="1128">
        <f t="shared" si="837"/>
        <v>48.707408159912099</v>
      </c>
      <c r="AM740" s="1125">
        <f t="shared" si="838"/>
        <v>1</v>
      </c>
      <c r="AN740" s="1125">
        <f t="shared" si="839"/>
        <v>1</v>
      </c>
      <c r="AO740" s="1125">
        <f t="shared" si="840"/>
        <v>1</v>
      </c>
      <c r="AP740" s="1125">
        <f t="shared" si="841"/>
        <v>1</v>
      </c>
      <c r="AQ740" s="1125">
        <f t="shared" si="842"/>
        <v>1</v>
      </c>
      <c r="AR740" s="1125">
        <f t="shared" si="843"/>
        <v>1</v>
      </c>
      <c r="AS740" s="1125">
        <f t="shared" si="844"/>
        <v>0</v>
      </c>
      <c r="AT740" s="1125">
        <f t="shared" si="845"/>
        <v>0</v>
      </c>
      <c r="AU740" s="1125">
        <f t="shared" si="846"/>
        <v>1</v>
      </c>
      <c r="AV740" s="1125">
        <f t="shared" si="847"/>
        <v>1</v>
      </c>
      <c r="AW740" s="1125">
        <f t="shared" si="848"/>
        <v>1</v>
      </c>
      <c r="AX740" s="1125">
        <f t="shared" si="849"/>
        <v>1</v>
      </c>
      <c r="AY740" s="1125">
        <f t="shared" si="850"/>
        <v>0</v>
      </c>
      <c r="AZ740" s="1125">
        <f t="shared" si="851"/>
        <v>0</v>
      </c>
      <c r="BA740" s="1125">
        <f t="shared" si="852"/>
        <v>0</v>
      </c>
      <c r="BB740" s="1125">
        <f t="shared" si="853"/>
        <v>0</v>
      </c>
      <c r="BC740" s="1125">
        <f t="shared" si="854"/>
        <v>0</v>
      </c>
      <c r="BD740" s="1125">
        <f t="shared" si="855"/>
        <v>0</v>
      </c>
      <c r="BE740" s="1125">
        <f t="shared" si="856"/>
        <v>1</v>
      </c>
      <c r="BF740" s="1125">
        <f t="shared" si="857"/>
        <v>1</v>
      </c>
      <c r="BG740" s="1125">
        <f t="shared" si="858"/>
        <v>0</v>
      </c>
      <c r="BH740" s="1125">
        <f t="shared" si="859"/>
        <v>0</v>
      </c>
      <c r="BI740" s="1125">
        <f t="shared" si="860"/>
        <v>0</v>
      </c>
      <c r="BJ740" s="1125">
        <f t="shared" si="861"/>
        <v>0</v>
      </c>
      <c r="BK740" s="1125">
        <f t="shared" si="862"/>
        <v>1</v>
      </c>
      <c r="BL740" s="1125">
        <f t="shared" si="863"/>
        <v>1</v>
      </c>
      <c r="BM740" s="1125">
        <f t="shared" si="864"/>
        <v>1</v>
      </c>
      <c r="BN740" s="1125">
        <f t="shared" si="865"/>
        <v>1</v>
      </c>
      <c r="BO740" s="1125">
        <f t="shared" si="866"/>
        <v>1</v>
      </c>
      <c r="BP740" s="1125">
        <f t="shared" si="867"/>
        <v>1</v>
      </c>
      <c r="BQ740" s="1125">
        <f t="shared" si="868"/>
        <v>1</v>
      </c>
      <c r="BR740" s="1125">
        <f t="shared" si="869"/>
        <v>0</v>
      </c>
      <c r="BS740" s="1125">
        <f t="shared" si="870"/>
        <v>1</v>
      </c>
      <c r="BT740" s="1125">
        <f t="shared" si="871"/>
        <v>1</v>
      </c>
      <c r="BU740" s="1125">
        <f t="shared" si="872"/>
        <v>1</v>
      </c>
      <c r="BV740" s="1125">
        <f t="shared" si="873"/>
        <v>1</v>
      </c>
      <c r="BW740" s="1125">
        <f t="shared" si="874"/>
        <v>0</v>
      </c>
      <c r="BX740" s="1125">
        <f t="shared" si="875"/>
        <v>0</v>
      </c>
      <c r="BY740" s="1125">
        <f t="shared" si="876"/>
        <v>0</v>
      </c>
      <c r="BZ740" s="1125">
        <f t="shared" si="877"/>
        <v>0</v>
      </c>
      <c r="CA740" s="1125">
        <f t="shared" si="878"/>
        <v>0</v>
      </c>
      <c r="CB740" s="1125">
        <f t="shared" si="879"/>
        <v>1</v>
      </c>
      <c r="CC740" s="1125">
        <f t="shared" si="880"/>
        <v>1</v>
      </c>
      <c r="CD740" s="1125">
        <f t="shared" si="881"/>
        <v>1</v>
      </c>
      <c r="CE740" s="1125">
        <f t="shared" si="882"/>
        <v>1</v>
      </c>
      <c r="CF740" s="1125">
        <f t="shared" si="883"/>
        <v>0</v>
      </c>
      <c r="CG740" s="1125">
        <f t="shared" si="884"/>
        <v>0</v>
      </c>
      <c r="CH740" s="1125">
        <f t="shared" si="885"/>
        <v>0</v>
      </c>
      <c r="CI740" s="1125">
        <f t="shared" si="886"/>
        <v>0.85</v>
      </c>
      <c r="CJ740" s="1125">
        <f t="shared" si="887"/>
        <v>0.85</v>
      </c>
      <c r="CK740" s="1125">
        <f t="shared" si="888"/>
        <v>0.85</v>
      </c>
      <c r="CL740" s="1125">
        <f t="shared" si="889"/>
        <v>0.85</v>
      </c>
      <c r="CM740" s="1125">
        <f t="shared" si="890"/>
        <v>0.85</v>
      </c>
      <c r="CN740" s="1125">
        <f t="shared" si="891"/>
        <v>0.85</v>
      </c>
      <c r="CO740" s="1125">
        <f t="shared" si="892"/>
        <v>0.85</v>
      </c>
      <c r="CP740" s="1125">
        <f t="shared" si="893"/>
        <v>0.7</v>
      </c>
      <c r="CQ740" s="1125">
        <f t="shared" si="894"/>
        <v>0.85</v>
      </c>
      <c r="CR740" s="1125">
        <f t="shared" si="895"/>
        <v>0.85</v>
      </c>
      <c r="CS740" s="1125">
        <f t="shared" si="896"/>
        <v>0.85</v>
      </c>
      <c r="CT740" s="1125">
        <f t="shared" si="897"/>
        <v>0.85</v>
      </c>
      <c r="CU740" s="1125">
        <v>1</v>
      </c>
      <c r="CV740" s="1125"/>
      <c r="CW740" s="1125">
        <f t="shared" si="898"/>
        <v>122</v>
      </c>
      <c r="CX740" s="1125">
        <f t="shared" si="899"/>
        <v>243</v>
      </c>
      <c r="CY740" s="1136" t="s">
        <v>4889</v>
      </c>
      <c r="CZ740" s="1129" t="s">
        <v>4890</v>
      </c>
      <c r="DA740" s="1129"/>
      <c r="DB740" s="1129"/>
      <c r="DC740" s="1125" t="s">
        <v>5201</v>
      </c>
      <c r="DD740" s="1125" t="s">
        <v>249</v>
      </c>
      <c r="DE740" s="1120" t="str">
        <f t="shared" si="900"/>
        <v/>
      </c>
      <c r="DF740" s="1133">
        <v>0</v>
      </c>
      <c r="DG740" s="1120">
        <v>0</v>
      </c>
    </row>
    <row r="741" spans="1:111">
      <c r="A741" s="1125" t="s">
        <v>4184</v>
      </c>
      <c r="B741" s="1125" t="s">
        <v>5792</v>
      </c>
      <c r="C741" s="1125" t="s">
        <v>5793</v>
      </c>
      <c r="D741" s="1125" t="s">
        <v>953</v>
      </c>
      <c r="E741" s="1125">
        <v>13</v>
      </c>
      <c r="F741" s="1125">
        <v>-166.8</v>
      </c>
      <c r="G741" s="1125">
        <v>68.349999999999994</v>
      </c>
      <c r="H741" s="1125">
        <v>-9</v>
      </c>
      <c r="I741" s="1126">
        <v>-26.679997253417969</v>
      </c>
      <c r="J741" s="1126">
        <v>55.040000343322752</v>
      </c>
      <c r="K741" s="1127">
        <v>51.259999656677245</v>
      </c>
      <c r="L741" s="1125">
        <v>14718.6</v>
      </c>
      <c r="M741" s="1125">
        <v>0</v>
      </c>
      <c r="N741" s="1128">
        <v>8.4199993133544915</v>
      </c>
      <c r="O741" s="1128">
        <v>1.9399986267089837</v>
      </c>
      <c r="P741" s="1128">
        <v>9.6800006866455064</v>
      </c>
      <c r="Q741" s="1128">
        <v>8.7800006866455078</v>
      </c>
      <c r="R741" s="1128">
        <v>32.540000021457672</v>
      </c>
      <c r="S741" s="1128">
        <v>34.700000000000003</v>
      </c>
      <c r="T741" s="1128">
        <v>41.540000343322752</v>
      </c>
      <c r="U741" s="1128">
        <v>44.420000171661378</v>
      </c>
      <c r="V741" s="1128">
        <v>36.320000171661377</v>
      </c>
      <c r="W741" s="1128">
        <v>31.639999994635581</v>
      </c>
      <c r="X741" s="1128">
        <v>19.220000171661376</v>
      </c>
      <c r="Y741" s="1128">
        <v>17.600000000000001</v>
      </c>
      <c r="Z741" s="1128">
        <v>24.07112331208301</v>
      </c>
      <c r="AA741" s="1128">
        <f t="shared" si="826"/>
        <v>32</v>
      </c>
      <c r="AB741" s="1128">
        <f t="shared" si="827"/>
        <v>32</v>
      </c>
      <c r="AC741" s="1128">
        <f t="shared" si="828"/>
        <v>32</v>
      </c>
      <c r="AD741" s="1128">
        <f t="shared" si="829"/>
        <v>32</v>
      </c>
      <c r="AE741" s="1128">
        <f t="shared" si="830"/>
        <v>32</v>
      </c>
      <c r="AF741" s="1128">
        <f t="shared" si="831"/>
        <v>32</v>
      </c>
      <c r="AG741" s="1128">
        <f t="shared" si="832"/>
        <v>32.412917750502189</v>
      </c>
      <c r="AH741" s="1128">
        <f t="shared" si="833"/>
        <v>33.866199849768783</v>
      </c>
      <c r="AI741" s="1128">
        <f t="shared" si="834"/>
        <v>34.330236765587841</v>
      </c>
      <c r="AJ741" s="1128">
        <f t="shared" si="835"/>
        <v>33.684070124825794</v>
      </c>
      <c r="AK741" s="1128">
        <f t="shared" si="836"/>
        <v>32.096133220126625</v>
      </c>
      <c r="AL741" s="1128">
        <f t="shared" si="837"/>
        <v>32</v>
      </c>
      <c r="AM741" s="1125">
        <f t="shared" si="838"/>
        <v>1</v>
      </c>
      <c r="AN741" s="1125">
        <f t="shared" si="839"/>
        <v>1</v>
      </c>
      <c r="AO741" s="1125">
        <f t="shared" si="840"/>
        <v>1</v>
      </c>
      <c r="AP741" s="1125">
        <f t="shared" si="841"/>
        <v>1</v>
      </c>
      <c r="AQ741" s="1125">
        <f t="shared" si="842"/>
        <v>1</v>
      </c>
      <c r="AR741" s="1125">
        <f t="shared" si="843"/>
        <v>1</v>
      </c>
      <c r="AS741" s="1125">
        <f t="shared" si="844"/>
        <v>1</v>
      </c>
      <c r="AT741" s="1125">
        <f t="shared" si="845"/>
        <v>1</v>
      </c>
      <c r="AU741" s="1125">
        <f t="shared" si="846"/>
        <v>1</v>
      </c>
      <c r="AV741" s="1125">
        <f t="shared" si="847"/>
        <v>1</v>
      </c>
      <c r="AW741" s="1125">
        <f t="shared" si="848"/>
        <v>1</v>
      </c>
      <c r="AX741" s="1125">
        <f t="shared" si="849"/>
        <v>1</v>
      </c>
      <c r="AY741" s="1125">
        <f t="shared" si="850"/>
        <v>0</v>
      </c>
      <c r="AZ741" s="1125">
        <f t="shared" si="851"/>
        <v>0</v>
      </c>
      <c r="BA741" s="1125">
        <f t="shared" si="852"/>
        <v>0</v>
      </c>
      <c r="BB741" s="1125">
        <f t="shared" si="853"/>
        <v>0</v>
      </c>
      <c r="BC741" s="1125">
        <f t="shared" si="854"/>
        <v>0</v>
      </c>
      <c r="BD741" s="1125">
        <f t="shared" si="855"/>
        <v>0</v>
      </c>
      <c r="BE741" s="1125">
        <f t="shared" si="856"/>
        <v>1</v>
      </c>
      <c r="BF741" s="1125">
        <f t="shared" si="857"/>
        <v>1</v>
      </c>
      <c r="BG741" s="1125">
        <f t="shared" si="858"/>
        <v>0</v>
      </c>
      <c r="BH741" s="1125">
        <f t="shared" si="859"/>
        <v>0</v>
      </c>
      <c r="BI741" s="1125">
        <f t="shared" si="860"/>
        <v>0</v>
      </c>
      <c r="BJ741" s="1125">
        <f t="shared" si="861"/>
        <v>0</v>
      </c>
      <c r="BK741" s="1125">
        <f t="shared" si="862"/>
        <v>1</v>
      </c>
      <c r="BL741" s="1125">
        <f t="shared" si="863"/>
        <v>1</v>
      </c>
      <c r="BM741" s="1125">
        <f t="shared" si="864"/>
        <v>1</v>
      </c>
      <c r="BN741" s="1125">
        <f t="shared" si="865"/>
        <v>1</v>
      </c>
      <c r="BO741" s="1125">
        <f t="shared" si="866"/>
        <v>1</v>
      </c>
      <c r="BP741" s="1125">
        <f t="shared" si="867"/>
        <v>1</v>
      </c>
      <c r="BQ741" s="1125">
        <f t="shared" si="868"/>
        <v>1</v>
      </c>
      <c r="BR741" s="1125">
        <f t="shared" si="869"/>
        <v>1</v>
      </c>
      <c r="BS741" s="1125">
        <f t="shared" si="870"/>
        <v>1</v>
      </c>
      <c r="BT741" s="1125">
        <f t="shared" si="871"/>
        <v>1</v>
      </c>
      <c r="BU741" s="1125">
        <f t="shared" si="872"/>
        <v>1</v>
      </c>
      <c r="BV741" s="1125">
        <f t="shared" si="873"/>
        <v>1</v>
      </c>
      <c r="BW741" s="1125">
        <f t="shared" si="874"/>
        <v>0</v>
      </c>
      <c r="BX741" s="1125">
        <f t="shared" si="875"/>
        <v>0</v>
      </c>
      <c r="BY741" s="1125">
        <f t="shared" si="876"/>
        <v>0</v>
      </c>
      <c r="BZ741" s="1125">
        <f t="shared" si="877"/>
        <v>0</v>
      </c>
      <c r="CA741" s="1125">
        <f t="shared" si="878"/>
        <v>0</v>
      </c>
      <c r="CB741" s="1125">
        <f t="shared" si="879"/>
        <v>0</v>
      </c>
      <c r="CC741" s="1125">
        <f t="shared" si="880"/>
        <v>1</v>
      </c>
      <c r="CD741" s="1125">
        <f t="shared" si="881"/>
        <v>1</v>
      </c>
      <c r="CE741" s="1125">
        <f t="shared" si="882"/>
        <v>0</v>
      </c>
      <c r="CF741" s="1125">
        <f t="shared" si="883"/>
        <v>0</v>
      </c>
      <c r="CG741" s="1125">
        <f t="shared" si="884"/>
        <v>0</v>
      </c>
      <c r="CH741" s="1125">
        <f t="shared" si="885"/>
        <v>0</v>
      </c>
      <c r="CI741" s="1125">
        <f t="shared" si="886"/>
        <v>0.85</v>
      </c>
      <c r="CJ741" s="1125">
        <f t="shared" si="887"/>
        <v>0.85</v>
      </c>
      <c r="CK741" s="1125">
        <f t="shared" si="888"/>
        <v>0.85</v>
      </c>
      <c r="CL741" s="1125">
        <f t="shared" si="889"/>
        <v>0.85</v>
      </c>
      <c r="CM741" s="1125">
        <f t="shared" si="890"/>
        <v>0.85</v>
      </c>
      <c r="CN741" s="1125">
        <f t="shared" si="891"/>
        <v>0.85</v>
      </c>
      <c r="CO741" s="1125">
        <f t="shared" si="892"/>
        <v>0.85</v>
      </c>
      <c r="CP741" s="1125">
        <f t="shared" si="893"/>
        <v>0.85</v>
      </c>
      <c r="CQ741" s="1125">
        <f t="shared" si="894"/>
        <v>0.85</v>
      </c>
      <c r="CR741" s="1125">
        <f t="shared" si="895"/>
        <v>0.85</v>
      </c>
      <c r="CS741" s="1125">
        <f t="shared" si="896"/>
        <v>0.85</v>
      </c>
      <c r="CT741" s="1125">
        <f t="shared" si="897"/>
        <v>0.85</v>
      </c>
      <c r="CU741" s="1125">
        <v>1</v>
      </c>
      <c r="CV741" s="1125"/>
      <c r="CW741" s="1125">
        <f t="shared" si="898"/>
        <v>62</v>
      </c>
      <c r="CX741" s="1125">
        <f t="shared" si="899"/>
        <v>303</v>
      </c>
      <c r="CY741" s="1136" t="s">
        <v>4880</v>
      </c>
      <c r="CZ741" s="1129">
        <v>8</v>
      </c>
      <c r="DA741" s="1129"/>
      <c r="DB741" s="1129"/>
      <c r="DC741" s="1125" t="s">
        <v>5706</v>
      </c>
      <c r="DD741" s="1125" t="s">
        <v>953</v>
      </c>
      <c r="DE741" s="1125" t="str">
        <f t="shared" si="900"/>
        <v/>
      </c>
      <c r="DF741" s="1125">
        <v>0</v>
      </c>
      <c r="DG741" s="1125">
        <v>0</v>
      </c>
    </row>
    <row r="742" spans="1:111">
      <c r="A742" s="1120" t="s">
        <v>4186</v>
      </c>
      <c r="B742" s="1125" t="s">
        <v>3162</v>
      </c>
      <c r="C742" s="1125" t="s">
        <v>3163</v>
      </c>
      <c r="D742" s="1125" t="s">
        <v>954</v>
      </c>
      <c r="E742" s="1125">
        <v>10</v>
      </c>
      <c r="F742" s="1125">
        <v>-119.12</v>
      </c>
      <c r="G742" s="1125">
        <v>34.119999999999997</v>
      </c>
      <c r="H742" s="1125">
        <v>-8</v>
      </c>
      <c r="I742" s="1126">
        <v>41.179999828338623</v>
      </c>
      <c r="J742" s="1126">
        <v>78.8</v>
      </c>
      <c r="K742" s="1127">
        <v>63.5</v>
      </c>
      <c r="L742" s="1125">
        <v>2134.8000000000002</v>
      </c>
      <c r="M742" s="1125">
        <v>73.8</v>
      </c>
      <c r="N742" s="1128">
        <v>53.6</v>
      </c>
      <c r="O742" s="1128">
        <v>54.319999313354494</v>
      </c>
      <c r="P742" s="1128">
        <v>54.319999313354494</v>
      </c>
      <c r="Q742" s="1128">
        <v>55.219999313354492</v>
      </c>
      <c r="R742" s="1128">
        <v>59.9</v>
      </c>
      <c r="S742" s="1128">
        <v>61.519999313354496</v>
      </c>
      <c r="T742" s="1128">
        <v>64.219999313354492</v>
      </c>
      <c r="U742" s="1128">
        <v>63.319999313354494</v>
      </c>
      <c r="V742" s="1128">
        <v>65.119999313354498</v>
      </c>
      <c r="W742" s="1128">
        <v>61.339998626708983</v>
      </c>
      <c r="X742" s="1128">
        <v>56.480000686645511</v>
      </c>
      <c r="Y742" s="1128">
        <v>55.4</v>
      </c>
      <c r="Z742" s="1128">
        <v>58.756876255192168</v>
      </c>
      <c r="AA742" s="1128">
        <f t="shared" si="826"/>
        <v>61.792331962053034</v>
      </c>
      <c r="AB742" s="1128">
        <f t="shared" si="827"/>
        <v>61.647235181905153</v>
      </c>
      <c r="AC742" s="1128">
        <f t="shared" si="828"/>
        <v>62.312714268529021</v>
      </c>
      <c r="AD742" s="1128">
        <f t="shared" si="829"/>
        <v>63.61530184265299</v>
      </c>
      <c r="AE742" s="1128">
        <f t="shared" si="830"/>
        <v>65.215458379599497</v>
      </c>
      <c r="AF742" s="1128">
        <f t="shared" si="831"/>
        <v>66.696078418854796</v>
      </c>
      <c r="AG742" s="1128">
        <f t="shared" si="832"/>
        <v>67.671215530141495</v>
      </c>
      <c r="AH742" s="1128">
        <f t="shared" si="833"/>
        <v>67.886685198084976</v>
      </c>
      <c r="AI742" s="1128">
        <f t="shared" si="834"/>
        <v>67.286321933247663</v>
      </c>
      <c r="AJ742" s="1128">
        <f t="shared" si="835"/>
        <v>66.026619672487385</v>
      </c>
      <c r="AK742" s="1128">
        <f t="shared" si="836"/>
        <v>64.43593922267074</v>
      </c>
      <c r="AL742" s="1128">
        <f t="shared" si="837"/>
        <v>62.928915956170194</v>
      </c>
      <c r="AM742" s="1125">
        <f t="shared" si="838"/>
        <v>1</v>
      </c>
      <c r="AN742" s="1125">
        <f t="shared" si="839"/>
        <v>1</v>
      </c>
      <c r="AO742" s="1125">
        <f t="shared" si="840"/>
        <v>1</v>
      </c>
      <c r="AP742" s="1125">
        <f t="shared" si="841"/>
        <v>1</v>
      </c>
      <c r="AQ742" s="1125">
        <f t="shared" si="842"/>
        <v>1</v>
      </c>
      <c r="AR742" s="1125">
        <f t="shared" si="843"/>
        <v>1</v>
      </c>
      <c r="AS742" s="1125">
        <f t="shared" si="844"/>
        <v>1</v>
      </c>
      <c r="AT742" s="1125">
        <f t="shared" si="845"/>
        <v>1</v>
      </c>
      <c r="AU742" s="1125">
        <f t="shared" si="846"/>
        <v>1</v>
      </c>
      <c r="AV742" s="1125">
        <f t="shared" si="847"/>
        <v>1</v>
      </c>
      <c r="AW742" s="1125">
        <f t="shared" si="848"/>
        <v>1</v>
      </c>
      <c r="AX742" s="1125">
        <f t="shared" si="849"/>
        <v>1</v>
      </c>
      <c r="AY742" s="1125">
        <f t="shared" si="850"/>
        <v>0</v>
      </c>
      <c r="AZ742" s="1125">
        <f t="shared" si="851"/>
        <v>0</v>
      </c>
      <c r="BA742" s="1125">
        <f t="shared" si="852"/>
        <v>0</v>
      </c>
      <c r="BB742" s="1125">
        <f t="shared" si="853"/>
        <v>0</v>
      </c>
      <c r="BC742" s="1125">
        <f t="shared" si="854"/>
        <v>0</v>
      </c>
      <c r="BD742" s="1125">
        <f t="shared" si="855"/>
        <v>0</v>
      </c>
      <c r="BE742" s="1125">
        <f t="shared" si="856"/>
        <v>1</v>
      </c>
      <c r="BF742" s="1125">
        <f t="shared" si="857"/>
        <v>1</v>
      </c>
      <c r="BG742" s="1125">
        <f t="shared" si="858"/>
        <v>0</v>
      </c>
      <c r="BH742" s="1125">
        <f t="shared" si="859"/>
        <v>0</v>
      </c>
      <c r="BI742" s="1125">
        <f t="shared" si="860"/>
        <v>0</v>
      </c>
      <c r="BJ742" s="1125">
        <f t="shared" si="861"/>
        <v>0</v>
      </c>
      <c r="BK742" s="1125">
        <f t="shared" si="862"/>
        <v>1</v>
      </c>
      <c r="BL742" s="1125">
        <f t="shared" si="863"/>
        <v>1</v>
      </c>
      <c r="BM742" s="1125">
        <f t="shared" si="864"/>
        <v>1</v>
      </c>
      <c r="BN742" s="1125">
        <f t="shared" si="865"/>
        <v>1</v>
      </c>
      <c r="BO742" s="1125">
        <f t="shared" si="866"/>
        <v>1</v>
      </c>
      <c r="BP742" s="1125">
        <f t="shared" si="867"/>
        <v>1</v>
      </c>
      <c r="BQ742" s="1125">
        <f t="shared" si="868"/>
        <v>1</v>
      </c>
      <c r="BR742" s="1125">
        <f t="shared" si="869"/>
        <v>1</v>
      </c>
      <c r="BS742" s="1125">
        <f t="shared" si="870"/>
        <v>1</v>
      </c>
      <c r="BT742" s="1125">
        <f t="shared" si="871"/>
        <v>1</v>
      </c>
      <c r="BU742" s="1125">
        <f t="shared" si="872"/>
        <v>1</v>
      </c>
      <c r="BV742" s="1125">
        <f t="shared" si="873"/>
        <v>1</v>
      </c>
      <c r="BW742" s="1125">
        <f t="shared" si="874"/>
        <v>0</v>
      </c>
      <c r="BX742" s="1125">
        <f t="shared" si="875"/>
        <v>0</v>
      </c>
      <c r="BY742" s="1125">
        <f t="shared" si="876"/>
        <v>0</v>
      </c>
      <c r="BZ742" s="1125">
        <f t="shared" si="877"/>
        <v>0</v>
      </c>
      <c r="CA742" s="1125">
        <f t="shared" si="878"/>
        <v>0</v>
      </c>
      <c r="CB742" s="1125">
        <f t="shared" si="879"/>
        <v>0</v>
      </c>
      <c r="CC742" s="1125">
        <f t="shared" si="880"/>
        <v>1</v>
      </c>
      <c r="CD742" s="1125">
        <f t="shared" si="881"/>
        <v>1</v>
      </c>
      <c r="CE742" s="1125">
        <f t="shared" si="882"/>
        <v>0</v>
      </c>
      <c r="CF742" s="1125">
        <f t="shared" si="883"/>
        <v>0</v>
      </c>
      <c r="CG742" s="1125">
        <f t="shared" si="884"/>
        <v>0</v>
      </c>
      <c r="CH742" s="1125">
        <f t="shared" si="885"/>
        <v>0</v>
      </c>
      <c r="CI742" s="1125">
        <f t="shared" si="886"/>
        <v>0.85</v>
      </c>
      <c r="CJ742" s="1125">
        <f t="shared" si="887"/>
        <v>0.85</v>
      </c>
      <c r="CK742" s="1125">
        <f t="shared" si="888"/>
        <v>0.85</v>
      </c>
      <c r="CL742" s="1125">
        <f t="shared" si="889"/>
        <v>0.85</v>
      </c>
      <c r="CM742" s="1125">
        <f t="shared" si="890"/>
        <v>0.85</v>
      </c>
      <c r="CN742" s="1125">
        <f t="shared" si="891"/>
        <v>0.85</v>
      </c>
      <c r="CO742" s="1125">
        <f t="shared" si="892"/>
        <v>0.85</v>
      </c>
      <c r="CP742" s="1125">
        <f t="shared" si="893"/>
        <v>0.85</v>
      </c>
      <c r="CQ742" s="1125">
        <f t="shared" si="894"/>
        <v>0.85</v>
      </c>
      <c r="CR742" s="1125">
        <f t="shared" si="895"/>
        <v>0.85</v>
      </c>
      <c r="CS742" s="1125">
        <f t="shared" si="896"/>
        <v>0.85</v>
      </c>
      <c r="CT742" s="1125">
        <f t="shared" si="897"/>
        <v>0.85</v>
      </c>
      <c r="CU742" s="1125">
        <v>1</v>
      </c>
      <c r="CV742" s="1125"/>
      <c r="CW742" s="1125">
        <f t="shared" si="898"/>
        <v>62</v>
      </c>
      <c r="CX742" s="1125">
        <f t="shared" si="899"/>
        <v>303</v>
      </c>
      <c r="CY742" s="1135" t="s">
        <v>4893</v>
      </c>
      <c r="CZ742" s="1124" t="s">
        <v>4895</v>
      </c>
      <c r="DA742" s="1124"/>
      <c r="DB742" s="1124"/>
      <c r="DC742" s="1120" t="s">
        <v>5046</v>
      </c>
      <c r="DD742" s="1120" t="s">
        <v>954</v>
      </c>
      <c r="DE742" s="1120" t="str">
        <f t="shared" si="900"/>
        <v/>
      </c>
      <c r="DF742" s="1125">
        <v>0</v>
      </c>
      <c r="DG742" s="1120">
        <v>0</v>
      </c>
    </row>
    <row r="743" spans="1:111">
      <c r="A743" s="1125" t="s">
        <v>4188</v>
      </c>
      <c r="B743" s="1125" t="s">
        <v>4212</v>
      </c>
      <c r="C743" s="1125" t="s">
        <v>4213</v>
      </c>
      <c r="D743" s="1125" t="s">
        <v>61</v>
      </c>
      <c r="E743" s="1125">
        <v>1043</v>
      </c>
      <c r="F743" s="1125">
        <v>-97.49</v>
      </c>
      <c r="G743" s="1125">
        <v>36.61</v>
      </c>
      <c r="H743" s="1125">
        <v>-6</v>
      </c>
      <c r="I743" s="1126">
        <v>15.080000686645507</v>
      </c>
      <c r="J743" s="1126">
        <v>98.060001373291016</v>
      </c>
      <c r="K743" s="1127">
        <v>75.019999313354489</v>
      </c>
      <c r="L743" s="1125">
        <v>3720.6</v>
      </c>
      <c r="M743" s="1125">
        <v>2529</v>
      </c>
      <c r="N743" s="1128">
        <v>39.02000017166138</v>
      </c>
      <c r="O743" s="1128">
        <v>39.920000171661378</v>
      </c>
      <c r="P743" s="1128">
        <v>49.459999656677248</v>
      </c>
      <c r="Q743" s="1128">
        <v>59.9</v>
      </c>
      <c r="R743" s="1128">
        <v>68.719999313354492</v>
      </c>
      <c r="S743" s="1128">
        <v>77.180000686645513</v>
      </c>
      <c r="T743" s="1128">
        <v>83.119999313354498</v>
      </c>
      <c r="U743" s="1128">
        <v>88.7</v>
      </c>
      <c r="V743" s="1128">
        <v>80.599999999999994</v>
      </c>
      <c r="W743" s="1128">
        <v>54.319999313354494</v>
      </c>
      <c r="X743" s="1128">
        <v>53.240000343322755</v>
      </c>
      <c r="Y743" s="1128">
        <v>38.120000171661374</v>
      </c>
      <c r="Z743" s="1128">
        <v>61.124986224239819</v>
      </c>
      <c r="AA743" s="1128">
        <f t="shared" si="826"/>
        <v>53.356216714661365</v>
      </c>
      <c r="AB743" s="1128">
        <f t="shared" si="827"/>
        <v>52.991434501261608</v>
      </c>
      <c r="AC743" s="1128">
        <f t="shared" si="828"/>
        <v>56.31078034908105</v>
      </c>
      <c r="AD743" s="1128">
        <f t="shared" si="829"/>
        <v>62.449015610217678</v>
      </c>
      <c r="AE743" s="1128">
        <f t="shared" si="830"/>
        <v>69.806114670787551</v>
      </c>
      <c r="AF743" s="1128">
        <f t="shared" si="831"/>
        <v>76.464336284324716</v>
      </c>
      <c r="AG743" s="1128">
        <f t="shared" si="832"/>
        <v>80.688112380959794</v>
      </c>
      <c r="AH743" s="1128">
        <f t="shared" si="833"/>
        <v>81.376450630744941</v>
      </c>
      <c r="AI743" s="1128">
        <f t="shared" si="834"/>
        <v>78.349925061260123</v>
      </c>
      <c r="AJ743" s="1128">
        <f t="shared" si="835"/>
        <v>72.397446202362374</v>
      </c>
      <c r="AK743" s="1128">
        <f t="shared" si="836"/>
        <v>65.070619399099286</v>
      </c>
      <c r="AL743" s="1128">
        <f t="shared" si="837"/>
        <v>58.279294967560141</v>
      </c>
      <c r="AM743" s="1125">
        <f t="shared" si="838"/>
        <v>1</v>
      </c>
      <c r="AN743" s="1125">
        <f t="shared" si="839"/>
        <v>1</v>
      </c>
      <c r="AO743" s="1125">
        <f t="shared" si="840"/>
        <v>1</v>
      </c>
      <c r="AP743" s="1125">
        <f t="shared" si="841"/>
        <v>1</v>
      </c>
      <c r="AQ743" s="1125">
        <f t="shared" si="842"/>
        <v>0</v>
      </c>
      <c r="AR743" s="1125">
        <f t="shared" si="843"/>
        <v>0</v>
      </c>
      <c r="AS743" s="1125">
        <f t="shared" si="844"/>
        <v>0</v>
      </c>
      <c r="AT743" s="1125">
        <f t="shared" si="845"/>
        <v>0</v>
      </c>
      <c r="AU743" s="1125">
        <f t="shared" si="846"/>
        <v>0</v>
      </c>
      <c r="AV743" s="1125">
        <f t="shared" si="847"/>
        <v>1</v>
      </c>
      <c r="AW743" s="1125">
        <f t="shared" si="848"/>
        <v>1</v>
      </c>
      <c r="AX743" s="1125">
        <f t="shared" si="849"/>
        <v>1</v>
      </c>
      <c r="AY743" s="1125">
        <f t="shared" si="850"/>
        <v>0</v>
      </c>
      <c r="AZ743" s="1125">
        <f t="shared" si="851"/>
        <v>0</v>
      </c>
      <c r="BA743" s="1125">
        <f t="shared" si="852"/>
        <v>0</v>
      </c>
      <c r="BB743" s="1125">
        <f t="shared" si="853"/>
        <v>0</v>
      </c>
      <c r="BC743" s="1125">
        <f t="shared" si="854"/>
        <v>1</v>
      </c>
      <c r="BD743" s="1125">
        <f t="shared" si="855"/>
        <v>1</v>
      </c>
      <c r="BE743" s="1125">
        <f t="shared" si="856"/>
        <v>1</v>
      </c>
      <c r="BF743" s="1125">
        <f t="shared" si="857"/>
        <v>1</v>
      </c>
      <c r="BG743" s="1125">
        <f t="shared" si="858"/>
        <v>1</v>
      </c>
      <c r="BH743" s="1125">
        <f t="shared" si="859"/>
        <v>0</v>
      </c>
      <c r="BI743" s="1125">
        <f t="shared" si="860"/>
        <v>0</v>
      </c>
      <c r="BJ743" s="1125">
        <f t="shared" si="861"/>
        <v>0</v>
      </c>
      <c r="BK743" s="1125">
        <f t="shared" si="862"/>
        <v>1</v>
      </c>
      <c r="BL743" s="1125">
        <f t="shared" si="863"/>
        <v>1</v>
      </c>
      <c r="BM743" s="1125">
        <f t="shared" si="864"/>
        <v>1</v>
      </c>
      <c r="BN743" s="1125">
        <f t="shared" si="865"/>
        <v>1</v>
      </c>
      <c r="BO743" s="1125">
        <f t="shared" si="866"/>
        <v>1</v>
      </c>
      <c r="BP743" s="1125">
        <f t="shared" si="867"/>
        <v>0</v>
      </c>
      <c r="BQ743" s="1125">
        <f t="shared" si="868"/>
        <v>0</v>
      </c>
      <c r="BR743" s="1125">
        <f t="shared" si="869"/>
        <v>0</v>
      </c>
      <c r="BS743" s="1125">
        <f t="shared" si="870"/>
        <v>0</v>
      </c>
      <c r="BT743" s="1125">
        <f t="shared" si="871"/>
        <v>1</v>
      </c>
      <c r="BU743" s="1125">
        <f t="shared" si="872"/>
        <v>1</v>
      </c>
      <c r="BV743" s="1125">
        <f t="shared" si="873"/>
        <v>1</v>
      </c>
      <c r="BW743" s="1125">
        <f t="shared" si="874"/>
        <v>0</v>
      </c>
      <c r="BX743" s="1125">
        <f t="shared" si="875"/>
        <v>0</v>
      </c>
      <c r="BY743" s="1125">
        <f t="shared" si="876"/>
        <v>0</v>
      </c>
      <c r="BZ743" s="1125">
        <f t="shared" si="877"/>
        <v>1</v>
      </c>
      <c r="CA743" s="1125">
        <f t="shared" si="878"/>
        <v>1</v>
      </c>
      <c r="CB743" s="1125">
        <f t="shared" si="879"/>
        <v>1</v>
      </c>
      <c r="CC743" s="1125">
        <f t="shared" si="880"/>
        <v>1</v>
      </c>
      <c r="CD743" s="1125">
        <f t="shared" si="881"/>
        <v>1</v>
      </c>
      <c r="CE743" s="1125">
        <f t="shared" si="882"/>
        <v>1</v>
      </c>
      <c r="CF743" s="1125">
        <f t="shared" si="883"/>
        <v>1</v>
      </c>
      <c r="CG743" s="1125">
        <f t="shared" si="884"/>
        <v>0</v>
      </c>
      <c r="CH743" s="1125">
        <f t="shared" si="885"/>
        <v>0</v>
      </c>
      <c r="CI743" s="1125">
        <f t="shared" si="886"/>
        <v>0.85</v>
      </c>
      <c r="CJ743" s="1125">
        <f t="shared" si="887"/>
        <v>0.85</v>
      </c>
      <c r="CK743" s="1125">
        <f t="shared" si="888"/>
        <v>0.85</v>
      </c>
      <c r="CL743" s="1125">
        <f t="shared" si="889"/>
        <v>0.85</v>
      </c>
      <c r="CM743" s="1125">
        <f t="shared" si="890"/>
        <v>0.85</v>
      </c>
      <c r="CN743" s="1125">
        <f t="shared" si="891"/>
        <v>0.7</v>
      </c>
      <c r="CO743" s="1125">
        <f t="shared" si="892"/>
        <v>0.7</v>
      </c>
      <c r="CP743" s="1125">
        <f t="shared" si="893"/>
        <v>0.7</v>
      </c>
      <c r="CQ743" s="1125">
        <f t="shared" si="894"/>
        <v>0.7</v>
      </c>
      <c r="CR743" s="1125">
        <f t="shared" si="895"/>
        <v>0.85</v>
      </c>
      <c r="CS743" s="1125">
        <f t="shared" si="896"/>
        <v>0.85</v>
      </c>
      <c r="CT743" s="1125">
        <f t="shared" si="897"/>
        <v>0.85</v>
      </c>
      <c r="CU743" s="1125">
        <v>1</v>
      </c>
      <c r="CV743" s="1125"/>
      <c r="CW743" s="1125">
        <f t="shared" si="898"/>
        <v>214</v>
      </c>
      <c r="CX743" s="1125">
        <f t="shared" si="899"/>
        <v>151</v>
      </c>
      <c r="CY743" s="1135" t="s">
        <v>4881</v>
      </c>
      <c r="CZ743" s="1124" t="s">
        <v>4882</v>
      </c>
      <c r="DA743" s="1124"/>
      <c r="DB743" s="1124"/>
      <c r="DC743" s="1120" t="s">
        <v>5508</v>
      </c>
      <c r="DD743" s="1120" t="s">
        <v>61</v>
      </c>
      <c r="DE743" s="1120" t="b">
        <f t="shared" si="900"/>
        <v>0</v>
      </c>
      <c r="DF743" s="1133">
        <v>0</v>
      </c>
      <c r="DG743" s="1125">
        <v>0</v>
      </c>
    </row>
    <row r="744" spans="1:111">
      <c r="A744" s="1120" t="s">
        <v>4190</v>
      </c>
      <c r="B744" s="1125" t="s">
        <v>3856</v>
      </c>
      <c r="C744" s="1125" t="s">
        <v>3857</v>
      </c>
      <c r="D744" s="1125" t="s">
        <v>1248</v>
      </c>
      <c r="E744" s="1125">
        <v>479</v>
      </c>
      <c r="F744" s="1125">
        <v>-90.47</v>
      </c>
      <c r="G744" s="1125">
        <v>36.770000000000003</v>
      </c>
      <c r="H744" s="1125">
        <v>-6</v>
      </c>
      <c r="I744" s="1126">
        <v>15.619999313354493</v>
      </c>
      <c r="J744" s="1126">
        <v>91.4</v>
      </c>
      <c r="K744" s="1127">
        <v>76.460001373291021</v>
      </c>
      <c r="L744" s="1125">
        <v>3954.6</v>
      </c>
      <c r="M744" s="1125">
        <v>1634.4</v>
      </c>
      <c r="N744" s="1128">
        <v>34.880000042915341</v>
      </c>
      <c r="O744" s="1128">
        <v>35.419999957084656</v>
      </c>
      <c r="P744" s="1128">
        <v>50.180000686645506</v>
      </c>
      <c r="Q744" s="1128">
        <v>60.8</v>
      </c>
      <c r="R744" s="1128">
        <v>67.099999999999994</v>
      </c>
      <c r="S744" s="1128">
        <v>74.83999862670899</v>
      </c>
      <c r="T744" s="1128">
        <v>80.960001373291021</v>
      </c>
      <c r="U744" s="1128">
        <v>78.260001373291018</v>
      </c>
      <c r="V744" s="1128">
        <v>69.080000686645505</v>
      </c>
      <c r="W744" s="1128">
        <v>62.6</v>
      </c>
      <c r="X744" s="1128">
        <v>45.140000343322754</v>
      </c>
      <c r="Y744" s="1128">
        <v>35.6</v>
      </c>
      <c r="Z744" s="1128">
        <v>58.039835880161966</v>
      </c>
      <c r="AA744" s="1128">
        <f t="shared" si="826"/>
        <v>52.390275191650524</v>
      </c>
      <c r="AB744" s="1128">
        <f t="shared" si="827"/>
        <v>51.739413117051754</v>
      </c>
      <c r="AC744" s="1128">
        <f t="shared" si="828"/>
        <v>54.29484579091023</v>
      </c>
      <c r="AD744" s="1128">
        <f t="shared" si="829"/>
        <v>59.390460306375211</v>
      </c>
      <c r="AE744" s="1128">
        <f t="shared" si="830"/>
        <v>65.698006214194095</v>
      </c>
      <c r="AF744" s="1128">
        <f t="shared" si="831"/>
        <v>71.573324471269174</v>
      </c>
      <c r="AG744" s="1128">
        <f t="shared" si="832"/>
        <v>75.48492283249881</v>
      </c>
      <c r="AH744" s="1128">
        <f t="shared" si="833"/>
        <v>76.413182905473121</v>
      </c>
      <c r="AI744" s="1128">
        <f t="shared" si="834"/>
        <v>74.11613939725062</v>
      </c>
      <c r="AJ744" s="1128">
        <f t="shared" si="835"/>
        <v>69.19255209676146</v>
      </c>
      <c r="AK744" s="1128">
        <f t="shared" si="836"/>
        <v>62.92582990865516</v>
      </c>
      <c r="AL744" s="1128">
        <f t="shared" si="837"/>
        <v>56.949490544373766</v>
      </c>
      <c r="AM744" s="1125">
        <f t="shared" si="838"/>
        <v>1</v>
      </c>
      <c r="AN744" s="1125">
        <f t="shared" si="839"/>
        <v>1</v>
      </c>
      <c r="AO744" s="1125">
        <f t="shared" si="840"/>
        <v>1</v>
      </c>
      <c r="AP744" s="1125">
        <f t="shared" si="841"/>
        <v>1</v>
      </c>
      <c r="AQ744" s="1125">
        <f t="shared" si="842"/>
        <v>0</v>
      </c>
      <c r="AR744" s="1125">
        <f t="shared" si="843"/>
        <v>0</v>
      </c>
      <c r="AS744" s="1125">
        <f t="shared" si="844"/>
        <v>0</v>
      </c>
      <c r="AT744" s="1125">
        <f t="shared" si="845"/>
        <v>0</v>
      </c>
      <c r="AU744" s="1125">
        <f t="shared" si="846"/>
        <v>0</v>
      </c>
      <c r="AV744" s="1125">
        <f t="shared" si="847"/>
        <v>1</v>
      </c>
      <c r="AW744" s="1125">
        <f t="shared" si="848"/>
        <v>1</v>
      </c>
      <c r="AX744" s="1125">
        <f t="shared" si="849"/>
        <v>1</v>
      </c>
      <c r="AY744" s="1125">
        <f t="shared" si="850"/>
        <v>0</v>
      </c>
      <c r="AZ744" s="1125">
        <f t="shared" si="851"/>
        <v>0</v>
      </c>
      <c r="BA744" s="1125">
        <f t="shared" si="852"/>
        <v>0</v>
      </c>
      <c r="BB744" s="1125">
        <f t="shared" si="853"/>
        <v>0</v>
      </c>
      <c r="BC744" s="1125">
        <f t="shared" si="854"/>
        <v>1</v>
      </c>
      <c r="BD744" s="1125">
        <f t="shared" si="855"/>
        <v>1</v>
      </c>
      <c r="BE744" s="1125">
        <f t="shared" si="856"/>
        <v>1</v>
      </c>
      <c r="BF744" s="1125">
        <f t="shared" si="857"/>
        <v>1</v>
      </c>
      <c r="BG744" s="1125">
        <f t="shared" si="858"/>
        <v>1</v>
      </c>
      <c r="BH744" s="1125">
        <f t="shared" si="859"/>
        <v>0</v>
      </c>
      <c r="BI744" s="1125">
        <f t="shared" si="860"/>
        <v>0</v>
      </c>
      <c r="BJ744" s="1125">
        <f t="shared" si="861"/>
        <v>0</v>
      </c>
      <c r="BK744" s="1125">
        <f t="shared" si="862"/>
        <v>1</v>
      </c>
      <c r="BL744" s="1125">
        <f t="shared" si="863"/>
        <v>1</v>
      </c>
      <c r="BM744" s="1125">
        <f t="shared" si="864"/>
        <v>1</v>
      </c>
      <c r="BN744" s="1125">
        <f t="shared" si="865"/>
        <v>1</v>
      </c>
      <c r="BO744" s="1125">
        <f t="shared" si="866"/>
        <v>1</v>
      </c>
      <c r="BP744" s="1125">
        <f t="shared" si="867"/>
        <v>0</v>
      </c>
      <c r="BQ744" s="1125">
        <f t="shared" si="868"/>
        <v>0</v>
      </c>
      <c r="BR744" s="1125">
        <f t="shared" si="869"/>
        <v>0</v>
      </c>
      <c r="BS744" s="1125">
        <f t="shared" si="870"/>
        <v>0</v>
      </c>
      <c r="BT744" s="1125">
        <f t="shared" si="871"/>
        <v>1</v>
      </c>
      <c r="BU744" s="1125">
        <f t="shared" si="872"/>
        <v>1</v>
      </c>
      <c r="BV744" s="1125">
        <f t="shared" si="873"/>
        <v>1</v>
      </c>
      <c r="BW744" s="1125">
        <f t="shared" si="874"/>
        <v>0</v>
      </c>
      <c r="BX744" s="1125">
        <f t="shared" si="875"/>
        <v>0</v>
      </c>
      <c r="BY744" s="1125">
        <f t="shared" si="876"/>
        <v>0</v>
      </c>
      <c r="BZ744" s="1125">
        <f t="shared" si="877"/>
        <v>1</v>
      </c>
      <c r="CA744" s="1125">
        <f t="shared" si="878"/>
        <v>1</v>
      </c>
      <c r="CB744" s="1125">
        <f t="shared" si="879"/>
        <v>1</v>
      </c>
      <c r="CC744" s="1125">
        <f t="shared" si="880"/>
        <v>1</v>
      </c>
      <c r="CD744" s="1125">
        <f t="shared" si="881"/>
        <v>1</v>
      </c>
      <c r="CE744" s="1125">
        <f t="shared" si="882"/>
        <v>1</v>
      </c>
      <c r="CF744" s="1125">
        <f t="shared" si="883"/>
        <v>1</v>
      </c>
      <c r="CG744" s="1125">
        <f t="shared" si="884"/>
        <v>0</v>
      </c>
      <c r="CH744" s="1125">
        <f t="shared" si="885"/>
        <v>0</v>
      </c>
      <c r="CI744" s="1125">
        <f t="shared" si="886"/>
        <v>0.85</v>
      </c>
      <c r="CJ744" s="1125">
        <f t="shared" si="887"/>
        <v>0.85</v>
      </c>
      <c r="CK744" s="1125">
        <f t="shared" si="888"/>
        <v>0.85</v>
      </c>
      <c r="CL744" s="1125">
        <f t="shared" si="889"/>
        <v>0.85</v>
      </c>
      <c r="CM744" s="1125">
        <f t="shared" si="890"/>
        <v>0.85</v>
      </c>
      <c r="CN744" s="1125">
        <f t="shared" si="891"/>
        <v>0.7</v>
      </c>
      <c r="CO744" s="1125">
        <f t="shared" si="892"/>
        <v>0.7</v>
      </c>
      <c r="CP744" s="1125">
        <f t="shared" si="893"/>
        <v>0.7</v>
      </c>
      <c r="CQ744" s="1125">
        <f t="shared" si="894"/>
        <v>0.7</v>
      </c>
      <c r="CR744" s="1125">
        <f t="shared" si="895"/>
        <v>0.85</v>
      </c>
      <c r="CS744" s="1125">
        <f t="shared" si="896"/>
        <v>0.85</v>
      </c>
      <c r="CT744" s="1125">
        <f t="shared" si="897"/>
        <v>0.85</v>
      </c>
      <c r="CU744" s="1125">
        <v>1</v>
      </c>
      <c r="CV744" s="1125"/>
      <c r="CW744" s="1125">
        <f t="shared" si="898"/>
        <v>214</v>
      </c>
      <c r="CX744" s="1125">
        <f t="shared" si="899"/>
        <v>151</v>
      </c>
      <c r="CY744" s="1136" t="s">
        <v>4881</v>
      </c>
      <c r="CZ744" s="1129" t="s">
        <v>4885</v>
      </c>
      <c r="DA744" s="1129"/>
      <c r="DB744" s="1129"/>
      <c r="DC744" s="1125" t="s">
        <v>5355</v>
      </c>
      <c r="DD744" s="1125" t="s">
        <v>1248</v>
      </c>
      <c r="DE744" s="1120" t="b">
        <f t="shared" si="900"/>
        <v>0</v>
      </c>
      <c r="DF744" s="1133">
        <v>0</v>
      </c>
      <c r="DG744" s="1120">
        <v>0</v>
      </c>
    </row>
    <row r="745" spans="1:111">
      <c r="A745" s="1125" t="s">
        <v>4192</v>
      </c>
      <c r="B745" s="1125" t="s">
        <v>4438</v>
      </c>
      <c r="C745" s="1125" t="s">
        <v>4439</v>
      </c>
      <c r="D745" s="1125" t="s">
        <v>228</v>
      </c>
      <c r="E745" s="1125">
        <v>16</v>
      </c>
      <c r="F745" s="1125">
        <v>-94.02</v>
      </c>
      <c r="G745" s="1125">
        <v>29.95</v>
      </c>
      <c r="H745" s="1125">
        <v>-6</v>
      </c>
      <c r="I745" s="1126">
        <v>34.160000085830688</v>
      </c>
      <c r="J745" s="1126">
        <v>92.660001373291024</v>
      </c>
      <c r="K745" s="1127">
        <v>78.260001373291018</v>
      </c>
      <c r="L745" s="1125">
        <v>1357.2</v>
      </c>
      <c r="M745" s="1125">
        <v>2862</v>
      </c>
      <c r="N745" s="1128">
        <v>50.180000686645506</v>
      </c>
      <c r="O745" s="1128">
        <v>53.059999656677249</v>
      </c>
      <c r="P745" s="1128">
        <v>62.780000686645508</v>
      </c>
      <c r="Q745" s="1128">
        <v>68.900000000000006</v>
      </c>
      <c r="R745" s="1128">
        <v>76.099999999999994</v>
      </c>
      <c r="S745" s="1128">
        <v>80.599999999999994</v>
      </c>
      <c r="T745" s="1128">
        <v>82.219999313354492</v>
      </c>
      <c r="U745" s="1128">
        <v>81.680000686645513</v>
      </c>
      <c r="V745" s="1128">
        <v>77.539998626708979</v>
      </c>
      <c r="W745" s="1128">
        <v>69.619999313354498</v>
      </c>
      <c r="X745" s="1128">
        <v>63.319999313354494</v>
      </c>
      <c r="Y745" s="1128">
        <v>55.219999313354492</v>
      </c>
      <c r="Z745" s="1128">
        <v>68.515835420791419</v>
      </c>
      <c r="AA745" s="1128">
        <f t="shared" si="826"/>
        <v>64.348162203921106</v>
      </c>
      <c r="AB745" s="1128">
        <f t="shared" si="827"/>
        <v>64.757824206947106</v>
      </c>
      <c r="AC745" s="1128">
        <f t="shared" si="828"/>
        <v>67.711062208366258</v>
      </c>
      <c r="AD745" s="1128">
        <f t="shared" si="829"/>
        <v>72.438069212333474</v>
      </c>
      <c r="AE745" s="1128">
        <f t="shared" si="830"/>
        <v>77.706677997881727</v>
      </c>
      <c r="AF745" s="1128">
        <f t="shared" si="831"/>
        <v>82.143544493338851</v>
      </c>
      <c r="AG745" s="1128">
        <f t="shared" si="832"/>
        <v>84.592131072481578</v>
      </c>
      <c r="AH745" s="1128">
        <f t="shared" si="833"/>
        <v>84.414175909594974</v>
      </c>
      <c r="AI745" s="1128">
        <f t="shared" si="834"/>
        <v>81.656065760257491</v>
      </c>
      <c r="AJ745" s="1128">
        <f t="shared" si="835"/>
        <v>77.036744538657942</v>
      </c>
      <c r="AK745" s="1128">
        <f t="shared" si="836"/>
        <v>71.760309507101042</v>
      </c>
      <c r="AL745" s="1128">
        <f t="shared" si="837"/>
        <v>67.202144768887251</v>
      </c>
      <c r="AM745" s="1125">
        <f t="shared" si="838"/>
        <v>1</v>
      </c>
      <c r="AN745" s="1125">
        <f t="shared" si="839"/>
        <v>1</v>
      </c>
      <c r="AO745" s="1125">
        <f t="shared" si="840"/>
        <v>1</v>
      </c>
      <c r="AP745" s="1125">
        <f t="shared" si="841"/>
        <v>0</v>
      </c>
      <c r="AQ745" s="1125">
        <f t="shared" si="842"/>
        <v>0</v>
      </c>
      <c r="AR745" s="1125">
        <f t="shared" si="843"/>
        <v>0</v>
      </c>
      <c r="AS745" s="1125">
        <f t="shared" si="844"/>
        <v>0</v>
      </c>
      <c r="AT745" s="1125">
        <f t="shared" si="845"/>
        <v>0</v>
      </c>
      <c r="AU745" s="1125">
        <f t="shared" si="846"/>
        <v>0</v>
      </c>
      <c r="AV745" s="1125">
        <f t="shared" si="847"/>
        <v>0</v>
      </c>
      <c r="AW745" s="1125">
        <f t="shared" si="848"/>
        <v>1</v>
      </c>
      <c r="AX745" s="1125">
        <f t="shared" si="849"/>
        <v>1</v>
      </c>
      <c r="AY745" s="1125">
        <f t="shared" si="850"/>
        <v>0</v>
      </c>
      <c r="AZ745" s="1125">
        <f t="shared" si="851"/>
        <v>0</v>
      </c>
      <c r="BA745" s="1125">
        <f t="shared" si="852"/>
        <v>0</v>
      </c>
      <c r="BB745" s="1125">
        <f t="shared" si="853"/>
        <v>1</v>
      </c>
      <c r="BC745" s="1125">
        <f t="shared" si="854"/>
        <v>1</v>
      </c>
      <c r="BD745" s="1125">
        <f t="shared" si="855"/>
        <v>1</v>
      </c>
      <c r="BE745" s="1125">
        <f t="shared" si="856"/>
        <v>1</v>
      </c>
      <c r="BF745" s="1125">
        <f t="shared" si="857"/>
        <v>1</v>
      </c>
      <c r="BG745" s="1125">
        <f t="shared" si="858"/>
        <v>1</v>
      </c>
      <c r="BH745" s="1125">
        <f t="shared" si="859"/>
        <v>1</v>
      </c>
      <c r="BI745" s="1125">
        <f t="shared" si="860"/>
        <v>0</v>
      </c>
      <c r="BJ745" s="1125">
        <f t="shared" si="861"/>
        <v>0</v>
      </c>
      <c r="BK745" s="1125">
        <f t="shared" si="862"/>
        <v>1</v>
      </c>
      <c r="BL745" s="1125">
        <f t="shared" si="863"/>
        <v>1</v>
      </c>
      <c r="BM745" s="1125">
        <f t="shared" si="864"/>
        <v>1</v>
      </c>
      <c r="BN745" s="1125">
        <f t="shared" si="865"/>
        <v>1</v>
      </c>
      <c r="BO745" s="1125">
        <f t="shared" si="866"/>
        <v>0</v>
      </c>
      <c r="BP745" s="1125">
        <f t="shared" si="867"/>
        <v>0</v>
      </c>
      <c r="BQ745" s="1125">
        <f t="shared" si="868"/>
        <v>0</v>
      </c>
      <c r="BR745" s="1125">
        <f t="shared" si="869"/>
        <v>0</v>
      </c>
      <c r="BS745" s="1125">
        <f t="shared" si="870"/>
        <v>0</v>
      </c>
      <c r="BT745" s="1125">
        <f t="shared" si="871"/>
        <v>0</v>
      </c>
      <c r="BU745" s="1125">
        <f t="shared" si="872"/>
        <v>1</v>
      </c>
      <c r="BV745" s="1125">
        <f t="shared" si="873"/>
        <v>1</v>
      </c>
      <c r="BW745" s="1125">
        <f t="shared" si="874"/>
        <v>0</v>
      </c>
      <c r="BX745" s="1125">
        <f t="shared" si="875"/>
        <v>0</v>
      </c>
      <c r="BY745" s="1125">
        <f t="shared" si="876"/>
        <v>1</v>
      </c>
      <c r="BZ745" s="1125">
        <f t="shared" si="877"/>
        <v>1</v>
      </c>
      <c r="CA745" s="1125">
        <f t="shared" si="878"/>
        <v>1</v>
      </c>
      <c r="CB745" s="1125">
        <f t="shared" si="879"/>
        <v>1</v>
      </c>
      <c r="CC745" s="1125">
        <f t="shared" si="880"/>
        <v>1</v>
      </c>
      <c r="CD745" s="1125">
        <f t="shared" si="881"/>
        <v>1</v>
      </c>
      <c r="CE745" s="1125">
        <f t="shared" si="882"/>
        <v>1</v>
      </c>
      <c r="CF745" s="1125">
        <f t="shared" si="883"/>
        <v>1</v>
      </c>
      <c r="CG745" s="1125">
        <f t="shared" si="884"/>
        <v>1</v>
      </c>
      <c r="CH745" s="1125">
        <f t="shared" si="885"/>
        <v>0</v>
      </c>
      <c r="CI745" s="1125">
        <f t="shared" si="886"/>
        <v>0.85</v>
      </c>
      <c r="CJ745" s="1125">
        <f t="shared" si="887"/>
        <v>0.85</v>
      </c>
      <c r="CK745" s="1125">
        <f t="shared" si="888"/>
        <v>0.85</v>
      </c>
      <c r="CL745" s="1125">
        <f t="shared" si="889"/>
        <v>0.85</v>
      </c>
      <c r="CM745" s="1125">
        <f t="shared" si="890"/>
        <v>0.7</v>
      </c>
      <c r="CN745" s="1125">
        <f t="shared" si="891"/>
        <v>0.7</v>
      </c>
      <c r="CO745" s="1125">
        <f t="shared" si="892"/>
        <v>0.7</v>
      </c>
      <c r="CP745" s="1125">
        <f t="shared" si="893"/>
        <v>0.7</v>
      </c>
      <c r="CQ745" s="1125">
        <f t="shared" si="894"/>
        <v>0.7</v>
      </c>
      <c r="CR745" s="1125">
        <f t="shared" si="895"/>
        <v>0.7</v>
      </c>
      <c r="CS745" s="1125">
        <f t="shared" si="896"/>
        <v>0.85</v>
      </c>
      <c r="CT745" s="1125">
        <f t="shared" si="897"/>
        <v>0.85</v>
      </c>
      <c r="CU745" s="1125">
        <v>1</v>
      </c>
      <c r="CV745" s="1125"/>
      <c r="CW745" s="1125">
        <f t="shared" si="898"/>
        <v>275</v>
      </c>
      <c r="CX745" s="1125">
        <f t="shared" si="899"/>
        <v>90</v>
      </c>
      <c r="CY745" s="1136" t="s">
        <v>4883</v>
      </c>
      <c r="CZ745" s="1129" t="s">
        <v>4884</v>
      </c>
      <c r="DA745" s="1129"/>
      <c r="DB745" s="1129"/>
      <c r="DC745" s="1125" t="s">
        <v>5609</v>
      </c>
      <c r="DD745" s="1125" t="s">
        <v>228</v>
      </c>
      <c r="DE745" s="1120" t="str">
        <f t="shared" si="900"/>
        <v/>
      </c>
      <c r="DF745" s="1133">
        <v>0</v>
      </c>
      <c r="DG745" s="1125">
        <v>0</v>
      </c>
    </row>
    <row r="746" spans="1:111">
      <c r="A746" s="1120" t="s">
        <v>4194</v>
      </c>
      <c r="B746" s="1120" t="s">
        <v>268</v>
      </c>
      <c r="C746" s="1120" t="s">
        <v>269</v>
      </c>
      <c r="D746" s="1120" t="s">
        <v>953</v>
      </c>
      <c r="E746" s="1120">
        <v>95</v>
      </c>
      <c r="F746" s="1120">
        <v>-158.62</v>
      </c>
      <c r="G746" s="1120">
        <v>56.95</v>
      </c>
      <c r="H746" s="1120">
        <v>-9</v>
      </c>
      <c r="I746" s="1121">
        <v>-2.0199993133544929</v>
      </c>
      <c r="J746" s="1121">
        <v>62.419999313354495</v>
      </c>
      <c r="K746" s="1122">
        <v>53.6</v>
      </c>
      <c r="L746" s="1120">
        <v>9745.2000000000007</v>
      </c>
      <c r="M746" s="1120">
        <v>0</v>
      </c>
      <c r="N746" s="1123">
        <v>32.360000005364419</v>
      </c>
      <c r="O746" s="1123">
        <v>27.139999914169312</v>
      </c>
      <c r="P746" s="1123">
        <v>29.660000085830688</v>
      </c>
      <c r="Q746" s="1123">
        <v>33.080000042915344</v>
      </c>
      <c r="R746" s="1123">
        <v>35.779999828338624</v>
      </c>
      <c r="S746" s="1123">
        <v>46.220000171661376</v>
      </c>
      <c r="T746" s="1123">
        <v>50.719999313354492</v>
      </c>
      <c r="U746" s="1123">
        <v>50.359999656677246</v>
      </c>
      <c r="V746" s="1123">
        <v>48.380000686645509</v>
      </c>
      <c r="W746" s="1123">
        <v>35.779999828338624</v>
      </c>
      <c r="X746" s="1123">
        <v>34.700000000000003</v>
      </c>
      <c r="Y746" s="1123">
        <v>27.5</v>
      </c>
      <c r="Z746" s="1123">
        <v>37.693917766817627</v>
      </c>
      <c r="AA746" s="1123">
        <f t="shared" si="826"/>
        <v>40.683476531611994</v>
      </c>
      <c r="AB746" s="1123">
        <f t="shared" si="827"/>
        <v>39.796359456862589</v>
      </c>
      <c r="AC746" s="1123">
        <f t="shared" si="828"/>
        <v>39.925201018794624</v>
      </c>
      <c r="AD746" s="1123">
        <f t="shared" si="829"/>
        <v>41.036416678781933</v>
      </c>
      <c r="AE746" s="1123">
        <f t="shared" si="830"/>
        <v>42.840350950697157</v>
      </c>
      <c r="AF746" s="1123">
        <f t="shared" si="831"/>
        <v>44.866780567096988</v>
      </c>
      <c r="AG746" s="1123">
        <f t="shared" si="832"/>
        <v>46.587485420241144</v>
      </c>
      <c r="AH746" s="1123">
        <f t="shared" si="833"/>
        <v>47.553937273293151</v>
      </c>
      <c r="AI746" s="1123">
        <f t="shared" si="834"/>
        <v>47.514215557281133</v>
      </c>
      <c r="AJ746" s="1123">
        <f t="shared" si="835"/>
        <v>46.478674349613797</v>
      </c>
      <c r="AK746" s="1123">
        <f t="shared" si="836"/>
        <v>44.717243424242689</v>
      </c>
      <c r="AL746" s="1123">
        <f t="shared" si="837"/>
        <v>42.689066896338005</v>
      </c>
      <c r="AM746" s="1120">
        <f t="shared" si="838"/>
        <v>1</v>
      </c>
      <c r="AN746" s="1120">
        <f t="shared" si="839"/>
        <v>1</v>
      </c>
      <c r="AO746" s="1120">
        <f t="shared" si="840"/>
        <v>1</v>
      </c>
      <c r="AP746" s="1120">
        <f t="shared" si="841"/>
        <v>1</v>
      </c>
      <c r="AQ746" s="1120">
        <f t="shared" si="842"/>
        <v>1</v>
      </c>
      <c r="AR746" s="1120">
        <f t="shared" si="843"/>
        <v>1</v>
      </c>
      <c r="AS746" s="1120">
        <f t="shared" si="844"/>
        <v>1</v>
      </c>
      <c r="AT746" s="1120">
        <f t="shared" si="845"/>
        <v>1</v>
      </c>
      <c r="AU746" s="1120">
        <f t="shared" si="846"/>
        <v>1</v>
      </c>
      <c r="AV746" s="1120">
        <f t="shared" si="847"/>
        <v>1</v>
      </c>
      <c r="AW746" s="1120">
        <f t="shared" si="848"/>
        <v>1</v>
      </c>
      <c r="AX746" s="1120">
        <f t="shared" si="849"/>
        <v>1</v>
      </c>
      <c r="AY746" s="1120">
        <f t="shared" si="850"/>
        <v>0</v>
      </c>
      <c r="AZ746" s="1120">
        <f t="shared" si="851"/>
        <v>0</v>
      </c>
      <c r="BA746" s="1120">
        <f t="shared" si="852"/>
        <v>0</v>
      </c>
      <c r="BB746" s="1120">
        <f t="shared" si="853"/>
        <v>0</v>
      </c>
      <c r="BC746" s="1120">
        <f t="shared" si="854"/>
        <v>0</v>
      </c>
      <c r="BD746" s="1120">
        <f t="shared" si="855"/>
        <v>0</v>
      </c>
      <c r="BE746" s="1120">
        <f t="shared" si="856"/>
        <v>1</v>
      </c>
      <c r="BF746" s="1120">
        <f t="shared" si="857"/>
        <v>1</v>
      </c>
      <c r="BG746" s="1120">
        <f t="shared" si="858"/>
        <v>0</v>
      </c>
      <c r="BH746" s="1120">
        <f t="shared" si="859"/>
        <v>0</v>
      </c>
      <c r="BI746" s="1120">
        <f t="shared" si="860"/>
        <v>0</v>
      </c>
      <c r="BJ746" s="1120">
        <f t="shared" si="861"/>
        <v>0</v>
      </c>
      <c r="BK746" s="1120">
        <f t="shared" si="862"/>
        <v>1</v>
      </c>
      <c r="BL746" s="1120">
        <f t="shared" si="863"/>
        <v>1</v>
      </c>
      <c r="BM746" s="1120">
        <f t="shared" si="864"/>
        <v>1</v>
      </c>
      <c r="BN746" s="1120">
        <f t="shared" si="865"/>
        <v>1</v>
      </c>
      <c r="BO746" s="1120">
        <f t="shared" si="866"/>
        <v>1</v>
      </c>
      <c r="BP746" s="1120">
        <f t="shared" si="867"/>
        <v>1</v>
      </c>
      <c r="BQ746" s="1120">
        <f t="shared" si="868"/>
        <v>1</v>
      </c>
      <c r="BR746" s="1120">
        <f t="shared" si="869"/>
        <v>1</v>
      </c>
      <c r="BS746" s="1120">
        <f t="shared" si="870"/>
        <v>1</v>
      </c>
      <c r="BT746" s="1120">
        <f t="shared" si="871"/>
        <v>1</v>
      </c>
      <c r="BU746" s="1120">
        <f t="shared" si="872"/>
        <v>1</v>
      </c>
      <c r="BV746" s="1120">
        <f t="shared" si="873"/>
        <v>1</v>
      </c>
      <c r="BW746" s="1120">
        <f t="shared" si="874"/>
        <v>0</v>
      </c>
      <c r="BX746" s="1120">
        <f t="shared" si="875"/>
        <v>0</v>
      </c>
      <c r="BY746" s="1120">
        <f t="shared" si="876"/>
        <v>0</v>
      </c>
      <c r="BZ746" s="1120">
        <f t="shared" si="877"/>
        <v>0</v>
      </c>
      <c r="CA746" s="1120">
        <f t="shared" si="878"/>
        <v>0</v>
      </c>
      <c r="CB746" s="1120">
        <f t="shared" si="879"/>
        <v>0</v>
      </c>
      <c r="CC746" s="1120">
        <f t="shared" si="880"/>
        <v>1</v>
      </c>
      <c r="CD746" s="1120">
        <f t="shared" si="881"/>
        <v>1</v>
      </c>
      <c r="CE746" s="1120">
        <f t="shared" si="882"/>
        <v>0</v>
      </c>
      <c r="CF746" s="1120">
        <f t="shared" si="883"/>
        <v>0</v>
      </c>
      <c r="CG746" s="1120">
        <f t="shared" si="884"/>
        <v>0</v>
      </c>
      <c r="CH746" s="1120">
        <f t="shared" si="885"/>
        <v>0</v>
      </c>
      <c r="CI746" s="1120">
        <f t="shared" si="886"/>
        <v>0.85</v>
      </c>
      <c r="CJ746" s="1120">
        <f t="shared" si="887"/>
        <v>0.85</v>
      </c>
      <c r="CK746" s="1120">
        <f t="shared" si="888"/>
        <v>0.85</v>
      </c>
      <c r="CL746" s="1120">
        <f t="shared" si="889"/>
        <v>0.85</v>
      </c>
      <c r="CM746" s="1120">
        <f t="shared" si="890"/>
        <v>0.85</v>
      </c>
      <c r="CN746" s="1120">
        <f t="shared" si="891"/>
        <v>0.85</v>
      </c>
      <c r="CO746" s="1120">
        <f t="shared" si="892"/>
        <v>0.85</v>
      </c>
      <c r="CP746" s="1120">
        <f t="shared" si="893"/>
        <v>0.85</v>
      </c>
      <c r="CQ746" s="1120">
        <f t="shared" si="894"/>
        <v>0.85</v>
      </c>
      <c r="CR746" s="1120">
        <f t="shared" si="895"/>
        <v>0.85</v>
      </c>
      <c r="CS746" s="1120">
        <f t="shared" si="896"/>
        <v>0.85</v>
      </c>
      <c r="CT746" s="1120">
        <f t="shared" si="897"/>
        <v>0.85</v>
      </c>
      <c r="CU746" s="1120">
        <v>1</v>
      </c>
      <c r="CV746" s="1120"/>
      <c r="CW746" s="1120">
        <f t="shared" si="898"/>
        <v>62</v>
      </c>
      <c r="CX746" s="1120">
        <f t="shared" si="899"/>
        <v>303</v>
      </c>
      <c r="CY746" s="1135" t="s">
        <v>4879</v>
      </c>
      <c r="CZ746" s="1124">
        <v>7</v>
      </c>
      <c r="DA746" s="1124"/>
      <c r="DB746" s="1124"/>
      <c r="DC746" s="1120" t="s">
        <v>4954</v>
      </c>
      <c r="DD746" s="1120" t="s">
        <v>953</v>
      </c>
      <c r="DE746" s="1120" t="str">
        <f t="shared" si="900"/>
        <v/>
      </c>
      <c r="DF746" s="1120">
        <v>0</v>
      </c>
      <c r="DG746" s="1120">
        <v>0</v>
      </c>
    </row>
    <row r="747" spans="1:111">
      <c r="A747" s="1125" t="s">
        <v>4196</v>
      </c>
      <c r="B747" s="1120" t="s">
        <v>5818</v>
      </c>
      <c r="C747" s="1120" t="s">
        <v>5819</v>
      </c>
      <c r="D747" s="1120" t="s">
        <v>954</v>
      </c>
      <c r="E747" s="1120">
        <v>443</v>
      </c>
      <c r="F747" s="1120">
        <v>-119.07</v>
      </c>
      <c r="G747" s="1120">
        <v>36.03</v>
      </c>
      <c r="H747" s="1120">
        <v>-8</v>
      </c>
      <c r="I747" s="1121">
        <v>33.619999957084659</v>
      </c>
      <c r="J747" s="1121">
        <v>99.139998626708987</v>
      </c>
      <c r="K747" s="1122">
        <v>69.260001373291018</v>
      </c>
      <c r="L747" s="1120">
        <v>2439</v>
      </c>
      <c r="M747" s="1120">
        <v>1751.4</v>
      </c>
      <c r="N747" s="1123">
        <v>48.380000686645509</v>
      </c>
      <c r="O747" s="1123">
        <v>48.019999313354489</v>
      </c>
      <c r="P747" s="1123">
        <v>55.040000343322752</v>
      </c>
      <c r="Q747" s="1123">
        <v>55.759999656677245</v>
      </c>
      <c r="R747" s="1123">
        <v>69.439998626708984</v>
      </c>
      <c r="S747" s="1123">
        <v>76.819999313354487</v>
      </c>
      <c r="T747" s="1123">
        <v>78.439998626708984</v>
      </c>
      <c r="U747" s="1123">
        <v>79.880000686645502</v>
      </c>
      <c r="V747" s="1123">
        <v>71.780000686645508</v>
      </c>
      <c r="W747" s="1123">
        <v>61.519999313354496</v>
      </c>
      <c r="X747" s="1123">
        <v>54.859999656677246</v>
      </c>
      <c r="Y747" s="1123">
        <v>49.1</v>
      </c>
      <c r="Z747" s="1123">
        <v>62.512218923176803</v>
      </c>
      <c r="AA747" s="1123">
        <f t="shared" si="826"/>
        <v>59.563913778803894</v>
      </c>
      <c r="AB747" s="1123">
        <f t="shared" si="827"/>
        <v>59.442084989313287</v>
      </c>
      <c r="AC747" s="1123">
        <f t="shared" si="828"/>
        <v>61.684526384679074</v>
      </c>
      <c r="AD747" s="1123">
        <f t="shared" si="829"/>
        <v>65.706711058131233</v>
      </c>
      <c r="AE747" s="1123">
        <f t="shared" si="830"/>
        <v>70.460194590792412</v>
      </c>
      <c r="AF747" s="1123">
        <f t="shared" si="831"/>
        <v>74.705908246475872</v>
      </c>
      <c r="AG747" s="1123">
        <f t="shared" si="832"/>
        <v>77.337141332399767</v>
      </c>
      <c r="AH747" s="1123">
        <f t="shared" si="833"/>
        <v>77.668022396188817</v>
      </c>
      <c r="AI747" s="1123">
        <f t="shared" si="834"/>
        <v>75.612302189534844</v>
      </c>
      <c r="AJ747" s="1123">
        <f t="shared" si="835"/>
        <v>71.705835863909542</v>
      </c>
      <c r="AK747" s="1123">
        <f t="shared" si="836"/>
        <v>66.966904067555447</v>
      </c>
      <c r="AL747" s="1123">
        <f t="shared" si="837"/>
        <v>62.630782402341836</v>
      </c>
      <c r="AM747" s="1120">
        <f t="shared" si="838"/>
        <v>1</v>
      </c>
      <c r="AN747" s="1120">
        <f t="shared" si="839"/>
        <v>1</v>
      </c>
      <c r="AO747" s="1120">
        <f t="shared" si="840"/>
        <v>1</v>
      </c>
      <c r="AP747" s="1120">
        <f t="shared" si="841"/>
        <v>1</v>
      </c>
      <c r="AQ747" s="1120">
        <f t="shared" si="842"/>
        <v>0</v>
      </c>
      <c r="AR747" s="1120">
        <f t="shared" si="843"/>
        <v>0</v>
      </c>
      <c r="AS747" s="1120">
        <f t="shared" si="844"/>
        <v>0</v>
      </c>
      <c r="AT747" s="1120">
        <f t="shared" si="845"/>
        <v>0</v>
      </c>
      <c r="AU747" s="1120">
        <f t="shared" si="846"/>
        <v>0</v>
      </c>
      <c r="AV747" s="1120">
        <f t="shared" si="847"/>
        <v>1</v>
      </c>
      <c r="AW747" s="1120">
        <f t="shared" si="848"/>
        <v>1</v>
      </c>
      <c r="AX747" s="1120">
        <f t="shared" si="849"/>
        <v>1</v>
      </c>
      <c r="AY747" s="1120">
        <f t="shared" si="850"/>
        <v>0</v>
      </c>
      <c r="AZ747" s="1120">
        <f t="shared" si="851"/>
        <v>0</v>
      </c>
      <c r="BA747" s="1120">
        <f t="shared" si="852"/>
        <v>0</v>
      </c>
      <c r="BB747" s="1120">
        <f t="shared" si="853"/>
        <v>0</v>
      </c>
      <c r="BC747" s="1120">
        <f t="shared" si="854"/>
        <v>1</v>
      </c>
      <c r="BD747" s="1120">
        <f t="shared" si="855"/>
        <v>1</v>
      </c>
      <c r="BE747" s="1120">
        <f t="shared" si="856"/>
        <v>1</v>
      </c>
      <c r="BF747" s="1120">
        <f t="shared" si="857"/>
        <v>1</v>
      </c>
      <c r="BG747" s="1120">
        <f t="shared" si="858"/>
        <v>1</v>
      </c>
      <c r="BH747" s="1120">
        <f t="shared" si="859"/>
        <v>0</v>
      </c>
      <c r="BI747" s="1120">
        <f t="shared" si="860"/>
        <v>0</v>
      </c>
      <c r="BJ747" s="1120">
        <f t="shared" si="861"/>
        <v>0</v>
      </c>
      <c r="BK747" s="1120">
        <f t="shared" si="862"/>
        <v>1</v>
      </c>
      <c r="BL747" s="1120">
        <f t="shared" si="863"/>
        <v>1</v>
      </c>
      <c r="BM747" s="1120">
        <f t="shared" si="864"/>
        <v>1</v>
      </c>
      <c r="BN747" s="1120">
        <f t="shared" si="865"/>
        <v>1</v>
      </c>
      <c r="BO747" s="1120">
        <f t="shared" si="866"/>
        <v>1</v>
      </c>
      <c r="BP747" s="1120">
        <f t="shared" si="867"/>
        <v>0</v>
      </c>
      <c r="BQ747" s="1120">
        <f t="shared" si="868"/>
        <v>0</v>
      </c>
      <c r="BR747" s="1120">
        <f t="shared" si="869"/>
        <v>0</v>
      </c>
      <c r="BS747" s="1120">
        <f t="shared" si="870"/>
        <v>0</v>
      </c>
      <c r="BT747" s="1120">
        <f t="shared" si="871"/>
        <v>1</v>
      </c>
      <c r="BU747" s="1120">
        <f t="shared" si="872"/>
        <v>1</v>
      </c>
      <c r="BV747" s="1120">
        <f t="shared" si="873"/>
        <v>1</v>
      </c>
      <c r="BW747" s="1120">
        <f t="shared" si="874"/>
        <v>0</v>
      </c>
      <c r="BX747" s="1120">
        <f t="shared" si="875"/>
        <v>0</v>
      </c>
      <c r="BY747" s="1120">
        <f t="shared" si="876"/>
        <v>0</v>
      </c>
      <c r="BZ747" s="1120">
        <f t="shared" si="877"/>
        <v>1</v>
      </c>
      <c r="CA747" s="1120">
        <f t="shared" si="878"/>
        <v>1</v>
      </c>
      <c r="CB747" s="1120">
        <f t="shared" si="879"/>
        <v>1</v>
      </c>
      <c r="CC747" s="1120">
        <f t="shared" si="880"/>
        <v>1</v>
      </c>
      <c r="CD747" s="1120">
        <f t="shared" si="881"/>
        <v>1</v>
      </c>
      <c r="CE747" s="1120">
        <f t="shared" si="882"/>
        <v>1</v>
      </c>
      <c r="CF747" s="1120">
        <f t="shared" si="883"/>
        <v>1</v>
      </c>
      <c r="CG747" s="1120">
        <f t="shared" si="884"/>
        <v>0</v>
      </c>
      <c r="CH747" s="1120">
        <f t="shared" si="885"/>
        <v>0</v>
      </c>
      <c r="CI747" s="1120">
        <f t="shared" si="886"/>
        <v>0.85</v>
      </c>
      <c r="CJ747" s="1120">
        <f t="shared" si="887"/>
        <v>0.85</v>
      </c>
      <c r="CK747" s="1120">
        <f t="shared" si="888"/>
        <v>0.85</v>
      </c>
      <c r="CL747" s="1120">
        <f t="shared" si="889"/>
        <v>0.85</v>
      </c>
      <c r="CM747" s="1120">
        <f t="shared" si="890"/>
        <v>0.85</v>
      </c>
      <c r="CN747" s="1120">
        <f t="shared" si="891"/>
        <v>0.7</v>
      </c>
      <c r="CO747" s="1120">
        <f t="shared" si="892"/>
        <v>0.7</v>
      </c>
      <c r="CP747" s="1120">
        <f t="shared" si="893"/>
        <v>0.7</v>
      </c>
      <c r="CQ747" s="1120">
        <f t="shared" si="894"/>
        <v>0.7</v>
      </c>
      <c r="CR747" s="1120">
        <f t="shared" si="895"/>
        <v>0.85</v>
      </c>
      <c r="CS747" s="1120">
        <f t="shared" si="896"/>
        <v>0.85</v>
      </c>
      <c r="CT747" s="1120">
        <f t="shared" si="897"/>
        <v>0.85</v>
      </c>
      <c r="CU747" s="1120">
        <v>1</v>
      </c>
      <c r="CV747" s="1120"/>
      <c r="CW747" s="1120">
        <f t="shared" si="898"/>
        <v>214</v>
      </c>
      <c r="CX747" s="1120">
        <f t="shared" si="899"/>
        <v>151</v>
      </c>
      <c r="CY747" s="1136" t="s">
        <v>4886</v>
      </c>
      <c r="CZ747" s="1129" t="s">
        <v>4888</v>
      </c>
      <c r="DA747" s="1129"/>
      <c r="DB747" s="1129"/>
      <c r="DC747" s="1125" t="s">
        <v>5720</v>
      </c>
      <c r="DD747" s="1125" t="s">
        <v>954</v>
      </c>
      <c r="DE747" s="1120" t="str">
        <f t="shared" si="900"/>
        <v/>
      </c>
      <c r="DF747" s="1133">
        <v>0</v>
      </c>
      <c r="DG747" s="1125">
        <v>0</v>
      </c>
    </row>
    <row r="748" spans="1:111">
      <c r="A748" s="1120" t="s">
        <v>4198</v>
      </c>
      <c r="B748" s="1125" t="s">
        <v>4242</v>
      </c>
      <c r="C748" s="1125" t="s">
        <v>4243</v>
      </c>
      <c r="D748" s="1125" t="s">
        <v>427</v>
      </c>
      <c r="E748" s="1125">
        <v>203</v>
      </c>
      <c r="F748" s="1125">
        <v>-122.95</v>
      </c>
      <c r="G748" s="1125">
        <v>45.53</v>
      </c>
      <c r="H748" s="1125">
        <v>-8</v>
      </c>
      <c r="I748" s="1126">
        <v>26.6</v>
      </c>
      <c r="J748" s="1126">
        <v>87.980000686645511</v>
      </c>
      <c r="K748" s="1127">
        <v>67.099999999999994</v>
      </c>
      <c r="L748" s="1125">
        <v>4611.6000000000004</v>
      </c>
      <c r="M748" s="1125">
        <v>270</v>
      </c>
      <c r="N748" s="1128">
        <v>40.279999828338624</v>
      </c>
      <c r="O748" s="1128">
        <v>43.7</v>
      </c>
      <c r="P748" s="1128">
        <v>49.459999656677248</v>
      </c>
      <c r="Q748" s="1128">
        <v>53.059999656677249</v>
      </c>
      <c r="R748" s="1128">
        <v>53.240000343322755</v>
      </c>
      <c r="S748" s="1128">
        <v>61.339998626708983</v>
      </c>
      <c r="T748" s="1128">
        <v>67.280000686645508</v>
      </c>
      <c r="U748" s="1128">
        <v>65.83999862670899</v>
      </c>
      <c r="V748" s="1128">
        <v>58.819999313354494</v>
      </c>
      <c r="W748" s="1128">
        <v>52.7</v>
      </c>
      <c r="X748" s="1128">
        <v>42.8</v>
      </c>
      <c r="Y748" s="1128">
        <v>40.820000171661377</v>
      </c>
      <c r="Z748" s="1128">
        <v>52.499780566071813</v>
      </c>
      <c r="AA748" s="1128">
        <f t="shared" si="826"/>
        <v>52.621441017788342</v>
      </c>
      <c r="AB748" s="1128">
        <f t="shared" si="827"/>
        <v>51.964181396135821</v>
      </c>
      <c r="AC748" s="1128">
        <f t="shared" si="828"/>
        <v>53.010526414758992</v>
      </c>
      <c r="AD748" s="1128">
        <f t="shared" si="829"/>
        <v>55.487730119888901</v>
      </c>
      <c r="AE748" s="1128">
        <f t="shared" si="830"/>
        <v>58.750071190918796</v>
      </c>
      <c r="AF748" s="1128">
        <f t="shared" si="831"/>
        <v>61.947170153487043</v>
      </c>
      <c r="AG748" s="1128">
        <f t="shared" si="832"/>
        <v>64.245653894213859</v>
      </c>
      <c r="AH748" s="1128">
        <f t="shared" si="833"/>
        <v>65.046387205372184</v>
      </c>
      <c r="AI748" s="1128">
        <f t="shared" si="834"/>
        <v>64.140646609734759</v>
      </c>
      <c r="AJ748" s="1128">
        <f t="shared" si="835"/>
        <v>61.764527351439547</v>
      </c>
      <c r="AK748" s="1128">
        <f t="shared" si="836"/>
        <v>58.537401532267367</v>
      </c>
      <c r="AL748" s="1128">
        <f t="shared" si="837"/>
        <v>55.300469228499679</v>
      </c>
      <c r="AM748" s="1125">
        <f t="shared" si="838"/>
        <v>1</v>
      </c>
      <c r="AN748" s="1125">
        <f t="shared" si="839"/>
        <v>1</v>
      </c>
      <c r="AO748" s="1125">
        <f t="shared" si="840"/>
        <v>1</v>
      </c>
      <c r="AP748" s="1125">
        <f t="shared" si="841"/>
        <v>1</v>
      </c>
      <c r="AQ748" s="1125">
        <f t="shared" si="842"/>
        <v>1</v>
      </c>
      <c r="AR748" s="1125">
        <f t="shared" si="843"/>
        <v>1</v>
      </c>
      <c r="AS748" s="1125">
        <f t="shared" si="844"/>
        <v>0</v>
      </c>
      <c r="AT748" s="1125">
        <f t="shared" si="845"/>
        <v>1</v>
      </c>
      <c r="AU748" s="1125">
        <f t="shared" si="846"/>
        <v>1</v>
      </c>
      <c r="AV748" s="1125">
        <f t="shared" si="847"/>
        <v>1</v>
      </c>
      <c r="AW748" s="1125">
        <f t="shared" si="848"/>
        <v>1</v>
      </c>
      <c r="AX748" s="1125">
        <f t="shared" si="849"/>
        <v>1</v>
      </c>
      <c r="AY748" s="1125">
        <f t="shared" si="850"/>
        <v>0</v>
      </c>
      <c r="AZ748" s="1125">
        <f t="shared" si="851"/>
        <v>0</v>
      </c>
      <c r="BA748" s="1125">
        <f t="shared" si="852"/>
        <v>0</v>
      </c>
      <c r="BB748" s="1125">
        <f t="shared" si="853"/>
        <v>0</v>
      </c>
      <c r="BC748" s="1125">
        <f t="shared" si="854"/>
        <v>0</v>
      </c>
      <c r="BD748" s="1125">
        <f t="shared" si="855"/>
        <v>0</v>
      </c>
      <c r="BE748" s="1125">
        <f t="shared" si="856"/>
        <v>1</v>
      </c>
      <c r="BF748" s="1125">
        <f t="shared" si="857"/>
        <v>1</v>
      </c>
      <c r="BG748" s="1125">
        <f t="shared" si="858"/>
        <v>0</v>
      </c>
      <c r="BH748" s="1125">
        <f t="shared" si="859"/>
        <v>0</v>
      </c>
      <c r="BI748" s="1125">
        <f t="shared" si="860"/>
        <v>0</v>
      </c>
      <c r="BJ748" s="1125">
        <f t="shared" si="861"/>
        <v>0</v>
      </c>
      <c r="BK748" s="1125">
        <f t="shared" si="862"/>
        <v>1</v>
      </c>
      <c r="BL748" s="1125">
        <f t="shared" si="863"/>
        <v>1</v>
      </c>
      <c r="BM748" s="1125">
        <f t="shared" si="864"/>
        <v>1</v>
      </c>
      <c r="BN748" s="1125">
        <f t="shared" si="865"/>
        <v>1</v>
      </c>
      <c r="BO748" s="1125">
        <f t="shared" si="866"/>
        <v>1</v>
      </c>
      <c r="BP748" s="1125">
        <f t="shared" si="867"/>
        <v>1</v>
      </c>
      <c r="BQ748" s="1125">
        <f t="shared" si="868"/>
        <v>1</v>
      </c>
      <c r="BR748" s="1125">
        <f t="shared" si="869"/>
        <v>1</v>
      </c>
      <c r="BS748" s="1125">
        <f t="shared" si="870"/>
        <v>1</v>
      </c>
      <c r="BT748" s="1125">
        <f t="shared" si="871"/>
        <v>1</v>
      </c>
      <c r="BU748" s="1125">
        <f t="shared" si="872"/>
        <v>1</v>
      </c>
      <c r="BV748" s="1125">
        <f t="shared" si="873"/>
        <v>1</v>
      </c>
      <c r="BW748" s="1125">
        <f t="shared" si="874"/>
        <v>0</v>
      </c>
      <c r="BX748" s="1125">
        <f t="shared" si="875"/>
        <v>0</v>
      </c>
      <c r="BY748" s="1125">
        <f t="shared" si="876"/>
        <v>0</v>
      </c>
      <c r="BZ748" s="1125">
        <f t="shared" si="877"/>
        <v>0</v>
      </c>
      <c r="CA748" s="1125">
        <f t="shared" si="878"/>
        <v>0</v>
      </c>
      <c r="CB748" s="1125">
        <f t="shared" si="879"/>
        <v>1</v>
      </c>
      <c r="CC748" s="1125">
        <f t="shared" si="880"/>
        <v>1</v>
      </c>
      <c r="CD748" s="1125">
        <f t="shared" si="881"/>
        <v>1</v>
      </c>
      <c r="CE748" s="1125">
        <f t="shared" si="882"/>
        <v>0</v>
      </c>
      <c r="CF748" s="1125">
        <f t="shared" si="883"/>
        <v>0</v>
      </c>
      <c r="CG748" s="1125">
        <f t="shared" si="884"/>
        <v>0</v>
      </c>
      <c r="CH748" s="1125">
        <f t="shared" si="885"/>
        <v>0</v>
      </c>
      <c r="CI748" s="1125">
        <f t="shared" si="886"/>
        <v>0.85</v>
      </c>
      <c r="CJ748" s="1125">
        <f t="shared" si="887"/>
        <v>0.85</v>
      </c>
      <c r="CK748" s="1125">
        <f t="shared" si="888"/>
        <v>0.85</v>
      </c>
      <c r="CL748" s="1125">
        <f t="shared" si="889"/>
        <v>0.85</v>
      </c>
      <c r="CM748" s="1125">
        <f t="shared" si="890"/>
        <v>0.85</v>
      </c>
      <c r="CN748" s="1125">
        <f t="shared" si="891"/>
        <v>0.85</v>
      </c>
      <c r="CO748" s="1125">
        <f t="shared" si="892"/>
        <v>0.85</v>
      </c>
      <c r="CP748" s="1125">
        <f t="shared" si="893"/>
        <v>0.85</v>
      </c>
      <c r="CQ748" s="1125">
        <f t="shared" si="894"/>
        <v>0.85</v>
      </c>
      <c r="CR748" s="1125">
        <f t="shared" si="895"/>
        <v>0.85</v>
      </c>
      <c r="CS748" s="1125">
        <f t="shared" si="896"/>
        <v>0.85</v>
      </c>
      <c r="CT748" s="1125">
        <f t="shared" si="897"/>
        <v>0.85</v>
      </c>
      <c r="CU748" s="1125">
        <v>1</v>
      </c>
      <c r="CV748" s="1125"/>
      <c r="CW748" s="1125">
        <f t="shared" si="898"/>
        <v>92</v>
      </c>
      <c r="CX748" s="1125">
        <f t="shared" si="899"/>
        <v>273</v>
      </c>
      <c r="CY748" s="1135" t="s">
        <v>4893</v>
      </c>
      <c r="CZ748" s="1124" t="s">
        <v>4894</v>
      </c>
      <c r="DA748" s="1124"/>
      <c r="DB748" s="1124"/>
      <c r="DC748" s="1120" t="s">
        <v>5991</v>
      </c>
      <c r="DD748" s="1120" t="s">
        <v>427</v>
      </c>
      <c r="DE748" s="1120" t="str">
        <f t="shared" si="900"/>
        <v/>
      </c>
      <c r="DF748" s="1133">
        <v>0</v>
      </c>
      <c r="DG748" s="1120">
        <v>0</v>
      </c>
    </row>
    <row r="749" spans="1:111">
      <c r="A749" s="1125" t="s">
        <v>4200</v>
      </c>
      <c r="B749" s="1120" t="s">
        <v>4246</v>
      </c>
      <c r="C749" s="1120" t="s">
        <v>4247</v>
      </c>
      <c r="D749" s="1120" t="s">
        <v>427</v>
      </c>
      <c r="E749" s="1120">
        <v>20</v>
      </c>
      <c r="F749" s="1120">
        <v>-122.62</v>
      </c>
      <c r="G749" s="1120">
        <v>45.6</v>
      </c>
      <c r="H749" s="1120">
        <v>-8</v>
      </c>
      <c r="I749" s="1121">
        <v>28.580000042915344</v>
      </c>
      <c r="J749" s="1121">
        <v>87.080000686645505</v>
      </c>
      <c r="K749" s="1122">
        <v>66.560001373291016</v>
      </c>
      <c r="L749" s="1120">
        <v>4125.6000000000004</v>
      </c>
      <c r="M749" s="1120">
        <v>14.4</v>
      </c>
      <c r="N749" s="1123">
        <v>41.9</v>
      </c>
      <c r="O749" s="1123">
        <v>44.420000171661378</v>
      </c>
      <c r="P749" s="1123">
        <v>46.940000343322751</v>
      </c>
      <c r="Q749" s="1123">
        <v>53.059999656677249</v>
      </c>
      <c r="R749" s="1123">
        <v>57.019999313354489</v>
      </c>
      <c r="S749" s="1123">
        <v>63.680000686645506</v>
      </c>
      <c r="T749" s="1123">
        <v>67.819999313354487</v>
      </c>
      <c r="U749" s="1123">
        <v>68.180000686645513</v>
      </c>
      <c r="V749" s="1123">
        <v>63.139998626708987</v>
      </c>
      <c r="W749" s="1123">
        <v>55.040000343322752</v>
      </c>
      <c r="X749" s="1123">
        <v>47.3</v>
      </c>
      <c r="Y749" s="1123">
        <v>39.379999828338626</v>
      </c>
      <c r="Z749" s="1123">
        <v>54.037917722153338</v>
      </c>
      <c r="AA749" s="1123">
        <f t="shared" si="826"/>
        <v>53.487113443662849</v>
      </c>
      <c r="AB749" s="1123">
        <f t="shared" si="827"/>
        <v>52.859520010283553</v>
      </c>
      <c r="AC749" s="1123">
        <f t="shared" si="828"/>
        <v>54.103086562960378</v>
      </c>
      <c r="AD749" s="1123">
        <f t="shared" si="829"/>
        <v>56.893658315797431</v>
      </c>
      <c r="AE749" s="1123">
        <f t="shared" si="830"/>
        <v>60.503829737405312</v>
      </c>
      <c r="AF749" s="1123">
        <f t="shared" si="831"/>
        <v>63.992554012316276</v>
      </c>
      <c r="AG749" s="1123">
        <f t="shared" si="832"/>
        <v>66.450441395406315</v>
      </c>
      <c r="AH749" s="1123">
        <f t="shared" si="833"/>
        <v>67.23680566308191</v>
      </c>
      <c r="AI749" s="1123">
        <f t="shared" si="834"/>
        <v>66.146668850733221</v>
      </c>
      <c r="AJ749" s="1123">
        <f t="shared" si="835"/>
        <v>63.46419191801575</v>
      </c>
      <c r="AK749" s="1123">
        <f t="shared" si="836"/>
        <v>59.888603815663124</v>
      </c>
      <c r="AL749" s="1123">
        <f t="shared" si="837"/>
        <v>56.351936684034115</v>
      </c>
      <c r="AM749" s="1120">
        <f t="shared" si="838"/>
        <v>1</v>
      </c>
      <c r="AN749" s="1120">
        <f t="shared" si="839"/>
        <v>1</v>
      </c>
      <c r="AO749" s="1120">
        <f t="shared" si="840"/>
        <v>1</v>
      </c>
      <c r="AP749" s="1120">
        <f t="shared" si="841"/>
        <v>1</v>
      </c>
      <c r="AQ749" s="1120">
        <f t="shared" si="842"/>
        <v>1</v>
      </c>
      <c r="AR749" s="1120">
        <f t="shared" si="843"/>
        <v>1</v>
      </c>
      <c r="AS749" s="1120">
        <f t="shared" si="844"/>
        <v>0</v>
      </c>
      <c r="AT749" s="1120">
        <f t="shared" si="845"/>
        <v>0</v>
      </c>
      <c r="AU749" s="1120">
        <f t="shared" si="846"/>
        <v>1</v>
      </c>
      <c r="AV749" s="1120">
        <f t="shared" si="847"/>
        <v>1</v>
      </c>
      <c r="AW749" s="1120">
        <f t="shared" si="848"/>
        <v>1</v>
      </c>
      <c r="AX749" s="1120">
        <f t="shared" si="849"/>
        <v>1</v>
      </c>
      <c r="AY749" s="1120">
        <f t="shared" si="850"/>
        <v>0</v>
      </c>
      <c r="AZ749" s="1120">
        <f t="shared" si="851"/>
        <v>0</v>
      </c>
      <c r="BA749" s="1120">
        <f t="shared" si="852"/>
        <v>0</v>
      </c>
      <c r="BB749" s="1120">
        <f t="shared" si="853"/>
        <v>0</v>
      </c>
      <c r="BC749" s="1120">
        <f t="shared" si="854"/>
        <v>0</v>
      </c>
      <c r="BD749" s="1120">
        <f t="shared" si="855"/>
        <v>0</v>
      </c>
      <c r="BE749" s="1120">
        <f t="shared" si="856"/>
        <v>1</v>
      </c>
      <c r="BF749" s="1120">
        <f t="shared" si="857"/>
        <v>1</v>
      </c>
      <c r="BG749" s="1120">
        <f t="shared" si="858"/>
        <v>0</v>
      </c>
      <c r="BH749" s="1120">
        <f t="shared" si="859"/>
        <v>0</v>
      </c>
      <c r="BI749" s="1120">
        <f t="shared" si="860"/>
        <v>0</v>
      </c>
      <c r="BJ749" s="1120">
        <f t="shared" si="861"/>
        <v>0</v>
      </c>
      <c r="BK749" s="1120">
        <f t="shared" si="862"/>
        <v>1</v>
      </c>
      <c r="BL749" s="1120">
        <f t="shared" si="863"/>
        <v>1</v>
      </c>
      <c r="BM749" s="1120">
        <f t="shared" si="864"/>
        <v>1</v>
      </c>
      <c r="BN749" s="1120">
        <f t="shared" si="865"/>
        <v>1</v>
      </c>
      <c r="BO749" s="1120">
        <f t="shared" si="866"/>
        <v>1</v>
      </c>
      <c r="BP749" s="1120">
        <f t="shared" si="867"/>
        <v>1</v>
      </c>
      <c r="BQ749" s="1120">
        <f t="shared" si="868"/>
        <v>1</v>
      </c>
      <c r="BR749" s="1120">
        <f t="shared" si="869"/>
        <v>0</v>
      </c>
      <c r="BS749" s="1120">
        <f t="shared" si="870"/>
        <v>1</v>
      </c>
      <c r="BT749" s="1120">
        <f t="shared" si="871"/>
        <v>1</v>
      </c>
      <c r="BU749" s="1120">
        <f t="shared" si="872"/>
        <v>1</v>
      </c>
      <c r="BV749" s="1120">
        <f t="shared" si="873"/>
        <v>1</v>
      </c>
      <c r="BW749" s="1120">
        <f t="shared" si="874"/>
        <v>0</v>
      </c>
      <c r="BX749" s="1120">
        <f t="shared" si="875"/>
        <v>0</v>
      </c>
      <c r="BY749" s="1120">
        <f t="shared" si="876"/>
        <v>0</v>
      </c>
      <c r="BZ749" s="1120">
        <f t="shared" si="877"/>
        <v>0</v>
      </c>
      <c r="CA749" s="1120">
        <f t="shared" si="878"/>
        <v>0</v>
      </c>
      <c r="CB749" s="1120">
        <f t="shared" si="879"/>
        <v>1</v>
      </c>
      <c r="CC749" s="1120">
        <f t="shared" si="880"/>
        <v>1</v>
      </c>
      <c r="CD749" s="1120">
        <f t="shared" si="881"/>
        <v>1</v>
      </c>
      <c r="CE749" s="1120">
        <f t="shared" si="882"/>
        <v>1</v>
      </c>
      <c r="CF749" s="1120">
        <f t="shared" si="883"/>
        <v>0</v>
      </c>
      <c r="CG749" s="1120">
        <f t="shared" si="884"/>
        <v>0</v>
      </c>
      <c r="CH749" s="1120">
        <f t="shared" si="885"/>
        <v>0</v>
      </c>
      <c r="CI749" s="1120">
        <f t="shared" si="886"/>
        <v>0.85</v>
      </c>
      <c r="CJ749" s="1120">
        <f t="shared" si="887"/>
        <v>0.85</v>
      </c>
      <c r="CK749" s="1120">
        <f t="shared" si="888"/>
        <v>0.85</v>
      </c>
      <c r="CL749" s="1120">
        <f t="shared" si="889"/>
        <v>0.85</v>
      </c>
      <c r="CM749" s="1120">
        <f t="shared" si="890"/>
        <v>0.85</v>
      </c>
      <c r="CN749" s="1120">
        <f t="shared" si="891"/>
        <v>0.85</v>
      </c>
      <c r="CO749" s="1120">
        <f t="shared" si="892"/>
        <v>0.85</v>
      </c>
      <c r="CP749" s="1120">
        <f t="shared" si="893"/>
        <v>0.7</v>
      </c>
      <c r="CQ749" s="1120">
        <f t="shared" si="894"/>
        <v>0.85</v>
      </c>
      <c r="CR749" s="1120">
        <f t="shared" si="895"/>
        <v>0.85</v>
      </c>
      <c r="CS749" s="1120">
        <f t="shared" si="896"/>
        <v>0.85</v>
      </c>
      <c r="CT749" s="1120">
        <f t="shared" si="897"/>
        <v>0.85</v>
      </c>
      <c r="CU749" s="1120">
        <v>1</v>
      </c>
      <c r="CV749" s="1120"/>
      <c r="CW749" s="1120">
        <f t="shared" si="898"/>
        <v>122</v>
      </c>
      <c r="CX749" s="1120">
        <f t="shared" si="899"/>
        <v>243</v>
      </c>
      <c r="CY749" s="1136" t="s">
        <v>4893</v>
      </c>
      <c r="CZ749" s="1129" t="s">
        <v>4894</v>
      </c>
      <c r="DA749" s="1129"/>
      <c r="DB749" s="1129"/>
      <c r="DC749" s="1125" t="s">
        <v>5524</v>
      </c>
      <c r="DD749" s="1125" t="s">
        <v>427</v>
      </c>
      <c r="DE749" s="1120" t="str">
        <f t="shared" si="900"/>
        <v/>
      </c>
      <c r="DF749" s="1133">
        <v>0</v>
      </c>
      <c r="DG749" s="1125">
        <v>0</v>
      </c>
    </row>
    <row r="750" spans="1:111">
      <c r="A750" s="1120" t="s">
        <v>4202</v>
      </c>
      <c r="B750" s="1120" t="s">
        <v>793</v>
      </c>
      <c r="C750" s="1120" t="s">
        <v>794</v>
      </c>
      <c r="D750" s="1120" t="s">
        <v>903</v>
      </c>
      <c r="E750" s="1120">
        <v>46</v>
      </c>
      <c r="F750" s="1120">
        <v>-70.3</v>
      </c>
      <c r="G750" s="1120">
        <v>43.65</v>
      </c>
      <c r="H750" s="1120">
        <v>-5</v>
      </c>
      <c r="I750" s="1121">
        <v>4.2800006866455069</v>
      </c>
      <c r="J750" s="1121">
        <v>83.480000686645511</v>
      </c>
      <c r="K750" s="1122">
        <v>69.619999313354498</v>
      </c>
      <c r="L750" s="1120">
        <v>7358.4000000000005</v>
      </c>
      <c r="M750" s="1120">
        <v>363.6</v>
      </c>
      <c r="N750" s="1123">
        <v>19.940000343322755</v>
      </c>
      <c r="O750" s="1123">
        <v>24.079999828338622</v>
      </c>
      <c r="P750" s="1123">
        <v>32.720000010728839</v>
      </c>
      <c r="Q750" s="1123">
        <v>44.059999656677249</v>
      </c>
      <c r="R750" s="1123">
        <v>53.959999656677248</v>
      </c>
      <c r="S750" s="1123">
        <v>61.519999313354496</v>
      </c>
      <c r="T750" s="1123">
        <v>69.980000686645511</v>
      </c>
      <c r="U750" s="1123">
        <v>67.639998626708987</v>
      </c>
      <c r="V750" s="1123">
        <v>57.740000343322755</v>
      </c>
      <c r="W750" s="1123">
        <v>47.119999313354491</v>
      </c>
      <c r="X750" s="1123">
        <v>37.039999914169314</v>
      </c>
      <c r="Y750" s="1123">
        <v>25.520000171661376</v>
      </c>
      <c r="Z750" s="1123">
        <v>45.228273794798</v>
      </c>
      <c r="AA750" s="1123">
        <f t="shared" si="826"/>
        <v>42.606551724653443</v>
      </c>
      <c r="AB750" s="1123">
        <f t="shared" si="827"/>
        <v>40.934681073401869</v>
      </c>
      <c r="AC750" s="1123">
        <f t="shared" si="828"/>
        <v>41.945993994047697</v>
      </c>
      <c r="AD750" s="1123">
        <f t="shared" si="829"/>
        <v>45.376876189020734</v>
      </c>
      <c r="AE750" s="1123">
        <f t="shared" si="830"/>
        <v>50.333015342706226</v>
      </c>
      <c r="AF750" s="1123">
        <f t="shared" si="831"/>
        <v>55.522517408279796</v>
      </c>
      <c r="AG750" s="1123">
        <f t="shared" si="832"/>
        <v>59.592658699702113</v>
      </c>
      <c r="AH750" s="1123">
        <f t="shared" si="833"/>
        <v>61.482494166588047</v>
      </c>
      <c r="AI750" s="1123">
        <f t="shared" si="834"/>
        <v>60.699409071247679</v>
      </c>
      <c r="AJ750" s="1123">
        <f t="shared" si="835"/>
        <v>57.447526611488087</v>
      </c>
      <c r="AK750" s="1123">
        <f t="shared" si="836"/>
        <v>52.574500063471213</v>
      </c>
      <c r="AL750" s="1123">
        <f t="shared" si="837"/>
        <v>47.350558892549891</v>
      </c>
      <c r="AM750" s="1120">
        <f t="shared" si="838"/>
        <v>1</v>
      </c>
      <c r="AN750" s="1120">
        <f t="shared" si="839"/>
        <v>1</v>
      </c>
      <c r="AO750" s="1120">
        <f t="shared" si="840"/>
        <v>1</v>
      </c>
      <c r="AP750" s="1120">
        <f t="shared" si="841"/>
        <v>1</v>
      </c>
      <c r="AQ750" s="1120">
        <f t="shared" si="842"/>
        <v>1</v>
      </c>
      <c r="AR750" s="1120">
        <f t="shared" si="843"/>
        <v>1</v>
      </c>
      <c r="AS750" s="1120">
        <f t="shared" si="844"/>
        <v>0</v>
      </c>
      <c r="AT750" s="1120">
        <f t="shared" si="845"/>
        <v>0</v>
      </c>
      <c r="AU750" s="1120">
        <f t="shared" si="846"/>
        <v>1</v>
      </c>
      <c r="AV750" s="1120">
        <f t="shared" si="847"/>
        <v>1</v>
      </c>
      <c r="AW750" s="1120">
        <f t="shared" si="848"/>
        <v>1</v>
      </c>
      <c r="AX750" s="1120">
        <f t="shared" si="849"/>
        <v>1</v>
      </c>
      <c r="AY750" s="1120">
        <f t="shared" si="850"/>
        <v>0</v>
      </c>
      <c r="AZ750" s="1120">
        <f t="shared" si="851"/>
        <v>0</v>
      </c>
      <c r="BA750" s="1120">
        <f t="shared" si="852"/>
        <v>0</v>
      </c>
      <c r="BB750" s="1120">
        <f t="shared" si="853"/>
        <v>0</v>
      </c>
      <c r="BC750" s="1120">
        <f t="shared" si="854"/>
        <v>0</v>
      </c>
      <c r="BD750" s="1120">
        <f t="shared" si="855"/>
        <v>0</v>
      </c>
      <c r="BE750" s="1120">
        <f t="shared" si="856"/>
        <v>1</v>
      </c>
      <c r="BF750" s="1120">
        <f t="shared" si="857"/>
        <v>1</v>
      </c>
      <c r="BG750" s="1120">
        <f t="shared" si="858"/>
        <v>0</v>
      </c>
      <c r="BH750" s="1120">
        <f t="shared" si="859"/>
        <v>0</v>
      </c>
      <c r="BI750" s="1120">
        <f t="shared" si="860"/>
        <v>0</v>
      </c>
      <c r="BJ750" s="1120">
        <f t="shared" si="861"/>
        <v>0</v>
      </c>
      <c r="BK750" s="1120">
        <f t="shared" si="862"/>
        <v>1</v>
      </c>
      <c r="BL750" s="1120">
        <f t="shared" si="863"/>
        <v>1</v>
      </c>
      <c r="BM750" s="1120">
        <f t="shared" si="864"/>
        <v>1</v>
      </c>
      <c r="BN750" s="1120">
        <f t="shared" si="865"/>
        <v>1</v>
      </c>
      <c r="BO750" s="1120">
        <f t="shared" si="866"/>
        <v>1</v>
      </c>
      <c r="BP750" s="1120">
        <f t="shared" si="867"/>
        <v>1</v>
      </c>
      <c r="BQ750" s="1120">
        <f t="shared" si="868"/>
        <v>1</v>
      </c>
      <c r="BR750" s="1120">
        <f t="shared" si="869"/>
        <v>0</v>
      </c>
      <c r="BS750" s="1120">
        <f t="shared" si="870"/>
        <v>1</v>
      </c>
      <c r="BT750" s="1120">
        <f t="shared" si="871"/>
        <v>1</v>
      </c>
      <c r="BU750" s="1120">
        <f t="shared" si="872"/>
        <v>1</v>
      </c>
      <c r="BV750" s="1120">
        <f t="shared" si="873"/>
        <v>1</v>
      </c>
      <c r="BW750" s="1120">
        <f t="shared" si="874"/>
        <v>0</v>
      </c>
      <c r="BX750" s="1120">
        <f t="shared" si="875"/>
        <v>0</v>
      </c>
      <c r="BY750" s="1120">
        <f t="shared" si="876"/>
        <v>0</v>
      </c>
      <c r="BZ750" s="1120">
        <f t="shared" si="877"/>
        <v>0</v>
      </c>
      <c r="CA750" s="1120">
        <f t="shared" si="878"/>
        <v>0</v>
      </c>
      <c r="CB750" s="1120">
        <f t="shared" si="879"/>
        <v>1</v>
      </c>
      <c r="CC750" s="1120">
        <f t="shared" si="880"/>
        <v>1</v>
      </c>
      <c r="CD750" s="1120">
        <f t="shared" si="881"/>
        <v>1</v>
      </c>
      <c r="CE750" s="1120">
        <f t="shared" si="882"/>
        <v>1</v>
      </c>
      <c r="CF750" s="1120">
        <f t="shared" si="883"/>
        <v>0</v>
      </c>
      <c r="CG750" s="1120">
        <f t="shared" si="884"/>
        <v>0</v>
      </c>
      <c r="CH750" s="1120">
        <f t="shared" si="885"/>
        <v>0</v>
      </c>
      <c r="CI750" s="1120">
        <f t="shared" si="886"/>
        <v>0.85</v>
      </c>
      <c r="CJ750" s="1120">
        <f t="shared" si="887"/>
        <v>0.85</v>
      </c>
      <c r="CK750" s="1120">
        <f t="shared" si="888"/>
        <v>0.85</v>
      </c>
      <c r="CL750" s="1120">
        <f t="shared" si="889"/>
        <v>0.85</v>
      </c>
      <c r="CM750" s="1120">
        <f t="shared" si="890"/>
        <v>0.85</v>
      </c>
      <c r="CN750" s="1120">
        <f t="shared" si="891"/>
        <v>0.85</v>
      </c>
      <c r="CO750" s="1120">
        <f t="shared" si="892"/>
        <v>0.85</v>
      </c>
      <c r="CP750" s="1120">
        <f t="shared" si="893"/>
        <v>0.7</v>
      </c>
      <c r="CQ750" s="1120">
        <f t="shared" si="894"/>
        <v>0.85</v>
      </c>
      <c r="CR750" s="1120">
        <f t="shared" si="895"/>
        <v>0.85</v>
      </c>
      <c r="CS750" s="1120">
        <f t="shared" si="896"/>
        <v>0.85</v>
      </c>
      <c r="CT750" s="1120">
        <f t="shared" si="897"/>
        <v>0.85</v>
      </c>
      <c r="CU750" s="1120">
        <v>1</v>
      </c>
      <c r="CV750" s="1120"/>
      <c r="CW750" s="1120">
        <f t="shared" si="898"/>
        <v>122</v>
      </c>
      <c r="CX750" s="1120">
        <f t="shared" si="899"/>
        <v>243</v>
      </c>
      <c r="CY750" s="1135" t="s">
        <v>4889</v>
      </c>
      <c r="CZ750" s="1124" t="s">
        <v>4899</v>
      </c>
      <c r="DA750" s="1124"/>
      <c r="DB750" s="1124"/>
      <c r="DC750" s="1120" t="s">
        <v>5292</v>
      </c>
      <c r="DD750" s="1120" t="s">
        <v>903</v>
      </c>
      <c r="DE750" s="1120" t="str">
        <f t="shared" si="900"/>
        <v/>
      </c>
      <c r="DF750" s="1133">
        <v>0</v>
      </c>
      <c r="DG750" s="1120">
        <v>0</v>
      </c>
    </row>
    <row r="751" spans="1:111">
      <c r="A751" s="1125" t="s">
        <v>4204</v>
      </c>
      <c r="B751" s="1125" t="s">
        <v>4244</v>
      </c>
      <c r="C751" s="1125" t="s">
        <v>4245</v>
      </c>
      <c r="D751" s="1125" t="s">
        <v>427</v>
      </c>
      <c r="E751" s="1125">
        <v>36</v>
      </c>
      <c r="F751" s="1125">
        <v>-122.4</v>
      </c>
      <c r="G751" s="1125">
        <v>45.55</v>
      </c>
      <c r="H751" s="1125">
        <v>-8</v>
      </c>
      <c r="I751" s="1126">
        <v>30.019999957084657</v>
      </c>
      <c r="J751" s="1126">
        <v>91.579997253417972</v>
      </c>
      <c r="K751" s="1127">
        <v>60.980000686645511</v>
      </c>
      <c r="L751" s="1125">
        <v>4215.6000000000004</v>
      </c>
      <c r="M751" s="1125">
        <v>369</v>
      </c>
      <c r="N751" s="1128">
        <v>41.359999656677246</v>
      </c>
      <c r="O751" s="1128">
        <v>45.140000343322754</v>
      </c>
      <c r="P751" s="1128">
        <v>44.959999656677248</v>
      </c>
      <c r="Q751" s="1128">
        <v>51.980000686645511</v>
      </c>
      <c r="R751" s="1128">
        <v>55.759999656677245</v>
      </c>
      <c r="S751" s="1128">
        <v>64.219999313354492</v>
      </c>
      <c r="T751" s="1128">
        <v>68.180000686645513</v>
      </c>
      <c r="U751" s="1128">
        <v>67.819999313354487</v>
      </c>
      <c r="V751" s="1128">
        <v>63.139998626708987</v>
      </c>
      <c r="W751" s="1128">
        <v>55.040000343322752</v>
      </c>
      <c r="X751" s="1128">
        <v>45.320000171661377</v>
      </c>
      <c r="Y751" s="1128">
        <v>42.8</v>
      </c>
      <c r="Z751" s="1128">
        <v>53.855451924049689</v>
      </c>
      <c r="AA751" s="1128">
        <f t="shared" si="826"/>
        <v>53.786034127135217</v>
      </c>
      <c r="AB751" s="1128">
        <f t="shared" si="827"/>
        <v>53.193160832333156</v>
      </c>
      <c r="AC751" s="1128">
        <f t="shared" si="828"/>
        <v>54.336916379600503</v>
      </c>
      <c r="AD751" s="1128">
        <f t="shared" si="829"/>
        <v>56.919163259735498</v>
      </c>
      <c r="AE751" s="1128">
        <f t="shared" si="830"/>
        <v>60.266799029802009</v>
      </c>
      <c r="AF751" s="1128">
        <f t="shared" si="831"/>
        <v>63.50721083770339</v>
      </c>
      <c r="AG751" s="1128">
        <f t="shared" si="832"/>
        <v>65.795735409452632</v>
      </c>
      <c r="AH751" s="1128">
        <f t="shared" si="833"/>
        <v>66.53583354819213</v>
      </c>
      <c r="AI751" s="1128">
        <f t="shared" si="834"/>
        <v>65.534587268801857</v>
      </c>
      <c r="AJ751" s="1128">
        <f t="shared" si="835"/>
        <v>63.052986843677118</v>
      </c>
      <c r="AK751" s="1128">
        <f t="shared" si="836"/>
        <v>59.737899666246825</v>
      </c>
      <c r="AL751" s="1128">
        <f t="shared" si="837"/>
        <v>56.453454296347978</v>
      </c>
      <c r="AM751" s="1125">
        <f t="shared" si="838"/>
        <v>1</v>
      </c>
      <c r="AN751" s="1125">
        <f t="shared" si="839"/>
        <v>1</v>
      </c>
      <c r="AO751" s="1125">
        <f t="shared" si="840"/>
        <v>1</v>
      </c>
      <c r="AP751" s="1125">
        <f t="shared" si="841"/>
        <v>1</v>
      </c>
      <c r="AQ751" s="1125">
        <f t="shared" si="842"/>
        <v>1</v>
      </c>
      <c r="AR751" s="1125">
        <f t="shared" si="843"/>
        <v>1</v>
      </c>
      <c r="AS751" s="1125">
        <f t="shared" si="844"/>
        <v>0</v>
      </c>
      <c r="AT751" s="1125">
        <f t="shared" si="845"/>
        <v>0</v>
      </c>
      <c r="AU751" s="1125">
        <f t="shared" si="846"/>
        <v>1</v>
      </c>
      <c r="AV751" s="1125">
        <f t="shared" si="847"/>
        <v>1</v>
      </c>
      <c r="AW751" s="1125">
        <f t="shared" si="848"/>
        <v>1</v>
      </c>
      <c r="AX751" s="1125">
        <f t="shared" si="849"/>
        <v>1</v>
      </c>
      <c r="AY751" s="1125">
        <f t="shared" si="850"/>
        <v>0</v>
      </c>
      <c r="AZ751" s="1125">
        <f t="shared" si="851"/>
        <v>0</v>
      </c>
      <c r="BA751" s="1125">
        <f t="shared" si="852"/>
        <v>0</v>
      </c>
      <c r="BB751" s="1125">
        <f t="shared" si="853"/>
        <v>0</v>
      </c>
      <c r="BC751" s="1125">
        <f t="shared" si="854"/>
        <v>0</v>
      </c>
      <c r="BD751" s="1125">
        <f t="shared" si="855"/>
        <v>0</v>
      </c>
      <c r="BE751" s="1125">
        <f t="shared" si="856"/>
        <v>1</v>
      </c>
      <c r="BF751" s="1125">
        <f t="shared" si="857"/>
        <v>1</v>
      </c>
      <c r="BG751" s="1125">
        <f t="shared" si="858"/>
        <v>0</v>
      </c>
      <c r="BH751" s="1125">
        <f t="shared" si="859"/>
        <v>0</v>
      </c>
      <c r="BI751" s="1125">
        <f t="shared" si="860"/>
        <v>0</v>
      </c>
      <c r="BJ751" s="1125">
        <f t="shared" si="861"/>
        <v>0</v>
      </c>
      <c r="BK751" s="1125">
        <f t="shared" si="862"/>
        <v>1</v>
      </c>
      <c r="BL751" s="1125">
        <f t="shared" si="863"/>
        <v>1</v>
      </c>
      <c r="BM751" s="1125">
        <f t="shared" si="864"/>
        <v>1</v>
      </c>
      <c r="BN751" s="1125">
        <f t="shared" si="865"/>
        <v>1</v>
      </c>
      <c r="BO751" s="1125">
        <f t="shared" si="866"/>
        <v>1</v>
      </c>
      <c r="BP751" s="1125">
        <f t="shared" si="867"/>
        <v>1</v>
      </c>
      <c r="BQ751" s="1125">
        <f t="shared" si="868"/>
        <v>1</v>
      </c>
      <c r="BR751" s="1125">
        <f t="shared" si="869"/>
        <v>0</v>
      </c>
      <c r="BS751" s="1125">
        <f t="shared" si="870"/>
        <v>1</v>
      </c>
      <c r="BT751" s="1125">
        <f t="shared" si="871"/>
        <v>1</v>
      </c>
      <c r="BU751" s="1125">
        <f t="shared" si="872"/>
        <v>1</v>
      </c>
      <c r="BV751" s="1125">
        <f t="shared" si="873"/>
        <v>1</v>
      </c>
      <c r="BW751" s="1125">
        <f t="shared" si="874"/>
        <v>0</v>
      </c>
      <c r="BX751" s="1125">
        <f t="shared" si="875"/>
        <v>0</v>
      </c>
      <c r="BY751" s="1125">
        <f t="shared" si="876"/>
        <v>0</v>
      </c>
      <c r="BZ751" s="1125">
        <f t="shared" si="877"/>
        <v>0</v>
      </c>
      <c r="CA751" s="1125">
        <f t="shared" si="878"/>
        <v>0</v>
      </c>
      <c r="CB751" s="1125">
        <f t="shared" si="879"/>
        <v>1</v>
      </c>
      <c r="CC751" s="1125">
        <f t="shared" si="880"/>
        <v>1</v>
      </c>
      <c r="CD751" s="1125">
        <f t="shared" si="881"/>
        <v>1</v>
      </c>
      <c r="CE751" s="1125">
        <f t="shared" si="882"/>
        <v>1</v>
      </c>
      <c r="CF751" s="1125">
        <f t="shared" si="883"/>
        <v>0</v>
      </c>
      <c r="CG751" s="1125">
        <f t="shared" si="884"/>
        <v>0</v>
      </c>
      <c r="CH751" s="1125">
        <f t="shared" si="885"/>
        <v>0</v>
      </c>
      <c r="CI751" s="1125">
        <f t="shared" si="886"/>
        <v>0.85</v>
      </c>
      <c r="CJ751" s="1125">
        <f t="shared" si="887"/>
        <v>0.85</v>
      </c>
      <c r="CK751" s="1125">
        <f t="shared" si="888"/>
        <v>0.85</v>
      </c>
      <c r="CL751" s="1125">
        <f t="shared" si="889"/>
        <v>0.85</v>
      </c>
      <c r="CM751" s="1125">
        <f t="shared" si="890"/>
        <v>0.85</v>
      </c>
      <c r="CN751" s="1125">
        <f t="shared" si="891"/>
        <v>0.85</v>
      </c>
      <c r="CO751" s="1125">
        <f t="shared" si="892"/>
        <v>0.85</v>
      </c>
      <c r="CP751" s="1125">
        <f t="shared" si="893"/>
        <v>0.7</v>
      </c>
      <c r="CQ751" s="1125">
        <f t="shared" si="894"/>
        <v>0.85</v>
      </c>
      <c r="CR751" s="1125">
        <f t="shared" si="895"/>
        <v>0.85</v>
      </c>
      <c r="CS751" s="1125">
        <f t="shared" si="896"/>
        <v>0.85</v>
      </c>
      <c r="CT751" s="1125">
        <f t="shared" si="897"/>
        <v>0.85</v>
      </c>
      <c r="CU751" s="1125">
        <v>1</v>
      </c>
      <c r="CV751" s="1125"/>
      <c r="CW751" s="1125">
        <f t="shared" si="898"/>
        <v>122</v>
      </c>
      <c r="CX751" s="1125">
        <f t="shared" si="899"/>
        <v>243</v>
      </c>
      <c r="CY751" s="1136" t="s">
        <v>4893</v>
      </c>
      <c r="CZ751" s="1129" t="s">
        <v>4894</v>
      </c>
      <c r="DA751" s="1129"/>
      <c r="DB751" s="1129"/>
      <c r="DC751" s="1125" t="s">
        <v>5992</v>
      </c>
      <c r="DD751" s="1125" t="s">
        <v>427</v>
      </c>
      <c r="DE751" s="1120" t="str">
        <f t="shared" si="900"/>
        <v/>
      </c>
      <c r="DF751" s="1133">
        <v>0</v>
      </c>
      <c r="DG751" s="1125">
        <v>0</v>
      </c>
    </row>
    <row r="752" spans="1:111">
      <c r="A752" s="1120" t="s">
        <v>4206</v>
      </c>
      <c r="B752" s="1120" t="s">
        <v>4146</v>
      </c>
      <c r="C752" s="1120" t="s">
        <v>4147</v>
      </c>
      <c r="D752" s="1120" t="s">
        <v>537</v>
      </c>
      <c r="E752" s="1120">
        <v>154</v>
      </c>
      <c r="F752" s="1120">
        <v>-73.88</v>
      </c>
      <c r="G752" s="1120">
        <v>41.63</v>
      </c>
      <c r="H752" s="1120">
        <v>-5</v>
      </c>
      <c r="I752" s="1121">
        <v>6.0800006866455067</v>
      </c>
      <c r="J752" s="1121">
        <v>88.519999313354489</v>
      </c>
      <c r="K752" s="1122">
        <v>72.680000686645513</v>
      </c>
      <c r="L752" s="1120">
        <v>5740.2</v>
      </c>
      <c r="M752" s="1120">
        <v>662.4</v>
      </c>
      <c r="N752" s="1123">
        <v>24.440000343322755</v>
      </c>
      <c r="O752" s="1123">
        <v>28.580000042915344</v>
      </c>
      <c r="P752" s="1123">
        <v>42.079999828338622</v>
      </c>
      <c r="Q752" s="1123">
        <v>51.8</v>
      </c>
      <c r="R752" s="1123">
        <v>59.540000343322752</v>
      </c>
      <c r="S752" s="1123">
        <v>67.819999313354487</v>
      </c>
      <c r="T752" s="1123">
        <v>70.16000137329101</v>
      </c>
      <c r="U752" s="1123">
        <v>69.980000686645511</v>
      </c>
      <c r="V752" s="1123">
        <v>62.960001373291014</v>
      </c>
      <c r="W752" s="1123">
        <v>49.459999656677248</v>
      </c>
      <c r="X752" s="1123">
        <v>45.859999656677246</v>
      </c>
      <c r="Y752" s="1123">
        <v>31.81999999731779</v>
      </c>
      <c r="Z752" s="1123">
        <v>50.480328987938904</v>
      </c>
      <c r="AA752" s="1123">
        <f t="shared" si="826"/>
        <v>47.109157263126519</v>
      </c>
      <c r="AB752" s="1123">
        <f t="shared" si="827"/>
        <v>45.858373142934838</v>
      </c>
      <c r="AC752" s="1123">
        <f t="shared" si="828"/>
        <v>47.376365503037874</v>
      </c>
      <c r="AD752" s="1123">
        <f t="shared" si="829"/>
        <v>51.2674462418044</v>
      </c>
      <c r="AE752" s="1123">
        <f t="shared" si="830"/>
        <v>56.517345201305659</v>
      </c>
      <c r="AF752" s="1123">
        <f t="shared" si="831"/>
        <v>61.757595314355761</v>
      </c>
      <c r="AG752" s="1123">
        <f t="shared" si="832"/>
        <v>65.622244634289515</v>
      </c>
      <c r="AH752" s="1123">
        <f t="shared" si="833"/>
        <v>67.103912759817447</v>
      </c>
      <c r="AI752" s="1123">
        <f t="shared" si="834"/>
        <v>65.816380060823718</v>
      </c>
      <c r="AJ752" s="1123">
        <f t="shared" si="835"/>
        <v>62.095261776780532</v>
      </c>
      <c r="AK752" s="1123">
        <f t="shared" si="836"/>
        <v>56.910524732592293</v>
      </c>
      <c r="AL752" s="1123">
        <f t="shared" si="837"/>
        <v>51.613650538043053</v>
      </c>
      <c r="AM752" s="1120">
        <f t="shared" si="838"/>
        <v>1</v>
      </c>
      <c r="AN752" s="1120">
        <f t="shared" si="839"/>
        <v>1</v>
      </c>
      <c r="AO752" s="1120">
        <f t="shared" si="840"/>
        <v>1</v>
      </c>
      <c r="AP752" s="1120">
        <f t="shared" si="841"/>
        <v>1</v>
      </c>
      <c r="AQ752" s="1120">
        <f t="shared" si="842"/>
        <v>1</v>
      </c>
      <c r="AR752" s="1120">
        <f t="shared" si="843"/>
        <v>0</v>
      </c>
      <c r="AS752" s="1120">
        <f t="shared" si="844"/>
        <v>0</v>
      </c>
      <c r="AT752" s="1120">
        <f t="shared" si="845"/>
        <v>0</v>
      </c>
      <c r="AU752" s="1120">
        <f t="shared" si="846"/>
        <v>1</v>
      </c>
      <c r="AV752" s="1120">
        <f t="shared" si="847"/>
        <v>1</v>
      </c>
      <c r="AW752" s="1120">
        <f t="shared" si="848"/>
        <v>1</v>
      </c>
      <c r="AX752" s="1120">
        <f t="shared" si="849"/>
        <v>1</v>
      </c>
      <c r="AY752" s="1120">
        <f t="shared" si="850"/>
        <v>0</v>
      </c>
      <c r="AZ752" s="1120">
        <f t="shared" si="851"/>
        <v>0</v>
      </c>
      <c r="BA752" s="1120">
        <f t="shared" si="852"/>
        <v>0</v>
      </c>
      <c r="BB752" s="1120">
        <f t="shared" si="853"/>
        <v>0</v>
      </c>
      <c r="BC752" s="1120">
        <f t="shared" si="854"/>
        <v>0</v>
      </c>
      <c r="BD752" s="1120">
        <f t="shared" si="855"/>
        <v>1</v>
      </c>
      <c r="BE752" s="1120">
        <f t="shared" si="856"/>
        <v>1</v>
      </c>
      <c r="BF752" s="1120">
        <f t="shared" si="857"/>
        <v>1</v>
      </c>
      <c r="BG752" s="1120">
        <f t="shared" si="858"/>
        <v>0</v>
      </c>
      <c r="BH752" s="1120">
        <f t="shared" si="859"/>
        <v>0</v>
      </c>
      <c r="BI752" s="1120">
        <f t="shared" si="860"/>
        <v>0</v>
      </c>
      <c r="BJ752" s="1120">
        <f t="shared" si="861"/>
        <v>0</v>
      </c>
      <c r="BK752" s="1120">
        <f t="shared" si="862"/>
        <v>1</v>
      </c>
      <c r="BL752" s="1120">
        <f t="shared" si="863"/>
        <v>1</v>
      </c>
      <c r="BM752" s="1120">
        <f t="shared" si="864"/>
        <v>1</v>
      </c>
      <c r="BN752" s="1120">
        <f t="shared" si="865"/>
        <v>1</v>
      </c>
      <c r="BO752" s="1120">
        <f t="shared" si="866"/>
        <v>1</v>
      </c>
      <c r="BP752" s="1120">
        <f t="shared" si="867"/>
        <v>1</v>
      </c>
      <c r="BQ752" s="1120">
        <f t="shared" si="868"/>
        <v>0</v>
      </c>
      <c r="BR752" s="1120">
        <f t="shared" si="869"/>
        <v>0</v>
      </c>
      <c r="BS752" s="1120">
        <f t="shared" si="870"/>
        <v>1</v>
      </c>
      <c r="BT752" s="1120">
        <f t="shared" si="871"/>
        <v>1</v>
      </c>
      <c r="BU752" s="1120">
        <f t="shared" si="872"/>
        <v>1</v>
      </c>
      <c r="BV752" s="1120">
        <f t="shared" si="873"/>
        <v>1</v>
      </c>
      <c r="BW752" s="1120">
        <f t="shared" si="874"/>
        <v>0</v>
      </c>
      <c r="BX752" s="1120">
        <f t="shared" si="875"/>
        <v>0</v>
      </c>
      <c r="BY752" s="1120">
        <f t="shared" si="876"/>
        <v>0</v>
      </c>
      <c r="BZ752" s="1120">
        <f t="shared" si="877"/>
        <v>0</v>
      </c>
      <c r="CA752" s="1120">
        <f t="shared" si="878"/>
        <v>1</v>
      </c>
      <c r="CB752" s="1120">
        <f t="shared" si="879"/>
        <v>1</v>
      </c>
      <c r="CC752" s="1120">
        <f t="shared" si="880"/>
        <v>1</v>
      </c>
      <c r="CD752" s="1120">
        <f t="shared" si="881"/>
        <v>1</v>
      </c>
      <c r="CE752" s="1120">
        <f t="shared" si="882"/>
        <v>1</v>
      </c>
      <c r="CF752" s="1120">
        <f t="shared" si="883"/>
        <v>0</v>
      </c>
      <c r="CG752" s="1120">
        <f t="shared" si="884"/>
        <v>0</v>
      </c>
      <c r="CH752" s="1120">
        <f t="shared" si="885"/>
        <v>0</v>
      </c>
      <c r="CI752" s="1120">
        <f t="shared" si="886"/>
        <v>0.85</v>
      </c>
      <c r="CJ752" s="1120">
        <f t="shared" si="887"/>
        <v>0.85</v>
      </c>
      <c r="CK752" s="1120">
        <f t="shared" si="888"/>
        <v>0.85</v>
      </c>
      <c r="CL752" s="1120">
        <f t="shared" si="889"/>
        <v>0.85</v>
      </c>
      <c r="CM752" s="1120">
        <f t="shared" si="890"/>
        <v>0.85</v>
      </c>
      <c r="CN752" s="1120">
        <f t="shared" si="891"/>
        <v>0.85</v>
      </c>
      <c r="CO752" s="1120">
        <f t="shared" si="892"/>
        <v>0.7</v>
      </c>
      <c r="CP752" s="1120">
        <f t="shared" si="893"/>
        <v>0.7</v>
      </c>
      <c r="CQ752" s="1120">
        <f t="shared" si="894"/>
        <v>0.85</v>
      </c>
      <c r="CR752" s="1120">
        <f t="shared" si="895"/>
        <v>0.85</v>
      </c>
      <c r="CS752" s="1120">
        <f t="shared" si="896"/>
        <v>0.85</v>
      </c>
      <c r="CT752" s="1120">
        <f t="shared" si="897"/>
        <v>0.85</v>
      </c>
      <c r="CU752" s="1120">
        <v>1</v>
      </c>
      <c r="CV752" s="1120"/>
      <c r="CW752" s="1120">
        <f t="shared" si="898"/>
        <v>153</v>
      </c>
      <c r="CX752" s="1120">
        <f t="shared" si="899"/>
        <v>212</v>
      </c>
      <c r="CY752" s="1136" t="s">
        <v>4889</v>
      </c>
      <c r="CZ752" s="1129" t="s">
        <v>4897</v>
      </c>
      <c r="DA752" s="1129"/>
      <c r="DB752" s="1129"/>
      <c r="DC752" s="1125" t="s">
        <v>5482</v>
      </c>
      <c r="DD752" s="1125" t="s">
        <v>537</v>
      </c>
      <c r="DE752" s="1120" t="str">
        <f t="shared" si="900"/>
        <v/>
      </c>
      <c r="DF752" s="1133">
        <v>0</v>
      </c>
      <c r="DG752" s="1120">
        <v>0</v>
      </c>
    </row>
    <row r="753" spans="1:111">
      <c r="A753" s="1125" t="s">
        <v>4208</v>
      </c>
      <c r="B753" s="1120" t="s">
        <v>3066</v>
      </c>
      <c r="C753" s="1120" t="s">
        <v>3067</v>
      </c>
      <c r="D753" s="1120" t="s">
        <v>1250</v>
      </c>
      <c r="E753" s="1120">
        <v>5041</v>
      </c>
      <c r="F753" s="1120">
        <v>-112.42</v>
      </c>
      <c r="G753" s="1120">
        <v>34.65</v>
      </c>
      <c r="H753" s="1120">
        <v>-7</v>
      </c>
      <c r="I753" s="1121">
        <v>20.659999656677247</v>
      </c>
      <c r="J753" s="1121">
        <v>91.4</v>
      </c>
      <c r="K753" s="1122">
        <v>60.619999313354491</v>
      </c>
      <c r="L753" s="1120">
        <v>4102.2</v>
      </c>
      <c r="M753" s="1120">
        <v>1141.2</v>
      </c>
      <c r="N753" s="1123">
        <v>35.419999957084656</v>
      </c>
      <c r="O753" s="1123">
        <v>43.340000343322757</v>
      </c>
      <c r="P753" s="1123">
        <v>44.779999828338624</v>
      </c>
      <c r="Q753" s="1123">
        <v>54.140000343322754</v>
      </c>
      <c r="R753" s="1123">
        <v>63.139998626708987</v>
      </c>
      <c r="S753" s="1123">
        <v>73.580000686645505</v>
      </c>
      <c r="T753" s="1123">
        <v>76.099999999999994</v>
      </c>
      <c r="U753" s="1123">
        <v>74.119999313354498</v>
      </c>
      <c r="V753" s="1123">
        <v>68</v>
      </c>
      <c r="W753" s="1123">
        <v>57.559999656677249</v>
      </c>
      <c r="X753" s="1123">
        <v>45.140000343322754</v>
      </c>
      <c r="Y753" s="1123">
        <v>39.740000343322755</v>
      </c>
      <c r="Z753" s="1123">
        <v>56.317753370690021</v>
      </c>
      <c r="AA753" s="1123">
        <f t="shared" si="826"/>
        <v>52.476763657812292</v>
      </c>
      <c r="AB753" s="1123">
        <f t="shared" si="827"/>
        <v>51.760589826788753</v>
      </c>
      <c r="AC753" s="1123">
        <f t="shared" si="828"/>
        <v>53.796303364297898</v>
      </c>
      <c r="AD753" s="1123">
        <f t="shared" si="829"/>
        <v>58.053264165492756</v>
      </c>
      <c r="AE753" s="1123">
        <f t="shared" si="830"/>
        <v>63.421829795790195</v>
      </c>
      <c r="AF753" s="1123">
        <f t="shared" si="831"/>
        <v>68.502600891552547</v>
      </c>
      <c r="AG753" s="1123">
        <f t="shared" si="832"/>
        <v>71.971196169616718</v>
      </c>
      <c r="AH753" s="1123">
        <f t="shared" si="833"/>
        <v>72.923472818084079</v>
      </c>
      <c r="AI753" s="1123">
        <f t="shared" si="834"/>
        <v>71.111205253504224</v>
      </c>
      <c r="AJ753" s="1123">
        <f t="shared" si="835"/>
        <v>67.006788944473456</v>
      </c>
      <c r="AK753" s="1123">
        <f t="shared" si="836"/>
        <v>61.680103252910534</v>
      </c>
      <c r="AL753" s="1123">
        <f t="shared" si="837"/>
        <v>56.519630891032598</v>
      </c>
      <c r="AM753" s="1120">
        <f t="shared" si="838"/>
        <v>1</v>
      </c>
      <c r="AN753" s="1120">
        <f t="shared" si="839"/>
        <v>1</v>
      </c>
      <c r="AO753" s="1120">
        <f t="shared" si="840"/>
        <v>1</v>
      </c>
      <c r="AP753" s="1120">
        <f t="shared" si="841"/>
        <v>1</v>
      </c>
      <c r="AQ753" s="1120">
        <f t="shared" si="842"/>
        <v>1</v>
      </c>
      <c r="AR753" s="1120">
        <f t="shared" si="843"/>
        <v>0</v>
      </c>
      <c r="AS753" s="1120">
        <f t="shared" si="844"/>
        <v>0</v>
      </c>
      <c r="AT753" s="1120">
        <f t="shared" si="845"/>
        <v>0</v>
      </c>
      <c r="AU753" s="1120">
        <f t="shared" si="846"/>
        <v>0</v>
      </c>
      <c r="AV753" s="1120">
        <f t="shared" si="847"/>
        <v>1</v>
      </c>
      <c r="AW753" s="1120">
        <f t="shared" si="848"/>
        <v>1</v>
      </c>
      <c r="AX753" s="1120">
        <f t="shared" si="849"/>
        <v>1</v>
      </c>
      <c r="AY753" s="1120">
        <f t="shared" si="850"/>
        <v>0</v>
      </c>
      <c r="AZ753" s="1120">
        <f t="shared" si="851"/>
        <v>0</v>
      </c>
      <c r="BA753" s="1120">
        <f t="shared" si="852"/>
        <v>0</v>
      </c>
      <c r="BB753" s="1120">
        <f t="shared" si="853"/>
        <v>0</v>
      </c>
      <c r="BC753" s="1120">
        <f t="shared" si="854"/>
        <v>0</v>
      </c>
      <c r="BD753" s="1120">
        <f t="shared" si="855"/>
        <v>1</v>
      </c>
      <c r="BE753" s="1120">
        <f t="shared" si="856"/>
        <v>1</v>
      </c>
      <c r="BF753" s="1120">
        <f t="shared" si="857"/>
        <v>1</v>
      </c>
      <c r="BG753" s="1120">
        <f t="shared" si="858"/>
        <v>1</v>
      </c>
      <c r="BH753" s="1120">
        <f t="shared" si="859"/>
        <v>0</v>
      </c>
      <c r="BI753" s="1120">
        <f t="shared" si="860"/>
        <v>0</v>
      </c>
      <c r="BJ753" s="1120">
        <f t="shared" si="861"/>
        <v>0</v>
      </c>
      <c r="BK753" s="1120">
        <f t="shared" si="862"/>
        <v>1</v>
      </c>
      <c r="BL753" s="1120">
        <f t="shared" si="863"/>
        <v>1</v>
      </c>
      <c r="BM753" s="1120">
        <f t="shared" si="864"/>
        <v>1</v>
      </c>
      <c r="BN753" s="1120">
        <f t="shared" si="865"/>
        <v>1</v>
      </c>
      <c r="BO753" s="1120">
        <f t="shared" si="866"/>
        <v>1</v>
      </c>
      <c r="BP753" s="1120">
        <f t="shared" si="867"/>
        <v>1</v>
      </c>
      <c r="BQ753" s="1120">
        <f t="shared" si="868"/>
        <v>0</v>
      </c>
      <c r="BR753" s="1120">
        <f t="shared" si="869"/>
        <v>0</v>
      </c>
      <c r="BS753" s="1120">
        <f t="shared" si="870"/>
        <v>0</v>
      </c>
      <c r="BT753" s="1120">
        <f t="shared" si="871"/>
        <v>1</v>
      </c>
      <c r="BU753" s="1120">
        <f t="shared" si="872"/>
        <v>1</v>
      </c>
      <c r="BV753" s="1120">
        <f t="shared" si="873"/>
        <v>1</v>
      </c>
      <c r="BW753" s="1120">
        <f t="shared" si="874"/>
        <v>0</v>
      </c>
      <c r="BX753" s="1120">
        <f t="shared" si="875"/>
        <v>0</v>
      </c>
      <c r="BY753" s="1120">
        <f t="shared" si="876"/>
        <v>0</v>
      </c>
      <c r="BZ753" s="1120">
        <f t="shared" si="877"/>
        <v>0</v>
      </c>
      <c r="CA753" s="1120">
        <f t="shared" si="878"/>
        <v>1</v>
      </c>
      <c r="CB753" s="1120">
        <f t="shared" si="879"/>
        <v>1</v>
      </c>
      <c r="CC753" s="1120">
        <f t="shared" si="880"/>
        <v>1</v>
      </c>
      <c r="CD753" s="1120">
        <f t="shared" si="881"/>
        <v>1</v>
      </c>
      <c r="CE753" s="1120">
        <f t="shared" si="882"/>
        <v>1</v>
      </c>
      <c r="CF753" s="1120">
        <f t="shared" si="883"/>
        <v>1</v>
      </c>
      <c r="CG753" s="1120">
        <f t="shared" si="884"/>
        <v>0</v>
      </c>
      <c r="CH753" s="1120">
        <f t="shared" si="885"/>
        <v>0</v>
      </c>
      <c r="CI753" s="1120">
        <f t="shared" si="886"/>
        <v>0.85</v>
      </c>
      <c r="CJ753" s="1120">
        <f t="shared" si="887"/>
        <v>0.85</v>
      </c>
      <c r="CK753" s="1120">
        <f t="shared" si="888"/>
        <v>0.85</v>
      </c>
      <c r="CL753" s="1120">
        <f t="shared" si="889"/>
        <v>0.85</v>
      </c>
      <c r="CM753" s="1120">
        <f t="shared" si="890"/>
        <v>0.85</v>
      </c>
      <c r="CN753" s="1120">
        <f t="shared" si="891"/>
        <v>0.85</v>
      </c>
      <c r="CO753" s="1120">
        <f t="shared" si="892"/>
        <v>0.7</v>
      </c>
      <c r="CP753" s="1120">
        <f t="shared" si="893"/>
        <v>0.7</v>
      </c>
      <c r="CQ753" s="1120">
        <f t="shared" si="894"/>
        <v>0.7</v>
      </c>
      <c r="CR753" s="1120">
        <f t="shared" si="895"/>
        <v>0.85</v>
      </c>
      <c r="CS753" s="1120">
        <f t="shared" si="896"/>
        <v>0.85</v>
      </c>
      <c r="CT753" s="1120">
        <f t="shared" si="897"/>
        <v>0.85</v>
      </c>
      <c r="CU753" s="1120">
        <v>1</v>
      </c>
      <c r="CV753" s="1120"/>
      <c r="CW753" s="1120">
        <f t="shared" si="898"/>
        <v>184</v>
      </c>
      <c r="CX753" s="1120">
        <f t="shared" si="899"/>
        <v>181</v>
      </c>
      <c r="CY753" s="1135" t="s">
        <v>4891</v>
      </c>
      <c r="CZ753" s="1124" t="s">
        <v>4892</v>
      </c>
      <c r="DA753" s="1124"/>
      <c r="DB753" s="1124"/>
      <c r="DC753" s="1120" t="s">
        <v>5002</v>
      </c>
      <c r="DD753" s="1120" t="s">
        <v>1250</v>
      </c>
      <c r="DE753" s="1120" t="str">
        <f t="shared" si="900"/>
        <v/>
      </c>
      <c r="DF753" s="1120">
        <v>0</v>
      </c>
      <c r="DG753" s="1125">
        <v>0</v>
      </c>
    </row>
    <row r="754" spans="1:111">
      <c r="A754" s="1120" t="s">
        <v>4210</v>
      </c>
      <c r="B754" s="1125" t="s">
        <v>3701</v>
      </c>
      <c r="C754" s="1125" t="s">
        <v>3702</v>
      </c>
      <c r="D754" s="1125" t="s">
        <v>903</v>
      </c>
      <c r="E754" s="1125">
        <v>535</v>
      </c>
      <c r="F754" s="1125">
        <v>-68.05</v>
      </c>
      <c r="G754" s="1125">
        <v>46.68</v>
      </c>
      <c r="H754" s="1125">
        <v>-5</v>
      </c>
      <c r="I754" s="1126">
        <v>-14.260001373291017</v>
      </c>
      <c r="J754" s="1126">
        <v>81.680000686645513</v>
      </c>
      <c r="K754" s="1127">
        <v>66.019999313354489</v>
      </c>
      <c r="L754" s="1125">
        <v>8883</v>
      </c>
      <c r="M754" s="1125">
        <v>205.20000000000002</v>
      </c>
      <c r="N754" s="1128">
        <v>11.119999313354493</v>
      </c>
      <c r="O754" s="1128">
        <v>14.719999313354492</v>
      </c>
      <c r="P754" s="1128">
        <v>29.3</v>
      </c>
      <c r="Q754" s="1128">
        <v>38.839999914169312</v>
      </c>
      <c r="R754" s="1128">
        <v>48.919999313354495</v>
      </c>
      <c r="S754" s="1128">
        <v>59.540000343322752</v>
      </c>
      <c r="T754" s="1128">
        <v>63.319999313354494</v>
      </c>
      <c r="U754" s="1128">
        <v>66.739998626708982</v>
      </c>
      <c r="V754" s="1128">
        <v>51.440000343322751</v>
      </c>
      <c r="W754" s="1128">
        <v>42.440000343322751</v>
      </c>
      <c r="X754" s="1128">
        <v>35.960000085830686</v>
      </c>
      <c r="Y754" s="1128">
        <v>23.540000343322752</v>
      </c>
      <c r="Z754" s="1128">
        <v>40.636547715696572</v>
      </c>
      <c r="AA754" s="1128">
        <f t="shared" si="826"/>
        <v>38.588829820716185</v>
      </c>
      <c r="AB754" s="1128">
        <f t="shared" si="827"/>
        <v>36.553269289029053</v>
      </c>
      <c r="AC754" s="1128">
        <f t="shared" si="828"/>
        <v>37.146070667276923</v>
      </c>
      <c r="AD754" s="1128">
        <f t="shared" si="829"/>
        <v>40.212711140873722</v>
      </c>
      <c r="AE754" s="1128">
        <f t="shared" si="830"/>
        <v>44.953823612016251</v>
      </c>
      <c r="AF754" s="1128">
        <f t="shared" si="831"/>
        <v>50.133564052346429</v>
      </c>
      <c r="AG754" s="1128">
        <f t="shared" si="832"/>
        <v>54.401753293875821</v>
      </c>
      <c r="AH754" s="1128">
        <f t="shared" si="833"/>
        <v>56.645822036012589</v>
      </c>
      <c r="AI754" s="1128">
        <f t="shared" si="834"/>
        <v>56.280819178972678</v>
      </c>
      <c r="AJ754" s="1128">
        <f t="shared" si="835"/>
        <v>53.401888342307828</v>
      </c>
      <c r="AK754" s="1128">
        <f t="shared" si="836"/>
        <v>48.759467214261861</v>
      </c>
      <c r="AL754" s="1128">
        <f t="shared" si="837"/>
        <v>43.563674403735099</v>
      </c>
      <c r="AM754" s="1125">
        <f t="shared" si="838"/>
        <v>1</v>
      </c>
      <c r="AN754" s="1125">
        <f t="shared" si="839"/>
        <v>1</v>
      </c>
      <c r="AO754" s="1125">
        <f t="shared" si="840"/>
        <v>1</v>
      </c>
      <c r="AP754" s="1125">
        <f t="shared" si="841"/>
        <v>1</v>
      </c>
      <c r="AQ754" s="1125">
        <f t="shared" si="842"/>
        <v>1</v>
      </c>
      <c r="AR754" s="1125">
        <f t="shared" si="843"/>
        <v>1</v>
      </c>
      <c r="AS754" s="1125">
        <f t="shared" si="844"/>
        <v>1</v>
      </c>
      <c r="AT754" s="1125">
        <f t="shared" si="845"/>
        <v>0</v>
      </c>
      <c r="AU754" s="1125">
        <f t="shared" si="846"/>
        <v>1</v>
      </c>
      <c r="AV754" s="1125">
        <f t="shared" si="847"/>
        <v>1</v>
      </c>
      <c r="AW754" s="1125">
        <f t="shared" si="848"/>
        <v>1</v>
      </c>
      <c r="AX754" s="1125">
        <f t="shared" si="849"/>
        <v>1</v>
      </c>
      <c r="AY754" s="1125">
        <f t="shared" si="850"/>
        <v>0</v>
      </c>
      <c r="AZ754" s="1125">
        <f t="shared" si="851"/>
        <v>0</v>
      </c>
      <c r="BA754" s="1125">
        <f t="shared" si="852"/>
        <v>0</v>
      </c>
      <c r="BB754" s="1125">
        <f t="shared" si="853"/>
        <v>0</v>
      </c>
      <c r="BC754" s="1125">
        <f t="shared" si="854"/>
        <v>0</v>
      </c>
      <c r="BD754" s="1125">
        <f t="shared" si="855"/>
        <v>0</v>
      </c>
      <c r="BE754" s="1125">
        <f t="shared" si="856"/>
        <v>1</v>
      </c>
      <c r="BF754" s="1125">
        <f t="shared" si="857"/>
        <v>1</v>
      </c>
      <c r="BG754" s="1125">
        <f t="shared" si="858"/>
        <v>0</v>
      </c>
      <c r="BH754" s="1125">
        <f t="shared" si="859"/>
        <v>0</v>
      </c>
      <c r="BI754" s="1125">
        <f t="shared" si="860"/>
        <v>0</v>
      </c>
      <c r="BJ754" s="1125">
        <f t="shared" si="861"/>
        <v>0</v>
      </c>
      <c r="BK754" s="1125">
        <f t="shared" si="862"/>
        <v>1</v>
      </c>
      <c r="BL754" s="1125">
        <f t="shared" si="863"/>
        <v>1</v>
      </c>
      <c r="BM754" s="1125">
        <f t="shared" si="864"/>
        <v>1</v>
      </c>
      <c r="BN754" s="1125">
        <f t="shared" si="865"/>
        <v>1</v>
      </c>
      <c r="BO754" s="1125">
        <f t="shared" si="866"/>
        <v>1</v>
      </c>
      <c r="BP754" s="1125">
        <f t="shared" si="867"/>
        <v>1</v>
      </c>
      <c r="BQ754" s="1125">
        <f t="shared" si="868"/>
        <v>1</v>
      </c>
      <c r="BR754" s="1125">
        <f t="shared" si="869"/>
        <v>0</v>
      </c>
      <c r="BS754" s="1125">
        <f t="shared" si="870"/>
        <v>1</v>
      </c>
      <c r="BT754" s="1125">
        <f t="shared" si="871"/>
        <v>1</v>
      </c>
      <c r="BU754" s="1125">
        <f t="shared" si="872"/>
        <v>1</v>
      </c>
      <c r="BV754" s="1125">
        <f t="shared" si="873"/>
        <v>1</v>
      </c>
      <c r="BW754" s="1125">
        <f t="shared" si="874"/>
        <v>0</v>
      </c>
      <c r="BX754" s="1125">
        <f t="shared" si="875"/>
        <v>0</v>
      </c>
      <c r="BY754" s="1125">
        <f t="shared" si="876"/>
        <v>0</v>
      </c>
      <c r="BZ754" s="1125">
        <f t="shared" si="877"/>
        <v>0</v>
      </c>
      <c r="CA754" s="1125">
        <f t="shared" si="878"/>
        <v>0</v>
      </c>
      <c r="CB754" s="1125">
        <f t="shared" si="879"/>
        <v>0</v>
      </c>
      <c r="CC754" s="1125">
        <f t="shared" si="880"/>
        <v>1</v>
      </c>
      <c r="CD754" s="1125">
        <f t="shared" si="881"/>
        <v>1</v>
      </c>
      <c r="CE754" s="1125">
        <f t="shared" si="882"/>
        <v>1</v>
      </c>
      <c r="CF754" s="1125">
        <f t="shared" si="883"/>
        <v>0</v>
      </c>
      <c r="CG754" s="1125">
        <f t="shared" si="884"/>
        <v>0</v>
      </c>
      <c r="CH754" s="1125">
        <f t="shared" si="885"/>
        <v>0</v>
      </c>
      <c r="CI754" s="1125">
        <f t="shared" si="886"/>
        <v>0.85</v>
      </c>
      <c r="CJ754" s="1125">
        <f t="shared" si="887"/>
        <v>0.85</v>
      </c>
      <c r="CK754" s="1125">
        <f t="shared" si="888"/>
        <v>0.85</v>
      </c>
      <c r="CL754" s="1125">
        <f t="shared" si="889"/>
        <v>0.85</v>
      </c>
      <c r="CM754" s="1125">
        <f t="shared" si="890"/>
        <v>0.85</v>
      </c>
      <c r="CN754" s="1125">
        <f t="shared" si="891"/>
        <v>0.85</v>
      </c>
      <c r="CO754" s="1125">
        <f t="shared" si="892"/>
        <v>0.85</v>
      </c>
      <c r="CP754" s="1125">
        <f t="shared" si="893"/>
        <v>0.7</v>
      </c>
      <c r="CQ754" s="1125">
        <f t="shared" si="894"/>
        <v>0.85</v>
      </c>
      <c r="CR754" s="1125">
        <f t="shared" si="895"/>
        <v>0.85</v>
      </c>
      <c r="CS754" s="1125">
        <f t="shared" si="896"/>
        <v>0.85</v>
      </c>
      <c r="CT754" s="1125">
        <f t="shared" si="897"/>
        <v>0.85</v>
      </c>
      <c r="CU754" s="1125">
        <v>1</v>
      </c>
      <c r="CV754" s="1125"/>
      <c r="CW754" s="1125">
        <f t="shared" si="898"/>
        <v>92</v>
      </c>
      <c r="CX754" s="1125">
        <f t="shared" si="899"/>
        <v>273</v>
      </c>
      <c r="CY754" s="1136" t="s">
        <v>4879</v>
      </c>
      <c r="CZ754" s="1129">
        <v>7</v>
      </c>
      <c r="DA754" s="1129"/>
      <c r="DB754" s="1129"/>
      <c r="DC754" s="1125" t="s">
        <v>5293</v>
      </c>
      <c r="DD754" s="1125" t="s">
        <v>903</v>
      </c>
      <c r="DE754" s="1120" t="str">
        <f t="shared" si="900"/>
        <v/>
      </c>
      <c r="DF754" s="1133">
        <v>0</v>
      </c>
      <c r="DG754" s="1120">
        <v>0</v>
      </c>
    </row>
    <row r="755" spans="1:111">
      <c r="A755" s="1125" t="s">
        <v>4212</v>
      </c>
      <c r="B755" s="1125" t="s">
        <v>4294</v>
      </c>
      <c r="C755" s="1125" t="s">
        <v>4295</v>
      </c>
      <c r="D755" s="1125" t="s">
        <v>789</v>
      </c>
      <c r="E755" s="1125">
        <v>52</v>
      </c>
      <c r="F755" s="1125">
        <v>-71.430000000000007</v>
      </c>
      <c r="G755" s="1125">
        <v>41.72</v>
      </c>
      <c r="H755" s="1125">
        <v>-5</v>
      </c>
      <c r="I755" s="1126">
        <v>11.840000343322753</v>
      </c>
      <c r="J755" s="1126">
        <v>86.719999313354492</v>
      </c>
      <c r="K755" s="1127">
        <v>71.780000686645508</v>
      </c>
      <c r="L755" s="1125">
        <v>5698.8</v>
      </c>
      <c r="M755" s="1125">
        <v>784.80000000000007</v>
      </c>
      <c r="N755" s="1128">
        <v>29.119999957084655</v>
      </c>
      <c r="O755" s="1128">
        <v>32.360000005364419</v>
      </c>
      <c r="P755" s="1128">
        <v>38.839999914169312</v>
      </c>
      <c r="Q755" s="1128">
        <v>47.3</v>
      </c>
      <c r="R755" s="1128">
        <v>59.180000686645506</v>
      </c>
      <c r="S755" s="1128">
        <v>66.560001373291016</v>
      </c>
      <c r="T755" s="1128">
        <v>73.939998626708984</v>
      </c>
      <c r="U755" s="1128">
        <v>70.880000686645502</v>
      </c>
      <c r="V755" s="1128">
        <v>64.939998626708984</v>
      </c>
      <c r="W755" s="1128">
        <v>53.419999313354495</v>
      </c>
      <c r="X755" s="1128">
        <v>42.440000343322751</v>
      </c>
      <c r="Y755" s="1128">
        <v>31.1</v>
      </c>
      <c r="Z755" s="1128">
        <v>50.942904068966435</v>
      </c>
      <c r="AA755" s="1128">
        <f t="shared" si="826"/>
        <v>47.625602275554755</v>
      </c>
      <c r="AB755" s="1128">
        <f t="shared" si="827"/>
        <v>46.42887924491346</v>
      </c>
      <c r="AC755" s="1128">
        <f t="shared" si="828"/>
        <v>47.972798810688595</v>
      </c>
      <c r="AD755" s="1128">
        <f t="shared" si="829"/>
        <v>51.854914545540169</v>
      </c>
      <c r="AE755" s="1128">
        <f t="shared" si="830"/>
        <v>57.063293157964758</v>
      </c>
      <c r="AF755" s="1128">
        <f t="shared" si="831"/>
        <v>62.240290499089916</v>
      </c>
      <c r="AG755" s="1128">
        <f t="shared" si="832"/>
        <v>66.036442432007419</v>
      </c>
      <c r="AH755" s="1128">
        <f t="shared" si="833"/>
        <v>67.462223454930239</v>
      </c>
      <c r="AI755" s="1128">
        <f t="shared" si="834"/>
        <v>66.145981772282909</v>
      </c>
      <c r="AJ755" s="1128">
        <f t="shared" si="835"/>
        <v>62.430816062545759</v>
      </c>
      <c r="AK755" s="1128">
        <f t="shared" si="836"/>
        <v>57.28514152039839</v>
      </c>
      <c r="AL755" s="1128">
        <f t="shared" si="837"/>
        <v>52.050257512496508</v>
      </c>
      <c r="AM755" s="1125">
        <f t="shared" si="838"/>
        <v>1</v>
      </c>
      <c r="AN755" s="1125">
        <f t="shared" si="839"/>
        <v>1</v>
      </c>
      <c r="AO755" s="1125">
        <f t="shared" si="840"/>
        <v>1</v>
      </c>
      <c r="AP755" s="1125">
        <f t="shared" si="841"/>
        <v>1</v>
      </c>
      <c r="AQ755" s="1125">
        <f t="shared" si="842"/>
        <v>1</v>
      </c>
      <c r="AR755" s="1125">
        <f t="shared" si="843"/>
        <v>0</v>
      </c>
      <c r="AS755" s="1125">
        <f t="shared" si="844"/>
        <v>0</v>
      </c>
      <c r="AT755" s="1125">
        <f t="shared" si="845"/>
        <v>0</v>
      </c>
      <c r="AU755" s="1125">
        <f t="shared" si="846"/>
        <v>1</v>
      </c>
      <c r="AV755" s="1125">
        <f t="shared" si="847"/>
        <v>1</v>
      </c>
      <c r="AW755" s="1125">
        <f t="shared" si="848"/>
        <v>1</v>
      </c>
      <c r="AX755" s="1125">
        <f t="shared" si="849"/>
        <v>1</v>
      </c>
      <c r="AY755" s="1125">
        <f t="shared" si="850"/>
        <v>0</v>
      </c>
      <c r="AZ755" s="1125">
        <f t="shared" si="851"/>
        <v>0</v>
      </c>
      <c r="BA755" s="1125">
        <f t="shared" si="852"/>
        <v>0</v>
      </c>
      <c r="BB755" s="1125">
        <f t="shared" si="853"/>
        <v>0</v>
      </c>
      <c r="BC755" s="1125">
        <f t="shared" si="854"/>
        <v>0</v>
      </c>
      <c r="BD755" s="1125">
        <f t="shared" si="855"/>
        <v>1</v>
      </c>
      <c r="BE755" s="1125">
        <f t="shared" si="856"/>
        <v>1</v>
      </c>
      <c r="BF755" s="1125">
        <f t="shared" si="857"/>
        <v>1</v>
      </c>
      <c r="BG755" s="1125">
        <f t="shared" si="858"/>
        <v>0</v>
      </c>
      <c r="BH755" s="1125">
        <f t="shared" si="859"/>
        <v>0</v>
      </c>
      <c r="BI755" s="1125">
        <f t="shared" si="860"/>
        <v>0</v>
      </c>
      <c r="BJ755" s="1125">
        <f t="shared" si="861"/>
        <v>0</v>
      </c>
      <c r="BK755" s="1125">
        <f t="shared" si="862"/>
        <v>1</v>
      </c>
      <c r="BL755" s="1125">
        <f t="shared" si="863"/>
        <v>1</v>
      </c>
      <c r="BM755" s="1125">
        <f t="shared" si="864"/>
        <v>1</v>
      </c>
      <c r="BN755" s="1125">
        <f t="shared" si="865"/>
        <v>1</v>
      </c>
      <c r="BO755" s="1125">
        <f t="shared" si="866"/>
        <v>1</v>
      </c>
      <c r="BP755" s="1125">
        <f t="shared" si="867"/>
        <v>1</v>
      </c>
      <c r="BQ755" s="1125">
        <f t="shared" si="868"/>
        <v>0</v>
      </c>
      <c r="BR755" s="1125">
        <f t="shared" si="869"/>
        <v>0</v>
      </c>
      <c r="BS755" s="1125">
        <f t="shared" si="870"/>
        <v>1</v>
      </c>
      <c r="BT755" s="1125">
        <f t="shared" si="871"/>
        <v>1</v>
      </c>
      <c r="BU755" s="1125">
        <f t="shared" si="872"/>
        <v>1</v>
      </c>
      <c r="BV755" s="1125">
        <f t="shared" si="873"/>
        <v>1</v>
      </c>
      <c r="BW755" s="1125">
        <f t="shared" si="874"/>
        <v>0</v>
      </c>
      <c r="BX755" s="1125">
        <f t="shared" si="875"/>
        <v>0</v>
      </c>
      <c r="BY755" s="1125">
        <f t="shared" si="876"/>
        <v>0</v>
      </c>
      <c r="BZ755" s="1125">
        <f t="shared" si="877"/>
        <v>0</v>
      </c>
      <c r="CA755" s="1125">
        <f t="shared" si="878"/>
        <v>1</v>
      </c>
      <c r="CB755" s="1125">
        <f t="shared" si="879"/>
        <v>1</v>
      </c>
      <c r="CC755" s="1125">
        <f t="shared" si="880"/>
        <v>1</v>
      </c>
      <c r="CD755" s="1125">
        <f t="shared" si="881"/>
        <v>1</v>
      </c>
      <c r="CE755" s="1125">
        <f t="shared" si="882"/>
        <v>1</v>
      </c>
      <c r="CF755" s="1125">
        <f t="shared" si="883"/>
        <v>0</v>
      </c>
      <c r="CG755" s="1125">
        <f t="shared" si="884"/>
        <v>0</v>
      </c>
      <c r="CH755" s="1125">
        <f t="shared" si="885"/>
        <v>0</v>
      </c>
      <c r="CI755" s="1125">
        <f t="shared" si="886"/>
        <v>0.85</v>
      </c>
      <c r="CJ755" s="1125">
        <f t="shared" si="887"/>
        <v>0.85</v>
      </c>
      <c r="CK755" s="1125">
        <f t="shared" si="888"/>
        <v>0.85</v>
      </c>
      <c r="CL755" s="1125">
        <f t="shared" si="889"/>
        <v>0.85</v>
      </c>
      <c r="CM755" s="1125">
        <f t="shared" si="890"/>
        <v>0.85</v>
      </c>
      <c r="CN755" s="1125">
        <f t="shared" si="891"/>
        <v>0.85</v>
      </c>
      <c r="CO755" s="1125">
        <f t="shared" si="892"/>
        <v>0.7</v>
      </c>
      <c r="CP755" s="1125">
        <f t="shared" si="893"/>
        <v>0.7</v>
      </c>
      <c r="CQ755" s="1125">
        <f t="shared" si="894"/>
        <v>0.85</v>
      </c>
      <c r="CR755" s="1125">
        <f t="shared" si="895"/>
        <v>0.85</v>
      </c>
      <c r="CS755" s="1125">
        <f t="shared" si="896"/>
        <v>0.85</v>
      </c>
      <c r="CT755" s="1125">
        <f t="shared" si="897"/>
        <v>0.85</v>
      </c>
      <c r="CU755" s="1125">
        <v>1</v>
      </c>
      <c r="CV755" s="1125"/>
      <c r="CW755" s="1125">
        <f t="shared" si="898"/>
        <v>153</v>
      </c>
      <c r="CX755" s="1125">
        <f t="shared" si="899"/>
        <v>212</v>
      </c>
      <c r="CY755" s="1136" t="s">
        <v>4889</v>
      </c>
      <c r="CZ755" s="1129" t="s">
        <v>4897</v>
      </c>
      <c r="DA755" s="1129"/>
      <c r="DB755" s="1129"/>
      <c r="DC755" s="1125" t="s">
        <v>5547</v>
      </c>
      <c r="DD755" s="1125" t="s">
        <v>789</v>
      </c>
      <c r="DE755" s="1120" t="str">
        <f t="shared" si="900"/>
        <v/>
      </c>
      <c r="DF755" s="1133">
        <v>0</v>
      </c>
      <c r="DG755" s="1125">
        <v>0</v>
      </c>
    </row>
    <row r="756" spans="1:111">
      <c r="A756" s="1120" t="s">
        <v>4214</v>
      </c>
      <c r="B756" s="1125" t="s">
        <v>5852</v>
      </c>
      <c r="C756" s="1125" t="s">
        <v>5853</v>
      </c>
      <c r="D756" s="1125" t="s">
        <v>250</v>
      </c>
      <c r="E756" s="1125">
        <v>7</v>
      </c>
      <c r="F756" s="1125">
        <v>-70.22</v>
      </c>
      <c r="G756" s="1125">
        <v>42.07</v>
      </c>
      <c r="H756" s="1125">
        <v>-5</v>
      </c>
      <c r="I756" s="1126">
        <v>17.600000000000001</v>
      </c>
      <c r="J756" s="1126">
        <v>80.780000686645508</v>
      </c>
      <c r="K756" s="1127">
        <v>69.619999313354498</v>
      </c>
      <c r="L756" s="1125">
        <v>5506.2</v>
      </c>
      <c r="M756" s="1125">
        <v>583.20000000000005</v>
      </c>
      <c r="N756" s="1128">
        <v>31.1</v>
      </c>
      <c r="O756" s="1128">
        <v>35.419999957084656</v>
      </c>
      <c r="P756" s="1128">
        <v>34.700000000000003</v>
      </c>
      <c r="Q756" s="1128">
        <v>45.859999656677246</v>
      </c>
      <c r="R756" s="1128">
        <v>52.159999656677243</v>
      </c>
      <c r="S756" s="1128">
        <v>61.519999313354496</v>
      </c>
      <c r="T756" s="1128">
        <v>71.960001373291021</v>
      </c>
      <c r="U756" s="1128">
        <v>71.419999313354495</v>
      </c>
      <c r="V756" s="1128">
        <v>65.66000137329101</v>
      </c>
      <c r="W756" s="1128">
        <v>54.859999656677246</v>
      </c>
      <c r="X756" s="1128">
        <v>46.580000686645505</v>
      </c>
      <c r="Y756" s="1128">
        <v>39.02000017166138</v>
      </c>
      <c r="Z756" s="1128">
        <v>50.937479547997043</v>
      </c>
      <c r="AA756" s="1128">
        <f t="shared" si="826"/>
        <v>48.444789830847185</v>
      </c>
      <c r="AB756" s="1128">
        <f t="shared" si="827"/>
        <v>47.353481829155079</v>
      </c>
      <c r="AC756" s="1128">
        <f t="shared" si="828"/>
        <v>48.760390526754634</v>
      </c>
      <c r="AD756" s="1128">
        <f t="shared" si="829"/>
        <v>52.298783490497215</v>
      </c>
      <c r="AE756" s="1128">
        <f t="shared" si="830"/>
        <v>57.046324066097192</v>
      </c>
      <c r="AF756" s="1128">
        <f t="shared" si="831"/>
        <v>61.765492640709567</v>
      </c>
      <c r="AG756" s="1128">
        <f t="shared" si="832"/>
        <v>65.226165200772542</v>
      </c>
      <c r="AH756" s="1128">
        <f t="shared" si="833"/>
        <v>66.526264112927237</v>
      </c>
      <c r="AI756" s="1128">
        <f t="shared" si="834"/>
        <v>65.326898560589839</v>
      </c>
      <c r="AJ756" s="1128">
        <f t="shared" si="835"/>
        <v>61.940701657759739</v>
      </c>
      <c r="AK756" s="1128">
        <f t="shared" si="836"/>
        <v>57.250337810033407</v>
      </c>
      <c r="AL756" s="1128">
        <f t="shared" si="837"/>
        <v>52.478422635015555</v>
      </c>
      <c r="AM756" s="1125">
        <f t="shared" si="838"/>
        <v>1</v>
      </c>
      <c r="AN756" s="1125">
        <f t="shared" si="839"/>
        <v>1</v>
      </c>
      <c r="AO756" s="1125">
        <f t="shared" si="840"/>
        <v>1</v>
      </c>
      <c r="AP756" s="1125">
        <f t="shared" si="841"/>
        <v>1</v>
      </c>
      <c r="AQ756" s="1125">
        <f t="shared" si="842"/>
        <v>1</v>
      </c>
      <c r="AR756" s="1125">
        <f t="shared" si="843"/>
        <v>1</v>
      </c>
      <c r="AS756" s="1125">
        <f t="shared" si="844"/>
        <v>0</v>
      </c>
      <c r="AT756" s="1125">
        <f t="shared" si="845"/>
        <v>0</v>
      </c>
      <c r="AU756" s="1125">
        <f t="shared" si="846"/>
        <v>1</v>
      </c>
      <c r="AV756" s="1125">
        <f t="shared" si="847"/>
        <v>1</v>
      </c>
      <c r="AW756" s="1125">
        <f t="shared" si="848"/>
        <v>1</v>
      </c>
      <c r="AX756" s="1125">
        <f t="shared" si="849"/>
        <v>1</v>
      </c>
      <c r="AY756" s="1125">
        <f t="shared" si="850"/>
        <v>0</v>
      </c>
      <c r="AZ756" s="1125">
        <f t="shared" si="851"/>
        <v>0</v>
      </c>
      <c r="BA756" s="1125">
        <f t="shared" si="852"/>
        <v>0</v>
      </c>
      <c r="BB756" s="1125">
        <f t="shared" si="853"/>
        <v>0</v>
      </c>
      <c r="BC756" s="1125">
        <f t="shared" si="854"/>
        <v>0</v>
      </c>
      <c r="BD756" s="1125">
        <f t="shared" si="855"/>
        <v>0</v>
      </c>
      <c r="BE756" s="1125">
        <f t="shared" si="856"/>
        <v>1</v>
      </c>
      <c r="BF756" s="1125">
        <f t="shared" si="857"/>
        <v>1</v>
      </c>
      <c r="BG756" s="1125">
        <f t="shared" si="858"/>
        <v>0</v>
      </c>
      <c r="BH756" s="1125">
        <f t="shared" si="859"/>
        <v>0</v>
      </c>
      <c r="BI756" s="1125">
        <f t="shared" si="860"/>
        <v>0</v>
      </c>
      <c r="BJ756" s="1125">
        <f t="shared" si="861"/>
        <v>0</v>
      </c>
      <c r="BK756" s="1125">
        <f t="shared" si="862"/>
        <v>1</v>
      </c>
      <c r="BL756" s="1125">
        <f t="shared" si="863"/>
        <v>1</v>
      </c>
      <c r="BM756" s="1125">
        <f t="shared" si="864"/>
        <v>1</v>
      </c>
      <c r="BN756" s="1125">
        <f t="shared" si="865"/>
        <v>1</v>
      </c>
      <c r="BO756" s="1125">
        <f t="shared" si="866"/>
        <v>1</v>
      </c>
      <c r="BP756" s="1125">
        <f t="shared" si="867"/>
        <v>1</v>
      </c>
      <c r="BQ756" s="1125">
        <f t="shared" si="868"/>
        <v>1</v>
      </c>
      <c r="BR756" s="1125">
        <f t="shared" si="869"/>
        <v>0</v>
      </c>
      <c r="BS756" s="1125">
        <f t="shared" si="870"/>
        <v>1</v>
      </c>
      <c r="BT756" s="1125">
        <f t="shared" si="871"/>
        <v>1</v>
      </c>
      <c r="BU756" s="1125">
        <f t="shared" si="872"/>
        <v>1</v>
      </c>
      <c r="BV756" s="1125">
        <f t="shared" si="873"/>
        <v>1</v>
      </c>
      <c r="BW756" s="1125">
        <f t="shared" si="874"/>
        <v>0</v>
      </c>
      <c r="BX756" s="1125">
        <f t="shared" si="875"/>
        <v>0</v>
      </c>
      <c r="BY756" s="1125">
        <f t="shared" si="876"/>
        <v>0</v>
      </c>
      <c r="BZ756" s="1125">
        <f t="shared" si="877"/>
        <v>0</v>
      </c>
      <c r="CA756" s="1125">
        <f t="shared" si="878"/>
        <v>0</v>
      </c>
      <c r="CB756" s="1125">
        <f t="shared" si="879"/>
        <v>1</v>
      </c>
      <c r="CC756" s="1125">
        <f t="shared" si="880"/>
        <v>1</v>
      </c>
      <c r="CD756" s="1125">
        <f t="shared" si="881"/>
        <v>1</v>
      </c>
      <c r="CE756" s="1125">
        <f t="shared" si="882"/>
        <v>1</v>
      </c>
      <c r="CF756" s="1125">
        <f t="shared" si="883"/>
        <v>0</v>
      </c>
      <c r="CG756" s="1125">
        <f t="shared" si="884"/>
        <v>0</v>
      </c>
      <c r="CH756" s="1125">
        <f t="shared" si="885"/>
        <v>0</v>
      </c>
      <c r="CI756" s="1125">
        <f t="shared" si="886"/>
        <v>0.85</v>
      </c>
      <c r="CJ756" s="1125">
        <f t="shared" si="887"/>
        <v>0.85</v>
      </c>
      <c r="CK756" s="1125">
        <f t="shared" si="888"/>
        <v>0.85</v>
      </c>
      <c r="CL756" s="1125">
        <f t="shared" si="889"/>
        <v>0.85</v>
      </c>
      <c r="CM756" s="1125">
        <f t="shared" si="890"/>
        <v>0.85</v>
      </c>
      <c r="CN756" s="1125">
        <f t="shared" si="891"/>
        <v>0.85</v>
      </c>
      <c r="CO756" s="1125">
        <f t="shared" si="892"/>
        <v>0.85</v>
      </c>
      <c r="CP756" s="1125">
        <f t="shared" si="893"/>
        <v>0.7</v>
      </c>
      <c r="CQ756" s="1125">
        <f t="shared" si="894"/>
        <v>0.85</v>
      </c>
      <c r="CR756" s="1125">
        <f t="shared" si="895"/>
        <v>0.85</v>
      </c>
      <c r="CS756" s="1125">
        <f t="shared" si="896"/>
        <v>0.85</v>
      </c>
      <c r="CT756" s="1125">
        <f t="shared" si="897"/>
        <v>0.85</v>
      </c>
      <c r="CU756" s="1125">
        <v>1</v>
      </c>
      <c r="CV756" s="1125"/>
      <c r="CW756" s="1125">
        <f t="shared" si="898"/>
        <v>122</v>
      </c>
      <c r="CX756" s="1125">
        <f t="shared" si="899"/>
        <v>243</v>
      </c>
      <c r="CY756" s="1136" t="s">
        <v>4889</v>
      </c>
      <c r="CZ756" s="1129" t="s">
        <v>4897</v>
      </c>
      <c r="DA756" s="1129"/>
      <c r="DB756" s="1129"/>
      <c r="DC756" s="1125" t="s">
        <v>5736</v>
      </c>
      <c r="DD756" s="1125" t="s">
        <v>250</v>
      </c>
      <c r="DE756" s="1120" t="str">
        <f t="shared" si="900"/>
        <v/>
      </c>
      <c r="DF756" s="1133">
        <v>0</v>
      </c>
      <c r="DG756" s="1120">
        <v>0</v>
      </c>
    </row>
    <row r="757" spans="1:111">
      <c r="A757" s="1125" t="s">
        <v>4216</v>
      </c>
      <c r="B757" s="1120" t="s">
        <v>5931</v>
      </c>
      <c r="C757" s="1120" t="s">
        <v>5932</v>
      </c>
      <c r="D757" s="1120" t="s">
        <v>905</v>
      </c>
      <c r="E757" s="1120">
        <v>4490</v>
      </c>
      <c r="F757" s="1120">
        <v>-111.72</v>
      </c>
      <c r="G757" s="1120">
        <v>40.22</v>
      </c>
      <c r="H757" s="1120">
        <v>-7</v>
      </c>
      <c r="I757" s="1121">
        <v>12.559999656677245</v>
      </c>
      <c r="J757" s="1121">
        <v>91.22000274658204</v>
      </c>
      <c r="K757" s="1122">
        <v>62.239998626708989</v>
      </c>
      <c r="L757" s="1120">
        <v>5671.8</v>
      </c>
      <c r="M757" s="1120">
        <v>928.80000000000007</v>
      </c>
      <c r="N757" s="1123">
        <v>33.259999978542325</v>
      </c>
      <c r="O757" s="1123">
        <v>33.440000021457671</v>
      </c>
      <c r="P757" s="1123">
        <v>41.540000343322752</v>
      </c>
      <c r="Q757" s="1123">
        <v>51.259999656677245</v>
      </c>
      <c r="R757" s="1123">
        <v>59.540000343322752</v>
      </c>
      <c r="S757" s="1123">
        <v>69.260001373291018</v>
      </c>
      <c r="T757" s="1123">
        <v>77.180000686645513</v>
      </c>
      <c r="U757" s="1123">
        <v>73.039998626708979</v>
      </c>
      <c r="V757" s="1123">
        <v>61.7</v>
      </c>
      <c r="W757" s="1123">
        <v>48.019999313354489</v>
      </c>
      <c r="X757" s="1123">
        <v>37.579999828338622</v>
      </c>
      <c r="Y757" s="1123">
        <v>29.660000085830688</v>
      </c>
      <c r="Z757" s="1123">
        <v>51.396602759067328</v>
      </c>
      <c r="AA757" s="1123">
        <f t="shared" si="826"/>
        <v>47.38202313394784</v>
      </c>
      <c r="AB757" s="1123">
        <f t="shared" si="827"/>
        <v>46.144746212055082</v>
      </c>
      <c r="AC757" s="1123">
        <f t="shared" si="828"/>
        <v>47.840439095499121</v>
      </c>
      <c r="AD757" s="1123">
        <f t="shared" si="829"/>
        <v>52.02709330279194</v>
      </c>
      <c r="AE757" s="1123">
        <f t="shared" si="830"/>
        <v>57.61339289650838</v>
      </c>
      <c r="AF757" s="1123">
        <f t="shared" si="831"/>
        <v>63.143182800063663</v>
      </c>
      <c r="AG757" s="1123">
        <f t="shared" si="832"/>
        <v>67.17503805845422</v>
      </c>
      <c r="AH757" s="1123">
        <f t="shared" si="833"/>
        <v>68.65799346581025</v>
      </c>
      <c r="AI757" s="1123">
        <f t="shared" si="834"/>
        <v>67.205493842169844</v>
      </c>
      <c r="AJ757" s="1123">
        <f t="shared" si="835"/>
        <v>63.196155598131611</v>
      </c>
      <c r="AK757" s="1123">
        <f t="shared" si="836"/>
        <v>57.675074532776712</v>
      </c>
      <c r="AL757" s="1123">
        <f t="shared" si="837"/>
        <v>52.081405508224506</v>
      </c>
      <c r="AM757" s="1120">
        <f t="shared" si="838"/>
        <v>1</v>
      </c>
      <c r="AN757" s="1120">
        <f t="shared" si="839"/>
        <v>1</v>
      </c>
      <c r="AO757" s="1120">
        <f t="shared" si="840"/>
        <v>1</v>
      </c>
      <c r="AP757" s="1120">
        <f t="shared" si="841"/>
        <v>1</v>
      </c>
      <c r="AQ757" s="1120">
        <f t="shared" si="842"/>
        <v>1</v>
      </c>
      <c r="AR757" s="1120">
        <f t="shared" si="843"/>
        <v>0</v>
      </c>
      <c r="AS757" s="1120">
        <f t="shared" si="844"/>
        <v>0</v>
      </c>
      <c r="AT757" s="1120">
        <f t="shared" si="845"/>
        <v>0</v>
      </c>
      <c r="AU757" s="1120">
        <f t="shared" si="846"/>
        <v>1</v>
      </c>
      <c r="AV757" s="1120">
        <f t="shared" si="847"/>
        <v>1</v>
      </c>
      <c r="AW757" s="1120">
        <f t="shared" si="848"/>
        <v>1</v>
      </c>
      <c r="AX757" s="1120">
        <f t="shared" si="849"/>
        <v>1</v>
      </c>
      <c r="AY757" s="1120">
        <f t="shared" si="850"/>
        <v>0</v>
      </c>
      <c r="AZ757" s="1120">
        <f t="shared" si="851"/>
        <v>0</v>
      </c>
      <c r="BA757" s="1120">
        <f t="shared" si="852"/>
        <v>0</v>
      </c>
      <c r="BB757" s="1120">
        <f t="shared" si="853"/>
        <v>0</v>
      </c>
      <c r="BC757" s="1120">
        <f t="shared" si="854"/>
        <v>0</v>
      </c>
      <c r="BD757" s="1120">
        <f t="shared" si="855"/>
        <v>1</v>
      </c>
      <c r="BE757" s="1120">
        <f t="shared" si="856"/>
        <v>1</v>
      </c>
      <c r="BF757" s="1120">
        <f t="shared" si="857"/>
        <v>1</v>
      </c>
      <c r="BG757" s="1120">
        <f t="shared" si="858"/>
        <v>0</v>
      </c>
      <c r="BH757" s="1120">
        <f t="shared" si="859"/>
        <v>0</v>
      </c>
      <c r="BI757" s="1120">
        <f t="shared" si="860"/>
        <v>0</v>
      </c>
      <c r="BJ757" s="1120">
        <f t="shared" si="861"/>
        <v>0</v>
      </c>
      <c r="BK757" s="1120">
        <f t="shared" si="862"/>
        <v>1</v>
      </c>
      <c r="BL757" s="1120">
        <f t="shared" si="863"/>
        <v>1</v>
      </c>
      <c r="BM757" s="1120">
        <f t="shared" si="864"/>
        <v>1</v>
      </c>
      <c r="BN757" s="1120">
        <f t="shared" si="865"/>
        <v>1</v>
      </c>
      <c r="BO757" s="1120">
        <f t="shared" si="866"/>
        <v>1</v>
      </c>
      <c r="BP757" s="1120">
        <f t="shared" si="867"/>
        <v>1</v>
      </c>
      <c r="BQ757" s="1120">
        <f t="shared" si="868"/>
        <v>0</v>
      </c>
      <c r="BR757" s="1120">
        <f t="shared" si="869"/>
        <v>0</v>
      </c>
      <c r="BS757" s="1120">
        <f t="shared" si="870"/>
        <v>1</v>
      </c>
      <c r="BT757" s="1120">
        <f t="shared" si="871"/>
        <v>1</v>
      </c>
      <c r="BU757" s="1120">
        <f t="shared" si="872"/>
        <v>1</v>
      </c>
      <c r="BV757" s="1120">
        <f t="shared" si="873"/>
        <v>1</v>
      </c>
      <c r="BW757" s="1120">
        <f t="shared" si="874"/>
        <v>0</v>
      </c>
      <c r="BX757" s="1120">
        <f t="shared" si="875"/>
        <v>0</v>
      </c>
      <c r="BY757" s="1120">
        <f t="shared" si="876"/>
        <v>0</v>
      </c>
      <c r="BZ757" s="1120">
        <f t="shared" si="877"/>
        <v>0</v>
      </c>
      <c r="CA757" s="1120">
        <f t="shared" si="878"/>
        <v>1</v>
      </c>
      <c r="CB757" s="1120">
        <f t="shared" si="879"/>
        <v>1</v>
      </c>
      <c r="CC757" s="1120">
        <f t="shared" si="880"/>
        <v>1</v>
      </c>
      <c r="CD757" s="1120">
        <f t="shared" si="881"/>
        <v>1</v>
      </c>
      <c r="CE757" s="1120">
        <f t="shared" si="882"/>
        <v>1</v>
      </c>
      <c r="CF757" s="1120">
        <f t="shared" si="883"/>
        <v>0</v>
      </c>
      <c r="CG757" s="1120">
        <f t="shared" si="884"/>
        <v>0</v>
      </c>
      <c r="CH757" s="1120">
        <f t="shared" si="885"/>
        <v>0</v>
      </c>
      <c r="CI757" s="1120">
        <f t="shared" si="886"/>
        <v>0.85</v>
      </c>
      <c r="CJ757" s="1120">
        <f t="shared" si="887"/>
        <v>0.85</v>
      </c>
      <c r="CK757" s="1120">
        <f t="shared" si="888"/>
        <v>0.85</v>
      </c>
      <c r="CL757" s="1120">
        <f t="shared" si="889"/>
        <v>0.85</v>
      </c>
      <c r="CM757" s="1120">
        <f t="shared" si="890"/>
        <v>0.85</v>
      </c>
      <c r="CN757" s="1120">
        <f t="shared" si="891"/>
        <v>0.85</v>
      </c>
      <c r="CO757" s="1120">
        <f t="shared" si="892"/>
        <v>0.7</v>
      </c>
      <c r="CP757" s="1120">
        <f t="shared" si="893"/>
        <v>0.7</v>
      </c>
      <c r="CQ757" s="1120">
        <f t="shared" si="894"/>
        <v>0.85</v>
      </c>
      <c r="CR757" s="1120">
        <f t="shared" si="895"/>
        <v>0.85</v>
      </c>
      <c r="CS757" s="1120">
        <f t="shared" si="896"/>
        <v>0.85</v>
      </c>
      <c r="CT757" s="1120">
        <f t="shared" si="897"/>
        <v>0.85</v>
      </c>
      <c r="CU757" s="1120">
        <v>1</v>
      </c>
      <c r="CV757" s="1120"/>
      <c r="CW757" s="1120">
        <f t="shared" si="898"/>
        <v>153</v>
      </c>
      <c r="CX757" s="1120">
        <f t="shared" si="899"/>
        <v>212</v>
      </c>
      <c r="CY757" s="1135" t="s">
        <v>4889</v>
      </c>
      <c r="CZ757" s="1124" t="s">
        <v>4890</v>
      </c>
      <c r="DA757" s="1124"/>
      <c r="DB757" s="1124"/>
      <c r="DC757" s="1120" t="s">
        <v>5787</v>
      </c>
      <c r="DD757" s="1120" t="s">
        <v>905</v>
      </c>
      <c r="DE757" s="1120" t="str">
        <f t="shared" si="900"/>
        <v/>
      </c>
      <c r="DF757" s="1133">
        <v>0</v>
      </c>
      <c r="DG757" s="1125">
        <v>0</v>
      </c>
    </row>
    <row r="758" spans="1:111">
      <c r="A758" s="1120" t="s">
        <v>4218</v>
      </c>
      <c r="B758" s="1125" t="s">
        <v>3242</v>
      </c>
      <c r="C758" s="1125" t="s">
        <v>3243</v>
      </c>
      <c r="D758" s="1125" t="s">
        <v>536</v>
      </c>
      <c r="E758" s="1125">
        <v>4684</v>
      </c>
      <c r="F758" s="1125">
        <v>-104.5</v>
      </c>
      <c r="G758" s="1125">
        <v>38.28</v>
      </c>
      <c r="H758" s="1125">
        <v>-7</v>
      </c>
      <c r="I758" s="1126">
        <v>5.3599996566772452</v>
      </c>
      <c r="J758" s="1126">
        <v>95.72000274658204</v>
      </c>
      <c r="K758" s="1127">
        <v>62.419999313354495</v>
      </c>
      <c r="L758" s="1125">
        <v>5173.2</v>
      </c>
      <c r="M758" s="1125">
        <v>1026</v>
      </c>
      <c r="N758" s="1128">
        <v>29.3</v>
      </c>
      <c r="O758" s="1128">
        <v>33.080000042915344</v>
      </c>
      <c r="P758" s="1128">
        <v>45.140000343322754</v>
      </c>
      <c r="Q758" s="1128">
        <v>54.680000686645506</v>
      </c>
      <c r="R758" s="1128">
        <v>59.540000343322752</v>
      </c>
      <c r="S758" s="1128">
        <v>71.960001373291021</v>
      </c>
      <c r="T758" s="1128">
        <v>75.919999313354495</v>
      </c>
      <c r="U758" s="1128">
        <v>73.400000000000006</v>
      </c>
      <c r="V758" s="1128">
        <v>68</v>
      </c>
      <c r="W758" s="1128">
        <v>52.880000686645509</v>
      </c>
      <c r="X758" s="1128">
        <v>39.02000017166138</v>
      </c>
      <c r="Y758" s="1128">
        <v>32.180000002682206</v>
      </c>
      <c r="Z758" s="1128">
        <v>53.027945450736233</v>
      </c>
      <c r="AA758" s="1128">
        <f t="shared" si="826"/>
        <v>48.722158070506154</v>
      </c>
      <c r="AB758" s="1128">
        <f t="shared" si="827"/>
        <v>47.626976190578588</v>
      </c>
      <c r="AC758" s="1128">
        <f t="shared" si="828"/>
        <v>49.503632642565627</v>
      </c>
      <c r="AD758" s="1128">
        <f t="shared" si="829"/>
        <v>53.862948002105526</v>
      </c>
      <c r="AE758" s="1128">
        <f t="shared" si="830"/>
        <v>59.568599541651018</v>
      </c>
      <c r="AF758" s="1128">
        <f t="shared" si="831"/>
        <v>65.133321260667842</v>
      </c>
      <c r="AG758" s="1128">
        <f t="shared" si="832"/>
        <v>69.106582688136768</v>
      </c>
      <c r="AH758" s="1128">
        <f t="shared" si="833"/>
        <v>70.452692003176026</v>
      </c>
      <c r="AI758" s="1128">
        <f t="shared" si="834"/>
        <v>68.820765068648171</v>
      </c>
      <c r="AJ758" s="1128">
        <f t="shared" si="835"/>
        <v>64.636188788793191</v>
      </c>
      <c r="AK758" s="1128">
        <f t="shared" si="836"/>
        <v>58.989737457227747</v>
      </c>
      <c r="AL758" s="1128">
        <f t="shared" si="837"/>
        <v>53.353245627973294</v>
      </c>
      <c r="AM758" s="1125">
        <f t="shared" si="838"/>
        <v>1</v>
      </c>
      <c r="AN758" s="1125">
        <f t="shared" si="839"/>
        <v>1</v>
      </c>
      <c r="AO758" s="1125">
        <f t="shared" si="840"/>
        <v>1</v>
      </c>
      <c r="AP758" s="1125">
        <f t="shared" si="841"/>
        <v>1</v>
      </c>
      <c r="AQ758" s="1125">
        <f t="shared" si="842"/>
        <v>1</v>
      </c>
      <c r="AR758" s="1125">
        <f t="shared" si="843"/>
        <v>0</v>
      </c>
      <c r="AS758" s="1125">
        <f t="shared" si="844"/>
        <v>0</v>
      </c>
      <c r="AT758" s="1125">
        <f t="shared" si="845"/>
        <v>0</v>
      </c>
      <c r="AU758" s="1125">
        <f t="shared" si="846"/>
        <v>0</v>
      </c>
      <c r="AV758" s="1125">
        <f t="shared" si="847"/>
        <v>1</v>
      </c>
      <c r="AW758" s="1125">
        <f t="shared" si="848"/>
        <v>1</v>
      </c>
      <c r="AX758" s="1125">
        <f t="shared" si="849"/>
        <v>1</v>
      </c>
      <c r="AY758" s="1125">
        <f t="shared" si="850"/>
        <v>0</v>
      </c>
      <c r="AZ758" s="1125">
        <f t="shared" si="851"/>
        <v>0</v>
      </c>
      <c r="BA758" s="1125">
        <f t="shared" si="852"/>
        <v>0</v>
      </c>
      <c r="BB758" s="1125">
        <f t="shared" si="853"/>
        <v>0</v>
      </c>
      <c r="BC758" s="1125">
        <f t="shared" si="854"/>
        <v>0</v>
      </c>
      <c r="BD758" s="1125">
        <f t="shared" si="855"/>
        <v>1</v>
      </c>
      <c r="BE758" s="1125">
        <f t="shared" si="856"/>
        <v>1</v>
      </c>
      <c r="BF758" s="1125">
        <f t="shared" si="857"/>
        <v>1</v>
      </c>
      <c r="BG758" s="1125">
        <f t="shared" si="858"/>
        <v>1</v>
      </c>
      <c r="BH758" s="1125">
        <f t="shared" si="859"/>
        <v>0</v>
      </c>
      <c r="BI758" s="1125">
        <f t="shared" si="860"/>
        <v>0</v>
      </c>
      <c r="BJ758" s="1125">
        <f t="shared" si="861"/>
        <v>0</v>
      </c>
      <c r="BK758" s="1125">
        <f t="shared" si="862"/>
        <v>1</v>
      </c>
      <c r="BL758" s="1125">
        <f t="shared" si="863"/>
        <v>1</v>
      </c>
      <c r="BM758" s="1125">
        <f t="shared" si="864"/>
        <v>1</v>
      </c>
      <c r="BN758" s="1125">
        <f t="shared" si="865"/>
        <v>1</v>
      </c>
      <c r="BO758" s="1125">
        <f t="shared" si="866"/>
        <v>1</v>
      </c>
      <c r="BP758" s="1125">
        <f t="shared" si="867"/>
        <v>1</v>
      </c>
      <c r="BQ758" s="1125">
        <f t="shared" si="868"/>
        <v>0</v>
      </c>
      <c r="BR758" s="1125">
        <f t="shared" si="869"/>
        <v>0</v>
      </c>
      <c r="BS758" s="1125">
        <f t="shared" si="870"/>
        <v>0</v>
      </c>
      <c r="BT758" s="1125">
        <f t="shared" si="871"/>
        <v>1</v>
      </c>
      <c r="BU758" s="1125">
        <f t="shared" si="872"/>
        <v>1</v>
      </c>
      <c r="BV758" s="1125">
        <f t="shared" si="873"/>
        <v>1</v>
      </c>
      <c r="BW758" s="1125">
        <f t="shared" si="874"/>
        <v>0</v>
      </c>
      <c r="BX758" s="1125">
        <f t="shared" si="875"/>
        <v>0</v>
      </c>
      <c r="BY758" s="1125">
        <f t="shared" si="876"/>
        <v>0</v>
      </c>
      <c r="BZ758" s="1125">
        <f t="shared" si="877"/>
        <v>0</v>
      </c>
      <c r="CA758" s="1125">
        <f t="shared" si="878"/>
        <v>1</v>
      </c>
      <c r="CB758" s="1125">
        <f t="shared" si="879"/>
        <v>1</v>
      </c>
      <c r="CC758" s="1125">
        <f t="shared" si="880"/>
        <v>1</v>
      </c>
      <c r="CD758" s="1125">
        <f t="shared" si="881"/>
        <v>1</v>
      </c>
      <c r="CE758" s="1125">
        <f t="shared" si="882"/>
        <v>1</v>
      </c>
      <c r="CF758" s="1125">
        <f t="shared" si="883"/>
        <v>1</v>
      </c>
      <c r="CG758" s="1125">
        <f t="shared" si="884"/>
        <v>0</v>
      </c>
      <c r="CH758" s="1125">
        <f t="shared" si="885"/>
        <v>0</v>
      </c>
      <c r="CI758" s="1125">
        <f t="shared" si="886"/>
        <v>0.85</v>
      </c>
      <c r="CJ758" s="1125">
        <f t="shared" si="887"/>
        <v>0.85</v>
      </c>
      <c r="CK758" s="1125">
        <f t="shared" si="888"/>
        <v>0.85</v>
      </c>
      <c r="CL758" s="1125">
        <f t="shared" si="889"/>
        <v>0.85</v>
      </c>
      <c r="CM758" s="1125">
        <f t="shared" si="890"/>
        <v>0.85</v>
      </c>
      <c r="CN758" s="1125">
        <f t="shared" si="891"/>
        <v>0.85</v>
      </c>
      <c r="CO758" s="1125">
        <f t="shared" si="892"/>
        <v>0.7</v>
      </c>
      <c r="CP758" s="1125">
        <f t="shared" si="893"/>
        <v>0.7</v>
      </c>
      <c r="CQ758" s="1125">
        <f t="shared" si="894"/>
        <v>0.7</v>
      </c>
      <c r="CR758" s="1125">
        <f t="shared" si="895"/>
        <v>0.85</v>
      </c>
      <c r="CS758" s="1125">
        <f t="shared" si="896"/>
        <v>0.85</v>
      </c>
      <c r="CT758" s="1125">
        <f t="shared" si="897"/>
        <v>0.85</v>
      </c>
      <c r="CU758" s="1125">
        <v>1</v>
      </c>
      <c r="CV758" s="1125"/>
      <c r="CW758" s="1125">
        <f t="shared" si="898"/>
        <v>184</v>
      </c>
      <c r="CX758" s="1125">
        <f t="shared" si="899"/>
        <v>181</v>
      </c>
      <c r="CY758" s="1136" t="s">
        <v>4889</v>
      </c>
      <c r="CZ758" s="1129" t="s">
        <v>4890</v>
      </c>
      <c r="DA758" s="1129"/>
      <c r="DB758" s="1129"/>
      <c r="DC758" s="1125" t="s">
        <v>5081</v>
      </c>
      <c r="DD758" s="1125" t="s">
        <v>536</v>
      </c>
      <c r="DE758" s="1120" t="str">
        <f t="shared" si="900"/>
        <v/>
      </c>
      <c r="DF758" s="1133">
        <v>0</v>
      </c>
      <c r="DG758" s="1120">
        <v>0</v>
      </c>
    </row>
    <row r="759" spans="1:111">
      <c r="A759" s="1125" t="s">
        <v>4220</v>
      </c>
      <c r="B759" s="1125" t="s">
        <v>4528</v>
      </c>
      <c r="C759" s="1125" t="s">
        <v>4529</v>
      </c>
      <c r="D759" s="1125" t="s">
        <v>501</v>
      </c>
      <c r="E759" s="1125">
        <v>2106</v>
      </c>
      <c r="F759" s="1125">
        <v>-80.680000000000007</v>
      </c>
      <c r="G759" s="1125">
        <v>37.130000000000003</v>
      </c>
      <c r="H759" s="1125">
        <v>-5</v>
      </c>
      <c r="I759" s="1126">
        <v>1.2199993133544915</v>
      </c>
      <c r="J759" s="1126">
        <v>87.980000686645511</v>
      </c>
      <c r="K759" s="1127">
        <v>68.180000686645513</v>
      </c>
      <c r="L759" s="1125">
        <v>5025.6000000000004</v>
      </c>
      <c r="M759" s="1125">
        <v>673.2</v>
      </c>
      <c r="N759" s="1128">
        <v>35.960000085830686</v>
      </c>
      <c r="O759" s="1128">
        <v>36.320000171661377</v>
      </c>
      <c r="P759" s="1128">
        <v>39.02000017166138</v>
      </c>
      <c r="Q759" s="1128">
        <v>50.359999656677246</v>
      </c>
      <c r="R759" s="1128">
        <v>57.919999313354495</v>
      </c>
      <c r="S759" s="1128">
        <v>69.619999313354498</v>
      </c>
      <c r="T759" s="1128">
        <v>73.039998626708979</v>
      </c>
      <c r="U759" s="1128">
        <v>69.260001373291018</v>
      </c>
      <c r="V759" s="1128">
        <v>65.66000137329101</v>
      </c>
      <c r="W759" s="1128">
        <v>57.740000343322755</v>
      </c>
      <c r="X759" s="1128">
        <v>39.02000017166138</v>
      </c>
      <c r="Y759" s="1128">
        <v>34.880000042915341</v>
      </c>
      <c r="Z759" s="1128">
        <v>52.490904161440184</v>
      </c>
      <c r="AA759" s="1128">
        <f t="shared" si="826"/>
        <v>50.184994544923129</v>
      </c>
      <c r="AB759" s="1128">
        <f t="shared" si="827"/>
        <v>49.255530225369192</v>
      </c>
      <c r="AC759" s="1128">
        <f t="shared" si="828"/>
        <v>50.733408443672545</v>
      </c>
      <c r="AD759" s="1128">
        <f t="shared" si="829"/>
        <v>54.233397467439687</v>
      </c>
      <c r="AE759" s="1128">
        <f t="shared" si="830"/>
        <v>58.843171221162223</v>
      </c>
      <c r="AF759" s="1128">
        <f t="shared" si="831"/>
        <v>63.361121137168489</v>
      </c>
      <c r="AG759" s="1128">
        <f t="shared" si="832"/>
        <v>66.609573946135768</v>
      </c>
      <c r="AH759" s="1128">
        <f t="shared" si="833"/>
        <v>67.741770363233627</v>
      </c>
      <c r="AI759" s="1128">
        <f t="shared" si="834"/>
        <v>66.462585944670607</v>
      </c>
      <c r="AJ759" s="1128">
        <f t="shared" si="835"/>
        <v>63.105459821973739</v>
      </c>
      <c r="AK759" s="1128">
        <f t="shared" si="836"/>
        <v>58.545478653903508</v>
      </c>
      <c r="AL759" s="1128">
        <f t="shared" si="837"/>
        <v>53.971271803354327</v>
      </c>
      <c r="AM759" s="1125">
        <f t="shared" si="838"/>
        <v>1</v>
      </c>
      <c r="AN759" s="1125">
        <f t="shared" si="839"/>
        <v>1</v>
      </c>
      <c r="AO759" s="1125">
        <f t="shared" si="840"/>
        <v>1</v>
      </c>
      <c r="AP759" s="1125">
        <f t="shared" si="841"/>
        <v>1</v>
      </c>
      <c r="AQ759" s="1125">
        <f t="shared" si="842"/>
        <v>1</v>
      </c>
      <c r="AR759" s="1125">
        <f t="shared" si="843"/>
        <v>0</v>
      </c>
      <c r="AS759" s="1125">
        <f t="shared" si="844"/>
        <v>0</v>
      </c>
      <c r="AT759" s="1125">
        <f t="shared" si="845"/>
        <v>0</v>
      </c>
      <c r="AU759" s="1125">
        <f t="shared" si="846"/>
        <v>1</v>
      </c>
      <c r="AV759" s="1125">
        <f t="shared" si="847"/>
        <v>1</v>
      </c>
      <c r="AW759" s="1125">
        <f t="shared" si="848"/>
        <v>1</v>
      </c>
      <c r="AX759" s="1125">
        <f t="shared" si="849"/>
        <v>1</v>
      </c>
      <c r="AY759" s="1125">
        <f t="shared" si="850"/>
        <v>0</v>
      </c>
      <c r="AZ759" s="1125">
        <f t="shared" si="851"/>
        <v>0</v>
      </c>
      <c r="BA759" s="1125">
        <f t="shared" si="852"/>
        <v>0</v>
      </c>
      <c r="BB759" s="1125">
        <f t="shared" si="853"/>
        <v>0</v>
      </c>
      <c r="BC759" s="1125">
        <f t="shared" si="854"/>
        <v>0</v>
      </c>
      <c r="BD759" s="1125">
        <f t="shared" si="855"/>
        <v>1</v>
      </c>
      <c r="BE759" s="1125">
        <f t="shared" si="856"/>
        <v>1</v>
      </c>
      <c r="BF759" s="1125">
        <f t="shared" si="857"/>
        <v>1</v>
      </c>
      <c r="BG759" s="1125">
        <f t="shared" si="858"/>
        <v>0</v>
      </c>
      <c r="BH759" s="1125">
        <f t="shared" si="859"/>
        <v>0</v>
      </c>
      <c r="BI759" s="1125">
        <f t="shared" si="860"/>
        <v>0</v>
      </c>
      <c r="BJ759" s="1125">
        <f t="shared" si="861"/>
        <v>0</v>
      </c>
      <c r="BK759" s="1125">
        <f t="shared" si="862"/>
        <v>1</v>
      </c>
      <c r="BL759" s="1125">
        <f t="shared" si="863"/>
        <v>1</v>
      </c>
      <c r="BM759" s="1125">
        <f t="shared" si="864"/>
        <v>1</v>
      </c>
      <c r="BN759" s="1125">
        <f t="shared" si="865"/>
        <v>1</v>
      </c>
      <c r="BO759" s="1125">
        <f t="shared" si="866"/>
        <v>1</v>
      </c>
      <c r="BP759" s="1125">
        <f t="shared" si="867"/>
        <v>1</v>
      </c>
      <c r="BQ759" s="1125">
        <f t="shared" si="868"/>
        <v>0</v>
      </c>
      <c r="BR759" s="1125">
        <f t="shared" si="869"/>
        <v>0</v>
      </c>
      <c r="BS759" s="1125">
        <f t="shared" si="870"/>
        <v>1</v>
      </c>
      <c r="BT759" s="1125">
        <f t="shared" si="871"/>
        <v>1</v>
      </c>
      <c r="BU759" s="1125">
        <f t="shared" si="872"/>
        <v>1</v>
      </c>
      <c r="BV759" s="1125">
        <f t="shared" si="873"/>
        <v>1</v>
      </c>
      <c r="BW759" s="1125">
        <f t="shared" si="874"/>
        <v>0</v>
      </c>
      <c r="BX759" s="1125">
        <f t="shared" si="875"/>
        <v>0</v>
      </c>
      <c r="BY759" s="1125">
        <f t="shared" si="876"/>
        <v>0</v>
      </c>
      <c r="BZ759" s="1125">
        <f t="shared" si="877"/>
        <v>0</v>
      </c>
      <c r="CA759" s="1125">
        <f t="shared" si="878"/>
        <v>1</v>
      </c>
      <c r="CB759" s="1125">
        <f t="shared" si="879"/>
        <v>1</v>
      </c>
      <c r="CC759" s="1125">
        <f t="shared" si="880"/>
        <v>1</v>
      </c>
      <c r="CD759" s="1125">
        <f t="shared" si="881"/>
        <v>1</v>
      </c>
      <c r="CE759" s="1125">
        <f t="shared" si="882"/>
        <v>1</v>
      </c>
      <c r="CF759" s="1125">
        <f t="shared" si="883"/>
        <v>0</v>
      </c>
      <c r="CG759" s="1125">
        <f t="shared" si="884"/>
        <v>0</v>
      </c>
      <c r="CH759" s="1125">
        <f t="shared" si="885"/>
        <v>0</v>
      </c>
      <c r="CI759" s="1125">
        <f t="shared" si="886"/>
        <v>0.85</v>
      </c>
      <c r="CJ759" s="1125">
        <f t="shared" si="887"/>
        <v>0.85</v>
      </c>
      <c r="CK759" s="1125">
        <f t="shared" si="888"/>
        <v>0.85</v>
      </c>
      <c r="CL759" s="1125">
        <f t="shared" si="889"/>
        <v>0.85</v>
      </c>
      <c r="CM759" s="1125">
        <f t="shared" si="890"/>
        <v>0.85</v>
      </c>
      <c r="CN759" s="1125">
        <f t="shared" si="891"/>
        <v>0.85</v>
      </c>
      <c r="CO759" s="1125">
        <f t="shared" si="892"/>
        <v>0.7</v>
      </c>
      <c r="CP759" s="1125">
        <f t="shared" si="893"/>
        <v>0.7</v>
      </c>
      <c r="CQ759" s="1125">
        <f t="shared" si="894"/>
        <v>0.85</v>
      </c>
      <c r="CR759" s="1125">
        <f t="shared" si="895"/>
        <v>0.85</v>
      </c>
      <c r="CS759" s="1125">
        <f t="shared" si="896"/>
        <v>0.85</v>
      </c>
      <c r="CT759" s="1125">
        <f t="shared" si="897"/>
        <v>0.85</v>
      </c>
      <c r="CU759" s="1125">
        <v>1</v>
      </c>
      <c r="CV759" s="1125"/>
      <c r="CW759" s="1125">
        <f t="shared" si="898"/>
        <v>153</v>
      </c>
      <c r="CX759" s="1125">
        <f t="shared" si="899"/>
        <v>212</v>
      </c>
      <c r="CY759" s="1136" t="s">
        <v>4881</v>
      </c>
      <c r="CZ759" s="1129" t="s">
        <v>4885</v>
      </c>
      <c r="DA759" s="1129"/>
      <c r="DB759" s="1129"/>
      <c r="DC759" s="1125" t="s">
        <v>5639</v>
      </c>
      <c r="DD759" s="1125" t="s">
        <v>501</v>
      </c>
      <c r="DE759" s="1120" t="str">
        <f t="shared" si="900"/>
        <v/>
      </c>
      <c r="DF759" s="1133">
        <v>0</v>
      </c>
      <c r="DG759" s="1125">
        <v>0</v>
      </c>
    </row>
    <row r="760" spans="1:111">
      <c r="A760" s="1120" t="s">
        <v>4222</v>
      </c>
      <c r="B760" s="1120" t="s">
        <v>4574</v>
      </c>
      <c r="C760" s="1120" t="s">
        <v>4575</v>
      </c>
      <c r="D760" s="1120" t="s">
        <v>238</v>
      </c>
      <c r="E760" s="1120">
        <v>2552</v>
      </c>
      <c r="F760" s="1120">
        <v>-117.12</v>
      </c>
      <c r="G760" s="1120">
        <v>46.75</v>
      </c>
      <c r="H760" s="1120">
        <v>-8</v>
      </c>
      <c r="I760" s="1121">
        <v>15.799999999999999</v>
      </c>
      <c r="J760" s="1121">
        <v>89.6</v>
      </c>
      <c r="K760" s="1122">
        <v>64.219999313354492</v>
      </c>
      <c r="L760" s="1120">
        <v>6282</v>
      </c>
      <c r="M760" s="1120">
        <v>10.8</v>
      </c>
      <c r="N760" s="1123">
        <v>30.380000042915345</v>
      </c>
      <c r="O760" s="1123">
        <v>33.799999999999997</v>
      </c>
      <c r="P760" s="1123">
        <v>39.200000000000003</v>
      </c>
      <c r="Q760" s="1123">
        <v>47.3</v>
      </c>
      <c r="R760" s="1123">
        <v>52.340000343322757</v>
      </c>
      <c r="S760" s="1123">
        <v>59</v>
      </c>
      <c r="T760" s="1123">
        <v>68.539998626708979</v>
      </c>
      <c r="U760" s="1123">
        <v>68.360001373291013</v>
      </c>
      <c r="V760" s="1123">
        <v>60.080000686645505</v>
      </c>
      <c r="W760" s="1123">
        <v>48.019999313354489</v>
      </c>
      <c r="X760" s="1123">
        <v>33.980000042915343</v>
      </c>
      <c r="Y760" s="1123">
        <v>35.23999991416931</v>
      </c>
      <c r="Z760" s="1123">
        <v>48.114191807982039</v>
      </c>
      <c r="AA760" s="1123">
        <f t="shared" si="826"/>
        <v>46.858398387128339</v>
      </c>
      <c r="AB760" s="1123">
        <f t="shared" si="827"/>
        <v>45.698182249917238</v>
      </c>
      <c r="AC760" s="1123">
        <f t="shared" si="828"/>
        <v>46.731728698648837</v>
      </c>
      <c r="AD760" s="1123">
        <f t="shared" si="829"/>
        <v>49.689627924028358</v>
      </c>
      <c r="AE760" s="1123">
        <f t="shared" si="830"/>
        <v>53.800857910353784</v>
      </c>
      <c r="AF760" s="1123">
        <f t="shared" si="831"/>
        <v>57.993763205717542</v>
      </c>
      <c r="AG760" s="1123">
        <f t="shared" si="832"/>
        <v>61.175398430256593</v>
      </c>
      <c r="AH760" s="1123">
        <f t="shared" si="833"/>
        <v>62.516421332211884</v>
      </c>
      <c r="AI760" s="1123">
        <f t="shared" si="834"/>
        <v>61.667273626400302</v>
      </c>
      <c r="AJ760" s="1123">
        <f t="shared" si="835"/>
        <v>58.849298748103884</v>
      </c>
      <c r="AK760" s="1123">
        <f t="shared" si="836"/>
        <v>54.797045275657972</v>
      </c>
      <c r="AL760" s="1123">
        <f t="shared" si="837"/>
        <v>50.566795523771866</v>
      </c>
      <c r="AM760" s="1120">
        <f t="shared" si="838"/>
        <v>1</v>
      </c>
      <c r="AN760" s="1120">
        <f t="shared" si="839"/>
        <v>1</v>
      </c>
      <c r="AO760" s="1120">
        <f t="shared" si="840"/>
        <v>1</v>
      </c>
      <c r="AP760" s="1120">
        <f t="shared" si="841"/>
        <v>1</v>
      </c>
      <c r="AQ760" s="1120">
        <f t="shared" si="842"/>
        <v>1</v>
      </c>
      <c r="AR760" s="1120">
        <f t="shared" si="843"/>
        <v>1</v>
      </c>
      <c r="AS760" s="1120">
        <f t="shared" si="844"/>
        <v>0</v>
      </c>
      <c r="AT760" s="1120">
        <f t="shared" si="845"/>
        <v>0</v>
      </c>
      <c r="AU760" s="1120">
        <f t="shared" si="846"/>
        <v>1</v>
      </c>
      <c r="AV760" s="1120">
        <f t="shared" si="847"/>
        <v>1</v>
      </c>
      <c r="AW760" s="1120">
        <f t="shared" si="848"/>
        <v>1</v>
      </c>
      <c r="AX760" s="1120">
        <f t="shared" si="849"/>
        <v>1</v>
      </c>
      <c r="AY760" s="1120">
        <f t="shared" si="850"/>
        <v>0</v>
      </c>
      <c r="AZ760" s="1120">
        <f t="shared" si="851"/>
        <v>0</v>
      </c>
      <c r="BA760" s="1120">
        <f t="shared" si="852"/>
        <v>0</v>
      </c>
      <c r="BB760" s="1120">
        <f t="shared" si="853"/>
        <v>0</v>
      </c>
      <c r="BC760" s="1120">
        <f t="shared" si="854"/>
        <v>0</v>
      </c>
      <c r="BD760" s="1120">
        <f t="shared" si="855"/>
        <v>0</v>
      </c>
      <c r="BE760" s="1120">
        <f t="shared" si="856"/>
        <v>1</v>
      </c>
      <c r="BF760" s="1120">
        <f t="shared" si="857"/>
        <v>1</v>
      </c>
      <c r="BG760" s="1120">
        <f t="shared" si="858"/>
        <v>0</v>
      </c>
      <c r="BH760" s="1120">
        <f t="shared" si="859"/>
        <v>0</v>
      </c>
      <c r="BI760" s="1120">
        <f t="shared" si="860"/>
        <v>0</v>
      </c>
      <c r="BJ760" s="1120">
        <f t="shared" si="861"/>
        <v>0</v>
      </c>
      <c r="BK760" s="1120">
        <f t="shared" si="862"/>
        <v>1</v>
      </c>
      <c r="BL760" s="1120">
        <f t="shared" si="863"/>
        <v>1</v>
      </c>
      <c r="BM760" s="1120">
        <f t="shared" si="864"/>
        <v>1</v>
      </c>
      <c r="BN760" s="1120">
        <f t="shared" si="865"/>
        <v>1</v>
      </c>
      <c r="BO760" s="1120">
        <f t="shared" si="866"/>
        <v>1</v>
      </c>
      <c r="BP760" s="1120">
        <f t="shared" si="867"/>
        <v>1</v>
      </c>
      <c r="BQ760" s="1120">
        <f t="shared" si="868"/>
        <v>1</v>
      </c>
      <c r="BR760" s="1120">
        <f t="shared" si="869"/>
        <v>0</v>
      </c>
      <c r="BS760" s="1120">
        <f t="shared" si="870"/>
        <v>1</v>
      </c>
      <c r="BT760" s="1120">
        <f t="shared" si="871"/>
        <v>1</v>
      </c>
      <c r="BU760" s="1120">
        <f t="shared" si="872"/>
        <v>1</v>
      </c>
      <c r="BV760" s="1120">
        <f t="shared" si="873"/>
        <v>1</v>
      </c>
      <c r="BW760" s="1120">
        <f t="shared" si="874"/>
        <v>0</v>
      </c>
      <c r="BX760" s="1120">
        <f t="shared" si="875"/>
        <v>0</v>
      </c>
      <c r="BY760" s="1120">
        <f t="shared" si="876"/>
        <v>0</v>
      </c>
      <c r="BZ760" s="1120">
        <f t="shared" si="877"/>
        <v>0</v>
      </c>
      <c r="CA760" s="1120">
        <f t="shared" si="878"/>
        <v>0</v>
      </c>
      <c r="CB760" s="1120">
        <f t="shared" si="879"/>
        <v>1</v>
      </c>
      <c r="CC760" s="1120">
        <f t="shared" si="880"/>
        <v>1</v>
      </c>
      <c r="CD760" s="1120">
        <f t="shared" si="881"/>
        <v>1</v>
      </c>
      <c r="CE760" s="1120">
        <f t="shared" si="882"/>
        <v>1</v>
      </c>
      <c r="CF760" s="1120">
        <f t="shared" si="883"/>
        <v>0</v>
      </c>
      <c r="CG760" s="1120">
        <f t="shared" si="884"/>
        <v>0</v>
      </c>
      <c r="CH760" s="1120">
        <f t="shared" si="885"/>
        <v>0</v>
      </c>
      <c r="CI760" s="1120">
        <f t="shared" si="886"/>
        <v>0.85</v>
      </c>
      <c r="CJ760" s="1120">
        <f t="shared" si="887"/>
        <v>0.85</v>
      </c>
      <c r="CK760" s="1120">
        <f t="shared" si="888"/>
        <v>0.85</v>
      </c>
      <c r="CL760" s="1120">
        <f t="shared" si="889"/>
        <v>0.85</v>
      </c>
      <c r="CM760" s="1120">
        <f t="shared" si="890"/>
        <v>0.85</v>
      </c>
      <c r="CN760" s="1120">
        <f t="shared" si="891"/>
        <v>0.85</v>
      </c>
      <c r="CO760" s="1120">
        <f t="shared" si="892"/>
        <v>0.85</v>
      </c>
      <c r="CP760" s="1120">
        <f t="shared" si="893"/>
        <v>0.7</v>
      </c>
      <c r="CQ760" s="1120">
        <f t="shared" si="894"/>
        <v>0.85</v>
      </c>
      <c r="CR760" s="1120">
        <f t="shared" si="895"/>
        <v>0.85</v>
      </c>
      <c r="CS760" s="1120">
        <f t="shared" si="896"/>
        <v>0.85</v>
      </c>
      <c r="CT760" s="1120">
        <f t="shared" si="897"/>
        <v>0.85</v>
      </c>
      <c r="CU760" s="1120">
        <v>1</v>
      </c>
      <c r="CV760" s="1120"/>
      <c r="CW760" s="1120">
        <f t="shared" si="898"/>
        <v>122</v>
      </c>
      <c r="CX760" s="1120">
        <f t="shared" si="899"/>
        <v>243</v>
      </c>
      <c r="CY760" s="1135" t="s">
        <v>4889</v>
      </c>
      <c r="CZ760" s="1124" t="s">
        <v>4890</v>
      </c>
      <c r="DA760" s="1124"/>
      <c r="DB760" s="1124"/>
      <c r="DC760" s="1120" t="s">
        <v>6017</v>
      </c>
      <c r="DD760" s="1120" t="s">
        <v>238</v>
      </c>
      <c r="DE760" s="1120" t="str">
        <f t="shared" si="900"/>
        <v/>
      </c>
      <c r="DF760" s="1133">
        <v>0</v>
      </c>
      <c r="DG760" s="1120">
        <v>0</v>
      </c>
    </row>
    <row r="761" spans="1:111">
      <c r="A761" s="1125" t="s">
        <v>4224</v>
      </c>
      <c r="B761" s="1120" t="s">
        <v>4530</v>
      </c>
      <c r="C761" s="1120" t="s">
        <v>4531</v>
      </c>
      <c r="D761" s="1120" t="s">
        <v>501</v>
      </c>
      <c r="E761" s="1120">
        <v>13</v>
      </c>
      <c r="F761" s="1120">
        <v>-77.3</v>
      </c>
      <c r="G761" s="1120">
        <v>38.5</v>
      </c>
      <c r="H761" s="1120">
        <v>-5</v>
      </c>
      <c r="I761" s="1121">
        <v>19.759999656677245</v>
      </c>
      <c r="J761" s="1121">
        <v>90.320002746582034</v>
      </c>
      <c r="K761" s="1122">
        <v>75.919999313354495</v>
      </c>
      <c r="L761" s="1120">
        <v>3969</v>
      </c>
      <c r="M761" s="1120">
        <v>1287</v>
      </c>
      <c r="N761" s="1123">
        <v>37.4</v>
      </c>
      <c r="O761" s="1123">
        <v>37.039999914169314</v>
      </c>
      <c r="P761" s="1123">
        <v>47.119999313354491</v>
      </c>
      <c r="Q761" s="1123">
        <v>56.840000343322757</v>
      </c>
      <c r="R761" s="1123">
        <v>60.980000686645511</v>
      </c>
      <c r="S761" s="1123">
        <v>74.480000686645511</v>
      </c>
      <c r="T761" s="1123">
        <v>77.180000686645513</v>
      </c>
      <c r="U761" s="1123">
        <v>76.819999313354487</v>
      </c>
      <c r="V761" s="1123">
        <v>68.539998626708979</v>
      </c>
      <c r="W761" s="1123">
        <v>59</v>
      </c>
      <c r="X761" s="1123">
        <v>49.280000686645508</v>
      </c>
      <c r="Y761" s="1123">
        <v>38.839999914169312</v>
      </c>
      <c r="Z761" s="1123">
        <v>57.065369877358009</v>
      </c>
      <c r="AA761" s="1123">
        <f t="shared" si="826"/>
        <v>53.164931808808291</v>
      </c>
      <c r="AB761" s="1123">
        <f t="shared" si="827"/>
        <v>52.517570795438047</v>
      </c>
      <c r="AC761" s="1123">
        <f t="shared" si="828"/>
        <v>54.619656159274328</v>
      </c>
      <c r="AD761" s="1123">
        <f t="shared" si="829"/>
        <v>58.923246956117204</v>
      </c>
      <c r="AE761" s="1123">
        <f t="shared" si="830"/>
        <v>64.30654592442788</v>
      </c>
      <c r="AF761" s="1123">
        <f t="shared" si="831"/>
        <v>69.366313228967954</v>
      </c>
      <c r="AG761" s="1123">
        <f t="shared" si="832"/>
        <v>72.783642548434628</v>
      </c>
      <c r="AH761" s="1123">
        <f t="shared" si="833"/>
        <v>73.667754333070036</v>
      </c>
      <c r="AI761" s="1123">
        <f t="shared" si="834"/>
        <v>71.788191221633923</v>
      </c>
      <c r="AJ761" s="1123">
        <f t="shared" si="835"/>
        <v>67.634890304066445</v>
      </c>
      <c r="AK761" s="1123">
        <f t="shared" si="836"/>
        <v>62.290473468836097</v>
      </c>
      <c r="AL761" s="1123">
        <f t="shared" si="837"/>
        <v>57.148045324002098</v>
      </c>
      <c r="AM761" s="1120">
        <f t="shared" si="838"/>
        <v>1</v>
      </c>
      <c r="AN761" s="1120">
        <f t="shared" si="839"/>
        <v>1</v>
      </c>
      <c r="AO761" s="1120">
        <f t="shared" si="840"/>
        <v>1</v>
      </c>
      <c r="AP761" s="1120">
        <f t="shared" si="841"/>
        <v>1</v>
      </c>
      <c r="AQ761" s="1120">
        <f t="shared" si="842"/>
        <v>1</v>
      </c>
      <c r="AR761" s="1120">
        <f t="shared" si="843"/>
        <v>0</v>
      </c>
      <c r="AS761" s="1120">
        <f t="shared" si="844"/>
        <v>0</v>
      </c>
      <c r="AT761" s="1120">
        <f t="shared" si="845"/>
        <v>0</v>
      </c>
      <c r="AU761" s="1120">
        <f t="shared" si="846"/>
        <v>0</v>
      </c>
      <c r="AV761" s="1120">
        <f t="shared" si="847"/>
        <v>1</v>
      </c>
      <c r="AW761" s="1120">
        <f t="shared" si="848"/>
        <v>1</v>
      </c>
      <c r="AX761" s="1120">
        <f t="shared" si="849"/>
        <v>1</v>
      </c>
      <c r="AY761" s="1120">
        <f t="shared" si="850"/>
        <v>0</v>
      </c>
      <c r="AZ761" s="1120">
        <f t="shared" si="851"/>
        <v>0</v>
      </c>
      <c r="BA761" s="1120">
        <f t="shared" si="852"/>
        <v>0</v>
      </c>
      <c r="BB761" s="1120">
        <f t="shared" si="853"/>
        <v>0</v>
      </c>
      <c r="BC761" s="1120">
        <f t="shared" si="854"/>
        <v>0</v>
      </c>
      <c r="BD761" s="1120">
        <f t="shared" si="855"/>
        <v>1</v>
      </c>
      <c r="BE761" s="1120">
        <f t="shared" si="856"/>
        <v>1</v>
      </c>
      <c r="BF761" s="1120">
        <f t="shared" si="857"/>
        <v>1</v>
      </c>
      <c r="BG761" s="1120">
        <f t="shared" si="858"/>
        <v>1</v>
      </c>
      <c r="BH761" s="1120">
        <f t="shared" si="859"/>
        <v>0</v>
      </c>
      <c r="BI761" s="1120">
        <f t="shared" si="860"/>
        <v>0</v>
      </c>
      <c r="BJ761" s="1120">
        <f t="shared" si="861"/>
        <v>0</v>
      </c>
      <c r="BK761" s="1120">
        <f t="shared" si="862"/>
        <v>1</v>
      </c>
      <c r="BL761" s="1120">
        <f t="shared" si="863"/>
        <v>1</v>
      </c>
      <c r="BM761" s="1120">
        <f t="shared" si="864"/>
        <v>1</v>
      </c>
      <c r="BN761" s="1120">
        <f t="shared" si="865"/>
        <v>1</v>
      </c>
      <c r="BO761" s="1120">
        <f t="shared" si="866"/>
        <v>1</v>
      </c>
      <c r="BP761" s="1120">
        <f t="shared" si="867"/>
        <v>1</v>
      </c>
      <c r="BQ761" s="1120">
        <f t="shared" si="868"/>
        <v>0</v>
      </c>
      <c r="BR761" s="1120">
        <f t="shared" si="869"/>
        <v>0</v>
      </c>
      <c r="BS761" s="1120">
        <f t="shared" si="870"/>
        <v>0</v>
      </c>
      <c r="BT761" s="1120">
        <f t="shared" si="871"/>
        <v>1</v>
      </c>
      <c r="BU761" s="1120">
        <f t="shared" si="872"/>
        <v>1</v>
      </c>
      <c r="BV761" s="1120">
        <f t="shared" si="873"/>
        <v>1</v>
      </c>
      <c r="BW761" s="1120">
        <f t="shared" si="874"/>
        <v>0</v>
      </c>
      <c r="BX761" s="1120">
        <f t="shared" si="875"/>
        <v>0</v>
      </c>
      <c r="BY761" s="1120">
        <f t="shared" si="876"/>
        <v>0</v>
      </c>
      <c r="BZ761" s="1120">
        <f t="shared" si="877"/>
        <v>0</v>
      </c>
      <c r="CA761" s="1120">
        <f t="shared" si="878"/>
        <v>1</v>
      </c>
      <c r="CB761" s="1120">
        <f t="shared" si="879"/>
        <v>1</v>
      </c>
      <c r="CC761" s="1120">
        <f t="shared" si="880"/>
        <v>1</v>
      </c>
      <c r="CD761" s="1120">
        <f t="shared" si="881"/>
        <v>1</v>
      </c>
      <c r="CE761" s="1120">
        <f t="shared" si="882"/>
        <v>1</v>
      </c>
      <c r="CF761" s="1120">
        <f t="shared" si="883"/>
        <v>1</v>
      </c>
      <c r="CG761" s="1120">
        <f t="shared" si="884"/>
        <v>0</v>
      </c>
      <c r="CH761" s="1120">
        <f t="shared" si="885"/>
        <v>0</v>
      </c>
      <c r="CI761" s="1120">
        <f t="shared" si="886"/>
        <v>0.85</v>
      </c>
      <c r="CJ761" s="1120">
        <f t="shared" si="887"/>
        <v>0.85</v>
      </c>
      <c r="CK761" s="1120">
        <f t="shared" si="888"/>
        <v>0.85</v>
      </c>
      <c r="CL761" s="1120">
        <f t="shared" si="889"/>
        <v>0.85</v>
      </c>
      <c r="CM761" s="1120">
        <f t="shared" si="890"/>
        <v>0.85</v>
      </c>
      <c r="CN761" s="1120">
        <f t="shared" si="891"/>
        <v>0.85</v>
      </c>
      <c r="CO761" s="1120">
        <f t="shared" si="892"/>
        <v>0.7</v>
      </c>
      <c r="CP761" s="1120">
        <f t="shared" si="893"/>
        <v>0.7</v>
      </c>
      <c r="CQ761" s="1120">
        <f t="shared" si="894"/>
        <v>0.7</v>
      </c>
      <c r="CR761" s="1120">
        <f t="shared" si="895"/>
        <v>0.85</v>
      </c>
      <c r="CS761" s="1120">
        <f t="shared" si="896"/>
        <v>0.85</v>
      </c>
      <c r="CT761" s="1120">
        <f t="shared" si="897"/>
        <v>0.85</v>
      </c>
      <c r="CU761" s="1120">
        <v>1</v>
      </c>
      <c r="CV761" s="1120"/>
      <c r="CW761" s="1120">
        <f t="shared" si="898"/>
        <v>184</v>
      </c>
      <c r="CX761" s="1120">
        <f t="shared" si="899"/>
        <v>181</v>
      </c>
      <c r="CY761" s="1135" t="s">
        <v>4881</v>
      </c>
      <c r="CZ761" s="1124" t="s">
        <v>4885</v>
      </c>
      <c r="DA761" s="1124"/>
      <c r="DB761" s="1124"/>
      <c r="DC761" s="1120" t="s">
        <v>5640</v>
      </c>
      <c r="DD761" s="1120" t="s">
        <v>501</v>
      </c>
      <c r="DE761" s="1120" t="str">
        <f t="shared" si="900"/>
        <v/>
      </c>
      <c r="DF761" s="1133">
        <v>1</v>
      </c>
      <c r="DG761" s="1125">
        <v>0</v>
      </c>
    </row>
    <row r="762" spans="1:111">
      <c r="A762" s="1120" t="s">
        <v>4226</v>
      </c>
      <c r="B762" s="1125" t="s">
        <v>4576</v>
      </c>
      <c r="C762" s="1125" t="s">
        <v>4577</v>
      </c>
      <c r="D762" s="1125" t="s">
        <v>238</v>
      </c>
      <c r="E762" s="1125">
        <v>180</v>
      </c>
      <c r="F762" s="1125">
        <v>-124.57</v>
      </c>
      <c r="G762" s="1125">
        <v>47.93</v>
      </c>
      <c r="H762" s="1125">
        <v>-8</v>
      </c>
      <c r="I762" s="1126">
        <v>27.139999914169312</v>
      </c>
      <c r="J762" s="1126">
        <v>74.83999862670899</v>
      </c>
      <c r="K762" s="1127">
        <v>61.160001373291017</v>
      </c>
      <c r="L762" s="1125">
        <v>5515.2</v>
      </c>
      <c r="M762" s="1125">
        <v>16.2</v>
      </c>
      <c r="N762" s="1128">
        <v>41.540000343322752</v>
      </c>
      <c r="O762" s="1128">
        <v>41.540000343322752</v>
      </c>
      <c r="P762" s="1128">
        <v>43.340000343322757</v>
      </c>
      <c r="Q762" s="1128">
        <v>47.840000343322757</v>
      </c>
      <c r="R762" s="1128">
        <v>51.980000686645511</v>
      </c>
      <c r="S762" s="1128">
        <v>54.859999656677246</v>
      </c>
      <c r="T762" s="1128">
        <v>59.359999656677246</v>
      </c>
      <c r="U762" s="1128">
        <v>59</v>
      </c>
      <c r="V762" s="1128">
        <v>56.659999656677243</v>
      </c>
      <c r="W762" s="1128">
        <v>49.280000686645508</v>
      </c>
      <c r="X762" s="1128">
        <v>44.959999656677248</v>
      </c>
      <c r="Y762" s="1128">
        <v>41</v>
      </c>
      <c r="Z762" s="1128">
        <v>49.323890526653969</v>
      </c>
      <c r="AA762" s="1128">
        <f t="shared" si="826"/>
        <v>51.694045275286264</v>
      </c>
      <c r="AB762" s="1128">
        <f t="shared" si="827"/>
        <v>51.163222085544675</v>
      </c>
      <c r="AC762" s="1128">
        <f t="shared" si="828"/>
        <v>51.716941242819736</v>
      </c>
      <c r="AD762" s="1128">
        <f t="shared" si="829"/>
        <v>53.210867315697186</v>
      </c>
      <c r="AE762" s="1128">
        <f t="shared" si="830"/>
        <v>55.255585451183869</v>
      </c>
      <c r="AF762" s="1128">
        <f t="shared" si="831"/>
        <v>57.318108357204906</v>
      </c>
      <c r="AG762" s="1128">
        <f t="shared" si="832"/>
        <v>58.860807653865834</v>
      </c>
      <c r="AH762" s="1128">
        <f t="shared" si="833"/>
        <v>59.481554995776179</v>
      </c>
      <c r="AI762" s="1128">
        <f t="shared" si="834"/>
        <v>59.018543022260928</v>
      </c>
      <c r="AJ762" s="1128">
        <f t="shared" si="835"/>
        <v>57.592462939447316</v>
      </c>
      <c r="AK762" s="1128">
        <f t="shared" si="836"/>
        <v>55.575044497480015</v>
      </c>
      <c r="AL762" s="1128">
        <f t="shared" si="837"/>
        <v>53.492158902617057</v>
      </c>
      <c r="AM762" s="1125">
        <f t="shared" si="838"/>
        <v>1</v>
      </c>
      <c r="AN762" s="1125">
        <f t="shared" si="839"/>
        <v>1</v>
      </c>
      <c r="AO762" s="1125">
        <f t="shared" si="840"/>
        <v>1</v>
      </c>
      <c r="AP762" s="1125">
        <f t="shared" si="841"/>
        <v>1</v>
      </c>
      <c r="AQ762" s="1125">
        <f t="shared" si="842"/>
        <v>1</v>
      </c>
      <c r="AR762" s="1125">
        <f t="shared" si="843"/>
        <v>1</v>
      </c>
      <c r="AS762" s="1125">
        <f t="shared" si="844"/>
        <v>1</v>
      </c>
      <c r="AT762" s="1125">
        <f t="shared" si="845"/>
        <v>1</v>
      </c>
      <c r="AU762" s="1125">
        <f t="shared" si="846"/>
        <v>1</v>
      </c>
      <c r="AV762" s="1125">
        <f t="shared" si="847"/>
        <v>1</v>
      </c>
      <c r="AW762" s="1125">
        <f t="shared" si="848"/>
        <v>1</v>
      </c>
      <c r="AX762" s="1125">
        <f t="shared" si="849"/>
        <v>1</v>
      </c>
      <c r="AY762" s="1125">
        <f t="shared" si="850"/>
        <v>0</v>
      </c>
      <c r="AZ762" s="1125">
        <f t="shared" si="851"/>
        <v>0</v>
      </c>
      <c r="BA762" s="1125">
        <f t="shared" si="852"/>
        <v>0</v>
      </c>
      <c r="BB762" s="1125">
        <f t="shared" si="853"/>
        <v>0</v>
      </c>
      <c r="BC762" s="1125">
        <f t="shared" si="854"/>
        <v>0</v>
      </c>
      <c r="BD762" s="1125">
        <f t="shared" si="855"/>
        <v>0</v>
      </c>
      <c r="BE762" s="1125">
        <f t="shared" si="856"/>
        <v>1</v>
      </c>
      <c r="BF762" s="1125">
        <f t="shared" si="857"/>
        <v>1</v>
      </c>
      <c r="BG762" s="1125">
        <f t="shared" si="858"/>
        <v>0</v>
      </c>
      <c r="BH762" s="1125">
        <f t="shared" si="859"/>
        <v>0</v>
      </c>
      <c r="BI762" s="1125">
        <f t="shared" si="860"/>
        <v>0</v>
      </c>
      <c r="BJ762" s="1125">
        <f t="shared" si="861"/>
        <v>0</v>
      </c>
      <c r="BK762" s="1125">
        <f t="shared" si="862"/>
        <v>1</v>
      </c>
      <c r="BL762" s="1125">
        <f t="shared" si="863"/>
        <v>1</v>
      </c>
      <c r="BM762" s="1125">
        <f t="shared" si="864"/>
        <v>1</v>
      </c>
      <c r="BN762" s="1125">
        <f t="shared" si="865"/>
        <v>1</v>
      </c>
      <c r="BO762" s="1125">
        <f t="shared" si="866"/>
        <v>1</v>
      </c>
      <c r="BP762" s="1125">
        <f t="shared" si="867"/>
        <v>1</v>
      </c>
      <c r="BQ762" s="1125">
        <f t="shared" si="868"/>
        <v>1</v>
      </c>
      <c r="BR762" s="1125">
        <f t="shared" si="869"/>
        <v>1</v>
      </c>
      <c r="BS762" s="1125">
        <f t="shared" si="870"/>
        <v>1</v>
      </c>
      <c r="BT762" s="1125">
        <f t="shared" si="871"/>
        <v>1</v>
      </c>
      <c r="BU762" s="1125">
        <f t="shared" si="872"/>
        <v>1</v>
      </c>
      <c r="BV762" s="1125">
        <f t="shared" si="873"/>
        <v>1</v>
      </c>
      <c r="BW762" s="1125">
        <f t="shared" si="874"/>
        <v>0</v>
      </c>
      <c r="BX762" s="1125">
        <f t="shared" si="875"/>
        <v>0</v>
      </c>
      <c r="BY762" s="1125">
        <f t="shared" si="876"/>
        <v>0</v>
      </c>
      <c r="BZ762" s="1125">
        <f t="shared" si="877"/>
        <v>0</v>
      </c>
      <c r="CA762" s="1125">
        <f t="shared" si="878"/>
        <v>0</v>
      </c>
      <c r="CB762" s="1125">
        <f t="shared" si="879"/>
        <v>0</v>
      </c>
      <c r="CC762" s="1125">
        <f t="shared" si="880"/>
        <v>1</v>
      </c>
      <c r="CD762" s="1125">
        <f t="shared" si="881"/>
        <v>1</v>
      </c>
      <c r="CE762" s="1125">
        <f t="shared" si="882"/>
        <v>0</v>
      </c>
      <c r="CF762" s="1125">
        <f t="shared" si="883"/>
        <v>0</v>
      </c>
      <c r="CG762" s="1125">
        <f t="shared" si="884"/>
        <v>0</v>
      </c>
      <c r="CH762" s="1125">
        <f t="shared" si="885"/>
        <v>0</v>
      </c>
      <c r="CI762" s="1125">
        <f t="shared" si="886"/>
        <v>0.85</v>
      </c>
      <c r="CJ762" s="1125">
        <f t="shared" si="887"/>
        <v>0.85</v>
      </c>
      <c r="CK762" s="1125">
        <f t="shared" si="888"/>
        <v>0.85</v>
      </c>
      <c r="CL762" s="1125">
        <f t="shared" si="889"/>
        <v>0.85</v>
      </c>
      <c r="CM762" s="1125">
        <f t="shared" si="890"/>
        <v>0.85</v>
      </c>
      <c r="CN762" s="1125">
        <f t="shared" si="891"/>
        <v>0.85</v>
      </c>
      <c r="CO762" s="1125">
        <f t="shared" si="892"/>
        <v>0.85</v>
      </c>
      <c r="CP762" s="1125">
        <f t="shared" si="893"/>
        <v>0.85</v>
      </c>
      <c r="CQ762" s="1125">
        <f t="shared" si="894"/>
        <v>0.85</v>
      </c>
      <c r="CR762" s="1125">
        <f t="shared" si="895"/>
        <v>0.85</v>
      </c>
      <c r="CS762" s="1125">
        <f t="shared" si="896"/>
        <v>0.85</v>
      </c>
      <c r="CT762" s="1125">
        <f t="shared" si="897"/>
        <v>0.85</v>
      </c>
      <c r="CU762" s="1125">
        <v>1</v>
      </c>
      <c r="CV762" s="1125"/>
      <c r="CW762" s="1125">
        <f t="shared" si="898"/>
        <v>62</v>
      </c>
      <c r="CX762" s="1125">
        <f t="shared" si="899"/>
        <v>303</v>
      </c>
      <c r="CY762" s="1136" t="s">
        <v>4893</v>
      </c>
      <c r="CZ762" s="1129" t="s">
        <v>4894</v>
      </c>
      <c r="DA762" s="1129"/>
      <c r="DB762" s="1129"/>
      <c r="DC762" s="1125" t="s">
        <v>5662</v>
      </c>
      <c r="DD762" s="1125" t="s">
        <v>238</v>
      </c>
      <c r="DE762" s="1120" t="str">
        <f t="shared" si="900"/>
        <v/>
      </c>
      <c r="DF762" s="1133">
        <v>0</v>
      </c>
      <c r="DG762" s="1120">
        <v>0</v>
      </c>
    </row>
    <row r="763" spans="1:111">
      <c r="A763" s="1125" t="s">
        <v>4228</v>
      </c>
      <c r="B763" s="1120" t="s">
        <v>3519</v>
      </c>
      <c r="C763" s="1120" t="s">
        <v>3520</v>
      </c>
      <c r="D763" s="1120" t="s">
        <v>932</v>
      </c>
      <c r="E763" s="1120">
        <v>764</v>
      </c>
      <c r="F763" s="1120">
        <v>-91.2</v>
      </c>
      <c r="G763" s="1120">
        <v>39.93</v>
      </c>
      <c r="H763" s="1120">
        <v>-6</v>
      </c>
      <c r="I763" s="1121">
        <v>3.380000686645507</v>
      </c>
      <c r="J763" s="1121">
        <v>90.320002746582034</v>
      </c>
      <c r="K763" s="1122">
        <v>75.380000686645502</v>
      </c>
      <c r="L763" s="1120">
        <v>5063.4000000000005</v>
      </c>
      <c r="M763" s="1120">
        <v>1123.2</v>
      </c>
      <c r="N763" s="1123">
        <v>25.879999828338622</v>
      </c>
      <c r="O763" s="1123">
        <v>30.559999978542329</v>
      </c>
      <c r="P763" s="1123">
        <v>44.6</v>
      </c>
      <c r="Q763" s="1123">
        <v>54.680000686645506</v>
      </c>
      <c r="R763" s="1123">
        <v>64.219999313354492</v>
      </c>
      <c r="S763" s="1123">
        <v>70.880000686645502</v>
      </c>
      <c r="T763" s="1123">
        <v>72.860001373291013</v>
      </c>
      <c r="U763" s="1123">
        <v>74.83999862670899</v>
      </c>
      <c r="V763" s="1123">
        <v>71.060001373291016</v>
      </c>
      <c r="W763" s="1123">
        <v>54.680000686645506</v>
      </c>
      <c r="X763" s="1123">
        <v>44.059999656677249</v>
      </c>
      <c r="Y763" s="1123">
        <v>33.799999999999997</v>
      </c>
      <c r="Z763" s="1123">
        <v>53.625644016919068</v>
      </c>
      <c r="AA763" s="1123">
        <f t="shared" si="826"/>
        <v>48.617206599760479</v>
      </c>
      <c r="AB763" s="1123">
        <f t="shared" si="827"/>
        <v>47.515755686803473</v>
      </c>
      <c r="AC763" s="1123">
        <f t="shared" si="828"/>
        <v>49.57093378611917</v>
      </c>
      <c r="AD763" s="1123">
        <f t="shared" si="829"/>
        <v>54.247027054867743</v>
      </c>
      <c r="AE763" s="1123">
        <f t="shared" si="830"/>
        <v>60.32513972177135</v>
      </c>
      <c r="AF763" s="1123">
        <f t="shared" si="831"/>
        <v>66.220918053650109</v>
      </c>
      <c r="AG763" s="1123">
        <f t="shared" si="832"/>
        <v>70.397536571605499</v>
      </c>
      <c r="AH763" s="1123">
        <f t="shared" si="833"/>
        <v>71.766295295292849</v>
      </c>
      <c r="AI763" s="1123">
        <f t="shared" si="834"/>
        <v>69.970406170172595</v>
      </c>
      <c r="AJ763" s="1123">
        <f t="shared" si="835"/>
        <v>65.477995372196503</v>
      </c>
      <c r="AK763" s="1123">
        <f t="shared" si="836"/>
        <v>59.460079006003014</v>
      </c>
      <c r="AL763" s="1123">
        <f t="shared" si="837"/>
        <v>53.485319711338853</v>
      </c>
      <c r="AM763" s="1120">
        <f t="shared" si="838"/>
        <v>1</v>
      </c>
      <c r="AN763" s="1120">
        <f t="shared" si="839"/>
        <v>1</v>
      </c>
      <c r="AO763" s="1120">
        <f t="shared" si="840"/>
        <v>1</v>
      </c>
      <c r="AP763" s="1120">
        <f t="shared" si="841"/>
        <v>1</v>
      </c>
      <c r="AQ763" s="1120">
        <f t="shared" si="842"/>
        <v>1</v>
      </c>
      <c r="AR763" s="1120">
        <f t="shared" si="843"/>
        <v>0</v>
      </c>
      <c r="AS763" s="1120">
        <f t="shared" si="844"/>
        <v>0</v>
      </c>
      <c r="AT763" s="1120">
        <f t="shared" si="845"/>
        <v>0</v>
      </c>
      <c r="AU763" s="1120">
        <f t="shared" si="846"/>
        <v>0</v>
      </c>
      <c r="AV763" s="1120">
        <f t="shared" si="847"/>
        <v>1</v>
      </c>
      <c r="AW763" s="1120">
        <f t="shared" si="848"/>
        <v>1</v>
      </c>
      <c r="AX763" s="1120">
        <f t="shared" si="849"/>
        <v>1</v>
      </c>
      <c r="AY763" s="1120">
        <f t="shared" si="850"/>
        <v>0</v>
      </c>
      <c r="AZ763" s="1120">
        <f t="shared" si="851"/>
        <v>0</v>
      </c>
      <c r="BA763" s="1120">
        <f t="shared" si="852"/>
        <v>0</v>
      </c>
      <c r="BB763" s="1120">
        <f t="shared" si="853"/>
        <v>0</v>
      </c>
      <c r="BC763" s="1120">
        <f t="shared" si="854"/>
        <v>0</v>
      </c>
      <c r="BD763" s="1120">
        <f t="shared" si="855"/>
        <v>1</v>
      </c>
      <c r="BE763" s="1120">
        <f t="shared" si="856"/>
        <v>1</v>
      </c>
      <c r="BF763" s="1120">
        <f t="shared" si="857"/>
        <v>1</v>
      </c>
      <c r="BG763" s="1120">
        <f t="shared" si="858"/>
        <v>1</v>
      </c>
      <c r="BH763" s="1120">
        <f t="shared" si="859"/>
        <v>0</v>
      </c>
      <c r="BI763" s="1120">
        <f t="shared" si="860"/>
        <v>0</v>
      </c>
      <c r="BJ763" s="1120">
        <f t="shared" si="861"/>
        <v>0</v>
      </c>
      <c r="BK763" s="1120">
        <f t="shared" si="862"/>
        <v>1</v>
      </c>
      <c r="BL763" s="1120">
        <f t="shared" si="863"/>
        <v>1</v>
      </c>
      <c r="BM763" s="1120">
        <f t="shared" si="864"/>
        <v>1</v>
      </c>
      <c r="BN763" s="1120">
        <f t="shared" si="865"/>
        <v>1</v>
      </c>
      <c r="BO763" s="1120">
        <f t="shared" si="866"/>
        <v>1</v>
      </c>
      <c r="BP763" s="1120">
        <f t="shared" si="867"/>
        <v>1</v>
      </c>
      <c r="BQ763" s="1120">
        <f t="shared" si="868"/>
        <v>0</v>
      </c>
      <c r="BR763" s="1120">
        <f t="shared" si="869"/>
        <v>0</v>
      </c>
      <c r="BS763" s="1120">
        <f t="shared" si="870"/>
        <v>0</v>
      </c>
      <c r="BT763" s="1120">
        <f t="shared" si="871"/>
        <v>1</v>
      </c>
      <c r="BU763" s="1120">
        <f t="shared" si="872"/>
        <v>1</v>
      </c>
      <c r="BV763" s="1120">
        <f t="shared" si="873"/>
        <v>1</v>
      </c>
      <c r="BW763" s="1120">
        <f t="shared" si="874"/>
        <v>0</v>
      </c>
      <c r="BX763" s="1120">
        <f t="shared" si="875"/>
        <v>0</v>
      </c>
      <c r="BY763" s="1120">
        <f t="shared" si="876"/>
        <v>0</v>
      </c>
      <c r="BZ763" s="1120">
        <f t="shared" si="877"/>
        <v>0</v>
      </c>
      <c r="CA763" s="1120">
        <f t="shared" si="878"/>
        <v>1</v>
      </c>
      <c r="CB763" s="1120">
        <f t="shared" si="879"/>
        <v>1</v>
      </c>
      <c r="CC763" s="1120">
        <f t="shared" si="880"/>
        <v>1</v>
      </c>
      <c r="CD763" s="1120">
        <f t="shared" si="881"/>
        <v>1</v>
      </c>
      <c r="CE763" s="1120">
        <f t="shared" si="882"/>
        <v>1</v>
      </c>
      <c r="CF763" s="1120">
        <f t="shared" si="883"/>
        <v>1</v>
      </c>
      <c r="CG763" s="1120">
        <f t="shared" si="884"/>
        <v>0</v>
      </c>
      <c r="CH763" s="1120">
        <f t="shared" si="885"/>
        <v>0</v>
      </c>
      <c r="CI763" s="1120">
        <f t="shared" si="886"/>
        <v>0.85</v>
      </c>
      <c r="CJ763" s="1120">
        <f t="shared" si="887"/>
        <v>0.85</v>
      </c>
      <c r="CK763" s="1120">
        <f t="shared" si="888"/>
        <v>0.85</v>
      </c>
      <c r="CL763" s="1120">
        <f t="shared" si="889"/>
        <v>0.85</v>
      </c>
      <c r="CM763" s="1120">
        <f t="shared" si="890"/>
        <v>0.85</v>
      </c>
      <c r="CN763" s="1120">
        <f t="shared" si="891"/>
        <v>0.85</v>
      </c>
      <c r="CO763" s="1120">
        <f t="shared" si="892"/>
        <v>0.7</v>
      </c>
      <c r="CP763" s="1120">
        <f t="shared" si="893"/>
        <v>0.7</v>
      </c>
      <c r="CQ763" s="1120">
        <f t="shared" si="894"/>
        <v>0.7</v>
      </c>
      <c r="CR763" s="1120">
        <f t="shared" si="895"/>
        <v>0.85</v>
      </c>
      <c r="CS763" s="1120">
        <f t="shared" si="896"/>
        <v>0.85</v>
      </c>
      <c r="CT763" s="1120">
        <f t="shared" si="897"/>
        <v>0.85</v>
      </c>
      <c r="CU763" s="1120">
        <v>1</v>
      </c>
      <c r="CV763" s="1120"/>
      <c r="CW763" s="1120">
        <f t="shared" si="898"/>
        <v>184</v>
      </c>
      <c r="CX763" s="1120">
        <f t="shared" si="899"/>
        <v>181</v>
      </c>
      <c r="CY763" s="1136" t="s">
        <v>4889</v>
      </c>
      <c r="CZ763" s="1129" t="s">
        <v>4897</v>
      </c>
      <c r="DA763" s="1129"/>
      <c r="DB763" s="1129"/>
      <c r="DC763" s="1125" t="s">
        <v>5210</v>
      </c>
      <c r="DD763" s="1125" t="s">
        <v>932</v>
      </c>
      <c r="DE763" s="1120" t="str">
        <f t="shared" si="900"/>
        <v/>
      </c>
      <c r="DF763" s="1133">
        <v>0</v>
      </c>
      <c r="DG763" s="1125">
        <v>0</v>
      </c>
    </row>
    <row r="764" spans="1:111">
      <c r="A764" s="1120" t="s">
        <v>4230</v>
      </c>
      <c r="B764" s="1120" t="s">
        <v>3958</v>
      </c>
      <c r="C764" s="1120" t="s">
        <v>3959</v>
      </c>
      <c r="D764" s="1120" t="s">
        <v>426</v>
      </c>
      <c r="E764" s="1120">
        <v>417</v>
      </c>
      <c r="F764" s="1120">
        <v>-78.78</v>
      </c>
      <c r="G764" s="1120">
        <v>35.869999999999997</v>
      </c>
      <c r="H764" s="1120">
        <v>-5</v>
      </c>
      <c r="I764" s="1121">
        <v>23</v>
      </c>
      <c r="J764" s="1121">
        <v>91.760001373291018</v>
      </c>
      <c r="K764" s="1122">
        <v>75.560001373291016</v>
      </c>
      <c r="L764" s="1120">
        <v>3358.8</v>
      </c>
      <c r="M764" s="1120">
        <v>1576.8</v>
      </c>
      <c r="N764" s="1123">
        <v>39.559999656677249</v>
      </c>
      <c r="O764" s="1123">
        <v>41.359999656677246</v>
      </c>
      <c r="P764" s="1123">
        <v>51.080000686645505</v>
      </c>
      <c r="Q764" s="1123">
        <v>60.259999656677245</v>
      </c>
      <c r="R764" s="1123">
        <v>68.180000686645513</v>
      </c>
      <c r="S764" s="1123">
        <v>75.019999313354489</v>
      </c>
      <c r="T764" s="1123">
        <v>78.619999313354498</v>
      </c>
      <c r="U764" s="1123">
        <v>75.919999313354495</v>
      </c>
      <c r="V764" s="1123">
        <v>71.419999313354495</v>
      </c>
      <c r="W764" s="1123">
        <v>58.280000686645508</v>
      </c>
      <c r="X764" s="1123">
        <v>51.440000343322751</v>
      </c>
      <c r="Y764" s="1123">
        <v>42.079999828338622</v>
      </c>
      <c r="Z764" s="1123">
        <v>59.527671108245848</v>
      </c>
      <c r="AA764" s="1123">
        <f t="shared" si="826"/>
        <v>55.286312837018976</v>
      </c>
      <c r="AB764" s="1123">
        <f t="shared" si="827"/>
        <v>54.860604085857815</v>
      </c>
      <c r="AC764" s="1123">
        <f t="shared" si="828"/>
        <v>57.215430738560791</v>
      </c>
      <c r="AD764" s="1123">
        <f t="shared" si="829"/>
        <v>61.73697093912368</v>
      </c>
      <c r="AE764" s="1123">
        <f t="shared" si="830"/>
        <v>67.246615555226128</v>
      </c>
      <c r="AF764" s="1123">
        <f t="shared" si="831"/>
        <v>72.308190811487393</v>
      </c>
      <c r="AG764" s="1123">
        <f t="shared" si="832"/>
        <v>75.602319116127205</v>
      </c>
      <c r="AH764" s="1123">
        <f t="shared" si="833"/>
        <v>76.270335162487413</v>
      </c>
      <c r="AI764" s="1123">
        <f t="shared" si="834"/>
        <v>74.138110273645339</v>
      </c>
      <c r="AJ764" s="1123">
        <f t="shared" si="835"/>
        <v>69.761441725457814</v>
      </c>
      <c r="AK764" s="1123">
        <f t="shared" si="836"/>
        <v>64.281175621513867</v>
      </c>
      <c r="AL764" s="1123">
        <f t="shared" si="837"/>
        <v>59.125827775263502</v>
      </c>
      <c r="AM764" s="1120">
        <f t="shared" si="838"/>
        <v>1</v>
      </c>
      <c r="AN764" s="1120">
        <f t="shared" si="839"/>
        <v>1</v>
      </c>
      <c r="AO764" s="1120">
        <f t="shared" si="840"/>
        <v>1</v>
      </c>
      <c r="AP764" s="1120">
        <f t="shared" si="841"/>
        <v>1</v>
      </c>
      <c r="AQ764" s="1120">
        <f t="shared" si="842"/>
        <v>0</v>
      </c>
      <c r="AR764" s="1120">
        <f t="shared" si="843"/>
        <v>0</v>
      </c>
      <c r="AS764" s="1120">
        <f t="shared" si="844"/>
        <v>0</v>
      </c>
      <c r="AT764" s="1120">
        <f t="shared" si="845"/>
        <v>0</v>
      </c>
      <c r="AU764" s="1120">
        <f t="shared" si="846"/>
        <v>0</v>
      </c>
      <c r="AV764" s="1120">
        <f t="shared" si="847"/>
        <v>1</v>
      </c>
      <c r="AW764" s="1120">
        <f t="shared" si="848"/>
        <v>1</v>
      </c>
      <c r="AX764" s="1120">
        <f t="shared" si="849"/>
        <v>1</v>
      </c>
      <c r="AY764" s="1120">
        <f t="shared" si="850"/>
        <v>0</v>
      </c>
      <c r="AZ764" s="1120">
        <f t="shared" si="851"/>
        <v>0</v>
      </c>
      <c r="BA764" s="1120">
        <f t="shared" si="852"/>
        <v>0</v>
      </c>
      <c r="BB764" s="1120">
        <f t="shared" si="853"/>
        <v>0</v>
      </c>
      <c r="BC764" s="1120">
        <f t="shared" si="854"/>
        <v>1</v>
      </c>
      <c r="BD764" s="1120">
        <f t="shared" si="855"/>
        <v>1</v>
      </c>
      <c r="BE764" s="1120">
        <f t="shared" si="856"/>
        <v>1</v>
      </c>
      <c r="BF764" s="1120">
        <f t="shared" si="857"/>
        <v>1</v>
      </c>
      <c r="BG764" s="1120">
        <f t="shared" si="858"/>
        <v>1</v>
      </c>
      <c r="BH764" s="1120">
        <f t="shared" si="859"/>
        <v>0</v>
      </c>
      <c r="BI764" s="1120">
        <f t="shared" si="860"/>
        <v>0</v>
      </c>
      <c r="BJ764" s="1120">
        <f t="shared" si="861"/>
        <v>0</v>
      </c>
      <c r="BK764" s="1120">
        <f t="shared" si="862"/>
        <v>1</v>
      </c>
      <c r="BL764" s="1120">
        <f t="shared" si="863"/>
        <v>1</v>
      </c>
      <c r="BM764" s="1120">
        <f t="shared" si="864"/>
        <v>1</v>
      </c>
      <c r="BN764" s="1120">
        <f t="shared" si="865"/>
        <v>1</v>
      </c>
      <c r="BO764" s="1120">
        <f t="shared" si="866"/>
        <v>1</v>
      </c>
      <c r="BP764" s="1120">
        <f t="shared" si="867"/>
        <v>0</v>
      </c>
      <c r="BQ764" s="1120">
        <f t="shared" si="868"/>
        <v>0</v>
      </c>
      <c r="BR764" s="1120">
        <f t="shared" si="869"/>
        <v>0</v>
      </c>
      <c r="BS764" s="1120">
        <f t="shared" si="870"/>
        <v>0</v>
      </c>
      <c r="BT764" s="1120">
        <f t="shared" si="871"/>
        <v>1</v>
      </c>
      <c r="BU764" s="1120">
        <f t="shared" si="872"/>
        <v>1</v>
      </c>
      <c r="BV764" s="1120">
        <f t="shared" si="873"/>
        <v>1</v>
      </c>
      <c r="BW764" s="1120">
        <f t="shared" si="874"/>
        <v>0</v>
      </c>
      <c r="BX764" s="1120">
        <f t="shared" si="875"/>
        <v>0</v>
      </c>
      <c r="BY764" s="1120">
        <f t="shared" si="876"/>
        <v>0</v>
      </c>
      <c r="BZ764" s="1120">
        <f t="shared" si="877"/>
        <v>1</v>
      </c>
      <c r="CA764" s="1120">
        <f t="shared" si="878"/>
        <v>1</v>
      </c>
      <c r="CB764" s="1120">
        <f t="shared" si="879"/>
        <v>1</v>
      </c>
      <c r="CC764" s="1120">
        <f t="shared" si="880"/>
        <v>1</v>
      </c>
      <c r="CD764" s="1120">
        <f t="shared" si="881"/>
        <v>1</v>
      </c>
      <c r="CE764" s="1120">
        <f t="shared" si="882"/>
        <v>1</v>
      </c>
      <c r="CF764" s="1120">
        <f t="shared" si="883"/>
        <v>1</v>
      </c>
      <c r="CG764" s="1120">
        <f t="shared" si="884"/>
        <v>0</v>
      </c>
      <c r="CH764" s="1120">
        <f t="shared" si="885"/>
        <v>0</v>
      </c>
      <c r="CI764" s="1120">
        <f t="shared" si="886"/>
        <v>0.85</v>
      </c>
      <c r="CJ764" s="1120">
        <f t="shared" si="887"/>
        <v>0.85</v>
      </c>
      <c r="CK764" s="1120">
        <f t="shared" si="888"/>
        <v>0.85</v>
      </c>
      <c r="CL764" s="1120">
        <f t="shared" si="889"/>
        <v>0.85</v>
      </c>
      <c r="CM764" s="1120">
        <f t="shared" si="890"/>
        <v>0.85</v>
      </c>
      <c r="CN764" s="1120">
        <f t="shared" si="891"/>
        <v>0.7</v>
      </c>
      <c r="CO764" s="1120">
        <f t="shared" si="892"/>
        <v>0.7</v>
      </c>
      <c r="CP764" s="1120">
        <f t="shared" si="893"/>
        <v>0.7</v>
      </c>
      <c r="CQ764" s="1120">
        <f t="shared" si="894"/>
        <v>0.7</v>
      </c>
      <c r="CR764" s="1120">
        <f t="shared" si="895"/>
        <v>0.85</v>
      </c>
      <c r="CS764" s="1120">
        <f t="shared" si="896"/>
        <v>0.85</v>
      </c>
      <c r="CT764" s="1120">
        <f t="shared" si="897"/>
        <v>0.85</v>
      </c>
      <c r="CU764" s="1120">
        <v>1</v>
      </c>
      <c r="CV764" s="1120"/>
      <c r="CW764" s="1120">
        <f t="shared" si="898"/>
        <v>214</v>
      </c>
      <c r="CX764" s="1120">
        <f t="shared" si="899"/>
        <v>151</v>
      </c>
      <c r="CY764" s="1136" t="s">
        <v>4881</v>
      </c>
      <c r="CZ764" s="1129" t="s">
        <v>4885</v>
      </c>
      <c r="DA764" s="1129"/>
      <c r="DB764" s="1129"/>
      <c r="DC764" s="1125" t="s">
        <v>5398</v>
      </c>
      <c r="DD764" s="1125" t="s">
        <v>426</v>
      </c>
      <c r="DE764" s="1120" t="str">
        <f t="shared" si="900"/>
        <v/>
      </c>
      <c r="DF764" s="1133">
        <v>0</v>
      </c>
      <c r="DG764" s="1120">
        <v>0</v>
      </c>
    </row>
    <row r="765" spans="1:111">
      <c r="A765" s="1125" t="s">
        <v>4232</v>
      </c>
      <c r="B765" s="1120" t="s">
        <v>4440</v>
      </c>
      <c r="C765" s="1120" t="s">
        <v>4441</v>
      </c>
      <c r="D765" s="1120" t="s">
        <v>228</v>
      </c>
      <c r="E765" s="1120">
        <v>761</v>
      </c>
      <c r="F765" s="1120">
        <v>-98.28</v>
      </c>
      <c r="G765" s="1120">
        <v>29.53</v>
      </c>
      <c r="H765" s="1120">
        <v>-6</v>
      </c>
      <c r="I765" s="1121">
        <v>31.459999978542328</v>
      </c>
      <c r="J765" s="1121">
        <v>97.33999862670899</v>
      </c>
      <c r="K765" s="1122">
        <v>73.939998626708984</v>
      </c>
      <c r="L765" s="1120">
        <v>1638</v>
      </c>
      <c r="M765" s="1120">
        <v>3042</v>
      </c>
      <c r="N765" s="1123">
        <v>49.280000686645508</v>
      </c>
      <c r="O765" s="1123">
        <v>59</v>
      </c>
      <c r="P765" s="1123">
        <v>57.740000343322755</v>
      </c>
      <c r="Q765" s="1123">
        <v>69.8</v>
      </c>
      <c r="R765" s="1123">
        <v>76.280000686645508</v>
      </c>
      <c r="S765" s="1123">
        <v>81.139998626708987</v>
      </c>
      <c r="T765" s="1123">
        <v>82.4</v>
      </c>
      <c r="U765" s="1123">
        <v>82.039998626708979</v>
      </c>
      <c r="V765" s="1123">
        <v>79.519999313354489</v>
      </c>
      <c r="W765" s="1123">
        <v>69.980000686645511</v>
      </c>
      <c r="X765" s="1123">
        <v>61.160001373291017</v>
      </c>
      <c r="Y765" s="1123">
        <v>50.359999656677246</v>
      </c>
      <c r="Z765" s="1123">
        <v>68.24953424845657</v>
      </c>
      <c r="AA765" s="1123">
        <f t="shared" si="826"/>
        <v>63.791373357037124</v>
      </c>
      <c r="AB765" s="1123">
        <f t="shared" si="827"/>
        <v>64.188272769605476</v>
      </c>
      <c r="AC765" s="1123">
        <f t="shared" si="828"/>
        <v>67.207795035369031</v>
      </c>
      <c r="AD765" s="1123">
        <f t="shared" si="829"/>
        <v>72.062855143509907</v>
      </c>
      <c r="AE765" s="1123">
        <f t="shared" si="830"/>
        <v>77.48790685810016</v>
      </c>
      <c r="AF765" s="1123">
        <f t="shared" si="831"/>
        <v>82.06882684715427</v>
      </c>
      <c r="AG765" s="1123">
        <f t="shared" si="832"/>
        <v>84.61152772141142</v>
      </c>
      <c r="AH765" s="1123">
        <f t="shared" si="833"/>
        <v>84.453215313789912</v>
      </c>
      <c r="AI765" s="1123">
        <f t="shared" si="834"/>
        <v>81.635156193004306</v>
      </c>
      <c r="AJ765" s="1123">
        <f t="shared" si="835"/>
        <v>76.891920896493005</v>
      </c>
      <c r="AK765" s="1123">
        <f t="shared" si="836"/>
        <v>71.459906799760148</v>
      </c>
      <c r="AL765" s="1123">
        <f t="shared" si="837"/>
        <v>66.755052086990304</v>
      </c>
      <c r="AM765" s="1120">
        <f t="shared" si="838"/>
        <v>1</v>
      </c>
      <c r="AN765" s="1120">
        <f t="shared" si="839"/>
        <v>1</v>
      </c>
      <c r="AO765" s="1120">
        <f t="shared" si="840"/>
        <v>1</v>
      </c>
      <c r="AP765" s="1120">
        <f t="shared" si="841"/>
        <v>0</v>
      </c>
      <c r="AQ765" s="1120">
        <f t="shared" si="842"/>
        <v>0</v>
      </c>
      <c r="AR765" s="1120">
        <f t="shared" si="843"/>
        <v>0</v>
      </c>
      <c r="AS765" s="1120">
        <f t="shared" si="844"/>
        <v>0</v>
      </c>
      <c r="AT765" s="1120">
        <f t="shared" si="845"/>
        <v>0</v>
      </c>
      <c r="AU765" s="1120">
        <f t="shared" si="846"/>
        <v>0</v>
      </c>
      <c r="AV765" s="1120">
        <f t="shared" si="847"/>
        <v>0</v>
      </c>
      <c r="AW765" s="1120">
        <f t="shared" si="848"/>
        <v>1</v>
      </c>
      <c r="AX765" s="1120">
        <f t="shared" si="849"/>
        <v>1</v>
      </c>
      <c r="AY765" s="1120">
        <f t="shared" si="850"/>
        <v>0</v>
      </c>
      <c r="AZ765" s="1120">
        <f t="shared" si="851"/>
        <v>0</v>
      </c>
      <c r="BA765" s="1120">
        <f t="shared" si="852"/>
        <v>0</v>
      </c>
      <c r="BB765" s="1120">
        <f t="shared" si="853"/>
        <v>1</v>
      </c>
      <c r="BC765" s="1120">
        <f t="shared" si="854"/>
        <v>1</v>
      </c>
      <c r="BD765" s="1120">
        <f t="shared" si="855"/>
        <v>1</v>
      </c>
      <c r="BE765" s="1120">
        <f t="shared" si="856"/>
        <v>1</v>
      </c>
      <c r="BF765" s="1120">
        <f t="shared" si="857"/>
        <v>1</v>
      </c>
      <c r="BG765" s="1120">
        <f t="shared" si="858"/>
        <v>1</v>
      </c>
      <c r="BH765" s="1120">
        <f t="shared" si="859"/>
        <v>1</v>
      </c>
      <c r="BI765" s="1120">
        <f t="shared" si="860"/>
        <v>0</v>
      </c>
      <c r="BJ765" s="1120">
        <f t="shared" si="861"/>
        <v>0</v>
      </c>
      <c r="BK765" s="1120">
        <f t="shared" si="862"/>
        <v>1</v>
      </c>
      <c r="BL765" s="1120">
        <f t="shared" si="863"/>
        <v>1</v>
      </c>
      <c r="BM765" s="1120">
        <f t="shared" si="864"/>
        <v>1</v>
      </c>
      <c r="BN765" s="1120">
        <f t="shared" si="865"/>
        <v>1</v>
      </c>
      <c r="BO765" s="1120">
        <f t="shared" si="866"/>
        <v>0</v>
      </c>
      <c r="BP765" s="1120">
        <f t="shared" si="867"/>
        <v>0</v>
      </c>
      <c r="BQ765" s="1120">
        <f t="shared" si="868"/>
        <v>0</v>
      </c>
      <c r="BR765" s="1120">
        <f t="shared" si="869"/>
        <v>0</v>
      </c>
      <c r="BS765" s="1120">
        <f t="shared" si="870"/>
        <v>0</v>
      </c>
      <c r="BT765" s="1120">
        <f t="shared" si="871"/>
        <v>0</v>
      </c>
      <c r="BU765" s="1120">
        <f t="shared" si="872"/>
        <v>1</v>
      </c>
      <c r="BV765" s="1120">
        <f t="shared" si="873"/>
        <v>1</v>
      </c>
      <c r="BW765" s="1120">
        <f t="shared" si="874"/>
        <v>0</v>
      </c>
      <c r="BX765" s="1120">
        <f t="shared" si="875"/>
        <v>0</v>
      </c>
      <c r="BY765" s="1120">
        <f t="shared" si="876"/>
        <v>1</v>
      </c>
      <c r="BZ765" s="1120">
        <f t="shared" si="877"/>
        <v>1</v>
      </c>
      <c r="CA765" s="1120">
        <f t="shared" si="878"/>
        <v>1</v>
      </c>
      <c r="CB765" s="1120">
        <f t="shared" si="879"/>
        <v>1</v>
      </c>
      <c r="CC765" s="1120">
        <f t="shared" si="880"/>
        <v>1</v>
      </c>
      <c r="CD765" s="1120">
        <f t="shared" si="881"/>
        <v>1</v>
      </c>
      <c r="CE765" s="1120">
        <f t="shared" si="882"/>
        <v>1</v>
      </c>
      <c r="CF765" s="1120">
        <f t="shared" si="883"/>
        <v>1</v>
      </c>
      <c r="CG765" s="1120">
        <f t="shared" si="884"/>
        <v>1</v>
      </c>
      <c r="CH765" s="1120">
        <f t="shared" si="885"/>
        <v>0</v>
      </c>
      <c r="CI765" s="1120">
        <f t="shared" si="886"/>
        <v>0.85</v>
      </c>
      <c r="CJ765" s="1120">
        <f t="shared" si="887"/>
        <v>0.85</v>
      </c>
      <c r="CK765" s="1120">
        <f t="shared" si="888"/>
        <v>0.85</v>
      </c>
      <c r="CL765" s="1120">
        <f t="shared" si="889"/>
        <v>0.85</v>
      </c>
      <c r="CM765" s="1120">
        <f t="shared" si="890"/>
        <v>0.7</v>
      </c>
      <c r="CN765" s="1120">
        <f t="shared" si="891"/>
        <v>0.7</v>
      </c>
      <c r="CO765" s="1120">
        <f t="shared" si="892"/>
        <v>0.7</v>
      </c>
      <c r="CP765" s="1120">
        <f t="shared" si="893"/>
        <v>0.7</v>
      </c>
      <c r="CQ765" s="1120">
        <f t="shared" si="894"/>
        <v>0.7</v>
      </c>
      <c r="CR765" s="1120">
        <f t="shared" si="895"/>
        <v>0.7</v>
      </c>
      <c r="CS765" s="1120">
        <f t="shared" si="896"/>
        <v>0.85</v>
      </c>
      <c r="CT765" s="1120">
        <f t="shared" si="897"/>
        <v>0.85</v>
      </c>
      <c r="CU765" s="1120">
        <v>1</v>
      </c>
      <c r="CV765" s="1120"/>
      <c r="CW765" s="1120">
        <f t="shared" si="898"/>
        <v>275</v>
      </c>
      <c r="CX765" s="1120">
        <f t="shared" si="899"/>
        <v>90</v>
      </c>
      <c r="CY765" s="1135" t="s">
        <v>4883</v>
      </c>
      <c r="CZ765" s="1124" t="s">
        <v>4884</v>
      </c>
      <c r="DA765" s="1124"/>
      <c r="DB765" s="1124"/>
      <c r="DC765" s="1120" t="s">
        <v>5610</v>
      </c>
      <c r="DD765" s="1120" t="s">
        <v>228</v>
      </c>
      <c r="DE765" s="1120" t="str">
        <f t="shared" si="900"/>
        <v/>
      </c>
      <c r="DF765" s="1133">
        <v>0</v>
      </c>
      <c r="DG765" s="1125">
        <v>0</v>
      </c>
    </row>
    <row r="766" spans="1:111">
      <c r="A766" s="1120" t="s">
        <v>4234</v>
      </c>
      <c r="B766" s="1120" t="s">
        <v>4328</v>
      </c>
      <c r="C766" s="1120" t="s">
        <v>4329</v>
      </c>
      <c r="D766" s="1120" t="s">
        <v>1147</v>
      </c>
      <c r="E766" s="1120">
        <v>3159</v>
      </c>
      <c r="F766" s="1120">
        <v>-103.05</v>
      </c>
      <c r="G766" s="1120">
        <v>44.05</v>
      </c>
      <c r="H766" s="1120">
        <v>-7</v>
      </c>
      <c r="I766" s="1121">
        <v>-4.5399986267089849</v>
      </c>
      <c r="J766" s="1121">
        <v>92.83999862670899</v>
      </c>
      <c r="K766" s="1122">
        <v>65.66000137329101</v>
      </c>
      <c r="L766" s="1120">
        <v>7077.6</v>
      </c>
      <c r="M766" s="1120">
        <v>725.4</v>
      </c>
      <c r="N766" s="1123">
        <v>22.279999828338624</v>
      </c>
      <c r="O766" s="1123">
        <v>25.879999828338622</v>
      </c>
      <c r="P766" s="1123">
        <v>35.779999828338624</v>
      </c>
      <c r="Q766" s="1123">
        <v>44.240000343322755</v>
      </c>
      <c r="R766" s="1123">
        <v>55.940000343322751</v>
      </c>
      <c r="S766" s="1123">
        <v>66.739998626708982</v>
      </c>
      <c r="T766" s="1123">
        <v>72.5</v>
      </c>
      <c r="U766" s="1123">
        <v>71.960001373291021</v>
      </c>
      <c r="V766" s="1123">
        <v>60.259999656677245</v>
      </c>
      <c r="W766" s="1123">
        <v>47.119999313354491</v>
      </c>
      <c r="X766" s="1123">
        <v>32.540000021457672</v>
      </c>
      <c r="Y766" s="1123">
        <v>27.139999914169312</v>
      </c>
      <c r="Z766" s="1123">
        <v>46.992767050037642</v>
      </c>
      <c r="AA766" s="1123">
        <f t="shared" si="826"/>
        <v>43.79393019811743</v>
      </c>
      <c r="AB766" s="1123">
        <f t="shared" si="827"/>
        <v>42.203723016862014</v>
      </c>
      <c r="AC766" s="1123">
        <f t="shared" si="828"/>
        <v>43.425846427055149</v>
      </c>
      <c r="AD766" s="1123">
        <f t="shared" si="829"/>
        <v>47.141735128338162</v>
      </c>
      <c r="AE766" s="1123">
        <f t="shared" si="830"/>
        <v>52.382785467143393</v>
      </c>
      <c r="AF766" s="1123">
        <f t="shared" si="831"/>
        <v>57.782836905630745</v>
      </c>
      <c r="AG766" s="1123">
        <f t="shared" si="832"/>
        <v>61.934282819046842</v>
      </c>
      <c r="AH766" s="1123">
        <f t="shared" si="833"/>
        <v>63.754984854341743</v>
      </c>
      <c r="AI766" s="1123">
        <f t="shared" si="834"/>
        <v>62.770348968148156</v>
      </c>
      <c r="AJ766" s="1123">
        <f t="shared" si="835"/>
        <v>59.237035677900742</v>
      </c>
      <c r="AK766" s="1123">
        <f t="shared" si="836"/>
        <v>54.076057542708483</v>
      </c>
      <c r="AL766" s="1123">
        <f t="shared" si="837"/>
        <v>48.632703046589761</v>
      </c>
      <c r="AM766" s="1120">
        <f t="shared" si="838"/>
        <v>1</v>
      </c>
      <c r="AN766" s="1120">
        <f t="shared" si="839"/>
        <v>1</v>
      </c>
      <c r="AO766" s="1120">
        <f t="shared" si="840"/>
        <v>1</v>
      </c>
      <c r="AP766" s="1120">
        <f t="shared" si="841"/>
        <v>1</v>
      </c>
      <c r="AQ766" s="1120">
        <f t="shared" si="842"/>
        <v>1</v>
      </c>
      <c r="AR766" s="1120">
        <f t="shared" si="843"/>
        <v>0</v>
      </c>
      <c r="AS766" s="1120">
        <f t="shared" si="844"/>
        <v>0</v>
      </c>
      <c r="AT766" s="1120">
        <f t="shared" si="845"/>
        <v>0</v>
      </c>
      <c r="AU766" s="1120">
        <f t="shared" si="846"/>
        <v>1</v>
      </c>
      <c r="AV766" s="1120">
        <f t="shared" si="847"/>
        <v>1</v>
      </c>
      <c r="AW766" s="1120">
        <f t="shared" si="848"/>
        <v>1</v>
      </c>
      <c r="AX766" s="1120">
        <f t="shared" si="849"/>
        <v>1</v>
      </c>
      <c r="AY766" s="1120">
        <f t="shared" si="850"/>
        <v>0</v>
      </c>
      <c r="AZ766" s="1120">
        <f t="shared" si="851"/>
        <v>0</v>
      </c>
      <c r="BA766" s="1120">
        <f t="shared" si="852"/>
        <v>0</v>
      </c>
      <c r="BB766" s="1120">
        <f t="shared" si="853"/>
        <v>0</v>
      </c>
      <c r="BC766" s="1120">
        <f t="shared" si="854"/>
        <v>0</v>
      </c>
      <c r="BD766" s="1120">
        <f t="shared" si="855"/>
        <v>1</v>
      </c>
      <c r="BE766" s="1120">
        <f t="shared" si="856"/>
        <v>1</v>
      </c>
      <c r="BF766" s="1120">
        <f t="shared" si="857"/>
        <v>1</v>
      </c>
      <c r="BG766" s="1120">
        <f t="shared" si="858"/>
        <v>0</v>
      </c>
      <c r="BH766" s="1120">
        <f t="shared" si="859"/>
        <v>0</v>
      </c>
      <c r="BI766" s="1120">
        <f t="shared" si="860"/>
        <v>0</v>
      </c>
      <c r="BJ766" s="1120">
        <f t="shared" si="861"/>
        <v>0</v>
      </c>
      <c r="BK766" s="1120">
        <f t="shared" si="862"/>
        <v>1</v>
      </c>
      <c r="BL766" s="1120">
        <f t="shared" si="863"/>
        <v>1</v>
      </c>
      <c r="BM766" s="1120">
        <f t="shared" si="864"/>
        <v>1</v>
      </c>
      <c r="BN766" s="1120">
        <f t="shared" si="865"/>
        <v>1</v>
      </c>
      <c r="BO766" s="1120">
        <f t="shared" si="866"/>
        <v>1</v>
      </c>
      <c r="BP766" s="1120">
        <f t="shared" si="867"/>
        <v>1</v>
      </c>
      <c r="BQ766" s="1120">
        <f t="shared" si="868"/>
        <v>0</v>
      </c>
      <c r="BR766" s="1120">
        <f t="shared" si="869"/>
        <v>0</v>
      </c>
      <c r="BS766" s="1120">
        <f t="shared" si="870"/>
        <v>1</v>
      </c>
      <c r="BT766" s="1120">
        <f t="shared" si="871"/>
        <v>1</v>
      </c>
      <c r="BU766" s="1120">
        <f t="shared" si="872"/>
        <v>1</v>
      </c>
      <c r="BV766" s="1120">
        <f t="shared" si="873"/>
        <v>1</v>
      </c>
      <c r="BW766" s="1120">
        <f t="shared" si="874"/>
        <v>0</v>
      </c>
      <c r="BX766" s="1120">
        <f t="shared" si="875"/>
        <v>0</v>
      </c>
      <c r="BY766" s="1120">
        <f t="shared" si="876"/>
        <v>0</v>
      </c>
      <c r="BZ766" s="1120">
        <f t="shared" si="877"/>
        <v>0</v>
      </c>
      <c r="CA766" s="1120">
        <f t="shared" si="878"/>
        <v>1</v>
      </c>
      <c r="CB766" s="1120">
        <f t="shared" si="879"/>
        <v>1</v>
      </c>
      <c r="CC766" s="1120">
        <f t="shared" si="880"/>
        <v>1</v>
      </c>
      <c r="CD766" s="1120">
        <f t="shared" si="881"/>
        <v>1</v>
      </c>
      <c r="CE766" s="1120">
        <f t="shared" si="882"/>
        <v>1</v>
      </c>
      <c r="CF766" s="1120">
        <f t="shared" si="883"/>
        <v>0</v>
      </c>
      <c r="CG766" s="1120">
        <f t="shared" si="884"/>
        <v>0</v>
      </c>
      <c r="CH766" s="1120">
        <f t="shared" si="885"/>
        <v>0</v>
      </c>
      <c r="CI766" s="1120">
        <f t="shared" si="886"/>
        <v>0.85</v>
      </c>
      <c r="CJ766" s="1120">
        <f t="shared" si="887"/>
        <v>0.85</v>
      </c>
      <c r="CK766" s="1120">
        <f t="shared" si="888"/>
        <v>0.85</v>
      </c>
      <c r="CL766" s="1120">
        <f t="shared" si="889"/>
        <v>0.85</v>
      </c>
      <c r="CM766" s="1120">
        <f t="shared" si="890"/>
        <v>0.85</v>
      </c>
      <c r="CN766" s="1120">
        <f t="shared" si="891"/>
        <v>0.85</v>
      </c>
      <c r="CO766" s="1120">
        <f t="shared" si="892"/>
        <v>0.7</v>
      </c>
      <c r="CP766" s="1120">
        <f t="shared" si="893"/>
        <v>0.7</v>
      </c>
      <c r="CQ766" s="1120">
        <f t="shared" si="894"/>
        <v>0.85</v>
      </c>
      <c r="CR766" s="1120">
        <f t="shared" si="895"/>
        <v>0.85</v>
      </c>
      <c r="CS766" s="1120">
        <f t="shared" si="896"/>
        <v>0.85</v>
      </c>
      <c r="CT766" s="1120">
        <f t="shared" si="897"/>
        <v>0.85</v>
      </c>
      <c r="CU766" s="1120">
        <v>1</v>
      </c>
      <c r="CV766" s="1120"/>
      <c r="CW766" s="1120">
        <f t="shared" si="898"/>
        <v>153</v>
      </c>
      <c r="CX766" s="1120">
        <f t="shared" si="899"/>
        <v>212</v>
      </c>
      <c r="CY766" s="1135" t="s">
        <v>4889</v>
      </c>
      <c r="CZ766" s="1124" t="s">
        <v>4899</v>
      </c>
      <c r="DA766" s="1124"/>
      <c r="DB766" s="1124"/>
      <c r="DC766" s="1120" t="s">
        <v>5562</v>
      </c>
      <c r="DD766" s="1120" t="s">
        <v>1147</v>
      </c>
      <c r="DE766" s="1120" t="str">
        <f t="shared" si="900"/>
        <v/>
      </c>
      <c r="DF766" s="1133">
        <v>1</v>
      </c>
      <c r="DG766" s="1120">
        <v>0</v>
      </c>
    </row>
    <row r="767" spans="1:111">
      <c r="A767" s="1125" t="s">
        <v>5911</v>
      </c>
      <c r="B767" s="1120" t="s">
        <v>4681</v>
      </c>
      <c r="C767" s="1120" t="s">
        <v>4682</v>
      </c>
      <c r="D767" s="1120" t="s">
        <v>904</v>
      </c>
      <c r="E767" s="1120">
        <v>6734</v>
      </c>
      <c r="F767" s="1120">
        <v>-107.2</v>
      </c>
      <c r="G767" s="1120">
        <v>41.8</v>
      </c>
      <c r="H767" s="1120">
        <v>-7</v>
      </c>
      <c r="I767" s="1121">
        <v>5.7199993133544913</v>
      </c>
      <c r="J767" s="1121">
        <v>90.139998626708987</v>
      </c>
      <c r="K767" s="1122">
        <v>55.580000686645505</v>
      </c>
      <c r="L767" s="1120">
        <v>7318.8</v>
      </c>
      <c r="M767" s="1120">
        <v>372.6</v>
      </c>
      <c r="N767" s="1123">
        <v>28.4</v>
      </c>
      <c r="O767" s="1123">
        <v>27.860000085830688</v>
      </c>
      <c r="P767" s="1123">
        <v>37.4</v>
      </c>
      <c r="Q767" s="1123">
        <v>42.97999982833862</v>
      </c>
      <c r="R767" s="1123">
        <v>52.7</v>
      </c>
      <c r="S767" s="1123">
        <v>61.160001373291017</v>
      </c>
      <c r="T767" s="1123">
        <v>71.780000686645508</v>
      </c>
      <c r="U767" s="1123">
        <v>67.639998626708987</v>
      </c>
      <c r="V767" s="1123">
        <v>53.959999656677248</v>
      </c>
      <c r="W767" s="1123">
        <v>42.259999656677245</v>
      </c>
      <c r="X767" s="1123">
        <v>30.740000021457671</v>
      </c>
      <c r="Y767" s="1123">
        <v>26.420000171661378</v>
      </c>
      <c r="Z767" s="1123">
        <v>45.396931512845704</v>
      </c>
      <c r="AA767" s="1123">
        <f t="shared" si="826"/>
        <v>43.534658626954446</v>
      </c>
      <c r="AB767" s="1123">
        <f t="shared" si="827"/>
        <v>42.026149795518826</v>
      </c>
      <c r="AC767" s="1123">
        <f t="shared" si="828"/>
        <v>42.960279626821922</v>
      </c>
      <c r="AD767" s="1123">
        <f t="shared" si="829"/>
        <v>46.093552784958128</v>
      </c>
      <c r="AE767" s="1123">
        <f t="shared" si="830"/>
        <v>50.609233336058303</v>
      </c>
      <c r="AF767" s="1123">
        <f t="shared" si="831"/>
        <v>55.330239555734458</v>
      </c>
      <c r="AG767" s="1123">
        <f t="shared" si="832"/>
        <v>59.025968419919941</v>
      </c>
      <c r="AH767" s="1123">
        <f t="shared" si="833"/>
        <v>60.733071247259062</v>
      </c>
      <c r="AI767" s="1123">
        <f t="shared" si="834"/>
        <v>60.006565378555003</v>
      </c>
      <c r="AJ767" s="1123">
        <f t="shared" si="835"/>
        <v>57.035825764279792</v>
      </c>
      <c r="AK767" s="1123">
        <f t="shared" si="836"/>
        <v>52.595221465377499</v>
      </c>
      <c r="AL767" s="1123">
        <f t="shared" si="837"/>
        <v>47.842264424140652</v>
      </c>
      <c r="AM767" s="1120">
        <f t="shared" si="838"/>
        <v>1</v>
      </c>
      <c r="AN767" s="1120">
        <f t="shared" si="839"/>
        <v>1</v>
      </c>
      <c r="AO767" s="1120">
        <f t="shared" si="840"/>
        <v>1</v>
      </c>
      <c r="AP767" s="1120">
        <f t="shared" si="841"/>
        <v>1</v>
      </c>
      <c r="AQ767" s="1120">
        <f t="shared" si="842"/>
        <v>1</v>
      </c>
      <c r="AR767" s="1120">
        <f t="shared" si="843"/>
        <v>1</v>
      </c>
      <c r="AS767" s="1120">
        <f t="shared" si="844"/>
        <v>0</v>
      </c>
      <c r="AT767" s="1120">
        <f t="shared" si="845"/>
        <v>0</v>
      </c>
      <c r="AU767" s="1120">
        <f t="shared" si="846"/>
        <v>1</v>
      </c>
      <c r="AV767" s="1120">
        <f t="shared" si="847"/>
        <v>1</v>
      </c>
      <c r="AW767" s="1120">
        <f t="shared" si="848"/>
        <v>1</v>
      </c>
      <c r="AX767" s="1120">
        <f t="shared" si="849"/>
        <v>1</v>
      </c>
      <c r="AY767" s="1120">
        <f t="shared" si="850"/>
        <v>0</v>
      </c>
      <c r="AZ767" s="1120">
        <f t="shared" si="851"/>
        <v>0</v>
      </c>
      <c r="BA767" s="1120">
        <f t="shared" si="852"/>
        <v>0</v>
      </c>
      <c r="BB767" s="1120">
        <f t="shared" si="853"/>
        <v>0</v>
      </c>
      <c r="BC767" s="1120">
        <f t="shared" si="854"/>
        <v>0</v>
      </c>
      <c r="BD767" s="1120">
        <f t="shared" si="855"/>
        <v>0</v>
      </c>
      <c r="BE767" s="1120">
        <f t="shared" si="856"/>
        <v>1</v>
      </c>
      <c r="BF767" s="1120">
        <f t="shared" si="857"/>
        <v>1</v>
      </c>
      <c r="BG767" s="1120">
        <f t="shared" si="858"/>
        <v>0</v>
      </c>
      <c r="BH767" s="1120">
        <f t="shared" si="859"/>
        <v>0</v>
      </c>
      <c r="BI767" s="1120">
        <f t="shared" si="860"/>
        <v>0</v>
      </c>
      <c r="BJ767" s="1120">
        <f t="shared" si="861"/>
        <v>0</v>
      </c>
      <c r="BK767" s="1120">
        <f t="shared" si="862"/>
        <v>1</v>
      </c>
      <c r="BL767" s="1120">
        <f t="shared" si="863"/>
        <v>1</v>
      </c>
      <c r="BM767" s="1120">
        <f t="shared" si="864"/>
        <v>1</v>
      </c>
      <c r="BN767" s="1120">
        <f t="shared" si="865"/>
        <v>1</v>
      </c>
      <c r="BO767" s="1120">
        <f t="shared" si="866"/>
        <v>1</v>
      </c>
      <c r="BP767" s="1120">
        <f t="shared" si="867"/>
        <v>1</v>
      </c>
      <c r="BQ767" s="1120">
        <f t="shared" si="868"/>
        <v>1</v>
      </c>
      <c r="BR767" s="1120">
        <f t="shared" si="869"/>
        <v>0</v>
      </c>
      <c r="BS767" s="1120">
        <f t="shared" si="870"/>
        <v>1</v>
      </c>
      <c r="BT767" s="1120">
        <f t="shared" si="871"/>
        <v>1</v>
      </c>
      <c r="BU767" s="1120">
        <f t="shared" si="872"/>
        <v>1</v>
      </c>
      <c r="BV767" s="1120">
        <f t="shared" si="873"/>
        <v>1</v>
      </c>
      <c r="BW767" s="1120">
        <f t="shared" si="874"/>
        <v>0</v>
      </c>
      <c r="BX767" s="1120">
        <f t="shared" si="875"/>
        <v>0</v>
      </c>
      <c r="BY767" s="1120">
        <f t="shared" si="876"/>
        <v>0</v>
      </c>
      <c r="BZ767" s="1120">
        <f t="shared" si="877"/>
        <v>0</v>
      </c>
      <c r="CA767" s="1120">
        <f t="shared" si="878"/>
        <v>0</v>
      </c>
      <c r="CB767" s="1120">
        <f t="shared" si="879"/>
        <v>1</v>
      </c>
      <c r="CC767" s="1120">
        <f t="shared" si="880"/>
        <v>1</v>
      </c>
      <c r="CD767" s="1120">
        <f t="shared" si="881"/>
        <v>1</v>
      </c>
      <c r="CE767" s="1120">
        <f t="shared" si="882"/>
        <v>1</v>
      </c>
      <c r="CF767" s="1120">
        <f t="shared" si="883"/>
        <v>0</v>
      </c>
      <c r="CG767" s="1120">
        <f t="shared" si="884"/>
        <v>0</v>
      </c>
      <c r="CH767" s="1120">
        <f t="shared" si="885"/>
        <v>0</v>
      </c>
      <c r="CI767" s="1120">
        <f t="shared" si="886"/>
        <v>0.85</v>
      </c>
      <c r="CJ767" s="1120">
        <f t="shared" si="887"/>
        <v>0.85</v>
      </c>
      <c r="CK767" s="1120">
        <f t="shared" si="888"/>
        <v>0.85</v>
      </c>
      <c r="CL767" s="1120">
        <f t="shared" si="889"/>
        <v>0.85</v>
      </c>
      <c r="CM767" s="1120">
        <f t="shared" si="890"/>
        <v>0.85</v>
      </c>
      <c r="CN767" s="1120">
        <f t="shared" si="891"/>
        <v>0.85</v>
      </c>
      <c r="CO767" s="1120">
        <f t="shared" si="892"/>
        <v>0.85</v>
      </c>
      <c r="CP767" s="1120">
        <f t="shared" si="893"/>
        <v>0.7</v>
      </c>
      <c r="CQ767" s="1120">
        <f t="shared" si="894"/>
        <v>0.85</v>
      </c>
      <c r="CR767" s="1120">
        <f t="shared" si="895"/>
        <v>0.85</v>
      </c>
      <c r="CS767" s="1120">
        <f t="shared" si="896"/>
        <v>0.85</v>
      </c>
      <c r="CT767" s="1120">
        <f t="shared" si="897"/>
        <v>0.85</v>
      </c>
      <c r="CU767" s="1120">
        <v>1</v>
      </c>
      <c r="CV767" s="1120"/>
      <c r="CW767" s="1120">
        <f t="shared" si="898"/>
        <v>122</v>
      </c>
      <c r="CX767" s="1120">
        <f t="shared" si="899"/>
        <v>243</v>
      </c>
      <c r="CY767" s="1136" t="s">
        <v>4889</v>
      </c>
      <c r="CZ767" s="1129" t="s">
        <v>4896</v>
      </c>
      <c r="DA767" s="1129"/>
      <c r="DB767" s="1129"/>
      <c r="DC767" s="1125" t="s">
        <v>5700</v>
      </c>
      <c r="DD767" s="1125" t="s">
        <v>904</v>
      </c>
      <c r="DE767" s="1120" t="str">
        <f t="shared" si="900"/>
        <v/>
      </c>
      <c r="DF767" s="1133">
        <v>0</v>
      </c>
      <c r="DG767" s="1125">
        <v>0</v>
      </c>
    </row>
    <row r="768" spans="1:111">
      <c r="A768" s="1120" t="s">
        <v>4236</v>
      </c>
      <c r="B768" s="1125" t="s">
        <v>4282</v>
      </c>
      <c r="C768" s="1125" t="s">
        <v>4283</v>
      </c>
      <c r="D768" s="1125" t="s">
        <v>539</v>
      </c>
      <c r="E768" s="1125">
        <v>341</v>
      </c>
      <c r="F768" s="1125">
        <v>-75.97</v>
      </c>
      <c r="G768" s="1125">
        <v>40.369999999999997</v>
      </c>
      <c r="H768" s="1125">
        <v>-5</v>
      </c>
      <c r="I768" s="1126">
        <v>13.280000686645508</v>
      </c>
      <c r="J768" s="1126">
        <v>89.6</v>
      </c>
      <c r="K768" s="1127">
        <v>73.039998626708979</v>
      </c>
      <c r="L768" s="1125">
        <v>4863.6000000000004</v>
      </c>
      <c r="M768" s="1125">
        <v>975.6</v>
      </c>
      <c r="N768" s="1128">
        <v>29.119999957084655</v>
      </c>
      <c r="O768" s="1128">
        <v>32.720000010728839</v>
      </c>
      <c r="P768" s="1128">
        <v>42.620000171661374</v>
      </c>
      <c r="Q768" s="1128">
        <v>52.340000343322757</v>
      </c>
      <c r="R768" s="1128">
        <v>62.960001373291014</v>
      </c>
      <c r="S768" s="1128">
        <v>71.239998626708982</v>
      </c>
      <c r="T768" s="1128">
        <v>72.860001373291013</v>
      </c>
      <c r="U768" s="1128">
        <v>71.239998626708982</v>
      </c>
      <c r="V768" s="1128">
        <v>69.080000686645505</v>
      </c>
      <c r="W768" s="1128">
        <v>53.780000686645508</v>
      </c>
      <c r="X768" s="1128">
        <v>47.480000686645511</v>
      </c>
      <c r="Y768" s="1128">
        <v>38.47999982833862</v>
      </c>
      <c r="Z768" s="1128">
        <v>53.762246775692454</v>
      </c>
      <c r="AA768" s="1128">
        <f t="shared" si="826"/>
        <v>49.889638146413283</v>
      </c>
      <c r="AB768" s="1128">
        <f t="shared" si="827"/>
        <v>48.915769553005617</v>
      </c>
      <c r="AC768" s="1128">
        <f t="shared" si="828"/>
        <v>50.769202396964843</v>
      </c>
      <c r="AD768" s="1128">
        <f t="shared" si="829"/>
        <v>54.966810845248297</v>
      </c>
      <c r="AE768" s="1128">
        <f t="shared" si="830"/>
        <v>60.414423568706631</v>
      </c>
      <c r="AF768" s="1128">
        <f t="shared" si="831"/>
        <v>65.692036360717225</v>
      </c>
      <c r="AG768" s="1128">
        <f t="shared" si="832"/>
        <v>69.423958116567533</v>
      </c>
      <c r="AH768" s="1128">
        <f t="shared" si="833"/>
        <v>70.637405919940079</v>
      </c>
      <c r="AI768" s="1128">
        <f t="shared" si="834"/>
        <v>69.016075901089124</v>
      </c>
      <c r="AJ768" s="1128">
        <f t="shared" si="835"/>
        <v>64.982592714880056</v>
      </c>
      <c r="AK768" s="1128">
        <f t="shared" si="836"/>
        <v>59.588345911655693</v>
      </c>
      <c r="AL768" s="1128">
        <f t="shared" si="837"/>
        <v>54.239429048535939</v>
      </c>
      <c r="AM768" s="1125">
        <f t="shared" si="838"/>
        <v>1</v>
      </c>
      <c r="AN768" s="1125">
        <f t="shared" si="839"/>
        <v>1</v>
      </c>
      <c r="AO768" s="1125">
        <f t="shared" si="840"/>
        <v>1</v>
      </c>
      <c r="AP768" s="1125">
        <f t="shared" si="841"/>
        <v>1</v>
      </c>
      <c r="AQ768" s="1125">
        <f t="shared" si="842"/>
        <v>1</v>
      </c>
      <c r="AR768" s="1125">
        <f t="shared" si="843"/>
        <v>0</v>
      </c>
      <c r="AS768" s="1125">
        <f t="shared" si="844"/>
        <v>0</v>
      </c>
      <c r="AT768" s="1125">
        <f t="shared" si="845"/>
        <v>0</v>
      </c>
      <c r="AU768" s="1125">
        <f t="shared" si="846"/>
        <v>0</v>
      </c>
      <c r="AV768" s="1125">
        <f t="shared" si="847"/>
        <v>1</v>
      </c>
      <c r="AW768" s="1125">
        <f t="shared" si="848"/>
        <v>1</v>
      </c>
      <c r="AX768" s="1125">
        <f t="shared" si="849"/>
        <v>1</v>
      </c>
      <c r="AY768" s="1125">
        <f t="shared" si="850"/>
        <v>0</v>
      </c>
      <c r="AZ768" s="1125">
        <f t="shared" si="851"/>
        <v>0</v>
      </c>
      <c r="BA768" s="1125">
        <f t="shared" si="852"/>
        <v>0</v>
      </c>
      <c r="BB768" s="1125">
        <f t="shared" si="853"/>
        <v>0</v>
      </c>
      <c r="BC768" s="1125">
        <f t="shared" si="854"/>
        <v>0</v>
      </c>
      <c r="BD768" s="1125">
        <f t="shared" si="855"/>
        <v>1</v>
      </c>
      <c r="BE768" s="1125">
        <f t="shared" si="856"/>
        <v>1</v>
      </c>
      <c r="BF768" s="1125">
        <f t="shared" si="857"/>
        <v>1</v>
      </c>
      <c r="BG768" s="1125">
        <f t="shared" si="858"/>
        <v>1</v>
      </c>
      <c r="BH768" s="1125">
        <f t="shared" si="859"/>
        <v>0</v>
      </c>
      <c r="BI768" s="1125">
        <f t="shared" si="860"/>
        <v>0</v>
      </c>
      <c r="BJ768" s="1125">
        <f t="shared" si="861"/>
        <v>0</v>
      </c>
      <c r="BK768" s="1125">
        <f t="shared" si="862"/>
        <v>1</v>
      </c>
      <c r="BL768" s="1125">
        <f t="shared" si="863"/>
        <v>1</v>
      </c>
      <c r="BM768" s="1125">
        <f t="shared" si="864"/>
        <v>1</v>
      </c>
      <c r="BN768" s="1125">
        <f t="shared" si="865"/>
        <v>1</v>
      </c>
      <c r="BO768" s="1125">
        <f t="shared" si="866"/>
        <v>1</v>
      </c>
      <c r="BP768" s="1125">
        <f t="shared" si="867"/>
        <v>1</v>
      </c>
      <c r="BQ768" s="1125">
        <f t="shared" si="868"/>
        <v>0</v>
      </c>
      <c r="BR768" s="1125">
        <f t="shared" si="869"/>
        <v>0</v>
      </c>
      <c r="BS768" s="1125">
        <f t="shared" si="870"/>
        <v>0</v>
      </c>
      <c r="BT768" s="1125">
        <f t="shared" si="871"/>
        <v>1</v>
      </c>
      <c r="BU768" s="1125">
        <f t="shared" si="872"/>
        <v>1</v>
      </c>
      <c r="BV768" s="1125">
        <f t="shared" si="873"/>
        <v>1</v>
      </c>
      <c r="BW768" s="1125">
        <f t="shared" si="874"/>
        <v>0</v>
      </c>
      <c r="BX768" s="1125">
        <f t="shared" si="875"/>
        <v>0</v>
      </c>
      <c r="BY768" s="1125">
        <f t="shared" si="876"/>
        <v>0</v>
      </c>
      <c r="BZ768" s="1125">
        <f t="shared" si="877"/>
        <v>0</v>
      </c>
      <c r="CA768" s="1125">
        <f t="shared" si="878"/>
        <v>1</v>
      </c>
      <c r="CB768" s="1125">
        <f t="shared" si="879"/>
        <v>1</v>
      </c>
      <c r="CC768" s="1125">
        <f t="shared" si="880"/>
        <v>1</v>
      </c>
      <c r="CD768" s="1125">
        <f t="shared" si="881"/>
        <v>1</v>
      </c>
      <c r="CE768" s="1125">
        <f t="shared" si="882"/>
        <v>1</v>
      </c>
      <c r="CF768" s="1125">
        <f t="shared" si="883"/>
        <v>1</v>
      </c>
      <c r="CG768" s="1125">
        <f t="shared" si="884"/>
        <v>0</v>
      </c>
      <c r="CH768" s="1125">
        <f t="shared" si="885"/>
        <v>0</v>
      </c>
      <c r="CI768" s="1125">
        <f t="shared" si="886"/>
        <v>0.85</v>
      </c>
      <c r="CJ768" s="1125">
        <f t="shared" si="887"/>
        <v>0.85</v>
      </c>
      <c r="CK768" s="1125">
        <f t="shared" si="888"/>
        <v>0.85</v>
      </c>
      <c r="CL768" s="1125">
        <f t="shared" si="889"/>
        <v>0.85</v>
      </c>
      <c r="CM768" s="1125">
        <f t="shared" si="890"/>
        <v>0.85</v>
      </c>
      <c r="CN768" s="1125">
        <f t="shared" si="891"/>
        <v>0.85</v>
      </c>
      <c r="CO768" s="1125">
        <f t="shared" si="892"/>
        <v>0.7</v>
      </c>
      <c r="CP768" s="1125">
        <f t="shared" si="893"/>
        <v>0.7</v>
      </c>
      <c r="CQ768" s="1125">
        <f t="shared" si="894"/>
        <v>0.7</v>
      </c>
      <c r="CR768" s="1125">
        <f t="shared" si="895"/>
        <v>0.85</v>
      </c>
      <c r="CS768" s="1125">
        <f t="shared" si="896"/>
        <v>0.85</v>
      </c>
      <c r="CT768" s="1125">
        <f t="shared" si="897"/>
        <v>0.85</v>
      </c>
      <c r="CU768" s="1125">
        <v>1</v>
      </c>
      <c r="CV768" s="1125"/>
      <c r="CW768" s="1125">
        <f t="shared" si="898"/>
        <v>184</v>
      </c>
      <c r="CX768" s="1125">
        <f t="shared" si="899"/>
        <v>181</v>
      </c>
      <c r="CY768" s="1136" t="s">
        <v>4889</v>
      </c>
      <c r="CZ768" s="1129" t="s">
        <v>4897</v>
      </c>
      <c r="DA768" s="1129"/>
      <c r="DB768" s="1129"/>
      <c r="DC768" s="1125" t="s">
        <v>5543</v>
      </c>
      <c r="DD768" s="1125" t="s">
        <v>539</v>
      </c>
      <c r="DE768" s="1120" t="str">
        <f t="shared" si="900"/>
        <v/>
      </c>
      <c r="DF768" s="1133">
        <v>0</v>
      </c>
      <c r="DG768" s="1120">
        <v>0</v>
      </c>
    </row>
    <row r="769" spans="1:111">
      <c r="A769" s="1125" t="s">
        <v>4238</v>
      </c>
      <c r="B769" s="1125" t="s">
        <v>3164</v>
      </c>
      <c r="C769" s="1125" t="s">
        <v>3165</v>
      </c>
      <c r="D769" s="1125" t="s">
        <v>954</v>
      </c>
      <c r="E769" s="1125">
        <v>348</v>
      </c>
      <c r="F769" s="1125">
        <v>-122.25</v>
      </c>
      <c r="G769" s="1125">
        <v>40.15</v>
      </c>
      <c r="H769" s="1125">
        <v>-8</v>
      </c>
      <c r="I769" s="1126">
        <v>32.540000021457672</v>
      </c>
      <c r="J769" s="1126">
        <v>101.47999725341798</v>
      </c>
      <c r="K769" s="1127">
        <v>68.360001373291013</v>
      </c>
      <c r="L769" s="1125">
        <v>2793.6</v>
      </c>
      <c r="M769" s="1125">
        <v>1998</v>
      </c>
      <c r="N769" s="1128">
        <v>44.959999656677248</v>
      </c>
      <c r="O769" s="1128">
        <v>47.119999313354491</v>
      </c>
      <c r="P769" s="1128">
        <v>49.459999656677248</v>
      </c>
      <c r="Q769" s="1128">
        <v>56.840000343322757</v>
      </c>
      <c r="R769" s="1128">
        <v>68.180000686645513</v>
      </c>
      <c r="S769" s="1128">
        <v>78.080000686645505</v>
      </c>
      <c r="T769" s="1128">
        <v>83.119999313354498</v>
      </c>
      <c r="U769" s="1128">
        <v>78.8</v>
      </c>
      <c r="V769" s="1128">
        <v>76.099999999999994</v>
      </c>
      <c r="W769" s="1128">
        <v>62.780000686645508</v>
      </c>
      <c r="X769" s="1128">
        <v>52.880000686645509</v>
      </c>
      <c r="Y769" s="1128">
        <v>47.3</v>
      </c>
      <c r="Z769" s="1128">
        <v>62.216328855540652</v>
      </c>
      <c r="AA769" s="1128">
        <f t="shared" si="826"/>
        <v>57.568755722610987</v>
      </c>
      <c r="AB769" s="1128">
        <f t="shared" si="827"/>
        <v>57.39470903862631</v>
      </c>
      <c r="AC769" s="1128">
        <f t="shared" si="828"/>
        <v>60.041484326129705</v>
      </c>
      <c r="AD769" s="1128">
        <f t="shared" si="829"/>
        <v>64.8191588183916</v>
      </c>
      <c r="AE769" s="1128">
        <f t="shared" si="830"/>
        <v>70.482358032811334</v>
      </c>
      <c r="AF769" s="1128">
        <f t="shared" si="831"/>
        <v>75.554881821608816</v>
      </c>
      <c r="AG769" s="1128">
        <f t="shared" si="832"/>
        <v>78.714498689276198</v>
      </c>
      <c r="AH769" s="1128">
        <f t="shared" si="833"/>
        <v>79.137605808086192</v>
      </c>
      <c r="AI769" s="1128">
        <f t="shared" si="834"/>
        <v>76.713913787242873</v>
      </c>
      <c r="AJ769" s="1128">
        <f t="shared" si="835"/>
        <v>72.07519530220371</v>
      </c>
      <c r="AK769" s="1128">
        <f t="shared" si="836"/>
        <v>66.430603810909844</v>
      </c>
      <c r="AL769" s="1128">
        <f t="shared" si="837"/>
        <v>61.251489071354897</v>
      </c>
      <c r="AM769" s="1125">
        <f t="shared" si="838"/>
        <v>1</v>
      </c>
      <c r="AN769" s="1125">
        <f t="shared" si="839"/>
        <v>1</v>
      </c>
      <c r="AO769" s="1125">
        <f t="shared" si="840"/>
        <v>1</v>
      </c>
      <c r="AP769" s="1125">
        <f t="shared" si="841"/>
        <v>1</v>
      </c>
      <c r="AQ769" s="1125">
        <f t="shared" si="842"/>
        <v>0</v>
      </c>
      <c r="AR769" s="1125">
        <f t="shared" si="843"/>
        <v>0</v>
      </c>
      <c r="AS769" s="1125">
        <f t="shared" si="844"/>
        <v>0</v>
      </c>
      <c r="AT769" s="1125">
        <f t="shared" si="845"/>
        <v>0</v>
      </c>
      <c r="AU769" s="1125">
        <f t="shared" si="846"/>
        <v>0</v>
      </c>
      <c r="AV769" s="1125">
        <f t="shared" si="847"/>
        <v>1</v>
      </c>
      <c r="AW769" s="1125">
        <f t="shared" si="848"/>
        <v>1</v>
      </c>
      <c r="AX769" s="1125">
        <f t="shared" si="849"/>
        <v>1</v>
      </c>
      <c r="AY769" s="1125">
        <f t="shared" si="850"/>
        <v>0</v>
      </c>
      <c r="AZ769" s="1125">
        <f t="shared" si="851"/>
        <v>0</v>
      </c>
      <c r="BA769" s="1125">
        <f t="shared" si="852"/>
        <v>0</v>
      </c>
      <c r="BB769" s="1125">
        <f t="shared" si="853"/>
        <v>0</v>
      </c>
      <c r="BC769" s="1125">
        <f t="shared" si="854"/>
        <v>1</v>
      </c>
      <c r="BD769" s="1125">
        <f t="shared" si="855"/>
        <v>1</v>
      </c>
      <c r="BE769" s="1125">
        <f t="shared" si="856"/>
        <v>1</v>
      </c>
      <c r="BF769" s="1125">
        <f t="shared" si="857"/>
        <v>1</v>
      </c>
      <c r="BG769" s="1125">
        <f t="shared" si="858"/>
        <v>1</v>
      </c>
      <c r="BH769" s="1125">
        <f t="shared" si="859"/>
        <v>0</v>
      </c>
      <c r="BI769" s="1125">
        <f t="shared" si="860"/>
        <v>0</v>
      </c>
      <c r="BJ769" s="1125">
        <f t="shared" si="861"/>
        <v>0</v>
      </c>
      <c r="BK769" s="1125">
        <f t="shared" si="862"/>
        <v>1</v>
      </c>
      <c r="BL769" s="1125">
        <f t="shared" si="863"/>
        <v>1</v>
      </c>
      <c r="BM769" s="1125">
        <f t="shared" si="864"/>
        <v>1</v>
      </c>
      <c r="BN769" s="1125">
        <f t="shared" si="865"/>
        <v>1</v>
      </c>
      <c r="BO769" s="1125">
        <f t="shared" si="866"/>
        <v>1</v>
      </c>
      <c r="BP769" s="1125">
        <f t="shared" si="867"/>
        <v>0</v>
      </c>
      <c r="BQ769" s="1125">
        <f t="shared" si="868"/>
        <v>0</v>
      </c>
      <c r="BR769" s="1125">
        <f t="shared" si="869"/>
        <v>0</v>
      </c>
      <c r="BS769" s="1125">
        <f t="shared" si="870"/>
        <v>0</v>
      </c>
      <c r="BT769" s="1125">
        <f t="shared" si="871"/>
        <v>1</v>
      </c>
      <c r="BU769" s="1125">
        <f t="shared" si="872"/>
        <v>1</v>
      </c>
      <c r="BV769" s="1125">
        <f t="shared" si="873"/>
        <v>1</v>
      </c>
      <c r="BW769" s="1125">
        <f t="shared" si="874"/>
        <v>0</v>
      </c>
      <c r="BX769" s="1125">
        <f t="shared" si="875"/>
        <v>0</v>
      </c>
      <c r="BY769" s="1125">
        <f t="shared" si="876"/>
        <v>0</v>
      </c>
      <c r="BZ769" s="1125">
        <f t="shared" si="877"/>
        <v>1</v>
      </c>
      <c r="CA769" s="1125">
        <f t="shared" si="878"/>
        <v>1</v>
      </c>
      <c r="CB769" s="1125">
        <f t="shared" si="879"/>
        <v>1</v>
      </c>
      <c r="CC769" s="1125">
        <f t="shared" si="880"/>
        <v>1</v>
      </c>
      <c r="CD769" s="1125">
        <f t="shared" si="881"/>
        <v>1</v>
      </c>
      <c r="CE769" s="1125">
        <f t="shared" si="882"/>
        <v>1</v>
      </c>
      <c r="CF769" s="1125">
        <f t="shared" si="883"/>
        <v>1</v>
      </c>
      <c r="CG769" s="1125">
        <f t="shared" si="884"/>
        <v>0</v>
      </c>
      <c r="CH769" s="1125">
        <f t="shared" si="885"/>
        <v>0</v>
      </c>
      <c r="CI769" s="1125">
        <f t="shared" si="886"/>
        <v>0.85</v>
      </c>
      <c r="CJ769" s="1125">
        <f t="shared" si="887"/>
        <v>0.85</v>
      </c>
      <c r="CK769" s="1125">
        <f t="shared" si="888"/>
        <v>0.85</v>
      </c>
      <c r="CL769" s="1125">
        <f t="shared" si="889"/>
        <v>0.85</v>
      </c>
      <c r="CM769" s="1125">
        <f t="shared" si="890"/>
        <v>0.85</v>
      </c>
      <c r="CN769" s="1125">
        <f t="shared" si="891"/>
        <v>0.7</v>
      </c>
      <c r="CO769" s="1125">
        <f t="shared" si="892"/>
        <v>0.7</v>
      </c>
      <c r="CP769" s="1125">
        <f t="shared" si="893"/>
        <v>0.7</v>
      </c>
      <c r="CQ769" s="1125">
        <f t="shared" si="894"/>
        <v>0.7</v>
      </c>
      <c r="CR769" s="1125">
        <f t="shared" si="895"/>
        <v>0.85</v>
      </c>
      <c r="CS769" s="1125">
        <f t="shared" si="896"/>
        <v>0.85</v>
      </c>
      <c r="CT769" s="1125">
        <f t="shared" si="897"/>
        <v>0.85</v>
      </c>
      <c r="CU769" s="1125">
        <v>1</v>
      </c>
      <c r="CV769" s="1125"/>
      <c r="CW769" s="1125">
        <f t="shared" si="898"/>
        <v>214</v>
      </c>
      <c r="CX769" s="1125">
        <f t="shared" si="899"/>
        <v>151</v>
      </c>
      <c r="CY769" s="1135" t="s">
        <v>4886</v>
      </c>
      <c r="CZ769" s="1124" t="s">
        <v>4888</v>
      </c>
      <c r="DA769" s="1124"/>
      <c r="DB769" s="1124"/>
      <c r="DC769" s="1120" t="s">
        <v>5047</v>
      </c>
      <c r="DD769" s="1120" t="s">
        <v>954</v>
      </c>
      <c r="DE769" s="1120" t="str">
        <f t="shared" si="900"/>
        <v/>
      </c>
      <c r="DF769" s="1125">
        <v>0</v>
      </c>
      <c r="DG769" s="1125">
        <v>0</v>
      </c>
    </row>
    <row r="770" spans="1:111">
      <c r="A770" s="1120" t="s">
        <v>4240</v>
      </c>
      <c r="B770" s="1120" t="s">
        <v>3459</v>
      </c>
      <c r="C770" s="1120" t="s">
        <v>3460</v>
      </c>
      <c r="D770" s="1120" t="s">
        <v>566</v>
      </c>
      <c r="E770" s="1120">
        <v>1043</v>
      </c>
      <c r="F770" s="1120">
        <v>-95.27</v>
      </c>
      <c r="G770" s="1120">
        <v>41.02</v>
      </c>
      <c r="H770" s="1120">
        <v>-6</v>
      </c>
      <c r="I770" s="1121">
        <v>-5.9800006866455089</v>
      </c>
      <c r="J770" s="1121">
        <v>95.179997253417966</v>
      </c>
      <c r="K770" s="1122">
        <v>78.980000686645511</v>
      </c>
      <c r="L770" s="1120">
        <v>5853.6</v>
      </c>
      <c r="M770" s="1120">
        <v>1279.8</v>
      </c>
      <c r="N770" s="1123">
        <v>22.279999828338624</v>
      </c>
      <c r="O770" s="1123">
        <v>21.920000171661378</v>
      </c>
      <c r="P770" s="1123">
        <v>43.7</v>
      </c>
      <c r="Q770" s="1123">
        <v>52.880000686645509</v>
      </c>
      <c r="R770" s="1123">
        <v>63.680000686645506</v>
      </c>
      <c r="S770" s="1123">
        <v>70.880000686645502</v>
      </c>
      <c r="T770" s="1123">
        <v>77</v>
      </c>
      <c r="U770" s="1123">
        <v>75.380000686645502</v>
      </c>
      <c r="V770" s="1123">
        <v>68.539998626708979</v>
      </c>
      <c r="W770" s="1123">
        <v>54.680000686645506</v>
      </c>
      <c r="X770" s="1123">
        <v>37.579999828338622</v>
      </c>
      <c r="Y770" s="1123">
        <v>31.459999978542328</v>
      </c>
      <c r="Z770" s="1123">
        <v>51.845863171309638</v>
      </c>
      <c r="AA770" s="1123">
        <f t="shared" si="826"/>
        <v>46.081785424745163</v>
      </c>
      <c r="AB770" s="1123">
        <f t="shared" si="827"/>
        <v>44.684911441301864</v>
      </c>
      <c r="AC770" s="1123">
        <f t="shared" si="828"/>
        <v>46.718642342690458</v>
      </c>
      <c r="AD770" s="1123">
        <f t="shared" si="829"/>
        <v>51.652854828722127</v>
      </c>
      <c r="AE770" s="1123">
        <f t="shared" si="830"/>
        <v>58.201370376396653</v>
      </c>
      <c r="AF770" s="1123">
        <f t="shared" si="831"/>
        <v>64.657217492533377</v>
      </c>
      <c r="AG770" s="1123">
        <f t="shared" si="832"/>
        <v>69.337580138695756</v>
      </c>
      <c r="AH770" s="1123">
        <f t="shared" si="833"/>
        <v>71.022449664589914</v>
      </c>
      <c r="AI770" s="1123">
        <f t="shared" si="834"/>
        <v>69.272638863666216</v>
      </c>
      <c r="AJ770" s="1123">
        <f t="shared" si="835"/>
        <v>64.544262886586097</v>
      </c>
      <c r="AK770" s="1123">
        <f t="shared" si="836"/>
        <v>58.069845798254946</v>
      </c>
      <c r="AL770" s="1123">
        <f t="shared" si="837"/>
        <v>51.537044186533741</v>
      </c>
      <c r="AM770" s="1120">
        <f t="shared" si="838"/>
        <v>1</v>
      </c>
      <c r="AN770" s="1120">
        <f t="shared" si="839"/>
        <v>1</v>
      </c>
      <c r="AO770" s="1120">
        <f t="shared" si="840"/>
        <v>1</v>
      </c>
      <c r="AP770" s="1120">
        <f t="shared" si="841"/>
        <v>1</v>
      </c>
      <c r="AQ770" s="1120">
        <f t="shared" si="842"/>
        <v>1</v>
      </c>
      <c r="AR770" s="1120">
        <f t="shared" si="843"/>
        <v>0</v>
      </c>
      <c r="AS770" s="1120">
        <f t="shared" si="844"/>
        <v>0</v>
      </c>
      <c r="AT770" s="1120">
        <f t="shared" si="845"/>
        <v>0</v>
      </c>
      <c r="AU770" s="1120">
        <f t="shared" si="846"/>
        <v>0</v>
      </c>
      <c r="AV770" s="1120">
        <f t="shared" si="847"/>
        <v>1</v>
      </c>
      <c r="AW770" s="1120">
        <f t="shared" si="848"/>
        <v>1</v>
      </c>
      <c r="AX770" s="1120">
        <f t="shared" si="849"/>
        <v>1</v>
      </c>
      <c r="AY770" s="1120">
        <f t="shared" si="850"/>
        <v>0</v>
      </c>
      <c r="AZ770" s="1120">
        <f t="shared" si="851"/>
        <v>0</v>
      </c>
      <c r="BA770" s="1120">
        <f t="shared" si="852"/>
        <v>0</v>
      </c>
      <c r="BB770" s="1120">
        <f t="shared" si="853"/>
        <v>0</v>
      </c>
      <c r="BC770" s="1120">
        <f t="shared" si="854"/>
        <v>0</v>
      </c>
      <c r="BD770" s="1120">
        <f t="shared" si="855"/>
        <v>1</v>
      </c>
      <c r="BE770" s="1120">
        <f t="shared" si="856"/>
        <v>1</v>
      </c>
      <c r="BF770" s="1120">
        <f t="shared" si="857"/>
        <v>1</v>
      </c>
      <c r="BG770" s="1120">
        <f t="shared" si="858"/>
        <v>1</v>
      </c>
      <c r="BH770" s="1120">
        <f t="shared" si="859"/>
        <v>0</v>
      </c>
      <c r="BI770" s="1120">
        <f t="shared" si="860"/>
        <v>0</v>
      </c>
      <c r="BJ770" s="1120">
        <f t="shared" si="861"/>
        <v>0</v>
      </c>
      <c r="BK770" s="1120">
        <f t="shared" si="862"/>
        <v>1</v>
      </c>
      <c r="BL770" s="1120">
        <f t="shared" si="863"/>
        <v>1</v>
      </c>
      <c r="BM770" s="1120">
        <f t="shared" si="864"/>
        <v>1</v>
      </c>
      <c r="BN770" s="1120">
        <f t="shared" si="865"/>
        <v>1</v>
      </c>
      <c r="BO770" s="1120">
        <f t="shared" si="866"/>
        <v>1</v>
      </c>
      <c r="BP770" s="1120">
        <f t="shared" si="867"/>
        <v>1</v>
      </c>
      <c r="BQ770" s="1120">
        <f t="shared" si="868"/>
        <v>0</v>
      </c>
      <c r="BR770" s="1120">
        <f t="shared" si="869"/>
        <v>0</v>
      </c>
      <c r="BS770" s="1120">
        <f t="shared" si="870"/>
        <v>0</v>
      </c>
      <c r="BT770" s="1120">
        <f t="shared" si="871"/>
        <v>1</v>
      </c>
      <c r="BU770" s="1120">
        <f t="shared" si="872"/>
        <v>1</v>
      </c>
      <c r="BV770" s="1120">
        <f t="shared" si="873"/>
        <v>1</v>
      </c>
      <c r="BW770" s="1120">
        <f t="shared" si="874"/>
        <v>0</v>
      </c>
      <c r="BX770" s="1120">
        <f t="shared" si="875"/>
        <v>0</v>
      </c>
      <c r="BY770" s="1120">
        <f t="shared" si="876"/>
        <v>0</v>
      </c>
      <c r="BZ770" s="1120">
        <f t="shared" si="877"/>
        <v>0</v>
      </c>
      <c r="CA770" s="1120">
        <f t="shared" si="878"/>
        <v>1</v>
      </c>
      <c r="CB770" s="1120">
        <f t="shared" si="879"/>
        <v>1</v>
      </c>
      <c r="CC770" s="1120">
        <f t="shared" si="880"/>
        <v>1</v>
      </c>
      <c r="CD770" s="1120">
        <f t="shared" si="881"/>
        <v>1</v>
      </c>
      <c r="CE770" s="1120">
        <f t="shared" si="882"/>
        <v>1</v>
      </c>
      <c r="CF770" s="1120">
        <f t="shared" si="883"/>
        <v>1</v>
      </c>
      <c r="CG770" s="1120">
        <f t="shared" si="884"/>
        <v>0</v>
      </c>
      <c r="CH770" s="1120">
        <f t="shared" si="885"/>
        <v>0</v>
      </c>
      <c r="CI770" s="1120">
        <f t="shared" si="886"/>
        <v>0.85</v>
      </c>
      <c r="CJ770" s="1120">
        <f t="shared" si="887"/>
        <v>0.85</v>
      </c>
      <c r="CK770" s="1120">
        <f t="shared" si="888"/>
        <v>0.85</v>
      </c>
      <c r="CL770" s="1120">
        <f t="shared" si="889"/>
        <v>0.85</v>
      </c>
      <c r="CM770" s="1120">
        <f t="shared" si="890"/>
        <v>0.85</v>
      </c>
      <c r="CN770" s="1120">
        <f t="shared" si="891"/>
        <v>0.85</v>
      </c>
      <c r="CO770" s="1120">
        <f t="shared" si="892"/>
        <v>0.7</v>
      </c>
      <c r="CP770" s="1120">
        <f t="shared" si="893"/>
        <v>0.7</v>
      </c>
      <c r="CQ770" s="1120">
        <f t="shared" si="894"/>
        <v>0.7</v>
      </c>
      <c r="CR770" s="1120">
        <f t="shared" si="895"/>
        <v>0.85</v>
      </c>
      <c r="CS770" s="1120">
        <f t="shared" si="896"/>
        <v>0.85</v>
      </c>
      <c r="CT770" s="1120">
        <f t="shared" si="897"/>
        <v>0.85</v>
      </c>
      <c r="CU770" s="1120">
        <v>1</v>
      </c>
      <c r="CV770" s="1120"/>
      <c r="CW770" s="1120">
        <f t="shared" si="898"/>
        <v>184</v>
      </c>
      <c r="CX770" s="1120">
        <f t="shared" si="899"/>
        <v>181</v>
      </c>
      <c r="CY770" s="1135" t="s">
        <v>4889</v>
      </c>
      <c r="CZ770" s="1124" t="s">
        <v>4897</v>
      </c>
      <c r="DA770" s="1124"/>
      <c r="DB770" s="1124"/>
      <c r="DC770" s="1120" t="s">
        <v>5185</v>
      </c>
      <c r="DD770" s="1120" t="s">
        <v>566</v>
      </c>
      <c r="DE770" s="1120" t="str">
        <f t="shared" si="900"/>
        <v/>
      </c>
      <c r="DF770" s="1133">
        <v>1</v>
      </c>
      <c r="DG770" s="1120">
        <v>0</v>
      </c>
    </row>
    <row r="771" spans="1:111">
      <c r="A771" s="1125" t="s">
        <v>4242</v>
      </c>
      <c r="B771" s="1125" t="s">
        <v>3819</v>
      </c>
      <c r="C771" s="1125" t="s">
        <v>3820</v>
      </c>
      <c r="D771" s="1125" t="s">
        <v>934</v>
      </c>
      <c r="E771" s="1125">
        <v>784</v>
      </c>
      <c r="F771" s="1125">
        <v>-92.48</v>
      </c>
      <c r="G771" s="1125">
        <v>44.58</v>
      </c>
      <c r="H771" s="1125">
        <v>-6</v>
      </c>
      <c r="I771" s="1126">
        <v>-7.9600013732910169</v>
      </c>
      <c r="J771" s="1126">
        <v>87.980000686645511</v>
      </c>
      <c r="K771" s="1127">
        <v>73.039998626708979</v>
      </c>
      <c r="L771" s="1125">
        <v>7549.2</v>
      </c>
      <c r="M771" s="1125">
        <v>846</v>
      </c>
      <c r="N771" s="1128">
        <v>15.619999313354493</v>
      </c>
      <c r="O771" s="1128">
        <v>23.179999828338623</v>
      </c>
      <c r="P771" s="1128">
        <v>32.9</v>
      </c>
      <c r="Q771" s="1128">
        <v>40.1</v>
      </c>
      <c r="R771" s="1128">
        <v>57.919999313354495</v>
      </c>
      <c r="S771" s="1128">
        <v>69.080000686645505</v>
      </c>
      <c r="T771" s="1128">
        <v>75.560001373291016</v>
      </c>
      <c r="U771" s="1128">
        <v>70.7</v>
      </c>
      <c r="V771" s="1128">
        <v>62.419999313354495</v>
      </c>
      <c r="W771" s="1128">
        <v>53.6</v>
      </c>
      <c r="X771" s="1128">
        <v>32</v>
      </c>
      <c r="Y771" s="1128">
        <v>17.779999828338624</v>
      </c>
      <c r="Z771" s="1128">
        <v>46.037041068142408</v>
      </c>
      <c r="AA771" s="1128">
        <f t="shared" ref="AA771:AA834" si="901">MAX($Z771+6+(0.4+0.01*($Z771-44))*(MAX($N771:$Y771)-MIN($N771:$Y771))/2*SIN((0.986*((1*30-15)-15-(35-1*($Z771-44)))-90)*PI()/180),32)</f>
        <v>41.411747116534031</v>
      </c>
      <c r="AB771" s="1128">
        <f t="shared" ref="AB771:AB834" si="902">MAX($Z771+6+(0.4+0.01*($Z771-44))*(MAX($N771:$Y771)-MIN($N771:$Y771))/2*SIN((0.986*((2*30-15)-15-(35-1*($Z771-44)))-90)*PI()/180),32)</f>
        <v>39.454913421318821</v>
      </c>
      <c r="AC771" s="1128">
        <f t="shared" ref="AC771:AC834" si="903">MAX($Z771+6+(0.4+0.01*($Z771-44))*(MAX($N771:$Y771)-MIN($N771:$Y771))/2*SIN((0.986*((3*30-15)-15-(35-1*($Z771-44)))-90)*PI()/180),32)</f>
        <v>40.777805193704424</v>
      </c>
      <c r="AD771" s="1128">
        <f t="shared" ref="AD771:AD834" si="904">MAX($Z771+6+(0.4+0.01*($Z771-44))*(MAX($N771:$Y771)-MIN($N771:$Y771))/2*SIN((0.986*((4*30-15)-15-(35-1*($Z771-44)))-90)*PI()/180),32)</f>
        <v>45.035590306839211</v>
      </c>
      <c r="AE771" s="1128">
        <f t="shared" ref="AE771:AE834" si="905">MAX($Z771+6+(0.4+0.01*($Z771-44))*(MAX($N771:$Y771)-MIN($N771:$Y771))/2*SIN((0.986*((5*30-15)-15-(35-1*($Z771-44)))-90)*PI()/180),32)</f>
        <v>51.118411456529884</v>
      </c>
      <c r="AF771" s="1128">
        <f t="shared" ref="AF771:AF834" si="906">MAX($Z771+6+(0.4+0.01*($Z771-44))*(MAX($N771:$Y771)-MIN($N771:$Y771))/2*SIN((0.986*((6*30-15)-15-(35-1*($Z771-44)))-90)*PI()/180),32)</f>
        <v>57.440687570998186</v>
      </c>
      <c r="AG771" s="1128">
        <f t="shared" ref="AG771:AG834" si="907">MAX($Z771+6+(0.4+0.01*($Z771-44))*(MAX($N771:$Y771)-MIN($N771:$Y771))/2*SIN((0.986*((7*30-15)-15-(35-1*($Z771-44)))-90)*PI()/180),32)</f>
        <v>62.354419951783882</v>
      </c>
      <c r="AH771" s="1128">
        <f t="shared" ref="AH771:AH834" si="908">MAX($Z771+6+(0.4+0.01*($Z771-44))*(MAX($N771:$Y771)-MIN($N771:$Y771))/2*SIN((0.986*((8*30-15)-15-(35-1*($Z771-44)))-90)*PI()/180),32)</f>
        <v>64.578768530927078</v>
      </c>
      <c r="AI771" s="1128">
        <f t="shared" ref="AI771:AI834" si="909">MAX($Z771+6+(0.4+0.01*($Z771-44))*(MAX($N771:$Y771)-MIN($N771:$Y771))/2*SIN((0.986*((9*30-15)-15-(35-1*($Z771-44)))-90)*PI()/180),32)</f>
        <v>63.533922573024881</v>
      </c>
      <c r="AJ771" s="1128">
        <f t="shared" ref="AJ771:AJ834" si="910">MAX($Z771+6+(0.4+0.01*($Z771-44))*(MAX($N771:$Y771)-MIN($N771:$Y771))/2*SIN((0.986*((10*30-15)-15-(35-1*($Z771-44)))-90)*PI()/180),32)</f>
        <v>59.492237278568133</v>
      </c>
      <c r="AK771" s="1128">
        <f t="shared" ref="AK771:AK834" si="911">MAX($Z771+6+(0.4+0.01*($Z771-44))*(MAX($N771:$Y771)-MIN($N771:$Y771))/2*SIN((0.986*((11*30-15)-15-(35-1*($Z771-44)))-90)*PI()/180),32)</f>
        <v>53.507240203812685</v>
      </c>
      <c r="AL771" s="1128">
        <f t="shared" ref="AL771:AL834" si="912">MAX($Z771+6+(0.4+0.01*($Z771-44))*(MAX($N771:$Y771)-MIN($N771:$Y771))/2*SIN((0.986*((12*30-15)-15-(35-1*($Z771-44)))-90)*PI()/180),32)</f>
        <v>47.139013067890275</v>
      </c>
      <c r="AM771" s="1125">
        <f t="shared" ref="AM771:AM834" si="913">IF(AND(OR(LEFT(AM$1,3)="Jan",LEFT(AM$1,3)="Dec"),I771&lt;59),1,IF(N771&lt;66,1,0))</f>
        <v>1</v>
      </c>
      <c r="AN771" s="1125">
        <f t="shared" ref="AN771:AN834" si="914">IF(AND(OR(LEFT(AN$1,3)="Jan",LEFT(AN$1,3)="Dec"),J771&lt;59),1,IF(O771&lt;66,1,0))</f>
        <v>1</v>
      </c>
      <c r="AO771" s="1125">
        <f t="shared" ref="AO771:AO834" si="915">IF(AND(OR(LEFT(AO$1,3)="Jan",LEFT(AO$1,3)="Dec"),K771&lt;59),1,IF(P771&lt;66,1,0))</f>
        <v>1</v>
      </c>
      <c r="AP771" s="1125">
        <f t="shared" ref="AP771:AP834" si="916">IF(AND(OR(LEFT(AP$1,3)="Jan",LEFT(AP$1,3)="Dec"),L771&lt;59),1,IF(Q771&lt;66,1,0))</f>
        <v>1</v>
      </c>
      <c r="AQ771" s="1125">
        <f t="shared" ref="AQ771:AQ834" si="917">IF(AND(OR(LEFT(AQ$1,3)="Jan",LEFT(AQ$1,3)="Dec"),M771&lt;59),1,IF(R771&lt;66,1,0))</f>
        <v>1</v>
      </c>
      <c r="AR771" s="1125">
        <f t="shared" ref="AR771:AR834" si="918">IF(AND(OR(LEFT(AR$1,3)="Jan",LEFT(AR$1,3)="Dec"),N771&lt;59),1,IF(S771&lt;66,1,0))</f>
        <v>0</v>
      </c>
      <c r="AS771" s="1125">
        <f t="shared" ref="AS771:AS834" si="919">IF(AND(OR(LEFT(AS$1,3)="Jan",LEFT(AS$1,3)="Dec"),O771&lt;59),1,IF(T771&lt;66,1,0))</f>
        <v>0</v>
      </c>
      <c r="AT771" s="1125">
        <f t="shared" ref="AT771:AT834" si="920">IF(AND(OR(LEFT(AT$1,3)="Jan",LEFT(AT$1,3)="Dec"),P771&lt;59),1,IF(U771&lt;66,1,0))</f>
        <v>0</v>
      </c>
      <c r="AU771" s="1125">
        <f t="shared" ref="AU771:AU834" si="921">IF(AND(OR(LEFT(AU$1,3)="Jan",LEFT(AU$1,3)="Dec"),Q771&lt;59),1,IF(V771&lt;66,1,0))</f>
        <v>1</v>
      </c>
      <c r="AV771" s="1125">
        <f t="shared" ref="AV771:AV834" si="922">IF(AND(OR(LEFT(AV$1,3)="Jan",LEFT(AV$1,3)="Dec"),R771&lt;59),1,IF(W771&lt;66,1,0))</f>
        <v>1</v>
      </c>
      <c r="AW771" s="1125">
        <f t="shared" ref="AW771:AW834" si="923">IF(AND(OR(LEFT(AW$1,3)="Jan",LEFT(AW$1,3)="Dec"),S771&lt;59),1,IF(X771&lt;66,1,0))</f>
        <v>1</v>
      </c>
      <c r="AX771" s="1125">
        <f t="shared" ref="AX771:AX834" si="924">IF(AND(OR(LEFT(AX$1,3)="Jan",LEFT(AX$1,3)="Dec"),T771&lt;59),1,IF(Y771&lt;66,1,0))</f>
        <v>1</v>
      </c>
      <c r="AY771" s="1125">
        <f t="shared" ref="AY771:AY834" si="925">IF(OR(LEFT(AY$1,3)="Jul", LEFT(AY$1,3)="Aug"),1,IF(N771&gt;66,1,0))</f>
        <v>0</v>
      </c>
      <c r="AZ771" s="1125">
        <f t="shared" ref="AZ771:AZ834" si="926">IF(OR(LEFT(AZ$1,3)="Jul", LEFT(AZ$1,3)="Aug"),1,IF(O771&gt;66,1,0))</f>
        <v>0</v>
      </c>
      <c r="BA771" s="1125">
        <f t="shared" ref="BA771:BA834" si="927">IF(OR(LEFT(BA$1,3)="Jul", LEFT(BA$1,3)="Aug"),1,IF(P771&gt;66,1,0))</f>
        <v>0</v>
      </c>
      <c r="BB771" s="1125">
        <f t="shared" ref="BB771:BB834" si="928">IF(OR(LEFT(BB$1,3)="Jul", LEFT(BB$1,3)="Aug"),1,IF(Q771&gt;66,1,0))</f>
        <v>0</v>
      </c>
      <c r="BC771" s="1125">
        <f t="shared" ref="BC771:BC834" si="929">IF(OR(LEFT(BC$1,3)="Jul", LEFT(BC$1,3)="Aug"),1,IF(R771&gt;66,1,0))</f>
        <v>0</v>
      </c>
      <c r="BD771" s="1125">
        <f t="shared" ref="BD771:BD834" si="930">IF(OR(LEFT(BD$1,3)="Jul", LEFT(BD$1,3)="Aug"),1,IF(S771&gt;66,1,0))</f>
        <v>1</v>
      </c>
      <c r="BE771" s="1125">
        <f t="shared" ref="BE771:BE834" si="931">IF(OR(LEFT(BE$1,3)="Jul", LEFT(BE$1,3)="Aug"),1,IF(T771&gt;66,1,0))</f>
        <v>1</v>
      </c>
      <c r="BF771" s="1125">
        <f t="shared" ref="BF771:BF834" si="932">IF(OR(LEFT(BF$1,3)="Jul", LEFT(BF$1,3)="Aug"),1,IF(U771&gt;66,1,0))</f>
        <v>1</v>
      </c>
      <c r="BG771" s="1125">
        <f t="shared" ref="BG771:BG834" si="933">IF(OR(LEFT(BG$1,3)="Jul", LEFT(BG$1,3)="Aug"),1,IF(V771&gt;66,1,0))</f>
        <v>0</v>
      </c>
      <c r="BH771" s="1125">
        <f t="shared" ref="BH771:BH834" si="934">IF(OR(LEFT(BH$1,3)="Jul", LEFT(BH$1,3)="Aug"),1,IF(W771&gt;66,1,0))</f>
        <v>0</v>
      </c>
      <c r="BI771" s="1125">
        <f t="shared" ref="BI771:BI834" si="935">IF(OR(LEFT(BI$1,3)="Jul", LEFT(BI$1,3)="Aug"),1,IF(X771&gt;66,1,0))</f>
        <v>0</v>
      </c>
      <c r="BJ771" s="1125">
        <f t="shared" ref="BJ771:BJ834" si="936">IF(OR(LEFT(BJ$1,3)="Jul", LEFT(BJ$1,3)="Aug"),1,IF(Y771&gt;66,1,0))</f>
        <v>0</v>
      </c>
      <c r="BK771" s="1125">
        <f t="shared" ref="BK771:BK834" si="937">IF(AND(AY771=1,BJ771=0),1,AM771)</f>
        <v>1</v>
      </c>
      <c r="BL771" s="1125">
        <f t="shared" ref="BL771:BL834" si="938">IF(AND(AY771=0,AZ771=1),1,AN771)</f>
        <v>1</v>
      </c>
      <c r="BM771" s="1125">
        <f t="shared" ref="BM771:BM834" si="939">IF(AND(AZ771=0,BA771=1),1,AO771)</f>
        <v>1</v>
      </c>
      <c r="BN771" s="1125">
        <f t="shared" ref="BN771:BN834" si="940">IF(AND(BA771=0,BB771=1),1,AP771)</f>
        <v>1</v>
      </c>
      <c r="BO771" s="1125">
        <f t="shared" ref="BO771:BO834" si="941">IF(AND(BB771=0,BC771=1),1,AQ771)</f>
        <v>1</v>
      </c>
      <c r="BP771" s="1125">
        <f t="shared" ref="BP771:BP834" si="942">IF(AND(BC771=0,BD771=1),1,AR771)</f>
        <v>1</v>
      </c>
      <c r="BQ771" s="1125">
        <f t="shared" ref="BQ771:BQ834" si="943">IF(AND(BD771=0,BE771=1),1,AS771)</f>
        <v>0</v>
      </c>
      <c r="BR771" s="1125">
        <f t="shared" ref="BR771:BR834" si="944">IF(AND(BE771=0,BF771=1),1,AT771)</f>
        <v>0</v>
      </c>
      <c r="BS771" s="1125">
        <f t="shared" ref="BS771:BS834" si="945">IF(AND(BF771=0,BG771=1),1,AU771)</f>
        <v>1</v>
      </c>
      <c r="BT771" s="1125">
        <f t="shared" ref="BT771:BT834" si="946">IF(AND(BG771=0,BH771=1),1,AV771)</f>
        <v>1</v>
      </c>
      <c r="BU771" s="1125">
        <f t="shared" ref="BU771:BU834" si="947">IF(AND(BH771=0,BI771=1),1,AW771)</f>
        <v>1</v>
      </c>
      <c r="BV771" s="1125">
        <f t="shared" ref="BV771:BV834" si="948">IF(AND(BI771=0,BJ771=1),1,AX771)</f>
        <v>1</v>
      </c>
      <c r="BW771" s="1125">
        <f t="shared" ref="BW771:BW834" si="949">IF(OR(AND(AX771=0,AM771=1),AND(AM771=1,AN771=0)),1,AY771)</f>
        <v>0</v>
      </c>
      <c r="BX771" s="1125">
        <f t="shared" ref="BX771:BX834" si="950">IF(OR(AND(AM771=0,AN771=1),AND(AN771=1,AO771=0)),1,AZ771)</f>
        <v>0</v>
      </c>
      <c r="BY771" s="1125">
        <f t="shared" ref="BY771:BY834" si="951">IF(OR(AND(AN771=0,AO771=1),AND(AO771=1,AP771=0)),1,BA771)</f>
        <v>0</v>
      </c>
      <c r="BZ771" s="1125">
        <f t="shared" ref="BZ771:BZ834" si="952">IF(OR(AND(AO771=0,AP771=1),AND(AP771=1,AQ771=0)),1,BB771)</f>
        <v>0</v>
      </c>
      <c r="CA771" s="1125">
        <f t="shared" ref="CA771:CA834" si="953">IF(OR(AND(AP771=0,AQ771=1),AND(AQ771=1,AR771=0)),1,BC771)</f>
        <v>1</v>
      </c>
      <c r="CB771" s="1125">
        <f t="shared" ref="CB771:CB834" si="954">IF(OR(AND(AQ771=0,AR771=1),AND(AR771=1,AS771=0)),1,BD771)</f>
        <v>1</v>
      </c>
      <c r="CC771" s="1125">
        <f t="shared" ref="CC771:CC834" si="955">IF(OR(AND(AR771=0,AS771=1),AND(AS771=1,AT771=0)),1,BE771)</f>
        <v>1</v>
      </c>
      <c r="CD771" s="1125">
        <f t="shared" ref="CD771:CD834" si="956">IF(OR(AND(AS771=0,AT771=1),AND(AT771=1,AU771=0)),1,BF771)</f>
        <v>1</v>
      </c>
      <c r="CE771" s="1125">
        <f t="shared" ref="CE771:CE834" si="957">IF(OR(AND(AT771=0,AU771=1),AND(AU771=1,AV771=0)),1,BG771)</f>
        <v>1</v>
      </c>
      <c r="CF771" s="1125">
        <f t="shared" ref="CF771:CF834" si="958">IF(OR(AND(AU771=0,AV771=1),AND(AV771=1,AW771=0)),1,BH771)</f>
        <v>0</v>
      </c>
      <c r="CG771" s="1125">
        <f t="shared" ref="CG771:CG834" si="959">IF(OR(AND(AV771=0,AW771=1),AND(AW771=1,AX771=0)),1,BI771)</f>
        <v>0</v>
      </c>
      <c r="CH771" s="1125">
        <f t="shared" ref="CH771:CH834" si="960">IF(OR(AND(AW771=0,AX771=1),AND(AX771=1,AM771=0)),1,BJ771)</f>
        <v>0</v>
      </c>
      <c r="CI771" s="1125">
        <f t="shared" ref="CI771:CI834" si="961">IF(BK771=1,0.85,0.7)</f>
        <v>0.85</v>
      </c>
      <c r="CJ771" s="1125">
        <f t="shared" ref="CJ771:CJ834" si="962">IF(BL771=1,0.85,0.7)</f>
        <v>0.85</v>
      </c>
      <c r="CK771" s="1125">
        <f t="shared" ref="CK771:CK834" si="963">IF(BM771=1,0.85,0.7)</f>
        <v>0.85</v>
      </c>
      <c r="CL771" s="1125">
        <f t="shared" ref="CL771:CL834" si="964">IF(BN771=1,0.85,0.7)</f>
        <v>0.85</v>
      </c>
      <c r="CM771" s="1125">
        <f t="shared" ref="CM771:CM834" si="965">IF(BO771=1,0.85,0.7)</f>
        <v>0.85</v>
      </c>
      <c r="CN771" s="1125">
        <f t="shared" ref="CN771:CN834" si="966">IF(BP771=1,0.85,0.7)</f>
        <v>0.85</v>
      </c>
      <c r="CO771" s="1125">
        <f t="shared" ref="CO771:CO834" si="967">IF(BQ771=1,0.85,0.7)</f>
        <v>0.7</v>
      </c>
      <c r="CP771" s="1125">
        <f t="shared" ref="CP771:CP834" si="968">IF(BR771=1,0.85,0.7)</f>
        <v>0.7</v>
      </c>
      <c r="CQ771" s="1125">
        <f t="shared" ref="CQ771:CQ834" si="969">IF(BS771=1,0.85,0.7)</f>
        <v>0.85</v>
      </c>
      <c r="CR771" s="1125">
        <f t="shared" ref="CR771:CR834" si="970">IF(BT771=1,0.85,0.7)</f>
        <v>0.85</v>
      </c>
      <c r="CS771" s="1125">
        <f t="shared" ref="CS771:CS834" si="971">IF(BU771=1,0.85,0.7)</f>
        <v>0.85</v>
      </c>
      <c r="CT771" s="1125">
        <f t="shared" ref="CT771:CT834" si="972">IF(BV771=1,0.85,0.7)</f>
        <v>0.85</v>
      </c>
      <c r="CU771" s="1125">
        <v>1</v>
      </c>
      <c r="CV771" s="1125"/>
      <c r="CW771" s="1125">
        <f t="shared" ref="CW771:CW834" si="973">BW771*31+BX771*28+BY771*31+BZ771*30+CA771*31+CB771*30+CC771*31+CD771*31+CE771*30+CF771*31+CG771*30+CH771*31</f>
        <v>153</v>
      </c>
      <c r="CX771" s="1125">
        <f t="shared" ref="CX771:CX834" si="974">365-CW771</f>
        <v>212</v>
      </c>
      <c r="CY771" s="1136" t="s">
        <v>4889</v>
      </c>
      <c r="CZ771" s="1129" t="s">
        <v>4899</v>
      </c>
      <c r="DA771" s="1129"/>
      <c r="DB771" s="1129"/>
      <c r="DC771" s="1125" t="s">
        <v>5337</v>
      </c>
      <c r="DD771" s="1125" t="s">
        <v>934</v>
      </c>
      <c r="DE771" s="1120" t="str">
        <f t="shared" si="900"/>
        <v/>
      </c>
      <c r="DF771" s="1133">
        <v>0</v>
      </c>
      <c r="DG771" s="1125">
        <v>0</v>
      </c>
    </row>
    <row r="772" spans="1:111">
      <c r="A772" s="1120" t="s">
        <v>4246</v>
      </c>
      <c r="B772" s="1120" t="s">
        <v>3166</v>
      </c>
      <c r="C772" s="1120" t="s">
        <v>3167</v>
      </c>
      <c r="D772" s="1120" t="s">
        <v>954</v>
      </c>
      <c r="E772" s="1120">
        <v>502</v>
      </c>
      <c r="F772" s="1120">
        <v>-122.32</v>
      </c>
      <c r="G772" s="1120">
        <v>40.520000000000003</v>
      </c>
      <c r="H772" s="1120">
        <v>-8</v>
      </c>
      <c r="I772" s="1121">
        <v>30.919999957084656</v>
      </c>
      <c r="J772" s="1121">
        <v>102.37999725341797</v>
      </c>
      <c r="K772" s="1122">
        <v>68</v>
      </c>
      <c r="L772" s="1120">
        <v>2624.4</v>
      </c>
      <c r="M772" s="1120">
        <v>1877.4</v>
      </c>
      <c r="N772" s="1123">
        <v>46.220000171661376</v>
      </c>
      <c r="O772" s="1123">
        <v>46.4</v>
      </c>
      <c r="P772" s="1123">
        <v>54.319999313354494</v>
      </c>
      <c r="Q772" s="1123">
        <v>57.019999313354489</v>
      </c>
      <c r="R772" s="1123">
        <v>66.2</v>
      </c>
      <c r="S772" s="1123">
        <v>77.719999313354492</v>
      </c>
      <c r="T772" s="1123">
        <v>81.5</v>
      </c>
      <c r="U772" s="1123">
        <v>79.880000686645502</v>
      </c>
      <c r="V772" s="1123">
        <v>75.019999313354489</v>
      </c>
      <c r="W772" s="1123">
        <v>62.6</v>
      </c>
      <c r="X772" s="1123">
        <v>52.159999656677243</v>
      </c>
      <c r="Y772" s="1123">
        <v>48.2</v>
      </c>
      <c r="Z772" s="1123">
        <v>62.365260091023906</v>
      </c>
      <c r="AA772" s="1123">
        <f t="shared" si="901"/>
        <v>58.488610644290759</v>
      </c>
      <c r="AB772" s="1123">
        <f t="shared" si="902"/>
        <v>58.340754162498925</v>
      </c>
      <c r="AC772" s="1123">
        <f t="shared" si="903"/>
        <v>60.805939633289626</v>
      </c>
      <c r="AD772" s="1123">
        <f t="shared" si="904"/>
        <v>65.241578474043223</v>
      </c>
      <c r="AE772" s="1123">
        <f t="shared" si="905"/>
        <v>70.491453065653673</v>
      </c>
      <c r="AF772" s="1123">
        <f t="shared" si="906"/>
        <v>75.187102692801318</v>
      </c>
      <c r="AG772" s="1123">
        <f t="shared" si="907"/>
        <v>78.104533918019001</v>
      </c>
      <c r="AH772" s="1123">
        <f t="shared" si="908"/>
        <v>78.483273333477655</v>
      </c>
      <c r="AI772" s="1123">
        <f t="shared" si="909"/>
        <v>76.224596673986909</v>
      </c>
      <c r="AJ772" s="1123">
        <f t="shared" si="910"/>
        <v>71.917262818103978</v>
      </c>
      <c r="AK772" s="1123">
        <f t="shared" si="911"/>
        <v>66.684044713388687</v>
      </c>
      <c r="AL772" s="1123">
        <f t="shared" si="912"/>
        <v>61.889061305167218</v>
      </c>
      <c r="AM772" s="1120">
        <f t="shared" si="913"/>
        <v>1</v>
      </c>
      <c r="AN772" s="1120">
        <f t="shared" si="914"/>
        <v>1</v>
      </c>
      <c r="AO772" s="1120">
        <f t="shared" si="915"/>
        <v>1</v>
      </c>
      <c r="AP772" s="1120">
        <f t="shared" si="916"/>
        <v>1</v>
      </c>
      <c r="AQ772" s="1120">
        <f t="shared" si="917"/>
        <v>0</v>
      </c>
      <c r="AR772" s="1120">
        <f t="shared" si="918"/>
        <v>0</v>
      </c>
      <c r="AS772" s="1120">
        <f t="shared" si="919"/>
        <v>0</v>
      </c>
      <c r="AT772" s="1120">
        <f t="shared" si="920"/>
        <v>0</v>
      </c>
      <c r="AU772" s="1120">
        <f t="shared" si="921"/>
        <v>0</v>
      </c>
      <c r="AV772" s="1120">
        <f t="shared" si="922"/>
        <v>1</v>
      </c>
      <c r="AW772" s="1120">
        <f t="shared" si="923"/>
        <v>1</v>
      </c>
      <c r="AX772" s="1120">
        <f t="shared" si="924"/>
        <v>1</v>
      </c>
      <c r="AY772" s="1120">
        <f t="shared" si="925"/>
        <v>0</v>
      </c>
      <c r="AZ772" s="1120">
        <f t="shared" si="926"/>
        <v>0</v>
      </c>
      <c r="BA772" s="1120">
        <f t="shared" si="927"/>
        <v>0</v>
      </c>
      <c r="BB772" s="1120">
        <f t="shared" si="928"/>
        <v>0</v>
      </c>
      <c r="BC772" s="1120">
        <f t="shared" si="929"/>
        <v>1</v>
      </c>
      <c r="BD772" s="1120">
        <f t="shared" si="930"/>
        <v>1</v>
      </c>
      <c r="BE772" s="1120">
        <f t="shared" si="931"/>
        <v>1</v>
      </c>
      <c r="BF772" s="1120">
        <f t="shared" si="932"/>
        <v>1</v>
      </c>
      <c r="BG772" s="1120">
        <f t="shared" si="933"/>
        <v>1</v>
      </c>
      <c r="BH772" s="1120">
        <f t="shared" si="934"/>
        <v>0</v>
      </c>
      <c r="BI772" s="1120">
        <f t="shared" si="935"/>
        <v>0</v>
      </c>
      <c r="BJ772" s="1120">
        <f t="shared" si="936"/>
        <v>0</v>
      </c>
      <c r="BK772" s="1120">
        <f t="shared" si="937"/>
        <v>1</v>
      </c>
      <c r="BL772" s="1120">
        <f t="shared" si="938"/>
        <v>1</v>
      </c>
      <c r="BM772" s="1120">
        <f t="shared" si="939"/>
        <v>1</v>
      </c>
      <c r="BN772" s="1120">
        <f t="shared" si="940"/>
        <v>1</v>
      </c>
      <c r="BO772" s="1120">
        <f t="shared" si="941"/>
        <v>1</v>
      </c>
      <c r="BP772" s="1120">
        <f t="shared" si="942"/>
        <v>0</v>
      </c>
      <c r="BQ772" s="1120">
        <f t="shared" si="943"/>
        <v>0</v>
      </c>
      <c r="BR772" s="1120">
        <f t="shared" si="944"/>
        <v>0</v>
      </c>
      <c r="BS772" s="1120">
        <f t="shared" si="945"/>
        <v>0</v>
      </c>
      <c r="BT772" s="1120">
        <f t="shared" si="946"/>
        <v>1</v>
      </c>
      <c r="BU772" s="1120">
        <f t="shared" si="947"/>
        <v>1</v>
      </c>
      <c r="BV772" s="1120">
        <f t="shared" si="948"/>
        <v>1</v>
      </c>
      <c r="BW772" s="1120">
        <f t="shared" si="949"/>
        <v>0</v>
      </c>
      <c r="BX772" s="1120">
        <f t="shared" si="950"/>
        <v>0</v>
      </c>
      <c r="BY772" s="1120">
        <f t="shared" si="951"/>
        <v>0</v>
      </c>
      <c r="BZ772" s="1120">
        <f t="shared" si="952"/>
        <v>1</v>
      </c>
      <c r="CA772" s="1120">
        <f t="shared" si="953"/>
        <v>1</v>
      </c>
      <c r="CB772" s="1120">
        <f t="shared" si="954"/>
        <v>1</v>
      </c>
      <c r="CC772" s="1120">
        <f t="shared" si="955"/>
        <v>1</v>
      </c>
      <c r="CD772" s="1120">
        <f t="shared" si="956"/>
        <v>1</v>
      </c>
      <c r="CE772" s="1120">
        <f t="shared" si="957"/>
        <v>1</v>
      </c>
      <c r="CF772" s="1120">
        <f t="shared" si="958"/>
        <v>1</v>
      </c>
      <c r="CG772" s="1120">
        <f t="shared" si="959"/>
        <v>0</v>
      </c>
      <c r="CH772" s="1120">
        <f t="shared" si="960"/>
        <v>0</v>
      </c>
      <c r="CI772" s="1120">
        <f t="shared" si="961"/>
        <v>0.85</v>
      </c>
      <c r="CJ772" s="1120">
        <f t="shared" si="962"/>
        <v>0.85</v>
      </c>
      <c r="CK772" s="1120">
        <f t="shared" si="963"/>
        <v>0.85</v>
      </c>
      <c r="CL772" s="1120">
        <f t="shared" si="964"/>
        <v>0.85</v>
      </c>
      <c r="CM772" s="1120">
        <f t="shared" si="965"/>
        <v>0.85</v>
      </c>
      <c r="CN772" s="1120">
        <f t="shared" si="966"/>
        <v>0.7</v>
      </c>
      <c r="CO772" s="1120">
        <f t="shared" si="967"/>
        <v>0.7</v>
      </c>
      <c r="CP772" s="1120">
        <f t="shared" si="968"/>
        <v>0.7</v>
      </c>
      <c r="CQ772" s="1120">
        <f t="shared" si="969"/>
        <v>0.7</v>
      </c>
      <c r="CR772" s="1120">
        <f t="shared" si="970"/>
        <v>0.85</v>
      </c>
      <c r="CS772" s="1120">
        <f t="shared" si="971"/>
        <v>0.85</v>
      </c>
      <c r="CT772" s="1120">
        <f t="shared" si="972"/>
        <v>0.85</v>
      </c>
      <c r="CU772" s="1120">
        <v>1</v>
      </c>
      <c r="CV772" s="1120"/>
      <c r="CW772" s="1120">
        <f t="shared" si="973"/>
        <v>214</v>
      </c>
      <c r="CX772" s="1120">
        <f t="shared" si="974"/>
        <v>151</v>
      </c>
      <c r="CY772" s="1136" t="s">
        <v>4886</v>
      </c>
      <c r="CZ772" s="1129" t="s">
        <v>4888</v>
      </c>
      <c r="DA772" s="1129"/>
      <c r="DB772" s="1129"/>
      <c r="DC772" s="1125" t="s">
        <v>5048</v>
      </c>
      <c r="DD772" s="1125" t="s">
        <v>954</v>
      </c>
      <c r="DE772" s="1120" t="str">
        <f t="shared" si="900"/>
        <v/>
      </c>
      <c r="DF772" s="1120">
        <v>0</v>
      </c>
      <c r="DG772" s="1120">
        <v>0</v>
      </c>
    </row>
    <row r="773" spans="1:111">
      <c r="A773" s="1125" t="s">
        <v>4244</v>
      </c>
      <c r="B773" s="1120" t="s">
        <v>4248</v>
      </c>
      <c r="C773" s="1120" t="s">
        <v>4249</v>
      </c>
      <c r="D773" s="1120" t="s">
        <v>427</v>
      </c>
      <c r="E773" s="1120">
        <v>3060</v>
      </c>
      <c r="F773" s="1120">
        <v>-121.17</v>
      </c>
      <c r="G773" s="1120">
        <v>44.25</v>
      </c>
      <c r="H773" s="1120">
        <v>-8</v>
      </c>
      <c r="I773" s="1121">
        <v>12.019999313354491</v>
      </c>
      <c r="J773" s="1121">
        <v>89.960001373291021</v>
      </c>
      <c r="K773" s="1122">
        <v>60.980000686645511</v>
      </c>
      <c r="L773" s="1120">
        <v>6354</v>
      </c>
      <c r="M773" s="1120">
        <v>279</v>
      </c>
      <c r="N773" s="1123">
        <v>31.639999994635581</v>
      </c>
      <c r="O773" s="1123">
        <v>36.679999828338623</v>
      </c>
      <c r="P773" s="1123">
        <v>38.839999914169312</v>
      </c>
      <c r="Q773" s="1123">
        <v>47.119999313354491</v>
      </c>
      <c r="R773" s="1123">
        <v>50.540000343322752</v>
      </c>
      <c r="S773" s="1123">
        <v>60.980000686645511</v>
      </c>
      <c r="T773" s="1123">
        <v>67.460001373291021</v>
      </c>
      <c r="U773" s="1123">
        <v>63.319999313354494</v>
      </c>
      <c r="V773" s="1123">
        <v>57.919999313354495</v>
      </c>
      <c r="W773" s="1123">
        <v>48.380000686645509</v>
      </c>
      <c r="X773" s="1123">
        <v>35.23999991416931</v>
      </c>
      <c r="Y773" s="1123">
        <v>34.160000085830688</v>
      </c>
      <c r="Z773" s="1123">
        <v>47.75172609607651</v>
      </c>
      <c r="AA773" s="1123">
        <f t="shared" si="901"/>
        <v>47.021728944022492</v>
      </c>
      <c r="AB773" s="1123">
        <f t="shared" si="902"/>
        <v>45.91759954252062</v>
      </c>
      <c r="AC773" s="1123">
        <f t="shared" si="903"/>
        <v>46.855555954747672</v>
      </c>
      <c r="AD773" s="1123">
        <f t="shared" si="904"/>
        <v>49.591105387510829</v>
      </c>
      <c r="AE773" s="1123">
        <f t="shared" si="905"/>
        <v>53.411184725067557</v>
      </c>
      <c r="AF773" s="1123">
        <f t="shared" si="906"/>
        <v>57.320031418879147</v>
      </c>
      <c r="AG773" s="1123">
        <f t="shared" si="907"/>
        <v>60.298744341052696</v>
      </c>
      <c r="AH773" s="1123">
        <f t="shared" si="908"/>
        <v>61.570876065068049</v>
      </c>
      <c r="AI773" s="1123">
        <f t="shared" si="909"/>
        <v>60.804825852917332</v>
      </c>
      <c r="AJ773" s="1123">
        <f t="shared" si="910"/>
        <v>58.200276497588746</v>
      </c>
      <c r="AK773" s="1123">
        <f t="shared" si="911"/>
        <v>54.436143925869189</v>
      </c>
      <c r="AL773" s="1123">
        <f t="shared" si="912"/>
        <v>50.493607299616137</v>
      </c>
      <c r="AM773" s="1120">
        <f t="shared" si="913"/>
        <v>1</v>
      </c>
      <c r="AN773" s="1120">
        <f t="shared" si="914"/>
        <v>1</v>
      </c>
      <c r="AO773" s="1120">
        <f t="shared" si="915"/>
        <v>1</v>
      </c>
      <c r="AP773" s="1120">
        <f t="shared" si="916"/>
        <v>1</v>
      </c>
      <c r="AQ773" s="1120">
        <f t="shared" si="917"/>
        <v>1</v>
      </c>
      <c r="AR773" s="1120">
        <f t="shared" si="918"/>
        <v>1</v>
      </c>
      <c r="AS773" s="1120">
        <f t="shared" si="919"/>
        <v>0</v>
      </c>
      <c r="AT773" s="1120">
        <f t="shared" si="920"/>
        <v>1</v>
      </c>
      <c r="AU773" s="1120">
        <f t="shared" si="921"/>
        <v>1</v>
      </c>
      <c r="AV773" s="1120">
        <f t="shared" si="922"/>
        <v>1</v>
      </c>
      <c r="AW773" s="1120">
        <f t="shared" si="923"/>
        <v>1</v>
      </c>
      <c r="AX773" s="1120">
        <f t="shared" si="924"/>
        <v>1</v>
      </c>
      <c r="AY773" s="1120">
        <f t="shared" si="925"/>
        <v>0</v>
      </c>
      <c r="AZ773" s="1120">
        <f t="shared" si="926"/>
        <v>0</v>
      </c>
      <c r="BA773" s="1120">
        <f t="shared" si="927"/>
        <v>0</v>
      </c>
      <c r="BB773" s="1120">
        <f t="shared" si="928"/>
        <v>0</v>
      </c>
      <c r="BC773" s="1120">
        <f t="shared" si="929"/>
        <v>0</v>
      </c>
      <c r="BD773" s="1120">
        <f t="shared" si="930"/>
        <v>0</v>
      </c>
      <c r="BE773" s="1120">
        <f t="shared" si="931"/>
        <v>1</v>
      </c>
      <c r="BF773" s="1120">
        <f t="shared" si="932"/>
        <v>1</v>
      </c>
      <c r="BG773" s="1120">
        <f t="shared" si="933"/>
        <v>0</v>
      </c>
      <c r="BH773" s="1120">
        <f t="shared" si="934"/>
        <v>0</v>
      </c>
      <c r="BI773" s="1120">
        <f t="shared" si="935"/>
        <v>0</v>
      </c>
      <c r="BJ773" s="1120">
        <f t="shared" si="936"/>
        <v>0</v>
      </c>
      <c r="BK773" s="1120">
        <f t="shared" si="937"/>
        <v>1</v>
      </c>
      <c r="BL773" s="1120">
        <f t="shared" si="938"/>
        <v>1</v>
      </c>
      <c r="BM773" s="1120">
        <f t="shared" si="939"/>
        <v>1</v>
      </c>
      <c r="BN773" s="1120">
        <f t="shared" si="940"/>
        <v>1</v>
      </c>
      <c r="BO773" s="1120">
        <f t="shared" si="941"/>
        <v>1</v>
      </c>
      <c r="BP773" s="1120">
        <f t="shared" si="942"/>
        <v>1</v>
      </c>
      <c r="BQ773" s="1120">
        <f t="shared" si="943"/>
        <v>1</v>
      </c>
      <c r="BR773" s="1120">
        <f t="shared" si="944"/>
        <v>1</v>
      </c>
      <c r="BS773" s="1120">
        <f t="shared" si="945"/>
        <v>1</v>
      </c>
      <c r="BT773" s="1120">
        <f t="shared" si="946"/>
        <v>1</v>
      </c>
      <c r="BU773" s="1120">
        <f t="shared" si="947"/>
        <v>1</v>
      </c>
      <c r="BV773" s="1120">
        <f t="shared" si="948"/>
        <v>1</v>
      </c>
      <c r="BW773" s="1120">
        <f t="shared" si="949"/>
        <v>0</v>
      </c>
      <c r="BX773" s="1120">
        <f t="shared" si="950"/>
        <v>0</v>
      </c>
      <c r="BY773" s="1120">
        <f t="shared" si="951"/>
        <v>0</v>
      </c>
      <c r="BZ773" s="1120">
        <f t="shared" si="952"/>
        <v>0</v>
      </c>
      <c r="CA773" s="1120">
        <f t="shared" si="953"/>
        <v>0</v>
      </c>
      <c r="CB773" s="1120">
        <f t="shared" si="954"/>
        <v>1</v>
      </c>
      <c r="CC773" s="1120">
        <f t="shared" si="955"/>
        <v>1</v>
      </c>
      <c r="CD773" s="1120">
        <f t="shared" si="956"/>
        <v>1</v>
      </c>
      <c r="CE773" s="1120">
        <f t="shared" si="957"/>
        <v>0</v>
      </c>
      <c r="CF773" s="1120">
        <f t="shared" si="958"/>
        <v>0</v>
      </c>
      <c r="CG773" s="1120">
        <f t="shared" si="959"/>
        <v>0</v>
      </c>
      <c r="CH773" s="1120">
        <f t="shared" si="960"/>
        <v>0</v>
      </c>
      <c r="CI773" s="1120">
        <f t="shared" si="961"/>
        <v>0.85</v>
      </c>
      <c r="CJ773" s="1120">
        <f t="shared" si="962"/>
        <v>0.85</v>
      </c>
      <c r="CK773" s="1120">
        <f t="shared" si="963"/>
        <v>0.85</v>
      </c>
      <c r="CL773" s="1120">
        <f t="shared" si="964"/>
        <v>0.85</v>
      </c>
      <c r="CM773" s="1120">
        <f t="shared" si="965"/>
        <v>0.85</v>
      </c>
      <c r="CN773" s="1120">
        <f t="shared" si="966"/>
        <v>0.85</v>
      </c>
      <c r="CO773" s="1120">
        <f t="shared" si="967"/>
        <v>0.85</v>
      </c>
      <c r="CP773" s="1120">
        <f t="shared" si="968"/>
        <v>0.85</v>
      </c>
      <c r="CQ773" s="1120">
        <f t="shared" si="969"/>
        <v>0.85</v>
      </c>
      <c r="CR773" s="1120">
        <f t="shared" si="970"/>
        <v>0.85</v>
      </c>
      <c r="CS773" s="1120">
        <f t="shared" si="971"/>
        <v>0.85</v>
      </c>
      <c r="CT773" s="1120">
        <f t="shared" si="972"/>
        <v>0.85</v>
      </c>
      <c r="CU773" s="1120">
        <v>1</v>
      </c>
      <c r="CV773" s="1120"/>
      <c r="CW773" s="1120">
        <f t="shared" si="973"/>
        <v>92</v>
      </c>
      <c r="CX773" s="1120">
        <f t="shared" si="974"/>
        <v>273</v>
      </c>
      <c r="CY773" s="1135" t="s">
        <v>4889</v>
      </c>
      <c r="CZ773" s="1124" t="s">
        <v>4890</v>
      </c>
      <c r="DA773" s="1124"/>
      <c r="DB773" s="1124"/>
      <c r="DC773" s="1120" t="s">
        <v>5525</v>
      </c>
      <c r="DD773" s="1120" t="s">
        <v>427</v>
      </c>
      <c r="DE773" s="1120" t="str">
        <f t="shared" si="900"/>
        <v/>
      </c>
      <c r="DF773" s="1133">
        <v>0</v>
      </c>
      <c r="DG773" s="1125">
        <v>0</v>
      </c>
    </row>
    <row r="774" spans="1:111">
      <c r="A774" s="1120" t="s">
        <v>4248</v>
      </c>
      <c r="B774" s="1120" t="s">
        <v>3821</v>
      </c>
      <c r="C774" s="1120" t="s">
        <v>3822</v>
      </c>
      <c r="D774" s="1120" t="s">
        <v>934</v>
      </c>
      <c r="E774" s="1120">
        <v>1023</v>
      </c>
      <c r="F774" s="1120">
        <v>-95.08</v>
      </c>
      <c r="G774" s="1120">
        <v>44.55</v>
      </c>
      <c r="H774" s="1120">
        <v>-6</v>
      </c>
      <c r="I774" s="1121">
        <v>-10.480000686645509</v>
      </c>
      <c r="J774" s="1121">
        <v>88.7</v>
      </c>
      <c r="K774" s="1122">
        <v>72.680000686645513</v>
      </c>
      <c r="L774" s="1120">
        <v>7763.4000000000005</v>
      </c>
      <c r="M774" s="1120">
        <v>642.6</v>
      </c>
      <c r="N774" s="1123">
        <v>16.880000686645506</v>
      </c>
      <c r="O774" s="1123">
        <v>14.180000686645508</v>
      </c>
      <c r="P774" s="1123">
        <v>33.259999978542325</v>
      </c>
      <c r="Q774" s="1123">
        <v>49.1</v>
      </c>
      <c r="R774" s="1123">
        <v>59.719999313354492</v>
      </c>
      <c r="S774" s="1123">
        <v>71.599999999999994</v>
      </c>
      <c r="T774" s="1123">
        <v>71.239998626708982</v>
      </c>
      <c r="U774" s="1123">
        <v>66.560001373291016</v>
      </c>
      <c r="V774" s="1123">
        <v>59.719999313354492</v>
      </c>
      <c r="W774" s="1123">
        <v>47.119999313354491</v>
      </c>
      <c r="X774" s="1123">
        <v>36.860000085830691</v>
      </c>
      <c r="Y774" s="1123">
        <v>10.940000343322753</v>
      </c>
      <c r="Z774" s="1123">
        <v>44.911671205187496</v>
      </c>
      <c r="AA774" s="1123">
        <f t="shared" si="901"/>
        <v>40.577689388722803</v>
      </c>
      <c r="AB774" s="1123">
        <f t="shared" si="902"/>
        <v>38.533859440977174</v>
      </c>
      <c r="AC774" s="1123">
        <f t="shared" si="903"/>
        <v>39.716496877426138</v>
      </c>
      <c r="AD774" s="1123">
        <f t="shared" si="904"/>
        <v>43.817329025264712</v>
      </c>
      <c r="AE774" s="1123">
        <f t="shared" si="905"/>
        <v>49.767410789422456</v>
      </c>
      <c r="AF774" s="1123">
        <f t="shared" si="906"/>
        <v>56.015761664536136</v>
      </c>
      <c r="AG774" s="1123">
        <f t="shared" si="907"/>
        <v>60.933652705005699</v>
      </c>
      <c r="AH774" s="1123">
        <f t="shared" si="908"/>
        <v>63.239159824137772</v>
      </c>
      <c r="AI774" s="1123">
        <f t="shared" si="909"/>
        <v>62.331317062390426</v>
      </c>
      <c r="AJ774" s="1123">
        <f t="shared" si="910"/>
        <v>58.446767625893543</v>
      </c>
      <c r="AK774" s="1123">
        <f t="shared" si="911"/>
        <v>52.598079187988887</v>
      </c>
      <c r="AL774" s="1123">
        <f t="shared" si="912"/>
        <v>46.309802521033376</v>
      </c>
      <c r="AM774" s="1120">
        <f t="shared" si="913"/>
        <v>1</v>
      </c>
      <c r="AN774" s="1120">
        <f t="shared" si="914"/>
        <v>1</v>
      </c>
      <c r="AO774" s="1120">
        <f t="shared" si="915"/>
        <v>1</v>
      </c>
      <c r="AP774" s="1120">
        <f t="shared" si="916"/>
        <v>1</v>
      </c>
      <c r="AQ774" s="1120">
        <f t="shared" si="917"/>
        <v>1</v>
      </c>
      <c r="AR774" s="1120">
        <f t="shared" si="918"/>
        <v>0</v>
      </c>
      <c r="AS774" s="1120">
        <f t="shared" si="919"/>
        <v>0</v>
      </c>
      <c r="AT774" s="1120">
        <f t="shared" si="920"/>
        <v>0</v>
      </c>
      <c r="AU774" s="1120">
        <f t="shared" si="921"/>
        <v>1</v>
      </c>
      <c r="AV774" s="1120">
        <f t="shared" si="922"/>
        <v>1</v>
      </c>
      <c r="AW774" s="1120">
        <f t="shared" si="923"/>
        <v>1</v>
      </c>
      <c r="AX774" s="1120">
        <f t="shared" si="924"/>
        <v>1</v>
      </c>
      <c r="AY774" s="1120">
        <f t="shared" si="925"/>
        <v>0</v>
      </c>
      <c r="AZ774" s="1120">
        <f t="shared" si="926"/>
        <v>0</v>
      </c>
      <c r="BA774" s="1120">
        <f t="shared" si="927"/>
        <v>0</v>
      </c>
      <c r="BB774" s="1120">
        <f t="shared" si="928"/>
        <v>0</v>
      </c>
      <c r="BC774" s="1120">
        <f t="shared" si="929"/>
        <v>0</v>
      </c>
      <c r="BD774" s="1120">
        <f t="shared" si="930"/>
        <v>1</v>
      </c>
      <c r="BE774" s="1120">
        <f t="shared" si="931"/>
        <v>1</v>
      </c>
      <c r="BF774" s="1120">
        <f t="shared" si="932"/>
        <v>1</v>
      </c>
      <c r="BG774" s="1120">
        <f t="shared" si="933"/>
        <v>0</v>
      </c>
      <c r="BH774" s="1120">
        <f t="shared" si="934"/>
        <v>0</v>
      </c>
      <c r="BI774" s="1120">
        <f t="shared" si="935"/>
        <v>0</v>
      </c>
      <c r="BJ774" s="1120">
        <f t="shared" si="936"/>
        <v>0</v>
      </c>
      <c r="BK774" s="1120">
        <f t="shared" si="937"/>
        <v>1</v>
      </c>
      <c r="BL774" s="1120">
        <f t="shared" si="938"/>
        <v>1</v>
      </c>
      <c r="BM774" s="1120">
        <f t="shared" si="939"/>
        <v>1</v>
      </c>
      <c r="BN774" s="1120">
        <f t="shared" si="940"/>
        <v>1</v>
      </c>
      <c r="BO774" s="1120">
        <f t="shared" si="941"/>
        <v>1</v>
      </c>
      <c r="BP774" s="1120">
        <f t="shared" si="942"/>
        <v>1</v>
      </c>
      <c r="BQ774" s="1120">
        <f t="shared" si="943"/>
        <v>0</v>
      </c>
      <c r="BR774" s="1120">
        <f t="shared" si="944"/>
        <v>0</v>
      </c>
      <c r="BS774" s="1120">
        <f t="shared" si="945"/>
        <v>1</v>
      </c>
      <c r="BT774" s="1120">
        <f t="shared" si="946"/>
        <v>1</v>
      </c>
      <c r="BU774" s="1120">
        <f t="shared" si="947"/>
        <v>1</v>
      </c>
      <c r="BV774" s="1120">
        <f t="shared" si="948"/>
        <v>1</v>
      </c>
      <c r="BW774" s="1120">
        <f t="shared" si="949"/>
        <v>0</v>
      </c>
      <c r="BX774" s="1120">
        <f t="shared" si="950"/>
        <v>0</v>
      </c>
      <c r="BY774" s="1120">
        <f t="shared" si="951"/>
        <v>0</v>
      </c>
      <c r="BZ774" s="1120">
        <f t="shared" si="952"/>
        <v>0</v>
      </c>
      <c r="CA774" s="1120">
        <f t="shared" si="953"/>
        <v>1</v>
      </c>
      <c r="CB774" s="1120">
        <f t="shared" si="954"/>
        <v>1</v>
      </c>
      <c r="CC774" s="1120">
        <f t="shared" si="955"/>
        <v>1</v>
      </c>
      <c r="CD774" s="1120">
        <f t="shared" si="956"/>
        <v>1</v>
      </c>
      <c r="CE774" s="1120">
        <f t="shared" si="957"/>
        <v>1</v>
      </c>
      <c r="CF774" s="1120">
        <f t="shared" si="958"/>
        <v>0</v>
      </c>
      <c r="CG774" s="1120">
        <f t="shared" si="959"/>
        <v>0</v>
      </c>
      <c r="CH774" s="1120">
        <f t="shared" si="960"/>
        <v>0</v>
      </c>
      <c r="CI774" s="1120">
        <f t="shared" si="961"/>
        <v>0.85</v>
      </c>
      <c r="CJ774" s="1120">
        <f t="shared" si="962"/>
        <v>0.85</v>
      </c>
      <c r="CK774" s="1120">
        <f t="shared" si="963"/>
        <v>0.85</v>
      </c>
      <c r="CL774" s="1120">
        <f t="shared" si="964"/>
        <v>0.85</v>
      </c>
      <c r="CM774" s="1120">
        <f t="shared" si="965"/>
        <v>0.85</v>
      </c>
      <c r="CN774" s="1120">
        <f t="shared" si="966"/>
        <v>0.85</v>
      </c>
      <c r="CO774" s="1120">
        <f t="shared" si="967"/>
        <v>0.7</v>
      </c>
      <c r="CP774" s="1120">
        <f t="shared" si="968"/>
        <v>0.7</v>
      </c>
      <c r="CQ774" s="1120">
        <f t="shared" si="969"/>
        <v>0.85</v>
      </c>
      <c r="CR774" s="1120">
        <f t="shared" si="970"/>
        <v>0.85</v>
      </c>
      <c r="CS774" s="1120">
        <f t="shared" si="971"/>
        <v>0.85</v>
      </c>
      <c r="CT774" s="1120">
        <f t="shared" si="972"/>
        <v>0.85</v>
      </c>
      <c r="CU774" s="1120">
        <v>1</v>
      </c>
      <c r="CV774" s="1120"/>
      <c r="CW774" s="1120">
        <f t="shared" si="973"/>
        <v>153</v>
      </c>
      <c r="CX774" s="1120">
        <f t="shared" si="974"/>
        <v>212</v>
      </c>
      <c r="CY774" s="1135" t="s">
        <v>4889</v>
      </c>
      <c r="CZ774" s="1124" t="s">
        <v>4899</v>
      </c>
      <c r="DA774" s="1124"/>
      <c r="DB774" s="1124"/>
      <c r="DC774" s="1120" t="s">
        <v>5338</v>
      </c>
      <c r="DD774" s="1120" t="s">
        <v>934</v>
      </c>
      <c r="DE774" s="1120" t="str">
        <f t="shared" si="900"/>
        <v/>
      </c>
      <c r="DF774" s="1133">
        <v>0</v>
      </c>
      <c r="DG774" s="1120">
        <v>0</v>
      </c>
    </row>
    <row r="775" spans="1:111">
      <c r="A775" s="1125" t="s">
        <v>4250</v>
      </c>
      <c r="B775" s="1120" t="s">
        <v>4112</v>
      </c>
      <c r="C775" s="1120" t="s">
        <v>4113</v>
      </c>
      <c r="D775" s="1120" t="s">
        <v>450</v>
      </c>
      <c r="E775" s="1120">
        <v>4402</v>
      </c>
      <c r="F775" s="1120">
        <v>-119.77</v>
      </c>
      <c r="G775" s="1120">
        <v>39.479999999999997</v>
      </c>
      <c r="H775" s="1120">
        <v>-8</v>
      </c>
      <c r="I775" s="1121">
        <v>17.059999656677245</v>
      </c>
      <c r="J775" s="1121">
        <v>93.020002746582037</v>
      </c>
      <c r="K775" s="1122">
        <v>60.619999313354491</v>
      </c>
      <c r="L775" s="1120">
        <v>5380.2</v>
      </c>
      <c r="M775" s="1120">
        <v>831.6</v>
      </c>
      <c r="N775" s="1123">
        <v>33.259999978542325</v>
      </c>
      <c r="O775" s="1123">
        <v>38.120000171661374</v>
      </c>
      <c r="P775" s="1123">
        <v>42.079999828338622</v>
      </c>
      <c r="Q775" s="1123">
        <v>50.359999656677246</v>
      </c>
      <c r="R775" s="1123">
        <v>59</v>
      </c>
      <c r="S775" s="1123">
        <v>67.460001373291021</v>
      </c>
      <c r="T775" s="1123">
        <v>75.739998626708982</v>
      </c>
      <c r="U775" s="1123">
        <v>73.400000000000006</v>
      </c>
      <c r="V775" s="1123">
        <v>62.239998626708989</v>
      </c>
      <c r="W775" s="1123">
        <v>50</v>
      </c>
      <c r="X775" s="1123">
        <v>39.920000171661378</v>
      </c>
      <c r="Y775" s="1123">
        <v>31.1</v>
      </c>
      <c r="Z775" s="1123">
        <v>51.96915055095333</v>
      </c>
      <c r="AA775" s="1123">
        <f t="shared" si="901"/>
        <v>48.400086665051845</v>
      </c>
      <c r="AB775" s="1123">
        <f t="shared" si="902"/>
        <v>47.276409962018121</v>
      </c>
      <c r="AC775" s="1123">
        <f t="shared" si="903"/>
        <v>48.939960873610687</v>
      </c>
      <c r="AD775" s="1123">
        <f t="shared" si="904"/>
        <v>52.957109218627394</v>
      </c>
      <c r="AE775" s="1123">
        <f t="shared" si="905"/>
        <v>58.28072337480976</v>
      </c>
      <c r="AF775" s="1123">
        <f t="shared" si="906"/>
        <v>63.523121272971395</v>
      </c>
      <c r="AG775" s="1123">
        <f t="shared" si="907"/>
        <v>67.317791113159416</v>
      </c>
      <c r="AH775" s="1123">
        <f t="shared" si="908"/>
        <v>68.675593723896498</v>
      </c>
      <c r="AI775" s="1123">
        <f t="shared" si="909"/>
        <v>67.242596930322406</v>
      </c>
      <c r="AJ775" s="1123">
        <f t="shared" si="910"/>
        <v>63.392333429831261</v>
      </c>
      <c r="AK775" s="1123">
        <f t="shared" si="911"/>
        <v>58.128433738182665</v>
      </c>
      <c r="AL775" s="1123">
        <f t="shared" si="912"/>
        <v>52.823014429154526</v>
      </c>
      <c r="AM775" s="1120">
        <f t="shared" si="913"/>
        <v>1</v>
      </c>
      <c r="AN775" s="1120">
        <f t="shared" si="914"/>
        <v>1</v>
      </c>
      <c r="AO775" s="1120">
        <f t="shared" si="915"/>
        <v>1</v>
      </c>
      <c r="AP775" s="1120">
        <f t="shared" si="916"/>
        <v>1</v>
      </c>
      <c r="AQ775" s="1120">
        <f t="shared" si="917"/>
        <v>1</v>
      </c>
      <c r="AR775" s="1120">
        <f t="shared" si="918"/>
        <v>0</v>
      </c>
      <c r="AS775" s="1120">
        <f t="shared" si="919"/>
        <v>0</v>
      </c>
      <c r="AT775" s="1120">
        <f t="shared" si="920"/>
        <v>0</v>
      </c>
      <c r="AU775" s="1120">
        <f t="shared" si="921"/>
        <v>1</v>
      </c>
      <c r="AV775" s="1120">
        <f t="shared" si="922"/>
        <v>1</v>
      </c>
      <c r="AW775" s="1120">
        <f t="shared" si="923"/>
        <v>1</v>
      </c>
      <c r="AX775" s="1120">
        <f t="shared" si="924"/>
        <v>1</v>
      </c>
      <c r="AY775" s="1120">
        <f t="shared" si="925"/>
        <v>0</v>
      </c>
      <c r="AZ775" s="1120">
        <f t="shared" si="926"/>
        <v>0</v>
      </c>
      <c r="BA775" s="1120">
        <f t="shared" si="927"/>
        <v>0</v>
      </c>
      <c r="BB775" s="1120">
        <f t="shared" si="928"/>
        <v>0</v>
      </c>
      <c r="BC775" s="1120">
        <f t="shared" si="929"/>
        <v>0</v>
      </c>
      <c r="BD775" s="1120">
        <f t="shared" si="930"/>
        <v>1</v>
      </c>
      <c r="BE775" s="1120">
        <f t="shared" si="931"/>
        <v>1</v>
      </c>
      <c r="BF775" s="1120">
        <f t="shared" si="932"/>
        <v>1</v>
      </c>
      <c r="BG775" s="1120">
        <f t="shared" si="933"/>
        <v>0</v>
      </c>
      <c r="BH775" s="1120">
        <f t="shared" si="934"/>
        <v>0</v>
      </c>
      <c r="BI775" s="1120">
        <f t="shared" si="935"/>
        <v>0</v>
      </c>
      <c r="BJ775" s="1120">
        <f t="shared" si="936"/>
        <v>0</v>
      </c>
      <c r="BK775" s="1120">
        <f t="shared" si="937"/>
        <v>1</v>
      </c>
      <c r="BL775" s="1120">
        <f t="shared" si="938"/>
        <v>1</v>
      </c>
      <c r="BM775" s="1120">
        <f t="shared" si="939"/>
        <v>1</v>
      </c>
      <c r="BN775" s="1120">
        <f t="shared" si="940"/>
        <v>1</v>
      </c>
      <c r="BO775" s="1120">
        <f t="shared" si="941"/>
        <v>1</v>
      </c>
      <c r="BP775" s="1120">
        <f t="shared" si="942"/>
        <v>1</v>
      </c>
      <c r="BQ775" s="1120">
        <f t="shared" si="943"/>
        <v>0</v>
      </c>
      <c r="BR775" s="1120">
        <f t="shared" si="944"/>
        <v>0</v>
      </c>
      <c r="BS775" s="1120">
        <f t="shared" si="945"/>
        <v>1</v>
      </c>
      <c r="BT775" s="1120">
        <f t="shared" si="946"/>
        <v>1</v>
      </c>
      <c r="BU775" s="1120">
        <f t="shared" si="947"/>
        <v>1</v>
      </c>
      <c r="BV775" s="1120">
        <f t="shared" si="948"/>
        <v>1</v>
      </c>
      <c r="BW775" s="1120">
        <f t="shared" si="949"/>
        <v>0</v>
      </c>
      <c r="BX775" s="1120">
        <f t="shared" si="950"/>
        <v>0</v>
      </c>
      <c r="BY775" s="1120">
        <f t="shared" si="951"/>
        <v>0</v>
      </c>
      <c r="BZ775" s="1120">
        <f t="shared" si="952"/>
        <v>0</v>
      </c>
      <c r="CA775" s="1120">
        <f t="shared" si="953"/>
        <v>1</v>
      </c>
      <c r="CB775" s="1120">
        <f t="shared" si="954"/>
        <v>1</v>
      </c>
      <c r="CC775" s="1120">
        <f t="shared" si="955"/>
        <v>1</v>
      </c>
      <c r="CD775" s="1120">
        <f t="shared" si="956"/>
        <v>1</v>
      </c>
      <c r="CE775" s="1120">
        <f t="shared" si="957"/>
        <v>1</v>
      </c>
      <c r="CF775" s="1120">
        <f t="shared" si="958"/>
        <v>0</v>
      </c>
      <c r="CG775" s="1120">
        <f t="shared" si="959"/>
        <v>0</v>
      </c>
      <c r="CH775" s="1120">
        <f t="shared" si="960"/>
        <v>0</v>
      </c>
      <c r="CI775" s="1120">
        <f t="shared" si="961"/>
        <v>0.85</v>
      </c>
      <c r="CJ775" s="1120">
        <f t="shared" si="962"/>
        <v>0.85</v>
      </c>
      <c r="CK775" s="1120">
        <f t="shared" si="963"/>
        <v>0.85</v>
      </c>
      <c r="CL775" s="1120">
        <f t="shared" si="964"/>
        <v>0.85</v>
      </c>
      <c r="CM775" s="1120">
        <f t="shared" si="965"/>
        <v>0.85</v>
      </c>
      <c r="CN775" s="1120">
        <f t="shared" si="966"/>
        <v>0.85</v>
      </c>
      <c r="CO775" s="1120">
        <f t="shared" si="967"/>
        <v>0.7</v>
      </c>
      <c r="CP775" s="1120">
        <f t="shared" si="968"/>
        <v>0.7</v>
      </c>
      <c r="CQ775" s="1120">
        <f t="shared" si="969"/>
        <v>0.85</v>
      </c>
      <c r="CR775" s="1120">
        <f t="shared" si="970"/>
        <v>0.85</v>
      </c>
      <c r="CS775" s="1120">
        <f t="shared" si="971"/>
        <v>0.85</v>
      </c>
      <c r="CT775" s="1120">
        <f t="shared" si="972"/>
        <v>0.85</v>
      </c>
      <c r="CU775" s="1120">
        <v>1</v>
      </c>
      <c r="CV775" s="1120"/>
      <c r="CW775" s="1120">
        <f t="shared" si="973"/>
        <v>153</v>
      </c>
      <c r="CX775" s="1120">
        <f t="shared" si="974"/>
        <v>212</v>
      </c>
      <c r="CY775" s="1135" t="s">
        <v>4889</v>
      </c>
      <c r="CZ775" s="1124" t="s">
        <v>4890</v>
      </c>
      <c r="DA775" s="1124"/>
      <c r="DB775" s="1124"/>
      <c r="DC775" s="1120" t="s">
        <v>5467</v>
      </c>
      <c r="DD775" s="1120" t="s">
        <v>450</v>
      </c>
      <c r="DE775" s="1120" t="str">
        <f t="shared" si="900"/>
        <v/>
      </c>
      <c r="DF775" s="1133">
        <v>0</v>
      </c>
      <c r="DG775" s="1125">
        <v>0</v>
      </c>
    </row>
    <row r="776" spans="1:111">
      <c r="A776" s="1120" t="s">
        <v>4252</v>
      </c>
      <c r="B776" s="1120" t="s">
        <v>4578</v>
      </c>
      <c r="C776" s="1120" t="s">
        <v>4579</v>
      </c>
      <c r="D776" s="1120" t="s">
        <v>238</v>
      </c>
      <c r="E776" s="1120">
        <v>33</v>
      </c>
      <c r="F776" s="1120">
        <v>-122.22</v>
      </c>
      <c r="G776" s="1120">
        <v>47.48</v>
      </c>
      <c r="H776" s="1120">
        <v>-8</v>
      </c>
      <c r="I776" s="1121">
        <v>28.220000171661376</v>
      </c>
      <c r="J776" s="1121">
        <v>86.180000686645513</v>
      </c>
      <c r="K776" s="1122">
        <v>60.980000686645511</v>
      </c>
      <c r="L776" s="1120">
        <v>4289.4000000000005</v>
      </c>
      <c r="M776" s="1120">
        <v>241.20000000000002</v>
      </c>
      <c r="N776" s="1123">
        <v>42.97999982833862</v>
      </c>
      <c r="O776" s="1123">
        <v>42.97999982833862</v>
      </c>
      <c r="P776" s="1123">
        <v>47.659999656677243</v>
      </c>
      <c r="Q776" s="1123">
        <v>52.519999313354489</v>
      </c>
      <c r="R776" s="1123">
        <v>55.580000686645505</v>
      </c>
      <c r="S776" s="1123">
        <v>62.060001373291016</v>
      </c>
      <c r="T776" s="1123">
        <v>66.560001373291016</v>
      </c>
      <c r="U776" s="1123">
        <v>67.280000686645508</v>
      </c>
      <c r="V776" s="1123">
        <v>59.359999656677246</v>
      </c>
      <c r="W776" s="1123">
        <v>52.519999313354489</v>
      </c>
      <c r="X776" s="1123">
        <v>45.5</v>
      </c>
      <c r="Y776" s="1123">
        <v>43.7</v>
      </c>
      <c r="Z776" s="1123">
        <v>53.291287817497775</v>
      </c>
      <c r="AA776" s="1123">
        <f t="shared" si="901"/>
        <v>53.879016776040835</v>
      </c>
      <c r="AB776" s="1123">
        <f t="shared" si="902"/>
        <v>53.318719247120981</v>
      </c>
      <c r="AC776" s="1123">
        <f t="shared" si="903"/>
        <v>54.31526375613754</v>
      </c>
      <c r="AD776" s="1123">
        <f t="shared" si="904"/>
        <v>56.608885619599597</v>
      </c>
      <c r="AE776" s="1123">
        <f t="shared" si="905"/>
        <v>59.601716953012946</v>
      </c>
      <c r="AF776" s="1123">
        <f t="shared" si="906"/>
        <v>62.513630148396487</v>
      </c>
      <c r="AG776" s="1123">
        <f t="shared" si="907"/>
        <v>64.585590157432819</v>
      </c>
      <c r="AH776" s="1123">
        <f t="shared" si="908"/>
        <v>65.277508673896392</v>
      </c>
      <c r="AI776" s="1123">
        <f t="shared" si="909"/>
        <v>64.409026473683866</v>
      </c>
      <c r="AJ776" s="1123">
        <f t="shared" si="910"/>
        <v>62.20652682599647</v>
      </c>
      <c r="AK776" s="1123">
        <f t="shared" si="911"/>
        <v>59.244125205550894</v>
      </c>
      <c r="AL776" s="1123">
        <f t="shared" si="912"/>
        <v>56.294017246707121</v>
      </c>
      <c r="AM776" s="1120">
        <f t="shared" si="913"/>
        <v>1</v>
      </c>
      <c r="AN776" s="1120">
        <f t="shared" si="914"/>
        <v>1</v>
      </c>
      <c r="AO776" s="1120">
        <f t="shared" si="915"/>
        <v>1</v>
      </c>
      <c r="AP776" s="1120">
        <f t="shared" si="916"/>
        <v>1</v>
      </c>
      <c r="AQ776" s="1120">
        <f t="shared" si="917"/>
        <v>1</v>
      </c>
      <c r="AR776" s="1120">
        <f t="shared" si="918"/>
        <v>1</v>
      </c>
      <c r="AS776" s="1120">
        <f t="shared" si="919"/>
        <v>0</v>
      </c>
      <c r="AT776" s="1120">
        <f t="shared" si="920"/>
        <v>0</v>
      </c>
      <c r="AU776" s="1120">
        <f t="shared" si="921"/>
        <v>1</v>
      </c>
      <c r="AV776" s="1120">
        <f t="shared" si="922"/>
        <v>1</v>
      </c>
      <c r="AW776" s="1120">
        <f t="shared" si="923"/>
        <v>1</v>
      </c>
      <c r="AX776" s="1120">
        <f t="shared" si="924"/>
        <v>1</v>
      </c>
      <c r="AY776" s="1120">
        <f t="shared" si="925"/>
        <v>0</v>
      </c>
      <c r="AZ776" s="1120">
        <f t="shared" si="926"/>
        <v>0</v>
      </c>
      <c r="BA776" s="1120">
        <f t="shared" si="927"/>
        <v>0</v>
      </c>
      <c r="BB776" s="1120">
        <f t="shared" si="928"/>
        <v>0</v>
      </c>
      <c r="BC776" s="1120">
        <f t="shared" si="929"/>
        <v>0</v>
      </c>
      <c r="BD776" s="1120">
        <f t="shared" si="930"/>
        <v>0</v>
      </c>
      <c r="BE776" s="1120">
        <f t="shared" si="931"/>
        <v>1</v>
      </c>
      <c r="BF776" s="1120">
        <f t="shared" si="932"/>
        <v>1</v>
      </c>
      <c r="BG776" s="1120">
        <f t="shared" si="933"/>
        <v>0</v>
      </c>
      <c r="BH776" s="1120">
        <f t="shared" si="934"/>
        <v>0</v>
      </c>
      <c r="BI776" s="1120">
        <f t="shared" si="935"/>
        <v>0</v>
      </c>
      <c r="BJ776" s="1120">
        <f t="shared" si="936"/>
        <v>0</v>
      </c>
      <c r="BK776" s="1120">
        <f t="shared" si="937"/>
        <v>1</v>
      </c>
      <c r="BL776" s="1120">
        <f t="shared" si="938"/>
        <v>1</v>
      </c>
      <c r="BM776" s="1120">
        <f t="shared" si="939"/>
        <v>1</v>
      </c>
      <c r="BN776" s="1120">
        <f t="shared" si="940"/>
        <v>1</v>
      </c>
      <c r="BO776" s="1120">
        <f t="shared" si="941"/>
        <v>1</v>
      </c>
      <c r="BP776" s="1120">
        <f t="shared" si="942"/>
        <v>1</v>
      </c>
      <c r="BQ776" s="1120">
        <f t="shared" si="943"/>
        <v>1</v>
      </c>
      <c r="BR776" s="1120">
        <f t="shared" si="944"/>
        <v>0</v>
      </c>
      <c r="BS776" s="1120">
        <f t="shared" si="945"/>
        <v>1</v>
      </c>
      <c r="BT776" s="1120">
        <f t="shared" si="946"/>
        <v>1</v>
      </c>
      <c r="BU776" s="1120">
        <f t="shared" si="947"/>
        <v>1</v>
      </c>
      <c r="BV776" s="1120">
        <f t="shared" si="948"/>
        <v>1</v>
      </c>
      <c r="BW776" s="1120">
        <f t="shared" si="949"/>
        <v>0</v>
      </c>
      <c r="BX776" s="1120">
        <f t="shared" si="950"/>
        <v>0</v>
      </c>
      <c r="BY776" s="1120">
        <f t="shared" si="951"/>
        <v>0</v>
      </c>
      <c r="BZ776" s="1120">
        <f t="shared" si="952"/>
        <v>0</v>
      </c>
      <c r="CA776" s="1120">
        <f t="shared" si="953"/>
        <v>0</v>
      </c>
      <c r="CB776" s="1120">
        <f t="shared" si="954"/>
        <v>1</v>
      </c>
      <c r="CC776" s="1120">
        <f t="shared" si="955"/>
        <v>1</v>
      </c>
      <c r="CD776" s="1120">
        <f t="shared" si="956"/>
        <v>1</v>
      </c>
      <c r="CE776" s="1120">
        <f t="shared" si="957"/>
        <v>1</v>
      </c>
      <c r="CF776" s="1120">
        <f t="shared" si="958"/>
        <v>0</v>
      </c>
      <c r="CG776" s="1120">
        <f t="shared" si="959"/>
        <v>0</v>
      </c>
      <c r="CH776" s="1120">
        <f t="shared" si="960"/>
        <v>0</v>
      </c>
      <c r="CI776" s="1120">
        <f t="shared" si="961"/>
        <v>0.85</v>
      </c>
      <c r="CJ776" s="1120">
        <f t="shared" si="962"/>
        <v>0.85</v>
      </c>
      <c r="CK776" s="1120">
        <f t="shared" si="963"/>
        <v>0.85</v>
      </c>
      <c r="CL776" s="1120">
        <f t="shared" si="964"/>
        <v>0.85</v>
      </c>
      <c r="CM776" s="1120">
        <f t="shared" si="965"/>
        <v>0.85</v>
      </c>
      <c r="CN776" s="1120">
        <f t="shared" si="966"/>
        <v>0.85</v>
      </c>
      <c r="CO776" s="1120">
        <f t="shared" si="967"/>
        <v>0.85</v>
      </c>
      <c r="CP776" s="1120">
        <f t="shared" si="968"/>
        <v>0.7</v>
      </c>
      <c r="CQ776" s="1120">
        <f t="shared" si="969"/>
        <v>0.85</v>
      </c>
      <c r="CR776" s="1120">
        <f t="shared" si="970"/>
        <v>0.85</v>
      </c>
      <c r="CS776" s="1120">
        <f t="shared" si="971"/>
        <v>0.85</v>
      </c>
      <c r="CT776" s="1120">
        <f t="shared" si="972"/>
        <v>0.85</v>
      </c>
      <c r="CU776" s="1120">
        <v>1</v>
      </c>
      <c r="CV776" s="1120"/>
      <c r="CW776" s="1120">
        <f t="shared" si="973"/>
        <v>122</v>
      </c>
      <c r="CX776" s="1120">
        <f t="shared" si="974"/>
        <v>243</v>
      </c>
      <c r="CY776" s="1135" t="s">
        <v>4893</v>
      </c>
      <c r="CZ776" s="1124" t="s">
        <v>4894</v>
      </c>
      <c r="DA776" s="1124"/>
      <c r="DB776" s="1124"/>
      <c r="DC776" s="1120" t="s">
        <v>5663</v>
      </c>
      <c r="DD776" s="1120" t="s">
        <v>238</v>
      </c>
      <c r="DE776" s="1120" t="str">
        <f t="shared" si="900"/>
        <v/>
      </c>
      <c r="DF776" s="1133">
        <v>0</v>
      </c>
      <c r="DG776" s="1120">
        <v>0</v>
      </c>
    </row>
    <row r="777" spans="1:111">
      <c r="A777" s="1125" t="s">
        <v>173</v>
      </c>
      <c r="B777" s="1125" t="s">
        <v>4148</v>
      </c>
      <c r="C777" s="1125" t="s">
        <v>4149</v>
      </c>
      <c r="D777" s="1125" t="s">
        <v>537</v>
      </c>
      <c r="E777" s="1125">
        <v>85</v>
      </c>
      <c r="F777" s="1125">
        <v>-73.42</v>
      </c>
      <c r="G777" s="1125">
        <v>40.72</v>
      </c>
      <c r="H777" s="1125">
        <v>-5</v>
      </c>
      <c r="I777" s="1126">
        <v>17.600000000000001</v>
      </c>
      <c r="J777" s="1126">
        <v>87.439998626708984</v>
      </c>
      <c r="K777" s="1127">
        <v>73.219999313354492</v>
      </c>
      <c r="L777" s="1125">
        <v>4685.4000000000005</v>
      </c>
      <c r="M777" s="1125">
        <v>1029.6000000000001</v>
      </c>
      <c r="N777" s="1128">
        <v>34.339999914169312</v>
      </c>
      <c r="O777" s="1128">
        <v>33.799999999999997</v>
      </c>
      <c r="P777" s="1128">
        <v>44.6</v>
      </c>
      <c r="Q777" s="1128">
        <v>50.9</v>
      </c>
      <c r="R777" s="1128">
        <v>58.280000686645508</v>
      </c>
      <c r="S777" s="1128">
        <v>65.83999862670899</v>
      </c>
      <c r="T777" s="1128">
        <v>75.2</v>
      </c>
      <c r="U777" s="1128">
        <v>75.560001373291016</v>
      </c>
      <c r="V777" s="1128">
        <v>71.239998626708982</v>
      </c>
      <c r="W777" s="1128">
        <v>54.319999313354494</v>
      </c>
      <c r="X777" s="1128">
        <v>50.359999656677246</v>
      </c>
      <c r="Y777" s="1128">
        <v>37.039999914169314</v>
      </c>
      <c r="Z777" s="1128">
        <v>54.400383409735277</v>
      </c>
      <c r="AA777" s="1128">
        <f t="shared" si="901"/>
        <v>50.805757971857361</v>
      </c>
      <c r="AB777" s="1128">
        <f t="shared" si="902"/>
        <v>49.922195935806542</v>
      </c>
      <c r="AC777" s="1128">
        <f t="shared" si="903"/>
        <v>51.769934938591994</v>
      </c>
      <c r="AD777" s="1128">
        <f t="shared" si="904"/>
        <v>55.867333334617733</v>
      </c>
      <c r="AE777" s="1128">
        <f t="shared" si="905"/>
        <v>61.146341089139057</v>
      </c>
      <c r="AF777" s="1128">
        <f t="shared" si="906"/>
        <v>66.230903478967974</v>
      </c>
      <c r="AG777" s="1128">
        <f t="shared" si="907"/>
        <v>69.795650961717357</v>
      </c>
      <c r="AH777" s="1128">
        <f t="shared" si="908"/>
        <v>70.91137717158702</v>
      </c>
      <c r="AI777" s="1128">
        <f t="shared" si="909"/>
        <v>69.28725087811307</v>
      </c>
      <c r="AJ777" s="1128">
        <f t="shared" si="910"/>
        <v>65.346625628233312</v>
      </c>
      <c r="AK777" s="1128">
        <f t="shared" si="911"/>
        <v>60.116686120202161</v>
      </c>
      <c r="AL777" s="1128">
        <f t="shared" si="912"/>
        <v>54.96069668259539</v>
      </c>
      <c r="AM777" s="1125">
        <f t="shared" si="913"/>
        <v>1</v>
      </c>
      <c r="AN777" s="1125">
        <f t="shared" si="914"/>
        <v>1</v>
      </c>
      <c r="AO777" s="1125">
        <f t="shared" si="915"/>
        <v>1</v>
      </c>
      <c r="AP777" s="1125">
        <f t="shared" si="916"/>
        <v>1</v>
      </c>
      <c r="AQ777" s="1125">
        <f t="shared" si="917"/>
        <v>1</v>
      </c>
      <c r="AR777" s="1125">
        <f t="shared" si="918"/>
        <v>1</v>
      </c>
      <c r="AS777" s="1125">
        <f t="shared" si="919"/>
        <v>0</v>
      </c>
      <c r="AT777" s="1125">
        <f t="shared" si="920"/>
        <v>0</v>
      </c>
      <c r="AU777" s="1125">
        <f t="shared" si="921"/>
        <v>0</v>
      </c>
      <c r="AV777" s="1125">
        <f t="shared" si="922"/>
        <v>1</v>
      </c>
      <c r="AW777" s="1125">
        <f t="shared" si="923"/>
        <v>1</v>
      </c>
      <c r="AX777" s="1125">
        <f t="shared" si="924"/>
        <v>1</v>
      </c>
      <c r="AY777" s="1125">
        <f t="shared" si="925"/>
        <v>0</v>
      </c>
      <c r="AZ777" s="1125">
        <f t="shared" si="926"/>
        <v>0</v>
      </c>
      <c r="BA777" s="1125">
        <f t="shared" si="927"/>
        <v>0</v>
      </c>
      <c r="BB777" s="1125">
        <f t="shared" si="928"/>
        <v>0</v>
      </c>
      <c r="BC777" s="1125">
        <f t="shared" si="929"/>
        <v>0</v>
      </c>
      <c r="BD777" s="1125">
        <f t="shared" si="930"/>
        <v>0</v>
      </c>
      <c r="BE777" s="1125">
        <f t="shared" si="931"/>
        <v>1</v>
      </c>
      <c r="BF777" s="1125">
        <f t="shared" si="932"/>
        <v>1</v>
      </c>
      <c r="BG777" s="1125">
        <f t="shared" si="933"/>
        <v>1</v>
      </c>
      <c r="BH777" s="1125">
        <f t="shared" si="934"/>
        <v>0</v>
      </c>
      <c r="BI777" s="1125">
        <f t="shared" si="935"/>
        <v>0</v>
      </c>
      <c r="BJ777" s="1125">
        <f t="shared" si="936"/>
        <v>0</v>
      </c>
      <c r="BK777" s="1125">
        <f t="shared" si="937"/>
        <v>1</v>
      </c>
      <c r="BL777" s="1125">
        <f t="shared" si="938"/>
        <v>1</v>
      </c>
      <c r="BM777" s="1125">
        <f t="shared" si="939"/>
        <v>1</v>
      </c>
      <c r="BN777" s="1125">
        <f t="shared" si="940"/>
        <v>1</v>
      </c>
      <c r="BO777" s="1125">
        <f t="shared" si="941"/>
        <v>1</v>
      </c>
      <c r="BP777" s="1125">
        <f t="shared" si="942"/>
        <v>1</v>
      </c>
      <c r="BQ777" s="1125">
        <f t="shared" si="943"/>
        <v>1</v>
      </c>
      <c r="BR777" s="1125">
        <f t="shared" si="944"/>
        <v>0</v>
      </c>
      <c r="BS777" s="1125">
        <f t="shared" si="945"/>
        <v>0</v>
      </c>
      <c r="BT777" s="1125">
        <f t="shared" si="946"/>
        <v>1</v>
      </c>
      <c r="BU777" s="1125">
        <f t="shared" si="947"/>
        <v>1</v>
      </c>
      <c r="BV777" s="1125">
        <f t="shared" si="948"/>
        <v>1</v>
      </c>
      <c r="BW777" s="1125">
        <f t="shared" si="949"/>
        <v>0</v>
      </c>
      <c r="BX777" s="1125">
        <f t="shared" si="950"/>
        <v>0</v>
      </c>
      <c r="BY777" s="1125">
        <f t="shared" si="951"/>
        <v>0</v>
      </c>
      <c r="BZ777" s="1125">
        <f t="shared" si="952"/>
        <v>0</v>
      </c>
      <c r="CA777" s="1125">
        <f t="shared" si="953"/>
        <v>0</v>
      </c>
      <c r="CB777" s="1125">
        <f t="shared" si="954"/>
        <v>1</v>
      </c>
      <c r="CC777" s="1125">
        <f t="shared" si="955"/>
        <v>1</v>
      </c>
      <c r="CD777" s="1125">
        <f t="shared" si="956"/>
        <v>1</v>
      </c>
      <c r="CE777" s="1125">
        <f t="shared" si="957"/>
        <v>1</v>
      </c>
      <c r="CF777" s="1125">
        <f t="shared" si="958"/>
        <v>1</v>
      </c>
      <c r="CG777" s="1125">
        <f t="shared" si="959"/>
        <v>0</v>
      </c>
      <c r="CH777" s="1125">
        <f t="shared" si="960"/>
        <v>0</v>
      </c>
      <c r="CI777" s="1125">
        <f t="shared" si="961"/>
        <v>0.85</v>
      </c>
      <c r="CJ777" s="1125">
        <f t="shared" si="962"/>
        <v>0.85</v>
      </c>
      <c r="CK777" s="1125">
        <f t="shared" si="963"/>
        <v>0.85</v>
      </c>
      <c r="CL777" s="1125">
        <f t="shared" si="964"/>
        <v>0.85</v>
      </c>
      <c r="CM777" s="1125">
        <f t="shared" si="965"/>
        <v>0.85</v>
      </c>
      <c r="CN777" s="1125">
        <f t="shared" si="966"/>
        <v>0.85</v>
      </c>
      <c r="CO777" s="1125">
        <f t="shared" si="967"/>
        <v>0.85</v>
      </c>
      <c r="CP777" s="1125">
        <f t="shared" si="968"/>
        <v>0.7</v>
      </c>
      <c r="CQ777" s="1125">
        <f t="shared" si="969"/>
        <v>0.7</v>
      </c>
      <c r="CR777" s="1125">
        <f t="shared" si="970"/>
        <v>0.85</v>
      </c>
      <c r="CS777" s="1125">
        <f t="shared" si="971"/>
        <v>0.85</v>
      </c>
      <c r="CT777" s="1125">
        <f t="shared" si="972"/>
        <v>0.85</v>
      </c>
      <c r="CU777" s="1125">
        <v>1</v>
      </c>
      <c r="CV777" s="1125"/>
      <c r="CW777" s="1125">
        <f t="shared" si="973"/>
        <v>153</v>
      </c>
      <c r="CX777" s="1125">
        <f t="shared" si="974"/>
        <v>212</v>
      </c>
      <c r="CY777" s="1135" t="s">
        <v>4881</v>
      </c>
      <c r="CZ777" s="1124" t="s">
        <v>4885</v>
      </c>
      <c r="DA777" s="1124"/>
      <c r="DB777" s="1124"/>
      <c r="DC777" s="1120" t="s">
        <v>5483</v>
      </c>
      <c r="DD777" s="1120" t="s">
        <v>537</v>
      </c>
      <c r="DE777" s="1120" t="str">
        <f t="shared" si="900"/>
        <v/>
      </c>
      <c r="DF777" s="1133">
        <v>0</v>
      </c>
      <c r="DG777" s="1125">
        <v>0</v>
      </c>
    </row>
    <row r="778" spans="1:111">
      <c r="A778" s="1120" t="s">
        <v>4254</v>
      </c>
      <c r="B778" s="1125" t="s">
        <v>3753</v>
      </c>
      <c r="C778" s="1125" t="s">
        <v>3754</v>
      </c>
      <c r="D778" s="1125" t="s">
        <v>1278</v>
      </c>
      <c r="E778" s="1125">
        <v>1663</v>
      </c>
      <c r="F778" s="1125">
        <v>-89.47</v>
      </c>
      <c r="G778" s="1125">
        <v>45.63</v>
      </c>
      <c r="H778" s="1125">
        <v>-6</v>
      </c>
      <c r="I778" s="1126">
        <v>-8.3199993133544936</v>
      </c>
      <c r="J778" s="1126">
        <v>82.4</v>
      </c>
      <c r="K778" s="1127">
        <v>68.180000686645513</v>
      </c>
      <c r="L778" s="1125">
        <v>8496</v>
      </c>
      <c r="M778" s="1125">
        <v>484.2</v>
      </c>
      <c r="N778" s="1128">
        <v>15.619999313354493</v>
      </c>
      <c r="O778" s="1128">
        <v>10.219999313354492</v>
      </c>
      <c r="P778" s="1128">
        <v>30.380000042915345</v>
      </c>
      <c r="Q778" s="1128">
        <v>44.6</v>
      </c>
      <c r="R778" s="1128">
        <v>56.3</v>
      </c>
      <c r="S778" s="1128">
        <v>68</v>
      </c>
      <c r="T778" s="1128">
        <v>69.080000686645505</v>
      </c>
      <c r="U778" s="1128">
        <v>66.380000686645502</v>
      </c>
      <c r="V778" s="1128">
        <v>60.259999656677245</v>
      </c>
      <c r="W778" s="1128">
        <v>44.420000171661378</v>
      </c>
      <c r="X778" s="1128">
        <v>33.980000042915343</v>
      </c>
      <c r="Y778" s="1128">
        <v>8.2400003433227536</v>
      </c>
      <c r="Z778" s="1128">
        <v>42.450356192719447</v>
      </c>
      <c r="AA778" s="1128">
        <f t="shared" si="901"/>
        <v>38.992164956647372</v>
      </c>
      <c r="AB778" s="1128">
        <f t="shared" si="902"/>
        <v>36.827976531805959</v>
      </c>
      <c r="AC778" s="1128">
        <f t="shared" si="903"/>
        <v>37.693340471873725</v>
      </c>
      <c r="AD778" s="1128">
        <f t="shared" si="904"/>
        <v>41.362686330210018</v>
      </c>
      <c r="AE778" s="1128">
        <f t="shared" si="905"/>
        <v>46.879542562508163</v>
      </c>
      <c r="AF778" s="1128">
        <f t="shared" si="906"/>
        <v>52.805855574491666</v>
      </c>
      <c r="AG778" s="1128">
        <f t="shared" si="907"/>
        <v>57.596840552339053</v>
      </c>
      <c r="AH778" s="1128">
        <f t="shared" si="908"/>
        <v>60.003653430261032</v>
      </c>
      <c r="AI778" s="1128">
        <f t="shared" si="909"/>
        <v>59.398921341518097</v>
      </c>
      <c r="AJ778" s="1128">
        <f t="shared" si="910"/>
        <v>55.940277024244658</v>
      </c>
      <c r="AK778" s="1128">
        <f t="shared" si="911"/>
        <v>50.529269419060334</v>
      </c>
      <c r="AL778" s="1128">
        <f t="shared" si="912"/>
        <v>44.576361044407697</v>
      </c>
      <c r="AM778" s="1125">
        <f t="shared" si="913"/>
        <v>1</v>
      </c>
      <c r="AN778" s="1125">
        <f t="shared" si="914"/>
        <v>1</v>
      </c>
      <c r="AO778" s="1125">
        <f t="shared" si="915"/>
        <v>1</v>
      </c>
      <c r="AP778" s="1125">
        <f t="shared" si="916"/>
        <v>1</v>
      </c>
      <c r="AQ778" s="1125">
        <f t="shared" si="917"/>
        <v>1</v>
      </c>
      <c r="AR778" s="1125">
        <f t="shared" si="918"/>
        <v>0</v>
      </c>
      <c r="AS778" s="1125">
        <f t="shared" si="919"/>
        <v>0</v>
      </c>
      <c r="AT778" s="1125">
        <f t="shared" si="920"/>
        <v>0</v>
      </c>
      <c r="AU778" s="1125">
        <f t="shared" si="921"/>
        <v>1</v>
      </c>
      <c r="AV778" s="1125">
        <f t="shared" si="922"/>
        <v>1</v>
      </c>
      <c r="AW778" s="1125">
        <f t="shared" si="923"/>
        <v>1</v>
      </c>
      <c r="AX778" s="1125">
        <f t="shared" si="924"/>
        <v>1</v>
      </c>
      <c r="AY778" s="1125">
        <f t="shared" si="925"/>
        <v>0</v>
      </c>
      <c r="AZ778" s="1125">
        <f t="shared" si="926"/>
        <v>0</v>
      </c>
      <c r="BA778" s="1125">
        <f t="shared" si="927"/>
        <v>0</v>
      </c>
      <c r="BB778" s="1125">
        <f t="shared" si="928"/>
        <v>0</v>
      </c>
      <c r="BC778" s="1125">
        <f t="shared" si="929"/>
        <v>0</v>
      </c>
      <c r="BD778" s="1125">
        <f t="shared" si="930"/>
        <v>1</v>
      </c>
      <c r="BE778" s="1125">
        <f t="shared" si="931"/>
        <v>1</v>
      </c>
      <c r="BF778" s="1125">
        <f t="shared" si="932"/>
        <v>1</v>
      </c>
      <c r="BG778" s="1125">
        <f t="shared" si="933"/>
        <v>0</v>
      </c>
      <c r="BH778" s="1125">
        <f t="shared" si="934"/>
        <v>0</v>
      </c>
      <c r="BI778" s="1125">
        <f t="shared" si="935"/>
        <v>0</v>
      </c>
      <c r="BJ778" s="1125">
        <f t="shared" si="936"/>
        <v>0</v>
      </c>
      <c r="BK778" s="1125">
        <f t="shared" si="937"/>
        <v>1</v>
      </c>
      <c r="BL778" s="1125">
        <f t="shared" si="938"/>
        <v>1</v>
      </c>
      <c r="BM778" s="1125">
        <f t="shared" si="939"/>
        <v>1</v>
      </c>
      <c r="BN778" s="1125">
        <f t="shared" si="940"/>
        <v>1</v>
      </c>
      <c r="BO778" s="1125">
        <f t="shared" si="941"/>
        <v>1</v>
      </c>
      <c r="BP778" s="1125">
        <f t="shared" si="942"/>
        <v>1</v>
      </c>
      <c r="BQ778" s="1125">
        <f t="shared" si="943"/>
        <v>0</v>
      </c>
      <c r="BR778" s="1125">
        <f t="shared" si="944"/>
        <v>0</v>
      </c>
      <c r="BS778" s="1125">
        <f t="shared" si="945"/>
        <v>1</v>
      </c>
      <c r="BT778" s="1125">
        <f t="shared" si="946"/>
        <v>1</v>
      </c>
      <c r="BU778" s="1125">
        <f t="shared" si="947"/>
        <v>1</v>
      </c>
      <c r="BV778" s="1125">
        <f t="shared" si="948"/>
        <v>1</v>
      </c>
      <c r="BW778" s="1125">
        <f t="shared" si="949"/>
        <v>0</v>
      </c>
      <c r="BX778" s="1125">
        <f t="shared" si="950"/>
        <v>0</v>
      </c>
      <c r="BY778" s="1125">
        <f t="shared" si="951"/>
        <v>0</v>
      </c>
      <c r="BZ778" s="1125">
        <f t="shared" si="952"/>
        <v>0</v>
      </c>
      <c r="CA778" s="1125">
        <f t="shared" si="953"/>
        <v>1</v>
      </c>
      <c r="CB778" s="1125">
        <f t="shared" si="954"/>
        <v>1</v>
      </c>
      <c r="CC778" s="1125">
        <f t="shared" si="955"/>
        <v>1</v>
      </c>
      <c r="CD778" s="1125">
        <f t="shared" si="956"/>
        <v>1</v>
      </c>
      <c r="CE778" s="1125">
        <f t="shared" si="957"/>
        <v>1</v>
      </c>
      <c r="CF778" s="1125">
        <f t="shared" si="958"/>
        <v>0</v>
      </c>
      <c r="CG778" s="1125">
        <f t="shared" si="959"/>
        <v>0</v>
      </c>
      <c r="CH778" s="1125">
        <f t="shared" si="960"/>
        <v>0</v>
      </c>
      <c r="CI778" s="1125">
        <f t="shared" si="961"/>
        <v>0.85</v>
      </c>
      <c r="CJ778" s="1125">
        <f t="shared" si="962"/>
        <v>0.85</v>
      </c>
      <c r="CK778" s="1125">
        <f t="shared" si="963"/>
        <v>0.85</v>
      </c>
      <c r="CL778" s="1125">
        <f t="shared" si="964"/>
        <v>0.85</v>
      </c>
      <c r="CM778" s="1125">
        <f t="shared" si="965"/>
        <v>0.85</v>
      </c>
      <c r="CN778" s="1125">
        <f t="shared" si="966"/>
        <v>0.85</v>
      </c>
      <c r="CO778" s="1125">
        <f t="shared" si="967"/>
        <v>0.7</v>
      </c>
      <c r="CP778" s="1125">
        <f t="shared" si="968"/>
        <v>0.7</v>
      </c>
      <c r="CQ778" s="1125">
        <f t="shared" si="969"/>
        <v>0.85</v>
      </c>
      <c r="CR778" s="1125">
        <f t="shared" si="970"/>
        <v>0.85</v>
      </c>
      <c r="CS778" s="1125">
        <f t="shared" si="971"/>
        <v>0.85</v>
      </c>
      <c r="CT778" s="1125">
        <f t="shared" si="972"/>
        <v>0.85</v>
      </c>
      <c r="CU778" s="1125">
        <v>1</v>
      </c>
      <c r="CV778" s="1125"/>
      <c r="CW778" s="1125">
        <f t="shared" si="973"/>
        <v>153</v>
      </c>
      <c r="CX778" s="1125">
        <f t="shared" si="974"/>
        <v>212</v>
      </c>
      <c r="CY778" s="1135" t="s">
        <v>4879</v>
      </c>
      <c r="CZ778" s="1124">
        <v>7</v>
      </c>
      <c r="DA778" s="1124"/>
      <c r="DB778" s="1124"/>
      <c r="DC778" s="1120" t="s">
        <v>5682</v>
      </c>
      <c r="DD778" s="1120" t="s">
        <v>1278</v>
      </c>
      <c r="DE778" s="1120" t="str">
        <f t="shared" si="900"/>
        <v/>
      </c>
      <c r="DF778" s="1133">
        <v>0</v>
      </c>
      <c r="DG778" s="1120">
        <v>0</v>
      </c>
    </row>
    <row r="779" spans="1:111">
      <c r="A779" s="1125" t="s">
        <v>4256</v>
      </c>
      <c r="B779" s="1120" t="s">
        <v>4634</v>
      </c>
      <c r="C779" s="1120" t="s">
        <v>4635</v>
      </c>
      <c r="D779" s="1120" t="s">
        <v>1278</v>
      </c>
      <c r="E779" s="1120">
        <v>1138</v>
      </c>
      <c r="F779" s="1120">
        <v>-91.72</v>
      </c>
      <c r="G779" s="1120">
        <v>45.48</v>
      </c>
      <c r="H779" s="1120">
        <v>-6</v>
      </c>
      <c r="I779" s="1121">
        <v>-7.6000000000000014</v>
      </c>
      <c r="J779" s="1121">
        <v>84.380000686645502</v>
      </c>
      <c r="K779" s="1122">
        <v>71.960001373291021</v>
      </c>
      <c r="L779" s="1120">
        <v>8382.6</v>
      </c>
      <c r="M779" s="1120">
        <v>487.8</v>
      </c>
      <c r="N779" s="1123">
        <v>12.740000343322754</v>
      </c>
      <c r="O779" s="1123">
        <v>13.1</v>
      </c>
      <c r="P779" s="1123">
        <v>28.76000008583069</v>
      </c>
      <c r="Q779" s="1123">
        <v>47.659999656677243</v>
      </c>
      <c r="R779" s="1123">
        <v>52.159999656677243</v>
      </c>
      <c r="S779" s="1123">
        <v>67.819999313354487</v>
      </c>
      <c r="T779" s="1123">
        <v>69.619999313354498</v>
      </c>
      <c r="U779" s="1123">
        <v>67.460001373291021</v>
      </c>
      <c r="V779" s="1123">
        <v>60.980000686645511</v>
      </c>
      <c r="W779" s="1123">
        <v>47.3</v>
      </c>
      <c r="X779" s="1123">
        <v>31.459999978542328</v>
      </c>
      <c r="Y779" s="1123">
        <v>12.559999656677245</v>
      </c>
      <c r="Z779" s="1123">
        <v>42.775342472220117</v>
      </c>
      <c r="AA779" s="1123">
        <f t="shared" si="901"/>
        <v>39.793556596856945</v>
      </c>
      <c r="AB779" s="1123">
        <f t="shared" si="902"/>
        <v>37.776146430691725</v>
      </c>
      <c r="AC779" s="1123">
        <f t="shared" si="903"/>
        <v>38.625846215492686</v>
      </c>
      <c r="AD779" s="1123">
        <f t="shared" si="904"/>
        <v>42.121168608081419</v>
      </c>
      <c r="AE779" s="1123">
        <f t="shared" si="905"/>
        <v>47.351003962281126</v>
      </c>
      <c r="AF779" s="1123">
        <f t="shared" si="906"/>
        <v>52.952115098817281</v>
      </c>
      <c r="AG779" s="1123">
        <f t="shared" si="907"/>
        <v>57.464486084216368</v>
      </c>
      <c r="AH779" s="1123">
        <f t="shared" si="908"/>
        <v>59.711897883392339</v>
      </c>
      <c r="AI779" s="1123">
        <f t="shared" si="909"/>
        <v>59.108527977225798</v>
      </c>
      <c r="AJ779" s="1123">
        <f t="shared" si="910"/>
        <v>55.811654029970768</v>
      </c>
      <c r="AK779" s="1123">
        <f t="shared" si="911"/>
        <v>50.680657042344684</v>
      </c>
      <c r="AL779" s="1123">
        <f t="shared" si="912"/>
        <v>45.053010450229337</v>
      </c>
      <c r="AM779" s="1120">
        <f t="shared" si="913"/>
        <v>1</v>
      </c>
      <c r="AN779" s="1120">
        <f t="shared" si="914"/>
        <v>1</v>
      </c>
      <c r="AO779" s="1120">
        <f t="shared" si="915"/>
        <v>1</v>
      </c>
      <c r="AP779" s="1120">
        <f t="shared" si="916"/>
        <v>1</v>
      </c>
      <c r="AQ779" s="1120">
        <f t="shared" si="917"/>
        <v>1</v>
      </c>
      <c r="AR779" s="1120">
        <f t="shared" si="918"/>
        <v>0</v>
      </c>
      <c r="AS779" s="1120">
        <f t="shared" si="919"/>
        <v>0</v>
      </c>
      <c r="AT779" s="1120">
        <f t="shared" si="920"/>
        <v>0</v>
      </c>
      <c r="AU779" s="1120">
        <f t="shared" si="921"/>
        <v>1</v>
      </c>
      <c r="AV779" s="1120">
        <f t="shared" si="922"/>
        <v>1</v>
      </c>
      <c r="AW779" s="1120">
        <f t="shared" si="923"/>
        <v>1</v>
      </c>
      <c r="AX779" s="1120">
        <f t="shared" si="924"/>
        <v>1</v>
      </c>
      <c r="AY779" s="1120">
        <f t="shared" si="925"/>
        <v>0</v>
      </c>
      <c r="AZ779" s="1120">
        <f t="shared" si="926"/>
        <v>0</v>
      </c>
      <c r="BA779" s="1120">
        <f t="shared" si="927"/>
        <v>0</v>
      </c>
      <c r="BB779" s="1120">
        <f t="shared" si="928"/>
        <v>0</v>
      </c>
      <c r="BC779" s="1120">
        <f t="shared" si="929"/>
        <v>0</v>
      </c>
      <c r="BD779" s="1120">
        <f t="shared" si="930"/>
        <v>1</v>
      </c>
      <c r="BE779" s="1120">
        <f t="shared" si="931"/>
        <v>1</v>
      </c>
      <c r="BF779" s="1120">
        <f t="shared" si="932"/>
        <v>1</v>
      </c>
      <c r="BG779" s="1120">
        <f t="shared" si="933"/>
        <v>0</v>
      </c>
      <c r="BH779" s="1120">
        <f t="shared" si="934"/>
        <v>0</v>
      </c>
      <c r="BI779" s="1120">
        <f t="shared" si="935"/>
        <v>0</v>
      </c>
      <c r="BJ779" s="1120">
        <f t="shared" si="936"/>
        <v>0</v>
      </c>
      <c r="BK779" s="1120">
        <f t="shared" si="937"/>
        <v>1</v>
      </c>
      <c r="BL779" s="1120">
        <f t="shared" si="938"/>
        <v>1</v>
      </c>
      <c r="BM779" s="1120">
        <f t="shared" si="939"/>
        <v>1</v>
      </c>
      <c r="BN779" s="1120">
        <f t="shared" si="940"/>
        <v>1</v>
      </c>
      <c r="BO779" s="1120">
        <f t="shared" si="941"/>
        <v>1</v>
      </c>
      <c r="BP779" s="1120">
        <f t="shared" si="942"/>
        <v>1</v>
      </c>
      <c r="BQ779" s="1120">
        <f t="shared" si="943"/>
        <v>0</v>
      </c>
      <c r="BR779" s="1120">
        <f t="shared" si="944"/>
        <v>0</v>
      </c>
      <c r="BS779" s="1120">
        <f t="shared" si="945"/>
        <v>1</v>
      </c>
      <c r="BT779" s="1120">
        <f t="shared" si="946"/>
        <v>1</v>
      </c>
      <c r="BU779" s="1120">
        <f t="shared" si="947"/>
        <v>1</v>
      </c>
      <c r="BV779" s="1120">
        <f t="shared" si="948"/>
        <v>1</v>
      </c>
      <c r="BW779" s="1120">
        <f t="shared" si="949"/>
        <v>0</v>
      </c>
      <c r="BX779" s="1120">
        <f t="shared" si="950"/>
        <v>0</v>
      </c>
      <c r="BY779" s="1120">
        <f t="shared" si="951"/>
        <v>0</v>
      </c>
      <c r="BZ779" s="1120">
        <f t="shared" si="952"/>
        <v>0</v>
      </c>
      <c r="CA779" s="1120">
        <f t="shared" si="953"/>
        <v>1</v>
      </c>
      <c r="CB779" s="1120">
        <f t="shared" si="954"/>
        <v>1</v>
      </c>
      <c r="CC779" s="1120">
        <f t="shared" si="955"/>
        <v>1</v>
      </c>
      <c r="CD779" s="1120">
        <f t="shared" si="956"/>
        <v>1</v>
      </c>
      <c r="CE779" s="1120">
        <f t="shared" si="957"/>
        <v>1</v>
      </c>
      <c r="CF779" s="1120">
        <f t="shared" si="958"/>
        <v>0</v>
      </c>
      <c r="CG779" s="1120">
        <f t="shared" si="959"/>
        <v>0</v>
      </c>
      <c r="CH779" s="1120">
        <f t="shared" si="960"/>
        <v>0</v>
      </c>
      <c r="CI779" s="1120">
        <f t="shared" si="961"/>
        <v>0.85</v>
      </c>
      <c r="CJ779" s="1120">
        <f t="shared" si="962"/>
        <v>0.85</v>
      </c>
      <c r="CK779" s="1120">
        <f t="shared" si="963"/>
        <v>0.85</v>
      </c>
      <c r="CL779" s="1120">
        <f t="shared" si="964"/>
        <v>0.85</v>
      </c>
      <c r="CM779" s="1120">
        <f t="shared" si="965"/>
        <v>0.85</v>
      </c>
      <c r="CN779" s="1120">
        <f t="shared" si="966"/>
        <v>0.85</v>
      </c>
      <c r="CO779" s="1120">
        <f t="shared" si="967"/>
        <v>0.7</v>
      </c>
      <c r="CP779" s="1120">
        <f t="shared" si="968"/>
        <v>0.7</v>
      </c>
      <c r="CQ779" s="1120">
        <f t="shared" si="969"/>
        <v>0.85</v>
      </c>
      <c r="CR779" s="1120">
        <f t="shared" si="970"/>
        <v>0.85</v>
      </c>
      <c r="CS779" s="1120">
        <f t="shared" si="971"/>
        <v>0.85</v>
      </c>
      <c r="CT779" s="1120">
        <f t="shared" si="972"/>
        <v>0.85</v>
      </c>
      <c r="CU779" s="1120">
        <v>1</v>
      </c>
      <c r="CV779" s="1120"/>
      <c r="CW779" s="1120">
        <f t="shared" si="973"/>
        <v>153</v>
      </c>
      <c r="CX779" s="1120">
        <f t="shared" si="974"/>
        <v>212</v>
      </c>
      <c r="CY779" s="1136" t="s">
        <v>4889</v>
      </c>
      <c r="CZ779" s="1129" t="s">
        <v>4899</v>
      </c>
      <c r="DA779" s="1129"/>
      <c r="DB779" s="1129"/>
      <c r="DC779" s="1125" t="s">
        <v>5683</v>
      </c>
      <c r="DD779" s="1125" t="s">
        <v>1278</v>
      </c>
      <c r="DE779" s="1120" t="str">
        <f t="shared" si="900"/>
        <v/>
      </c>
      <c r="DF779" s="1133">
        <v>0</v>
      </c>
      <c r="DG779" s="1125">
        <v>0</v>
      </c>
    </row>
    <row r="780" spans="1:111">
      <c r="A780" s="1120" t="s">
        <v>4258</v>
      </c>
      <c r="B780" s="1125" t="s">
        <v>4532</v>
      </c>
      <c r="C780" s="1125" t="s">
        <v>4533</v>
      </c>
      <c r="D780" s="1125" t="s">
        <v>501</v>
      </c>
      <c r="E780" s="1125">
        <v>164</v>
      </c>
      <c r="F780" s="1125">
        <v>-77.319999999999993</v>
      </c>
      <c r="G780" s="1125">
        <v>37.520000000000003</v>
      </c>
      <c r="H780" s="1125">
        <v>-5</v>
      </c>
      <c r="I780" s="1126">
        <v>20.840000343322753</v>
      </c>
      <c r="J780" s="1126">
        <v>92.3</v>
      </c>
      <c r="K780" s="1127">
        <v>75.380000686645502</v>
      </c>
      <c r="L780" s="1125">
        <v>3724.2000000000003</v>
      </c>
      <c r="M780" s="1125">
        <v>1542.6000000000001</v>
      </c>
      <c r="N780" s="1128">
        <v>34.519999957084657</v>
      </c>
      <c r="O780" s="1128">
        <v>39.02000017166138</v>
      </c>
      <c r="P780" s="1128">
        <v>50</v>
      </c>
      <c r="Q780" s="1128">
        <v>57.919999313354495</v>
      </c>
      <c r="R780" s="1128">
        <v>67.819999313354487</v>
      </c>
      <c r="S780" s="1128">
        <v>74.3</v>
      </c>
      <c r="T780" s="1128">
        <v>79.33999862670899</v>
      </c>
      <c r="U780" s="1128">
        <v>77.360001373291013</v>
      </c>
      <c r="V780" s="1128">
        <v>69.439998626708984</v>
      </c>
      <c r="W780" s="1128">
        <v>57.740000343322755</v>
      </c>
      <c r="X780" s="1128">
        <v>49.640000343322754</v>
      </c>
      <c r="Y780" s="1128">
        <v>42.620000171661374</v>
      </c>
      <c r="Z780" s="1128">
        <v>58.41906834700336</v>
      </c>
      <c r="AA780" s="1128">
        <f t="shared" si="901"/>
        <v>52.980687672524148</v>
      </c>
      <c r="AB780" s="1128">
        <f t="shared" si="902"/>
        <v>52.383614208185875</v>
      </c>
      <c r="AC780" s="1128">
        <f t="shared" si="903"/>
        <v>54.923767337092848</v>
      </c>
      <c r="AD780" s="1128">
        <f t="shared" si="904"/>
        <v>59.939017001250839</v>
      </c>
      <c r="AE780" s="1128">
        <f t="shared" si="905"/>
        <v>66.122061088360283</v>
      </c>
      <c r="AF780" s="1128">
        <f t="shared" si="906"/>
        <v>71.861193873522495</v>
      </c>
      <c r="AG780" s="1128">
        <f t="shared" si="907"/>
        <v>75.6604219535716</v>
      </c>
      <c r="AH780" s="1128">
        <f t="shared" si="908"/>
        <v>76.529417981565857</v>
      </c>
      <c r="AI780" s="1128">
        <f t="shared" si="909"/>
        <v>74.241664751174397</v>
      </c>
      <c r="AJ780" s="1128">
        <f t="shared" si="910"/>
        <v>69.393500397243216</v>
      </c>
      <c r="AK780" s="1128">
        <f t="shared" si="911"/>
        <v>63.248673671098693</v>
      </c>
      <c r="AL780" s="1128">
        <f t="shared" si="912"/>
        <v>57.408928353556639</v>
      </c>
      <c r="AM780" s="1125">
        <f t="shared" si="913"/>
        <v>1</v>
      </c>
      <c r="AN780" s="1125">
        <f t="shared" si="914"/>
        <v>1</v>
      </c>
      <c r="AO780" s="1125">
        <f t="shared" si="915"/>
        <v>1</v>
      </c>
      <c r="AP780" s="1125">
        <f t="shared" si="916"/>
        <v>1</v>
      </c>
      <c r="AQ780" s="1125">
        <f t="shared" si="917"/>
        <v>0</v>
      </c>
      <c r="AR780" s="1125">
        <f t="shared" si="918"/>
        <v>0</v>
      </c>
      <c r="AS780" s="1125">
        <f t="shared" si="919"/>
        <v>0</v>
      </c>
      <c r="AT780" s="1125">
        <f t="shared" si="920"/>
        <v>0</v>
      </c>
      <c r="AU780" s="1125">
        <f t="shared" si="921"/>
        <v>0</v>
      </c>
      <c r="AV780" s="1125">
        <f t="shared" si="922"/>
        <v>1</v>
      </c>
      <c r="AW780" s="1125">
        <f t="shared" si="923"/>
        <v>1</v>
      </c>
      <c r="AX780" s="1125">
        <f t="shared" si="924"/>
        <v>1</v>
      </c>
      <c r="AY780" s="1125">
        <f t="shared" si="925"/>
        <v>0</v>
      </c>
      <c r="AZ780" s="1125">
        <f t="shared" si="926"/>
        <v>0</v>
      </c>
      <c r="BA780" s="1125">
        <f t="shared" si="927"/>
        <v>0</v>
      </c>
      <c r="BB780" s="1125">
        <f t="shared" si="928"/>
        <v>0</v>
      </c>
      <c r="BC780" s="1125">
        <f t="shared" si="929"/>
        <v>1</v>
      </c>
      <c r="BD780" s="1125">
        <f t="shared" si="930"/>
        <v>1</v>
      </c>
      <c r="BE780" s="1125">
        <f t="shared" si="931"/>
        <v>1</v>
      </c>
      <c r="BF780" s="1125">
        <f t="shared" si="932"/>
        <v>1</v>
      </c>
      <c r="BG780" s="1125">
        <f t="shared" si="933"/>
        <v>1</v>
      </c>
      <c r="BH780" s="1125">
        <f t="shared" si="934"/>
        <v>0</v>
      </c>
      <c r="BI780" s="1125">
        <f t="shared" si="935"/>
        <v>0</v>
      </c>
      <c r="BJ780" s="1125">
        <f t="shared" si="936"/>
        <v>0</v>
      </c>
      <c r="BK780" s="1125">
        <f t="shared" si="937"/>
        <v>1</v>
      </c>
      <c r="BL780" s="1125">
        <f t="shared" si="938"/>
        <v>1</v>
      </c>
      <c r="BM780" s="1125">
        <f t="shared" si="939"/>
        <v>1</v>
      </c>
      <c r="BN780" s="1125">
        <f t="shared" si="940"/>
        <v>1</v>
      </c>
      <c r="BO780" s="1125">
        <f t="shared" si="941"/>
        <v>1</v>
      </c>
      <c r="BP780" s="1125">
        <f t="shared" si="942"/>
        <v>0</v>
      </c>
      <c r="BQ780" s="1125">
        <f t="shared" si="943"/>
        <v>0</v>
      </c>
      <c r="BR780" s="1125">
        <f t="shared" si="944"/>
        <v>0</v>
      </c>
      <c r="BS780" s="1125">
        <f t="shared" si="945"/>
        <v>0</v>
      </c>
      <c r="BT780" s="1125">
        <f t="shared" si="946"/>
        <v>1</v>
      </c>
      <c r="BU780" s="1125">
        <f t="shared" si="947"/>
        <v>1</v>
      </c>
      <c r="BV780" s="1125">
        <f t="shared" si="948"/>
        <v>1</v>
      </c>
      <c r="BW780" s="1125">
        <f t="shared" si="949"/>
        <v>0</v>
      </c>
      <c r="BX780" s="1125">
        <f t="shared" si="950"/>
        <v>0</v>
      </c>
      <c r="BY780" s="1125">
        <f t="shared" si="951"/>
        <v>0</v>
      </c>
      <c r="BZ780" s="1125">
        <f t="shared" si="952"/>
        <v>1</v>
      </c>
      <c r="CA780" s="1125">
        <f t="shared" si="953"/>
        <v>1</v>
      </c>
      <c r="CB780" s="1125">
        <f t="shared" si="954"/>
        <v>1</v>
      </c>
      <c r="CC780" s="1125">
        <f t="shared" si="955"/>
        <v>1</v>
      </c>
      <c r="CD780" s="1125">
        <f t="shared" si="956"/>
        <v>1</v>
      </c>
      <c r="CE780" s="1125">
        <f t="shared" si="957"/>
        <v>1</v>
      </c>
      <c r="CF780" s="1125">
        <f t="shared" si="958"/>
        <v>1</v>
      </c>
      <c r="CG780" s="1125">
        <f t="shared" si="959"/>
        <v>0</v>
      </c>
      <c r="CH780" s="1125">
        <f t="shared" si="960"/>
        <v>0</v>
      </c>
      <c r="CI780" s="1125">
        <f t="shared" si="961"/>
        <v>0.85</v>
      </c>
      <c r="CJ780" s="1125">
        <f t="shared" si="962"/>
        <v>0.85</v>
      </c>
      <c r="CK780" s="1125">
        <f t="shared" si="963"/>
        <v>0.85</v>
      </c>
      <c r="CL780" s="1125">
        <f t="shared" si="964"/>
        <v>0.85</v>
      </c>
      <c r="CM780" s="1125">
        <f t="shared" si="965"/>
        <v>0.85</v>
      </c>
      <c r="CN780" s="1125">
        <f t="shared" si="966"/>
        <v>0.7</v>
      </c>
      <c r="CO780" s="1125">
        <f t="shared" si="967"/>
        <v>0.7</v>
      </c>
      <c r="CP780" s="1125">
        <f t="shared" si="968"/>
        <v>0.7</v>
      </c>
      <c r="CQ780" s="1125">
        <f t="shared" si="969"/>
        <v>0.7</v>
      </c>
      <c r="CR780" s="1125">
        <f t="shared" si="970"/>
        <v>0.85</v>
      </c>
      <c r="CS780" s="1125">
        <f t="shared" si="971"/>
        <v>0.85</v>
      </c>
      <c r="CT780" s="1125">
        <f t="shared" si="972"/>
        <v>0.85</v>
      </c>
      <c r="CU780" s="1125">
        <v>1</v>
      </c>
      <c r="CV780" s="1125"/>
      <c r="CW780" s="1125">
        <f t="shared" si="973"/>
        <v>214</v>
      </c>
      <c r="CX780" s="1125">
        <f t="shared" si="974"/>
        <v>151</v>
      </c>
      <c r="CY780" s="1136" t="s">
        <v>4881</v>
      </c>
      <c r="CZ780" s="1129" t="s">
        <v>4885</v>
      </c>
      <c r="DA780" s="1129"/>
      <c r="DB780" s="1129"/>
      <c r="DC780" s="1125" t="s">
        <v>5641</v>
      </c>
      <c r="DD780" s="1125" t="s">
        <v>501</v>
      </c>
      <c r="DE780" s="1120" t="str">
        <f t="shared" si="900"/>
        <v/>
      </c>
      <c r="DF780" s="1133">
        <v>0</v>
      </c>
      <c r="DG780" s="1120">
        <v>0</v>
      </c>
    </row>
    <row r="781" spans="1:111">
      <c r="A781" s="1125" t="s">
        <v>5913</v>
      </c>
      <c r="B781" s="1120" t="s">
        <v>3244</v>
      </c>
      <c r="C781" s="1120" t="s">
        <v>3245</v>
      </c>
      <c r="D781" s="1120" t="s">
        <v>536</v>
      </c>
      <c r="E781" s="1120">
        <v>5546</v>
      </c>
      <c r="F781" s="1120">
        <v>-107.72</v>
      </c>
      <c r="G781" s="1120">
        <v>39.53</v>
      </c>
      <c r="H781" s="1120">
        <v>-7</v>
      </c>
      <c r="I781" s="1121">
        <v>7.519999313354492</v>
      </c>
      <c r="J781" s="1121">
        <v>92.660001373291024</v>
      </c>
      <c r="K781" s="1122">
        <v>58.819999313354494</v>
      </c>
      <c r="L781" s="1120">
        <v>5918.4000000000005</v>
      </c>
      <c r="M781" s="1120">
        <v>691.2</v>
      </c>
      <c r="N781" s="1123">
        <v>22.820000171661377</v>
      </c>
      <c r="O781" s="1123">
        <v>34.700000000000003</v>
      </c>
      <c r="P781" s="1123">
        <v>42.97999982833862</v>
      </c>
      <c r="Q781" s="1123">
        <v>52.340000343322757</v>
      </c>
      <c r="R781" s="1123">
        <v>58.640000343322754</v>
      </c>
      <c r="S781" s="1123">
        <v>67.819999313354487</v>
      </c>
      <c r="T781" s="1123">
        <v>72.5</v>
      </c>
      <c r="U781" s="1123">
        <v>71.960001373291021</v>
      </c>
      <c r="V781" s="1123">
        <v>65.119999313354498</v>
      </c>
      <c r="W781" s="1123">
        <v>49.459999656677248</v>
      </c>
      <c r="X781" s="1123">
        <v>36.5</v>
      </c>
      <c r="Y781" s="1123">
        <v>25.7</v>
      </c>
      <c r="Z781" s="1123">
        <v>50.111945237460205</v>
      </c>
      <c r="AA781" s="1123">
        <f t="shared" si="901"/>
        <v>46.044230080189863</v>
      </c>
      <c r="AB781" s="1123">
        <f t="shared" si="902"/>
        <v>44.659835073865509</v>
      </c>
      <c r="AC781" s="1123">
        <f t="shared" si="903"/>
        <v>46.260609064041802</v>
      </c>
      <c r="AD781" s="1123">
        <f t="shared" si="904"/>
        <v>50.429285641505402</v>
      </c>
      <c r="AE781" s="1123">
        <f t="shared" si="905"/>
        <v>56.079235015089786</v>
      </c>
      <c r="AF781" s="1123">
        <f t="shared" si="906"/>
        <v>61.737710812214807</v>
      </c>
      <c r="AG781" s="1123">
        <f t="shared" si="907"/>
        <v>65.929744116608276</v>
      </c>
      <c r="AH781" s="1123">
        <f t="shared" si="908"/>
        <v>67.562616846291363</v>
      </c>
      <c r="AI781" s="1123">
        <f t="shared" si="909"/>
        <v>66.210695560941701</v>
      </c>
      <c r="AJ781" s="1123">
        <f t="shared" si="910"/>
        <v>62.226379377323333</v>
      </c>
      <c r="AK781" s="1123">
        <f t="shared" si="911"/>
        <v>56.648241708867346</v>
      </c>
      <c r="AL781" s="1123">
        <f t="shared" si="912"/>
        <v>50.930310100560291</v>
      </c>
      <c r="AM781" s="1120">
        <f t="shared" si="913"/>
        <v>1</v>
      </c>
      <c r="AN781" s="1120">
        <f t="shared" si="914"/>
        <v>1</v>
      </c>
      <c r="AO781" s="1120">
        <f t="shared" si="915"/>
        <v>1</v>
      </c>
      <c r="AP781" s="1120">
        <f t="shared" si="916"/>
        <v>1</v>
      </c>
      <c r="AQ781" s="1120">
        <f t="shared" si="917"/>
        <v>1</v>
      </c>
      <c r="AR781" s="1120">
        <f t="shared" si="918"/>
        <v>0</v>
      </c>
      <c r="AS781" s="1120">
        <f t="shared" si="919"/>
        <v>0</v>
      </c>
      <c r="AT781" s="1120">
        <f t="shared" si="920"/>
        <v>0</v>
      </c>
      <c r="AU781" s="1120">
        <f t="shared" si="921"/>
        <v>1</v>
      </c>
      <c r="AV781" s="1120">
        <f t="shared" si="922"/>
        <v>1</v>
      </c>
      <c r="AW781" s="1120">
        <f t="shared" si="923"/>
        <v>1</v>
      </c>
      <c r="AX781" s="1120">
        <f t="shared" si="924"/>
        <v>1</v>
      </c>
      <c r="AY781" s="1120">
        <f t="shared" si="925"/>
        <v>0</v>
      </c>
      <c r="AZ781" s="1120">
        <f t="shared" si="926"/>
        <v>0</v>
      </c>
      <c r="BA781" s="1120">
        <f t="shared" si="927"/>
        <v>0</v>
      </c>
      <c r="BB781" s="1120">
        <f t="shared" si="928"/>
        <v>0</v>
      </c>
      <c r="BC781" s="1120">
        <f t="shared" si="929"/>
        <v>0</v>
      </c>
      <c r="BD781" s="1120">
        <f t="shared" si="930"/>
        <v>1</v>
      </c>
      <c r="BE781" s="1120">
        <f t="shared" si="931"/>
        <v>1</v>
      </c>
      <c r="BF781" s="1120">
        <f t="shared" si="932"/>
        <v>1</v>
      </c>
      <c r="BG781" s="1120">
        <f t="shared" si="933"/>
        <v>0</v>
      </c>
      <c r="BH781" s="1120">
        <f t="shared" si="934"/>
        <v>0</v>
      </c>
      <c r="BI781" s="1120">
        <f t="shared" si="935"/>
        <v>0</v>
      </c>
      <c r="BJ781" s="1120">
        <f t="shared" si="936"/>
        <v>0</v>
      </c>
      <c r="BK781" s="1120">
        <f t="shared" si="937"/>
        <v>1</v>
      </c>
      <c r="BL781" s="1120">
        <f t="shared" si="938"/>
        <v>1</v>
      </c>
      <c r="BM781" s="1120">
        <f t="shared" si="939"/>
        <v>1</v>
      </c>
      <c r="BN781" s="1120">
        <f t="shared" si="940"/>
        <v>1</v>
      </c>
      <c r="BO781" s="1120">
        <f t="shared" si="941"/>
        <v>1</v>
      </c>
      <c r="BP781" s="1120">
        <f t="shared" si="942"/>
        <v>1</v>
      </c>
      <c r="BQ781" s="1120">
        <f t="shared" si="943"/>
        <v>0</v>
      </c>
      <c r="BR781" s="1120">
        <f t="shared" si="944"/>
        <v>0</v>
      </c>
      <c r="BS781" s="1120">
        <f t="shared" si="945"/>
        <v>1</v>
      </c>
      <c r="BT781" s="1120">
        <f t="shared" si="946"/>
        <v>1</v>
      </c>
      <c r="BU781" s="1120">
        <f t="shared" si="947"/>
        <v>1</v>
      </c>
      <c r="BV781" s="1120">
        <f t="shared" si="948"/>
        <v>1</v>
      </c>
      <c r="BW781" s="1120">
        <f t="shared" si="949"/>
        <v>0</v>
      </c>
      <c r="BX781" s="1120">
        <f t="shared" si="950"/>
        <v>0</v>
      </c>
      <c r="BY781" s="1120">
        <f t="shared" si="951"/>
        <v>0</v>
      </c>
      <c r="BZ781" s="1120">
        <f t="shared" si="952"/>
        <v>0</v>
      </c>
      <c r="CA781" s="1120">
        <f t="shared" si="953"/>
        <v>1</v>
      </c>
      <c r="CB781" s="1120">
        <f t="shared" si="954"/>
        <v>1</v>
      </c>
      <c r="CC781" s="1120">
        <f t="shared" si="955"/>
        <v>1</v>
      </c>
      <c r="CD781" s="1120">
        <f t="shared" si="956"/>
        <v>1</v>
      </c>
      <c r="CE781" s="1120">
        <f t="shared" si="957"/>
        <v>1</v>
      </c>
      <c r="CF781" s="1120">
        <f t="shared" si="958"/>
        <v>0</v>
      </c>
      <c r="CG781" s="1120">
        <f t="shared" si="959"/>
        <v>0</v>
      </c>
      <c r="CH781" s="1120">
        <f t="shared" si="960"/>
        <v>0</v>
      </c>
      <c r="CI781" s="1120">
        <f t="shared" si="961"/>
        <v>0.85</v>
      </c>
      <c r="CJ781" s="1120">
        <f t="shared" si="962"/>
        <v>0.85</v>
      </c>
      <c r="CK781" s="1120">
        <f t="shared" si="963"/>
        <v>0.85</v>
      </c>
      <c r="CL781" s="1120">
        <f t="shared" si="964"/>
        <v>0.85</v>
      </c>
      <c r="CM781" s="1120">
        <f t="shared" si="965"/>
        <v>0.85</v>
      </c>
      <c r="CN781" s="1120">
        <f t="shared" si="966"/>
        <v>0.85</v>
      </c>
      <c r="CO781" s="1120">
        <f t="shared" si="967"/>
        <v>0.7</v>
      </c>
      <c r="CP781" s="1120">
        <f t="shared" si="968"/>
        <v>0.7</v>
      </c>
      <c r="CQ781" s="1120">
        <f t="shared" si="969"/>
        <v>0.85</v>
      </c>
      <c r="CR781" s="1120">
        <f t="shared" si="970"/>
        <v>0.85</v>
      </c>
      <c r="CS781" s="1120">
        <f t="shared" si="971"/>
        <v>0.85</v>
      </c>
      <c r="CT781" s="1120">
        <f t="shared" si="972"/>
        <v>0.85</v>
      </c>
      <c r="CU781" s="1120">
        <v>1</v>
      </c>
      <c r="CV781" s="1120"/>
      <c r="CW781" s="1120">
        <f t="shared" si="973"/>
        <v>153</v>
      </c>
      <c r="CX781" s="1120">
        <f t="shared" si="974"/>
        <v>212</v>
      </c>
      <c r="CY781" s="1135" t="s">
        <v>4889</v>
      </c>
      <c r="CZ781" s="1124" t="s">
        <v>4890</v>
      </c>
      <c r="DA781" s="1124"/>
      <c r="DB781" s="1124"/>
      <c r="DC781" s="1120" t="s">
        <v>5954</v>
      </c>
      <c r="DD781" s="1120" t="s">
        <v>536</v>
      </c>
      <c r="DE781" s="1120" t="str">
        <f t="shared" si="900"/>
        <v/>
      </c>
      <c r="DF781" s="1133">
        <v>0</v>
      </c>
      <c r="DG781" s="1125">
        <v>0</v>
      </c>
    </row>
    <row r="782" spans="1:111">
      <c r="A782" s="1120" t="s">
        <v>4260</v>
      </c>
      <c r="B782" s="1125" t="s">
        <v>3168</v>
      </c>
      <c r="C782" s="1125" t="s">
        <v>3169</v>
      </c>
      <c r="D782" s="1125" t="s">
        <v>954</v>
      </c>
      <c r="E782" s="1125">
        <v>840</v>
      </c>
      <c r="F782" s="1125">
        <v>-117.45</v>
      </c>
      <c r="G782" s="1125">
        <v>33.950000000000003</v>
      </c>
      <c r="H782" s="1125">
        <v>-8</v>
      </c>
      <c r="I782" s="1126">
        <v>37.220000171661376</v>
      </c>
      <c r="J782" s="1126">
        <v>97.33999862670899</v>
      </c>
      <c r="K782" s="1127">
        <v>69.080000686645505</v>
      </c>
      <c r="L782" s="1125">
        <v>1636.2</v>
      </c>
      <c r="M782" s="1125">
        <v>1278</v>
      </c>
      <c r="N782" s="1128">
        <v>54.680000686645506</v>
      </c>
      <c r="O782" s="1128">
        <v>55.040000343322752</v>
      </c>
      <c r="P782" s="1128">
        <v>57.380000686645509</v>
      </c>
      <c r="Q782" s="1128">
        <v>57.380000686645509</v>
      </c>
      <c r="R782" s="1128">
        <v>66.739998626708982</v>
      </c>
      <c r="S782" s="1128">
        <v>69.619999313354498</v>
      </c>
      <c r="T782" s="1128">
        <v>75.019999313354489</v>
      </c>
      <c r="U782" s="1128">
        <v>75.919999313354495</v>
      </c>
      <c r="V782" s="1128">
        <v>73.400000000000006</v>
      </c>
      <c r="W782" s="1128">
        <v>62.780000686645508</v>
      </c>
      <c r="X782" s="1128">
        <v>59</v>
      </c>
      <c r="Y782" s="1128">
        <v>53.240000343322755</v>
      </c>
      <c r="Z782" s="1128">
        <v>63.401863010876802</v>
      </c>
      <c r="AA782" s="1128">
        <f t="shared" si="901"/>
        <v>62.906920134656723</v>
      </c>
      <c r="AB782" s="1128">
        <f t="shared" si="902"/>
        <v>62.871520231240389</v>
      </c>
      <c r="AC782" s="1128">
        <f t="shared" si="903"/>
        <v>64.538354808964741</v>
      </c>
      <c r="AD782" s="1128">
        <f t="shared" si="904"/>
        <v>67.472937748447549</v>
      </c>
      <c r="AE782" s="1128">
        <f t="shared" si="905"/>
        <v>70.910324783220631</v>
      </c>
      <c r="AF782" s="1128">
        <f t="shared" si="906"/>
        <v>73.954508010932727</v>
      </c>
      <c r="AG782" s="1128">
        <f t="shared" si="907"/>
        <v>75.81197416099711</v>
      </c>
      <c r="AH782" s="1128">
        <f t="shared" si="908"/>
        <v>75.998546056979706</v>
      </c>
      <c r="AI782" s="1128">
        <f t="shared" si="909"/>
        <v>74.465590859032659</v>
      </c>
      <c r="AJ782" s="1128">
        <f t="shared" si="910"/>
        <v>71.612696963055583</v>
      </c>
      <c r="AK782" s="1128">
        <f t="shared" si="911"/>
        <v>68.183515127460609</v>
      </c>
      <c r="AL782" s="1128">
        <f t="shared" si="912"/>
        <v>65.071914442987278</v>
      </c>
      <c r="AM782" s="1125">
        <f t="shared" si="913"/>
        <v>1</v>
      </c>
      <c r="AN782" s="1125">
        <f t="shared" si="914"/>
        <v>1</v>
      </c>
      <c r="AO782" s="1125">
        <f t="shared" si="915"/>
        <v>1</v>
      </c>
      <c r="AP782" s="1125">
        <f t="shared" si="916"/>
        <v>1</v>
      </c>
      <c r="AQ782" s="1125">
        <f t="shared" si="917"/>
        <v>0</v>
      </c>
      <c r="AR782" s="1125">
        <f t="shared" si="918"/>
        <v>0</v>
      </c>
      <c r="AS782" s="1125">
        <f t="shared" si="919"/>
        <v>0</v>
      </c>
      <c r="AT782" s="1125">
        <f t="shared" si="920"/>
        <v>0</v>
      </c>
      <c r="AU782" s="1125">
        <f t="shared" si="921"/>
        <v>0</v>
      </c>
      <c r="AV782" s="1125">
        <f t="shared" si="922"/>
        <v>1</v>
      </c>
      <c r="AW782" s="1125">
        <f t="shared" si="923"/>
        <v>1</v>
      </c>
      <c r="AX782" s="1125">
        <f t="shared" si="924"/>
        <v>1</v>
      </c>
      <c r="AY782" s="1125">
        <f t="shared" si="925"/>
        <v>0</v>
      </c>
      <c r="AZ782" s="1125">
        <f t="shared" si="926"/>
        <v>0</v>
      </c>
      <c r="BA782" s="1125">
        <f t="shared" si="927"/>
        <v>0</v>
      </c>
      <c r="BB782" s="1125">
        <f t="shared" si="928"/>
        <v>0</v>
      </c>
      <c r="BC782" s="1125">
        <f t="shared" si="929"/>
        <v>1</v>
      </c>
      <c r="BD782" s="1125">
        <f t="shared" si="930"/>
        <v>1</v>
      </c>
      <c r="BE782" s="1125">
        <f t="shared" si="931"/>
        <v>1</v>
      </c>
      <c r="BF782" s="1125">
        <f t="shared" si="932"/>
        <v>1</v>
      </c>
      <c r="BG782" s="1125">
        <f t="shared" si="933"/>
        <v>1</v>
      </c>
      <c r="BH782" s="1125">
        <f t="shared" si="934"/>
        <v>0</v>
      </c>
      <c r="BI782" s="1125">
        <f t="shared" si="935"/>
        <v>0</v>
      </c>
      <c r="BJ782" s="1125">
        <f t="shared" si="936"/>
        <v>0</v>
      </c>
      <c r="BK782" s="1125">
        <f t="shared" si="937"/>
        <v>1</v>
      </c>
      <c r="BL782" s="1125">
        <f t="shared" si="938"/>
        <v>1</v>
      </c>
      <c r="BM782" s="1125">
        <f t="shared" si="939"/>
        <v>1</v>
      </c>
      <c r="BN782" s="1125">
        <f t="shared" si="940"/>
        <v>1</v>
      </c>
      <c r="BO782" s="1125">
        <f t="shared" si="941"/>
        <v>1</v>
      </c>
      <c r="BP782" s="1125">
        <f t="shared" si="942"/>
        <v>0</v>
      </c>
      <c r="BQ782" s="1125">
        <f t="shared" si="943"/>
        <v>0</v>
      </c>
      <c r="BR782" s="1125">
        <f t="shared" si="944"/>
        <v>0</v>
      </c>
      <c r="BS782" s="1125">
        <f t="shared" si="945"/>
        <v>0</v>
      </c>
      <c r="BT782" s="1125">
        <f t="shared" si="946"/>
        <v>1</v>
      </c>
      <c r="BU782" s="1125">
        <f t="shared" si="947"/>
        <v>1</v>
      </c>
      <c r="BV782" s="1125">
        <f t="shared" si="948"/>
        <v>1</v>
      </c>
      <c r="BW782" s="1125">
        <f t="shared" si="949"/>
        <v>0</v>
      </c>
      <c r="BX782" s="1125">
        <f t="shared" si="950"/>
        <v>0</v>
      </c>
      <c r="BY782" s="1125">
        <f t="shared" si="951"/>
        <v>0</v>
      </c>
      <c r="BZ782" s="1125">
        <f t="shared" si="952"/>
        <v>1</v>
      </c>
      <c r="CA782" s="1125">
        <f t="shared" si="953"/>
        <v>1</v>
      </c>
      <c r="CB782" s="1125">
        <f t="shared" si="954"/>
        <v>1</v>
      </c>
      <c r="CC782" s="1125">
        <f t="shared" si="955"/>
        <v>1</v>
      </c>
      <c r="CD782" s="1125">
        <f t="shared" si="956"/>
        <v>1</v>
      </c>
      <c r="CE782" s="1125">
        <f t="shared" si="957"/>
        <v>1</v>
      </c>
      <c r="CF782" s="1125">
        <f t="shared" si="958"/>
        <v>1</v>
      </c>
      <c r="CG782" s="1125">
        <f t="shared" si="959"/>
        <v>0</v>
      </c>
      <c r="CH782" s="1125">
        <f t="shared" si="960"/>
        <v>0</v>
      </c>
      <c r="CI782" s="1125">
        <f t="shared" si="961"/>
        <v>0.85</v>
      </c>
      <c r="CJ782" s="1125">
        <f t="shared" si="962"/>
        <v>0.85</v>
      </c>
      <c r="CK782" s="1125">
        <f t="shared" si="963"/>
        <v>0.85</v>
      </c>
      <c r="CL782" s="1125">
        <f t="shared" si="964"/>
        <v>0.85</v>
      </c>
      <c r="CM782" s="1125">
        <f t="shared" si="965"/>
        <v>0.85</v>
      </c>
      <c r="CN782" s="1125">
        <f t="shared" si="966"/>
        <v>0.7</v>
      </c>
      <c r="CO782" s="1125">
        <f t="shared" si="967"/>
        <v>0.7</v>
      </c>
      <c r="CP782" s="1125">
        <f t="shared" si="968"/>
        <v>0.7</v>
      </c>
      <c r="CQ782" s="1125">
        <f t="shared" si="969"/>
        <v>0.7</v>
      </c>
      <c r="CR782" s="1125">
        <f t="shared" si="970"/>
        <v>0.85</v>
      </c>
      <c r="CS782" s="1125">
        <f t="shared" si="971"/>
        <v>0.85</v>
      </c>
      <c r="CT782" s="1125">
        <f t="shared" si="972"/>
        <v>0.85</v>
      </c>
      <c r="CU782" s="1125">
        <v>1</v>
      </c>
      <c r="CV782" s="1125"/>
      <c r="CW782" s="1125">
        <f t="shared" si="973"/>
        <v>214</v>
      </c>
      <c r="CX782" s="1125">
        <f t="shared" si="974"/>
        <v>151</v>
      </c>
      <c r="CY782" s="1135" t="s">
        <v>4886</v>
      </c>
      <c r="CZ782" s="1124" t="s">
        <v>4888</v>
      </c>
      <c r="DA782" s="1124"/>
      <c r="DB782" s="1124"/>
      <c r="DC782" s="1120" t="s">
        <v>5049</v>
      </c>
      <c r="DD782" s="1120" t="s">
        <v>954</v>
      </c>
      <c r="DE782" s="1120" t="str">
        <f t="shared" si="900"/>
        <v/>
      </c>
      <c r="DF782" s="1125">
        <v>0</v>
      </c>
      <c r="DG782" s="1120">
        <v>0</v>
      </c>
    </row>
    <row r="783" spans="1:111">
      <c r="A783" s="1125" t="s">
        <v>4262</v>
      </c>
      <c r="B783" s="1125" t="s">
        <v>4683</v>
      </c>
      <c r="C783" s="1125" t="s">
        <v>4684</v>
      </c>
      <c r="D783" s="1125" t="s">
        <v>904</v>
      </c>
      <c r="E783" s="1125">
        <v>5455</v>
      </c>
      <c r="F783" s="1125">
        <v>-108.45</v>
      </c>
      <c r="G783" s="1125">
        <v>43.05</v>
      </c>
      <c r="H783" s="1125">
        <v>-7</v>
      </c>
      <c r="I783" s="1126">
        <v>-4.1800006866455091</v>
      </c>
      <c r="J783" s="1126">
        <v>93.379997253417969</v>
      </c>
      <c r="K783" s="1127">
        <v>55.580000686645505</v>
      </c>
      <c r="L783" s="1125">
        <v>7448.4000000000005</v>
      </c>
      <c r="M783" s="1125">
        <v>799.2</v>
      </c>
      <c r="N783" s="1128">
        <v>21.740000343322755</v>
      </c>
      <c r="O783" s="1128">
        <v>24.440000343322755</v>
      </c>
      <c r="P783" s="1128">
        <v>29.660000085830688</v>
      </c>
      <c r="Q783" s="1128">
        <v>44.959999656677248</v>
      </c>
      <c r="R783" s="1128">
        <v>54.859999656677246</v>
      </c>
      <c r="S783" s="1128">
        <v>66.739998626708982</v>
      </c>
      <c r="T783" s="1128">
        <v>74.119999313354498</v>
      </c>
      <c r="U783" s="1128">
        <v>72.5</v>
      </c>
      <c r="V783" s="1128">
        <v>63.139998626708987</v>
      </c>
      <c r="W783" s="1128">
        <v>45.140000343322754</v>
      </c>
      <c r="X783" s="1128">
        <v>36.139999914169309</v>
      </c>
      <c r="Y783" s="1128">
        <v>19.399999999999999</v>
      </c>
      <c r="Z783" s="1128">
        <v>46.17462988043485</v>
      </c>
      <c r="AA783" s="1128">
        <f t="shared" si="901"/>
        <v>42.428260785534995</v>
      </c>
      <c r="AB783" s="1128">
        <f t="shared" si="902"/>
        <v>40.64928804603197</v>
      </c>
      <c r="AC783" s="1128">
        <f t="shared" si="903"/>
        <v>41.874573266559949</v>
      </c>
      <c r="AD783" s="1128">
        <f t="shared" si="904"/>
        <v>45.784726972171526</v>
      </c>
      <c r="AE783" s="1128">
        <f t="shared" si="905"/>
        <v>51.360507342206454</v>
      </c>
      <c r="AF783" s="1128">
        <f t="shared" si="906"/>
        <v>57.148501297838692</v>
      </c>
      <c r="AG783" s="1128">
        <f t="shared" si="907"/>
        <v>61.639979018845914</v>
      </c>
      <c r="AH783" s="1128">
        <f t="shared" si="908"/>
        <v>63.664167621480757</v>
      </c>
      <c r="AI783" s="1128">
        <f t="shared" si="909"/>
        <v>62.693431152775858</v>
      </c>
      <c r="AJ783" s="1128">
        <f t="shared" si="910"/>
        <v>58.980807032800953</v>
      </c>
      <c r="AK783" s="1128">
        <f t="shared" si="911"/>
        <v>53.494047951697027</v>
      </c>
      <c r="AL783" s="1128">
        <f t="shared" si="912"/>
        <v>47.663362217470663</v>
      </c>
      <c r="AM783" s="1125">
        <f t="shared" si="913"/>
        <v>1</v>
      </c>
      <c r="AN783" s="1125">
        <f t="shared" si="914"/>
        <v>1</v>
      </c>
      <c r="AO783" s="1125">
        <f t="shared" si="915"/>
        <v>1</v>
      </c>
      <c r="AP783" s="1125">
        <f t="shared" si="916"/>
        <v>1</v>
      </c>
      <c r="AQ783" s="1125">
        <f t="shared" si="917"/>
        <v>1</v>
      </c>
      <c r="AR783" s="1125">
        <f t="shared" si="918"/>
        <v>0</v>
      </c>
      <c r="AS783" s="1125">
        <f t="shared" si="919"/>
        <v>0</v>
      </c>
      <c r="AT783" s="1125">
        <f t="shared" si="920"/>
        <v>0</v>
      </c>
      <c r="AU783" s="1125">
        <f t="shared" si="921"/>
        <v>1</v>
      </c>
      <c r="AV783" s="1125">
        <f t="shared" si="922"/>
        <v>1</v>
      </c>
      <c r="AW783" s="1125">
        <f t="shared" si="923"/>
        <v>1</v>
      </c>
      <c r="AX783" s="1125">
        <f t="shared" si="924"/>
        <v>1</v>
      </c>
      <c r="AY783" s="1125">
        <f t="shared" si="925"/>
        <v>0</v>
      </c>
      <c r="AZ783" s="1125">
        <f t="shared" si="926"/>
        <v>0</v>
      </c>
      <c r="BA783" s="1125">
        <f t="shared" si="927"/>
        <v>0</v>
      </c>
      <c r="BB783" s="1125">
        <f t="shared" si="928"/>
        <v>0</v>
      </c>
      <c r="BC783" s="1125">
        <f t="shared" si="929"/>
        <v>0</v>
      </c>
      <c r="BD783" s="1125">
        <f t="shared" si="930"/>
        <v>1</v>
      </c>
      <c r="BE783" s="1125">
        <f t="shared" si="931"/>
        <v>1</v>
      </c>
      <c r="BF783" s="1125">
        <f t="shared" si="932"/>
        <v>1</v>
      </c>
      <c r="BG783" s="1125">
        <f t="shared" si="933"/>
        <v>0</v>
      </c>
      <c r="BH783" s="1125">
        <f t="shared" si="934"/>
        <v>0</v>
      </c>
      <c r="BI783" s="1125">
        <f t="shared" si="935"/>
        <v>0</v>
      </c>
      <c r="BJ783" s="1125">
        <f t="shared" si="936"/>
        <v>0</v>
      </c>
      <c r="BK783" s="1125">
        <f t="shared" si="937"/>
        <v>1</v>
      </c>
      <c r="BL783" s="1125">
        <f t="shared" si="938"/>
        <v>1</v>
      </c>
      <c r="BM783" s="1125">
        <f t="shared" si="939"/>
        <v>1</v>
      </c>
      <c r="BN783" s="1125">
        <f t="shared" si="940"/>
        <v>1</v>
      </c>
      <c r="BO783" s="1125">
        <f t="shared" si="941"/>
        <v>1</v>
      </c>
      <c r="BP783" s="1125">
        <f t="shared" si="942"/>
        <v>1</v>
      </c>
      <c r="BQ783" s="1125">
        <f t="shared" si="943"/>
        <v>0</v>
      </c>
      <c r="BR783" s="1125">
        <f t="shared" si="944"/>
        <v>0</v>
      </c>
      <c r="BS783" s="1125">
        <f t="shared" si="945"/>
        <v>1</v>
      </c>
      <c r="BT783" s="1125">
        <f t="shared" si="946"/>
        <v>1</v>
      </c>
      <c r="BU783" s="1125">
        <f t="shared" si="947"/>
        <v>1</v>
      </c>
      <c r="BV783" s="1125">
        <f t="shared" si="948"/>
        <v>1</v>
      </c>
      <c r="BW783" s="1125">
        <f t="shared" si="949"/>
        <v>0</v>
      </c>
      <c r="BX783" s="1125">
        <f t="shared" si="950"/>
        <v>0</v>
      </c>
      <c r="BY783" s="1125">
        <f t="shared" si="951"/>
        <v>0</v>
      </c>
      <c r="BZ783" s="1125">
        <f t="shared" si="952"/>
        <v>0</v>
      </c>
      <c r="CA783" s="1125">
        <f t="shared" si="953"/>
        <v>1</v>
      </c>
      <c r="CB783" s="1125">
        <f t="shared" si="954"/>
        <v>1</v>
      </c>
      <c r="CC783" s="1125">
        <f t="shared" si="955"/>
        <v>1</v>
      </c>
      <c r="CD783" s="1125">
        <f t="shared" si="956"/>
        <v>1</v>
      </c>
      <c r="CE783" s="1125">
        <f t="shared" si="957"/>
        <v>1</v>
      </c>
      <c r="CF783" s="1125">
        <f t="shared" si="958"/>
        <v>0</v>
      </c>
      <c r="CG783" s="1125">
        <f t="shared" si="959"/>
        <v>0</v>
      </c>
      <c r="CH783" s="1125">
        <f t="shared" si="960"/>
        <v>0</v>
      </c>
      <c r="CI783" s="1125">
        <f t="shared" si="961"/>
        <v>0.85</v>
      </c>
      <c r="CJ783" s="1125">
        <f t="shared" si="962"/>
        <v>0.85</v>
      </c>
      <c r="CK783" s="1125">
        <f t="shared" si="963"/>
        <v>0.85</v>
      </c>
      <c r="CL783" s="1125">
        <f t="shared" si="964"/>
        <v>0.85</v>
      </c>
      <c r="CM783" s="1125">
        <f t="shared" si="965"/>
        <v>0.85</v>
      </c>
      <c r="CN783" s="1125">
        <f t="shared" si="966"/>
        <v>0.85</v>
      </c>
      <c r="CO783" s="1125">
        <f t="shared" si="967"/>
        <v>0.7</v>
      </c>
      <c r="CP783" s="1125">
        <f t="shared" si="968"/>
        <v>0.7</v>
      </c>
      <c r="CQ783" s="1125">
        <f t="shared" si="969"/>
        <v>0.85</v>
      </c>
      <c r="CR783" s="1125">
        <f t="shared" si="970"/>
        <v>0.85</v>
      </c>
      <c r="CS783" s="1125">
        <f t="shared" si="971"/>
        <v>0.85</v>
      </c>
      <c r="CT783" s="1125">
        <f t="shared" si="972"/>
        <v>0.85</v>
      </c>
      <c r="CU783" s="1125">
        <v>1</v>
      </c>
      <c r="CV783" s="1125"/>
      <c r="CW783" s="1125">
        <f t="shared" si="973"/>
        <v>153</v>
      </c>
      <c r="CX783" s="1125">
        <f t="shared" si="974"/>
        <v>212</v>
      </c>
      <c r="CY783" s="1135" t="s">
        <v>4889</v>
      </c>
      <c r="CZ783" s="1124" t="s">
        <v>4896</v>
      </c>
      <c r="DA783" s="1124"/>
      <c r="DB783" s="1124"/>
      <c r="DC783" s="1120" t="s">
        <v>5701</v>
      </c>
      <c r="DD783" s="1120" t="s">
        <v>904</v>
      </c>
      <c r="DE783" s="1120" t="str">
        <f t="shared" si="900"/>
        <v/>
      </c>
      <c r="DF783" s="1133">
        <v>1</v>
      </c>
      <c r="DG783" s="1125">
        <v>0</v>
      </c>
    </row>
    <row r="784" spans="1:111">
      <c r="A784" s="1120" t="s">
        <v>4264</v>
      </c>
      <c r="B784" s="1120" t="s">
        <v>4534</v>
      </c>
      <c r="C784" s="1120" t="s">
        <v>4535</v>
      </c>
      <c r="D784" s="1120" t="s">
        <v>501</v>
      </c>
      <c r="E784" s="1120">
        <v>1148</v>
      </c>
      <c r="F784" s="1120">
        <v>-79.97</v>
      </c>
      <c r="G784" s="1120">
        <v>37.32</v>
      </c>
      <c r="H784" s="1120">
        <v>-5</v>
      </c>
      <c r="I784" s="1121">
        <v>19.040000343322752</v>
      </c>
      <c r="J784" s="1121">
        <v>89.779997253417974</v>
      </c>
      <c r="K784" s="1122">
        <v>72.319999313354487</v>
      </c>
      <c r="L784" s="1120">
        <v>4093.2000000000003</v>
      </c>
      <c r="M784" s="1120">
        <v>1179</v>
      </c>
      <c r="N784" s="1123">
        <v>35.419999957084656</v>
      </c>
      <c r="O784" s="1123">
        <v>38.839999914169312</v>
      </c>
      <c r="P784" s="1123">
        <v>48.740000343322755</v>
      </c>
      <c r="Q784" s="1123">
        <v>56.840000343322757</v>
      </c>
      <c r="R784" s="1123">
        <v>64.039998626708979</v>
      </c>
      <c r="S784" s="1123">
        <v>73.219999313354492</v>
      </c>
      <c r="T784" s="1123">
        <v>75.739998626708982</v>
      </c>
      <c r="U784" s="1123">
        <v>73.580000686645505</v>
      </c>
      <c r="V784" s="1123">
        <v>67.819999313354487</v>
      </c>
      <c r="W784" s="1123">
        <v>56.480000686645511</v>
      </c>
      <c r="X784" s="1123">
        <v>49.640000343322754</v>
      </c>
      <c r="Y784" s="1123">
        <v>35.779999828338624</v>
      </c>
      <c r="Z784" s="1123">
        <v>56.42821900936022</v>
      </c>
      <c r="AA784" s="1123">
        <f t="shared" si="901"/>
        <v>52.646095688426421</v>
      </c>
      <c r="AB784" s="1123">
        <f t="shared" si="902"/>
        <v>51.944931072891222</v>
      </c>
      <c r="AC784" s="1123">
        <f t="shared" si="903"/>
        <v>53.976397010353914</v>
      </c>
      <c r="AD784" s="1123">
        <f t="shared" si="904"/>
        <v>58.210960598377135</v>
      </c>
      <c r="AE784" s="1123">
        <f t="shared" si="905"/>
        <v>63.544817581142439</v>
      </c>
      <c r="AF784" s="1123">
        <f t="shared" si="906"/>
        <v>68.587615938867856</v>
      </c>
      <c r="AG784" s="1123">
        <f t="shared" si="907"/>
        <v>72.024872567737248</v>
      </c>
      <c r="AH784" s="1123">
        <f t="shared" si="908"/>
        <v>72.960613557707759</v>
      </c>
      <c r="AI784" s="1123">
        <f t="shared" si="909"/>
        <v>71.150923599538459</v>
      </c>
      <c r="AJ784" s="1123">
        <f t="shared" si="910"/>
        <v>67.067526268992566</v>
      </c>
      <c r="AK784" s="1123">
        <f t="shared" si="911"/>
        <v>61.774822007334535</v>
      </c>
      <c r="AL784" s="1123">
        <f t="shared" si="912"/>
        <v>56.652435743407089</v>
      </c>
      <c r="AM784" s="1120">
        <f t="shared" si="913"/>
        <v>1</v>
      </c>
      <c r="AN784" s="1120">
        <f t="shared" si="914"/>
        <v>1</v>
      </c>
      <c r="AO784" s="1120">
        <f t="shared" si="915"/>
        <v>1</v>
      </c>
      <c r="AP784" s="1120">
        <f t="shared" si="916"/>
        <v>1</v>
      </c>
      <c r="AQ784" s="1120">
        <f t="shared" si="917"/>
        <v>1</v>
      </c>
      <c r="AR784" s="1120">
        <f t="shared" si="918"/>
        <v>0</v>
      </c>
      <c r="AS784" s="1120">
        <f t="shared" si="919"/>
        <v>0</v>
      </c>
      <c r="AT784" s="1120">
        <f t="shared" si="920"/>
        <v>0</v>
      </c>
      <c r="AU784" s="1120">
        <f t="shared" si="921"/>
        <v>0</v>
      </c>
      <c r="AV784" s="1120">
        <f t="shared" si="922"/>
        <v>1</v>
      </c>
      <c r="AW784" s="1120">
        <f t="shared" si="923"/>
        <v>1</v>
      </c>
      <c r="AX784" s="1120">
        <f t="shared" si="924"/>
        <v>1</v>
      </c>
      <c r="AY784" s="1120">
        <f t="shared" si="925"/>
        <v>0</v>
      </c>
      <c r="AZ784" s="1120">
        <f t="shared" si="926"/>
        <v>0</v>
      </c>
      <c r="BA784" s="1120">
        <f t="shared" si="927"/>
        <v>0</v>
      </c>
      <c r="BB784" s="1120">
        <f t="shared" si="928"/>
        <v>0</v>
      </c>
      <c r="BC784" s="1120">
        <f t="shared" si="929"/>
        <v>0</v>
      </c>
      <c r="BD784" s="1120">
        <f t="shared" si="930"/>
        <v>1</v>
      </c>
      <c r="BE784" s="1120">
        <f t="shared" si="931"/>
        <v>1</v>
      </c>
      <c r="BF784" s="1120">
        <f t="shared" si="932"/>
        <v>1</v>
      </c>
      <c r="BG784" s="1120">
        <f t="shared" si="933"/>
        <v>1</v>
      </c>
      <c r="BH784" s="1120">
        <f t="shared" si="934"/>
        <v>0</v>
      </c>
      <c r="BI784" s="1120">
        <f t="shared" si="935"/>
        <v>0</v>
      </c>
      <c r="BJ784" s="1120">
        <f t="shared" si="936"/>
        <v>0</v>
      </c>
      <c r="BK784" s="1120">
        <f t="shared" si="937"/>
        <v>1</v>
      </c>
      <c r="BL784" s="1120">
        <f t="shared" si="938"/>
        <v>1</v>
      </c>
      <c r="BM784" s="1120">
        <f t="shared" si="939"/>
        <v>1</v>
      </c>
      <c r="BN784" s="1120">
        <f t="shared" si="940"/>
        <v>1</v>
      </c>
      <c r="BO784" s="1120">
        <f t="shared" si="941"/>
        <v>1</v>
      </c>
      <c r="BP784" s="1120">
        <f t="shared" si="942"/>
        <v>1</v>
      </c>
      <c r="BQ784" s="1120">
        <f t="shared" si="943"/>
        <v>0</v>
      </c>
      <c r="BR784" s="1120">
        <f t="shared" si="944"/>
        <v>0</v>
      </c>
      <c r="BS784" s="1120">
        <f t="shared" si="945"/>
        <v>0</v>
      </c>
      <c r="BT784" s="1120">
        <f t="shared" si="946"/>
        <v>1</v>
      </c>
      <c r="BU784" s="1120">
        <f t="shared" si="947"/>
        <v>1</v>
      </c>
      <c r="BV784" s="1120">
        <f t="shared" si="948"/>
        <v>1</v>
      </c>
      <c r="BW784" s="1120">
        <f t="shared" si="949"/>
        <v>0</v>
      </c>
      <c r="BX784" s="1120">
        <f t="shared" si="950"/>
        <v>0</v>
      </c>
      <c r="BY784" s="1120">
        <f t="shared" si="951"/>
        <v>0</v>
      </c>
      <c r="BZ784" s="1120">
        <f t="shared" si="952"/>
        <v>0</v>
      </c>
      <c r="CA784" s="1120">
        <f t="shared" si="953"/>
        <v>1</v>
      </c>
      <c r="CB784" s="1120">
        <f t="shared" si="954"/>
        <v>1</v>
      </c>
      <c r="CC784" s="1120">
        <f t="shared" si="955"/>
        <v>1</v>
      </c>
      <c r="CD784" s="1120">
        <f t="shared" si="956"/>
        <v>1</v>
      </c>
      <c r="CE784" s="1120">
        <f t="shared" si="957"/>
        <v>1</v>
      </c>
      <c r="CF784" s="1120">
        <f t="shared" si="958"/>
        <v>1</v>
      </c>
      <c r="CG784" s="1120">
        <f t="shared" si="959"/>
        <v>0</v>
      </c>
      <c r="CH784" s="1120">
        <f t="shared" si="960"/>
        <v>0</v>
      </c>
      <c r="CI784" s="1120">
        <f t="shared" si="961"/>
        <v>0.85</v>
      </c>
      <c r="CJ784" s="1120">
        <f t="shared" si="962"/>
        <v>0.85</v>
      </c>
      <c r="CK784" s="1120">
        <f t="shared" si="963"/>
        <v>0.85</v>
      </c>
      <c r="CL784" s="1120">
        <f t="shared" si="964"/>
        <v>0.85</v>
      </c>
      <c r="CM784" s="1120">
        <f t="shared" si="965"/>
        <v>0.85</v>
      </c>
      <c r="CN784" s="1120">
        <f t="shared" si="966"/>
        <v>0.85</v>
      </c>
      <c r="CO784" s="1120">
        <f t="shared" si="967"/>
        <v>0.7</v>
      </c>
      <c r="CP784" s="1120">
        <f t="shared" si="968"/>
        <v>0.7</v>
      </c>
      <c r="CQ784" s="1120">
        <f t="shared" si="969"/>
        <v>0.7</v>
      </c>
      <c r="CR784" s="1120">
        <f t="shared" si="970"/>
        <v>0.85</v>
      </c>
      <c r="CS784" s="1120">
        <f t="shared" si="971"/>
        <v>0.85</v>
      </c>
      <c r="CT784" s="1120">
        <f t="shared" si="972"/>
        <v>0.85</v>
      </c>
      <c r="CU784" s="1120">
        <v>1</v>
      </c>
      <c r="CV784" s="1120"/>
      <c r="CW784" s="1120">
        <f t="shared" si="973"/>
        <v>184</v>
      </c>
      <c r="CX784" s="1120">
        <f t="shared" si="974"/>
        <v>181</v>
      </c>
      <c r="CY784" s="1135" t="s">
        <v>4881</v>
      </c>
      <c r="CZ784" s="1124" t="s">
        <v>4885</v>
      </c>
      <c r="DA784" s="1124"/>
      <c r="DB784" s="1124"/>
      <c r="DC784" s="1120" t="s">
        <v>5642</v>
      </c>
      <c r="DD784" s="1120" t="s">
        <v>501</v>
      </c>
      <c r="DE784" s="1120" t="str">
        <f t="shared" si="900"/>
        <v/>
      </c>
      <c r="DF784" s="1133">
        <v>1</v>
      </c>
      <c r="DG784" s="1120">
        <v>0</v>
      </c>
    </row>
    <row r="785" spans="1:111">
      <c r="A785" s="1125" t="s">
        <v>4266</v>
      </c>
      <c r="B785" s="1125" t="s">
        <v>4418</v>
      </c>
      <c r="C785" s="1125" t="s">
        <v>4419</v>
      </c>
      <c r="D785" s="1125" t="s">
        <v>228</v>
      </c>
      <c r="E785" s="1125">
        <v>1023</v>
      </c>
      <c r="F785" s="1125">
        <v>-97.83</v>
      </c>
      <c r="G785" s="1125">
        <v>31.07</v>
      </c>
      <c r="H785" s="1125">
        <v>-6</v>
      </c>
      <c r="I785" s="1126">
        <v>28.220000171661376</v>
      </c>
      <c r="J785" s="1126">
        <v>98.060001373291016</v>
      </c>
      <c r="K785" s="1127">
        <v>73.400000000000006</v>
      </c>
      <c r="L785" s="1125">
        <v>1782</v>
      </c>
      <c r="M785" s="1125">
        <v>2953.8</v>
      </c>
      <c r="N785" s="1128">
        <v>47.840000343322757</v>
      </c>
      <c r="O785" s="1128">
        <v>57.740000343322755</v>
      </c>
      <c r="P785" s="1128">
        <v>55.940000343322751</v>
      </c>
      <c r="Q785" s="1128">
        <v>68.360001373291013</v>
      </c>
      <c r="R785" s="1128">
        <v>74.3</v>
      </c>
      <c r="S785" s="1128">
        <v>79.33999862670899</v>
      </c>
      <c r="T785" s="1128">
        <v>82.939998626708984</v>
      </c>
      <c r="U785" s="1128">
        <v>83.3</v>
      </c>
      <c r="V785" s="1128">
        <v>79.33999862670899</v>
      </c>
      <c r="W785" s="1128">
        <v>69.8</v>
      </c>
      <c r="X785" s="1128">
        <v>61.880000686645509</v>
      </c>
      <c r="Y785" s="1128">
        <v>50</v>
      </c>
      <c r="Z785" s="1128">
        <v>67.594630048568931</v>
      </c>
      <c r="AA785" s="1128">
        <f t="shared" si="901"/>
        <v>62.535789256460575</v>
      </c>
      <c r="AB785" s="1128">
        <f t="shared" si="902"/>
        <v>62.891668243605061</v>
      </c>
      <c r="AC785" s="1128">
        <f t="shared" si="903"/>
        <v>66.03743916284742</v>
      </c>
      <c r="AD785" s="1128">
        <f t="shared" si="904"/>
        <v>71.153108346289841</v>
      </c>
      <c r="AE785" s="1128">
        <f t="shared" si="905"/>
        <v>76.905197786419649</v>
      </c>
      <c r="AF785" s="1128">
        <f t="shared" si="906"/>
        <v>81.794336728285529</v>
      </c>
      <c r="AG785" s="1128">
        <f t="shared" si="907"/>
        <v>84.546095762778435</v>
      </c>
      <c r="AH785" s="1128">
        <f t="shared" si="908"/>
        <v>84.443186491667433</v>
      </c>
      <c r="AI785" s="1128">
        <f t="shared" si="909"/>
        <v>81.512433802347473</v>
      </c>
      <c r="AJ785" s="1128">
        <f t="shared" si="910"/>
        <v>76.517783547555879</v>
      </c>
      <c r="AK785" s="1128">
        <f t="shared" si="911"/>
        <v>70.761168286094346</v>
      </c>
      <c r="AL785" s="1128">
        <f t="shared" si="912"/>
        <v>65.743138497989293</v>
      </c>
      <c r="AM785" s="1125">
        <f t="shared" si="913"/>
        <v>1</v>
      </c>
      <c r="AN785" s="1125">
        <f t="shared" si="914"/>
        <v>1</v>
      </c>
      <c r="AO785" s="1125">
        <f t="shared" si="915"/>
        <v>1</v>
      </c>
      <c r="AP785" s="1125">
        <f t="shared" si="916"/>
        <v>0</v>
      </c>
      <c r="AQ785" s="1125">
        <f t="shared" si="917"/>
        <v>0</v>
      </c>
      <c r="AR785" s="1125">
        <f t="shared" si="918"/>
        <v>0</v>
      </c>
      <c r="AS785" s="1125">
        <f t="shared" si="919"/>
        <v>0</v>
      </c>
      <c r="AT785" s="1125">
        <f t="shared" si="920"/>
        <v>0</v>
      </c>
      <c r="AU785" s="1125">
        <f t="shared" si="921"/>
        <v>0</v>
      </c>
      <c r="AV785" s="1125">
        <f t="shared" si="922"/>
        <v>0</v>
      </c>
      <c r="AW785" s="1125">
        <f t="shared" si="923"/>
        <v>1</v>
      </c>
      <c r="AX785" s="1125">
        <f t="shared" si="924"/>
        <v>1</v>
      </c>
      <c r="AY785" s="1125">
        <f t="shared" si="925"/>
        <v>0</v>
      </c>
      <c r="AZ785" s="1125">
        <f t="shared" si="926"/>
        <v>0</v>
      </c>
      <c r="BA785" s="1125">
        <f t="shared" si="927"/>
        <v>0</v>
      </c>
      <c r="BB785" s="1125">
        <f t="shared" si="928"/>
        <v>1</v>
      </c>
      <c r="BC785" s="1125">
        <f t="shared" si="929"/>
        <v>1</v>
      </c>
      <c r="BD785" s="1125">
        <f t="shared" si="930"/>
        <v>1</v>
      </c>
      <c r="BE785" s="1125">
        <f t="shared" si="931"/>
        <v>1</v>
      </c>
      <c r="BF785" s="1125">
        <f t="shared" si="932"/>
        <v>1</v>
      </c>
      <c r="BG785" s="1125">
        <f t="shared" si="933"/>
        <v>1</v>
      </c>
      <c r="BH785" s="1125">
        <f t="shared" si="934"/>
        <v>1</v>
      </c>
      <c r="BI785" s="1125">
        <f t="shared" si="935"/>
        <v>0</v>
      </c>
      <c r="BJ785" s="1125">
        <f t="shared" si="936"/>
        <v>0</v>
      </c>
      <c r="BK785" s="1125">
        <f t="shared" si="937"/>
        <v>1</v>
      </c>
      <c r="BL785" s="1125">
        <f t="shared" si="938"/>
        <v>1</v>
      </c>
      <c r="BM785" s="1125">
        <f t="shared" si="939"/>
        <v>1</v>
      </c>
      <c r="BN785" s="1125">
        <f t="shared" si="940"/>
        <v>1</v>
      </c>
      <c r="BO785" s="1125">
        <f t="shared" si="941"/>
        <v>0</v>
      </c>
      <c r="BP785" s="1125">
        <f t="shared" si="942"/>
        <v>0</v>
      </c>
      <c r="BQ785" s="1125">
        <f t="shared" si="943"/>
        <v>0</v>
      </c>
      <c r="BR785" s="1125">
        <f t="shared" si="944"/>
        <v>0</v>
      </c>
      <c r="BS785" s="1125">
        <f t="shared" si="945"/>
        <v>0</v>
      </c>
      <c r="BT785" s="1125">
        <f t="shared" si="946"/>
        <v>0</v>
      </c>
      <c r="BU785" s="1125">
        <f t="shared" si="947"/>
        <v>1</v>
      </c>
      <c r="BV785" s="1125">
        <f t="shared" si="948"/>
        <v>1</v>
      </c>
      <c r="BW785" s="1125">
        <f t="shared" si="949"/>
        <v>0</v>
      </c>
      <c r="BX785" s="1125">
        <f t="shared" si="950"/>
        <v>0</v>
      </c>
      <c r="BY785" s="1125">
        <f t="shared" si="951"/>
        <v>1</v>
      </c>
      <c r="BZ785" s="1125">
        <f t="shared" si="952"/>
        <v>1</v>
      </c>
      <c r="CA785" s="1125">
        <f t="shared" si="953"/>
        <v>1</v>
      </c>
      <c r="CB785" s="1125">
        <f t="shared" si="954"/>
        <v>1</v>
      </c>
      <c r="CC785" s="1125">
        <f t="shared" si="955"/>
        <v>1</v>
      </c>
      <c r="CD785" s="1125">
        <f t="shared" si="956"/>
        <v>1</v>
      </c>
      <c r="CE785" s="1125">
        <f t="shared" si="957"/>
        <v>1</v>
      </c>
      <c r="CF785" s="1125">
        <f t="shared" si="958"/>
        <v>1</v>
      </c>
      <c r="CG785" s="1125">
        <f t="shared" si="959"/>
        <v>1</v>
      </c>
      <c r="CH785" s="1125">
        <f t="shared" si="960"/>
        <v>0</v>
      </c>
      <c r="CI785" s="1125">
        <f t="shared" si="961"/>
        <v>0.85</v>
      </c>
      <c r="CJ785" s="1125">
        <f t="shared" si="962"/>
        <v>0.85</v>
      </c>
      <c r="CK785" s="1125">
        <f t="shared" si="963"/>
        <v>0.85</v>
      </c>
      <c r="CL785" s="1125">
        <f t="shared" si="964"/>
        <v>0.85</v>
      </c>
      <c r="CM785" s="1125">
        <f t="shared" si="965"/>
        <v>0.7</v>
      </c>
      <c r="CN785" s="1125">
        <f t="shared" si="966"/>
        <v>0.7</v>
      </c>
      <c r="CO785" s="1125">
        <f t="shared" si="967"/>
        <v>0.7</v>
      </c>
      <c r="CP785" s="1125">
        <f t="shared" si="968"/>
        <v>0.7</v>
      </c>
      <c r="CQ785" s="1125">
        <f t="shared" si="969"/>
        <v>0.7</v>
      </c>
      <c r="CR785" s="1125">
        <f t="shared" si="970"/>
        <v>0.7</v>
      </c>
      <c r="CS785" s="1125">
        <f t="shared" si="971"/>
        <v>0.85</v>
      </c>
      <c r="CT785" s="1125">
        <f t="shared" si="972"/>
        <v>0.85</v>
      </c>
      <c r="CU785" s="1125">
        <v>1</v>
      </c>
      <c r="CV785" s="1125"/>
      <c r="CW785" s="1125">
        <f t="shared" si="973"/>
        <v>275</v>
      </c>
      <c r="CX785" s="1125">
        <f t="shared" si="974"/>
        <v>90</v>
      </c>
      <c r="CY785" s="1136" t="s">
        <v>4883</v>
      </c>
      <c r="CZ785" s="1129" t="s">
        <v>4884</v>
      </c>
      <c r="DA785" s="1129"/>
      <c r="DB785" s="1129"/>
      <c r="DC785" s="1125" t="s">
        <v>5997</v>
      </c>
      <c r="DD785" s="1125" t="s">
        <v>228</v>
      </c>
      <c r="DE785" s="1120" t="b">
        <f t="shared" si="900"/>
        <v>0</v>
      </c>
      <c r="DF785" s="1133">
        <v>0</v>
      </c>
      <c r="DG785" s="1125">
        <v>0</v>
      </c>
    </row>
    <row r="786" spans="1:111">
      <c r="A786" s="1120" t="s">
        <v>4270</v>
      </c>
      <c r="B786" s="1120" t="s">
        <v>4150</v>
      </c>
      <c r="C786" s="1120" t="s">
        <v>4151</v>
      </c>
      <c r="D786" s="1120" t="s">
        <v>537</v>
      </c>
      <c r="E786" s="1120">
        <v>600</v>
      </c>
      <c r="F786" s="1120">
        <v>-77.680000000000007</v>
      </c>
      <c r="G786" s="1120">
        <v>43.12</v>
      </c>
      <c r="H786" s="1120">
        <v>-5</v>
      </c>
      <c r="I786" s="1121">
        <v>6.0800006866455067</v>
      </c>
      <c r="J786" s="1121">
        <v>85.460001373291021</v>
      </c>
      <c r="K786" s="1122">
        <v>71.239998626708982</v>
      </c>
      <c r="L786" s="1120">
        <v>6305.4000000000005</v>
      </c>
      <c r="M786" s="1120">
        <v>676.80000000000007</v>
      </c>
      <c r="N786" s="1123">
        <v>24.620000171661378</v>
      </c>
      <c r="O786" s="1123">
        <v>24.079999828338622</v>
      </c>
      <c r="P786" s="1123">
        <v>36.860000085830691</v>
      </c>
      <c r="Q786" s="1123">
        <v>48.019999313354489</v>
      </c>
      <c r="R786" s="1123">
        <v>59.719999313354492</v>
      </c>
      <c r="S786" s="1123">
        <v>66.560001373291016</v>
      </c>
      <c r="T786" s="1123">
        <v>71.960001373291021</v>
      </c>
      <c r="U786" s="1123">
        <v>69.619999313354498</v>
      </c>
      <c r="V786" s="1123">
        <v>62.6</v>
      </c>
      <c r="W786" s="1123">
        <v>50.719999313354492</v>
      </c>
      <c r="X786" s="1123">
        <v>42.440000343322751</v>
      </c>
      <c r="Y786" s="1123">
        <v>28.939999914169313</v>
      </c>
      <c r="Z786" s="1123">
        <v>48.982137014049371</v>
      </c>
      <c r="AA786" s="1123">
        <f t="shared" si="901"/>
        <v>45.618564542635724</v>
      </c>
      <c r="AB786" s="1123">
        <f t="shared" si="902"/>
        <v>44.213413574214123</v>
      </c>
      <c r="AC786" s="1123">
        <f t="shared" si="903"/>
        <v>45.615296321437086</v>
      </c>
      <c r="AD786" s="1123">
        <f t="shared" si="904"/>
        <v>49.458790442573871</v>
      </c>
      <c r="AE786" s="1123">
        <f t="shared" si="905"/>
        <v>54.742029964912895</v>
      </c>
      <c r="AF786" s="1123">
        <f t="shared" si="906"/>
        <v>60.087857089770964</v>
      </c>
      <c r="AG786" s="1123">
        <f t="shared" si="907"/>
        <v>64.102799595364175</v>
      </c>
      <c r="AH786" s="1123">
        <f t="shared" si="908"/>
        <v>65.740300845472774</v>
      </c>
      <c r="AI786" s="1123">
        <f t="shared" si="909"/>
        <v>64.573520904597842</v>
      </c>
      <c r="AJ786" s="1123">
        <f t="shared" si="910"/>
        <v>60.906598944951611</v>
      </c>
      <c r="AK786" s="1123">
        <f t="shared" si="911"/>
        <v>55.695374684293753</v>
      </c>
      <c r="AL786" s="1123">
        <f t="shared" si="912"/>
        <v>50.298234033561499</v>
      </c>
      <c r="AM786" s="1120">
        <f t="shared" si="913"/>
        <v>1</v>
      </c>
      <c r="AN786" s="1120">
        <f t="shared" si="914"/>
        <v>1</v>
      </c>
      <c r="AO786" s="1120">
        <f t="shared" si="915"/>
        <v>1</v>
      </c>
      <c r="AP786" s="1120">
        <f t="shared" si="916"/>
        <v>1</v>
      </c>
      <c r="AQ786" s="1120">
        <f t="shared" si="917"/>
        <v>1</v>
      </c>
      <c r="AR786" s="1120">
        <f t="shared" si="918"/>
        <v>0</v>
      </c>
      <c r="AS786" s="1120">
        <f t="shared" si="919"/>
        <v>0</v>
      </c>
      <c r="AT786" s="1120">
        <f t="shared" si="920"/>
        <v>0</v>
      </c>
      <c r="AU786" s="1120">
        <f t="shared" si="921"/>
        <v>1</v>
      </c>
      <c r="AV786" s="1120">
        <f t="shared" si="922"/>
        <v>1</v>
      </c>
      <c r="AW786" s="1120">
        <f t="shared" si="923"/>
        <v>1</v>
      </c>
      <c r="AX786" s="1120">
        <f t="shared" si="924"/>
        <v>1</v>
      </c>
      <c r="AY786" s="1120">
        <f t="shared" si="925"/>
        <v>0</v>
      </c>
      <c r="AZ786" s="1120">
        <f t="shared" si="926"/>
        <v>0</v>
      </c>
      <c r="BA786" s="1120">
        <f t="shared" si="927"/>
        <v>0</v>
      </c>
      <c r="BB786" s="1120">
        <f t="shared" si="928"/>
        <v>0</v>
      </c>
      <c r="BC786" s="1120">
        <f t="shared" si="929"/>
        <v>0</v>
      </c>
      <c r="BD786" s="1120">
        <f t="shared" si="930"/>
        <v>1</v>
      </c>
      <c r="BE786" s="1120">
        <f t="shared" si="931"/>
        <v>1</v>
      </c>
      <c r="BF786" s="1120">
        <f t="shared" si="932"/>
        <v>1</v>
      </c>
      <c r="BG786" s="1120">
        <f t="shared" si="933"/>
        <v>0</v>
      </c>
      <c r="BH786" s="1120">
        <f t="shared" si="934"/>
        <v>0</v>
      </c>
      <c r="BI786" s="1120">
        <f t="shared" si="935"/>
        <v>0</v>
      </c>
      <c r="BJ786" s="1120">
        <f t="shared" si="936"/>
        <v>0</v>
      </c>
      <c r="BK786" s="1120">
        <f t="shared" si="937"/>
        <v>1</v>
      </c>
      <c r="BL786" s="1120">
        <f t="shared" si="938"/>
        <v>1</v>
      </c>
      <c r="BM786" s="1120">
        <f t="shared" si="939"/>
        <v>1</v>
      </c>
      <c r="BN786" s="1120">
        <f t="shared" si="940"/>
        <v>1</v>
      </c>
      <c r="BO786" s="1120">
        <f t="shared" si="941"/>
        <v>1</v>
      </c>
      <c r="BP786" s="1120">
        <f t="shared" si="942"/>
        <v>1</v>
      </c>
      <c r="BQ786" s="1120">
        <f t="shared" si="943"/>
        <v>0</v>
      </c>
      <c r="BR786" s="1120">
        <f t="shared" si="944"/>
        <v>0</v>
      </c>
      <c r="BS786" s="1120">
        <f t="shared" si="945"/>
        <v>1</v>
      </c>
      <c r="BT786" s="1120">
        <f t="shared" si="946"/>
        <v>1</v>
      </c>
      <c r="BU786" s="1120">
        <f t="shared" si="947"/>
        <v>1</v>
      </c>
      <c r="BV786" s="1120">
        <f t="shared" si="948"/>
        <v>1</v>
      </c>
      <c r="BW786" s="1120">
        <f t="shared" si="949"/>
        <v>0</v>
      </c>
      <c r="BX786" s="1120">
        <f t="shared" si="950"/>
        <v>0</v>
      </c>
      <c r="BY786" s="1120">
        <f t="shared" si="951"/>
        <v>0</v>
      </c>
      <c r="BZ786" s="1120">
        <f t="shared" si="952"/>
        <v>0</v>
      </c>
      <c r="CA786" s="1120">
        <f t="shared" si="953"/>
        <v>1</v>
      </c>
      <c r="CB786" s="1120">
        <f t="shared" si="954"/>
        <v>1</v>
      </c>
      <c r="CC786" s="1120">
        <f t="shared" si="955"/>
        <v>1</v>
      </c>
      <c r="CD786" s="1120">
        <f t="shared" si="956"/>
        <v>1</v>
      </c>
      <c r="CE786" s="1120">
        <f t="shared" si="957"/>
        <v>1</v>
      </c>
      <c r="CF786" s="1120">
        <f t="shared" si="958"/>
        <v>0</v>
      </c>
      <c r="CG786" s="1120">
        <f t="shared" si="959"/>
        <v>0</v>
      </c>
      <c r="CH786" s="1120">
        <f t="shared" si="960"/>
        <v>0</v>
      </c>
      <c r="CI786" s="1120">
        <f t="shared" si="961"/>
        <v>0.85</v>
      </c>
      <c r="CJ786" s="1120">
        <f t="shared" si="962"/>
        <v>0.85</v>
      </c>
      <c r="CK786" s="1120">
        <f t="shared" si="963"/>
        <v>0.85</v>
      </c>
      <c r="CL786" s="1120">
        <f t="shared" si="964"/>
        <v>0.85</v>
      </c>
      <c r="CM786" s="1120">
        <f t="shared" si="965"/>
        <v>0.85</v>
      </c>
      <c r="CN786" s="1120">
        <f t="shared" si="966"/>
        <v>0.85</v>
      </c>
      <c r="CO786" s="1120">
        <f t="shared" si="967"/>
        <v>0.7</v>
      </c>
      <c r="CP786" s="1120">
        <f t="shared" si="968"/>
        <v>0.7</v>
      </c>
      <c r="CQ786" s="1120">
        <f t="shared" si="969"/>
        <v>0.85</v>
      </c>
      <c r="CR786" s="1120">
        <f t="shared" si="970"/>
        <v>0.85</v>
      </c>
      <c r="CS786" s="1120">
        <f t="shared" si="971"/>
        <v>0.85</v>
      </c>
      <c r="CT786" s="1120">
        <f t="shared" si="972"/>
        <v>0.85</v>
      </c>
      <c r="CU786" s="1120">
        <v>1</v>
      </c>
      <c r="CV786" s="1120"/>
      <c r="CW786" s="1120">
        <f t="shared" si="973"/>
        <v>153</v>
      </c>
      <c r="CX786" s="1120">
        <f t="shared" si="974"/>
        <v>212</v>
      </c>
      <c r="CY786" s="1136" t="s">
        <v>4889</v>
      </c>
      <c r="CZ786" s="1129" t="s">
        <v>4897</v>
      </c>
      <c r="DA786" s="1129"/>
      <c r="DB786" s="1129"/>
      <c r="DC786" s="1125" t="s">
        <v>5484</v>
      </c>
      <c r="DD786" s="1125" t="s">
        <v>537</v>
      </c>
      <c r="DE786" s="1120" t="str">
        <f t="shared" si="900"/>
        <v/>
      </c>
      <c r="DF786" s="1133">
        <v>1</v>
      </c>
      <c r="DG786" s="1120">
        <v>0</v>
      </c>
    </row>
    <row r="787" spans="1:111">
      <c r="A787" s="1125" t="s">
        <v>4272</v>
      </c>
      <c r="B787" s="1125" t="s">
        <v>3823</v>
      </c>
      <c r="C787" s="1125" t="s">
        <v>3824</v>
      </c>
      <c r="D787" s="1125" t="s">
        <v>934</v>
      </c>
      <c r="E787" s="1125">
        <v>1305</v>
      </c>
      <c r="F787" s="1125">
        <v>-92.5</v>
      </c>
      <c r="G787" s="1125">
        <v>43.9</v>
      </c>
      <c r="H787" s="1125">
        <v>-6</v>
      </c>
      <c r="I787" s="1126">
        <v>-9.219999313354494</v>
      </c>
      <c r="J787" s="1126">
        <v>85.1</v>
      </c>
      <c r="K787" s="1127">
        <v>71.960001373291021</v>
      </c>
      <c r="L787" s="1125">
        <v>8132.4000000000005</v>
      </c>
      <c r="M787" s="1125">
        <v>549</v>
      </c>
      <c r="N787" s="1128">
        <v>9.3199993133544918</v>
      </c>
      <c r="O787" s="1128">
        <v>18.140000343322754</v>
      </c>
      <c r="P787" s="1128">
        <v>32.540000021457672</v>
      </c>
      <c r="Q787" s="1128">
        <v>44.6</v>
      </c>
      <c r="R787" s="1128">
        <v>57.559999656677249</v>
      </c>
      <c r="S787" s="1128">
        <v>66.560001373291016</v>
      </c>
      <c r="T787" s="1128">
        <v>69.619999313354498</v>
      </c>
      <c r="U787" s="1128">
        <v>68</v>
      </c>
      <c r="V787" s="1128">
        <v>59.719999313354492</v>
      </c>
      <c r="W787" s="1128">
        <v>45.320000171661377</v>
      </c>
      <c r="X787" s="1128">
        <v>32</v>
      </c>
      <c r="Y787" s="1128">
        <v>18.320000171661377</v>
      </c>
      <c r="Z787" s="1128">
        <v>43.603835584398816</v>
      </c>
      <c r="AA787" s="1128">
        <f t="shared" si="901"/>
        <v>39.810839532633224</v>
      </c>
      <c r="AB787" s="1128">
        <f t="shared" si="902"/>
        <v>37.714726311258545</v>
      </c>
      <c r="AC787" s="1128">
        <f t="shared" si="903"/>
        <v>38.717692638647705</v>
      </c>
      <c r="AD787" s="1128">
        <f t="shared" si="904"/>
        <v>42.558299885387754</v>
      </c>
      <c r="AE787" s="1128">
        <f t="shared" si="905"/>
        <v>48.235434587066692</v>
      </c>
      <c r="AF787" s="1128">
        <f t="shared" si="906"/>
        <v>54.269264096397933</v>
      </c>
      <c r="AG787" s="1128">
        <f t="shared" si="907"/>
        <v>59.086977767646957</v>
      </c>
      <c r="AH787" s="1128">
        <f t="shared" si="908"/>
        <v>61.432764289187688</v>
      </c>
      <c r="AI787" s="1128">
        <f t="shared" si="909"/>
        <v>60.695158254516016</v>
      </c>
      <c r="AJ787" s="1128">
        <f t="shared" si="910"/>
        <v>57.066428043422164</v>
      </c>
      <c r="AK787" s="1128">
        <f t="shared" si="911"/>
        <v>51.492458105852997</v>
      </c>
      <c r="AL787" s="1128">
        <f t="shared" si="912"/>
        <v>45.426189603512761</v>
      </c>
      <c r="AM787" s="1125">
        <f t="shared" si="913"/>
        <v>1</v>
      </c>
      <c r="AN787" s="1125">
        <f t="shared" si="914"/>
        <v>1</v>
      </c>
      <c r="AO787" s="1125">
        <f t="shared" si="915"/>
        <v>1</v>
      </c>
      <c r="AP787" s="1125">
        <f t="shared" si="916"/>
        <v>1</v>
      </c>
      <c r="AQ787" s="1125">
        <f t="shared" si="917"/>
        <v>1</v>
      </c>
      <c r="AR787" s="1125">
        <f t="shared" si="918"/>
        <v>0</v>
      </c>
      <c r="AS787" s="1125">
        <f t="shared" si="919"/>
        <v>0</v>
      </c>
      <c r="AT787" s="1125">
        <f t="shared" si="920"/>
        <v>0</v>
      </c>
      <c r="AU787" s="1125">
        <f t="shared" si="921"/>
        <v>1</v>
      </c>
      <c r="AV787" s="1125">
        <f t="shared" si="922"/>
        <v>1</v>
      </c>
      <c r="AW787" s="1125">
        <f t="shared" si="923"/>
        <v>1</v>
      </c>
      <c r="AX787" s="1125">
        <f t="shared" si="924"/>
        <v>1</v>
      </c>
      <c r="AY787" s="1125">
        <f t="shared" si="925"/>
        <v>0</v>
      </c>
      <c r="AZ787" s="1125">
        <f t="shared" si="926"/>
        <v>0</v>
      </c>
      <c r="BA787" s="1125">
        <f t="shared" si="927"/>
        <v>0</v>
      </c>
      <c r="BB787" s="1125">
        <f t="shared" si="928"/>
        <v>0</v>
      </c>
      <c r="BC787" s="1125">
        <f t="shared" si="929"/>
        <v>0</v>
      </c>
      <c r="BD787" s="1125">
        <f t="shared" si="930"/>
        <v>1</v>
      </c>
      <c r="BE787" s="1125">
        <f t="shared" si="931"/>
        <v>1</v>
      </c>
      <c r="BF787" s="1125">
        <f t="shared" si="932"/>
        <v>1</v>
      </c>
      <c r="BG787" s="1125">
        <f t="shared" si="933"/>
        <v>0</v>
      </c>
      <c r="BH787" s="1125">
        <f t="shared" si="934"/>
        <v>0</v>
      </c>
      <c r="BI787" s="1125">
        <f t="shared" si="935"/>
        <v>0</v>
      </c>
      <c r="BJ787" s="1125">
        <f t="shared" si="936"/>
        <v>0</v>
      </c>
      <c r="BK787" s="1125">
        <f t="shared" si="937"/>
        <v>1</v>
      </c>
      <c r="BL787" s="1125">
        <f t="shared" si="938"/>
        <v>1</v>
      </c>
      <c r="BM787" s="1125">
        <f t="shared" si="939"/>
        <v>1</v>
      </c>
      <c r="BN787" s="1125">
        <f t="shared" si="940"/>
        <v>1</v>
      </c>
      <c r="BO787" s="1125">
        <f t="shared" si="941"/>
        <v>1</v>
      </c>
      <c r="BP787" s="1125">
        <f t="shared" si="942"/>
        <v>1</v>
      </c>
      <c r="BQ787" s="1125">
        <f t="shared" si="943"/>
        <v>0</v>
      </c>
      <c r="BR787" s="1125">
        <f t="shared" si="944"/>
        <v>0</v>
      </c>
      <c r="BS787" s="1125">
        <f t="shared" si="945"/>
        <v>1</v>
      </c>
      <c r="BT787" s="1125">
        <f t="shared" si="946"/>
        <v>1</v>
      </c>
      <c r="BU787" s="1125">
        <f t="shared" si="947"/>
        <v>1</v>
      </c>
      <c r="BV787" s="1125">
        <f t="shared" si="948"/>
        <v>1</v>
      </c>
      <c r="BW787" s="1125">
        <f t="shared" si="949"/>
        <v>0</v>
      </c>
      <c r="BX787" s="1125">
        <f t="shared" si="950"/>
        <v>0</v>
      </c>
      <c r="BY787" s="1125">
        <f t="shared" si="951"/>
        <v>0</v>
      </c>
      <c r="BZ787" s="1125">
        <f t="shared" si="952"/>
        <v>0</v>
      </c>
      <c r="CA787" s="1125">
        <f t="shared" si="953"/>
        <v>1</v>
      </c>
      <c r="CB787" s="1125">
        <f t="shared" si="954"/>
        <v>1</v>
      </c>
      <c r="CC787" s="1125">
        <f t="shared" si="955"/>
        <v>1</v>
      </c>
      <c r="CD787" s="1125">
        <f t="shared" si="956"/>
        <v>1</v>
      </c>
      <c r="CE787" s="1125">
        <f t="shared" si="957"/>
        <v>1</v>
      </c>
      <c r="CF787" s="1125">
        <f t="shared" si="958"/>
        <v>0</v>
      </c>
      <c r="CG787" s="1125">
        <f t="shared" si="959"/>
        <v>0</v>
      </c>
      <c r="CH787" s="1125">
        <f t="shared" si="960"/>
        <v>0</v>
      </c>
      <c r="CI787" s="1125">
        <f t="shared" si="961"/>
        <v>0.85</v>
      </c>
      <c r="CJ787" s="1125">
        <f t="shared" si="962"/>
        <v>0.85</v>
      </c>
      <c r="CK787" s="1125">
        <f t="shared" si="963"/>
        <v>0.85</v>
      </c>
      <c r="CL787" s="1125">
        <f t="shared" si="964"/>
        <v>0.85</v>
      </c>
      <c r="CM787" s="1125">
        <f t="shared" si="965"/>
        <v>0.85</v>
      </c>
      <c r="CN787" s="1125">
        <f t="shared" si="966"/>
        <v>0.85</v>
      </c>
      <c r="CO787" s="1125">
        <f t="shared" si="967"/>
        <v>0.7</v>
      </c>
      <c r="CP787" s="1125">
        <f t="shared" si="968"/>
        <v>0.7</v>
      </c>
      <c r="CQ787" s="1125">
        <f t="shared" si="969"/>
        <v>0.85</v>
      </c>
      <c r="CR787" s="1125">
        <f t="shared" si="970"/>
        <v>0.85</v>
      </c>
      <c r="CS787" s="1125">
        <f t="shared" si="971"/>
        <v>0.85</v>
      </c>
      <c r="CT787" s="1125">
        <f t="shared" si="972"/>
        <v>0.85</v>
      </c>
      <c r="CU787" s="1125">
        <v>1</v>
      </c>
      <c r="CV787" s="1125"/>
      <c r="CW787" s="1125">
        <f t="shared" si="973"/>
        <v>153</v>
      </c>
      <c r="CX787" s="1125">
        <f t="shared" si="974"/>
        <v>212</v>
      </c>
      <c r="CY787" s="1136" t="s">
        <v>4889</v>
      </c>
      <c r="CZ787" s="1129" t="s">
        <v>4899</v>
      </c>
      <c r="DA787" s="1129"/>
      <c r="DB787" s="1129"/>
      <c r="DC787" s="1125" t="s">
        <v>5339</v>
      </c>
      <c r="DD787" s="1125" t="s">
        <v>934</v>
      </c>
      <c r="DE787" s="1120" t="str">
        <f t="shared" si="900"/>
        <v/>
      </c>
      <c r="DF787" s="1133">
        <v>0</v>
      </c>
      <c r="DG787" s="1125">
        <v>0</v>
      </c>
    </row>
    <row r="788" spans="1:111">
      <c r="A788" s="1120" t="s">
        <v>4268</v>
      </c>
      <c r="B788" s="1120" t="s">
        <v>4673</v>
      </c>
      <c r="C788" s="1120" t="s">
        <v>4674</v>
      </c>
      <c r="D788" s="1120" t="s">
        <v>904</v>
      </c>
      <c r="E788" s="1120">
        <v>3280</v>
      </c>
      <c r="F788" s="1120">
        <v>-109.44</v>
      </c>
      <c r="G788" s="1120">
        <v>41.46</v>
      </c>
      <c r="H788" s="1120">
        <v>-7</v>
      </c>
      <c r="I788" s="1121">
        <v>0.31999931335449139</v>
      </c>
      <c r="J788" s="1121">
        <v>84.919999313354495</v>
      </c>
      <c r="K788" s="1122">
        <v>54.5</v>
      </c>
      <c r="L788" s="1120">
        <v>7831.8</v>
      </c>
      <c r="M788" s="1120">
        <v>268.2</v>
      </c>
      <c r="N788" s="1123">
        <v>23.540000343322752</v>
      </c>
      <c r="O788" s="1123">
        <v>25.520000171661376</v>
      </c>
      <c r="P788" s="1123">
        <v>32.360000005364419</v>
      </c>
      <c r="Q788" s="1123">
        <v>41</v>
      </c>
      <c r="R788" s="1123">
        <v>50.359999656677246</v>
      </c>
      <c r="S788" s="1123">
        <v>62.960001373291014</v>
      </c>
      <c r="T788" s="1123">
        <v>67.819999313354487</v>
      </c>
      <c r="U788" s="1123">
        <v>65.66000137329101</v>
      </c>
      <c r="V788" s="1123">
        <v>55.040000343322752</v>
      </c>
      <c r="W788" s="1123">
        <v>45.679999828338623</v>
      </c>
      <c r="X788" s="1123">
        <v>30.380000042915345</v>
      </c>
      <c r="Y788" s="1123">
        <v>22.279999828338624</v>
      </c>
      <c r="Z788" s="1123">
        <v>43.656602927127928</v>
      </c>
      <c r="AA788" s="1123">
        <f t="shared" si="901"/>
        <v>42.246155933809391</v>
      </c>
      <c r="AB788" s="1123">
        <f t="shared" si="902"/>
        <v>40.664943788939084</v>
      </c>
      <c r="AC788" s="1123">
        <f t="shared" si="903"/>
        <v>41.427546164099361</v>
      </c>
      <c r="AD788" s="1123">
        <f t="shared" si="904"/>
        <v>44.335178998146368</v>
      </c>
      <c r="AE788" s="1123">
        <f t="shared" si="905"/>
        <v>48.629922984907452</v>
      </c>
      <c r="AF788" s="1123">
        <f t="shared" si="906"/>
        <v>53.192286920225129</v>
      </c>
      <c r="AG788" s="1123">
        <f t="shared" si="907"/>
        <v>56.833020336202395</v>
      </c>
      <c r="AH788" s="1123">
        <f t="shared" si="908"/>
        <v>58.603109962564538</v>
      </c>
      <c r="AI788" s="1123">
        <f t="shared" si="909"/>
        <v>58.041154660293429</v>
      </c>
      <c r="AJ788" s="1123">
        <f t="shared" si="910"/>
        <v>55.293636738919368</v>
      </c>
      <c r="AK788" s="1123">
        <f t="shared" si="911"/>
        <v>51.076739085181316</v>
      </c>
      <c r="AL788" s="1123">
        <f t="shared" si="912"/>
        <v>46.489661056886</v>
      </c>
      <c r="AM788" s="1120">
        <f t="shared" si="913"/>
        <v>1</v>
      </c>
      <c r="AN788" s="1120">
        <f t="shared" si="914"/>
        <v>1</v>
      </c>
      <c r="AO788" s="1120">
        <f t="shared" si="915"/>
        <v>1</v>
      </c>
      <c r="AP788" s="1120">
        <f t="shared" si="916"/>
        <v>1</v>
      </c>
      <c r="AQ788" s="1120">
        <f t="shared" si="917"/>
        <v>1</v>
      </c>
      <c r="AR788" s="1120">
        <f t="shared" si="918"/>
        <v>1</v>
      </c>
      <c r="AS788" s="1120">
        <f t="shared" si="919"/>
        <v>0</v>
      </c>
      <c r="AT788" s="1120">
        <f t="shared" si="920"/>
        <v>1</v>
      </c>
      <c r="AU788" s="1120">
        <f t="shared" si="921"/>
        <v>1</v>
      </c>
      <c r="AV788" s="1120">
        <f t="shared" si="922"/>
        <v>1</v>
      </c>
      <c r="AW788" s="1120">
        <f t="shared" si="923"/>
        <v>1</v>
      </c>
      <c r="AX788" s="1120">
        <f t="shared" si="924"/>
        <v>1</v>
      </c>
      <c r="AY788" s="1120">
        <f t="shared" si="925"/>
        <v>0</v>
      </c>
      <c r="AZ788" s="1120">
        <f t="shared" si="926"/>
        <v>0</v>
      </c>
      <c r="BA788" s="1120">
        <f t="shared" si="927"/>
        <v>0</v>
      </c>
      <c r="BB788" s="1120">
        <f t="shared" si="928"/>
        <v>0</v>
      </c>
      <c r="BC788" s="1120">
        <f t="shared" si="929"/>
        <v>0</v>
      </c>
      <c r="BD788" s="1120">
        <f t="shared" si="930"/>
        <v>0</v>
      </c>
      <c r="BE788" s="1120">
        <f t="shared" si="931"/>
        <v>1</v>
      </c>
      <c r="BF788" s="1120">
        <f t="shared" si="932"/>
        <v>1</v>
      </c>
      <c r="BG788" s="1120">
        <f t="shared" si="933"/>
        <v>0</v>
      </c>
      <c r="BH788" s="1120">
        <f t="shared" si="934"/>
        <v>0</v>
      </c>
      <c r="BI788" s="1120">
        <f t="shared" si="935"/>
        <v>0</v>
      </c>
      <c r="BJ788" s="1120">
        <f t="shared" si="936"/>
        <v>0</v>
      </c>
      <c r="BK788" s="1120">
        <f t="shared" si="937"/>
        <v>1</v>
      </c>
      <c r="BL788" s="1120">
        <f t="shared" si="938"/>
        <v>1</v>
      </c>
      <c r="BM788" s="1120">
        <f t="shared" si="939"/>
        <v>1</v>
      </c>
      <c r="BN788" s="1120">
        <f t="shared" si="940"/>
        <v>1</v>
      </c>
      <c r="BO788" s="1120">
        <f t="shared" si="941"/>
        <v>1</v>
      </c>
      <c r="BP788" s="1120">
        <f t="shared" si="942"/>
        <v>1</v>
      </c>
      <c r="BQ788" s="1120">
        <f t="shared" si="943"/>
        <v>1</v>
      </c>
      <c r="BR788" s="1120">
        <f t="shared" si="944"/>
        <v>1</v>
      </c>
      <c r="BS788" s="1120">
        <f t="shared" si="945"/>
        <v>1</v>
      </c>
      <c r="BT788" s="1120">
        <f t="shared" si="946"/>
        <v>1</v>
      </c>
      <c r="BU788" s="1120">
        <f t="shared" si="947"/>
        <v>1</v>
      </c>
      <c r="BV788" s="1120">
        <f t="shared" si="948"/>
        <v>1</v>
      </c>
      <c r="BW788" s="1120">
        <f t="shared" si="949"/>
        <v>0</v>
      </c>
      <c r="BX788" s="1120">
        <f t="shared" si="950"/>
        <v>0</v>
      </c>
      <c r="BY788" s="1120">
        <f t="shared" si="951"/>
        <v>0</v>
      </c>
      <c r="BZ788" s="1120">
        <f t="shared" si="952"/>
        <v>0</v>
      </c>
      <c r="CA788" s="1120">
        <f t="shared" si="953"/>
        <v>0</v>
      </c>
      <c r="CB788" s="1120">
        <f t="shared" si="954"/>
        <v>1</v>
      </c>
      <c r="CC788" s="1120">
        <f t="shared" si="955"/>
        <v>1</v>
      </c>
      <c r="CD788" s="1120">
        <f t="shared" si="956"/>
        <v>1</v>
      </c>
      <c r="CE788" s="1120">
        <f t="shared" si="957"/>
        <v>0</v>
      </c>
      <c r="CF788" s="1120">
        <f t="shared" si="958"/>
        <v>0</v>
      </c>
      <c r="CG788" s="1120">
        <f t="shared" si="959"/>
        <v>0</v>
      </c>
      <c r="CH788" s="1120">
        <f t="shared" si="960"/>
        <v>0</v>
      </c>
      <c r="CI788" s="1120">
        <f t="shared" si="961"/>
        <v>0.85</v>
      </c>
      <c r="CJ788" s="1120">
        <f t="shared" si="962"/>
        <v>0.85</v>
      </c>
      <c r="CK788" s="1120">
        <f t="shared" si="963"/>
        <v>0.85</v>
      </c>
      <c r="CL788" s="1120">
        <f t="shared" si="964"/>
        <v>0.85</v>
      </c>
      <c r="CM788" s="1120">
        <f t="shared" si="965"/>
        <v>0.85</v>
      </c>
      <c r="CN788" s="1120">
        <f t="shared" si="966"/>
        <v>0.85</v>
      </c>
      <c r="CO788" s="1120">
        <f t="shared" si="967"/>
        <v>0.85</v>
      </c>
      <c r="CP788" s="1120">
        <f t="shared" si="968"/>
        <v>0.85</v>
      </c>
      <c r="CQ788" s="1120">
        <f t="shared" si="969"/>
        <v>0.85</v>
      </c>
      <c r="CR788" s="1120">
        <f t="shared" si="970"/>
        <v>0.85</v>
      </c>
      <c r="CS788" s="1120">
        <f t="shared" si="971"/>
        <v>0.85</v>
      </c>
      <c r="CT788" s="1120">
        <f t="shared" si="972"/>
        <v>0.85</v>
      </c>
      <c r="CU788" s="1120">
        <v>1</v>
      </c>
      <c r="CV788" s="1120"/>
      <c r="CW788" s="1120">
        <f t="shared" si="973"/>
        <v>92</v>
      </c>
      <c r="CX788" s="1120">
        <f t="shared" si="974"/>
        <v>273</v>
      </c>
      <c r="CY788" s="1136" t="s">
        <v>4889</v>
      </c>
      <c r="CZ788" s="1129" t="s">
        <v>4896</v>
      </c>
      <c r="DA788" s="1129"/>
      <c r="DB788" s="1129"/>
      <c r="DC788" s="1125" t="s">
        <v>5702</v>
      </c>
      <c r="DD788" s="1125" t="s">
        <v>904</v>
      </c>
      <c r="DE788" s="1120" t="b">
        <f t="shared" ref="DE788:DE851" si="975">IF(AND(C788=DC788,D788=DD788),"",FALSE)</f>
        <v>0</v>
      </c>
      <c r="DF788" s="1133">
        <v>0</v>
      </c>
      <c r="DG788" s="1120">
        <v>0</v>
      </c>
    </row>
    <row r="789" spans="1:111">
      <c r="A789" s="1125" t="s">
        <v>4276</v>
      </c>
      <c r="B789" s="1125" t="s">
        <v>3521</v>
      </c>
      <c r="C789" s="1125" t="s">
        <v>3522</v>
      </c>
      <c r="D789" s="1125" t="s">
        <v>932</v>
      </c>
      <c r="E789" s="1125">
        <v>731</v>
      </c>
      <c r="F789" s="1125">
        <v>-89.1</v>
      </c>
      <c r="G789" s="1125">
        <v>42.2</v>
      </c>
      <c r="H789" s="1125">
        <v>-6</v>
      </c>
      <c r="I789" s="1126">
        <v>-1.6600013732910164</v>
      </c>
      <c r="J789" s="1126">
        <v>88.519999313354489</v>
      </c>
      <c r="K789" s="1127">
        <v>73.760001373291018</v>
      </c>
      <c r="L789" s="1125">
        <v>6985.8</v>
      </c>
      <c r="M789" s="1125">
        <v>856.80000000000007</v>
      </c>
      <c r="N789" s="1128">
        <v>15.980000686645507</v>
      </c>
      <c r="O789" s="1128">
        <v>20.120000171661378</v>
      </c>
      <c r="P789" s="1128">
        <v>36.5</v>
      </c>
      <c r="Q789" s="1128">
        <v>48.740000343322755</v>
      </c>
      <c r="R789" s="1128">
        <v>60.8</v>
      </c>
      <c r="S789" s="1128">
        <v>68.539998626708979</v>
      </c>
      <c r="T789" s="1128">
        <v>74.480000686645511</v>
      </c>
      <c r="U789" s="1128">
        <v>71.239998626708982</v>
      </c>
      <c r="V789" s="1128">
        <v>64.039998626708979</v>
      </c>
      <c r="W789" s="1128">
        <v>49.640000343322754</v>
      </c>
      <c r="X789" s="1128">
        <v>35.6</v>
      </c>
      <c r="Y789" s="1128">
        <v>23.720000171661376</v>
      </c>
      <c r="Z789" s="1128">
        <v>47.600328626502048</v>
      </c>
      <c r="AA789" s="1128">
        <f t="shared" si="901"/>
        <v>42.664217451314748</v>
      </c>
      <c r="AB789" s="1128">
        <f t="shared" si="902"/>
        <v>40.850931852768255</v>
      </c>
      <c r="AC789" s="1128">
        <f t="shared" si="903"/>
        <v>42.360972997446993</v>
      </c>
      <c r="AD789" s="1128">
        <f t="shared" si="904"/>
        <v>46.800725390551996</v>
      </c>
      <c r="AE789" s="1128">
        <f t="shared" si="905"/>
        <v>53.012899152165069</v>
      </c>
      <c r="AF789" s="1128">
        <f t="shared" si="906"/>
        <v>59.378195458826291</v>
      </c>
      <c r="AG789" s="1128">
        <f t="shared" si="907"/>
        <v>64.237401736019109</v>
      </c>
      <c r="AH789" s="1128">
        <f t="shared" si="908"/>
        <v>66.323890984957799</v>
      </c>
      <c r="AI789" s="1128">
        <f t="shared" si="909"/>
        <v>65.093787629133885</v>
      </c>
      <c r="AJ789" s="1128">
        <f t="shared" si="910"/>
        <v>60.867737064709388</v>
      </c>
      <c r="AK789" s="1128">
        <f t="shared" si="911"/>
        <v>54.747324496712082</v>
      </c>
      <c r="AL789" s="1128">
        <f t="shared" si="912"/>
        <v>48.327929779403128</v>
      </c>
      <c r="AM789" s="1125">
        <f t="shared" si="913"/>
        <v>1</v>
      </c>
      <c r="AN789" s="1125">
        <f t="shared" si="914"/>
        <v>1</v>
      </c>
      <c r="AO789" s="1125">
        <f t="shared" si="915"/>
        <v>1</v>
      </c>
      <c r="AP789" s="1125">
        <f t="shared" si="916"/>
        <v>1</v>
      </c>
      <c r="AQ789" s="1125">
        <f t="shared" si="917"/>
        <v>1</v>
      </c>
      <c r="AR789" s="1125">
        <f t="shared" si="918"/>
        <v>0</v>
      </c>
      <c r="AS789" s="1125">
        <f t="shared" si="919"/>
        <v>0</v>
      </c>
      <c r="AT789" s="1125">
        <f t="shared" si="920"/>
        <v>0</v>
      </c>
      <c r="AU789" s="1125">
        <f t="shared" si="921"/>
        <v>1</v>
      </c>
      <c r="AV789" s="1125">
        <f t="shared" si="922"/>
        <v>1</v>
      </c>
      <c r="AW789" s="1125">
        <f t="shared" si="923"/>
        <v>1</v>
      </c>
      <c r="AX789" s="1125">
        <f t="shared" si="924"/>
        <v>1</v>
      </c>
      <c r="AY789" s="1125">
        <f t="shared" si="925"/>
        <v>0</v>
      </c>
      <c r="AZ789" s="1125">
        <f t="shared" si="926"/>
        <v>0</v>
      </c>
      <c r="BA789" s="1125">
        <f t="shared" si="927"/>
        <v>0</v>
      </c>
      <c r="BB789" s="1125">
        <f t="shared" si="928"/>
        <v>0</v>
      </c>
      <c r="BC789" s="1125">
        <f t="shared" si="929"/>
        <v>0</v>
      </c>
      <c r="BD789" s="1125">
        <f t="shared" si="930"/>
        <v>1</v>
      </c>
      <c r="BE789" s="1125">
        <f t="shared" si="931"/>
        <v>1</v>
      </c>
      <c r="BF789" s="1125">
        <f t="shared" si="932"/>
        <v>1</v>
      </c>
      <c r="BG789" s="1125">
        <f t="shared" si="933"/>
        <v>0</v>
      </c>
      <c r="BH789" s="1125">
        <f t="shared" si="934"/>
        <v>0</v>
      </c>
      <c r="BI789" s="1125">
        <f t="shared" si="935"/>
        <v>0</v>
      </c>
      <c r="BJ789" s="1125">
        <f t="shared" si="936"/>
        <v>0</v>
      </c>
      <c r="BK789" s="1125">
        <f t="shared" si="937"/>
        <v>1</v>
      </c>
      <c r="BL789" s="1125">
        <f t="shared" si="938"/>
        <v>1</v>
      </c>
      <c r="BM789" s="1125">
        <f t="shared" si="939"/>
        <v>1</v>
      </c>
      <c r="BN789" s="1125">
        <f t="shared" si="940"/>
        <v>1</v>
      </c>
      <c r="BO789" s="1125">
        <f t="shared" si="941"/>
        <v>1</v>
      </c>
      <c r="BP789" s="1125">
        <f t="shared" si="942"/>
        <v>1</v>
      </c>
      <c r="BQ789" s="1125">
        <f t="shared" si="943"/>
        <v>0</v>
      </c>
      <c r="BR789" s="1125">
        <f t="shared" si="944"/>
        <v>0</v>
      </c>
      <c r="BS789" s="1125">
        <f t="shared" si="945"/>
        <v>1</v>
      </c>
      <c r="BT789" s="1125">
        <f t="shared" si="946"/>
        <v>1</v>
      </c>
      <c r="BU789" s="1125">
        <f t="shared" si="947"/>
        <v>1</v>
      </c>
      <c r="BV789" s="1125">
        <f t="shared" si="948"/>
        <v>1</v>
      </c>
      <c r="BW789" s="1125">
        <f t="shared" si="949"/>
        <v>0</v>
      </c>
      <c r="BX789" s="1125">
        <f t="shared" si="950"/>
        <v>0</v>
      </c>
      <c r="BY789" s="1125">
        <f t="shared" si="951"/>
        <v>0</v>
      </c>
      <c r="BZ789" s="1125">
        <f t="shared" si="952"/>
        <v>0</v>
      </c>
      <c r="CA789" s="1125">
        <f t="shared" si="953"/>
        <v>1</v>
      </c>
      <c r="CB789" s="1125">
        <f t="shared" si="954"/>
        <v>1</v>
      </c>
      <c r="CC789" s="1125">
        <f t="shared" si="955"/>
        <v>1</v>
      </c>
      <c r="CD789" s="1125">
        <f t="shared" si="956"/>
        <v>1</v>
      </c>
      <c r="CE789" s="1125">
        <f t="shared" si="957"/>
        <v>1</v>
      </c>
      <c r="CF789" s="1125">
        <f t="shared" si="958"/>
        <v>0</v>
      </c>
      <c r="CG789" s="1125">
        <f t="shared" si="959"/>
        <v>0</v>
      </c>
      <c r="CH789" s="1125">
        <f t="shared" si="960"/>
        <v>0</v>
      </c>
      <c r="CI789" s="1125">
        <f t="shared" si="961"/>
        <v>0.85</v>
      </c>
      <c r="CJ789" s="1125">
        <f t="shared" si="962"/>
        <v>0.85</v>
      </c>
      <c r="CK789" s="1125">
        <f t="shared" si="963"/>
        <v>0.85</v>
      </c>
      <c r="CL789" s="1125">
        <f t="shared" si="964"/>
        <v>0.85</v>
      </c>
      <c r="CM789" s="1125">
        <f t="shared" si="965"/>
        <v>0.85</v>
      </c>
      <c r="CN789" s="1125">
        <f t="shared" si="966"/>
        <v>0.85</v>
      </c>
      <c r="CO789" s="1125">
        <f t="shared" si="967"/>
        <v>0.7</v>
      </c>
      <c r="CP789" s="1125">
        <f t="shared" si="968"/>
        <v>0.7</v>
      </c>
      <c r="CQ789" s="1125">
        <f t="shared" si="969"/>
        <v>0.85</v>
      </c>
      <c r="CR789" s="1125">
        <f t="shared" si="970"/>
        <v>0.85</v>
      </c>
      <c r="CS789" s="1125">
        <f t="shared" si="971"/>
        <v>0.85</v>
      </c>
      <c r="CT789" s="1125">
        <f t="shared" si="972"/>
        <v>0.85</v>
      </c>
      <c r="CU789" s="1125">
        <v>1</v>
      </c>
      <c r="CV789" s="1125"/>
      <c r="CW789" s="1125">
        <f t="shared" si="973"/>
        <v>153</v>
      </c>
      <c r="CX789" s="1125">
        <f t="shared" si="974"/>
        <v>212</v>
      </c>
      <c r="CY789" s="1135" t="s">
        <v>4889</v>
      </c>
      <c r="CZ789" s="1124" t="s">
        <v>4897</v>
      </c>
      <c r="DA789" s="1124"/>
      <c r="DB789" s="1124"/>
      <c r="DC789" s="1120" t="s">
        <v>5211</v>
      </c>
      <c r="DD789" s="1120" t="s">
        <v>932</v>
      </c>
      <c r="DE789" s="1120" t="str">
        <f t="shared" si="975"/>
        <v/>
      </c>
      <c r="DF789" s="1133">
        <v>0</v>
      </c>
      <c r="DG789" s="1125">
        <v>0</v>
      </c>
    </row>
    <row r="790" spans="1:111">
      <c r="A790" s="1120" t="s">
        <v>4274</v>
      </c>
      <c r="B790" s="1120" t="s">
        <v>3703</v>
      </c>
      <c r="C790" s="1120" t="s">
        <v>3704</v>
      </c>
      <c r="D790" s="1120" t="s">
        <v>903</v>
      </c>
      <c r="E790" s="1120">
        <v>56</v>
      </c>
      <c r="F790" s="1120">
        <v>-69.099999999999994</v>
      </c>
      <c r="G790" s="1120">
        <v>44.07</v>
      </c>
      <c r="H790" s="1120">
        <v>-5</v>
      </c>
      <c r="I790" s="1121">
        <v>2.4800006866455071</v>
      </c>
      <c r="J790" s="1121">
        <v>78.8</v>
      </c>
      <c r="K790" s="1122">
        <v>66.2</v>
      </c>
      <c r="L790" s="1120">
        <v>7110</v>
      </c>
      <c r="M790" s="1120">
        <v>228.6</v>
      </c>
      <c r="N790" s="1123">
        <v>27.860000085830688</v>
      </c>
      <c r="O790" s="1123">
        <v>24.620000171661378</v>
      </c>
      <c r="P790" s="1123">
        <v>32.9</v>
      </c>
      <c r="Q790" s="1123">
        <v>38.47999982833862</v>
      </c>
      <c r="R790" s="1123">
        <v>49.819999313354494</v>
      </c>
      <c r="S790" s="1123">
        <v>61.880000686645509</v>
      </c>
      <c r="T790" s="1123">
        <v>61.7</v>
      </c>
      <c r="U790" s="1123">
        <v>64.939998626708984</v>
      </c>
      <c r="V790" s="1123">
        <v>61.339998626708983</v>
      </c>
      <c r="W790" s="1123">
        <v>50</v>
      </c>
      <c r="X790" s="1123">
        <v>39.379999828338626</v>
      </c>
      <c r="Y790" s="1123">
        <v>32.180000002682206</v>
      </c>
      <c r="Z790" s="1123">
        <v>45.542903870666677</v>
      </c>
      <c r="AA790" s="1123">
        <f t="shared" si="901"/>
        <v>44.518096961347673</v>
      </c>
      <c r="AB790" s="1123">
        <f t="shared" si="902"/>
        <v>43.182671787031467</v>
      </c>
      <c r="AC790" s="1123">
        <f t="shared" si="903"/>
        <v>44.026469940391003</v>
      </c>
      <c r="AD790" s="1123">
        <f t="shared" si="904"/>
        <v>46.829542429429949</v>
      </c>
      <c r="AE790" s="1123">
        <f t="shared" si="905"/>
        <v>50.861225213225701</v>
      </c>
      <c r="AF790" s="1123">
        <f t="shared" si="906"/>
        <v>55.070598044069548</v>
      </c>
      <c r="AG790" s="1123">
        <f t="shared" si="907"/>
        <v>58.360423025203154</v>
      </c>
      <c r="AH790" s="1123">
        <f t="shared" si="908"/>
        <v>59.873156577556479</v>
      </c>
      <c r="AI790" s="1123">
        <f t="shared" si="909"/>
        <v>59.214481388778943</v>
      </c>
      <c r="AJ790" s="1123">
        <f t="shared" si="910"/>
        <v>56.556091297317323</v>
      </c>
      <c r="AK790" s="1123">
        <f t="shared" si="911"/>
        <v>52.590936647542463</v>
      </c>
      <c r="AL790" s="1123">
        <f t="shared" si="912"/>
        <v>48.352596103800963</v>
      </c>
      <c r="AM790" s="1120">
        <f t="shared" si="913"/>
        <v>1</v>
      </c>
      <c r="AN790" s="1120">
        <f t="shared" si="914"/>
        <v>1</v>
      </c>
      <c r="AO790" s="1120">
        <f t="shared" si="915"/>
        <v>1</v>
      </c>
      <c r="AP790" s="1120">
        <f t="shared" si="916"/>
        <v>1</v>
      </c>
      <c r="AQ790" s="1120">
        <f t="shared" si="917"/>
        <v>1</v>
      </c>
      <c r="AR790" s="1120">
        <f t="shared" si="918"/>
        <v>1</v>
      </c>
      <c r="AS790" s="1120">
        <f t="shared" si="919"/>
        <v>1</v>
      </c>
      <c r="AT790" s="1120">
        <f t="shared" si="920"/>
        <v>1</v>
      </c>
      <c r="AU790" s="1120">
        <f t="shared" si="921"/>
        <v>1</v>
      </c>
      <c r="AV790" s="1120">
        <f t="shared" si="922"/>
        <v>1</v>
      </c>
      <c r="AW790" s="1120">
        <f t="shared" si="923"/>
        <v>1</v>
      </c>
      <c r="AX790" s="1120">
        <f t="shared" si="924"/>
        <v>1</v>
      </c>
      <c r="AY790" s="1120">
        <f t="shared" si="925"/>
        <v>0</v>
      </c>
      <c r="AZ790" s="1120">
        <f t="shared" si="926"/>
        <v>0</v>
      </c>
      <c r="BA790" s="1120">
        <f t="shared" si="927"/>
        <v>0</v>
      </c>
      <c r="BB790" s="1120">
        <f t="shared" si="928"/>
        <v>0</v>
      </c>
      <c r="BC790" s="1120">
        <f t="shared" si="929"/>
        <v>0</v>
      </c>
      <c r="BD790" s="1120">
        <f t="shared" si="930"/>
        <v>0</v>
      </c>
      <c r="BE790" s="1120">
        <f t="shared" si="931"/>
        <v>1</v>
      </c>
      <c r="BF790" s="1120">
        <f t="shared" si="932"/>
        <v>1</v>
      </c>
      <c r="BG790" s="1120">
        <f t="shared" si="933"/>
        <v>0</v>
      </c>
      <c r="BH790" s="1120">
        <f t="shared" si="934"/>
        <v>0</v>
      </c>
      <c r="BI790" s="1120">
        <f t="shared" si="935"/>
        <v>0</v>
      </c>
      <c r="BJ790" s="1120">
        <f t="shared" si="936"/>
        <v>0</v>
      </c>
      <c r="BK790" s="1120">
        <f t="shared" si="937"/>
        <v>1</v>
      </c>
      <c r="BL790" s="1120">
        <f t="shared" si="938"/>
        <v>1</v>
      </c>
      <c r="BM790" s="1120">
        <f t="shared" si="939"/>
        <v>1</v>
      </c>
      <c r="BN790" s="1120">
        <f t="shared" si="940"/>
        <v>1</v>
      </c>
      <c r="BO790" s="1120">
        <f t="shared" si="941"/>
        <v>1</v>
      </c>
      <c r="BP790" s="1120">
        <f t="shared" si="942"/>
        <v>1</v>
      </c>
      <c r="BQ790" s="1120">
        <f t="shared" si="943"/>
        <v>1</v>
      </c>
      <c r="BR790" s="1120">
        <f t="shared" si="944"/>
        <v>1</v>
      </c>
      <c r="BS790" s="1120">
        <f t="shared" si="945"/>
        <v>1</v>
      </c>
      <c r="BT790" s="1120">
        <f t="shared" si="946"/>
        <v>1</v>
      </c>
      <c r="BU790" s="1120">
        <f t="shared" si="947"/>
        <v>1</v>
      </c>
      <c r="BV790" s="1120">
        <f t="shared" si="948"/>
        <v>1</v>
      </c>
      <c r="BW790" s="1120">
        <f t="shared" si="949"/>
        <v>0</v>
      </c>
      <c r="BX790" s="1120">
        <f t="shared" si="950"/>
        <v>0</v>
      </c>
      <c r="BY790" s="1120">
        <f t="shared" si="951"/>
        <v>0</v>
      </c>
      <c r="BZ790" s="1120">
        <f t="shared" si="952"/>
        <v>0</v>
      </c>
      <c r="CA790" s="1120">
        <f t="shared" si="953"/>
        <v>0</v>
      </c>
      <c r="CB790" s="1120">
        <f t="shared" si="954"/>
        <v>0</v>
      </c>
      <c r="CC790" s="1120">
        <f t="shared" si="955"/>
        <v>1</v>
      </c>
      <c r="CD790" s="1120">
        <f t="shared" si="956"/>
        <v>1</v>
      </c>
      <c r="CE790" s="1120">
        <f t="shared" si="957"/>
        <v>0</v>
      </c>
      <c r="CF790" s="1120">
        <f t="shared" si="958"/>
        <v>0</v>
      </c>
      <c r="CG790" s="1120">
        <f t="shared" si="959"/>
        <v>0</v>
      </c>
      <c r="CH790" s="1120">
        <f t="shared" si="960"/>
        <v>0</v>
      </c>
      <c r="CI790" s="1120">
        <f t="shared" si="961"/>
        <v>0.85</v>
      </c>
      <c r="CJ790" s="1120">
        <f t="shared" si="962"/>
        <v>0.85</v>
      </c>
      <c r="CK790" s="1120">
        <f t="shared" si="963"/>
        <v>0.85</v>
      </c>
      <c r="CL790" s="1120">
        <f t="shared" si="964"/>
        <v>0.85</v>
      </c>
      <c r="CM790" s="1120">
        <f t="shared" si="965"/>
        <v>0.85</v>
      </c>
      <c r="CN790" s="1120">
        <f t="shared" si="966"/>
        <v>0.85</v>
      </c>
      <c r="CO790" s="1120">
        <f t="shared" si="967"/>
        <v>0.85</v>
      </c>
      <c r="CP790" s="1120">
        <f t="shared" si="968"/>
        <v>0.85</v>
      </c>
      <c r="CQ790" s="1120">
        <f t="shared" si="969"/>
        <v>0.85</v>
      </c>
      <c r="CR790" s="1120">
        <f t="shared" si="970"/>
        <v>0.85</v>
      </c>
      <c r="CS790" s="1120">
        <f t="shared" si="971"/>
        <v>0.85</v>
      </c>
      <c r="CT790" s="1120">
        <f t="shared" si="972"/>
        <v>0.85</v>
      </c>
      <c r="CU790" s="1120">
        <v>1</v>
      </c>
      <c r="CV790" s="1120"/>
      <c r="CW790" s="1120">
        <f t="shared" si="973"/>
        <v>62</v>
      </c>
      <c r="CX790" s="1120">
        <f t="shared" si="974"/>
        <v>303</v>
      </c>
      <c r="CY790" s="1135" t="s">
        <v>4889</v>
      </c>
      <c r="CZ790" s="1124" t="s">
        <v>4899</v>
      </c>
      <c r="DA790" s="1124"/>
      <c r="DB790" s="1124"/>
      <c r="DC790" s="1120" t="s">
        <v>5973</v>
      </c>
      <c r="DD790" s="1120" t="s">
        <v>903</v>
      </c>
      <c r="DE790" s="1120" t="b">
        <f t="shared" si="975"/>
        <v>0</v>
      </c>
      <c r="DF790" s="1133">
        <v>0</v>
      </c>
      <c r="DG790" s="1120">
        <v>0</v>
      </c>
    </row>
    <row r="791" spans="1:111">
      <c r="A791" s="1125" t="s">
        <v>4278</v>
      </c>
      <c r="B791" s="1120" t="s">
        <v>4442</v>
      </c>
      <c r="C791" s="1120" t="s">
        <v>4443</v>
      </c>
      <c r="D791" s="1120" t="s">
        <v>228</v>
      </c>
      <c r="E791" s="1120">
        <v>26</v>
      </c>
      <c r="F791" s="1120">
        <v>-97.05</v>
      </c>
      <c r="G791" s="1120">
        <v>28.08</v>
      </c>
      <c r="H791" s="1120">
        <v>-6</v>
      </c>
      <c r="I791" s="1121">
        <v>39.02000017166138</v>
      </c>
      <c r="J791" s="1121">
        <v>91.22000274658204</v>
      </c>
      <c r="K791" s="1122">
        <v>79.16000137329101</v>
      </c>
      <c r="L791" s="1120">
        <v>630</v>
      </c>
      <c r="M791" s="1120">
        <v>3634.2000000000003</v>
      </c>
      <c r="N791" s="1123">
        <v>58.280000686645508</v>
      </c>
      <c r="O791" s="1123">
        <v>61.339998626708983</v>
      </c>
      <c r="P791" s="1123">
        <v>65.3</v>
      </c>
      <c r="Q791" s="1123">
        <v>72.860001373291013</v>
      </c>
      <c r="R791" s="1123">
        <v>77.719999313354492</v>
      </c>
      <c r="S791" s="1123">
        <v>82.760001373291018</v>
      </c>
      <c r="T791" s="1123">
        <v>84.919999313354495</v>
      </c>
      <c r="U791" s="1123">
        <v>84.2</v>
      </c>
      <c r="V791" s="1123">
        <v>81.139998626708987</v>
      </c>
      <c r="W791" s="1123">
        <v>73.400000000000006</v>
      </c>
      <c r="X791" s="1123">
        <v>68.360001373291013</v>
      </c>
      <c r="Y791" s="1123">
        <v>60.8</v>
      </c>
      <c r="Z791" s="1123">
        <v>72.642027459340554</v>
      </c>
      <c r="AA791" s="1123">
        <f t="shared" si="901"/>
        <v>69.553583371828594</v>
      </c>
      <c r="AB791" s="1123">
        <f t="shared" si="902"/>
        <v>70.245261142132307</v>
      </c>
      <c r="AC791" s="1123">
        <f t="shared" si="903"/>
        <v>73.125685451102157</v>
      </c>
      <c r="AD791" s="1123">
        <f t="shared" si="904"/>
        <v>77.444029313922897</v>
      </c>
      <c r="AE791" s="1123">
        <f t="shared" si="905"/>
        <v>82.074649855057004</v>
      </c>
      <c r="AF791" s="1123">
        <f t="shared" si="906"/>
        <v>85.810504470435291</v>
      </c>
      <c r="AG791" s="1123">
        <f t="shared" si="907"/>
        <v>87.677785083297096</v>
      </c>
      <c r="AH791" s="1123">
        <f t="shared" si="908"/>
        <v>87.189756226234721</v>
      </c>
      <c r="AI791" s="1123">
        <f t="shared" si="909"/>
        <v>84.47363014159383</v>
      </c>
      <c r="AJ791" s="1123">
        <f t="shared" si="910"/>
        <v>80.237406950106006</v>
      </c>
      <c r="AK791" s="1123">
        <f t="shared" si="911"/>
        <v>75.585323508808017</v>
      </c>
      <c r="AL791" s="1123">
        <f t="shared" si="912"/>
        <v>71.730017057450084</v>
      </c>
      <c r="AM791" s="1120">
        <f t="shared" si="913"/>
        <v>1</v>
      </c>
      <c r="AN791" s="1120">
        <f t="shared" si="914"/>
        <v>1</v>
      </c>
      <c r="AO791" s="1120">
        <f t="shared" si="915"/>
        <v>1</v>
      </c>
      <c r="AP791" s="1120">
        <f t="shared" si="916"/>
        <v>0</v>
      </c>
      <c r="AQ791" s="1120">
        <f t="shared" si="917"/>
        <v>0</v>
      </c>
      <c r="AR791" s="1120">
        <f t="shared" si="918"/>
        <v>0</v>
      </c>
      <c r="AS791" s="1120">
        <f t="shared" si="919"/>
        <v>0</v>
      </c>
      <c r="AT791" s="1120">
        <f t="shared" si="920"/>
        <v>0</v>
      </c>
      <c r="AU791" s="1120">
        <f t="shared" si="921"/>
        <v>0</v>
      </c>
      <c r="AV791" s="1120">
        <f t="shared" si="922"/>
        <v>0</v>
      </c>
      <c r="AW791" s="1120">
        <f t="shared" si="923"/>
        <v>0</v>
      </c>
      <c r="AX791" s="1120">
        <f t="shared" si="924"/>
        <v>1</v>
      </c>
      <c r="AY791" s="1120">
        <f t="shared" si="925"/>
        <v>0</v>
      </c>
      <c r="AZ791" s="1120">
        <f t="shared" si="926"/>
        <v>0</v>
      </c>
      <c r="BA791" s="1120">
        <f t="shared" si="927"/>
        <v>0</v>
      </c>
      <c r="BB791" s="1120">
        <f t="shared" si="928"/>
        <v>1</v>
      </c>
      <c r="BC791" s="1120">
        <f t="shared" si="929"/>
        <v>1</v>
      </c>
      <c r="BD791" s="1120">
        <f t="shared" si="930"/>
        <v>1</v>
      </c>
      <c r="BE791" s="1120">
        <f t="shared" si="931"/>
        <v>1</v>
      </c>
      <c r="BF791" s="1120">
        <f t="shared" si="932"/>
        <v>1</v>
      </c>
      <c r="BG791" s="1120">
        <f t="shared" si="933"/>
        <v>1</v>
      </c>
      <c r="BH791" s="1120">
        <f t="shared" si="934"/>
        <v>1</v>
      </c>
      <c r="BI791" s="1120">
        <f t="shared" si="935"/>
        <v>1</v>
      </c>
      <c r="BJ791" s="1120">
        <f t="shared" si="936"/>
        <v>0</v>
      </c>
      <c r="BK791" s="1120">
        <f t="shared" si="937"/>
        <v>1</v>
      </c>
      <c r="BL791" s="1120">
        <f t="shared" si="938"/>
        <v>1</v>
      </c>
      <c r="BM791" s="1120">
        <f t="shared" si="939"/>
        <v>1</v>
      </c>
      <c r="BN791" s="1120">
        <f t="shared" si="940"/>
        <v>1</v>
      </c>
      <c r="BO791" s="1120">
        <f t="shared" si="941"/>
        <v>0</v>
      </c>
      <c r="BP791" s="1120">
        <f t="shared" si="942"/>
        <v>0</v>
      </c>
      <c r="BQ791" s="1120">
        <f t="shared" si="943"/>
        <v>0</v>
      </c>
      <c r="BR791" s="1120">
        <f t="shared" si="944"/>
        <v>0</v>
      </c>
      <c r="BS791" s="1120">
        <f t="shared" si="945"/>
        <v>0</v>
      </c>
      <c r="BT791" s="1120">
        <f t="shared" si="946"/>
        <v>0</v>
      </c>
      <c r="BU791" s="1120">
        <f t="shared" si="947"/>
        <v>0</v>
      </c>
      <c r="BV791" s="1120">
        <f t="shared" si="948"/>
        <v>1</v>
      </c>
      <c r="BW791" s="1120">
        <f t="shared" si="949"/>
        <v>0</v>
      </c>
      <c r="BX791" s="1120">
        <f t="shared" si="950"/>
        <v>0</v>
      </c>
      <c r="BY791" s="1120">
        <f t="shared" si="951"/>
        <v>1</v>
      </c>
      <c r="BZ791" s="1120">
        <f t="shared" si="952"/>
        <v>1</v>
      </c>
      <c r="CA791" s="1120">
        <f t="shared" si="953"/>
        <v>1</v>
      </c>
      <c r="CB791" s="1120">
        <f t="shared" si="954"/>
        <v>1</v>
      </c>
      <c r="CC791" s="1120">
        <f t="shared" si="955"/>
        <v>1</v>
      </c>
      <c r="CD791" s="1120">
        <f t="shared" si="956"/>
        <v>1</v>
      </c>
      <c r="CE791" s="1120">
        <f t="shared" si="957"/>
        <v>1</v>
      </c>
      <c r="CF791" s="1120">
        <f t="shared" si="958"/>
        <v>1</v>
      </c>
      <c r="CG791" s="1120">
        <f t="shared" si="959"/>
        <v>1</v>
      </c>
      <c r="CH791" s="1120">
        <f t="shared" si="960"/>
        <v>1</v>
      </c>
      <c r="CI791" s="1120">
        <f t="shared" si="961"/>
        <v>0.85</v>
      </c>
      <c r="CJ791" s="1120">
        <f t="shared" si="962"/>
        <v>0.85</v>
      </c>
      <c r="CK791" s="1120">
        <f t="shared" si="963"/>
        <v>0.85</v>
      </c>
      <c r="CL791" s="1120">
        <f t="shared" si="964"/>
        <v>0.85</v>
      </c>
      <c r="CM791" s="1120">
        <f t="shared" si="965"/>
        <v>0.7</v>
      </c>
      <c r="CN791" s="1120">
        <f t="shared" si="966"/>
        <v>0.7</v>
      </c>
      <c r="CO791" s="1120">
        <f t="shared" si="967"/>
        <v>0.7</v>
      </c>
      <c r="CP791" s="1120">
        <f t="shared" si="968"/>
        <v>0.7</v>
      </c>
      <c r="CQ791" s="1120">
        <f t="shared" si="969"/>
        <v>0.7</v>
      </c>
      <c r="CR791" s="1120">
        <f t="shared" si="970"/>
        <v>0.7</v>
      </c>
      <c r="CS791" s="1120">
        <f t="shared" si="971"/>
        <v>0.7</v>
      </c>
      <c r="CT791" s="1120">
        <f t="shared" si="972"/>
        <v>0.85</v>
      </c>
      <c r="CU791" s="1120">
        <v>1</v>
      </c>
      <c r="CV791" s="1120"/>
      <c r="CW791" s="1120">
        <f t="shared" si="973"/>
        <v>306</v>
      </c>
      <c r="CX791" s="1120">
        <f t="shared" si="974"/>
        <v>59</v>
      </c>
      <c r="CY791" s="1136" t="s">
        <v>4883</v>
      </c>
      <c r="CZ791" s="1129" t="s">
        <v>4884</v>
      </c>
      <c r="DA791" s="1129"/>
      <c r="DB791" s="1129"/>
      <c r="DC791" s="1125" t="s">
        <v>6002</v>
      </c>
      <c r="DD791" s="1125" t="s">
        <v>228</v>
      </c>
      <c r="DE791" s="1120" t="str">
        <f t="shared" si="975"/>
        <v/>
      </c>
      <c r="DF791" s="1133">
        <v>0</v>
      </c>
      <c r="DG791" s="1125">
        <v>0</v>
      </c>
    </row>
    <row r="792" spans="1:111">
      <c r="A792" s="1120" t="s">
        <v>4280</v>
      </c>
      <c r="B792" s="1125" t="s">
        <v>3960</v>
      </c>
      <c r="C792" s="1125" t="s">
        <v>3961</v>
      </c>
      <c r="D792" s="1125" t="s">
        <v>426</v>
      </c>
      <c r="E792" s="1125">
        <v>164</v>
      </c>
      <c r="F792" s="1125">
        <v>-77.900000000000006</v>
      </c>
      <c r="G792" s="1125">
        <v>35.85</v>
      </c>
      <c r="H792" s="1125">
        <v>-5</v>
      </c>
      <c r="I792" s="1126">
        <v>21.020000171661376</v>
      </c>
      <c r="J792" s="1126">
        <v>93.379997253417969</v>
      </c>
      <c r="K792" s="1127">
        <v>75.380000686645502</v>
      </c>
      <c r="L792" s="1125">
        <v>2835</v>
      </c>
      <c r="M792" s="1125">
        <v>1458</v>
      </c>
      <c r="N792" s="1128">
        <v>40.459999656677248</v>
      </c>
      <c r="O792" s="1128">
        <v>46.759999656677245</v>
      </c>
      <c r="P792" s="1128">
        <v>55.4</v>
      </c>
      <c r="Q792" s="1128">
        <v>60.259999656677245</v>
      </c>
      <c r="R792" s="1128">
        <v>69.260001373291018</v>
      </c>
      <c r="S792" s="1128">
        <v>74.3</v>
      </c>
      <c r="T792" s="1128">
        <v>74.83999862670899</v>
      </c>
      <c r="U792" s="1128">
        <v>76.460001373291021</v>
      </c>
      <c r="V792" s="1128">
        <v>69.619999313354498</v>
      </c>
      <c r="W792" s="1128">
        <v>60.080000686645505</v>
      </c>
      <c r="X792" s="1128">
        <v>55.940000343322751</v>
      </c>
      <c r="Y792" s="1128">
        <v>43.159999656677243</v>
      </c>
      <c r="Z792" s="1128">
        <v>60.609150718793479</v>
      </c>
      <c r="AA792" s="1128">
        <f t="shared" si="901"/>
        <v>56.925576158239352</v>
      </c>
      <c r="AB792" s="1128">
        <f t="shared" si="902"/>
        <v>56.622175064564921</v>
      </c>
      <c r="AC792" s="1128">
        <f t="shared" si="903"/>
        <v>58.92203307911862</v>
      </c>
      <c r="AD792" s="1128">
        <f t="shared" si="904"/>
        <v>63.225656768522214</v>
      </c>
      <c r="AE792" s="1128">
        <f t="shared" si="905"/>
        <v>68.411240297284081</v>
      </c>
      <c r="AF792" s="1128">
        <f t="shared" si="906"/>
        <v>73.12708140637136</v>
      </c>
      <c r="AG792" s="1128">
        <f t="shared" si="907"/>
        <v>76.143923437389134</v>
      </c>
      <c r="AH792" s="1128">
        <f t="shared" si="908"/>
        <v>76.675380024009655</v>
      </c>
      <c r="AI792" s="1128">
        <f t="shared" si="909"/>
        <v>74.582918816936385</v>
      </c>
      <c r="AJ792" s="1128">
        <f t="shared" si="910"/>
        <v>70.411972075596253</v>
      </c>
      <c r="AK792" s="1128">
        <f t="shared" si="911"/>
        <v>65.24976134435444</v>
      </c>
      <c r="AL792" s="1128">
        <f t="shared" si="912"/>
        <v>60.441896402384558</v>
      </c>
      <c r="AM792" s="1125">
        <f t="shared" si="913"/>
        <v>1</v>
      </c>
      <c r="AN792" s="1125">
        <f t="shared" si="914"/>
        <v>1</v>
      </c>
      <c r="AO792" s="1125">
        <f t="shared" si="915"/>
        <v>1</v>
      </c>
      <c r="AP792" s="1125">
        <f t="shared" si="916"/>
        <v>1</v>
      </c>
      <c r="AQ792" s="1125">
        <f t="shared" si="917"/>
        <v>0</v>
      </c>
      <c r="AR792" s="1125">
        <f t="shared" si="918"/>
        <v>0</v>
      </c>
      <c r="AS792" s="1125">
        <f t="shared" si="919"/>
        <v>0</v>
      </c>
      <c r="AT792" s="1125">
        <f t="shared" si="920"/>
        <v>0</v>
      </c>
      <c r="AU792" s="1125">
        <f t="shared" si="921"/>
        <v>0</v>
      </c>
      <c r="AV792" s="1125">
        <f t="shared" si="922"/>
        <v>1</v>
      </c>
      <c r="AW792" s="1125">
        <f t="shared" si="923"/>
        <v>1</v>
      </c>
      <c r="AX792" s="1125">
        <f t="shared" si="924"/>
        <v>1</v>
      </c>
      <c r="AY792" s="1125">
        <f t="shared" si="925"/>
        <v>0</v>
      </c>
      <c r="AZ792" s="1125">
        <f t="shared" si="926"/>
        <v>0</v>
      </c>
      <c r="BA792" s="1125">
        <f t="shared" si="927"/>
        <v>0</v>
      </c>
      <c r="BB792" s="1125">
        <f t="shared" si="928"/>
        <v>0</v>
      </c>
      <c r="BC792" s="1125">
        <f t="shared" si="929"/>
        <v>1</v>
      </c>
      <c r="BD792" s="1125">
        <f t="shared" si="930"/>
        <v>1</v>
      </c>
      <c r="BE792" s="1125">
        <f t="shared" si="931"/>
        <v>1</v>
      </c>
      <c r="BF792" s="1125">
        <f t="shared" si="932"/>
        <v>1</v>
      </c>
      <c r="BG792" s="1125">
        <f t="shared" si="933"/>
        <v>1</v>
      </c>
      <c r="BH792" s="1125">
        <f t="shared" si="934"/>
        <v>0</v>
      </c>
      <c r="BI792" s="1125">
        <f t="shared" si="935"/>
        <v>0</v>
      </c>
      <c r="BJ792" s="1125">
        <f t="shared" si="936"/>
        <v>0</v>
      </c>
      <c r="BK792" s="1125">
        <f t="shared" si="937"/>
        <v>1</v>
      </c>
      <c r="BL792" s="1125">
        <f t="shared" si="938"/>
        <v>1</v>
      </c>
      <c r="BM792" s="1125">
        <f t="shared" si="939"/>
        <v>1</v>
      </c>
      <c r="BN792" s="1125">
        <f t="shared" si="940"/>
        <v>1</v>
      </c>
      <c r="BO792" s="1125">
        <f t="shared" si="941"/>
        <v>1</v>
      </c>
      <c r="BP792" s="1125">
        <f t="shared" si="942"/>
        <v>0</v>
      </c>
      <c r="BQ792" s="1125">
        <f t="shared" si="943"/>
        <v>0</v>
      </c>
      <c r="BR792" s="1125">
        <f t="shared" si="944"/>
        <v>0</v>
      </c>
      <c r="BS792" s="1125">
        <f t="shared" si="945"/>
        <v>0</v>
      </c>
      <c r="BT792" s="1125">
        <f t="shared" si="946"/>
        <v>1</v>
      </c>
      <c r="BU792" s="1125">
        <f t="shared" si="947"/>
        <v>1</v>
      </c>
      <c r="BV792" s="1125">
        <f t="shared" si="948"/>
        <v>1</v>
      </c>
      <c r="BW792" s="1125">
        <f t="shared" si="949"/>
        <v>0</v>
      </c>
      <c r="BX792" s="1125">
        <f t="shared" si="950"/>
        <v>0</v>
      </c>
      <c r="BY792" s="1125">
        <f t="shared" si="951"/>
        <v>0</v>
      </c>
      <c r="BZ792" s="1125">
        <f t="shared" si="952"/>
        <v>1</v>
      </c>
      <c r="CA792" s="1125">
        <f t="shared" si="953"/>
        <v>1</v>
      </c>
      <c r="CB792" s="1125">
        <f t="shared" si="954"/>
        <v>1</v>
      </c>
      <c r="CC792" s="1125">
        <f t="shared" si="955"/>
        <v>1</v>
      </c>
      <c r="CD792" s="1125">
        <f t="shared" si="956"/>
        <v>1</v>
      </c>
      <c r="CE792" s="1125">
        <f t="shared" si="957"/>
        <v>1</v>
      </c>
      <c r="CF792" s="1125">
        <f t="shared" si="958"/>
        <v>1</v>
      </c>
      <c r="CG792" s="1125">
        <f t="shared" si="959"/>
        <v>0</v>
      </c>
      <c r="CH792" s="1125">
        <f t="shared" si="960"/>
        <v>0</v>
      </c>
      <c r="CI792" s="1125">
        <f t="shared" si="961"/>
        <v>0.85</v>
      </c>
      <c r="CJ792" s="1125">
        <f t="shared" si="962"/>
        <v>0.85</v>
      </c>
      <c r="CK792" s="1125">
        <f t="shared" si="963"/>
        <v>0.85</v>
      </c>
      <c r="CL792" s="1125">
        <f t="shared" si="964"/>
        <v>0.85</v>
      </c>
      <c r="CM792" s="1125">
        <f t="shared" si="965"/>
        <v>0.85</v>
      </c>
      <c r="CN792" s="1125">
        <f t="shared" si="966"/>
        <v>0.7</v>
      </c>
      <c r="CO792" s="1125">
        <f t="shared" si="967"/>
        <v>0.7</v>
      </c>
      <c r="CP792" s="1125">
        <f t="shared" si="968"/>
        <v>0.7</v>
      </c>
      <c r="CQ792" s="1125">
        <f t="shared" si="969"/>
        <v>0.7</v>
      </c>
      <c r="CR792" s="1125">
        <f t="shared" si="970"/>
        <v>0.85</v>
      </c>
      <c r="CS792" s="1125">
        <f t="shared" si="971"/>
        <v>0.85</v>
      </c>
      <c r="CT792" s="1125">
        <f t="shared" si="972"/>
        <v>0.85</v>
      </c>
      <c r="CU792" s="1125">
        <v>1</v>
      </c>
      <c r="CV792" s="1125"/>
      <c r="CW792" s="1125">
        <f t="shared" si="973"/>
        <v>214</v>
      </c>
      <c r="CX792" s="1125">
        <f t="shared" si="974"/>
        <v>151</v>
      </c>
      <c r="CY792" s="1135" t="s">
        <v>4881</v>
      </c>
      <c r="CZ792" s="1124" t="s">
        <v>4885</v>
      </c>
      <c r="DA792" s="1124"/>
      <c r="DB792" s="1124"/>
      <c r="DC792" s="1120" t="s">
        <v>5399</v>
      </c>
      <c r="DD792" s="1120" t="s">
        <v>426</v>
      </c>
      <c r="DE792" s="1120" t="str">
        <f t="shared" si="975"/>
        <v/>
      </c>
      <c r="DF792" s="1133">
        <v>0</v>
      </c>
      <c r="DG792" s="1120">
        <v>0</v>
      </c>
    </row>
    <row r="793" spans="1:111">
      <c r="A793" s="1125" t="s">
        <v>4282</v>
      </c>
      <c r="B793" s="1120" t="s">
        <v>5806</v>
      </c>
      <c r="C793" s="1120" t="s">
        <v>5807</v>
      </c>
      <c r="D793" s="1120" t="s">
        <v>1176</v>
      </c>
      <c r="E793" s="1120">
        <v>1361</v>
      </c>
      <c r="F793" s="1120">
        <v>-94.1</v>
      </c>
      <c r="G793" s="1120">
        <v>36.369999999999997</v>
      </c>
      <c r="H793" s="1120">
        <v>-6</v>
      </c>
      <c r="I793" s="1121">
        <v>15.799999999999999</v>
      </c>
      <c r="J793" s="1121">
        <v>91.039998626708993</v>
      </c>
      <c r="K793" s="1122">
        <v>73.219999313354492</v>
      </c>
      <c r="L793" s="1120">
        <v>4138.2</v>
      </c>
      <c r="M793" s="1120">
        <v>1711.8</v>
      </c>
      <c r="N793" s="1123">
        <v>33.080000042915344</v>
      </c>
      <c r="O793" s="1123">
        <v>41</v>
      </c>
      <c r="P793" s="1123">
        <v>41.540000343322752</v>
      </c>
      <c r="Q793" s="1123">
        <v>55.040000343322752</v>
      </c>
      <c r="R793" s="1123">
        <v>65.119999313354498</v>
      </c>
      <c r="S793" s="1123">
        <v>75.560001373291016</v>
      </c>
      <c r="T793" s="1123">
        <v>77.539998626708979</v>
      </c>
      <c r="U793" s="1123">
        <v>82.219999313354492</v>
      </c>
      <c r="V793" s="1123">
        <v>73.580000686645505</v>
      </c>
      <c r="W793" s="1123">
        <v>56.3</v>
      </c>
      <c r="X793" s="1123">
        <v>48.019999313354489</v>
      </c>
      <c r="Y793" s="1123">
        <v>42.97999982833862</v>
      </c>
      <c r="Z793" s="1123">
        <v>57.742958830154109</v>
      </c>
      <c r="AA793" s="1123">
        <f t="shared" si="901"/>
        <v>51.412014324655409</v>
      </c>
      <c r="AB793" s="1123">
        <f t="shared" si="902"/>
        <v>50.687491337930297</v>
      </c>
      <c r="AC793" s="1123">
        <f t="shared" si="903"/>
        <v>53.366077143897371</v>
      </c>
      <c r="AD793" s="1123">
        <f t="shared" si="904"/>
        <v>58.749557073974565</v>
      </c>
      <c r="AE793" s="1123">
        <f t="shared" si="905"/>
        <v>65.434644122450294</v>
      </c>
      <c r="AF793" s="1123">
        <f t="shared" si="906"/>
        <v>71.678767329829554</v>
      </c>
      <c r="AG793" s="1123">
        <f t="shared" si="907"/>
        <v>75.854299757257593</v>
      </c>
      <c r="AH793" s="1123">
        <f t="shared" si="908"/>
        <v>76.872824530622836</v>
      </c>
      <c r="AI793" s="1123">
        <f t="shared" si="909"/>
        <v>74.468847471805773</v>
      </c>
      <c r="AJ793" s="1123">
        <f t="shared" si="910"/>
        <v>69.269002247594912</v>
      </c>
      <c r="AK793" s="1123">
        <f t="shared" si="911"/>
        <v>62.628708647721304</v>
      </c>
      <c r="AL793" s="1123">
        <f t="shared" si="912"/>
        <v>56.278861529013888</v>
      </c>
      <c r="AM793" s="1120">
        <f t="shared" si="913"/>
        <v>1</v>
      </c>
      <c r="AN793" s="1120">
        <f t="shared" si="914"/>
        <v>1</v>
      </c>
      <c r="AO793" s="1120">
        <f t="shared" si="915"/>
        <v>1</v>
      </c>
      <c r="AP793" s="1120">
        <f t="shared" si="916"/>
        <v>1</v>
      </c>
      <c r="AQ793" s="1120">
        <f t="shared" si="917"/>
        <v>1</v>
      </c>
      <c r="AR793" s="1120">
        <f t="shared" si="918"/>
        <v>0</v>
      </c>
      <c r="AS793" s="1120">
        <f t="shared" si="919"/>
        <v>0</v>
      </c>
      <c r="AT793" s="1120">
        <f t="shared" si="920"/>
        <v>0</v>
      </c>
      <c r="AU793" s="1120">
        <f t="shared" si="921"/>
        <v>0</v>
      </c>
      <c r="AV793" s="1120">
        <f t="shared" si="922"/>
        <v>1</v>
      </c>
      <c r="AW793" s="1120">
        <f t="shared" si="923"/>
        <v>1</v>
      </c>
      <c r="AX793" s="1120">
        <f t="shared" si="924"/>
        <v>1</v>
      </c>
      <c r="AY793" s="1120">
        <f t="shared" si="925"/>
        <v>0</v>
      </c>
      <c r="AZ793" s="1120">
        <f t="shared" si="926"/>
        <v>0</v>
      </c>
      <c r="BA793" s="1120">
        <f t="shared" si="927"/>
        <v>0</v>
      </c>
      <c r="BB793" s="1120">
        <f t="shared" si="928"/>
        <v>0</v>
      </c>
      <c r="BC793" s="1120">
        <f t="shared" si="929"/>
        <v>0</v>
      </c>
      <c r="BD793" s="1120">
        <f t="shared" si="930"/>
        <v>1</v>
      </c>
      <c r="BE793" s="1120">
        <f t="shared" si="931"/>
        <v>1</v>
      </c>
      <c r="BF793" s="1120">
        <f t="shared" si="932"/>
        <v>1</v>
      </c>
      <c r="BG793" s="1120">
        <f t="shared" si="933"/>
        <v>1</v>
      </c>
      <c r="BH793" s="1120">
        <f t="shared" si="934"/>
        <v>0</v>
      </c>
      <c r="BI793" s="1120">
        <f t="shared" si="935"/>
        <v>0</v>
      </c>
      <c r="BJ793" s="1120">
        <f t="shared" si="936"/>
        <v>0</v>
      </c>
      <c r="BK793" s="1120">
        <f t="shared" si="937"/>
        <v>1</v>
      </c>
      <c r="BL793" s="1120">
        <f t="shared" si="938"/>
        <v>1</v>
      </c>
      <c r="BM793" s="1120">
        <f t="shared" si="939"/>
        <v>1</v>
      </c>
      <c r="BN793" s="1120">
        <f t="shared" si="940"/>
        <v>1</v>
      </c>
      <c r="BO793" s="1120">
        <f t="shared" si="941"/>
        <v>1</v>
      </c>
      <c r="BP793" s="1120">
        <f t="shared" si="942"/>
        <v>1</v>
      </c>
      <c r="BQ793" s="1120">
        <f t="shared" si="943"/>
        <v>0</v>
      </c>
      <c r="BR793" s="1120">
        <f t="shared" si="944"/>
        <v>0</v>
      </c>
      <c r="BS793" s="1120">
        <f t="shared" si="945"/>
        <v>0</v>
      </c>
      <c r="BT793" s="1120">
        <f t="shared" si="946"/>
        <v>1</v>
      </c>
      <c r="BU793" s="1120">
        <f t="shared" si="947"/>
        <v>1</v>
      </c>
      <c r="BV793" s="1120">
        <f t="shared" si="948"/>
        <v>1</v>
      </c>
      <c r="BW793" s="1120">
        <f t="shared" si="949"/>
        <v>0</v>
      </c>
      <c r="BX793" s="1120">
        <f t="shared" si="950"/>
        <v>0</v>
      </c>
      <c r="BY793" s="1120">
        <f t="shared" si="951"/>
        <v>0</v>
      </c>
      <c r="BZ793" s="1120">
        <f t="shared" si="952"/>
        <v>0</v>
      </c>
      <c r="CA793" s="1120">
        <f t="shared" si="953"/>
        <v>1</v>
      </c>
      <c r="CB793" s="1120">
        <f t="shared" si="954"/>
        <v>1</v>
      </c>
      <c r="CC793" s="1120">
        <f t="shared" si="955"/>
        <v>1</v>
      </c>
      <c r="CD793" s="1120">
        <f t="shared" si="956"/>
        <v>1</v>
      </c>
      <c r="CE793" s="1120">
        <f t="shared" si="957"/>
        <v>1</v>
      </c>
      <c r="CF793" s="1120">
        <f t="shared" si="958"/>
        <v>1</v>
      </c>
      <c r="CG793" s="1120">
        <f t="shared" si="959"/>
        <v>0</v>
      </c>
      <c r="CH793" s="1120">
        <f t="shared" si="960"/>
        <v>0</v>
      </c>
      <c r="CI793" s="1120">
        <f t="shared" si="961"/>
        <v>0.85</v>
      </c>
      <c r="CJ793" s="1120">
        <f t="shared" si="962"/>
        <v>0.85</v>
      </c>
      <c r="CK793" s="1120">
        <f t="shared" si="963"/>
        <v>0.85</v>
      </c>
      <c r="CL793" s="1120">
        <f t="shared" si="964"/>
        <v>0.85</v>
      </c>
      <c r="CM793" s="1120">
        <f t="shared" si="965"/>
        <v>0.85</v>
      </c>
      <c r="CN793" s="1120">
        <f t="shared" si="966"/>
        <v>0.85</v>
      </c>
      <c r="CO793" s="1120">
        <f t="shared" si="967"/>
        <v>0.7</v>
      </c>
      <c r="CP793" s="1120">
        <f t="shared" si="968"/>
        <v>0.7</v>
      </c>
      <c r="CQ793" s="1120">
        <f t="shared" si="969"/>
        <v>0.7</v>
      </c>
      <c r="CR793" s="1120">
        <f t="shared" si="970"/>
        <v>0.85</v>
      </c>
      <c r="CS793" s="1120">
        <f t="shared" si="971"/>
        <v>0.85</v>
      </c>
      <c r="CT793" s="1120">
        <f t="shared" si="972"/>
        <v>0.85</v>
      </c>
      <c r="CU793" s="1120">
        <v>1</v>
      </c>
      <c r="CV793" s="1120"/>
      <c r="CW793" s="1120">
        <f t="shared" si="973"/>
        <v>184</v>
      </c>
      <c r="CX793" s="1120">
        <f t="shared" si="974"/>
        <v>181</v>
      </c>
      <c r="CY793" s="1135" t="s">
        <v>4881</v>
      </c>
      <c r="CZ793" s="1124" t="s">
        <v>4885</v>
      </c>
      <c r="DA793" s="1124"/>
      <c r="DB793" s="1124"/>
      <c r="DC793" s="1120" t="s">
        <v>5713</v>
      </c>
      <c r="DD793" s="1120" t="s">
        <v>1176</v>
      </c>
      <c r="DE793" s="1120" t="str">
        <f t="shared" si="975"/>
        <v/>
      </c>
      <c r="DF793" s="1120">
        <v>0</v>
      </c>
      <c r="DG793" s="1125">
        <v>0</v>
      </c>
    </row>
    <row r="794" spans="1:111">
      <c r="A794" s="1120" t="s">
        <v>4284</v>
      </c>
      <c r="B794" s="1120" t="s">
        <v>3372</v>
      </c>
      <c r="C794" s="1120" t="s">
        <v>3373</v>
      </c>
      <c r="D794" s="1120" t="s">
        <v>428</v>
      </c>
      <c r="E794" s="1120">
        <v>640</v>
      </c>
      <c r="F794" s="1120">
        <v>-85.17</v>
      </c>
      <c r="G794" s="1120">
        <v>34.35</v>
      </c>
      <c r="H794" s="1120">
        <v>-5</v>
      </c>
      <c r="I794" s="1121">
        <v>22.1</v>
      </c>
      <c r="J794" s="1121">
        <v>93.2</v>
      </c>
      <c r="K794" s="1122">
        <v>74.3</v>
      </c>
      <c r="L794" s="1120">
        <v>3267</v>
      </c>
      <c r="M794" s="1120">
        <v>1855.8</v>
      </c>
      <c r="N794" s="1123">
        <v>45.140000343322754</v>
      </c>
      <c r="O794" s="1123">
        <v>45.679999828338623</v>
      </c>
      <c r="P794" s="1123">
        <v>46.940000343322751</v>
      </c>
      <c r="Q794" s="1123">
        <v>58.1</v>
      </c>
      <c r="R794" s="1123">
        <v>66.380000686645502</v>
      </c>
      <c r="S794" s="1123">
        <v>77.180000686645513</v>
      </c>
      <c r="T794" s="1123">
        <v>79.519999313354489</v>
      </c>
      <c r="U794" s="1123">
        <v>78.080000686645505</v>
      </c>
      <c r="V794" s="1123">
        <v>77</v>
      </c>
      <c r="W794" s="1123">
        <v>66.2</v>
      </c>
      <c r="X794" s="1123">
        <v>44.6</v>
      </c>
      <c r="Y794" s="1123">
        <v>40.820000171661377</v>
      </c>
      <c r="Z794" s="1123">
        <v>60.550465927907865</v>
      </c>
      <c r="AA794" s="1123">
        <f t="shared" si="901"/>
        <v>56.15486020330745</v>
      </c>
      <c r="AB794" s="1123">
        <f t="shared" si="902"/>
        <v>55.823409862732021</v>
      </c>
      <c r="AC794" s="1123">
        <f t="shared" si="903"/>
        <v>58.288131994482498</v>
      </c>
      <c r="AD794" s="1123">
        <f t="shared" si="904"/>
        <v>62.906558792400347</v>
      </c>
      <c r="AE794" s="1123">
        <f t="shared" si="905"/>
        <v>68.474826139496969</v>
      </c>
      <c r="AF794" s="1123">
        <f t="shared" si="906"/>
        <v>73.541479342154361</v>
      </c>
      <c r="AG794" s="1123">
        <f t="shared" si="907"/>
        <v>76.785817163610602</v>
      </c>
      <c r="AH794" s="1123">
        <f t="shared" si="908"/>
        <v>77.362152953943877</v>
      </c>
      <c r="AI794" s="1123">
        <f t="shared" si="909"/>
        <v>75.12025590780047</v>
      </c>
      <c r="AJ794" s="1123">
        <f t="shared" si="910"/>
        <v>70.644511038936898</v>
      </c>
      <c r="AK794" s="1123">
        <f t="shared" si="911"/>
        <v>65.1015902207387</v>
      </c>
      <c r="AL794" s="1123">
        <f t="shared" si="912"/>
        <v>59.936341183464648</v>
      </c>
      <c r="AM794" s="1120">
        <f t="shared" si="913"/>
        <v>1</v>
      </c>
      <c r="AN794" s="1120">
        <f t="shared" si="914"/>
        <v>1</v>
      </c>
      <c r="AO794" s="1120">
        <f t="shared" si="915"/>
        <v>1</v>
      </c>
      <c r="AP794" s="1120">
        <f t="shared" si="916"/>
        <v>1</v>
      </c>
      <c r="AQ794" s="1120">
        <f t="shared" si="917"/>
        <v>0</v>
      </c>
      <c r="AR794" s="1120">
        <f t="shared" si="918"/>
        <v>0</v>
      </c>
      <c r="AS794" s="1120">
        <f t="shared" si="919"/>
        <v>0</v>
      </c>
      <c r="AT794" s="1120">
        <f t="shared" si="920"/>
        <v>0</v>
      </c>
      <c r="AU794" s="1120">
        <f t="shared" si="921"/>
        <v>0</v>
      </c>
      <c r="AV794" s="1120">
        <f t="shared" si="922"/>
        <v>0</v>
      </c>
      <c r="AW794" s="1120">
        <f t="shared" si="923"/>
        <v>1</v>
      </c>
      <c r="AX794" s="1120">
        <f t="shared" si="924"/>
        <v>1</v>
      </c>
      <c r="AY794" s="1120">
        <f t="shared" si="925"/>
        <v>0</v>
      </c>
      <c r="AZ794" s="1120">
        <f t="shared" si="926"/>
        <v>0</v>
      </c>
      <c r="BA794" s="1120">
        <f t="shared" si="927"/>
        <v>0</v>
      </c>
      <c r="BB794" s="1120">
        <f t="shared" si="928"/>
        <v>0</v>
      </c>
      <c r="BC794" s="1120">
        <f t="shared" si="929"/>
        <v>1</v>
      </c>
      <c r="BD794" s="1120">
        <f t="shared" si="930"/>
        <v>1</v>
      </c>
      <c r="BE794" s="1120">
        <f t="shared" si="931"/>
        <v>1</v>
      </c>
      <c r="BF794" s="1120">
        <f t="shared" si="932"/>
        <v>1</v>
      </c>
      <c r="BG794" s="1120">
        <f t="shared" si="933"/>
        <v>1</v>
      </c>
      <c r="BH794" s="1120">
        <f t="shared" si="934"/>
        <v>1</v>
      </c>
      <c r="BI794" s="1120">
        <f t="shared" si="935"/>
        <v>0</v>
      </c>
      <c r="BJ794" s="1120">
        <f t="shared" si="936"/>
        <v>0</v>
      </c>
      <c r="BK794" s="1120">
        <f t="shared" si="937"/>
        <v>1</v>
      </c>
      <c r="BL794" s="1120">
        <f t="shared" si="938"/>
        <v>1</v>
      </c>
      <c r="BM794" s="1120">
        <f t="shared" si="939"/>
        <v>1</v>
      </c>
      <c r="BN794" s="1120">
        <f t="shared" si="940"/>
        <v>1</v>
      </c>
      <c r="BO794" s="1120">
        <f t="shared" si="941"/>
        <v>1</v>
      </c>
      <c r="BP794" s="1120">
        <f t="shared" si="942"/>
        <v>0</v>
      </c>
      <c r="BQ794" s="1120">
        <f t="shared" si="943"/>
        <v>0</v>
      </c>
      <c r="BR794" s="1120">
        <f t="shared" si="944"/>
        <v>0</v>
      </c>
      <c r="BS794" s="1120">
        <f t="shared" si="945"/>
        <v>0</v>
      </c>
      <c r="BT794" s="1120">
        <f t="shared" si="946"/>
        <v>0</v>
      </c>
      <c r="BU794" s="1120">
        <f t="shared" si="947"/>
        <v>1</v>
      </c>
      <c r="BV794" s="1120">
        <f t="shared" si="948"/>
        <v>1</v>
      </c>
      <c r="BW794" s="1120">
        <f t="shared" si="949"/>
        <v>0</v>
      </c>
      <c r="BX794" s="1120">
        <f t="shared" si="950"/>
        <v>0</v>
      </c>
      <c r="BY794" s="1120">
        <f t="shared" si="951"/>
        <v>0</v>
      </c>
      <c r="BZ794" s="1120">
        <f t="shared" si="952"/>
        <v>1</v>
      </c>
      <c r="CA794" s="1120">
        <f t="shared" si="953"/>
        <v>1</v>
      </c>
      <c r="CB794" s="1120">
        <f t="shared" si="954"/>
        <v>1</v>
      </c>
      <c r="CC794" s="1120">
        <f t="shared" si="955"/>
        <v>1</v>
      </c>
      <c r="CD794" s="1120">
        <f t="shared" si="956"/>
        <v>1</v>
      </c>
      <c r="CE794" s="1120">
        <f t="shared" si="957"/>
        <v>1</v>
      </c>
      <c r="CF794" s="1120">
        <f t="shared" si="958"/>
        <v>1</v>
      </c>
      <c r="CG794" s="1120">
        <f t="shared" si="959"/>
        <v>1</v>
      </c>
      <c r="CH794" s="1120">
        <f t="shared" si="960"/>
        <v>0</v>
      </c>
      <c r="CI794" s="1120">
        <f t="shared" si="961"/>
        <v>0.85</v>
      </c>
      <c r="CJ794" s="1120">
        <f t="shared" si="962"/>
        <v>0.85</v>
      </c>
      <c r="CK794" s="1120">
        <f t="shared" si="963"/>
        <v>0.85</v>
      </c>
      <c r="CL794" s="1120">
        <f t="shared" si="964"/>
        <v>0.85</v>
      </c>
      <c r="CM794" s="1120">
        <f t="shared" si="965"/>
        <v>0.85</v>
      </c>
      <c r="CN794" s="1120">
        <f t="shared" si="966"/>
        <v>0.7</v>
      </c>
      <c r="CO794" s="1120">
        <f t="shared" si="967"/>
        <v>0.7</v>
      </c>
      <c r="CP794" s="1120">
        <f t="shared" si="968"/>
        <v>0.7</v>
      </c>
      <c r="CQ794" s="1120">
        <f t="shared" si="969"/>
        <v>0.7</v>
      </c>
      <c r="CR794" s="1120">
        <f t="shared" si="970"/>
        <v>0.7</v>
      </c>
      <c r="CS794" s="1120">
        <f t="shared" si="971"/>
        <v>0.85</v>
      </c>
      <c r="CT794" s="1120">
        <f t="shared" si="972"/>
        <v>0.85</v>
      </c>
      <c r="CU794" s="1120">
        <v>1</v>
      </c>
      <c r="CV794" s="1120"/>
      <c r="CW794" s="1120">
        <f t="shared" si="973"/>
        <v>244</v>
      </c>
      <c r="CX794" s="1120">
        <f t="shared" si="974"/>
        <v>121</v>
      </c>
      <c r="CY794" s="1135" t="s">
        <v>4881</v>
      </c>
      <c r="CZ794" s="1124" t="s">
        <v>4885</v>
      </c>
      <c r="DA794" s="1124"/>
      <c r="DB794" s="1124"/>
      <c r="DC794" s="1120" t="s">
        <v>5143</v>
      </c>
      <c r="DD794" s="1120" t="s">
        <v>428</v>
      </c>
      <c r="DE794" s="1120" t="str">
        <f t="shared" si="975"/>
        <v/>
      </c>
      <c r="DF794" s="1133">
        <v>0</v>
      </c>
      <c r="DG794" s="1120">
        <v>0</v>
      </c>
    </row>
    <row r="795" spans="1:111">
      <c r="A795" s="1125" t="s">
        <v>5915</v>
      </c>
      <c r="B795" s="1120" t="s">
        <v>5890</v>
      </c>
      <c r="C795" s="1120" t="s">
        <v>5891</v>
      </c>
      <c r="D795" s="1120" t="s">
        <v>934</v>
      </c>
      <c r="E795" s="1120">
        <v>1059</v>
      </c>
      <c r="F795" s="1120">
        <v>-95.7</v>
      </c>
      <c r="G795" s="1120">
        <v>48.85</v>
      </c>
      <c r="H795" s="1120">
        <v>-6</v>
      </c>
      <c r="I795" s="1121">
        <v>-20.200000000000003</v>
      </c>
      <c r="J795" s="1121">
        <v>83.3</v>
      </c>
      <c r="K795" s="1122">
        <v>71.060001373291016</v>
      </c>
      <c r="L795" s="1120">
        <v>9513</v>
      </c>
      <c r="M795" s="1120">
        <v>198</v>
      </c>
      <c r="N795" s="1123">
        <v>8.9599996566772457</v>
      </c>
      <c r="O795" s="1123">
        <v>5.3599996566772452</v>
      </c>
      <c r="P795" s="1123">
        <v>21.740000343322755</v>
      </c>
      <c r="Q795" s="1123">
        <v>38.299999999999997</v>
      </c>
      <c r="R795" s="1123">
        <v>49.280000686645508</v>
      </c>
      <c r="S795" s="1123">
        <v>61.519999313354496</v>
      </c>
      <c r="T795" s="1123">
        <v>66.019999313354489</v>
      </c>
      <c r="U795" s="1123">
        <v>64.939998626708984</v>
      </c>
      <c r="V795" s="1123">
        <v>54.140000343322754</v>
      </c>
      <c r="W795" s="1123">
        <v>46.759999656677245</v>
      </c>
      <c r="X795" s="1123">
        <v>28.220000171661376</v>
      </c>
      <c r="Y795" s="1123">
        <v>18.859999656677246</v>
      </c>
      <c r="Z795" s="1123">
        <v>38.873534031175588</v>
      </c>
      <c r="AA795" s="1123">
        <f t="shared" si="901"/>
        <v>36.719552604200295</v>
      </c>
      <c r="AB795" s="1123">
        <f t="shared" si="902"/>
        <v>34.456591546717313</v>
      </c>
      <c r="AC795" s="1123">
        <f t="shared" si="903"/>
        <v>34.908967077751264</v>
      </c>
      <c r="AD795" s="1123">
        <f t="shared" si="904"/>
        <v>37.958760543820205</v>
      </c>
      <c r="AE795" s="1123">
        <f t="shared" si="905"/>
        <v>42.810996279253295</v>
      </c>
      <c r="AF795" s="1123">
        <f t="shared" si="906"/>
        <v>48.200864264393807</v>
      </c>
      <c r="AG795" s="1123">
        <f t="shared" si="907"/>
        <v>52.723412348534993</v>
      </c>
      <c r="AH795" s="1123">
        <f t="shared" si="908"/>
        <v>55.199768678969846</v>
      </c>
      <c r="AI795" s="1123">
        <f t="shared" si="909"/>
        <v>54.984432816364304</v>
      </c>
      <c r="AJ795" s="1123">
        <f t="shared" si="910"/>
        <v>52.133535371732606</v>
      </c>
      <c r="AK795" s="1123">
        <f t="shared" si="911"/>
        <v>47.390206697677485</v>
      </c>
      <c r="AL795" s="1123">
        <f t="shared" si="912"/>
        <v>41.990868509998897</v>
      </c>
      <c r="AM795" s="1120">
        <f t="shared" si="913"/>
        <v>1</v>
      </c>
      <c r="AN795" s="1120">
        <f t="shared" si="914"/>
        <v>1</v>
      </c>
      <c r="AO795" s="1120">
        <f t="shared" si="915"/>
        <v>1</v>
      </c>
      <c r="AP795" s="1120">
        <f t="shared" si="916"/>
        <v>1</v>
      </c>
      <c r="AQ795" s="1120">
        <f t="shared" si="917"/>
        <v>1</v>
      </c>
      <c r="AR795" s="1120">
        <f t="shared" si="918"/>
        <v>1</v>
      </c>
      <c r="AS795" s="1120">
        <f t="shared" si="919"/>
        <v>0</v>
      </c>
      <c r="AT795" s="1120">
        <f t="shared" si="920"/>
        <v>1</v>
      </c>
      <c r="AU795" s="1120">
        <f t="shared" si="921"/>
        <v>1</v>
      </c>
      <c r="AV795" s="1120">
        <f t="shared" si="922"/>
        <v>1</v>
      </c>
      <c r="AW795" s="1120">
        <f t="shared" si="923"/>
        <v>1</v>
      </c>
      <c r="AX795" s="1120">
        <f t="shared" si="924"/>
        <v>1</v>
      </c>
      <c r="AY795" s="1120">
        <f t="shared" si="925"/>
        <v>0</v>
      </c>
      <c r="AZ795" s="1120">
        <f t="shared" si="926"/>
        <v>0</v>
      </c>
      <c r="BA795" s="1120">
        <f t="shared" si="927"/>
        <v>0</v>
      </c>
      <c r="BB795" s="1120">
        <f t="shared" si="928"/>
        <v>0</v>
      </c>
      <c r="BC795" s="1120">
        <f t="shared" si="929"/>
        <v>0</v>
      </c>
      <c r="BD795" s="1120">
        <f t="shared" si="930"/>
        <v>0</v>
      </c>
      <c r="BE795" s="1120">
        <f t="shared" si="931"/>
        <v>1</v>
      </c>
      <c r="BF795" s="1120">
        <f t="shared" si="932"/>
        <v>1</v>
      </c>
      <c r="BG795" s="1120">
        <f t="shared" si="933"/>
        <v>0</v>
      </c>
      <c r="BH795" s="1120">
        <f t="shared" si="934"/>
        <v>0</v>
      </c>
      <c r="BI795" s="1120">
        <f t="shared" si="935"/>
        <v>0</v>
      </c>
      <c r="BJ795" s="1120">
        <f t="shared" si="936"/>
        <v>0</v>
      </c>
      <c r="BK795" s="1120">
        <f t="shared" si="937"/>
        <v>1</v>
      </c>
      <c r="BL795" s="1120">
        <f t="shared" si="938"/>
        <v>1</v>
      </c>
      <c r="BM795" s="1120">
        <f t="shared" si="939"/>
        <v>1</v>
      </c>
      <c r="BN795" s="1120">
        <f t="shared" si="940"/>
        <v>1</v>
      </c>
      <c r="BO795" s="1120">
        <f t="shared" si="941"/>
        <v>1</v>
      </c>
      <c r="BP795" s="1120">
        <f t="shared" si="942"/>
        <v>1</v>
      </c>
      <c r="BQ795" s="1120">
        <f t="shared" si="943"/>
        <v>1</v>
      </c>
      <c r="BR795" s="1120">
        <f t="shared" si="944"/>
        <v>1</v>
      </c>
      <c r="BS795" s="1120">
        <f t="shared" si="945"/>
        <v>1</v>
      </c>
      <c r="BT795" s="1120">
        <f t="shared" si="946"/>
        <v>1</v>
      </c>
      <c r="BU795" s="1120">
        <f t="shared" si="947"/>
        <v>1</v>
      </c>
      <c r="BV795" s="1120">
        <f t="shared" si="948"/>
        <v>1</v>
      </c>
      <c r="BW795" s="1120">
        <f t="shared" si="949"/>
        <v>0</v>
      </c>
      <c r="BX795" s="1120">
        <f t="shared" si="950"/>
        <v>0</v>
      </c>
      <c r="BY795" s="1120">
        <f t="shared" si="951"/>
        <v>0</v>
      </c>
      <c r="BZ795" s="1120">
        <f t="shared" si="952"/>
        <v>0</v>
      </c>
      <c r="CA795" s="1120">
        <f t="shared" si="953"/>
        <v>0</v>
      </c>
      <c r="CB795" s="1120">
        <f t="shared" si="954"/>
        <v>1</v>
      </c>
      <c r="CC795" s="1120">
        <f t="shared" si="955"/>
        <v>1</v>
      </c>
      <c r="CD795" s="1120">
        <f t="shared" si="956"/>
        <v>1</v>
      </c>
      <c r="CE795" s="1120">
        <f t="shared" si="957"/>
        <v>0</v>
      </c>
      <c r="CF795" s="1120">
        <f t="shared" si="958"/>
        <v>0</v>
      </c>
      <c r="CG795" s="1120">
        <f t="shared" si="959"/>
        <v>0</v>
      </c>
      <c r="CH795" s="1120">
        <f t="shared" si="960"/>
        <v>0</v>
      </c>
      <c r="CI795" s="1120">
        <f t="shared" si="961"/>
        <v>0.85</v>
      </c>
      <c r="CJ795" s="1120">
        <f t="shared" si="962"/>
        <v>0.85</v>
      </c>
      <c r="CK795" s="1120">
        <f t="shared" si="963"/>
        <v>0.85</v>
      </c>
      <c r="CL795" s="1120">
        <f t="shared" si="964"/>
        <v>0.85</v>
      </c>
      <c r="CM795" s="1120">
        <f t="shared" si="965"/>
        <v>0.85</v>
      </c>
      <c r="CN795" s="1120">
        <f t="shared" si="966"/>
        <v>0.85</v>
      </c>
      <c r="CO795" s="1120">
        <f t="shared" si="967"/>
        <v>0.85</v>
      </c>
      <c r="CP795" s="1120">
        <f t="shared" si="968"/>
        <v>0.85</v>
      </c>
      <c r="CQ795" s="1120">
        <f t="shared" si="969"/>
        <v>0.85</v>
      </c>
      <c r="CR795" s="1120">
        <f t="shared" si="970"/>
        <v>0.85</v>
      </c>
      <c r="CS795" s="1120">
        <f t="shared" si="971"/>
        <v>0.85</v>
      </c>
      <c r="CT795" s="1120">
        <f t="shared" si="972"/>
        <v>0.85</v>
      </c>
      <c r="CU795" s="1120">
        <v>1</v>
      </c>
      <c r="CV795" s="1120"/>
      <c r="CW795" s="1120">
        <f t="shared" si="973"/>
        <v>92</v>
      </c>
      <c r="CX795" s="1120">
        <f t="shared" si="974"/>
        <v>273</v>
      </c>
      <c r="CY795" s="1135" t="s">
        <v>4879</v>
      </c>
      <c r="CZ795" s="1124">
        <v>7</v>
      </c>
      <c r="DA795" s="1124"/>
      <c r="DB795" s="1124"/>
      <c r="DC795" s="1120" t="s">
        <v>5762</v>
      </c>
      <c r="DD795" s="1120" t="s">
        <v>934</v>
      </c>
      <c r="DE795" s="1120" t="str">
        <f t="shared" si="975"/>
        <v/>
      </c>
      <c r="DF795" s="1133">
        <v>0</v>
      </c>
      <c r="DG795" s="1125">
        <v>0</v>
      </c>
    </row>
    <row r="796" spans="1:111">
      <c r="A796" s="1120" t="s">
        <v>4286</v>
      </c>
      <c r="B796" s="1125" t="s">
        <v>4250</v>
      </c>
      <c r="C796" s="1125" t="s">
        <v>4251</v>
      </c>
      <c r="D796" s="1125" t="s">
        <v>427</v>
      </c>
      <c r="E796" s="1125">
        <v>525</v>
      </c>
      <c r="F796" s="1125">
        <v>-123.35</v>
      </c>
      <c r="G796" s="1125">
        <v>43.23</v>
      </c>
      <c r="H796" s="1125">
        <v>-8</v>
      </c>
      <c r="I796" s="1126">
        <v>29.480000042915343</v>
      </c>
      <c r="J796" s="1126">
        <v>89.779997253417974</v>
      </c>
      <c r="K796" s="1127">
        <v>62.780000686645508</v>
      </c>
      <c r="L796" s="1125">
        <v>3832.2000000000003</v>
      </c>
      <c r="M796" s="1125">
        <v>372.6</v>
      </c>
      <c r="N796" s="1128">
        <v>42.8</v>
      </c>
      <c r="O796" s="1128">
        <v>46.220000171661376</v>
      </c>
      <c r="P796" s="1128">
        <v>51.080000686645505</v>
      </c>
      <c r="Q796" s="1128">
        <v>52.340000343322757</v>
      </c>
      <c r="R796" s="1128">
        <v>59.719999313354492</v>
      </c>
      <c r="S796" s="1128">
        <v>61.7</v>
      </c>
      <c r="T796" s="1128">
        <v>69.080000686645505</v>
      </c>
      <c r="U796" s="1128">
        <v>68.719999313354492</v>
      </c>
      <c r="V796" s="1128">
        <v>61.7</v>
      </c>
      <c r="W796" s="1128">
        <v>52.519999313354489</v>
      </c>
      <c r="X796" s="1128">
        <v>49.280000686645508</v>
      </c>
      <c r="Y796" s="1128">
        <v>43.340000343322757</v>
      </c>
      <c r="Z796" s="1128">
        <v>54.931013767294687</v>
      </c>
      <c r="AA796" s="1128">
        <f t="shared" si="901"/>
        <v>54.804596872311215</v>
      </c>
      <c r="AB796" s="1128">
        <f t="shared" si="902"/>
        <v>54.27350706812571</v>
      </c>
      <c r="AC796" s="1128">
        <f t="shared" si="903"/>
        <v>55.477798980362365</v>
      </c>
      <c r="AD796" s="1128">
        <f t="shared" si="904"/>
        <v>58.103555363396559</v>
      </c>
      <c r="AE796" s="1128">
        <f t="shared" si="905"/>
        <v>61.466332351859734</v>
      </c>
      <c r="AF796" s="1128">
        <f t="shared" si="906"/>
        <v>64.689570301746926</v>
      </c>
      <c r="AG796" s="1128">
        <f t="shared" si="907"/>
        <v>66.933082569819703</v>
      </c>
      <c r="AH796" s="1128">
        <f t="shared" si="908"/>
        <v>67.612063109834281</v>
      </c>
      <c r="AI796" s="1128">
        <f t="shared" si="909"/>
        <v>66.549525180629033</v>
      </c>
      <c r="AJ796" s="1128">
        <f t="shared" si="910"/>
        <v>64.022435667656438</v>
      </c>
      <c r="AK796" s="1128">
        <f t="shared" si="911"/>
        <v>60.689519396101012</v>
      </c>
      <c r="AL796" s="1128">
        <f t="shared" si="912"/>
        <v>57.419552353938123</v>
      </c>
      <c r="AM796" s="1125">
        <f t="shared" si="913"/>
        <v>1</v>
      </c>
      <c r="AN796" s="1125">
        <f t="shared" si="914"/>
        <v>1</v>
      </c>
      <c r="AO796" s="1125">
        <f t="shared" si="915"/>
        <v>1</v>
      </c>
      <c r="AP796" s="1125">
        <f t="shared" si="916"/>
        <v>1</v>
      </c>
      <c r="AQ796" s="1125">
        <f t="shared" si="917"/>
        <v>1</v>
      </c>
      <c r="AR796" s="1125">
        <f t="shared" si="918"/>
        <v>1</v>
      </c>
      <c r="AS796" s="1125">
        <f t="shared" si="919"/>
        <v>0</v>
      </c>
      <c r="AT796" s="1125">
        <f t="shared" si="920"/>
        <v>0</v>
      </c>
      <c r="AU796" s="1125">
        <f t="shared" si="921"/>
        <v>1</v>
      </c>
      <c r="AV796" s="1125">
        <f t="shared" si="922"/>
        <v>1</v>
      </c>
      <c r="AW796" s="1125">
        <f t="shared" si="923"/>
        <v>1</v>
      </c>
      <c r="AX796" s="1125">
        <f t="shared" si="924"/>
        <v>1</v>
      </c>
      <c r="AY796" s="1125">
        <f t="shared" si="925"/>
        <v>0</v>
      </c>
      <c r="AZ796" s="1125">
        <f t="shared" si="926"/>
        <v>0</v>
      </c>
      <c r="BA796" s="1125">
        <f t="shared" si="927"/>
        <v>0</v>
      </c>
      <c r="BB796" s="1125">
        <f t="shared" si="928"/>
        <v>0</v>
      </c>
      <c r="BC796" s="1125">
        <f t="shared" si="929"/>
        <v>0</v>
      </c>
      <c r="BD796" s="1125">
        <f t="shared" si="930"/>
        <v>0</v>
      </c>
      <c r="BE796" s="1125">
        <f t="shared" si="931"/>
        <v>1</v>
      </c>
      <c r="BF796" s="1125">
        <f t="shared" si="932"/>
        <v>1</v>
      </c>
      <c r="BG796" s="1125">
        <f t="shared" si="933"/>
        <v>0</v>
      </c>
      <c r="BH796" s="1125">
        <f t="shared" si="934"/>
        <v>0</v>
      </c>
      <c r="BI796" s="1125">
        <f t="shared" si="935"/>
        <v>0</v>
      </c>
      <c r="BJ796" s="1125">
        <f t="shared" si="936"/>
        <v>0</v>
      </c>
      <c r="BK796" s="1125">
        <f t="shared" si="937"/>
        <v>1</v>
      </c>
      <c r="BL796" s="1125">
        <f t="shared" si="938"/>
        <v>1</v>
      </c>
      <c r="BM796" s="1125">
        <f t="shared" si="939"/>
        <v>1</v>
      </c>
      <c r="BN796" s="1125">
        <f t="shared" si="940"/>
        <v>1</v>
      </c>
      <c r="BO796" s="1125">
        <f t="shared" si="941"/>
        <v>1</v>
      </c>
      <c r="BP796" s="1125">
        <f t="shared" si="942"/>
        <v>1</v>
      </c>
      <c r="BQ796" s="1125">
        <f t="shared" si="943"/>
        <v>1</v>
      </c>
      <c r="BR796" s="1125">
        <f t="shared" si="944"/>
        <v>0</v>
      </c>
      <c r="BS796" s="1125">
        <f t="shared" si="945"/>
        <v>1</v>
      </c>
      <c r="BT796" s="1125">
        <f t="shared" si="946"/>
        <v>1</v>
      </c>
      <c r="BU796" s="1125">
        <f t="shared" si="947"/>
        <v>1</v>
      </c>
      <c r="BV796" s="1125">
        <f t="shared" si="948"/>
        <v>1</v>
      </c>
      <c r="BW796" s="1125">
        <f t="shared" si="949"/>
        <v>0</v>
      </c>
      <c r="BX796" s="1125">
        <f t="shared" si="950"/>
        <v>0</v>
      </c>
      <c r="BY796" s="1125">
        <f t="shared" si="951"/>
        <v>0</v>
      </c>
      <c r="BZ796" s="1125">
        <f t="shared" si="952"/>
        <v>0</v>
      </c>
      <c r="CA796" s="1125">
        <f t="shared" si="953"/>
        <v>0</v>
      </c>
      <c r="CB796" s="1125">
        <f t="shared" si="954"/>
        <v>1</v>
      </c>
      <c r="CC796" s="1125">
        <f t="shared" si="955"/>
        <v>1</v>
      </c>
      <c r="CD796" s="1125">
        <f t="shared" si="956"/>
        <v>1</v>
      </c>
      <c r="CE796" s="1125">
        <f t="shared" si="957"/>
        <v>1</v>
      </c>
      <c r="CF796" s="1125">
        <f t="shared" si="958"/>
        <v>0</v>
      </c>
      <c r="CG796" s="1125">
        <f t="shared" si="959"/>
        <v>0</v>
      </c>
      <c r="CH796" s="1125">
        <f t="shared" si="960"/>
        <v>0</v>
      </c>
      <c r="CI796" s="1125">
        <f t="shared" si="961"/>
        <v>0.85</v>
      </c>
      <c r="CJ796" s="1125">
        <f t="shared" si="962"/>
        <v>0.85</v>
      </c>
      <c r="CK796" s="1125">
        <f t="shared" si="963"/>
        <v>0.85</v>
      </c>
      <c r="CL796" s="1125">
        <f t="shared" si="964"/>
        <v>0.85</v>
      </c>
      <c r="CM796" s="1125">
        <f t="shared" si="965"/>
        <v>0.85</v>
      </c>
      <c r="CN796" s="1125">
        <f t="shared" si="966"/>
        <v>0.85</v>
      </c>
      <c r="CO796" s="1125">
        <f t="shared" si="967"/>
        <v>0.85</v>
      </c>
      <c r="CP796" s="1125">
        <f t="shared" si="968"/>
        <v>0.7</v>
      </c>
      <c r="CQ796" s="1125">
        <f t="shared" si="969"/>
        <v>0.85</v>
      </c>
      <c r="CR796" s="1125">
        <f t="shared" si="970"/>
        <v>0.85</v>
      </c>
      <c r="CS796" s="1125">
        <f t="shared" si="971"/>
        <v>0.85</v>
      </c>
      <c r="CT796" s="1125">
        <f t="shared" si="972"/>
        <v>0.85</v>
      </c>
      <c r="CU796" s="1125">
        <v>1</v>
      </c>
      <c r="CV796" s="1125"/>
      <c r="CW796" s="1125">
        <f t="shared" si="973"/>
        <v>122</v>
      </c>
      <c r="CX796" s="1125">
        <f t="shared" si="974"/>
        <v>243</v>
      </c>
      <c r="CY796" s="1136" t="s">
        <v>4893</v>
      </c>
      <c r="CZ796" s="1129" t="s">
        <v>4894</v>
      </c>
      <c r="DA796" s="1129"/>
      <c r="DB796" s="1129"/>
      <c r="DC796" s="1125" t="s">
        <v>5526</v>
      </c>
      <c r="DD796" s="1125" t="s">
        <v>427</v>
      </c>
      <c r="DE796" s="1120" t="str">
        <f t="shared" si="975"/>
        <v/>
      </c>
      <c r="DF796" s="1133">
        <v>0</v>
      </c>
      <c r="DG796" s="1120">
        <v>0</v>
      </c>
    </row>
    <row r="797" spans="1:111">
      <c r="A797" s="1125" t="s">
        <v>4288</v>
      </c>
      <c r="B797" s="1125" t="s">
        <v>1327</v>
      </c>
      <c r="C797" s="1125" t="s">
        <v>1328</v>
      </c>
      <c r="D797" s="1125" t="s">
        <v>538</v>
      </c>
      <c r="E797" s="1125">
        <v>3647</v>
      </c>
      <c r="F797" s="1125">
        <v>-104.53</v>
      </c>
      <c r="G797" s="1125">
        <v>33.299999999999997</v>
      </c>
      <c r="H797" s="1125">
        <v>-7</v>
      </c>
      <c r="I797" s="1126">
        <v>20.840000343322753</v>
      </c>
      <c r="J797" s="1126">
        <v>97.520002746582037</v>
      </c>
      <c r="K797" s="1127">
        <v>65.119999313354498</v>
      </c>
      <c r="L797" s="1125">
        <v>2728.8</v>
      </c>
      <c r="M797" s="1125">
        <v>2035.8</v>
      </c>
      <c r="N797" s="1128">
        <v>40.279999828338624</v>
      </c>
      <c r="O797" s="1128">
        <v>48.919999313354495</v>
      </c>
      <c r="P797" s="1128">
        <v>54.319999313354494</v>
      </c>
      <c r="Q797" s="1128">
        <v>63.139998626708987</v>
      </c>
      <c r="R797" s="1128">
        <v>72.5</v>
      </c>
      <c r="S797" s="1128">
        <v>77.719999313354492</v>
      </c>
      <c r="T797" s="1128">
        <v>80.060001373291016</v>
      </c>
      <c r="U797" s="1128">
        <v>81.860001373291013</v>
      </c>
      <c r="V797" s="1128">
        <v>70.880000686645502</v>
      </c>
      <c r="W797" s="1128">
        <v>62.960001373291014</v>
      </c>
      <c r="X797" s="1128">
        <v>51.440000343322751</v>
      </c>
      <c r="Y797" s="1128">
        <v>44.959999656677248</v>
      </c>
      <c r="Z797" s="1128">
        <v>62.493972713261435</v>
      </c>
      <c r="AA797" s="1128">
        <f t="shared" si="901"/>
        <v>56.820387497222384</v>
      </c>
      <c r="AB797" s="1128">
        <f t="shared" si="902"/>
        <v>56.659491281623993</v>
      </c>
      <c r="AC797" s="1128">
        <f t="shared" si="903"/>
        <v>59.583435026061196</v>
      </c>
      <c r="AD797" s="1128">
        <f t="shared" si="904"/>
        <v>64.830047734209401</v>
      </c>
      <c r="AE797" s="1128">
        <f t="shared" si="905"/>
        <v>71.031718950940572</v>
      </c>
      <c r="AF797" s="1128">
        <f t="shared" si="906"/>
        <v>76.571887502967357</v>
      </c>
      <c r="AG797" s="1128">
        <f t="shared" si="907"/>
        <v>80.00642308062227</v>
      </c>
      <c r="AH797" s="1128">
        <f t="shared" si="908"/>
        <v>80.440061057794196</v>
      </c>
      <c r="AI797" s="1128">
        <f t="shared" si="909"/>
        <v>77.759767013169764</v>
      </c>
      <c r="AJ797" s="1128">
        <f t="shared" si="910"/>
        <v>72.66420089406185</v>
      </c>
      <c r="AK797" s="1128">
        <f t="shared" si="911"/>
        <v>66.481600534466736</v>
      </c>
      <c r="AL797" s="1128">
        <f t="shared" si="912"/>
        <v>60.82355599486845</v>
      </c>
      <c r="AM797" s="1125">
        <f t="shared" si="913"/>
        <v>1</v>
      </c>
      <c r="AN797" s="1125">
        <f t="shared" si="914"/>
        <v>1</v>
      </c>
      <c r="AO797" s="1125">
        <f t="shared" si="915"/>
        <v>1</v>
      </c>
      <c r="AP797" s="1125">
        <f t="shared" si="916"/>
        <v>1</v>
      </c>
      <c r="AQ797" s="1125">
        <f t="shared" si="917"/>
        <v>0</v>
      </c>
      <c r="AR797" s="1125">
        <f t="shared" si="918"/>
        <v>0</v>
      </c>
      <c r="AS797" s="1125">
        <f t="shared" si="919"/>
        <v>0</v>
      </c>
      <c r="AT797" s="1125">
        <f t="shared" si="920"/>
        <v>0</v>
      </c>
      <c r="AU797" s="1125">
        <f t="shared" si="921"/>
        <v>0</v>
      </c>
      <c r="AV797" s="1125">
        <f t="shared" si="922"/>
        <v>1</v>
      </c>
      <c r="AW797" s="1125">
        <f t="shared" si="923"/>
        <v>1</v>
      </c>
      <c r="AX797" s="1125">
        <f t="shared" si="924"/>
        <v>1</v>
      </c>
      <c r="AY797" s="1125">
        <f t="shared" si="925"/>
        <v>0</v>
      </c>
      <c r="AZ797" s="1125">
        <f t="shared" si="926"/>
        <v>0</v>
      </c>
      <c r="BA797" s="1125">
        <f t="shared" si="927"/>
        <v>0</v>
      </c>
      <c r="BB797" s="1125">
        <f t="shared" si="928"/>
        <v>0</v>
      </c>
      <c r="BC797" s="1125">
        <f t="shared" si="929"/>
        <v>1</v>
      </c>
      <c r="BD797" s="1125">
        <f t="shared" si="930"/>
        <v>1</v>
      </c>
      <c r="BE797" s="1125">
        <f t="shared" si="931"/>
        <v>1</v>
      </c>
      <c r="BF797" s="1125">
        <f t="shared" si="932"/>
        <v>1</v>
      </c>
      <c r="BG797" s="1125">
        <f t="shared" si="933"/>
        <v>1</v>
      </c>
      <c r="BH797" s="1125">
        <f t="shared" si="934"/>
        <v>0</v>
      </c>
      <c r="BI797" s="1125">
        <f t="shared" si="935"/>
        <v>0</v>
      </c>
      <c r="BJ797" s="1125">
        <f t="shared" si="936"/>
        <v>0</v>
      </c>
      <c r="BK797" s="1125">
        <f t="shared" si="937"/>
        <v>1</v>
      </c>
      <c r="BL797" s="1125">
        <f t="shared" si="938"/>
        <v>1</v>
      </c>
      <c r="BM797" s="1125">
        <f t="shared" si="939"/>
        <v>1</v>
      </c>
      <c r="BN797" s="1125">
        <f t="shared" si="940"/>
        <v>1</v>
      </c>
      <c r="BO797" s="1125">
        <f t="shared" si="941"/>
        <v>1</v>
      </c>
      <c r="BP797" s="1125">
        <f t="shared" si="942"/>
        <v>0</v>
      </c>
      <c r="BQ797" s="1125">
        <f t="shared" si="943"/>
        <v>0</v>
      </c>
      <c r="BR797" s="1125">
        <f t="shared" si="944"/>
        <v>0</v>
      </c>
      <c r="BS797" s="1125">
        <f t="shared" si="945"/>
        <v>0</v>
      </c>
      <c r="BT797" s="1125">
        <f t="shared" si="946"/>
        <v>1</v>
      </c>
      <c r="BU797" s="1125">
        <f t="shared" si="947"/>
        <v>1</v>
      </c>
      <c r="BV797" s="1125">
        <f t="shared" si="948"/>
        <v>1</v>
      </c>
      <c r="BW797" s="1125">
        <f t="shared" si="949"/>
        <v>0</v>
      </c>
      <c r="BX797" s="1125">
        <f t="shared" si="950"/>
        <v>0</v>
      </c>
      <c r="BY797" s="1125">
        <f t="shared" si="951"/>
        <v>0</v>
      </c>
      <c r="BZ797" s="1125">
        <f t="shared" si="952"/>
        <v>1</v>
      </c>
      <c r="CA797" s="1125">
        <f t="shared" si="953"/>
        <v>1</v>
      </c>
      <c r="CB797" s="1125">
        <f t="shared" si="954"/>
        <v>1</v>
      </c>
      <c r="CC797" s="1125">
        <f t="shared" si="955"/>
        <v>1</v>
      </c>
      <c r="CD797" s="1125">
        <f t="shared" si="956"/>
        <v>1</v>
      </c>
      <c r="CE797" s="1125">
        <f t="shared" si="957"/>
        <v>1</v>
      </c>
      <c r="CF797" s="1125">
        <f t="shared" si="958"/>
        <v>1</v>
      </c>
      <c r="CG797" s="1125">
        <f t="shared" si="959"/>
        <v>0</v>
      </c>
      <c r="CH797" s="1125">
        <f t="shared" si="960"/>
        <v>0</v>
      </c>
      <c r="CI797" s="1125">
        <f t="shared" si="961"/>
        <v>0.85</v>
      </c>
      <c r="CJ797" s="1125">
        <f t="shared" si="962"/>
        <v>0.85</v>
      </c>
      <c r="CK797" s="1125">
        <f t="shared" si="963"/>
        <v>0.85</v>
      </c>
      <c r="CL797" s="1125">
        <f t="shared" si="964"/>
        <v>0.85</v>
      </c>
      <c r="CM797" s="1125">
        <f t="shared" si="965"/>
        <v>0.85</v>
      </c>
      <c r="CN797" s="1125">
        <f t="shared" si="966"/>
        <v>0.7</v>
      </c>
      <c r="CO797" s="1125">
        <f t="shared" si="967"/>
        <v>0.7</v>
      </c>
      <c r="CP797" s="1125">
        <f t="shared" si="968"/>
        <v>0.7</v>
      </c>
      <c r="CQ797" s="1125">
        <f t="shared" si="969"/>
        <v>0.7</v>
      </c>
      <c r="CR797" s="1125">
        <f t="shared" si="970"/>
        <v>0.85</v>
      </c>
      <c r="CS797" s="1125">
        <f t="shared" si="971"/>
        <v>0.85</v>
      </c>
      <c r="CT797" s="1125">
        <f t="shared" si="972"/>
        <v>0.85</v>
      </c>
      <c r="CU797" s="1125">
        <v>1</v>
      </c>
      <c r="CV797" s="1125"/>
      <c r="CW797" s="1125">
        <f t="shared" si="973"/>
        <v>214</v>
      </c>
      <c r="CX797" s="1125">
        <f t="shared" si="974"/>
        <v>151</v>
      </c>
      <c r="CY797" s="1136" t="s">
        <v>4886</v>
      </c>
      <c r="CZ797" s="1129" t="s">
        <v>4888</v>
      </c>
      <c r="DA797" s="1129"/>
      <c r="DB797" s="1129"/>
      <c r="DC797" s="1125" t="s">
        <v>5455</v>
      </c>
      <c r="DD797" s="1125" t="s">
        <v>538</v>
      </c>
      <c r="DE797" s="1120" t="str">
        <f t="shared" si="975"/>
        <v/>
      </c>
      <c r="DF797" s="1133">
        <v>0</v>
      </c>
      <c r="DG797" s="1125">
        <v>0</v>
      </c>
    </row>
    <row r="798" spans="1:111">
      <c r="A798" s="1120" t="s">
        <v>4290</v>
      </c>
      <c r="B798" s="1120" t="s">
        <v>3577</v>
      </c>
      <c r="C798" s="1120" t="s">
        <v>3578</v>
      </c>
      <c r="D798" s="1120" t="s">
        <v>256</v>
      </c>
      <c r="E798" s="1120">
        <v>1856</v>
      </c>
      <c r="F798" s="1120">
        <v>-98.82</v>
      </c>
      <c r="G798" s="1120">
        <v>38.880000000000003</v>
      </c>
      <c r="H798" s="1120">
        <v>-6</v>
      </c>
      <c r="I798" s="1121">
        <v>5.3599996566772452</v>
      </c>
      <c r="J798" s="1121">
        <v>97.160001373291024</v>
      </c>
      <c r="K798" s="1122">
        <v>72.139998626708987</v>
      </c>
      <c r="L798" s="1120">
        <v>5011.2</v>
      </c>
      <c r="M798" s="1120">
        <v>1485</v>
      </c>
      <c r="N798" s="1123">
        <v>27.679999828338623</v>
      </c>
      <c r="O798" s="1123">
        <v>28.039999914169311</v>
      </c>
      <c r="P798" s="1123">
        <v>46.220000171661376</v>
      </c>
      <c r="Q798" s="1123">
        <v>55.4</v>
      </c>
      <c r="R798" s="1123">
        <v>66.380000686645502</v>
      </c>
      <c r="S798" s="1123">
        <v>73.039998626708979</v>
      </c>
      <c r="T798" s="1123">
        <v>79.33999862670899</v>
      </c>
      <c r="U798" s="1123">
        <v>79.7</v>
      </c>
      <c r="V798" s="1123">
        <v>64.760001373291018</v>
      </c>
      <c r="W798" s="1123">
        <v>56.840000343322757</v>
      </c>
      <c r="X798" s="1123">
        <v>43.159999656677243</v>
      </c>
      <c r="Y798" s="1123">
        <v>34.339999914169312</v>
      </c>
      <c r="Z798" s="1123">
        <v>54.743616367104934</v>
      </c>
      <c r="AA798" s="1123">
        <f t="shared" si="901"/>
        <v>48.678481432377197</v>
      </c>
      <c r="AB798" s="1123">
        <f t="shared" si="902"/>
        <v>47.609621240979806</v>
      </c>
      <c r="AC798" s="1123">
        <f t="shared" si="903"/>
        <v>49.964339280198445</v>
      </c>
      <c r="AD798" s="1123">
        <f t="shared" si="904"/>
        <v>55.128842005807392</v>
      </c>
      <c r="AE798" s="1123">
        <f t="shared" si="905"/>
        <v>61.756922194980575</v>
      </c>
      <c r="AF798" s="1123">
        <f t="shared" si="906"/>
        <v>68.120868604602492</v>
      </c>
      <c r="AG798" s="1123">
        <f t="shared" si="907"/>
        <v>72.561820531622416</v>
      </c>
      <c r="AH798" s="1123">
        <f t="shared" si="908"/>
        <v>73.922175419121828</v>
      </c>
      <c r="AI798" s="1123">
        <f t="shared" si="909"/>
        <v>71.847335801970644</v>
      </c>
      <c r="AJ798" s="1123">
        <f t="shared" si="910"/>
        <v>66.878140600625642</v>
      </c>
      <c r="AK798" s="1123">
        <f t="shared" si="911"/>
        <v>60.309887121933464</v>
      </c>
      <c r="AL798" s="1123">
        <f t="shared" si="912"/>
        <v>53.85469185496521</v>
      </c>
      <c r="AM798" s="1120">
        <f t="shared" si="913"/>
        <v>1</v>
      </c>
      <c r="AN798" s="1120">
        <f t="shared" si="914"/>
        <v>1</v>
      </c>
      <c r="AO798" s="1120">
        <f t="shared" si="915"/>
        <v>1</v>
      </c>
      <c r="AP798" s="1120">
        <f t="shared" si="916"/>
        <v>1</v>
      </c>
      <c r="AQ798" s="1120">
        <f t="shared" si="917"/>
        <v>0</v>
      </c>
      <c r="AR798" s="1120">
        <f t="shared" si="918"/>
        <v>0</v>
      </c>
      <c r="AS798" s="1120">
        <f t="shared" si="919"/>
        <v>0</v>
      </c>
      <c r="AT798" s="1120">
        <f t="shared" si="920"/>
        <v>0</v>
      </c>
      <c r="AU798" s="1120">
        <f t="shared" si="921"/>
        <v>1</v>
      </c>
      <c r="AV798" s="1120">
        <f t="shared" si="922"/>
        <v>1</v>
      </c>
      <c r="AW798" s="1120">
        <f t="shared" si="923"/>
        <v>1</v>
      </c>
      <c r="AX798" s="1120">
        <f t="shared" si="924"/>
        <v>1</v>
      </c>
      <c r="AY798" s="1120">
        <f t="shared" si="925"/>
        <v>0</v>
      </c>
      <c r="AZ798" s="1120">
        <f t="shared" si="926"/>
        <v>0</v>
      </c>
      <c r="BA798" s="1120">
        <f t="shared" si="927"/>
        <v>0</v>
      </c>
      <c r="BB798" s="1120">
        <f t="shared" si="928"/>
        <v>0</v>
      </c>
      <c r="BC798" s="1120">
        <f t="shared" si="929"/>
        <v>1</v>
      </c>
      <c r="BD798" s="1120">
        <f t="shared" si="930"/>
        <v>1</v>
      </c>
      <c r="BE798" s="1120">
        <f t="shared" si="931"/>
        <v>1</v>
      </c>
      <c r="BF798" s="1120">
        <f t="shared" si="932"/>
        <v>1</v>
      </c>
      <c r="BG798" s="1120">
        <f t="shared" si="933"/>
        <v>0</v>
      </c>
      <c r="BH798" s="1120">
        <f t="shared" si="934"/>
        <v>0</v>
      </c>
      <c r="BI798" s="1120">
        <f t="shared" si="935"/>
        <v>0</v>
      </c>
      <c r="BJ798" s="1120">
        <f t="shared" si="936"/>
        <v>0</v>
      </c>
      <c r="BK798" s="1120">
        <f t="shared" si="937"/>
        <v>1</v>
      </c>
      <c r="BL798" s="1120">
        <f t="shared" si="938"/>
        <v>1</v>
      </c>
      <c r="BM798" s="1120">
        <f t="shared" si="939"/>
        <v>1</v>
      </c>
      <c r="BN798" s="1120">
        <f t="shared" si="940"/>
        <v>1</v>
      </c>
      <c r="BO798" s="1120">
        <f t="shared" si="941"/>
        <v>1</v>
      </c>
      <c r="BP798" s="1120">
        <f t="shared" si="942"/>
        <v>0</v>
      </c>
      <c r="BQ798" s="1120">
        <f t="shared" si="943"/>
        <v>0</v>
      </c>
      <c r="BR798" s="1120">
        <f t="shared" si="944"/>
        <v>0</v>
      </c>
      <c r="BS798" s="1120">
        <f t="shared" si="945"/>
        <v>1</v>
      </c>
      <c r="BT798" s="1120">
        <f t="shared" si="946"/>
        <v>1</v>
      </c>
      <c r="BU798" s="1120">
        <f t="shared" si="947"/>
        <v>1</v>
      </c>
      <c r="BV798" s="1120">
        <f t="shared" si="948"/>
        <v>1</v>
      </c>
      <c r="BW798" s="1120">
        <f t="shared" si="949"/>
        <v>0</v>
      </c>
      <c r="BX798" s="1120">
        <f t="shared" si="950"/>
        <v>0</v>
      </c>
      <c r="BY798" s="1120">
        <f t="shared" si="951"/>
        <v>0</v>
      </c>
      <c r="BZ798" s="1120">
        <f t="shared" si="952"/>
        <v>1</v>
      </c>
      <c r="CA798" s="1120">
        <f t="shared" si="953"/>
        <v>1</v>
      </c>
      <c r="CB798" s="1120">
        <f t="shared" si="954"/>
        <v>1</v>
      </c>
      <c r="CC798" s="1120">
        <f t="shared" si="955"/>
        <v>1</v>
      </c>
      <c r="CD798" s="1120">
        <f t="shared" si="956"/>
        <v>1</v>
      </c>
      <c r="CE798" s="1120">
        <f t="shared" si="957"/>
        <v>1</v>
      </c>
      <c r="CF798" s="1120">
        <f t="shared" si="958"/>
        <v>0</v>
      </c>
      <c r="CG798" s="1120">
        <f t="shared" si="959"/>
        <v>0</v>
      </c>
      <c r="CH798" s="1120">
        <f t="shared" si="960"/>
        <v>0</v>
      </c>
      <c r="CI798" s="1120">
        <f t="shared" si="961"/>
        <v>0.85</v>
      </c>
      <c r="CJ798" s="1120">
        <f t="shared" si="962"/>
        <v>0.85</v>
      </c>
      <c r="CK798" s="1120">
        <f t="shared" si="963"/>
        <v>0.85</v>
      </c>
      <c r="CL798" s="1120">
        <f t="shared" si="964"/>
        <v>0.85</v>
      </c>
      <c r="CM798" s="1120">
        <f t="shared" si="965"/>
        <v>0.85</v>
      </c>
      <c r="CN798" s="1120">
        <f t="shared" si="966"/>
        <v>0.7</v>
      </c>
      <c r="CO798" s="1120">
        <f t="shared" si="967"/>
        <v>0.7</v>
      </c>
      <c r="CP798" s="1120">
        <f t="shared" si="968"/>
        <v>0.7</v>
      </c>
      <c r="CQ798" s="1120">
        <f t="shared" si="969"/>
        <v>0.85</v>
      </c>
      <c r="CR798" s="1120">
        <f t="shared" si="970"/>
        <v>0.85</v>
      </c>
      <c r="CS798" s="1120">
        <f t="shared" si="971"/>
        <v>0.85</v>
      </c>
      <c r="CT798" s="1120">
        <f t="shared" si="972"/>
        <v>0.85</v>
      </c>
      <c r="CU798" s="1120">
        <v>1</v>
      </c>
      <c r="CV798" s="1120"/>
      <c r="CW798" s="1120">
        <f t="shared" si="973"/>
        <v>183</v>
      </c>
      <c r="CX798" s="1120">
        <f t="shared" si="974"/>
        <v>182</v>
      </c>
      <c r="CY798" s="1135" t="s">
        <v>4881</v>
      </c>
      <c r="CZ798" s="1124" t="s">
        <v>4885</v>
      </c>
      <c r="DA798" s="1124"/>
      <c r="DB798" s="1124"/>
      <c r="DC798" s="1120" t="s">
        <v>5237</v>
      </c>
      <c r="DD798" s="1120" t="s">
        <v>256</v>
      </c>
      <c r="DE798" s="1120" t="str">
        <f t="shared" si="975"/>
        <v/>
      </c>
      <c r="DF798" s="1133">
        <v>0</v>
      </c>
      <c r="DG798" s="1120">
        <v>0</v>
      </c>
    </row>
    <row r="799" spans="1:111">
      <c r="A799" s="1125" t="s">
        <v>4292</v>
      </c>
      <c r="B799" s="1120" t="s">
        <v>4548</v>
      </c>
      <c r="C799" s="1120" t="s">
        <v>4549</v>
      </c>
      <c r="D799" s="1120" t="s">
        <v>1033</v>
      </c>
      <c r="E799" s="1120">
        <v>807</v>
      </c>
      <c r="F799" s="1120">
        <v>-72.95</v>
      </c>
      <c r="G799" s="1120">
        <v>43.52</v>
      </c>
      <c r="H799" s="1120">
        <v>-5</v>
      </c>
      <c r="I799" s="1121">
        <v>-1.8399986267089852</v>
      </c>
      <c r="J799" s="1121">
        <v>82.219999313354492</v>
      </c>
      <c r="K799" s="1122">
        <v>68.539998626708979</v>
      </c>
      <c r="L799" s="1120">
        <v>7304.4000000000005</v>
      </c>
      <c r="M799" s="1120">
        <v>538.20000000000005</v>
      </c>
      <c r="N799" s="1123">
        <v>17.959999656677248</v>
      </c>
      <c r="O799" s="1123">
        <v>22.640000343322754</v>
      </c>
      <c r="P799" s="1123">
        <v>28.4</v>
      </c>
      <c r="Q799" s="1123">
        <v>48.2</v>
      </c>
      <c r="R799" s="1123">
        <v>58.459999656677248</v>
      </c>
      <c r="S799" s="1123">
        <v>64.039998626708979</v>
      </c>
      <c r="T799" s="1123">
        <v>70.880000686645502</v>
      </c>
      <c r="U799" s="1123">
        <v>68.719999313354492</v>
      </c>
      <c r="V799" s="1123">
        <v>61.339998626708983</v>
      </c>
      <c r="W799" s="1123">
        <v>48.559999656677249</v>
      </c>
      <c r="X799" s="1123">
        <v>34.880000042915341</v>
      </c>
      <c r="Y799" s="1123">
        <v>24.620000171661378</v>
      </c>
      <c r="Z799" s="1123">
        <v>45.844712059987735</v>
      </c>
      <c r="AA799" s="1123">
        <f t="shared" si="901"/>
        <v>42.526483668566641</v>
      </c>
      <c r="AB799" s="1123">
        <f t="shared" si="902"/>
        <v>40.788919535369871</v>
      </c>
      <c r="AC799" s="1123">
        <f t="shared" si="903"/>
        <v>41.933218098634761</v>
      </c>
      <c r="AD799" s="1123">
        <f t="shared" si="904"/>
        <v>45.661100303671674</v>
      </c>
      <c r="AE799" s="1123">
        <f t="shared" si="905"/>
        <v>51.000836205334004</v>
      </c>
      <c r="AF799" s="1123">
        <f t="shared" si="906"/>
        <v>56.560541353032391</v>
      </c>
      <c r="AG799" s="1123">
        <f t="shared" si="907"/>
        <v>60.890992922369492</v>
      </c>
      <c r="AH799" s="1123">
        <f t="shared" si="908"/>
        <v>62.863391977518866</v>
      </c>
      <c r="AI799" s="1123">
        <f t="shared" si="909"/>
        <v>61.963602309166333</v>
      </c>
      <c r="AJ799" s="1123">
        <f t="shared" si="910"/>
        <v>58.426167960546486</v>
      </c>
      <c r="AK799" s="1123">
        <f t="shared" si="911"/>
        <v>53.173175708140526</v>
      </c>
      <c r="AL799" s="1123">
        <f t="shared" si="912"/>
        <v>47.573898933599025</v>
      </c>
      <c r="AM799" s="1120">
        <f t="shared" si="913"/>
        <v>1</v>
      </c>
      <c r="AN799" s="1120">
        <f t="shared" si="914"/>
        <v>1</v>
      </c>
      <c r="AO799" s="1120">
        <f t="shared" si="915"/>
        <v>1</v>
      </c>
      <c r="AP799" s="1120">
        <f t="shared" si="916"/>
        <v>1</v>
      </c>
      <c r="AQ799" s="1120">
        <f t="shared" si="917"/>
        <v>1</v>
      </c>
      <c r="AR799" s="1120">
        <f t="shared" si="918"/>
        <v>1</v>
      </c>
      <c r="AS799" s="1120">
        <f t="shared" si="919"/>
        <v>0</v>
      </c>
      <c r="AT799" s="1120">
        <f t="shared" si="920"/>
        <v>0</v>
      </c>
      <c r="AU799" s="1120">
        <f t="shared" si="921"/>
        <v>1</v>
      </c>
      <c r="AV799" s="1120">
        <f t="shared" si="922"/>
        <v>1</v>
      </c>
      <c r="AW799" s="1120">
        <f t="shared" si="923"/>
        <v>1</v>
      </c>
      <c r="AX799" s="1120">
        <f t="shared" si="924"/>
        <v>1</v>
      </c>
      <c r="AY799" s="1120">
        <f t="shared" si="925"/>
        <v>0</v>
      </c>
      <c r="AZ799" s="1120">
        <f t="shared" si="926"/>
        <v>0</v>
      </c>
      <c r="BA799" s="1120">
        <f t="shared" si="927"/>
        <v>0</v>
      </c>
      <c r="BB799" s="1120">
        <f t="shared" si="928"/>
        <v>0</v>
      </c>
      <c r="BC799" s="1120">
        <f t="shared" si="929"/>
        <v>0</v>
      </c>
      <c r="BD799" s="1120">
        <f t="shared" si="930"/>
        <v>0</v>
      </c>
      <c r="BE799" s="1120">
        <f t="shared" si="931"/>
        <v>1</v>
      </c>
      <c r="BF799" s="1120">
        <f t="shared" si="932"/>
        <v>1</v>
      </c>
      <c r="BG799" s="1120">
        <f t="shared" si="933"/>
        <v>0</v>
      </c>
      <c r="BH799" s="1120">
        <f t="shared" si="934"/>
        <v>0</v>
      </c>
      <c r="BI799" s="1120">
        <f t="shared" si="935"/>
        <v>0</v>
      </c>
      <c r="BJ799" s="1120">
        <f t="shared" si="936"/>
        <v>0</v>
      </c>
      <c r="BK799" s="1120">
        <f t="shared" si="937"/>
        <v>1</v>
      </c>
      <c r="BL799" s="1120">
        <f t="shared" si="938"/>
        <v>1</v>
      </c>
      <c r="BM799" s="1120">
        <f t="shared" si="939"/>
        <v>1</v>
      </c>
      <c r="BN799" s="1120">
        <f t="shared" si="940"/>
        <v>1</v>
      </c>
      <c r="BO799" s="1120">
        <f t="shared" si="941"/>
        <v>1</v>
      </c>
      <c r="BP799" s="1120">
        <f t="shared" si="942"/>
        <v>1</v>
      </c>
      <c r="BQ799" s="1120">
        <f t="shared" si="943"/>
        <v>1</v>
      </c>
      <c r="BR799" s="1120">
        <f t="shared" si="944"/>
        <v>0</v>
      </c>
      <c r="BS799" s="1120">
        <f t="shared" si="945"/>
        <v>1</v>
      </c>
      <c r="BT799" s="1120">
        <f t="shared" si="946"/>
        <v>1</v>
      </c>
      <c r="BU799" s="1120">
        <f t="shared" si="947"/>
        <v>1</v>
      </c>
      <c r="BV799" s="1120">
        <f t="shared" si="948"/>
        <v>1</v>
      </c>
      <c r="BW799" s="1120">
        <f t="shared" si="949"/>
        <v>0</v>
      </c>
      <c r="BX799" s="1120">
        <f t="shared" si="950"/>
        <v>0</v>
      </c>
      <c r="BY799" s="1120">
        <f t="shared" si="951"/>
        <v>0</v>
      </c>
      <c r="BZ799" s="1120">
        <f t="shared" si="952"/>
        <v>0</v>
      </c>
      <c r="CA799" s="1120">
        <f t="shared" si="953"/>
        <v>0</v>
      </c>
      <c r="CB799" s="1120">
        <f t="shared" si="954"/>
        <v>1</v>
      </c>
      <c r="CC799" s="1120">
        <f t="shared" si="955"/>
        <v>1</v>
      </c>
      <c r="CD799" s="1120">
        <f t="shared" si="956"/>
        <v>1</v>
      </c>
      <c r="CE799" s="1120">
        <f t="shared" si="957"/>
        <v>1</v>
      </c>
      <c r="CF799" s="1120">
        <f t="shared" si="958"/>
        <v>0</v>
      </c>
      <c r="CG799" s="1120">
        <f t="shared" si="959"/>
        <v>0</v>
      </c>
      <c r="CH799" s="1120">
        <f t="shared" si="960"/>
        <v>0</v>
      </c>
      <c r="CI799" s="1120">
        <f t="shared" si="961"/>
        <v>0.85</v>
      </c>
      <c r="CJ799" s="1120">
        <f t="shared" si="962"/>
        <v>0.85</v>
      </c>
      <c r="CK799" s="1120">
        <f t="shared" si="963"/>
        <v>0.85</v>
      </c>
      <c r="CL799" s="1120">
        <f t="shared" si="964"/>
        <v>0.85</v>
      </c>
      <c r="CM799" s="1120">
        <f t="shared" si="965"/>
        <v>0.85</v>
      </c>
      <c r="CN799" s="1120">
        <f t="shared" si="966"/>
        <v>0.85</v>
      </c>
      <c r="CO799" s="1120">
        <f t="shared" si="967"/>
        <v>0.85</v>
      </c>
      <c r="CP799" s="1120">
        <f t="shared" si="968"/>
        <v>0.7</v>
      </c>
      <c r="CQ799" s="1120">
        <f t="shared" si="969"/>
        <v>0.85</v>
      </c>
      <c r="CR799" s="1120">
        <f t="shared" si="970"/>
        <v>0.85</v>
      </c>
      <c r="CS799" s="1120">
        <f t="shared" si="971"/>
        <v>0.85</v>
      </c>
      <c r="CT799" s="1120">
        <f t="shared" si="972"/>
        <v>0.85</v>
      </c>
      <c r="CU799" s="1120">
        <v>1</v>
      </c>
      <c r="CV799" s="1120"/>
      <c r="CW799" s="1120">
        <f t="shared" si="973"/>
        <v>122</v>
      </c>
      <c r="CX799" s="1120">
        <f t="shared" si="974"/>
        <v>243</v>
      </c>
      <c r="CY799" s="1136" t="s">
        <v>4889</v>
      </c>
      <c r="CZ799" s="1129" t="s">
        <v>4899</v>
      </c>
      <c r="DA799" s="1129"/>
      <c r="DB799" s="1129"/>
      <c r="DC799" s="1125" t="s">
        <v>5649</v>
      </c>
      <c r="DD799" s="1125" t="s">
        <v>1033</v>
      </c>
      <c r="DE799" s="1120" t="str">
        <f t="shared" si="975"/>
        <v/>
      </c>
      <c r="DF799" s="1133">
        <v>1</v>
      </c>
      <c r="DG799" s="1125">
        <v>0</v>
      </c>
    </row>
    <row r="800" spans="1:111">
      <c r="A800" s="1120" t="s">
        <v>5917</v>
      </c>
      <c r="B800" s="1120" t="s">
        <v>3170</v>
      </c>
      <c r="C800" s="1120" t="s">
        <v>3171</v>
      </c>
      <c r="D800" s="1120" t="s">
        <v>954</v>
      </c>
      <c r="E800" s="1120">
        <v>16</v>
      </c>
      <c r="F800" s="1120">
        <v>-121.5</v>
      </c>
      <c r="G800" s="1120">
        <v>38.5</v>
      </c>
      <c r="H800" s="1120">
        <v>-8</v>
      </c>
      <c r="I800" s="1121">
        <v>33.799999999999997</v>
      </c>
      <c r="J800" s="1121">
        <v>97.160001373291024</v>
      </c>
      <c r="K800" s="1122">
        <v>68.900000000000006</v>
      </c>
      <c r="L800" s="1120">
        <v>2615.4</v>
      </c>
      <c r="M800" s="1120">
        <v>1002.6</v>
      </c>
      <c r="N800" s="1123">
        <v>47.3</v>
      </c>
      <c r="O800" s="1123">
        <v>50.540000343322752</v>
      </c>
      <c r="P800" s="1123">
        <v>53.6</v>
      </c>
      <c r="Q800" s="1123">
        <v>57.559999656677249</v>
      </c>
      <c r="R800" s="1123">
        <v>65.119999313354498</v>
      </c>
      <c r="S800" s="1123">
        <v>69.980000686645511</v>
      </c>
      <c r="T800" s="1123">
        <v>74.3</v>
      </c>
      <c r="U800" s="1123">
        <v>72.5</v>
      </c>
      <c r="V800" s="1123">
        <v>69.8</v>
      </c>
      <c r="W800" s="1123">
        <v>62.239998626708989</v>
      </c>
      <c r="X800" s="1123">
        <v>50.9</v>
      </c>
      <c r="Y800" s="1123">
        <v>45.5</v>
      </c>
      <c r="Z800" s="1123">
        <v>59.999123167273119</v>
      </c>
      <c r="AA800" s="1123">
        <f t="shared" si="901"/>
        <v>58.362513708769846</v>
      </c>
      <c r="AB800" s="1123">
        <f t="shared" si="902"/>
        <v>58.079275586170915</v>
      </c>
      <c r="AC800" s="1123">
        <f t="shared" si="903"/>
        <v>59.860467784131885</v>
      </c>
      <c r="AD800" s="1123">
        <f t="shared" si="904"/>
        <v>63.241795107251569</v>
      </c>
      <c r="AE800" s="1123">
        <f t="shared" si="905"/>
        <v>67.341862480927489</v>
      </c>
      <c r="AF800" s="1123">
        <f t="shared" si="906"/>
        <v>71.091924160260234</v>
      </c>
      <c r="AG800" s="1123">
        <f t="shared" si="907"/>
        <v>73.514468778331945</v>
      </c>
      <c r="AH800" s="1123">
        <f t="shared" si="908"/>
        <v>73.978022747899615</v>
      </c>
      <c r="AI800" s="1123">
        <f t="shared" si="909"/>
        <v>72.361753583212518</v>
      </c>
      <c r="AJ800" s="1123">
        <f t="shared" si="910"/>
        <v>69.086966749508136</v>
      </c>
      <c r="AK800" s="1123">
        <f t="shared" si="911"/>
        <v>65.007285900984215</v>
      </c>
      <c r="AL800" s="1123">
        <f t="shared" si="912"/>
        <v>61.186142720593423</v>
      </c>
      <c r="AM800" s="1120">
        <f t="shared" si="913"/>
        <v>1</v>
      </c>
      <c r="AN800" s="1120">
        <f t="shared" si="914"/>
        <v>1</v>
      </c>
      <c r="AO800" s="1120">
        <f t="shared" si="915"/>
        <v>1</v>
      </c>
      <c r="AP800" s="1120">
        <f t="shared" si="916"/>
        <v>1</v>
      </c>
      <c r="AQ800" s="1120">
        <f t="shared" si="917"/>
        <v>1</v>
      </c>
      <c r="AR800" s="1120">
        <f t="shared" si="918"/>
        <v>0</v>
      </c>
      <c r="AS800" s="1120">
        <f t="shared" si="919"/>
        <v>0</v>
      </c>
      <c r="AT800" s="1120">
        <f t="shared" si="920"/>
        <v>0</v>
      </c>
      <c r="AU800" s="1120">
        <f t="shared" si="921"/>
        <v>0</v>
      </c>
      <c r="AV800" s="1120">
        <f t="shared" si="922"/>
        <v>1</v>
      </c>
      <c r="AW800" s="1120">
        <f t="shared" si="923"/>
        <v>1</v>
      </c>
      <c r="AX800" s="1120">
        <f t="shared" si="924"/>
        <v>1</v>
      </c>
      <c r="AY800" s="1120">
        <f t="shared" si="925"/>
        <v>0</v>
      </c>
      <c r="AZ800" s="1120">
        <f t="shared" si="926"/>
        <v>0</v>
      </c>
      <c r="BA800" s="1120">
        <f t="shared" si="927"/>
        <v>0</v>
      </c>
      <c r="BB800" s="1120">
        <f t="shared" si="928"/>
        <v>0</v>
      </c>
      <c r="BC800" s="1120">
        <f t="shared" si="929"/>
        <v>0</v>
      </c>
      <c r="BD800" s="1120">
        <f t="shared" si="930"/>
        <v>1</v>
      </c>
      <c r="BE800" s="1120">
        <f t="shared" si="931"/>
        <v>1</v>
      </c>
      <c r="BF800" s="1120">
        <f t="shared" si="932"/>
        <v>1</v>
      </c>
      <c r="BG800" s="1120">
        <f t="shared" si="933"/>
        <v>1</v>
      </c>
      <c r="BH800" s="1120">
        <f t="shared" si="934"/>
        <v>0</v>
      </c>
      <c r="BI800" s="1120">
        <f t="shared" si="935"/>
        <v>0</v>
      </c>
      <c r="BJ800" s="1120">
        <f t="shared" si="936"/>
        <v>0</v>
      </c>
      <c r="BK800" s="1120">
        <f t="shared" si="937"/>
        <v>1</v>
      </c>
      <c r="BL800" s="1120">
        <f t="shared" si="938"/>
        <v>1</v>
      </c>
      <c r="BM800" s="1120">
        <f t="shared" si="939"/>
        <v>1</v>
      </c>
      <c r="BN800" s="1120">
        <f t="shared" si="940"/>
        <v>1</v>
      </c>
      <c r="BO800" s="1120">
        <f t="shared" si="941"/>
        <v>1</v>
      </c>
      <c r="BP800" s="1120">
        <f t="shared" si="942"/>
        <v>1</v>
      </c>
      <c r="BQ800" s="1120">
        <f t="shared" si="943"/>
        <v>0</v>
      </c>
      <c r="BR800" s="1120">
        <f t="shared" si="944"/>
        <v>0</v>
      </c>
      <c r="BS800" s="1120">
        <f t="shared" si="945"/>
        <v>0</v>
      </c>
      <c r="BT800" s="1120">
        <f t="shared" si="946"/>
        <v>1</v>
      </c>
      <c r="BU800" s="1120">
        <f t="shared" si="947"/>
        <v>1</v>
      </c>
      <c r="BV800" s="1120">
        <f t="shared" si="948"/>
        <v>1</v>
      </c>
      <c r="BW800" s="1120">
        <f t="shared" si="949"/>
        <v>0</v>
      </c>
      <c r="BX800" s="1120">
        <f t="shared" si="950"/>
        <v>0</v>
      </c>
      <c r="BY800" s="1120">
        <f t="shared" si="951"/>
        <v>0</v>
      </c>
      <c r="BZ800" s="1120">
        <f t="shared" si="952"/>
        <v>0</v>
      </c>
      <c r="CA800" s="1120">
        <f t="shared" si="953"/>
        <v>1</v>
      </c>
      <c r="CB800" s="1120">
        <f t="shared" si="954"/>
        <v>1</v>
      </c>
      <c r="CC800" s="1120">
        <f t="shared" si="955"/>
        <v>1</v>
      </c>
      <c r="CD800" s="1120">
        <f t="shared" si="956"/>
        <v>1</v>
      </c>
      <c r="CE800" s="1120">
        <f t="shared" si="957"/>
        <v>1</v>
      </c>
      <c r="CF800" s="1120">
        <f t="shared" si="958"/>
        <v>1</v>
      </c>
      <c r="CG800" s="1120">
        <f t="shared" si="959"/>
        <v>0</v>
      </c>
      <c r="CH800" s="1120">
        <f t="shared" si="960"/>
        <v>0</v>
      </c>
      <c r="CI800" s="1120">
        <f t="shared" si="961"/>
        <v>0.85</v>
      </c>
      <c r="CJ800" s="1120">
        <f t="shared" si="962"/>
        <v>0.85</v>
      </c>
      <c r="CK800" s="1120">
        <f t="shared" si="963"/>
        <v>0.85</v>
      </c>
      <c r="CL800" s="1120">
        <f t="shared" si="964"/>
        <v>0.85</v>
      </c>
      <c r="CM800" s="1120">
        <f t="shared" si="965"/>
        <v>0.85</v>
      </c>
      <c r="CN800" s="1120">
        <f t="shared" si="966"/>
        <v>0.85</v>
      </c>
      <c r="CO800" s="1120">
        <f t="shared" si="967"/>
        <v>0.7</v>
      </c>
      <c r="CP800" s="1120">
        <f t="shared" si="968"/>
        <v>0.7</v>
      </c>
      <c r="CQ800" s="1120">
        <f t="shared" si="969"/>
        <v>0.7</v>
      </c>
      <c r="CR800" s="1120">
        <f t="shared" si="970"/>
        <v>0.85</v>
      </c>
      <c r="CS800" s="1120">
        <f t="shared" si="971"/>
        <v>0.85</v>
      </c>
      <c r="CT800" s="1120">
        <f t="shared" si="972"/>
        <v>0.85</v>
      </c>
      <c r="CU800" s="1120">
        <v>1</v>
      </c>
      <c r="CV800" s="1120"/>
      <c r="CW800" s="1120">
        <f t="shared" si="973"/>
        <v>184</v>
      </c>
      <c r="CX800" s="1120">
        <f t="shared" si="974"/>
        <v>181</v>
      </c>
      <c r="CY800" s="1136" t="s">
        <v>4886</v>
      </c>
      <c r="CZ800" s="1129" t="s">
        <v>4888</v>
      </c>
      <c r="DA800" s="1129"/>
      <c r="DB800" s="1129"/>
      <c r="DC800" s="1125" t="s">
        <v>5050</v>
      </c>
      <c r="DD800" s="1125" t="s">
        <v>954</v>
      </c>
      <c r="DE800" s="1120" t="str">
        <f t="shared" si="975"/>
        <v/>
      </c>
      <c r="DF800" s="1120">
        <v>1</v>
      </c>
      <c r="DG800" s="1120">
        <v>0</v>
      </c>
    </row>
    <row r="801" spans="1:111">
      <c r="A801" s="1125" t="s">
        <v>4294</v>
      </c>
      <c r="B801" s="1125" t="s">
        <v>3172</v>
      </c>
      <c r="C801" s="1125" t="s">
        <v>3173</v>
      </c>
      <c r="D801" s="1125" t="s">
        <v>954</v>
      </c>
      <c r="E801" s="1125">
        <v>23</v>
      </c>
      <c r="F801" s="1125">
        <v>-121.58</v>
      </c>
      <c r="G801" s="1125">
        <v>38.700000000000003</v>
      </c>
      <c r="H801" s="1125">
        <v>-8</v>
      </c>
      <c r="I801" s="1126">
        <v>33.980000042915343</v>
      </c>
      <c r="J801" s="1126">
        <v>97.879997253417969</v>
      </c>
      <c r="K801" s="1127">
        <v>69.619999313354498</v>
      </c>
      <c r="L801" s="1125">
        <v>2584.8000000000002</v>
      </c>
      <c r="M801" s="1125">
        <v>1206</v>
      </c>
      <c r="N801" s="1128">
        <v>45.859999656677246</v>
      </c>
      <c r="O801" s="1128">
        <v>47.3</v>
      </c>
      <c r="P801" s="1128">
        <v>56.840000343322757</v>
      </c>
      <c r="Q801" s="1128">
        <v>61.339998626708983</v>
      </c>
      <c r="R801" s="1128">
        <v>64.760001373291018</v>
      </c>
      <c r="S801" s="1128">
        <v>73.400000000000006</v>
      </c>
      <c r="T801" s="1128">
        <v>74.83999862670899</v>
      </c>
      <c r="U801" s="1128">
        <v>73.580000686645505</v>
      </c>
      <c r="V801" s="1128">
        <v>69.980000686645511</v>
      </c>
      <c r="W801" s="1128">
        <v>60.440000343322751</v>
      </c>
      <c r="X801" s="1128">
        <v>52.519999313354489</v>
      </c>
      <c r="Y801" s="1128">
        <v>45.859999656677246</v>
      </c>
      <c r="Z801" s="1128">
        <v>60.627890356403505</v>
      </c>
      <c r="AA801" s="1128">
        <f t="shared" si="901"/>
        <v>58.829209815092383</v>
      </c>
      <c r="AB801" s="1128">
        <f t="shared" si="902"/>
        <v>58.586239818616036</v>
      </c>
      <c r="AC801" s="1128">
        <f t="shared" si="903"/>
        <v>60.439449960399969</v>
      </c>
      <c r="AD801" s="1128">
        <f t="shared" si="904"/>
        <v>63.905772458155461</v>
      </c>
      <c r="AE801" s="1128">
        <f t="shared" si="905"/>
        <v>68.081656935195895</v>
      </c>
      <c r="AF801" s="1128">
        <f t="shared" si="906"/>
        <v>71.878594750252972</v>
      </c>
      <c r="AG801" s="1128">
        <f t="shared" si="907"/>
        <v>74.306855549249178</v>
      </c>
      <c r="AH801" s="1128">
        <f t="shared" si="908"/>
        <v>74.73347573429453</v>
      </c>
      <c r="AI801" s="1128">
        <f t="shared" si="909"/>
        <v>73.047250179740871</v>
      </c>
      <c r="AJ801" s="1128">
        <f t="shared" si="910"/>
        <v>69.687719561905013</v>
      </c>
      <c r="AK801" s="1128">
        <f t="shared" si="911"/>
        <v>65.530597308259814</v>
      </c>
      <c r="AL801" s="1128">
        <f t="shared" si="912"/>
        <v>61.659501397410978</v>
      </c>
      <c r="AM801" s="1125">
        <f t="shared" si="913"/>
        <v>1</v>
      </c>
      <c r="AN801" s="1125">
        <f t="shared" si="914"/>
        <v>1</v>
      </c>
      <c r="AO801" s="1125">
        <f t="shared" si="915"/>
        <v>1</v>
      </c>
      <c r="AP801" s="1125">
        <f t="shared" si="916"/>
        <v>1</v>
      </c>
      <c r="AQ801" s="1125">
        <f t="shared" si="917"/>
        <v>1</v>
      </c>
      <c r="AR801" s="1125">
        <f t="shared" si="918"/>
        <v>0</v>
      </c>
      <c r="AS801" s="1125">
        <f t="shared" si="919"/>
        <v>0</v>
      </c>
      <c r="AT801" s="1125">
        <f t="shared" si="920"/>
        <v>0</v>
      </c>
      <c r="AU801" s="1125">
        <f t="shared" si="921"/>
        <v>0</v>
      </c>
      <c r="AV801" s="1125">
        <f t="shared" si="922"/>
        <v>1</v>
      </c>
      <c r="AW801" s="1125">
        <f t="shared" si="923"/>
        <v>1</v>
      </c>
      <c r="AX801" s="1125">
        <f t="shared" si="924"/>
        <v>1</v>
      </c>
      <c r="AY801" s="1125">
        <f t="shared" si="925"/>
        <v>0</v>
      </c>
      <c r="AZ801" s="1125">
        <f t="shared" si="926"/>
        <v>0</v>
      </c>
      <c r="BA801" s="1125">
        <f t="shared" si="927"/>
        <v>0</v>
      </c>
      <c r="BB801" s="1125">
        <f t="shared" si="928"/>
        <v>0</v>
      </c>
      <c r="BC801" s="1125">
        <f t="shared" si="929"/>
        <v>0</v>
      </c>
      <c r="BD801" s="1125">
        <f t="shared" si="930"/>
        <v>1</v>
      </c>
      <c r="BE801" s="1125">
        <f t="shared" si="931"/>
        <v>1</v>
      </c>
      <c r="BF801" s="1125">
        <f t="shared" si="932"/>
        <v>1</v>
      </c>
      <c r="BG801" s="1125">
        <f t="shared" si="933"/>
        <v>1</v>
      </c>
      <c r="BH801" s="1125">
        <f t="shared" si="934"/>
        <v>0</v>
      </c>
      <c r="BI801" s="1125">
        <f t="shared" si="935"/>
        <v>0</v>
      </c>
      <c r="BJ801" s="1125">
        <f t="shared" si="936"/>
        <v>0</v>
      </c>
      <c r="BK801" s="1125">
        <f t="shared" si="937"/>
        <v>1</v>
      </c>
      <c r="BL801" s="1125">
        <f t="shared" si="938"/>
        <v>1</v>
      </c>
      <c r="BM801" s="1125">
        <f t="shared" si="939"/>
        <v>1</v>
      </c>
      <c r="BN801" s="1125">
        <f t="shared" si="940"/>
        <v>1</v>
      </c>
      <c r="BO801" s="1125">
        <f t="shared" si="941"/>
        <v>1</v>
      </c>
      <c r="BP801" s="1125">
        <f t="shared" si="942"/>
        <v>1</v>
      </c>
      <c r="BQ801" s="1125">
        <f t="shared" si="943"/>
        <v>0</v>
      </c>
      <c r="BR801" s="1125">
        <f t="shared" si="944"/>
        <v>0</v>
      </c>
      <c r="BS801" s="1125">
        <f t="shared" si="945"/>
        <v>0</v>
      </c>
      <c r="BT801" s="1125">
        <f t="shared" si="946"/>
        <v>1</v>
      </c>
      <c r="BU801" s="1125">
        <f t="shared" si="947"/>
        <v>1</v>
      </c>
      <c r="BV801" s="1125">
        <f t="shared" si="948"/>
        <v>1</v>
      </c>
      <c r="BW801" s="1125">
        <f t="shared" si="949"/>
        <v>0</v>
      </c>
      <c r="BX801" s="1125">
        <f t="shared" si="950"/>
        <v>0</v>
      </c>
      <c r="BY801" s="1125">
        <f t="shared" si="951"/>
        <v>0</v>
      </c>
      <c r="BZ801" s="1125">
        <f t="shared" si="952"/>
        <v>0</v>
      </c>
      <c r="CA801" s="1125">
        <f t="shared" si="953"/>
        <v>1</v>
      </c>
      <c r="CB801" s="1125">
        <f t="shared" si="954"/>
        <v>1</v>
      </c>
      <c r="CC801" s="1125">
        <f t="shared" si="955"/>
        <v>1</v>
      </c>
      <c r="CD801" s="1125">
        <f t="shared" si="956"/>
        <v>1</v>
      </c>
      <c r="CE801" s="1125">
        <f t="shared" si="957"/>
        <v>1</v>
      </c>
      <c r="CF801" s="1125">
        <f t="shared" si="958"/>
        <v>1</v>
      </c>
      <c r="CG801" s="1125">
        <f t="shared" si="959"/>
        <v>0</v>
      </c>
      <c r="CH801" s="1125">
        <f t="shared" si="960"/>
        <v>0</v>
      </c>
      <c r="CI801" s="1125">
        <f t="shared" si="961"/>
        <v>0.85</v>
      </c>
      <c r="CJ801" s="1125">
        <f t="shared" si="962"/>
        <v>0.85</v>
      </c>
      <c r="CK801" s="1125">
        <f t="shared" si="963"/>
        <v>0.85</v>
      </c>
      <c r="CL801" s="1125">
        <f t="shared" si="964"/>
        <v>0.85</v>
      </c>
      <c r="CM801" s="1125">
        <f t="shared" si="965"/>
        <v>0.85</v>
      </c>
      <c r="CN801" s="1125">
        <f t="shared" si="966"/>
        <v>0.85</v>
      </c>
      <c r="CO801" s="1125">
        <f t="shared" si="967"/>
        <v>0.7</v>
      </c>
      <c r="CP801" s="1125">
        <f t="shared" si="968"/>
        <v>0.7</v>
      </c>
      <c r="CQ801" s="1125">
        <f t="shared" si="969"/>
        <v>0.7</v>
      </c>
      <c r="CR801" s="1125">
        <f t="shared" si="970"/>
        <v>0.85</v>
      </c>
      <c r="CS801" s="1125">
        <f t="shared" si="971"/>
        <v>0.85</v>
      </c>
      <c r="CT801" s="1125">
        <f t="shared" si="972"/>
        <v>0.85</v>
      </c>
      <c r="CU801" s="1125">
        <v>1</v>
      </c>
      <c r="CV801" s="1125"/>
      <c r="CW801" s="1125">
        <f t="shared" si="973"/>
        <v>184</v>
      </c>
      <c r="CX801" s="1125">
        <f t="shared" si="974"/>
        <v>181</v>
      </c>
      <c r="CY801" s="1135" t="s">
        <v>4886</v>
      </c>
      <c r="CZ801" s="1124" t="s">
        <v>4888</v>
      </c>
      <c r="DA801" s="1124"/>
      <c r="DB801" s="1124"/>
      <c r="DC801" s="1120" t="s">
        <v>5051</v>
      </c>
      <c r="DD801" s="1120" t="s">
        <v>954</v>
      </c>
      <c r="DE801" s="1120" t="str">
        <f t="shared" si="975"/>
        <v/>
      </c>
      <c r="DF801" s="1125">
        <v>1</v>
      </c>
      <c r="DG801" s="1125">
        <v>0</v>
      </c>
    </row>
    <row r="802" spans="1:111">
      <c r="A802" s="1120" t="s">
        <v>4296</v>
      </c>
      <c r="B802" s="1125" t="s">
        <v>3068</v>
      </c>
      <c r="C802" s="1125" t="s">
        <v>3069</v>
      </c>
      <c r="D802" s="1125" t="s">
        <v>1250</v>
      </c>
      <c r="E802" s="1125">
        <v>3116</v>
      </c>
      <c r="F802" s="1125">
        <v>-109.68</v>
      </c>
      <c r="G802" s="1125">
        <v>32.82</v>
      </c>
      <c r="H802" s="1125">
        <v>-7</v>
      </c>
      <c r="I802" s="1126">
        <v>28.039999914169311</v>
      </c>
      <c r="J802" s="1126">
        <v>101.66000137329102</v>
      </c>
      <c r="K802" s="1127">
        <v>65.480000686645511</v>
      </c>
      <c r="L802" s="1125">
        <v>1868.4</v>
      </c>
      <c r="M802" s="1125">
        <v>3027.6</v>
      </c>
      <c r="N802" s="1128">
        <v>48.380000686645509</v>
      </c>
      <c r="O802" s="1128">
        <v>53.6</v>
      </c>
      <c r="P802" s="1128">
        <v>62.419999313354495</v>
      </c>
      <c r="Q802" s="1128">
        <v>69.439998626708984</v>
      </c>
      <c r="R802" s="1128">
        <v>77.360001373291013</v>
      </c>
      <c r="S802" s="1128">
        <v>84.380000686645502</v>
      </c>
      <c r="T802" s="1128">
        <v>85.1</v>
      </c>
      <c r="U802" s="1128">
        <v>82.039998626708979</v>
      </c>
      <c r="V802" s="1128">
        <v>81.680000686645513</v>
      </c>
      <c r="W802" s="1128">
        <v>65.3</v>
      </c>
      <c r="X802" s="1128">
        <v>55.759999656677245</v>
      </c>
      <c r="Y802" s="1128">
        <v>44.6</v>
      </c>
      <c r="Z802" s="1128">
        <v>67.561095862192644</v>
      </c>
      <c r="AA802" s="1128">
        <f t="shared" si="901"/>
        <v>60.938550944956972</v>
      </c>
      <c r="AB802" s="1128">
        <f t="shared" si="902"/>
        <v>61.341012297641853</v>
      </c>
      <c r="AC802" s="1128">
        <f t="shared" si="903"/>
        <v>64.928826748614938</v>
      </c>
      <c r="AD802" s="1128">
        <f t="shared" si="904"/>
        <v>70.766775171335794</v>
      </c>
      <c r="AE802" s="1128">
        <f t="shared" si="905"/>
        <v>77.333106343913798</v>
      </c>
      <c r="AF802" s="1128">
        <f t="shared" si="906"/>
        <v>82.916204855990131</v>
      </c>
      <c r="AG802" s="1128">
        <f t="shared" si="907"/>
        <v>86.060750042239675</v>
      </c>
      <c r="AH802" s="1128">
        <f t="shared" si="908"/>
        <v>85.947067740958317</v>
      </c>
      <c r="AI802" s="1128">
        <f t="shared" si="909"/>
        <v>82.604790995872335</v>
      </c>
      <c r="AJ802" s="1128">
        <f t="shared" si="910"/>
        <v>76.905135746632126</v>
      </c>
      <c r="AK802" s="1128">
        <f t="shared" si="911"/>
        <v>70.333804968298239</v>
      </c>
      <c r="AL802" s="1128">
        <f t="shared" si="912"/>
        <v>64.603717295516034</v>
      </c>
      <c r="AM802" s="1125">
        <f t="shared" si="913"/>
        <v>1</v>
      </c>
      <c r="AN802" s="1125">
        <f t="shared" si="914"/>
        <v>1</v>
      </c>
      <c r="AO802" s="1125">
        <f t="shared" si="915"/>
        <v>1</v>
      </c>
      <c r="AP802" s="1125">
        <f t="shared" si="916"/>
        <v>0</v>
      </c>
      <c r="AQ802" s="1125">
        <f t="shared" si="917"/>
        <v>0</v>
      </c>
      <c r="AR802" s="1125">
        <f t="shared" si="918"/>
        <v>0</v>
      </c>
      <c r="AS802" s="1125">
        <f t="shared" si="919"/>
        <v>0</v>
      </c>
      <c r="AT802" s="1125">
        <f t="shared" si="920"/>
        <v>0</v>
      </c>
      <c r="AU802" s="1125">
        <f t="shared" si="921"/>
        <v>0</v>
      </c>
      <c r="AV802" s="1125">
        <f t="shared" si="922"/>
        <v>1</v>
      </c>
      <c r="AW802" s="1125">
        <f t="shared" si="923"/>
        <v>1</v>
      </c>
      <c r="AX802" s="1125">
        <f t="shared" si="924"/>
        <v>1</v>
      </c>
      <c r="AY802" s="1125">
        <f t="shared" si="925"/>
        <v>0</v>
      </c>
      <c r="AZ802" s="1125">
        <f t="shared" si="926"/>
        <v>0</v>
      </c>
      <c r="BA802" s="1125">
        <f t="shared" si="927"/>
        <v>0</v>
      </c>
      <c r="BB802" s="1125">
        <f t="shared" si="928"/>
        <v>1</v>
      </c>
      <c r="BC802" s="1125">
        <f t="shared" si="929"/>
        <v>1</v>
      </c>
      <c r="BD802" s="1125">
        <f t="shared" si="930"/>
        <v>1</v>
      </c>
      <c r="BE802" s="1125">
        <f t="shared" si="931"/>
        <v>1</v>
      </c>
      <c r="BF802" s="1125">
        <f t="shared" si="932"/>
        <v>1</v>
      </c>
      <c r="BG802" s="1125">
        <f t="shared" si="933"/>
        <v>1</v>
      </c>
      <c r="BH802" s="1125">
        <f t="shared" si="934"/>
        <v>0</v>
      </c>
      <c r="BI802" s="1125">
        <f t="shared" si="935"/>
        <v>0</v>
      </c>
      <c r="BJ802" s="1125">
        <f t="shared" si="936"/>
        <v>0</v>
      </c>
      <c r="BK802" s="1125">
        <f t="shared" si="937"/>
        <v>1</v>
      </c>
      <c r="BL802" s="1125">
        <f t="shared" si="938"/>
        <v>1</v>
      </c>
      <c r="BM802" s="1125">
        <f t="shared" si="939"/>
        <v>1</v>
      </c>
      <c r="BN802" s="1125">
        <f t="shared" si="940"/>
        <v>1</v>
      </c>
      <c r="BO802" s="1125">
        <f t="shared" si="941"/>
        <v>0</v>
      </c>
      <c r="BP802" s="1125">
        <f t="shared" si="942"/>
        <v>0</v>
      </c>
      <c r="BQ802" s="1125">
        <f t="shared" si="943"/>
        <v>0</v>
      </c>
      <c r="BR802" s="1125">
        <f t="shared" si="944"/>
        <v>0</v>
      </c>
      <c r="BS802" s="1125">
        <f t="shared" si="945"/>
        <v>0</v>
      </c>
      <c r="BT802" s="1125">
        <f t="shared" si="946"/>
        <v>1</v>
      </c>
      <c r="BU802" s="1125">
        <f t="shared" si="947"/>
        <v>1</v>
      </c>
      <c r="BV802" s="1125">
        <f t="shared" si="948"/>
        <v>1</v>
      </c>
      <c r="BW802" s="1125">
        <f t="shared" si="949"/>
        <v>0</v>
      </c>
      <c r="BX802" s="1125">
        <f t="shared" si="950"/>
        <v>0</v>
      </c>
      <c r="BY802" s="1125">
        <f t="shared" si="951"/>
        <v>1</v>
      </c>
      <c r="BZ802" s="1125">
        <f t="shared" si="952"/>
        <v>1</v>
      </c>
      <c r="CA802" s="1125">
        <f t="shared" si="953"/>
        <v>1</v>
      </c>
      <c r="CB802" s="1125">
        <f t="shared" si="954"/>
        <v>1</v>
      </c>
      <c r="CC802" s="1125">
        <f t="shared" si="955"/>
        <v>1</v>
      </c>
      <c r="CD802" s="1125">
        <f t="shared" si="956"/>
        <v>1</v>
      </c>
      <c r="CE802" s="1125">
        <f t="shared" si="957"/>
        <v>1</v>
      </c>
      <c r="CF802" s="1125">
        <f t="shared" si="958"/>
        <v>1</v>
      </c>
      <c r="CG802" s="1125">
        <f t="shared" si="959"/>
        <v>0</v>
      </c>
      <c r="CH802" s="1125">
        <f t="shared" si="960"/>
        <v>0</v>
      </c>
      <c r="CI802" s="1125">
        <f t="shared" si="961"/>
        <v>0.85</v>
      </c>
      <c r="CJ802" s="1125">
        <f t="shared" si="962"/>
        <v>0.85</v>
      </c>
      <c r="CK802" s="1125">
        <f t="shared" si="963"/>
        <v>0.85</v>
      </c>
      <c r="CL802" s="1125">
        <f t="shared" si="964"/>
        <v>0.85</v>
      </c>
      <c r="CM802" s="1125">
        <f t="shared" si="965"/>
        <v>0.7</v>
      </c>
      <c r="CN802" s="1125">
        <f t="shared" si="966"/>
        <v>0.7</v>
      </c>
      <c r="CO802" s="1125">
        <f t="shared" si="967"/>
        <v>0.7</v>
      </c>
      <c r="CP802" s="1125">
        <f t="shared" si="968"/>
        <v>0.7</v>
      </c>
      <c r="CQ802" s="1125">
        <f t="shared" si="969"/>
        <v>0.7</v>
      </c>
      <c r="CR802" s="1125">
        <f t="shared" si="970"/>
        <v>0.85</v>
      </c>
      <c r="CS802" s="1125">
        <f t="shared" si="971"/>
        <v>0.85</v>
      </c>
      <c r="CT802" s="1125">
        <f t="shared" si="972"/>
        <v>0.85</v>
      </c>
      <c r="CU802" s="1125">
        <v>1</v>
      </c>
      <c r="CV802" s="1125"/>
      <c r="CW802" s="1125">
        <f t="shared" si="973"/>
        <v>245</v>
      </c>
      <c r="CX802" s="1125">
        <f t="shared" si="974"/>
        <v>120</v>
      </c>
      <c r="CY802" s="1136" t="s">
        <v>4886</v>
      </c>
      <c r="CZ802" s="1129" t="s">
        <v>4888</v>
      </c>
      <c r="DA802" s="1129"/>
      <c r="DB802" s="1129"/>
      <c r="DC802" s="1125" t="s">
        <v>5003</v>
      </c>
      <c r="DD802" s="1125" t="s">
        <v>1250</v>
      </c>
      <c r="DE802" s="1125" t="b">
        <f t="shared" si="975"/>
        <v>0</v>
      </c>
      <c r="DF802" s="1125">
        <v>0</v>
      </c>
      <c r="DG802" s="1120">
        <v>0</v>
      </c>
    </row>
    <row r="803" spans="1:111">
      <c r="A803" s="1125" t="s">
        <v>4298</v>
      </c>
      <c r="B803" s="1125" t="s">
        <v>3755</v>
      </c>
      <c r="C803" s="1125" t="s">
        <v>3756</v>
      </c>
      <c r="D803" s="1125" t="s">
        <v>540</v>
      </c>
      <c r="E803" s="1125">
        <v>659</v>
      </c>
      <c r="F803" s="1125">
        <v>-84.08</v>
      </c>
      <c r="G803" s="1125">
        <v>43.53</v>
      </c>
      <c r="H803" s="1125">
        <v>-5</v>
      </c>
      <c r="I803" s="1126">
        <v>3.5599996566772454</v>
      </c>
      <c r="J803" s="1126">
        <v>86.539998626708979</v>
      </c>
      <c r="K803" s="1127">
        <v>71.780000686645508</v>
      </c>
      <c r="L803" s="1125">
        <v>6854.4000000000005</v>
      </c>
      <c r="M803" s="1125">
        <v>531</v>
      </c>
      <c r="N803" s="1128">
        <v>15.799999999999999</v>
      </c>
      <c r="O803" s="1128">
        <v>19.040000343322752</v>
      </c>
      <c r="P803" s="1128">
        <v>41</v>
      </c>
      <c r="Q803" s="1128">
        <v>46.759999656677245</v>
      </c>
      <c r="R803" s="1128">
        <v>56.480000686645511</v>
      </c>
      <c r="S803" s="1128">
        <v>64.400000000000006</v>
      </c>
      <c r="T803" s="1128">
        <v>67.639998626708987</v>
      </c>
      <c r="U803" s="1128">
        <v>72.860001373291013</v>
      </c>
      <c r="V803" s="1128">
        <v>59</v>
      </c>
      <c r="W803" s="1128">
        <v>51.980000686645511</v>
      </c>
      <c r="X803" s="1128">
        <v>40.279999828338624</v>
      </c>
      <c r="Y803" s="1128">
        <v>27.679999828338623</v>
      </c>
      <c r="Z803" s="1128">
        <v>47.076602825791866</v>
      </c>
      <c r="AA803" s="1128">
        <f t="shared" si="901"/>
        <v>42.595227767051</v>
      </c>
      <c r="AB803" s="1128">
        <f t="shared" si="902"/>
        <v>40.793579371587583</v>
      </c>
      <c r="AC803" s="1128">
        <f t="shared" si="903"/>
        <v>42.193690326583607</v>
      </c>
      <c r="AD803" s="1128">
        <f t="shared" si="904"/>
        <v>46.430600135256441</v>
      </c>
      <c r="AE803" s="1128">
        <f t="shared" si="905"/>
        <v>52.39989296321896</v>
      </c>
      <c r="AF803" s="1128">
        <f t="shared" si="906"/>
        <v>58.545580645275756</v>
      </c>
      <c r="AG803" s="1128">
        <f t="shared" si="907"/>
        <v>63.265694979184758</v>
      </c>
      <c r="AH803" s="1128">
        <f t="shared" si="908"/>
        <v>65.329865424648901</v>
      </c>
      <c r="AI803" s="1128">
        <f t="shared" si="909"/>
        <v>64.200034145228528</v>
      </c>
      <c r="AJ803" s="1128">
        <f t="shared" si="910"/>
        <v>60.170709075131597</v>
      </c>
      <c r="AK803" s="1128">
        <f t="shared" si="911"/>
        <v>54.292195887657769</v>
      </c>
      <c r="AL803" s="1128">
        <f t="shared" si="912"/>
        <v>48.096819635752475</v>
      </c>
      <c r="AM803" s="1125">
        <f t="shared" si="913"/>
        <v>1</v>
      </c>
      <c r="AN803" s="1125">
        <f t="shared" si="914"/>
        <v>1</v>
      </c>
      <c r="AO803" s="1125">
        <f t="shared" si="915"/>
        <v>1</v>
      </c>
      <c r="AP803" s="1125">
        <f t="shared" si="916"/>
        <v>1</v>
      </c>
      <c r="AQ803" s="1125">
        <f t="shared" si="917"/>
        <v>1</v>
      </c>
      <c r="AR803" s="1125">
        <f t="shared" si="918"/>
        <v>1</v>
      </c>
      <c r="AS803" s="1125">
        <f t="shared" si="919"/>
        <v>0</v>
      </c>
      <c r="AT803" s="1125">
        <f t="shared" si="920"/>
        <v>0</v>
      </c>
      <c r="AU803" s="1125">
        <f t="shared" si="921"/>
        <v>1</v>
      </c>
      <c r="AV803" s="1125">
        <f t="shared" si="922"/>
        <v>1</v>
      </c>
      <c r="AW803" s="1125">
        <f t="shared" si="923"/>
        <v>1</v>
      </c>
      <c r="AX803" s="1125">
        <f t="shared" si="924"/>
        <v>1</v>
      </c>
      <c r="AY803" s="1125">
        <f t="shared" si="925"/>
        <v>0</v>
      </c>
      <c r="AZ803" s="1125">
        <f t="shared" si="926"/>
        <v>0</v>
      </c>
      <c r="BA803" s="1125">
        <f t="shared" si="927"/>
        <v>0</v>
      </c>
      <c r="BB803" s="1125">
        <f t="shared" si="928"/>
        <v>0</v>
      </c>
      <c r="BC803" s="1125">
        <f t="shared" si="929"/>
        <v>0</v>
      </c>
      <c r="BD803" s="1125">
        <f t="shared" si="930"/>
        <v>0</v>
      </c>
      <c r="BE803" s="1125">
        <f t="shared" si="931"/>
        <v>1</v>
      </c>
      <c r="BF803" s="1125">
        <f t="shared" si="932"/>
        <v>1</v>
      </c>
      <c r="BG803" s="1125">
        <f t="shared" si="933"/>
        <v>0</v>
      </c>
      <c r="BH803" s="1125">
        <f t="shared" si="934"/>
        <v>0</v>
      </c>
      <c r="BI803" s="1125">
        <f t="shared" si="935"/>
        <v>0</v>
      </c>
      <c r="BJ803" s="1125">
        <f t="shared" si="936"/>
        <v>0</v>
      </c>
      <c r="BK803" s="1125">
        <f t="shared" si="937"/>
        <v>1</v>
      </c>
      <c r="BL803" s="1125">
        <f t="shared" si="938"/>
        <v>1</v>
      </c>
      <c r="BM803" s="1125">
        <f t="shared" si="939"/>
        <v>1</v>
      </c>
      <c r="BN803" s="1125">
        <f t="shared" si="940"/>
        <v>1</v>
      </c>
      <c r="BO803" s="1125">
        <f t="shared" si="941"/>
        <v>1</v>
      </c>
      <c r="BP803" s="1125">
        <f t="shared" si="942"/>
        <v>1</v>
      </c>
      <c r="BQ803" s="1125">
        <f t="shared" si="943"/>
        <v>1</v>
      </c>
      <c r="BR803" s="1125">
        <f t="shared" si="944"/>
        <v>0</v>
      </c>
      <c r="BS803" s="1125">
        <f t="shared" si="945"/>
        <v>1</v>
      </c>
      <c r="BT803" s="1125">
        <f t="shared" si="946"/>
        <v>1</v>
      </c>
      <c r="BU803" s="1125">
        <f t="shared" si="947"/>
        <v>1</v>
      </c>
      <c r="BV803" s="1125">
        <f t="shared" si="948"/>
        <v>1</v>
      </c>
      <c r="BW803" s="1125">
        <f t="shared" si="949"/>
        <v>0</v>
      </c>
      <c r="BX803" s="1125">
        <f t="shared" si="950"/>
        <v>0</v>
      </c>
      <c r="BY803" s="1125">
        <f t="shared" si="951"/>
        <v>0</v>
      </c>
      <c r="BZ803" s="1125">
        <f t="shared" si="952"/>
        <v>0</v>
      </c>
      <c r="CA803" s="1125">
        <f t="shared" si="953"/>
        <v>0</v>
      </c>
      <c r="CB803" s="1125">
        <f t="shared" si="954"/>
        <v>1</v>
      </c>
      <c r="CC803" s="1125">
        <f t="shared" si="955"/>
        <v>1</v>
      </c>
      <c r="CD803" s="1125">
        <f t="shared" si="956"/>
        <v>1</v>
      </c>
      <c r="CE803" s="1125">
        <f t="shared" si="957"/>
        <v>1</v>
      </c>
      <c r="CF803" s="1125">
        <f t="shared" si="958"/>
        <v>0</v>
      </c>
      <c r="CG803" s="1125">
        <f t="shared" si="959"/>
        <v>0</v>
      </c>
      <c r="CH803" s="1125">
        <f t="shared" si="960"/>
        <v>0</v>
      </c>
      <c r="CI803" s="1125">
        <f t="shared" si="961"/>
        <v>0.85</v>
      </c>
      <c r="CJ803" s="1125">
        <f t="shared" si="962"/>
        <v>0.85</v>
      </c>
      <c r="CK803" s="1125">
        <f t="shared" si="963"/>
        <v>0.85</v>
      </c>
      <c r="CL803" s="1125">
        <f t="shared" si="964"/>
        <v>0.85</v>
      </c>
      <c r="CM803" s="1125">
        <f t="shared" si="965"/>
        <v>0.85</v>
      </c>
      <c r="CN803" s="1125">
        <f t="shared" si="966"/>
        <v>0.85</v>
      </c>
      <c r="CO803" s="1125">
        <f t="shared" si="967"/>
        <v>0.85</v>
      </c>
      <c r="CP803" s="1125">
        <f t="shared" si="968"/>
        <v>0.7</v>
      </c>
      <c r="CQ803" s="1125">
        <f t="shared" si="969"/>
        <v>0.85</v>
      </c>
      <c r="CR803" s="1125">
        <f t="shared" si="970"/>
        <v>0.85</v>
      </c>
      <c r="CS803" s="1125">
        <f t="shared" si="971"/>
        <v>0.85</v>
      </c>
      <c r="CT803" s="1125">
        <f t="shared" si="972"/>
        <v>0.85</v>
      </c>
      <c r="CU803" s="1125">
        <v>1</v>
      </c>
      <c r="CV803" s="1125"/>
      <c r="CW803" s="1125">
        <f t="shared" si="973"/>
        <v>122</v>
      </c>
      <c r="CX803" s="1125">
        <f t="shared" si="974"/>
        <v>243</v>
      </c>
      <c r="CY803" s="1135" t="s">
        <v>4889</v>
      </c>
      <c r="CZ803" s="1124" t="s">
        <v>4897</v>
      </c>
      <c r="DA803" s="1124"/>
      <c r="DB803" s="1124"/>
      <c r="DC803" s="1120" t="s">
        <v>5315</v>
      </c>
      <c r="DD803" s="1120" t="s">
        <v>540</v>
      </c>
      <c r="DE803" s="1120" t="str">
        <f t="shared" si="975"/>
        <v/>
      </c>
      <c r="DF803" s="1133">
        <v>0</v>
      </c>
      <c r="DG803" s="1125">
        <v>0</v>
      </c>
    </row>
    <row r="804" spans="1:111">
      <c r="A804" s="1120" t="s">
        <v>4300</v>
      </c>
      <c r="B804" s="1125" t="s">
        <v>5933</v>
      </c>
      <c r="C804" s="1125" t="s">
        <v>5934</v>
      </c>
      <c r="D804" s="1125" t="s">
        <v>905</v>
      </c>
      <c r="E804" s="1125">
        <v>2939</v>
      </c>
      <c r="F804" s="1125">
        <v>-113.6</v>
      </c>
      <c r="G804" s="1125">
        <v>37.08</v>
      </c>
      <c r="H804" s="1125">
        <v>-7</v>
      </c>
      <c r="I804" s="1126">
        <v>28.4</v>
      </c>
      <c r="J804" s="1126">
        <v>103.46000137329102</v>
      </c>
      <c r="K804" s="1127">
        <v>64.760001373291018</v>
      </c>
      <c r="L804" s="1125">
        <v>2709</v>
      </c>
      <c r="M804" s="1125">
        <v>3051</v>
      </c>
      <c r="N804" s="1128">
        <v>45.140000343322754</v>
      </c>
      <c r="O804" s="1128">
        <v>47.119999313354491</v>
      </c>
      <c r="P804" s="1128">
        <v>56.480000686645511</v>
      </c>
      <c r="Q804" s="1128">
        <v>67.460001373291021</v>
      </c>
      <c r="R804" s="1128">
        <v>73.580000686645505</v>
      </c>
      <c r="S804" s="1128">
        <v>84.739998626708982</v>
      </c>
      <c r="T804" s="1128">
        <v>91.760001373291018</v>
      </c>
      <c r="U804" s="1128">
        <v>87.260001373291018</v>
      </c>
      <c r="V804" s="1128">
        <v>75.739998626708982</v>
      </c>
      <c r="W804" s="1128">
        <v>63.5</v>
      </c>
      <c r="X804" s="1128">
        <v>48.019999313354489</v>
      </c>
      <c r="Y804" s="1128">
        <v>42.079999828338622</v>
      </c>
      <c r="Z804" s="1128">
        <v>65.347835758940818</v>
      </c>
      <c r="AA804" s="1128">
        <f t="shared" si="901"/>
        <v>56.527666289010789</v>
      </c>
      <c r="AB804" s="1128">
        <f t="shared" si="902"/>
        <v>56.708111295536725</v>
      </c>
      <c r="AC804" s="1128">
        <f t="shared" si="903"/>
        <v>60.704626088431915</v>
      </c>
      <c r="AD804" s="1128">
        <f t="shared" si="904"/>
        <v>67.475457498771021</v>
      </c>
      <c r="AE804" s="1128">
        <f t="shared" si="905"/>
        <v>75.25568397777873</v>
      </c>
      <c r="AF804" s="1128">
        <f t="shared" si="906"/>
        <v>82.017269596782384</v>
      </c>
      <c r="AG804" s="1128">
        <f t="shared" si="907"/>
        <v>85.997702865000221</v>
      </c>
      <c r="AH804" s="1128">
        <f t="shared" si="908"/>
        <v>86.159422510737826</v>
      </c>
      <c r="AI804" s="1128">
        <f t="shared" si="909"/>
        <v>82.460273816158519</v>
      </c>
      <c r="AJ804" s="1128">
        <f t="shared" si="910"/>
        <v>75.864496894111326</v>
      </c>
      <c r="AK804" s="1128">
        <f t="shared" si="911"/>
        <v>68.091382643326952</v>
      </c>
      <c r="AL804" s="1128">
        <f t="shared" si="912"/>
        <v>61.167113080588898</v>
      </c>
      <c r="AM804" s="1125">
        <f t="shared" si="913"/>
        <v>1</v>
      </c>
      <c r="AN804" s="1125">
        <f t="shared" si="914"/>
        <v>1</v>
      </c>
      <c r="AO804" s="1125">
        <f t="shared" si="915"/>
        <v>1</v>
      </c>
      <c r="AP804" s="1125">
        <f t="shared" si="916"/>
        <v>0</v>
      </c>
      <c r="AQ804" s="1125">
        <f t="shared" si="917"/>
        <v>0</v>
      </c>
      <c r="AR804" s="1125">
        <f t="shared" si="918"/>
        <v>0</v>
      </c>
      <c r="AS804" s="1125">
        <f t="shared" si="919"/>
        <v>0</v>
      </c>
      <c r="AT804" s="1125">
        <f t="shared" si="920"/>
        <v>0</v>
      </c>
      <c r="AU804" s="1125">
        <f t="shared" si="921"/>
        <v>0</v>
      </c>
      <c r="AV804" s="1125">
        <f t="shared" si="922"/>
        <v>1</v>
      </c>
      <c r="AW804" s="1125">
        <f t="shared" si="923"/>
        <v>1</v>
      </c>
      <c r="AX804" s="1125">
        <f t="shared" si="924"/>
        <v>1</v>
      </c>
      <c r="AY804" s="1125">
        <f t="shared" si="925"/>
        <v>0</v>
      </c>
      <c r="AZ804" s="1125">
        <f t="shared" si="926"/>
        <v>0</v>
      </c>
      <c r="BA804" s="1125">
        <f t="shared" si="927"/>
        <v>0</v>
      </c>
      <c r="BB804" s="1125">
        <f t="shared" si="928"/>
        <v>1</v>
      </c>
      <c r="BC804" s="1125">
        <f t="shared" si="929"/>
        <v>1</v>
      </c>
      <c r="BD804" s="1125">
        <f t="shared" si="930"/>
        <v>1</v>
      </c>
      <c r="BE804" s="1125">
        <f t="shared" si="931"/>
        <v>1</v>
      </c>
      <c r="BF804" s="1125">
        <f t="shared" si="932"/>
        <v>1</v>
      </c>
      <c r="BG804" s="1125">
        <f t="shared" si="933"/>
        <v>1</v>
      </c>
      <c r="BH804" s="1125">
        <f t="shared" si="934"/>
        <v>0</v>
      </c>
      <c r="BI804" s="1125">
        <f t="shared" si="935"/>
        <v>0</v>
      </c>
      <c r="BJ804" s="1125">
        <f t="shared" si="936"/>
        <v>0</v>
      </c>
      <c r="BK804" s="1125">
        <f t="shared" si="937"/>
        <v>1</v>
      </c>
      <c r="BL804" s="1125">
        <f t="shared" si="938"/>
        <v>1</v>
      </c>
      <c r="BM804" s="1125">
        <f t="shared" si="939"/>
        <v>1</v>
      </c>
      <c r="BN804" s="1125">
        <f t="shared" si="940"/>
        <v>1</v>
      </c>
      <c r="BO804" s="1125">
        <f t="shared" si="941"/>
        <v>0</v>
      </c>
      <c r="BP804" s="1125">
        <f t="shared" si="942"/>
        <v>0</v>
      </c>
      <c r="BQ804" s="1125">
        <f t="shared" si="943"/>
        <v>0</v>
      </c>
      <c r="BR804" s="1125">
        <f t="shared" si="944"/>
        <v>0</v>
      </c>
      <c r="BS804" s="1125">
        <f t="shared" si="945"/>
        <v>0</v>
      </c>
      <c r="BT804" s="1125">
        <f t="shared" si="946"/>
        <v>1</v>
      </c>
      <c r="BU804" s="1125">
        <f t="shared" si="947"/>
        <v>1</v>
      </c>
      <c r="BV804" s="1125">
        <f t="shared" si="948"/>
        <v>1</v>
      </c>
      <c r="BW804" s="1125">
        <f t="shared" si="949"/>
        <v>0</v>
      </c>
      <c r="BX804" s="1125">
        <f t="shared" si="950"/>
        <v>0</v>
      </c>
      <c r="BY804" s="1125">
        <f t="shared" si="951"/>
        <v>1</v>
      </c>
      <c r="BZ804" s="1125">
        <f t="shared" si="952"/>
        <v>1</v>
      </c>
      <c r="CA804" s="1125">
        <f t="shared" si="953"/>
        <v>1</v>
      </c>
      <c r="CB804" s="1125">
        <f t="shared" si="954"/>
        <v>1</v>
      </c>
      <c r="CC804" s="1125">
        <f t="shared" si="955"/>
        <v>1</v>
      </c>
      <c r="CD804" s="1125">
        <f t="shared" si="956"/>
        <v>1</v>
      </c>
      <c r="CE804" s="1125">
        <f t="shared" si="957"/>
        <v>1</v>
      </c>
      <c r="CF804" s="1125">
        <f t="shared" si="958"/>
        <v>1</v>
      </c>
      <c r="CG804" s="1125">
        <f t="shared" si="959"/>
        <v>0</v>
      </c>
      <c r="CH804" s="1125">
        <f t="shared" si="960"/>
        <v>0</v>
      </c>
      <c r="CI804" s="1125">
        <f t="shared" si="961"/>
        <v>0.85</v>
      </c>
      <c r="CJ804" s="1125">
        <f t="shared" si="962"/>
        <v>0.85</v>
      </c>
      <c r="CK804" s="1125">
        <f t="shared" si="963"/>
        <v>0.85</v>
      </c>
      <c r="CL804" s="1125">
        <f t="shared" si="964"/>
        <v>0.85</v>
      </c>
      <c r="CM804" s="1125">
        <f t="shared" si="965"/>
        <v>0.7</v>
      </c>
      <c r="CN804" s="1125">
        <f t="shared" si="966"/>
        <v>0.7</v>
      </c>
      <c r="CO804" s="1125">
        <f t="shared" si="967"/>
        <v>0.7</v>
      </c>
      <c r="CP804" s="1125">
        <f t="shared" si="968"/>
        <v>0.7</v>
      </c>
      <c r="CQ804" s="1125">
        <f t="shared" si="969"/>
        <v>0.7</v>
      </c>
      <c r="CR804" s="1125">
        <f t="shared" si="970"/>
        <v>0.85</v>
      </c>
      <c r="CS804" s="1125">
        <f t="shared" si="971"/>
        <v>0.85</v>
      </c>
      <c r="CT804" s="1125">
        <f t="shared" si="972"/>
        <v>0.85</v>
      </c>
      <c r="CU804" s="1125">
        <v>1</v>
      </c>
      <c r="CV804" s="1125"/>
      <c r="CW804" s="1125">
        <f t="shared" si="973"/>
        <v>245</v>
      </c>
      <c r="CX804" s="1125">
        <f t="shared" si="974"/>
        <v>120</v>
      </c>
      <c r="CY804" s="1136" t="s">
        <v>4886</v>
      </c>
      <c r="CZ804" s="1129" t="s">
        <v>4888</v>
      </c>
      <c r="DA804" s="1129"/>
      <c r="DB804" s="1129"/>
      <c r="DC804" s="1125" t="s">
        <v>5788</v>
      </c>
      <c r="DD804" s="1125" t="s">
        <v>905</v>
      </c>
      <c r="DE804" s="1120" t="str">
        <f t="shared" si="975"/>
        <v/>
      </c>
      <c r="DF804" s="1133">
        <v>0</v>
      </c>
      <c r="DG804" s="1120">
        <v>0</v>
      </c>
    </row>
    <row r="805" spans="1:111">
      <c r="A805" s="1125" t="s">
        <v>4302</v>
      </c>
      <c r="B805" s="1125" t="s">
        <v>5794</v>
      </c>
      <c r="C805" s="1125" t="s">
        <v>5795</v>
      </c>
      <c r="D805" s="1125" t="s">
        <v>953</v>
      </c>
      <c r="E805" s="1125">
        <v>312</v>
      </c>
      <c r="F805" s="1125">
        <v>-163.30000000000001</v>
      </c>
      <c r="G805" s="1125">
        <v>62.07</v>
      </c>
      <c r="H805" s="1125">
        <v>-9</v>
      </c>
      <c r="I805" s="1126">
        <v>-20.019999313354493</v>
      </c>
      <c r="J805" s="1126">
        <v>66.2</v>
      </c>
      <c r="K805" s="1127">
        <v>55.759999656677245</v>
      </c>
      <c r="L805" s="1125">
        <v>11473.2</v>
      </c>
      <c r="M805" s="1125">
        <v>0</v>
      </c>
      <c r="N805" s="1128">
        <v>12.2</v>
      </c>
      <c r="O805" s="1128">
        <v>20.659999656677247</v>
      </c>
      <c r="P805" s="1128">
        <v>23.9</v>
      </c>
      <c r="Q805" s="1128">
        <v>28.580000042915344</v>
      </c>
      <c r="R805" s="1128">
        <v>34.880000042915341</v>
      </c>
      <c r="S805" s="1128">
        <v>46.220000171661376</v>
      </c>
      <c r="T805" s="1128">
        <v>53.059999656677249</v>
      </c>
      <c r="U805" s="1128">
        <v>49.280000686645508</v>
      </c>
      <c r="V805" s="1128">
        <v>39.559999656677249</v>
      </c>
      <c r="W805" s="1128">
        <v>34.160000085830688</v>
      </c>
      <c r="X805" s="1128">
        <v>36.860000085830691</v>
      </c>
      <c r="Y805" s="1128">
        <v>15.980000686645507</v>
      </c>
      <c r="Z805" s="1128">
        <v>32.992712397314101</v>
      </c>
      <c r="AA805" s="1128">
        <f t="shared" si="901"/>
        <v>34.831002633480857</v>
      </c>
      <c r="AB805" s="1128">
        <f t="shared" si="902"/>
        <v>33.292819053731257</v>
      </c>
      <c r="AC805" s="1128">
        <f t="shared" si="903"/>
        <v>33.240400512001784</v>
      </c>
      <c r="AD805" s="1128">
        <f t="shared" si="904"/>
        <v>34.687410708988409</v>
      </c>
      <c r="AE805" s="1128">
        <f t="shared" si="905"/>
        <v>37.256664137744437</v>
      </c>
      <c r="AF805" s="1128">
        <f t="shared" si="906"/>
        <v>40.278445298670789</v>
      </c>
      <c r="AG805" s="1128">
        <f t="shared" si="907"/>
        <v>42.965080365114758</v>
      </c>
      <c r="AH805" s="1128">
        <f t="shared" si="908"/>
        <v>44.616256504708112</v>
      </c>
      <c r="AI805" s="1128">
        <f t="shared" si="909"/>
        <v>44.801569211271293</v>
      </c>
      <c r="AJ805" s="1128">
        <f t="shared" si="910"/>
        <v>43.472713872083375</v>
      </c>
      <c r="AK805" s="1128">
        <f t="shared" si="911"/>
        <v>40.976077109584324</v>
      </c>
      <c r="AL805" s="1128">
        <f t="shared" si="912"/>
        <v>37.962445770256643</v>
      </c>
      <c r="AM805" s="1125">
        <f t="shared" si="913"/>
        <v>1</v>
      </c>
      <c r="AN805" s="1125">
        <f t="shared" si="914"/>
        <v>1</v>
      </c>
      <c r="AO805" s="1125">
        <f t="shared" si="915"/>
        <v>1</v>
      </c>
      <c r="AP805" s="1125">
        <f t="shared" si="916"/>
        <v>1</v>
      </c>
      <c r="AQ805" s="1125">
        <f t="shared" si="917"/>
        <v>1</v>
      </c>
      <c r="AR805" s="1125">
        <f t="shared" si="918"/>
        <v>1</v>
      </c>
      <c r="AS805" s="1125">
        <f t="shared" si="919"/>
        <v>1</v>
      </c>
      <c r="AT805" s="1125">
        <f t="shared" si="920"/>
        <v>1</v>
      </c>
      <c r="AU805" s="1125">
        <f t="shared" si="921"/>
        <v>1</v>
      </c>
      <c r="AV805" s="1125">
        <f t="shared" si="922"/>
        <v>1</v>
      </c>
      <c r="AW805" s="1125">
        <f t="shared" si="923"/>
        <v>1</v>
      </c>
      <c r="AX805" s="1125">
        <f t="shared" si="924"/>
        <v>1</v>
      </c>
      <c r="AY805" s="1125">
        <f t="shared" si="925"/>
        <v>0</v>
      </c>
      <c r="AZ805" s="1125">
        <f t="shared" si="926"/>
        <v>0</v>
      </c>
      <c r="BA805" s="1125">
        <f t="shared" si="927"/>
        <v>0</v>
      </c>
      <c r="BB805" s="1125">
        <f t="shared" si="928"/>
        <v>0</v>
      </c>
      <c r="BC805" s="1125">
        <f t="shared" si="929"/>
        <v>0</v>
      </c>
      <c r="BD805" s="1125">
        <f t="shared" si="930"/>
        <v>0</v>
      </c>
      <c r="BE805" s="1125">
        <f t="shared" si="931"/>
        <v>1</v>
      </c>
      <c r="BF805" s="1125">
        <f t="shared" si="932"/>
        <v>1</v>
      </c>
      <c r="BG805" s="1125">
        <f t="shared" si="933"/>
        <v>0</v>
      </c>
      <c r="BH805" s="1125">
        <f t="shared" si="934"/>
        <v>0</v>
      </c>
      <c r="BI805" s="1125">
        <f t="shared" si="935"/>
        <v>0</v>
      </c>
      <c r="BJ805" s="1125">
        <f t="shared" si="936"/>
        <v>0</v>
      </c>
      <c r="BK805" s="1125">
        <f t="shared" si="937"/>
        <v>1</v>
      </c>
      <c r="BL805" s="1125">
        <f t="shared" si="938"/>
        <v>1</v>
      </c>
      <c r="BM805" s="1125">
        <f t="shared" si="939"/>
        <v>1</v>
      </c>
      <c r="BN805" s="1125">
        <f t="shared" si="940"/>
        <v>1</v>
      </c>
      <c r="BO805" s="1125">
        <f t="shared" si="941"/>
        <v>1</v>
      </c>
      <c r="BP805" s="1125">
        <f t="shared" si="942"/>
        <v>1</v>
      </c>
      <c r="BQ805" s="1125">
        <f t="shared" si="943"/>
        <v>1</v>
      </c>
      <c r="BR805" s="1125">
        <f t="shared" si="944"/>
        <v>1</v>
      </c>
      <c r="BS805" s="1125">
        <f t="shared" si="945"/>
        <v>1</v>
      </c>
      <c r="BT805" s="1125">
        <f t="shared" si="946"/>
        <v>1</v>
      </c>
      <c r="BU805" s="1125">
        <f t="shared" si="947"/>
        <v>1</v>
      </c>
      <c r="BV805" s="1125">
        <f t="shared" si="948"/>
        <v>1</v>
      </c>
      <c r="BW805" s="1125">
        <f t="shared" si="949"/>
        <v>0</v>
      </c>
      <c r="BX805" s="1125">
        <f t="shared" si="950"/>
        <v>0</v>
      </c>
      <c r="BY805" s="1125">
        <f t="shared" si="951"/>
        <v>0</v>
      </c>
      <c r="BZ805" s="1125">
        <f t="shared" si="952"/>
        <v>0</v>
      </c>
      <c r="CA805" s="1125">
        <f t="shared" si="953"/>
        <v>0</v>
      </c>
      <c r="CB805" s="1125">
        <f t="shared" si="954"/>
        <v>0</v>
      </c>
      <c r="CC805" s="1125">
        <f t="shared" si="955"/>
        <v>1</v>
      </c>
      <c r="CD805" s="1125">
        <f t="shared" si="956"/>
        <v>1</v>
      </c>
      <c r="CE805" s="1125">
        <f t="shared" si="957"/>
        <v>0</v>
      </c>
      <c r="CF805" s="1125">
        <f t="shared" si="958"/>
        <v>0</v>
      </c>
      <c r="CG805" s="1125">
        <f t="shared" si="959"/>
        <v>0</v>
      </c>
      <c r="CH805" s="1125">
        <f t="shared" si="960"/>
        <v>0</v>
      </c>
      <c r="CI805" s="1125">
        <f t="shared" si="961"/>
        <v>0.85</v>
      </c>
      <c r="CJ805" s="1125">
        <f t="shared" si="962"/>
        <v>0.85</v>
      </c>
      <c r="CK805" s="1125">
        <f t="shared" si="963"/>
        <v>0.85</v>
      </c>
      <c r="CL805" s="1125">
        <f t="shared" si="964"/>
        <v>0.85</v>
      </c>
      <c r="CM805" s="1125">
        <f t="shared" si="965"/>
        <v>0.85</v>
      </c>
      <c r="CN805" s="1125">
        <f t="shared" si="966"/>
        <v>0.85</v>
      </c>
      <c r="CO805" s="1125">
        <f t="shared" si="967"/>
        <v>0.85</v>
      </c>
      <c r="CP805" s="1125">
        <f t="shared" si="968"/>
        <v>0.85</v>
      </c>
      <c r="CQ805" s="1125">
        <f t="shared" si="969"/>
        <v>0.85</v>
      </c>
      <c r="CR805" s="1125">
        <f t="shared" si="970"/>
        <v>0.85</v>
      </c>
      <c r="CS805" s="1125">
        <f t="shared" si="971"/>
        <v>0.85</v>
      </c>
      <c r="CT805" s="1125">
        <f t="shared" si="972"/>
        <v>0.85</v>
      </c>
      <c r="CU805" s="1125">
        <v>1</v>
      </c>
      <c r="CV805" s="1125"/>
      <c r="CW805" s="1125">
        <f t="shared" si="973"/>
        <v>62</v>
      </c>
      <c r="CX805" s="1125">
        <f t="shared" si="974"/>
        <v>303</v>
      </c>
      <c r="CY805" s="1136" t="s">
        <v>4880</v>
      </c>
      <c r="CZ805" s="1129">
        <v>8</v>
      </c>
      <c r="DA805" s="1129"/>
      <c r="DB805" s="1129"/>
      <c r="DC805" s="1125" t="s">
        <v>5707</v>
      </c>
      <c r="DD805" s="1125" t="s">
        <v>953</v>
      </c>
      <c r="DE805" s="1125" t="b">
        <f t="shared" si="975"/>
        <v>0</v>
      </c>
      <c r="DF805" s="1125">
        <v>0</v>
      </c>
      <c r="DG805" s="1125">
        <v>0</v>
      </c>
    </row>
    <row r="806" spans="1:111">
      <c r="A806" s="1120" t="s">
        <v>4304</v>
      </c>
      <c r="B806" s="1120" t="s">
        <v>4252</v>
      </c>
      <c r="C806" s="1120" t="s">
        <v>4253</v>
      </c>
      <c r="D806" s="1120" t="s">
        <v>427</v>
      </c>
      <c r="E806" s="1120">
        <v>197</v>
      </c>
      <c r="F806" s="1120">
        <v>-123</v>
      </c>
      <c r="G806" s="1120">
        <v>44.9</v>
      </c>
      <c r="H806" s="1120">
        <v>-8</v>
      </c>
      <c r="I806" s="1121">
        <v>26.23999991416931</v>
      </c>
      <c r="J806" s="1121">
        <v>87.980000686645511</v>
      </c>
      <c r="K806" s="1122">
        <v>65.83999862670899</v>
      </c>
      <c r="L806" s="1120">
        <v>4413.6000000000004</v>
      </c>
      <c r="M806" s="1120">
        <v>291.60000000000002</v>
      </c>
      <c r="N806" s="1123">
        <v>40.820000171661377</v>
      </c>
      <c r="O806" s="1123">
        <v>41.359999656677246</v>
      </c>
      <c r="P806" s="1123">
        <v>47.119999313354491</v>
      </c>
      <c r="Q806" s="1123">
        <v>50.719999313354492</v>
      </c>
      <c r="R806" s="1123">
        <v>56.119999313354491</v>
      </c>
      <c r="S806" s="1123">
        <v>63.319999313354494</v>
      </c>
      <c r="T806" s="1123">
        <v>68.180000686645513</v>
      </c>
      <c r="U806" s="1123">
        <v>67.099999999999994</v>
      </c>
      <c r="V806" s="1123">
        <v>62.060001373291016</v>
      </c>
      <c r="W806" s="1123">
        <v>52.340000343322757</v>
      </c>
      <c r="X806" s="1123">
        <v>47.3</v>
      </c>
      <c r="Y806" s="1123">
        <v>40.1</v>
      </c>
      <c r="Z806" s="1123">
        <v>53.11030132894647</v>
      </c>
      <c r="AA806" s="1123">
        <f t="shared" si="901"/>
        <v>52.888309860161115</v>
      </c>
      <c r="AB806" s="1123">
        <f t="shared" si="902"/>
        <v>52.232456730130764</v>
      </c>
      <c r="AC806" s="1123">
        <f t="shared" si="903"/>
        <v>53.369419785575303</v>
      </c>
      <c r="AD806" s="1123">
        <f t="shared" si="904"/>
        <v>56.00283208496208</v>
      </c>
      <c r="AE806" s="1123">
        <f t="shared" si="905"/>
        <v>59.446254130343981</v>
      </c>
      <c r="AF806" s="1123">
        <f t="shared" si="906"/>
        <v>62.802104900852235</v>
      </c>
      <c r="AG806" s="1123">
        <f t="shared" si="907"/>
        <v>65.195630177928095</v>
      </c>
      <c r="AH806" s="1123">
        <f t="shared" si="908"/>
        <v>66.002920712760698</v>
      </c>
      <c r="AI806" s="1123">
        <f t="shared" si="909"/>
        <v>65.013543786722209</v>
      </c>
      <c r="AJ806" s="1123">
        <f t="shared" si="910"/>
        <v>62.485395742344515</v>
      </c>
      <c r="AK806" s="1123">
        <f t="shared" si="911"/>
        <v>59.077477327335323</v>
      </c>
      <c r="AL806" s="1123">
        <f t="shared" si="912"/>
        <v>55.678114994179246</v>
      </c>
      <c r="AM806" s="1120">
        <f t="shared" si="913"/>
        <v>1</v>
      </c>
      <c r="AN806" s="1120">
        <f t="shared" si="914"/>
        <v>1</v>
      </c>
      <c r="AO806" s="1120">
        <f t="shared" si="915"/>
        <v>1</v>
      </c>
      <c r="AP806" s="1120">
        <f t="shared" si="916"/>
        <v>1</v>
      </c>
      <c r="AQ806" s="1120">
        <f t="shared" si="917"/>
        <v>1</v>
      </c>
      <c r="AR806" s="1120">
        <f t="shared" si="918"/>
        <v>1</v>
      </c>
      <c r="AS806" s="1120">
        <f t="shared" si="919"/>
        <v>0</v>
      </c>
      <c r="AT806" s="1120">
        <f t="shared" si="920"/>
        <v>0</v>
      </c>
      <c r="AU806" s="1120">
        <f t="shared" si="921"/>
        <v>1</v>
      </c>
      <c r="AV806" s="1120">
        <f t="shared" si="922"/>
        <v>1</v>
      </c>
      <c r="AW806" s="1120">
        <f t="shared" si="923"/>
        <v>1</v>
      </c>
      <c r="AX806" s="1120">
        <f t="shared" si="924"/>
        <v>1</v>
      </c>
      <c r="AY806" s="1120">
        <f t="shared" si="925"/>
        <v>0</v>
      </c>
      <c r="AZ806" s="1120">
        <f t="shared" si="926"/>
        <v>0</v>
      </c>
      <c r="BA806" s="1120">
        <f t="shared" si="927"/>
        <v>0</v>
      </c>
      <c r="BB806" s="1120">
        <f t="shared" si="928"/>
        <v>0</v>
      </c>
      <c r="BC806" s="1120">
        <f t="shared" si="929"/>
        <v>0</v>
      </c>
      <c r="BD806" s="1120">
        <f t="shared" si="930"/>
        <v>0</v>
      </c>
      <c r="BE806" s="1120">
        <f t="shared" si="931"/>
        <v>1</v>
      </c>
      <c r="BF806" s="1120">
        <f t="shared" si="932"/>
        <v>1</v>
      </c>
      <c r="BG806" s="1120">
        <f t="shared" si="933"/>
        <v>0</v>
      </c>
      <c r="BH806" s="1120">
        <f t="shared" si="934"/>
        <v>0</v>
      </c>
      <c r="BI806" s="1120">
        <f t="shared" si="935"/>
        <v>0</v>
      </c>
      <c r="BJ806" s="1120">
        <f t="shared" si="936"/>
        <v>0</v>
      </c>
      <c r="BK806" s="1120">
        <f t="shared" si="937"/>
        <v>1</v>
      </c>
      <c r="BL806" s="1120">
        <f t="shared" si="938"/>
        <v>1</v>
      </c>
      <c r="BM806" s="1120">
        <f t="shared" si="939"/>
        <v>1</v>
      </c>
      <c r="BN806" s="1120">
        <f t="shared" si="940"/>
        <v>1</v>
      </c>
      <c r="BO806" s="1120">
        <f t="shared" si="941"/>
        <v>1</v>
      </c>
      <c r="BP806" s="1120">
        <f t="shared" si="942"/>
        <v>1</v>
      </c>
      <c r="BQ806" s="1120">
        <f t="shared" si="943"/>
        <v>1</v>
      </c>
      <c r="BR806" s="1120">
        <f t="shared" si="944"/>
        <v>0</v>
      </c>
      <c r="BS806" s="1120">
        <f t="shared" si="945"/>
        <v>1</v>
      </c>
      <c r="BT806" s="1120">
        <f t="shared" si="946"/>
        <v>1</v>
      </c>
      <c r="BU806" s="1120">
        <f t="shared" si="947"/>
        <v>1</v>
      </c>
      <c r="BV806" s="1120">
        <f t="shared" si="948"/>
        <v>1</v>
      </c>
      <c r="BW806" s="1120">
        <f t="shared" si="949"/>
        <v>0</v>
      </c>
      <c r="BX806" s="1120">
        <f t="shared" si="950"/>
        <v>0</v>
      </c>
      <c r="BY806" s="1120">
        <f t="shared" si="951"/>
        <v>0</v>
      </c>
      <c r="BZ806" s="1120">
        <f t="shared" si="952"/>
        <v>0</v>
      </c>
      <c r="CA806" s="1120">
        <f t="shared" si="953"/>
        <v>0</v>
      </c>
      <c r="CB806" s="1120">
        <f t="shared" si="954"/>
        <v>1</v>
      </c>
      <c r="CC806" s="1120">
        <f t="shared" si="955"/>
        <v>1</v>
      </c>
      <c r="CD806" s="1120">
        <f t="shared" si="956"/>
        <v>1</v>
      </c>
      <c r="CE806" s="1120">
        <f t="shared" si="957"/>
        <v>1</v>
      </c>
      <c r="CF806" s="1120">
        <f t="shared" si="958"/>
        <v>0</v>
      </c>
      <c r="CG806" s="1120">
        <f t="shared" si="959"/>
        <v>0</v>
      </c>
      <c r="CH806" s="1120">
        <f t="shared" si="960"/>
        <v>0</v>
      </c>
      <c r="CI806" s="1120">
        <f t="shared" si="961"/>
        <v>0.85</v>
      </c>
      <c r="CJ806" s="1120">
        <f t="shared" si="962"/>
        <v>0.85</v>
      </c>
      <c r="CK806" s="1120">
        <f t="shared" si="963"/>
        <v>0.85</v>
      </c>
      <c r="CL806" s="1120">
        <f t="shared" si="964"/>
        <v>0.85</v>
      </c>
      <c r="CM806" s="1120">
        <f t="shared" si="965"/>
        <v>0.85</v>
      </c>
      <c r="CN806" s="1120">
        <f t="shared" si="966"/>
        <v>0.85</v>
      </c>
      <c r="CO806" s="1120">
        <f t="shared" si="967"/>
        <v>0.85</v>
      </c>
      <c r="CP806" s="1120">
        <f t="shared" si="968"/>
        <v>0.7</v>
      </c>
      <c r="CQ806" s="1120">
        <f t="shared" si="969"/>
        <v>0.85</v>
      </c>
      <c r="CR806" s="1120">
        <f t="shared" si="970"/>
        <v>0.85</v>
      </c>
      <c r="CS806" s="1120">
        <f t="shared" si="971"/>
        <v>0.85</v>
      </c>
      <c r="CT806" s="1120">
        <f t="shared" si="972"/>
        <v>0.85</v>
      </c>
      <c r="CU806" s="1120">
        <v>1</v>
      </c>
      <c r="CV806" s="1120"/>
      <c r="CW806" s="1120">
        <f t="shared" si="973"/>
        <v>122</v>
      </c>
      <c r="CX806" s="1120">
        <f t="shared" si="974"/>
        <v>243</v>
      </c>
      <c r="CY806" s="1135" t="s">
        <v>4893</v>
      </c>
      <c r="CZ806" s="1124" t="s">
        <v>4894</v>
      </c>
      <c r="DA806" s="1124"/>
      <c r="DB806" s="1124"/>
      <c r="DC806" s="1120" t="s">
        <v>5527</v>
      </c>
      <c r="DD806" s="1120" t="s">
        <v>427</v>
      </c>
      <c r="DE806" s="1120" t="str">
        <f t="shared" si="975"/>
        <v/>
      </c>
      <c r="DF806" s="1133">
        <v>0</v>
      </c>
      <c r="DG806" s="1120">
        <v>0</v>
      </c>
    </row>
    <row r="807" spans="1:111">
      <c r="A807" s="1125" t="s">
        <v>4306</v>
      </c>
      <c r="B807" s="1125" t="s">
        <v>3579</v>
      </c>
      <c r="C807" s="1125" t="s">
        <v>3580</v>
      </c>
      <c r="D807" s="1125" t="s">
        <v>256</v>
      </c>
      <c r="E807" s="1125">
        <v>1263</v>
      </c>
      <c r="F807" s="1125">
        <v>-97.67</v>
      </c>
      <c r="G807" s="1125">
        <v>38.82</v>
      </c>
      <c r="H807" s="1125">
        <v>-6</v>
      </c>
      <c r="I807" s="1126">
        <v>7.3400003433227532</v>
      </c>
      <c r="J807" s="1126">
        <v>98.239998626708982</v>
      </c>
      <c r="K807" s="1127">
        <v>73.760001373291018</v>
      </c>
      <c r="L807" s="1125">
        <v>4591.8</v>
      </c>
      <c r="M807" s="1125">
        <v>1859.4</v>
      </c>
      <c r="N807" s="1128">
        <v>29.3</v>
      </c>
      <c r="O807" s="1128">
        <v>30.740000021457671</v>
      </c>
      <c r="P807" s="1128">
        <v>44.6</v>
      </c>
      <c r="Q807" s="1128">
        <v>54.319999313354494</v>
      </c>
      <c r="R807" s="1128">
        <v>65.119999313354498</v>
      </c>
      <c r="S807" s="1128">
        <v>77.719999313354492</v>
      </c>
      <c r="T807" s="1128">
        <v>78.439998626708984</v>
      </c>
      <c r="U807" s="1128">
        <v>82.580000686645505</v>
      </c>
      <c r="V807" s="1128">
        <v>74.83999862670899</v>
      </c>
      <c r="W807" s="1128">
        <v>57.380000686645509</v>
      </c>
      <c r="X807" s="1128">
        <v>50.359999656677246</v>
      </c>
      <c r="Y807" s="1128">
        <v>35.6</v>
      </c>
      <c r="Z807" s="1128">
        <v>56.880931196212771</v>
      </c>
      <c r="AA807" s="1128">
        <f t="shared" si="901"/>
        <v>49.801764097055333</v>
      </c>
      <c r="AB807" s="1128">
        <f t="shared" si="902"/>
        <v>48.92281129271948</v>
      </c>
      <c r="AC807" s="1128">
        <f t="shared" si="903"/>
        <v>51.682257542367921</v>
      </c>
      <c r="AD807" s="1128">
        <f t="shared" si="904"/>
        <v>57.360810656675888</v>
      </c>
      <c r="AE807" s="1128">
        <f t="shared" si="905"/>
        <v>64.478268257246626</v>
      </c>
      <c r="AF807" s="1128">
        <f t="shared" si="906"/>
        <v>71.179355337149673</v>
      </c>
      <c r="AG807" s="1128">
        <f t="shared" si="907"/>
        <v>75.717330282130533</v>
      </c>
      <c r="AH807" s="1128">
        <f t="shared" si="908"/>
        <v>76.909299990469208</v>
      </c>
      <c r="AI807" s="1128">
        <f t="shared" si="909"/>
        <v>74.444559188877989</v>
      </c>
      <c r="AJ807" s="1128">
        <f t="shared" si="910"/>
        <v>68.96558055009713</v>
      </c>
      <c r="AK807" s="1128">
        <f t="shared" si="911"/>
        <v>61.90054428994145</v>
      </c>
      <c r="AL807" s="1128">
        <f t="shared" si="912"/>
        <v>55.09106098512494</v>
      </c>
      <c r="AM807" s="1125">
        <f t="shared" si="913"/>
        <v>1</v>
      </c>
      <c r="AN807" s="1125">
        <f t="shared" si="914"/>
        <v>1</v>
      </c>
      <c r="AO807" s="1125">
        <f t="shared" si="915"/>
        <v>1</v>
      </c>
      <c r="AP807" s="1125">
        <f t="shared" si="916"/>
        <v>1</v>
      </c>
      <c r="AQ807" s="1125">
        <f t="shared" si="917"/>
        <v>1</v>
      </c>
      <c r="AR807" s="1125">
        <f t="shared" si="918"/>
        <v>0</v>
      </c>
      <c r="AS807" s="1125">
        <f t="shared" si="919"/>
        <v>0</v>
      </c>
      <c r="AT807" s="1125">
        <f t="shared" si="920"/>
        <v>0</v>
      </c>
      <c r="AU807" s="1125">
        <f t="shared" si="921"/>
        <v>0</v>
      </c>
      <c r="AV807" s="1125">
        <f t="shared" si="922"/>
        <v>1</v>
      </c>
      <c r="AW807" s="1125">
        <f t="shared" si="923"/>
        <v>1</v>
      </c>
      <c r="AX807" s="1125">
        <f t="shared" si="924"/>
        <v>1</v>
      </c>
      <c r="AY807" s="1125">
        <f t="shared" si="925"/>
        <v>0</v>
      </c>
      <c r="AZ807" s="1125">
        <f t="shared" si="926"/>
        <v>0</v>
      </c>
      <c r="BA807" s="1125">
        <f t="shared" si="927"/>
        <v>0</v>
      </c>
      <c r="BB807" s="1125">
        <f t="shared" si="928"/>
        <v>0</v>
      </c>
      <c r="BC807" s="1125">
        <f t="shared" si="929"/>
        <v>0</v>
      </c>
      <c r="BD807" s="1125">
        <f t="shared" si="930"/>
        <v>1</v>
      </c>
      <c r="BE807" s="1125">
        <f t="shared" si="931"/>
        <v>1</v>
      </c>
      <c r="BF807" s="1125">
        <f t="shared" si="932"/>
        <v>1</v>
      </c>
      <c r="BG807" s="1125">
        <f t="shared" si="933"/>
        <v>1</v>
      </c>
      <c r="BH807" s="1125">
        <f t="shared" si="934"/>
        <v>0</v>
      </c>
      <c r="BI807" s="1125">
        <f t="shared" si="935"/>
        <v>0</v>
      </c>
      <c r="BJ807" s="1125">
        <f t="shared" si="936"/>
        <v>0</v>
      </c>
      <c r="BK807" s="1125">
        <f t="shared" si="937"/>
        <v>1</v>
      </c>
      <c r="BL807" s="1125">
        <f t="shared" si="938"/>
        <v>1</v>
      </c>
      <c r="BM807" s="1125">
        <f t="shared" si="939"/>
        <v>1</v>
      </c>
      <c r="BN807" s="1125">
        <f t="shared" si="940"/>
        <v>1</v>
      </c>
      <c r="BO807" s="1125">
        <f t="shared" si="941"/>
        <v>1</v>
      </c>
      <c r="BP807" s="1125">
        <f t="shared" si="942"/>
        <v>1</v>
      </c>
      <c r="BQ807" s="1125">
        <f t="shared" si="943"/>
        <v>0</v>
      </c>
      <c r="BR807" s="1125">
        <f t="shared" si="944"/>
        <v>0</v>
      </c>
      <c r="BS807" s="1125">
        <f t="shared" si="945"/>
        <v>0</v>
      </c>
      <c r="BT807" s="1125">
        <f t="shared" si="946"/>
        <v>1</v>
      </c>
      <c r="BU807" s="1125">
        <f t="shared" si="947"/>
        <v>1</v>
      </c>
      <c r="BV807" s="1125">
        <f t="shared" si="948"/>
        <v>1</v>
      </c>
      <c r="BW807" s="1125">
        <f t="shared" si="949"/>
        <v>0</v>
      </c>
      <c r="BX807" s="1125">
        <f t="shared" si="950"/>
        <v>0</v>
      </c>
      <c r="BY807" s="1125">
        <f t="shared" si="951"/>
        <v>0</v>
      </c>
      <c r="BZ807" s="1125">
        <f t="shared" si="952"/>
        <v>0</v>
      </c>
      <c r="CA807" s="1125">
        <f t="shared" si="953"/>
        <v>1</v>
      </c>
      <c r="CB807" s="1125">
        <f t="shared" si="954"/>
        <v>1</v>
      </c>
      <c r="CC807" s="1125">
        <f t="shared" si="955"/>
        <v>1</v>
      </c>
      <c r="CD807" s="1125">
        <f t="shared" si="956"/>
        <v>1</v>
      </c>
      <c r="CE807" s="1125">
        <f t="shared" si="957"/>
        <v>1</v>
      </c>
      <c r="CF807" s="1125">
        <f t="shared" si="958"/>
        <v>1</v>
      </c>
      <c r="CG807" s="1125">
        <f t="shared" si="959"/>
        <v>0</v>
      </c>
      <c r="CH807" s="1125">
        <f t="shared" si="960"/>
        <v>0</v>
      </c>
      <c r="CI807" s="1125">
        <f t="shared" si="961"/>
        <v>0.85</v>
      </c>
      <c r="CJ807" s="1125">
        <f t="shared" si="962"/>
        <v>0.85</v>
      </c>
      <c r="CK807" s="1125">
        <f t="shared" si="963"/>
        <v>0.85</v>
      </c>
      <c r="CL807" s="1125">
        <f t="shared" si="964"/>
        <v>0.85</v>
      </c>
      <c r="CM807" s="1125">
        <f t="shared" si="965"/>
        <v>0.85</v>
      </c>
      <c r="CN807" s="1125">
        <f t="shared" si="966"/>
        <v>0.85</v>
      </c>
      <c r="CO807" s="1125">
        <f t="shared" si="967"/>
        <v>0.7</v>
      </c>
      <c r="CP807" s="1125">
        <f t="shared" si="968"/>
        <v>0.7</v>
      </c>
      <c r="CQ807" s="1125">
        <f t="shared" si="969"/>
        <v>0.7</v>
      </c>
      <c r="CR807" s="1125">
        <f t="shared" si="970"/>
        <v>0.85</v>
      </c>
      <c r="CS807" s="1125">
        <f t="shared" si="971"/>
        <v>0.85</v>
      </c>
      <c r="CT807" s="1125">
        <f t="shared" si="972"/>
        <v>0.85</v>
      </c>
      <c r="CU807" s="1125">
        <v>1</v>
      </c>
      <c r="CV807" s="1125"/>
      <c r="CW807" s="1125">
        <f t="shared" si="973"/>
        <v>184</v>
      </c>
      <c r="CX807" s="1125">
        <f t="shared" si="974"/>
        <v>181</v>
      </c>
      <c r="CY807" s="1136" t="s">
        <v>4881</v>
      </c>
      <c r="CZ807" s="1129" t="s">
        <v>4885</v>
      </c>
      <c r="DA807" s="1129"/>
      <c r="DB807" s="1129"/>
      <c r="DC807" s="1125" t="s">
        <v>5238</v>
      </c>
      <c r="DD807" s="1125" t="s">
        <v>256</v>
      </c>
      <c r="DE807" s="1120" t="str">
        <f t="shared" si="975"/>
        <v/>
      </c>
      <c r="DF807" s="1133">
        <v>0</v>
      </c>
      <c r="DG807" s="1125">
        <v>0</v>
      </c>
    </row>
    <row r="808" spans="1:111">
      <c r="A808" s="1120" t="s">
        <v>4308</v>
      </c>
      <c r="B808" s="1120" t="s">
        <v>3174</v>
      </c>
      <c r="C808" s="1120" t="s">
        <v>3175</v>
      </c>
      <c r="D808" s="1120" t="s">
        <v>954</v>
      </c>
      <c r="E808" s="1120">
        <v>69</v>
      </c>
      <c r="F808" s="1120">
        <v>-121.6</v>
      </c>
      <c r="G808" s="1120">
        <v>36.67</v>
      </c>
      <c r="H808" s="1120">
        <v>-8</v>
      </c>
      <c r="I808" s="1121">
        <v>36.139999914169309</v>
      </c>
      <c r="J808" s="1121">
        <v>78.619999313354498</v>
      </c>
      <c r="K808" s="1122">
        <v>61.7</v>
      </c>
      <c r="L808" s="1120">
        <v>3054.6</v>
      </c>
      <c r="M808" s="1120">
        <v>43.2</v>
      </c>
      <c r="N808" s="1123">
        <v>50.540000343322752</v>
      </c>
      <c r="O808" s="1123">
        <v>53.6</v>
      </c>
      <c r="P808" s="1123">
        <v>50.9</v>
      </c>
      <c r="Q808" s="1123">
        <v>54.140000343322754</v>
      </c>
      <c r="R808" s="1123">
        <v>57.380000686645509</v>
      </c>
      <c r="S808" s="1123">
        <v>60.619999313354491</v>
      </c>
      <c r="T808" s="1123">
        <v>60.259999656677245</v>
      </c>
      <c r="U808" s="1123">
        <v>61.880000686645509</v>
      </c>
      <c r="V808" s="1123">
        <v>63.139998626708987</v>
      </c>
      <c r="W808" s="1123">
        <v>57.740000343322755</v>
      </c>
      <c r="X808" s="1123">
        <v>52.7</v>
      </c>
      <c r="Y808" s="1123">
        <v>50.9</v>
      </c>
      <c r="Z808" s="1123">
        <v>56.154520552648258</v>
      </c>
      <c r="AA808" s="1123">
        <f t="shared" si="901"/>
        <v>59.119460891848576</v>
      </c>
      <c r="AB808" s="1123">
        <f t="shared" si="902"/>
        <v>58.893658932160342</v>
      </c>
      <c r="AC808" s="1123">
        <f t="shared" si="903"/>
        <v>59.517850805250959</v>
      </c>
      <c r="AD808" s="1123">
        <f t="shared" si="904"/>
        <v>60.829331280311415</v>
      </c>
      <c r="AE808" s="1123">
        <f t="shared" si="905"/>
        <v>62.486242760991317</v>
      </c>
      <c r="AF808" s="1123">
        <f t="shared" si="906"/>
        <v>64.056685736072637</v>
      </c>
      <c r="AG808" s="1123">
        <f t="shared" si="907"/>
        <v>65.131300042841602</v>
      </c>
      <c r="AH808" s="1123">
        <f t="shared" si="908"/>
        <v>65.429970901931156</v>
      </c>
      <c r="AI808" s="1123">
        <f t="shared" si="909"/>
        <v>64.874845151262335</v>
      </c>
      <c r="AJ808" s="1123">
        <f t="shared" si="910"/>
        <v>63.610624872493737</v>
      </c>
      <c r="AK808" s="1123">
        <f t="shared" si="911"/>
        <v>61.966848563510617</v>
      </c>
      <c r="AL808" s="1123">
        <f t="shared" si="912"/>
        <v>60.371991850609113</v>
      </c>
      <c r="AM808" s="1120">
        <f t="shared" si="913"/>
        <v>1</v>
      </c>
      <c r="AN808" s="1120">
        <f t="shared" si="914"/>
        <v>1</v>
      </c>
      <c r="AO808" s="1120">
        <f t="shared" si="915"/>
        <v>1</v>
      </c>
      <c r="AP808" s="1120">
        <f t="shared" si="916"/>
        <v>1</v>
      </c>
      <c r="AQ808" s="1120">
        <f t="shared" si="917"/>
        <v>1</v>
      </c>
      <c r="AR808" s="1120">
        <f t="shared" si="918"/>
        <v>1</v>
      </c>
      <c r="AS808" s="1120">
        <f t="shared" si="919"/>
        <v>1</v>
      </c>
      <c r="AT808" s="1120">
        <f t="shared" si="920"/>
        <v>1</v>
      </c>
      <c r="AU808" s="1120">
        <f t="shared" si="921"/>
        <v>1</v>
      </c>
      <c r="AV808" s="1120">
        <f t="shared" si="922"/>
        <v>1</v>
      </c>
      <c r="AW808" s="1120">
        <f t="shared" si="923"/>
        <v>1</v>
      </c>
      <c r="AX808" s="1120">
        <f t="shared" si="924"/>
        <v>1</v>
      </c>
      <c r="AY808" s="1120">
        <f t="shared" si="925"/>
        <v>0</v>
      </c>
      <c r="AZ808" s="1120">
        <f t="shared" si="926"/>
        <v>0</v>
      </c>
      <c r="BA808" s="1120">
        <f t="shared" si="927"/>
        <v>0</v>
      </c>
      <c r="BB808" s="1120">
        <f t="shared" si="928"/>
        <v>0</v>
      </c>
      <c r="BC808" s="1120">
        <f t="shared" si="929"/>
        <v>0</v>
      </c>
      <c r="BD808" s="1120">
        <f t="shared" si="930"/>
        <v>0</v>
      </c>
      <c r="BE808" s="1120">
        <f t="shared" si="931"/>
        <v>1</v>
      </c>
      <c r="BF808" s="1120">
        <f t="shared" si="932"/>
        <v>1</v>
      </c>
      <c r="BG808" s="1120">
        <f t="shared" si="933"/>
        <v>0</v>
      </c>
      <c r="BH808" s="1120">
        <f t="shared" si="934"/>
        <v>0</v>
      </c>
      <c r="BI808" s="1120">
        <f t="shared" si="935"/>
        <v>0</v>
      </c>
      <c r="BJ808" s="1120">
        <f t="shared" si="936"/>
        <v>0</v>
      </c>
      <c r="BK808" s="1120">
        <f t="shared" si="937"/>
        <v>1</v>
      </c>
      <c r="BL808" s="1120">
        <f t="shared" si="938"/>
        <v>1</v>
      </c>
      <c r="BM808" s="1120">
        <f t="shared" si="939"/>
        <v>1</v>
      </c>
      <c r="BN808" s="1120">
        <f t="shared" si="940"/>
        <v>1</v>
      </c>
      <c r="BO808" s="1120">
        <f t="shared" si="941"/>
        <v>1</v>
      </c>
      <c r="BP808" s="1120">
        <f t="shared" si="942"/>
        <v>1</v>
      </c>
      <c r="BQ808" s="1120">
        <f t="shared" si="943"/>
        <v>1</v>
      </c>
      <c r="BR808" s="1120">
        <f t="shared" si="944"/>
        <v>1</v>
      </c>
      <c r="BS808" s="1120">
        <f t="shared" si="945"/>
        <v>1</v>
      </c>
      <c r="BT808" s="1120">
        <f t="shared" si="946"/>
        <v>1</v>
      </c>
      <c r="BU808" s="1120">
        <f t="shared" si="947"/>
        <v>1</v>
      </c>
      <c r="BV808" s="1120">
        <f t="shared" si="948"/>
        <v>1</v>
      </c>
      <c r="BW808" s="1120">
        <f t="shared" si="949"/>
        <v>0</v>
      </c>
      <c r="BX808" s="1120">
        <f t="shared" si="950"/>
        <v>0</v>
      </c>
      <c r="BY808" s="1120">
        <f t="shared" si="951"/>
        <v>0</v>
      </c>
      <c r="BZ808" s="1120">
        <f t="shared" si="952"/>
        <v>0</v>
      </c>
      <c r="CA808" s="1120">
        <f t="shared" si="953"/>
        <v>0</v>
      </c>
      <c r="CB808" s="1120">
        <f t="shared" si="954"/>
        <v>0</v>
      </c>
      <c r="CC808" s="1120">
        <f t="shared" si="955"/>
        <v>1</v>
      </c>
      <c r="CD808" s="1120">
        <f t="shared" si="956"/>
        <v>1</v>
      </c>
      <c r="CE808" s="1120">
        <f t="shared" si="957"/>
        <v>0</v>
      </c>
      <c r="CF808" s="1120">
        <f t="shared" si="958"/>
        <v>0</v>
      </c>
      <c r="CG808" s="1120">
        <f t="shared" si="959"/>
        <v>0</v>
      </c>
      <c r="CH808" s="1120">
        <f t="shared" si="960"/>
        <v>0</v>
      </c>
      <c r="CI808" s="1120">
        <f t="shared" si="961"/>
        <v>0.85</v>
      </c>
      <c r="CJ808" s="1120">
        <f t="shared" si="962"/>
        <v>0.85</v>
      </c>
      <c r="CK808" s="1120">
        <f t="shared" si="963"/>
        <v>0.85</v>
      </c>
      <c r="CL808" s="1120">
        <f t="shared" si="964"/>
        <v>0.85</v>
      </c>
      <c r="CM808" s="1120">
        <f t="shared" si="965"/>
        <v>0.85</v>
      </c>
      <c r="CN808" s="1120">
        <f t="shared" si="966"/>
        <v>0.85</v>
      </c>
      <c r="CO808" s="1120">
        <f t="shared" si="967"/>
        <v>0.85</v>
      </c>
      <c r="CP808" s="1120">
        <f t="shared" si="968"/>
        <v>0.85</v>
      </c>
      <c r="CQ808" s="1120">
        <f t="shared" si="969"/>
        <v>0.85</v>
      </c>
      <c r="CR808" s="1120">
        <f t="shared" si="970"/>
        <v>0.85</v>
      </c>
      <c r="CS808" s="1120">
        <f t="shared" si="971"/>
        <v>0.85</v>
      </c>
      <c r="CT808" s="1120">
        <f t="shared" si="972"/>
        <v>0.85</v>
      </c>
      <c r="CU808" s="1120">
        <v>1</v>
      </c>
      <c r="CV808" s="1120"/>
      <c r="CW808" s="1120">
        <f t="shared" si="973"/>
        <v>62</v>
      </c>
      <c r="CX808" s="1120">
        <f t="shared" si="974"/>
        <v>303</v>
      </c>
      <c r="CY808" s="1136" t="s">
        <v>4893</v>
      </c>
      <c r="CZ808" s="1129" t="s">
        <v>4895</v>
      </c>
      <c r="DA808" s="1129"/>
      <c r="DB808" s="1129"/>
      <c r="DC808" s="1125" t="s">
        <v>5052</v>
      </c>
      <c r="DD808" s="1125" t="s">
        <v>954</v>
      </c>
      <c r="DE808" s="1120" t="str">
        <f t="shared" si="975"/>
        <v/>
      </c>
      <c r="DF808" s="1120">
        <v>0</v>
      </c>
      <c r="DG808" s="1120">
        <v>0</v>
      </c>
    </row>
    <row r="809" spans="1:111">
      <c r="A809" s="1125" t="s">
        <v>4310</v>
      </c>
      <c r="B809" s="1120" t="s">
        <v>3683</v>
      </c>
      <c r="C809" s="1120" t="s">
        <v>3684</v>
      </c>
      <c r="D809" s="1120" t="s">
        <v>590</v>
      </c>
      <c r="E809" s="1120">
        <v>49</v>
      </c>
      <c r="F809" s="1120">
        <v>-75.52</v>
      </c>
      <c r="G809" s="1120">
        <v>38.33</v>
      </c>
      <c r="H809" s="1120">
        <v>-5</v>
      </c>
      <c r="I809" s="1121">
        <v>18.140000343322754</v>
      </c>
      <c r="J809" s="1121">
        <v>90.320002746582034</v>
      </c>
      <c r="K809" s="1122">
        <v>75.919999313354495</v>
      </c>
      <c r="L809" s="1120">
        <v>3661.2000000000003</v>
      </c>
      <c r="M809" s="1120">
        <v>1337.4</v>
      </c>
      <c r="N809" s="1123">
        <v>36.5</v>
      </c>
      <c r="O809" s="1123">
        <v>41</v>
      </c>
      <c r="P809" s="1123">
        <v>47.119999313354491</v>
      </c>
      <c r="Q809" s="1123">
        <v>60.080000686645505</v>
      </c>
      <c r="R809" s="1123">
        <v>64.580000686645505</v>
      </c>
      <c r="S809" s="1123">
        <v>71.780000686645508</v>
      </c>
      <c r="T809" s="1123">
        <v>77.360001373291013</v>
      </c>
      <c r="U809" s="1123">
        <v>75.919999313354495</v>
      </c>
      <c r="V809" s="1123">
        <v>69.080000686645505</v>
      </c>
      <c r="W809" s="1123">
        <v>58.459999656677248</v>
      </c>
      <c r="X809" s="1123">
        <v>49.819999313354494</v>
      </c>
      <c r="Y809" s="1123">
        <v>43.52000017166138</v>
      </c>
      <c r="Z809" s="1123">
        <v>58.022082348392438</v>
      </c>
      <c r="AA809" s="1123">
        <f t="shared" si="901"/>
        <v>53.696782593560634</v>
      </c>
      <c r="AB809" s="1123">
        <f t="shared" si="902"/>
        <v>53.118128110165038</v>
      </c>
      <c r="AC809" s="1123">
        <f t="shared" si="903"/>
        <v>55.381757333984609</v>
      </c>
      <c r="AD809" s="1123">
        <f t="shared" si="904"/>
        <v>59.897620424248508</v>
      </c>
      <c r="AE809" s="1123">
        <f t="shared" si="905"/>
        <v>65.488588074922717</v>
      </c>
      <c r="AF809" s="1123">
        <f t="shared" si="906"/>
        <v>70.697288408439491</v>
      </c>
      <c r="AG809" s="1123">
        <f t="shared" si="907"/>
        <v>74.165993414365815</v>
      </c>
      <c r="AH809" s="1123">
        <f t="shared" si="908"/>
        <v>74.990531678544826</v>
      </c>
      <c r="AI809" s="1123">
        <f t="shared" si="909"/>
        <v>72.955974595898965</v>
      </c>
      <c r="AJ809" s="1123">
        <f t="shared" si="910"/>
        <v>68.592660823493617</v>
      </c>
      <c r="AK809" s="1123">
        <f t="shared" si="911"/>
        <v>63.037955336806789</v>
      </c>
      <c r="AL809" s="1123">
        <f t="shared" si="912"/>
        <v>57.739777721546083</v>
      </c>
      <c r="AM809" s="1120">
        <f t="shared" si="913"/>
        <v>1</v>
      </c>
      <c r="AN809" s="1120">
        <f t="shared" si="914"/>
        <v>1</v>
      </c>
      <c r="AO809" s="1120">
        <f t="shared" si="915"/>
        <v>1</v>
      </c>
      <c r="AP809" s="1120">
        <f t="shared" si="916"/>
        <v>1</v>
      </c>
      <c r="AQ809" s="1120">
        <f t="shared" si="917"/>
        <v>1</v>
      </c>
      <c r="AR809" s="1120">
        <f t="shared" si="918"/>
        <v>0</v>
      </c>
      <c r="AS809" s="1120">
        <f t="shared" si="919"/>
        <v>0</v>
      </c>
      <c r="AT809" s="1120">
        <f t="shared" si="920"/>
        <v>0</v>
      </c>
      <c r="AU809" s="1120">
        <f t="shared" si="921"/>
        <v>0</v>
      </c>
      <c r="AV809" s="1120">
        <f t="shared" si="922"/>
        <v>1</v>
      </c>
      <c r="AW809" s="1120">
        <f t="shared" si="923"/>
        <v>1</v>
      </c>
      <c r="AX809" s="1120">
        <f t="shared" si="924"/>
        <v>1</v>
      </c>
      <c r="AY809" s="1120">
        <f t="shared" si="925"/>
        <v>0</v>
      </c>
      <c r="AZ809" s="1120">
        <f t="shared" si="926"/>
        <v>0</v>
      </c>
      <c r="BA809" s="1120">
        <f t="shared" si="927"/>
        <v>0</v>
      </c>
      <c r="BB809" s="1120">
        <f t="shared" si="928"/>
        <v>0</v>
      </c>
      <c r="BC809" s="1120">
        <f t="shared" si="929"/>
        <v>0</v>
      </c>
      <c r="BD809" s="1120">
        <f t="shared" si="930"/>
        <v>1</v>
      </c>
      <c r="BE809" s="1120">
        <f t="shared" si="931"/>
        <v>1</v>
      </c>
      <c r="BF809" s="1120">
        <f t="shared" si="932"/>
        <v>1</v>
      </c>
      <c r="BG809" s="1120">
        <f t="shared" si="933"/>
        <v>1</v>
      </c>
      <c r="BH809" s="1120">
        <f t="shared" si="934"/>
        <v>0</v>
      </c>
      <c r="BI809" s="1120">
        <f t="shared" si="935"/>
        <v>0</v>
      </c>
      <c r="BJ809" s="1120">
        <f t="shared" si="936"/>
        <v>0</v>
      </c>
      <c r="BK809" s="1120">
        <f t="shared" si="937"/>
        <v>1</v>
      </c>
      <c r="BL809" s="1120">
        <f t="shared" si="938"/>
        <v>1</v>
      </c>
      <c r="BM809" s="1120">
        <f t="shared" si="939"/>
        <v>1</v>
      </c>
      <c r="BN809" s="1120">
        <f t="shared" si="940"/>
        <v>1</v>
      </c>
      <c r="BO809" s="1120">
        <f t="shared" si="941"/>
        <v>1</v>
      </c>
      <c r="BP809" s="1120">
        <f t="shared" si="942"/>
        <v>1</v>
      </c>
      <c r="BQ809" s="1120">
        <f t="shared" si="943"/>
        <v>0</v>
      </c>
      <c r="BR809" s="1120">
        <f t="shared" si="944"/>
        <v>0</v>
      </c>
      <c r="BS809" s="1120">
        <f t="shared" si="945"/>
        <v>0</v>
      </c>
      <c r="BT809" s="1120">
        <f t="shared" si="946"/>
        <v>1</v>
      </c>
      <c r="BU809" s="1120">
        <f t="shared" si="947"/>
        <v>1</v>
      </c>
      <c r="BV809" s="1120">
        <f t="shared" si="948"/>
        <v>1</v>
      </c>
      <c r="BW809" s="1120">
        <f t="shared" si="949"/>
        <v>0</v>
      </c>
      <c r="BX809" s="1120">
        <f t="shared" si="950"/>
        <v>0</v>
      </c>
      <c r="BY809" s="1120">
        <f t="shared" si="951"/>
        <v>0</v>
      </c>
      <c r="BZ809" s="1120">
        <f t="shared" si="952"/>
        <v>0</v>
      </c>
      <c r="CA809" s="1120">
        <f t="shared" si="953"/>
        <v>1</v>
      </c>
      <c r="CB809" s="1120">
        <f t="shared" si="954"/>
        <v>1</v>
      </c>
      <c r="CC809" s="1120">
        <f t="shared" si="955"/>
        <v>1</v>
      </c>
      <c r="CD809" s="1120">
        <f t="shared" si="956"/>
        <v>1</v>
      </c>
      <c r="CE809" s="1120">
        <f t="shared" si="957"/>
        <v>1</v>
      </c>
      <c r="CF809" s="1120">
        <f t="shared" si="958"/>
        <v>1</v>
      </c>
      <c r="CG809" s="1120">
        <f t="shared" si="959"/>
        <v>0</v>
      </c>
      <c r="CH809" s="1120">
        <f t="shared" si="960"/>
        <v>0</v>
      </c>
      <c r="CI809" s="1120">
        <f t="shared" si="961"/>
        <v>0.85</v>
      </c>
      <c r="CJ809" s="1120">
        <f t="shared" si="962"/>
        <v>0.85</v>
      </c>
      <c r="CK809" s="1120">
        <f t="shared" si="963"/>
        <v>0.85</v>
      </c>
      <c r="CL809" s="1120">
        <f t="shared" si="964"/>
        <v>0.85</v>
      </c>
      <c r="CM809" s="1120">
        <f t="shared" si="965"/>
        <v>0.85</v>
      </c>
      <c r="CN809" s="1120">
        <f t="shared" si="966"/>
        <v>0.85</v>
      </c>
      <c r="CO809" s="1120">
        <f t="shared" si="967"/>
        <v>0.7</v>
      </c>
      <c r="CP809" s="1120">
        <f t="shared" si="968"/>
        <v>0.7</v>
      </c>
      <c r="CQ809" s="1120">
        <f t="shared" si="969"/>
        <v>0.7</v>
      </c>
      <c r="CR809" s="1120">
        <f t="shared" si="970"/>
        <v>0.85</v>
      </c>
      <c r="CS809" s="1120">
        <f t="shared" si="971"/>
        <v>0.85</v>
      </c>
      <c r="CT809" s="1120">
        <f t="shared" si="972"/>
        <v>0.85</v>
      </c>
      <c r="CU809" s="1120">
        <v>1</v>
      </c>
      <c r="CV809" s="1120"/>
      <c r="CW809" s="1120">
        <f t="shared" si="973"/>
        <v>184</v>
      </c>
      <c r="CX809" s="1120">
        <f t="shared" si="974"/>
        <v>181</v>
      </c>
      <c r="CY809" s="1135" t="s">
        <v>4881</v>
      </c>
      <c r="CZ809" s="1124" t="s">
        <v>4885</v>
      </c>
      <c r="DA809" s="1124"/>
      <c r="DB809" s="1124"/>
      <c r="DC809" s="1120" t="s">
        <v>5282</v>
      </c>
      <c r="DD809" s="1120" t="s">
        <v>590</v>
      </c>
      <c r="DE809" s="1120" t="str">
        <f t="shared" si="975"/>
        <v/>
      </c>
      <c r="DF809" s="1133">
        <v>0</v>
      </c>
      <c r="DG809" s="1125">
        <v>0</v>
      </c>
    </row>
    <row r="810" spans="1:111">
      <c r="A810" s="1120" t="s">
        <v>4314</v>
      </c>
      <c r="B810" s="1120" t="s">
        <v>5842</v>
      </c>
      <c r="C810" s="1120" t="s">
        <v>5843</v>
      </c>
      <c r="D810" s="1120" t="s">
        <v>249</v>
      </c>
      <c r="E810" s="1120">
        <v>4044</v>
      </c>
      <c r="F810" s="1120">
        <v>-113.88</v>
      </c>
      <c r="G810" s="1120">
        <v>45.12</v>
      </c>
      <c r="H810" s="1120">
        <v>-7</v>
      </c>
      <c r="I810" s="1121">
        <v>0.68000068664550706</v>
      </c>
      <c r="J810" s="1121">
        <v>87.619999313354498</v>
      </c>
      <c r="K810" s="1122">
        <v>60.440000343322751</v>
      </c>
      <c r="L810" s="1120">
        <v>7362</v>
      </c>
      <c r="M810" s="1120">
        <v>349.2</v>
      </c>
      <c r="N810" s="1123">
        <v>22.640000343322754</v>
      </c>
      <c r="O810" s="1123">
        <v>27.139999914169312</v>
      </c>
      <c r="P810" s="1123">
        <v>35.779999828338624</v>
      </c>
      <c r="Q810" s="1123">
        <v>47.840000343322757</v>
      </c>
      <c r="R810" s="1123">
        <v>52.340000343322757</v>
      </c>
      <c r="S810" s="1123">
        <v>61.880000686645509</v>
      </c>
      <c r="T810" s="1123">
        <v>69.980000686645511</v>
      </c>
      <c r="U810" s="1123">
        <v>67.819999313354487</v>
      </c>
      <c r="V810" s="1123">
        <v>55.040000343322752</v>
      </c>
      <c r="W810" s="1123">
        <v>43.340000343322757</v>
      </c>
      <c r="X810" s="1123">
        <v>29.3</v>
      </c>
      <c r="Y810" s="1123">
        <v>27.5</v>
      </c>
      <c r="Z810" s="1123">
        <v>45.159233055898589</v>
      </c>
      <c r="AA810" s="1123">
        <f t="shared" si="901"/>
        <v>43.022731263860337</v>
      </c>
      <c r="AB810" s="1123">
        <f t="shared" si="902"/>
        <v>41.438115186019132</v>
      </c>
      <c r="AC810" s="1123">
        <f t="shared" si="903"/>
        <v>42.387458287922996</v>
      </c>
      <c r="AD810" s="1123">
        <f t="shared" si="904"/>
        <v>45.623299660240654</v>
      </c>
      <c r="AE810" s="1123">
        <f t="shared" si="905"/>
        <v>50.302167383452534</v>
      </c>
      <c r="AF810" s="1123">
        <f t="shared" si="906"/>
        <v>55.204442481969281</v>
      </c>
      <c r="AG810" s="1123">
        <f t="shared" si="907"/>
        <v>59.052271405016477</v>
      </c>
      <c r="AH810" s="1123">
        <f t="shared" si="908"/>
        <v>60.842658246963261</v>
      </c>
      <c r="AI810" s="1123">
        <f t="shared" si="909"/>
        <v>60.108911086759811</v>
      </c>
      <c r="AJ810" s="1123">
        <f t="shared" si="910"/>
        <v>57.042292429099163</v>
      </c>
      <c r="AK810" s="1123">
        <f t="shared" si="911"/>
        <v>52.442163685124562</v>
      </c>
      <c r="AL810" s="1123">
        <f t="shared" si="912"/>
        <v>47.50761930208278</v>
      </c>
      <c r="AM810" s="1120">
        <f t="shared" si="913"/>
        <v>1</v>
      </c>
      <c r="AN810" s="1120">
        <f t="shared" si="914"/>
        <v>1</v>
      </c>
      <c r="AO810" s="1120">
        <f t="shared" si="915"/>
        <v>1</v>
      </c>
      <c r="AP810" s="1120">
        <f t="shared" si="916"/>
        <v>1</v>
      </c>
      <c r="AQ810" s="1120">
        <f t="shared" si="917"/>
        <v>1</v>
      </c>
      <c r="AR810" s="1120">
        <f t="shared" si="918"/>
        <v>1</v>
      </c>
      <c r="AS810" s="1120">
        <f t="shared" si="919"/>
        <v>0</v>
      </c>
      <c r="AT810" s="1120">
        <f t="shared" si="920"/>
        <v>0</v>
      </c>
      <c r="AU810" s="1120">
        <f t="shared" si="921"/>
        <v>1</v>
      </c>
      <c r="AV810" s="1120">
        <f t="shared" si="922"/>
        <v>1</v>
      </c>
      <c r="AW810" s="1120">
        <f t="shared" si="923"/>
        <v>1</v>
      </c>
      <c r="AX810" s="1120">
        <f t="shared" si="924"/>
        <v>1</v>
      </c>
      <c r="AY810" s="1120">
        <f t="shared" si="925"/>
        <v>0</v>
      </c>
      <c r="AZ810" s="1120">
        <f t="shared" si="926"/>
        <v>0</v>
      </c>
      <c r="BA810" s="1120">
        <f t="shared" si="927"/>
        <v>0</v>
      </c>
      <c r="BB810" s="1120">
        <f t="shared" si="928"/>
        <v>0</v>
      </c>
      <c r="BC810" s="1120">
        <f t="shared" si="929"/>
        <v>0</v>
      </c>
      <c r="BD810" s="1120">
        <f t="shared" si="930"/>
        <v>0</v>
      </c>
      <c r="BE810" s="1120">
        <f t="shared" si="931"/>
        <v>1</v>
      </c>
      <c r="BF810" s="1120">
        <f t="shared" si="932"/>
        <v>1</v>
      </c>
      <c r="BG810" s="1120">
        <f t="shared" si="933"/>
        <v>0</v>
      </c>
      <c r="BH810" s="1120">
        <f t="shared" si="934"/>
        <v>0</v>
      </c>
      <c r="BI810" s="1120">
        <f t="shared" si="935"/>
        <v>0</v>
      </c>
      <c r="BJ810" s="1120">
        <f t="shared" si="936"/>
        <v>0</v>
      </c>
      <c r="BK810" s="1120">
        <f t="shared" si="937"/>
        <v>1</v>
      </c>
      <c r="BL810" s="1120">
        <f t="shared" si="938"/>
        <v>1</v>
      </c>
      <c r="BM810" s="1120">
        <f t="shared" si="939"/>
        <v>1</v>
      </c>
      <c r="BN810" s="1120">
        <f t="shared" si="940"/>
        <v>1</v>
      </c>
      <c r="BO810" s="1120">
        <f t="shared" si="941"/>
        <v>1</v>
      </c>
      <c r="BP810" s="1120">
        <f t="shared" si="942"/>
        <v>1</v>
      </c>
      <c r="BQ810" s="1120">
        <f t="shared" si="943"/>
        <v>1</v>
      </c>
      <c r="BR810" s="1120">
        <f t="shared" si="944"/>
        <v>0</v>
      </c>
      <c r="BS810" s="1120">
        <f t="shared" si="945"/>
        <v>1</v>
      </c>
      <c r="BT810" s="1120">
        <f t="shared" si="946"/>
        <v>1</v>
      </c>
      <c r="BU810" s="1120">
        <f t="shared" si="947"/>
        <v>1</v>
      </c>
      <c r="BV810" s="1120">
        <f t="shared" si="948"/>
        <v>1</v>
      </c>
      <c r="BW810" s="1120">
        <f t="shared" si="949"/>
        <v>0</v>
      </c>
      <c r="BX810" s="1120">
        <f t="shared" si="950"/>
        <v>0</v>
      </c>
      <c r="BY810" s="1120">
        <f t="shared" si="951"/>
        <v>0</v>
      </c>
      <c r="BZ810" s="1120">
        <f t="shared" si="952"/>
        <v>0</v>
      </c>
      <c r="CA810" s="1120">
        <f t="shared" si="953"/>
        <v>0</v>
      </c>
      <c r="CB810" s="1120">
        <f t="shared" si="954"/>
        <v>1</v>
      </c>
      <c r="CC810" s="1120">
        <f t="shared" si="955"/>
        <v>1</v>
      </c>
      <c r="CD810" s="1120">
        <f t="shared" si="956"/>
        <v>1</v>
      </c>
      <c r="CE810" s="1120">
        <f t="shared" si="957"/>
        <v>1</v>
      </c>
      <c r="CF810" s="1120">
        <f t="shared" si="958"/>
        <v>0</v>
      </c>
      <c r="CG810" s="1120">
        <f t="shared" si="959"/>
        <v>0</v>
      </c>
      <c r="CH810" s="1120">
        <f t="shared" si="960"/>
        <v>0</v>
      </c>
      <c r="CI810" s="1120">
        <f t="shared" si="961"/>
        <v>0.85</v>
      </c>
      <c r="CJ810" s="1120">
        <f t="shared" si="962"/>
        <v>0.85</v>
      </c>
      <c r="CK810" s="1120">
        <f t="shared" si="963"/>
        <v>0.85</v>
      </c>
      <c r="CL810" s="1120">
        <f t="shared" si="964"/>
        <v>0.85</v>
      </c>
      <c r="CM810" s="1120">
        <f t="shared" si="965"/>
        <v>0.85</v>
      </c>
      <c r="CN810" s="1120">
        <f t="shared" si="966"/>
        <v>0.85</v>
      </c>
      <c r="CO810" s="1120">
        <f t="shared" si="967"/>
        <v>0.85</v>
      </c>
      <c r="CP810" s="1120">
        <f t="shared" si="968"/>
        <v>0.7</v>
      </c>
      <c r="CQ810" s="1120">
        <f t="shared" si="969"/>
        <v>0.85</v>
      </c>
      <c r="CR810" s="1120">
        <f t="shared" si="970"/>
        <v>0.85</v>
      </c>
      <c r="CS810" s="1120">
        <f t="shared" si="971"/>
        <v>0.85</v>
      </c>
      <c r="CT810" s="1120">
        <f t="shared" si="972"/>
        <v>0.85</v>
      </c>
      <c r="CU810" s="1120">
        <v>1</v>
      </c>
      <c r="CV810" s="1120"/>
      <c r="CW810" s="1120">
        <f t="shared" si="973"/>
        <v>122</v>
      </c>
      <c r="CX810" s="1120">
        <f t="shared" si="974"/>
        <v>243</v>
      </c>
      <c r="CY810" s="1135" t="s">
        <v>4889</v>
      </c>
      <c r="CZ810" s="1124" t="s">
        <v>4896</v>
      </c>
      <c r="DA810" s="1124"/>
      <c r="DB810" s="1124"/>
      <c r="DC810" s="1120" t="s">
        <v>5962</v>
      </c>
      <c r="DD810" s="1120" t="s">
        <v>249</v>
      </c>
      <c r="DE810" s="1120" t="str">
        <f t="shared" si="975"/>
        <v/>
      </c>
      <c r="DF810" s="1133">
        <v>0</v>
      </c>
      <c r="DG810" s="1120">
        <v>0</v>
      </c>
    </row>
    <row r="811" spans="1:111">
      <c r="A811" s="1125" t="s">
        <v>4316</v>
      </c>
      <c r="B811" s="1120" t="s">
        <v>4478</v>
      </c>
      <c r="C811" s="1120" t="s">
        <v>4479</v>
      </c>
      <c r="D811" s="1120" t="s">
        <v>905</v>
      </c>
      <c r="E811" s="1120">
        <v>4225</v>
      </c>
      <c r="F811" s="1120">
        <v>-111.97</v>
      </c>
      <c r="G811" s="1120">
        <v>40.770000000000003</v>
      </c>
      <c r="H811" s="1120">
        <v>-7</v>
      </c>
      <c r="I811" s="1121">
        <v>14.180000686645508</v>
      </c>
      <c r="J811" s="1121">
        <v>94.820002746582034</v>
      </c>
      <c r="K811" s="1122">
        <v>62.6</v>
      </c>
      <c r="L811" s="1120">
        <v>5234.4000000000005</v>
      </c>
      <c r="M811" s="1120">
        <v>1204.2</v>
      </c>
      <c r="N811" s="1123">
        <v>32.720000010728839</v>
      </c>
      <c r="O811" s="1123">
        <v>34.519999957084657</v>
      </c>
      <c r="P811" s="1123">
        <v>44.240000343322755</v>
      </c>
      <c r="Q811" s="1123">
        <v>51.080000686645505</v>
      </c>
      <c r="R811" s="1123">
        <v>58.459999656677248</v>
      </c>
      <c r="S811" s="1123">
        <v>70.16000137329101</v>
      </c>
      <c r="T811" s="1123">
        <v>79.7</v>
      </c>
      <c r="U811" s="1123">
        <v>77</v>
      </c>
      <c r="V811" s="1123">
        <v>66.2</v>
      </c>
      <c r="W811" s="1123">
        <v>53.059999656677249</v>
      </c>
      <c r="X811" s="1123">
        <v>40.279999828338624</v>
      </c>
      <c r="Y811" s="1123">
        <v>31.459999978542328</v>
      </c>
      <c r="Z811" s="1123">
        <v>53.353424779372673</v>
      </c>
      <c r="AA811" s="1123">
        <f t="shared" si="901"/>
        <v>48.590076902512244</v>
      </c>
      <c r="AB811" s="1123">
        <f t="shared" si="902"/>
        <v>47.482769924344566</v>
      </c>
      <c r="AC811" s="1123">
        <f t="shared" si="903"/>
        <v>49.469732066468595</v>
      </c>
      <c r="AD811" s="1123">
        <f t="shared" si="904"/>
        <v>54.033031026526231</v>
      </c>
      <c r="AE811" s="1123">
        <f t="shared" si="905"/>
        <v>59.983172608012829</v>
      </c>
      <c r="AF811" s="1123">
        <f t="shared" si="906"/>
        <v>65.769160713256582</v>
      </c>
      <c r="AG811" s="1123">
        <f t="shared" si="907"/>
        <v>69.882788377849991</v>
      </c>
      <c r="AH811" s="1123">
        <f t="shared" si="908"/>
        <v>71.251775158095597</v>
      </c>
      <c r="AI811" s="1123">
        <f t="shared" si="909"/>
        <v>69.519273552997504</v>
      </c>
      <c r="AJ811" s="1123">
        <f t="shared" si="910"/>
        <v>65.136886804582417</v>
      </c>
      <c r="AK811" s="1123">
        <f t="shared" si="911"/>
        <v>59.246951553448795</v>
      </c>
      <c r="AL811" s="1123">
        <f t="shared" si="912"/>
        <v>53.384770189454308</v>
      </c>
      <c r="AM811" s="1120">
        <f t="shared" si="913"/>
        <v>1</v>
      </c>
      <c r="AN811" s="1120">
        <f t="shared" si="914"/>
        <v>1</v>
      </c>
      <c r="AO811" s="1120">
        <f t="shared" si="915"/>
        <v>1</v>
      </c>
      <c r="AP811" s="1120">
        <f t="shared" si="916"/>
        <v>1</v>
      </c>
      <c r="AQ811" s="1120">
        <f t="shared" si="917"/>
        <v>1</v>
      </c>
      <c r="AR811" s="1120">
        <f t="shared" si="918"/>
        <v>0</v>
      </c>
      <c r="AS811" s="1120">
        <f t="shared" si="919"/>
        <v>0</v>
      </c>
      <c r="AT811" s="1120">
        <f t="shared" si="920"/>
        <v>0</v>
      </c>
      <c r="AU811" s="1120">
        <f t="shared" si="921"/>
        <v>0</v>
      </c>
      <c r="AV811" s="1120">
        <f t="shared" si="922"/>
        <v>1</v>
      </c>
      <c r="AW811" s="1120">
        <f t="shared" si="923"/>
        <v>1</v>
      </c>
      <c r="AX811" s="1120">
        <f t="shared" si="924"/>
        <v>1</v>
      </c>
      <c r="AY811" s="1120">
        <f t="shared" si="925"/>
        <v>0</v>
      </c>
      <c r="AZ811" s="1120">
        <f t="shared" si="926"/>
        <v>0</v>
      </c>
      <c r="BA811" s="1120">
        <f t="shared" si="927"/>
        <v>0</v>
      </c>
      <c r="BB811" s="1120">
        <f t="shared" si="928"/>
        <v>0</v>
      </c>
      <c r="BC811" s="1120">
        <f t="shared" si="929"/>
        <v>0</v>
      </c>
      <c r="BD811" s="1120">
        <f t="shared" si="930"/>
        <v>1</v>
      </c>
      <c r="BE811" s="1120">
        <f t="shared" si="931"/>
        <v>1</v>
      </c>
      <c r="BF811" s="1120">
        <f t="shared" si="932"/>
        <v>1</v>
      </c>
      <c r="BG811" s="1120">
        <f t="shared" si="933"/>
        <v>1</v>
      </c>
      <c r="BH811" s="1120">
        <f t="shared" si="934"/>
        <v>0</v>
      </c>
      <c r="BI811" s="1120">
        <f t="shared" si="935"/>
        <v>0</v>
      </c>
      <c r="BJ811" s="1120">
        <f t="shared" si="936"/>
        <v>0</v>
      </c>
      <c r="BK811" s="1120">
        <f t="shared" si="937"/>
        <v>1</v>
      </c>
      <c r="BL811" s="1120">
        <f t="shared" si="938"/>
        <v>1</v>
      </c>
      <c r="BM811" s="1120">
        <f t="shared" si="939"/>
        <v>1</v>
      </c>
      <c r="BN811" s="1120">
        <f t="shared" si="940"/>
        <v>1</v>
      </c>
      <c r="BO811" s="1120">
        <f t="shared" si="941"/>
        <v>1</v>
      </c>
      <c r="BP811" s="1120">
        <f t="shared" si="942"/>
        <v>1</v>
      </c>
      <c r="BQ811" s="1120">
        <f t="shared" si="943"/>
        <v>0</v>
      </c>
      <c r="BR811" s="1120">
        <f t="shared" si="944"/>
        <v>0</v>
      </c>
      <c r="BS811" s="1120">
        <f t="shared" si="945"/>
        <v>0</v>
      </c>
      <c r="BT811" s="1120">
        <f t="shared" si="946"/>
        <v>1</v>
      </c>
      <c r="BU811" s="1120">
        <f t="shared" si="947"/>
        <v>1</v>
      </c>
      <c r="BV811" s="1120">
        <f t="shared" si="948"/>
        <v>1</v>
      </c>
      <c r="BW811" s="1120">
        <f t="shared" si="949"/>
        <v>0</v>
      </c>
      <c r="BX811" s="1120">
        <f t="shared" si="950"/>
        <v>0</v>
      </c>
      <c r="BY811" s="1120">
        <f t="shared" si="951"/>
        <v>0</v>
      </c>
      <c r="BZ811" s="1120">
        <f t="shared" si="952"/>
        <v>0</v>
      </c>
      <c r="CA811" s="1120">
        <f t="shared" si="953"/>
        <v>1</v>
      </c>
      <c r="CB811" s="1120">
        <f t="shared" si="954"/>
        <v>1</v>
      </c>
      <c r="CC811" s="1120">
        <f t="shared" si="955"/>
        <v>1</v>
      </c>
      <c r="CD811" s="1120">
        <f t="shared" si="956"/>
        <v>1</v>
      </c>
      <c r="CE811" s="1120">
        <f t="shared" si="957"/>
        <v>1</v>
      </c>
      <c r="CF811" s="1120">
        <f t="shared" si="958"/>
        <v>1</v>
      </c>
      <c r="CG811" s="1120">
        <f t="shared" si="959"/>
        <v>0</v>
      </c>
      <c r="CH811" s="1120">
        <f t="shared" si="960"/>
        <v>0</v>
      </c>
      <c r="CI811" s="1120">
        <f t="shared" si="961"/>
        <v>0.85</v>
      </c>
      <c r="CJ811" s="1120">
        <f t="shared" si="962"/>
        <v>0.85</v>
      </c>
      <c r="CK811" s="1120">
        <f t="shared" si="963"/>
        <v>0.85</v>
      </c>
      <c r="CL811" s="1120">
        <f t="shared" si="964"/>
        <v>0.85</v>
      </c>
      <c r="CM811" s="1120">
        <f t="shared" si="965"/>
        <v>0.85</v>
      </c>
      <c r="CN811" s="1120">
        <f t="shared" si="966"/>
        <v>0.85</v>
      </c>
      <c r="CO811" s="1120">
        <f t="shared" si="967"/>
        <v>0.7</v>
      </c>
      <c r="CP811" s="1120">
        <f t="shared" si="968"/>
        <v>0.7</v>
      </c>
      <c r="CQ811" s="1120">
        <f t="shared" si="969"/>
        <v>0.7</v>
      </c>
      <c r="CR811" s="1120">
        <f t="shared" si="970"/>
        <v>0.85</v>
      </c>
      <c r="CS811" s="1120">
        <f t="shared" si="971"/>
        <v>0.85</v>
      </c>
      <c r="CT811" s="1120">
        <f t="shared" si="972"/>
        <v>0.85</v>
      </c>
      <c r="CU811" s="1120">
        <v>1</v>
      </c>
      <c r="CV811" s="1120"/>
      <c r="CW811" s="1120">
        <f t="shared" si="973"/>
        <v>184</v>
      </c>
      <c r="CX811" s="1120">
        <f t="shared" si="974"/>
        <v>181</v>
      </c>
      <c r="CY811" s="1135" t="s">
        <v>4889</v>
      </c>
      <c r="CZ811" s="1124" t="s">
        <v>4890</v>
      </c>
      <c r="DA811" s="1124"/>
      <c r="DB811" s="1124"/>
      <c r="DC811" s="1120" t="s">
        <v>5623</v>
      </c>
      <c r="DD811" s="1120" t="s">
        <v>905</v>
      </c>
      <c r="DE811" s="1120" t="b">
        <f t="shared" si="975"/>
        <v>0</v>
      </c>
      <c r="DF811" s="1133">
        <v>0</v>
      </c>
      <c r="DG811" s="1125">
        <v>0</v>
      </c>
    </row>
    <row r="812" spans="1:111">
      <c r="A812" s="1120" t="s">
        <v>4318</v>
      </c>
      <c r="B812" s="1125" t="s">
        <v>4444</v>
      </c>
      <c r="C812" s="1125" t="s">
        <v>4445</v>
      </c>
      <c r="D812" s="1125" t="s">
        <v>228</v>
      </c>
      <c r="E812" s="1125">
        <v>1916</v>
      </c>
      <c r="F812" s="1125">
        <v>-100.5</v>
      </c>
      <c r="G812" s="1125">
        <v>31.35</v>
      </c>
      <c r="H812" s="1125">
        <v>-6</v>
      </c>
      <c r="I812" s="1126">
        <v>24.979999828338624</v>
      </c>
      <c r="J812" s="1126">
        <v>98.060001373291016</v>
      </c>
      <c r="K812" s="1127">
        <v>69.980000686645511</v>
      </c>
      <c r="L812" s="1125">
        <v>2469.6</v>
      </c>
      <c r="M812" s="1125">
        <v>2322</v>
      </c>
      <c r="N812" s="1128">
        <v>41.9</v>
      </c>
      <c r="O812" s="1128">
        <v>48.2</v>
      </c>
      <c r="P812" s="1128">
        <v>55.4</v>
      </c>
      <c r="Q812" s="1128">
        <v>67.639998626708987</v>
      </c>
      <c r="R812" s="1128">
        <v>73.219999313354492</v>
      </c>
      <c r="S812" s="1128">
        <v>78.080000686645505</v>
      </c>
      <c r="T812" s="1128">
        <v>82.219999313354492</v>
      </c>
      <c r="U812" s="1128">
        <v>80.960001373291021</v>
      </c>
      <c r="V812" s="1128">
        <v>73.939998626708984</v>
      </c>
      <c r="W812" s="1128">
        <v>64.580000686645505</v>
      </c>
      <c r="X812" s="1128">
        <v>54.140000343322754</v>
      </c>
      <c r="Y812" s="1128">
        <v>46.759999656677245</v>
      </c>
      <c r="Z812" s="1128">
        <v>63.999561531902991</v>
      </c>
      <c r="AA812" s="1128">
        <f t="shared" si="901"/>
        <v>58.304435682328112</v>
      </c>
      <c r="AB812" s="1128">
        <f t="shared" si="902"/>
        <v>58.304389083758934</v>
      </c>
      <c r="AC812" s="1128">
        <f t="shared" si="903"/>
        <v>61.352869411861391</v>
      </c>
      <c r="AD812" s="1128">
        <f t="shared" si="904"/>
        <v>66.655243290611693</v>
      </c>
      <c r="AE812" s="1128">
        <f t="shared" si="905"/>
        <v>72.829365256458701</v>
      </c>
      <c r="AF812" s="1128">
        <f t="shared" si="906"/>
        <v>78.265855272904844</v>
      </c>
      <c r="AG812" s="1128">
        <f t="shared" si="907"/>
        <v>81.547608438316317</v>
      </c>
      <c r="AH812" s="1128">
        <f t="shared" si="908"/>
        <v>81.81918521678152</v>
      </c>
      <c r="AI812" s="1128">
        <f t="shared" si="909"/>
        <v>79.009794935868626</v>
      </c>
      <c r="AJ812" s="1128">
        <f t="shared" si="910"/>
        <v>73.85174846631233</v>
      </c>
      <c r="AK812" s="1128">
        <f t="shared" si="911"/>
        <v>67.68957010830465</v>
      </c>
      <c r="AL812" s="1128">
        <f t="shared" si="912"/>
        <v>62.129526612903263</v>
      </c>
      <c r="AM812" s="1125">
        <f t="shared" si="913"/>
        <v>1</v>
      </c>
      <c r="AN812" s="1125">
        <f t="shared" si="914"/>
        <v>1</v>
      </c>
      <c r="AO812" s="1125">
        <f t="shared" si="915"/>
        <v>1</v>
      </c>
      <c r="AP812" s="1125">
        <f t="shared" si="916"/>
        <v>0</v>
      </c>
      <c r="AQ812" s="1125">
        <f t="shared" si="917"/>
        <v>0</v>
      </c>
      <c r="AR812" s="1125">
        <f t="shared" si="918"/>
        <v>0</v>
      </c>
      <c r="AS812" s="1125">
        <f t="shared" si="919"/>
        <v>0</v>
      </c>
      <c r="AT812" s="1125">
        <f t="shared" si="920"/>
        <v>0</v>
      </c>
      <c r="AU812" s="1125">
        <f t="shared" si="921"/>
        <v>0</v>
      </c>
      <c r="AV812" s="1125">
        <f t="shared" si="922"/>
        <v>1</v>
      </c>
      <c r="AW812" s="1125">
        <f t="shared" si="923"/>
        <v>1</v>
      </c>
      <c r="AX812" s="1125">
        <f t="shared" si="924"/>
        <v>1</v>
      </c>
      <c r="AY812" s="1125">
        <f t="shared" si="925"/>
        <v>0</v>
      </c>
      <c r="AZ812" s="1125">
        <f t="shared" si="926"/>
        <v>0</v>
      </c>
      <c r="BA812" s="1125">
        <f t="shared" si="927"/>
        <v>0</v>
      </c>
      <c r="BB812" s="1125">
        <f t="shared" si="928"/>
        <v>1</v>
      </c>
      <c r="BC812" s="1125">
        <f t="shared" si="929"/>
        <v>1</v>
      </c>
      <c r="BD812" s="1125">
        <f t="shared" si="930"/>
        <v>1</v>
      </c>
      <c r="BE812" s="1125">
        <f t="shared" si="931"/>
        <v>1</v>
      </c>
      <c r="BF812" s="1125">
        <f t="shared" si="932"/>
        <v>1</v>
      </c>
      <c r="BG812" s="1125">
        <f t="shared" si="933"/>
        <v>1</v>
      </c>
      <c r="BH812" s="1125">
        <f t="shared" si="934"/>
        <v>0</v>
      </c>
      <c r="BI812" s="1125">
        <f t="shared" si="935"/>
        <v>0</v>
      </c>
      <c r="BJ812" s="1125">
        <f t="shared" si="936"/>
        <v>0</v>
      </c>
      <c r="BK812" s="1125">
        <f t="shared" si="937"/>
        <v>1</v>
      </c>
      <c r="BL812" s="1125">
        <f t="shared" si="938"/>
        <v>1</v>
      </c>
      <c r="BM812" s="1125">
        <f t="shared" si="939"/>
        <v>1</v>
      </c>
      <c r="BN812" s="1125">
        <f t="shared" si="940"/>
        <v>1</v>
      </c>
      <c r="BO812" s="1125">
        <f t="shared" si="941"/>
        <v>0</v>
      </c>
      <c r="BP812" s="1125">
        <f t="shared" si="942"/>
        <v>0</v>
      </c>
      <c r="BQ812" s="1125">
        <f t="shared" si="943"/>
        <v>0</v>
      </c>
      <c r="BR812" s="1125">
        <f t="shared" si="944"/>
        <v>0</v>
      </c>
      <c r="BS812" s="1125">
        <f t="shared" si="945"/>
        <v>0</v>
      </c>
      <c r="BT812" s="1125">
        <f t="shared" si="946"/>
        <v>1</v>
      </c>
      <c r="BU812" s="1125">
        <f t="shared" si="947"/>
        <v>1</v>
      </c>
      <c r="BV812" s="1125">
        <f t="shared" si="948"/>
        <v>1</v>
      </c>
      <c r="BW812" s="1125">
        <f t="shared" si="949"/>
        <v>0</v>
      </c>
      <c r="BX812" s="1125">
        <f t="shared" si="950"/>
        <v>0</v>
      </c>
      <c r="BY812" s="1125">
        <f t="shared" si="951"/>
        <v>1</v>
      </c>
      <c r="BZ812" s="1125">
        <f t="shared" si="952"/>
        <v>1</v>
      </c>
      <c r="CA812" s="1125">
        <f t="shared" si="953"/>
        <v>1</v>
      </c>
      <c r="CB812" s="1125">
        <f t="shared" si="954"/>
        <v>1</v>
      </c>
      <c r="CC812" s="1125">
        <f t="shared" si="955"/>
        <v>1</v>
      </c>
      <c r="CD812" s="1125">
        <f t="shared" si="956"/>
        <v>1</v>
      </c>
      <c r="CE812" s="1125">
        <f t="shared" si="957"/>
        <v>1</v>
      </c>
      <c r="CF812" s="1125">
        <f t="shared" si="958"/>
        <v>1</v>
      </c>
      <c r="CG812" s="1125">
        <f t="shared" si="959"/>
        <v>0</v>
      </c>
      <c r="CH812" s="1125">
        <f t="shared" si="960"/>
        <v>0</v>
      </c>
      <c r="CI812" s="1125">
        <f t="shared" si="961"/>
        <v>0.85</v>
      </c>
      <c r="CJ812" s="1125">
        <f t="shared" si="962"/>
        <v>0.85</v>
      </c>
      <c r="CK812" s="1125">
        <f t="shared" si="963"/>
        <v>0.85</v>
      </c>
      <c r="CL812" s="1125">
        <f t="shared" si="964"/>
        <v>0.85</v>
      </c>
      <c r="CM812" s="1125">
        <f t="shared" si="965"/>
        <v>0.7</v>
      </c>
      <c r="CN812" s="1125">
        <f t="shared" si="966"/>
        <v>0.7</v>
      </c>
      <c r="CO812" s="1125">
        <f t="shared" si="967"/>
        <v>0.7</v>
      </c>
      <c r="CP812" s="1125">
        <f t="shared" si="968"/>
        <v>0.7</v>
      </c>
      <c r="CQ812" s="1125">
        <f t="shared" si="969"/>
        <v>0.7</v>
      </c>
      <c r="CR812" s="1125">
        <f t="shared" si="970"/>
        <v>0.85</v>
      </c>
      <c r="CS812" s="1125">
        <f t="shared" si="971"/>
        <v>0.85</v>
      </c>
      <c r="CT812" s="1125">
        <f t="shared" si="972"/>
        <v>0.85</v>
      </c>
      <c r="CU812" s="1125">
        <v>1</v>
      </c>
      <c r="CV812" s="1125"/>
      <c r="CW812" s="1125">
        <f t="shared" si="973"/>
        <v>245</v>
      </c>
      <c r="CX812" s="1125">
        <f t="shared" si="974"/>
        <v>120</v>
      </c>
      <c r="CY812" s="1135" t="s">
        <v>4886</v>
      </c>
      <c r="CZ812" s="1124" t="s">
        <v>4888</v>
      </c>
      <c r="DA812" s="1124"/>
      <c r="DB812" s="1124"/>
      <c r="DC812" s="1120" t="s">
        <v>5611</v>
      </c>
      <c r="DD812" s="1120" t="s">
        <v>228</v>
      </c>
      <c r="DE812" s="1120" t="str">
        <f t="shared" si="975"/>
        <v/>
      </c>
      <c r="DF812" s="1133">
        <v>0</v>
      </c>
      <c r="DG812" s="1120">
        <v>0</v>
      </c>
    </row>
    <row r="813" spans="1:111">
      <c r="A813" s="1125" t="s">
        <v>5919</v>
      </c>
      <c r="B813" s="1120" t="s">
        <v>4450</v>
      </c>
      <c r="C813" s="1120" t="s">
        <v>4451</v>
      </c>
      <c r="D813" s="1120" t="s">
        <v>228</v>
      </c>
      <c r="E813" s="1120">
        <v>810</v>
      </c>
      <c r="F813" s="1120">
        <v>-98.47</v>
      </c>
      <c r="G813" s="1120">
        <v>29.53</v>
      </c>
      <c r="H813" s="1120">
        <v>-6</v>
      </c>
      <c r="I813" s="1121">
        <v>31.639999994635581</v>
      </c>
      <c r="J813" s="1121">
        <v>96.979997253417977</v>
      </c>
      <c r="K813" s="1122">
        <v>73.580000686645505</v>
      </c>
      <c r="L813" s="1120">
        <v>1447.2</v>
      </c>
      <c r="M813" s="1120">
        <v>3018.6</v>
      </c>
      <c r="N813" s="1123">
        <v>50.180000686645506</v>
      </c>
      <c r="O813" s="1123">
        <v>53.240000343322755</v>
      </c>
      <c r="P813" s="1123">
        <v>61.519999313354496</v>
      </c>
      <c r="Q813" s="1123">
        <v>68.539998626708979</v>
      </c>
      <c r="R813" s="1123">
        <v>75.019999313354489</v>
      </c>
      <c r="S813" s="1123">
        <v>83.480000686645511</v>
      </c>
      <c r="T813" s="1123">
        <v>83.119999313354498</v>
      </c>
      <c r="U813" s="1123">
        <v>84.380000686645502</v>
      </c>
      <c r="V813" s="1123">
        <v>78.260001373291018</v>
      </c>
      <c r="W813" s="1123">
        <v>71.060001373291016</v>
      </c>
      <c r="X813" s="1123">
        <v>61.7</v>
      </c>
      <c r="Y813" s="1123">
        <v>52.880000686645509</v>
      </c>
      <c r="Z813" s="1123">
        <v>68.693370062423085</v>
      </c>
      <c r="AA813" s="1123">
        <f t="shared" si="901"/>
        <v>63.804355529227436</v>
      </c>
      <c r="AB813" s="1123">
        <f t="shared" si="902"/>
        <v>64.260040162150034</v>
      </c>
      <c r="AC813" s="1123">
        <f t="shared" si="903"/>
        <v>67.435333016059417</v>
      </c>
      <c r="AD813" s="1123">
        <f t="shared" si="904"/>
        <v>72.502545075840032</v>
      </c>
      <c r="AE813" s="1123">
        <f t="shared" si="905"/>
        <v>78.140829430008523</v>
      </c>
      <c r="AF813" s="1123">
        <f t="shared" si="906"/>
        <v>82.880480373058873</v>
      </c>
      <c r="AG813" s="1123">
        <f t="shared" si="907"/>
        <v>85.486034846453066</v>
      </c>
      <c r="AH813" s="1123">
        <f t="shared" si="908"/>
        <v>85.27831492389106</v>
      </c>
      <c r="AI813" s="1123">
        <f t="shared" si="909"/>
        <v>82.311466004249553</v>
      </c>
      <c r="AJ813" s="1123">
        <f t="shared" si="910"/>
        <v>77.358842978958876</v>
      </c>
      <c r="AK813" s="1123">
        <f t="shared" si="911"/>
        <v>71.711423361792143</v>
      </c>
      <c r="AL813" s="1123">
        <f t="shared" si="912"/>
        <v>66.841294105334526</v>
      </c>
      <c r="AM813" s="1120">
        <f t="shared" si="913"/>
        <v>1</v>
      </c>
      <c r="AN813" s="1120">
        <f t="shared" si="914"/>
        <v>1</v>
      </c>
      <c r="AO813" s="1120">
        <f t="shared" si="915"/>
        <v>1</v>
      </c>
      <c r="AP813" s="1120">
        <f t="shared" si="916"/>
        <v>0</v>
      </c>
      <c r="AQ813" s="1120">
        <f t="shared" si="917"/>
        <v>0</v>
      </c>
      <c r="AR813" s="1120">
        <f t="shared" si="918"/>
        <v>0</v>
      </c>
      <c r="AS813" s="1120">
        <f t="shared" si="919"/>
        <v>0</v>
      </c>
      <c r="AT813" s="1120">
        <f t="shared" si="920"/>
        <v>0</v>
      </c>
      <c r="AU813" s="1120">
        <f t="shared" si="921"/>
        <v>0</v>
      </c>
      <c r="AV813" s="1120">
        <f t="shared" si="922"/>
        <v>0</v>
      </c>
      <c r="AW813" s="1120">
        <f t="shared" si="923"/>
        <v>1</v>
      </c>
      <c r="AX813" s="1120">
        <f t="shared" si="924"/>
        <v>1</v>
      </c>
      <c r="AY813" s="1120">
        <f t="shared" si="925"/>
        <v>0</v>
      </c>
      <c r="AZ813" s="1120">
        <f t="shared" si="926"/>
        <v>0</v>
      </c>
      <c r="BA813" s="1120">
        <f t="shared" si="927"/>
        <v>0</v>
      </c>
      <c r="BB813" s="1120">
        <f t="shared" si="928"/>
        <v>1</v>
      </c>
      <c r="BC813" s="1120">
        <f t="shared" si="929"/>
        <v>1</v>
      </c>
      <c r="BD813" s="1120">
        <f t="shared" si="930"/>
        <v>1</v>
      </c>
      <c r="BE813" s="1120">
        <f t="shared" si="931"/>
        <v>1</v>
      </c>
      <c r="BF813" s="1120">
        <f t="shared" si="932"/>
        <v>1</v>
      </c>
      <c r="BG813" s="1120">
        <f t="shared" si="933"/>
        <v>1</v>
      </c>
      <c r="BH813" s="1120">
        <f t="shared" si="934"/>
        <v>1</v>
      </c>
      <c r="BI813" s="1120">
        <f t="shared" si="935"/>
        <v>0</v>
      </c>
      <c r="BJ813" s="1120">
        <f t="shared" si="936"/>
        <v>0</v>
      </c>
      <c r="BK813" s="1120">
        <f t="shared" si="937"/>
        <v>1</v>
      </c>
      <c r="BL813" s="1120">
        <f t="shared" si="938"/>
        <v>1</v>
      </c>
      <c r="BM813" s="1120">
        <f t="shared" si="939"/>
        <v>1</v>
      </c>
      <c r="BN813" s="1120">
        <f t="shared" si="940"/>
        <v>1</v>
      </c>
      <c r="BO813" s="1120">
        <f t="shared" si="941"/>
        <v>0</v>
      </c>
      <c r="BP813" s="1120">
        <f t="shared" si="942"/>
        <v>0</v>
      </c>
      <c r="BQ813" s="1120">
        <f t="shared" si="943"/>
        <v>0</v>
      </c>
      <c r="BR813" s="1120">
        <f t="shared" si="944"/>
        <v>0</v>
      </c>
      <c r="BS813" s="1120">
        <f t="shared" si="945"/>
        <v>0</v>
      </c>
      <c r="BT813" s="1120">
        <f t="shared" si="946"/>
        <v>0</v>
      </c>
      <c r="BU813" s="1120">
        <f t="shared" si="947"/>
        <v>1</v>
      </c>
      <c r="BV813" s="1120">
        <f t="shared" si="948"/>
        <v>1</v>
      </c>
      <c r="BW813" s="1120">
        <f t="shared" si="949"/>
        <v>0</v>
      </c>
      <c r="BX813" s="1120">
        <f t="shared" si="950"/>
        <v>0</v>
      </c>
      <c r="BY813" s="1120">
        <f t="shared" si="951"/>
        <v>1</v>
      </c>
      <c r="BZ813" s="1120">
        <f t="shared" si="952"/>
        <v>1</v>
      </c>
      <c r="CA813" s="1120">
        <f t="shared" si="953"/>
        <v>1</v>
      </c>
      <c r="CB813" s="1120">
        <f t="shared" si="954"/>
        <v>1</v>
      </c>
      <c r="CC813" s="1120">
        <f t="shared" si="955"/>
        <v>1</v>
      </c>
      <c r="CD813" s="1120">
        <f t="shared" si="956"/>
        <v>1</v>
      </c>
      <c r="CE813" s="1120">
        <f t="shared" si="957"/>
        <v>1</v>
      </c>
      <c r="CF813" s="1120">
        <f t="shared" si="958"/>
        <v>1</v>
      </c>
      <c r="CG813" s="1120">
        <f t="shared" si="959"/>
        <v>1</v>
      </c>
      <c r="CH813" s="1120">
        <f t="shared" si="960"/>
        <v>0</v>
      </c>
      <c r="CI813" s="1120">
        <f t="shared" si="961"/>
        <v>0.85</v>
      </c>
      <c r="CJ813" s="1120">
        <f t="shared" si="962"/>
        <v>0.85</v>
      </c>
      <c r="CK813" s="1120">
        <f t="shared" si="963"/>
        <v>0.85</v>
      </c>
      <c r="CL813" s="1120">
        <f t="shared" si="964"/>
        <v>0.85</v>
      </c>
      <c r="CM813" s="1120">
        <f t="shared" si="965"/>
        <v>0.7</v>
      </c>
      <c r="CN813" s="1120">
        <f t="shared" si="966"/>
        <v>0.7</v>
      </c>
      <c r="CO813" s="1120">
        <f t="shared" si="967"/>
        <v>0.7</v>
      </c>
      <c r="CP813" s="1120">
        <f t="shared" si="968"/>
        <v>0.7</v>
      </c>
      <c r="CQ813" s="1120">
        <f t="shared" si="969"/>
        <v>0.7</v>
      </c>
      <c r="CR813" s="1120">
        <f t="shared" si="970"/>
        <v>0.7</v>
      </c>
      <c r="CS813" s="1120">
        <f t="shared" si="971"/>
        <v>0.85</v>
      </c>
      <c r="CT813" s="1120">
        <f t="shared" si="972"/>
        <v>0.85</v>
      </c>
      <c r="CU813" s="1120">
        <v>1</v>
      </c>
      <c r="CV813" s="1120"/>
      <c r="CW813" s="1120">
        <f t="shared" si="973"/>
        <v>275</v>
      </c>
      <c r="CX813" s="1120">
        <f t="shared" si="974"/>
        <v>90</v>
      </c>
      <c r="CY813" s="1136" t="s">
        <v>4883</v>
      </c>
      <c r="CZ813" s="1129" t="s">
        <v>4884</v>
      </c>
      <c r="DA813" s="1129"/>
      <c r="DB813" s="1129"/>
      <c r="DC813" s="1125" t="s">
        <v>5612</v>
      </c>
      <c r="DD813" s="1125" t="s">
        <v>228</v>
      </c>
      <c r="DE813" s="1120" t="str">
        <f t="shared" si="975"/>
        <v/>
      </c>
      <c r="DF813" s="1133">
        <v>0</v>
      </c>
      <c r="DG813" s="1125">
        <v>0</v>
      </c>
    </row>
    <row r="814" spans="1:111">
      <c r="A814" s="1120" t="s">
        <v>4334</v>
      </c>
      <c r="B814" s="1125" t="s">
        <v>4446</v>
      </c>
      <c r="C814" s="1125" t="s">
        <v>4447</v>
      </c>
      <c r="D814" s="1125" t="s">
        <v>228</v>
      </c>
      <c r="E814" s="1125">
        <v>682</v>
      </c>
      <c r="F814" s="1125">
        <v>-98.58</v>
      </c>
      <c r="G814" s="1125">
        <v>29.38</v>
      </c>
      <c r="H814" s="1125">
        <v>-6</v>
      </c>
      <c r="I814" s="1126">
        <v>32.720000010728839</v>
      </c>
      <c r="J814" s="1126">
        <v>98.600000000000009</v>
      </c>
      <c r="K814" s="1127">
        <v>74.3</v>
      </c>
      <c r="L814" s="1125">
        <v>1384.2</v>
      </c>
      <c r="M814" s="1125">
        <v>142.20000000000002</v>
      </c>
      <c r="N814" s="1128">
        <v>49.459999656677248</v>
      </c>
      <c r="O814" s="1128">
        <v>58.280000686645508</v>
      </c>
      <c r="P814" s="1128">
        <v>58.280000686645508</v>
      </c>
      <c r="Q814" s="1128">
        <v>69.980000686645511</v>
      </c>
      <c r="R814" s="1128">
        <v>80.599999999999994</v>
      </c>
      <c r="S814" s="1128">
        <v>84.019999313354489</v>
      </c>
      <c r="T814" s="1128">
        <v>82.580000686645505</v>
      </c>
      <c r="U814" s="1128">
        <v>82.580000686645505</v>
      </c>
      <c r="V814" s="1128">
        <v>80.060001373291016</v>
      </c>
      <c r="W814" s="1128">
        <v>69.980000686645511</v>
      </c>
      <c r="X814" s="1128">
        <v>66.2</v>
      </c>
      <c r="Y814" s="1128">
        <v>55.940000343322751</v>
      </c>
      <c r="Z814" s="1128">
        <v>69.867562042654384</v>
      </c>
      <c r="AA814" s="1128">
        <f t="shared" si="901"/>
        <v>64.625920173737995</v>
      </c>
      <c r="AB814" s="1128">
        <f t="shared" si="902"/>
        <v>65.211695057633037</v>
      </c>
      <c r="AC814" s="1128">
        <f t="shared" si="903"/>
        <v>68.575085883054783</v>
      </c>
      <c r="AD814" s="1128">
        <f t="shared" si="904"/>
        <v>73.839372999935506</v>
      </c>
      <c r="AE814" s="1128">
        <f t="shared" si="905"/>
        <v>79.632338846140158</v>
      </c>
      <c r="AF814" s="1128">
        <f t="shared" si="906"/>
        <v>84.443957601549528</v>
      </c>
      <c r="AG814" s="1128">
        <f t="shared" si="907"/>
        <v>87.020006688276681</v>
      </c>
      <c r="AH814" s="1128">
        <f t="shared" si="908"/>
        <v>86.688999213748104</v>
      </c>
      <c r="AI814" s="1128">
        <f t="shared" si="909"/>
        <v>83.53721737717926</v>
      </c>
      <c r="AJ814" s="1128">
        <f t="shared" si="910"/>
        <v>78.386221684700132</v>
      </c>
      <c r="AK814" s="1128">
        <f t="shared" si="911"/>
        <v>72.578698542801803</v>
      </c>
      <c r="AL814" s="1128">
        <f t="shared" si="912"/>
        <v>67.628468355060747</v>
      </c>
      <c r="AM814" s="1125">
        <f t="shared" si="913"/>
        <v>1</v>
      </c>
      <c r="AN814" s="1125">
        <f t="shared" si="914"/>
        <v>1</v>
      </c>
      <c r="AO814" s="1125">
        <f t="shared" si="915"/>
        <v>1</v>
      </c>
      <c r="AP814" s="1125">
        <f t="shared" si="916"/>
        <v>0</v>
      </c>
      <c r="AQ814" s="1125">
        <f t="shared" si="917"/>
        <v>0</v>
      </c>
      <c r="AR814" s="1125">
        <f t="shared" si="918"/>
        <v>0</v>
      </c>
      <c r="AS814" s="1125">
        <f t="shared" si="919"/>
        <v>0</v>
      </c>
      <c r="AT814" s="1125">
        <f t="shared" si="920"/>
        <v>0</v>
      </c>
      <c r="AU814" s="1125">
        <f t="shared" si="921"/>
        <v>0</v>
      </c>
      <c r="AV814" s="1125">
        <f t="shared" si="922"/>
        <v>0</v>
      </c>
      <c r="AW814" s="1125">
        <f t="shared" si="923"/>
        <v>0</v>
      </c>
      <c r="AX814" s="1125">
        <f t="shared" si="924"/>
        <v>1</v>
      </c>
      <c r="AY814" s="1125">
        <f t="shared" si="925"/>
        <v>0</v>
      </c>
      <c r="AZ814" s="1125">
        <f t="shared" si="926"/>
        <v>0</v>
      </c>
      <c r="BA814" s="1125">
        <f t="shared" si="927"/>
        <v>0</v>
      </c>
      <c r="BB814" s="1125">
        <f t="shared" si="928"/>
        <v>1</v>
      </c>
      <c r="BC814" s="1125">
        <f t="shared" si="929"/>
        <v>1</v>
      </c>
      <c r="BD814" s="1125">
        <f t="shared" si="930"/>
        <v>1</v>
      </c>
      <c r="BE814" s="1125">
        <f t="shared" si="931"/>
        <v>1</v>
      </c>
      <c r="BF814" s="1125">
        <f t="shared" si="932"/>
        <v>1</v>
      </c>
      <c r="BG814" s="1125">
        <f t="shared" si="933"/>
        <v>1</v>
      </c>
      <c r="BH814" s="1125">
        <f t="shared" si="934"/>
        <v>1</v>
      </c>
      <c r="BI814" s="1125">
        <f t="shared" si="935"/>
        <v>1</v>
      </c>
      <c r="BJ814" s="1125">
        <f t="shared" si="936"/>
        <v>0</v>
      </c>
      <c r="BK814" s="1125">
        <f t="shared" si="937"/>
        <v>1</v>
      </c>
      <c r="BL814" s="1125">
        <f t="shared" si="938"/>
        <v>1</v>
      </c>
      <c r="BM814" s="1125">
        <f t="shared" si="939"/>
        <v>1</v>
      </c>
      <c r="BN814" s="1125">
        <f t="shared" si="940"/>
        <v>1</v>
      </c>
      <c r="BO814" s="1125">
        <f t="shared" si="941"/>
        <v>0</v>
      </c>
      <c r="BP814" s="1125">
        <f t="shared" si="942"/>
        <v>0</v>
      </c>
      <c r="BQ814" s="1125">
        <f t="shared" si="943"/>
        <v>0</v>
      </c>
      <c r="BR814" s="1125">
        <f t="shared" si="944"/>
        <v>0</v>
      </c>
      <c r="BS814" s="1125">
        <f t="shared" si="945"/>
        <v>0</v>
      </c>
      <c r="BT814" s="1125">
        <f t="shared" si="946"/>
        <v>0</v>
      </c>
      <c r="BU814" s="1125">
        <f t="shared" si="947"/>
        <v>0</v>
      </c>
      <c r="BV814" s="1125">
        <f t="shared" si="948"/>
        <v>1</v>
      </c>
      <c r="BW814" s="1125">
        <f t="shared" si="949"/>
        <v>0</v>
      </c>
      <c r="BX814" s="1125">
        <f t="shared" si="950"/>
        <v>0</v>
      </c>
      <c r="BY814" s="1125">
        <f t="shared" si="951"/>
        <v>1</v>
      </c>
      <c r="BZ814" s="1125">
        <f t="shared" si="952"/>
        <v>1</v>
      </c>
      <c r="CA814" s="1125">
        <f t="shared" si="953"/>
        <v>1</v>
      </c>
      <c r="CB814" s="1125">
        <f t="shared" si="954"/>
        <v>1</v>
      </c>
      <c r="CC814" s="1125">
        <f t="shared" si="955"/>
        <v>1</v>
      </c>
      <c r="CD814" s="1125">
        <f t="shared" si="956"/>
        <v>1</v>
      </c>
      <c r="CE814" s="1125">
        <f t="shared" si="957"/>
        <v>1</v>
      </c>
      <c r="CF814" s="1125">
        <f t="shared" si="958"/>
        <v>1</v>
      </c>
      <c r="CG814" s="1125">
        <f t="shared" si="959"/>
        <v>1</v>
      </c>
      <c r="CH814" s="1125">
        <f t="shared" si="960"/>
        <v>1</v>
      </c>
      <c r="CI814" s="1125">
        <f t="shared" si="961"/>
        <v>0.85</v>
      </c>
      <c r="CJ814" s="1125">
        <f t="shared" si="962"/>
        <v>0.85</v>
      </c>
      <c r="CK814" s="1125">
        <f t="shared" si="963"/>
        <v>0.85</v>
      </c>
      <c r="CL814" s="1125">
        <f t="shared" si="964"/>
        <v>0.85</v>
      </c>
      <c r="CM814" s="1125">
        <f t="shared" si="965"/>
        <v>0.7</v>
      </c>
      <c r="CN814" s="1125">
        <f t="shared" si="966"/>
        <v>0.7</v>
      </c>
      <c r="CO814" s="1125">
        <f t="shared" si="967"/>
        <v>0.7</v>
      </c>
      <c r="CP814" s="1125">
        <f t="shared" si="968"/>
        <v>0.7</v>
      </c>
      <c r="CQ814" s="1125">
        <f t="shared" si="969"/>
        <v>0.7</v>
      </c>
      <c r="CR814" s="1125">
        <f t="shared" si="970"/>
        <v>0.7</v>
      </c>
      <c r="CS814" s="1125">
        <f t="shared" si="971"/>
        <v>0.7</v>
      </c>
      <c r="CT814" s="1125">
        <f t="shared" si="972"/>
        <v>0.85</v>
      </c>
      <c r="CU814" s="1125">
        <v>1</v>
      </c>
      <c r="CV814" s="1125"/>
      <c r="CW814" s="1125">
        <f t="shared" si="973"/>
        <v>306</v>
      </c>
      <c r="CX814" s="1125">
        <f t="shared" si="974"/>
        <v>59</v>
      </c>
      <c r="CY814" s="1135" t="s">
        <v>4883</v>
      </c>
      <c r="CZ814" s="1124" t="s">
        <v>4884</v>
      </c>
      <c r="DA814" s="1124"/>
      <c r="DB814" s="1124"/>
      <c r="DC814" s="1120" t="s">
        <v>5597</v>
      </c>
      <c r="DD814" s="1120" t="s">
        <v>228</v>
      </c>
      <c r="DE814" s="1120" t="b">
        <f t="shared" si="975"/>
        <v>0</v>
      </c>
      <c r="DF814" s="1133">
        <v>0</v>
      </c>
      <c r="DG814" s="1120">
        <v>0</v>
      </c>
    </row>
    <row r="815" spans="1:111">
      <c r="A815" s="1125" t="s">
        <v>4320</v>
      </c>
      <c r="B815" s="1120" t="s">
        <v>4448</v>
      </c>
      <c r="C815" s="1120" t="s">
        <v>4449</v>
      </c>
      <c r="D815" s="1120" t="s">
        <v>228</v>
      </c>
      <c r="E815" s="1120">
        <v>577</v>
      </c>
      <c r="F815" s="1120">
        <v>-98.47</v>
      </c>
      <c r="G815" s="1120">
        <v>29.33</v>
      </c>
      <c r="H815" s="1120">
        <v>-6</v>
      </c>
      <c r="I815" s="1121">
        <v>34.160000085830688</v>
      </c>
      <c r="J815" s="1121">
        <v>98.779997253417974</v>
      </c>
      <c r="K815" s="1122">
        <v>74.3</v>
      </c>
      <c r="L815" s="1120">
        <v>1407.6000000000001</v>
      </c>
      <c r="M815" s="1120">
        <v>2995.2000000000003</v>
      </c>
      <c r="N815" s="1123">
        <v>55.4</v>
      </c>
      <c r="O815" s="1123">
        <v>51.980000686645511</v>
      </c>
      <c r="P815" s="1123">
        <v>61.160001373291017</v>
      </c>
      <c r="Q815" s="1123">
        <v>73.400000000000006</v>
      </c>
      <c r="R815" s="1123">
        <v>76.819999313354487</v>
      </c>
      <c r="S815" s="1123">
        <v>81.139998626708987</v>
      </c>
      <c r="T815" s="1123">
        <v>85.280000686645508</v>
      </c>
      <c r="U815" s="1123">
        <v>81.860001373291013</v>
      </c>
      <c r="V815" s="1123">
        <v>76.099999999999994</v>
      </c>
      <c r="W815" s="1123">
        <v>68.360001373291013</v>
      </c>
      <c r="X815" s="1123">
        <v>57.380000686645509</v>
      </c>
      <c r="Y815" s="1123">
        <v>55.040000343322752</v>
      </c>
      <c r="Z815" s="1123">
        <v>68.760438731467886</v>
      </c>
      <c r="AA815" s="1123">
        <f t="shared" si="901"/>
        <v>64.144796754328993</v>
      </c>
      <c r="AB815" s="1123">
        <f t="shared" si="902"/>
        <v>64.595282549426656</v>
      </c>
      <c r="AC815" s="1123">
        <f t="shared" si="903"/>
        <v>67.695472953171887</v>
      </c>
      <c r="AD815" s="1123">
        <f t="shared" si="904"/>
        <v>72.637255561448214</v>
      </c>
      <c r="AE815" s="1123">
        <f t="shared" si="905"/>
        <v>78.132478582233219</v>
      </c>
      <c r="AF815" s="1123">
        <f t="shared" si="906"/>
        <v>82.748727451209191</v>
      </c>
      <c r="AG815" s="1123">
        <f t="shared" si="907"/>
        <v>85.282705762129098</v>
      </c>
      <c r="AH815" s="1123">
        <f t="shared" si="908"/>
        <v>85.073893018463906</v>
      </c>
      <c r="AI815" s="1123">
        <f t="shared" si="909"/>
        <v>82.176719479751696</v>
      </c>
      <c r="AJ815" s="1123">
        <f t="shared" si="910"/>
        <v>77.346378075653519</v>
      </c>
      <c r="AK815" s="1123">
        <f t="shared" si="911"/>
        <v>71.841971730961774</v>
      </c>
      <c r="AL815" s="1123">
        <f t="shared" si="912"/>
        <v>67.098308784889824</v>
      </c>
      <c r="AM815" s="1120">
        <f t="shared" si="913"/>
        <v>1</v>
      </c>
      <c r="AN815" s="1120">
        <f t="shared" si="914"/>
        <v>1</v>
      </c>
      <c r="AO815" s="1120">
        <f t="shared" si="915"/>
        <v>1</v>
      </c>
      <c r="AP815" s="1120">
        <f t="shared" si="916"/>
        <v>0</v>
      </c>
      <c r="AQ815" s="1120">
        <f t="shared" si="917"/>
        <v>0</v>
      </c>
      <c r="AR815" s="1120">
        <f t="shared" si="918"/>
        <v>0</v>
      </c>
      <c r="AS815" s="1120">
        <f t="shared" si="919"/>
        <v>0</v>
      </c>
      <c r="AT815" s="1120">
        <f t="shared" si="920"/>
        <v>0</v>
      </c>
      <c r="AU815" s="1120">
        <f t="shared" si="921"/>
        <v>0</v>
      </c>
      <c r="AV815" s="1120">
        <f t="shared" si="922"/>
        <v>0</v>
      </c>
      <c r="AW815" s="1120">
        <f t="shared" si="923"/>
        <v>1</v>
      </c>
      <c r="AX815" s="1120">
        <f t="shared" si="924"/>
        <v>1</v>
      </c>
      <c r="AY815" s="1120">
        <f t="shared" si="925"/>
        <v>0</v>
      </c>
      <c r="AZ815" s="1120">
        <f t="shared" si="926"/>
        <v>0</v>
      </c>
      <c r="BA815" s="1120">
        <f t="shared" si="927"/>
        <v>0</v>
      </c>
      <c r="BB815" s="1120">
        <f t="shared" si="928"/>
        <v>1</v>
      </c>
      <c r="BC815" s="1120">
        <f t="shared" si="929"/>
        <v>1</v>
      </c>
      <c r="BD815" s="1120">
        <f t="shared" si="930"/>
        <v>1</v>
      </c>
      <c r="BE815" s="1120">
        <f t="shared" si="931"/>
        <v>1</v>
      </c>
      <c r="BF815" s="1120">
        <f t="shared" si="932"/>
        <v>1</v>
      </c>
      <c r="BG815" s="1120">
        <f t="shared" si="933"/>
        <v>1</v>
      </c>
      <c r="BH815" s="1120">
        <f t="shared" si="934"/>
        <v>1</v>
      </c>
      <c r="BI815" s="1120">
        <f t="shared" si="935"/>
        <v>0</v>
      </c>
      <c r="BJ815" s="1120">
        <f t="shared" si="936"/>
        <v>0</v>
      </c>
      <c r="BK815" s="1120">
        <f t="shared" si="937"/>
        <v>1</v>
      </c>
      <c r="BL815" s="1120">
        <f t="shared" si="938"/>
        <v>1</v>
      </c>
      <c r="BM815" s="1120">
        <f t="shared" si="939"/>
        <v>1</v>
      </c>
      <c r="BN815" s="1120">
        <f t="shared" si="940"/>
        <v>1</v>
      </c>
      <c r="BO815" s="1120">
        <f t="shared" si="941"/>
        <v>0</v>
      </c>
      <c r="BP815" s="1120">
        <f t="shared" si="942"/>
        <v>0</v>
      </c>
      <c r="BQ815" s="1120">
        <f t="shared" si="943"/>
        <v>0</v>
      </c>
      <c r="BR815" s="1120">
        <f t="shared" si="944"/>
        <v>0</v>
      </c>
      <c r="BS815" s="1120">
        <f t="shared" si="945"/>
        <v>0</v>
      </c>
      <c r="BT815" s="1120">
        <f t="shared" si="946"/>
        <v>0</v>
      </c>
      <c r="BU815" s="1120">
        <f t="shared" si="947"/>
        <v>1</v>
      </c>
      <c r="BV815" s="1120">
        <f t="shared" si="948"/>
        <v>1</v>
      </c>
      <c r="BW815" s="1120">
        <f t="shared" si="949"/>
        <v>0</v>
      </c>
      <c r="BX815" s="1120">
        <f t="shared" si="950"/>
        <v>0</v>
      </c>
      <c r="BY815" s="1120">
        <f t="shared" si="951"/>
        <v>1</v>
      </c>
      <c r="BZ815" s="1120">
        <f t="shared" si="952"/>
        <v>1</v>
      </c>
      <c r="CA815" s="1120">
        <f t="shared" si="953"/>
        <v>1</v>
      </c>
      <c r="CB815" s="1120">
        <f t="shared" si="954"/>
        <v>1</v>
      </c>
      <c r="CC815" s="1120">
        <f t="shared" si="955"/>
        <v>1</v>
      </c>
      <c r="CD815" s="1120">
        <f t="shared" si="956"/>
        <v>1</v>
      </c>
      <c r="CE815" s="1120">
        <f t="shared" si="957"/>
        <v>1</v>
      </c>
      <c r="CF815" s="1120">
        <f t="shared" si="958"/>
        <v>1</v>
      </c>
      <c r="CG815" s="1120">
        <f t="shared" si="959"/>
        <v>1</v>
      </c>
      <c r="CH815" s="1120">
        <f t="shared" si="960"/>
        <v>0</v>
      </c>
      <c r="CI815" s="1120">
        <f t="shared" si="961"/>
        <v>0.85</v>
      </c>
      <c r="CJ815" s="1120">
        <f t="shared" si="962"/>
        <v>0.85</v>
      </c>
      <c r="CK815" s="1120">
        <f t="shared" si="963"/>
        <v>0.85</v>
      </c>
      <c r="CL815" s="1120">
        <f t="shared" si="964"/>
        <v>0.85</v>
      </c>
      <c r="CM815" s="1120">
        <f t="shared" si="965"/>
        <v>0.7</v>
      </c>
      <c r="CN815" s="1120">
        <f t="shared" si="966"/>
        <v>0.7</v>
      </c>
      <c r="CO815" s="1120">
        <f t="shared" si="967"/>
        <v>0.7</v>
      </c>
      <c r="CP815" s="1120">
        <f t="shared" si="968"/>
        <v>0.7</v>
      </c>
      <c r="CQ815" s="1120">
        <f t="shared" si="969"/>
        <v>0.7</v>
      </c>
      <c r="CR815" s="1120">
        <f t="shared" si="970"/>
        <v>0.7</v>
      </c>
      <c r="CS815" s="1120">
        <f t="shared" si="971"/>
        <v>0.85</v>
      </c>
      <c r="CT815" s="1120">
        <f t="shared" si="972"/>
        <v>0.85</v>
      </c>
      <c r="CU815" s="1120">
        <v>1</v>
      </c>
      <c r="CV815" s="1120"/>
      <c r="CW815" s="1120">
        <f t="shared" si="973"/>
        <v>275</v>
      </c>
      <c r="CX815" s="1120">
        <f t="shared" si="974"/>
        <v>90</v>
      </c>
      <c r="CY815" s="1135" t="s">
        <v>4883</v>
      </c>
      <c r="CZ815" s="1124" t="s">
        <v>4884</v>
      </c>
      <c r="DA815" s="1124"/>
      <c r="DB815" s="1124"/>
      <c r="DC815" s="1120" t="s">
        <v>6003</v>
      </c>
      <c r="DD815" s="1120" t="s">
        <v>228</v>
      </c>
      <c r="DE815" s="1120" t="str">
        <f t="shared" si="975"/>
        <v/>
      </c>
      <c r="DF815" s="1133">
        <v>1</v>
      </c>
      <c r="DG815" s="1125">
        <v>0</v>
      </c>
    </row>
    <row r="816" spans="1:111">
      <c r="A816" s="1120" t="s">
        <v>4322</v>
      </c>
      <c r="B816" s="1125" t="s">
        <v>3176</v>
      </c>
      <c r="C816" s="1125" t="s">
        <v>3177</v>
      </c>
      <c r="D816" s="1125" t="s">
        <v>954</v>
      </c>
      <c r="E816" s="1125">
        <v>13</v>
      </c>
      <c r="F816" s="1125">
        <v>-117.17</v>
      </c>
      <c r="G816" s="1125">
        <v>32.729999999999997</v>
      </c>
      <c r="H816" s="1125">
        <v>-8</v>
      </c>
      <c r="I816" s="1126">
        <v>46.759999656677245</v>
      </c>
      <c r="J816" s="1126">
        <v>81.139998626708987</v>
      </c>
      <c r="K816" s="1127">
        <v>67.460001373291021</v>
      </c>
      <c r="L816" s="1125">
        <v>939.6</v>
      </c>
      <c r="M816" s="1125">
        <v>745.2</v>
      </c>
      <c r="N816" s="1128">
        <v>57.2</v>
      </c>
      <c r="O816" s="1128">
        <v>59</v>
      </c>
      <c r="P816" s="1128">
        <v>59.719999313354492</v>
      </c>
      <c r="Q816" s="1128">
        <v>62.960001373291014</v>
      </c>
      <c r="R816" s="1128">
        <v>62.960001373291014</v>
      </c>
      <c r="S816" s="1128">
        <v>67.099999999999994</v>
      </c>
      <c r="T816" s="1128">
        <v>68.900000000000006</v>
      </c>
      <c r="U816" s="1128">
        <v>71.780000686645508</v>
      </c>
      <c r="V816" s="1128">
        <v>70.880000686645502</v>
      </c>
      <c r="W816" s="1128">
        <v>65.480000686645511</v>
      </c>
      <c r="X816" s="1128">
        <v>62.6</v>
      </c>
      <c r="Y816" s="1128">
        <v>57.559999656677249</v>
      </c>
      <c r="Z816" s="1128">
        <v>63.862466068529102</v>
      </c>
      <c r="AA816" s="1128">
        <f t="shared" si="901"/>
        <v>65.645727956848418</v>
      </c>
      <c r="AB816" s="1128">
        <f t="shared" si="902"/>
        <v>65.640454594790668</v>
      </c>
      <c r="AC816" s="1128">
        <f t="shared" si="903"/>
        <v>66.735713586529101</v>
      </c>
      <c r="AD816" s="1128">
        <f t="shared" si="904"/>
        <v>68.646008797415121</v>
      </c>
      <c r="AE816" s="1128">
        <f t="shared" si="905"/>
        <v>70.873392342190982</v>
      </c>
      <c r="AF816" s="1128">
        <f t="shared" si="906"/>
        <v>72.837262374891438</v>
      </c>
      <c r="AG816" s="1128">
        <f t="shared" si="907"/>
        <v>74.025705907339812</v>
      </c>
      <c r="AH816" s="1128">
        <f t="shared" si="908"/>
        <v>74.128936818334225</v>
      </c>
      <c r="AI816" s="1128">
        <f t="shared" si="909"/>
        <v>73.120046380087501</v>
      </c>
      <c r="AJ816" s="1128">
        <f t="shared" si="910"/>
        <v>71.262017432800903</v>
      </c>
      <c r="AK816" s="1128">
        <f t="shared" si="911"/>
        <v>69.0391738546775</v>
      </c>
      <c r="AL816" s="1128">
        <f t="shared" si="912"/>
        <v>67.030934079411566</v>
      </c>
      <c r="AM816" s="1125">
        <f t="shared" si="913"/>
        <v>1</v>
      </c>
      <c r="AN816" s="1125">
        <f t="shared" si="914"/>
        <v>1</v>
      </c>
      <c r="AO816" s="1125">
        <f t="shared" si="915"/>
        <v>1</v>
      </c>
      <c r="AP816" s="1125">
        <f t="shared" si="916"/>
        <v>1</v>
      </c>
      <c r="AQ816" s="1125">
        <f t="shared" si="917"/>
        <v>1</v>
      </c>
      <c r="AR816" s="1125">
        <f t="shared" si="918"/>
        <v>0</v>
      </c>
      <c r="AS816" s="1125">
        <f t="shared" si="919"/>
        <v>0</v>
      </c>
      <c r="AT816" s="1125">
        <f t="shared" si="920"/>
        <v>0</v>
      </c>
      <c r="AU816" s="1125">
        <f t="shared" si="921"/>
        <v>0</v>
      </c>
      <c r="AV816" s="1125">
        <f t="shared" si="922"/>
        <v>1</v>
      </c>
      <c r="AW816" s="1125">
        <f t="shared" si="923"/>
        <v>1</v>
      </c>
      <c r="AX816" s="1125">
        <f t="shared" si="924"/>
        <v>1</v>
      </c>
      <c r="AY816" s="1125">
        <f t="shared" si="925"/>
        <v>0</v>
      </c>
      <c r="AZ816" s="1125">
        <f t="shared" si="926"/>
        <v>0</v>
      </c>
      <c r="BA816" s="1125">
        <f t="shared" si="927"/>
        <v>0</v>
      </c>
      <c r="BB816" s="1125">
        <f t="shared" si="928"/>
        <v>0</v>
      </c>
      <c r="BC816" s="1125">
        <f t="shared" si="929"/>
        <v>0</v>
      </c>
      <c r="BD816" s="1125">
        <f t="shared" si="930"/>
        <v>1</v>
      </c>
      <c r="BE816" s="1125">
        <f t="shared" si="931"/>
        <v>1</v>
      </c>
      <c r="BF816" s="1125">
        <f t="shared" si="932"/>
        <v>1</v>
      </c>
      <c r="BG816" s="1125">
        <f t="shared" si="933"/>
        <v>1</v>
      </c>
      <c r="BH816" s="1125">
        <f t="shared" si="934"/>
        <v>0</v>
      </c>
      <c r="BI816" s="1125">
        <f t="shared" si="935"/>
        <v>0</v>
      </c>
      <c r="BJ816" s="1125">
        <f t="shared" si="936"/>
        <v>0</v>
      </c>
      <c r="BK816" s="1125">
        <f t="shared" si="937"/>
        <v>1</v>
      </c>
      <c r="BL816" s="1125">
        <f t="shared" si="938"/>
        <v>1</v>
      </c>
      <c r="BM816" s="1125">
        <f t="shared" si="939"/>
        <v>1</v>
      </c>
      <c r="BN816" s="1125">
        <f t="shared" si="940"/>
        <v>1</v>
      </c>
      <c r="BO816" s="1125">
        <f t="shared" si="941"/>
        <v>1</v>
      </c>
      <c r="BP816" s="1125">
        <f t="shared" si="942"/>
        <v>1</v>
      </c>
      <c r="BQ816" s="1125">
        <f t="shared" si="943"/>
        <v>0</v>
      </c>
      <c r="BR816" s="1125">
        <f t="shared" si="944"/>
        <v>0</v>
      </c>
      <c r="BS816" s="1125">
        <f t="shared" si="945"/>
        <v>0</v>
      </c>
      <c r="BT816" s="1125">
        <f t="shared" si="946"/>
        <v>1</v>
      </c>
      <c r="BU816" s="1125">
        <f t="shared" si="947"/>
        <v>1</v>
      </c>
      <c r="BV816" s="1125">
        <f t="shared" si="948"/>
        <v>1</v>
      </c>
      <c r="BW816" s="1125">
        <f t="shared" si="949"/>
        <v>0</v>
      </c>
      <c r="BX816" s="1125">
        <f t="shared" si="950"/>
        <v>0</v>
      </c>
      <c r="BY816" s="1125">
        <f t="shared" si="951"/>
        <v>0</v>
      </c>
      <c r="BZ816" s="1125">
        <f t="shared" si="952"/>
        <v>0</v>
      </c>
      <c r="CA816" s="1125">
        <f t="shared" si="953"/>
        <v>1</v>
      </c>
      <c r="CB816" s="1125">
        <f t="shared" si="954"/>
        <v>1</v>
      </c>
      <c r="CC816" s="1125">
        <f t="shared" si="955"/>
        <v>1</v>
      </c>
      <c r="CD816" s="1125">
        <f t="shared" si="956"/>
        <v>1</v>
      </c>
      <c r="CE816" s="1125">
        <f t="shared" si="957"/>
        <v>1</v>
      </c>
      <c r="CF816" s="1125">
        <f t="shared" si="958"/>
        <v>1</v>
      </c>
      <c r="CG816" s="1125">
        <f t="shared" si="959"/>
        <v>0</v>
      </c>
      <c r="CH816" s="1125">
        <f t="shared" si="960"/>
        <v>0</v>
      </c>
      <c r="CI816" s="1125">
        <f t="shared" si="961"/>
        <v>0.85</v>
      </c>
      <c r="CJ816" s="1125">
        <f t="shared" si="962"/>
        <v>0.85</v>
      </c>
      <c r="CK816" s="1125">
        <f t="shared" si="963"/>
        <v>0.85</v>
      </c>
      <c r="CL816" s="1125">
        <f t="shared" si="964"/>
        <v>0.85</v>
      </c>
      <c r="CM816" s="1125">
        <f t="shared" si="965"/>
        <v>0.85</v>
      </c>
      <c r="CN816" s="1125">
        <f t="shared" si="966"/>
        <v>0.85</v>
      </c>
      <c r="CO816" s="1125">
        <f t="shared" si="967"/>
        <v>0.7</v>
      </c>
      <c r="CP816" s="1125">
        <f t="shared" si="968"/>
        <v>0.7</v>
      </c>
      <c r="CQ816" s="1125">
        <f t="shared" si="969"/>
        <v>0.7</v>
      </c>
      <c r="CR816" s="1125">
        <f t="shared" si="970"/>
        <v>0.85</v>
      </c>
      <c r="CS816" s="1125">
        <f t="shared" si="971"/>
        <v>0.85</v>
      </c>
      <c r="CT816" s="1125">
        <f t="shared" si="972"/>
        <v>0.85</v>
      </c>
      <c r="CU816" s="1125">
        <v>1</v>
      </c>
      <c r="CV816" s="1125"/>
      <c r="CW816" s="1125">
        <f t="shared" si="973"/>
        <v>184</v>
      </c>
      <c r="CX816" s="1125">
        <f t="shared" si="974"/>
        <v>181</v>
      </c>
      <c r="CY816" s="1135" t="s">
        <v>4886</v>
      </c>
      <c r="CZ816" s="1124" t="s">
        <v>4888</v>
      </c>
      <c r="DA816" s="1124"/>
      <c r="DB816" s="1124"/>
      <c r="DC816" s="1120" t="s">
        <v>5053</v>
      </c>
      <c r="DD816" s="1120" t="s">
        <v>954</v>
      </c>
      <c r="DE816" s="1120" t="str">
        <f t="shared" si="975"/>
        <v/>
      </c>
      <c r="DF816" s="1125">
        <v>0</v>
      </c>
      <c r="DG816" s="1120">
        <v>0</v>
      </c>
    </row>
    <row r="817" spans="1:111">
      <c r="A817" s="1125" t="s">
        <v>5921</v>
      </c>
      <c r="B817" s="1120" t="s">
        <v>3178</v>
      </c>
      <c r="C817" s="1120" t="s">
        <v>3179</v>
      </c>
      <c r="D817" s="1120" t="s">
        <v>954</v>
      </c>
      <c r="E817" s="1120">
        <v>459</v>
      </c>
      <c r="F817" s="1120">
        <v>-117.13</v>
      </c>
      <c r="G817" s="1120">
        <v>32.869999999999997</v>
      </c>
      <c r="H817" s="1120">
        <v>-8</v>
      </c>
      <c r="I817" s="1121">
        <v>41.359999656677246</v>
      </c>
      <c r="J817" s="1121">
        <v>86.9</v>
      </c>
      <c r="K817" s="1122">
        <v>67.099999999999994</v>
      </c>
      <c r="L817" s="1120">
        <v>1848.6000000000001</v>
      </c>
      <c r="M817" s="1120">
        <v>633.6</v>
      </c>
      <c r="N817" s="1123">
        <v>54.140000343322754</v>
      </c>
      <c r="O817" s="1123">
        <v>53.780000686645508</v>
      </c>
      <c r="P817" s="1123">
        <v>54.5</v>
      </c>
      <c r="Q817" s="1123">
        <v>56.659999656677243</v>
      </c>
      <c r="R817" s="1123">
        <v>60.619999313354491</v>
      </c>
      <c r="S817" s="1123">
        <v>64.760001373291018</v>
      </c>
      <c r="T817" s="1123">
        <v>69.080000686645505</v>
      </c>
      <c r="U817" s="1123">
        <v>72.860001373291013</v>
      </c>
      <c r="V817" s="1123">
        <v>68.180000686645513</v>
      </c>
      <c r="W817" s="1123">
        <v>65.66000137329101</v>
      </c>
      <c r="X817" s="1123">
        <v>57.740000343322755</v>
      </c>
      <c r="Y817" s="1123">
        <v>54.140000343322754</v>
      </c>
      <c r="Z817" s="1123">
        <v>61.060384075217051</v>
      </c>
      <c r="AA817" s="1123">
        <f t="shared" si="901"/>
        <v>61.874180148300951</v>
      </c>
      <c r="AB817" s="1123">
        <f t="shared" si="902"/>
        <v>61.733645177795722</v>
      </c>
      <c r="AC817" s="1123">
        <f t="shared" si="903"/>
        <v>62.981606788434547</v>
      </c>
      <c r="AD817" s="1123">
        <f t="shared" si="904"/>
        <v>65.292764554733864</v>
      </c>
      <c r="AE817" s="1123">
        <f t="shared" si="905"/>
        <v>68.064679588888467</v>
      </c>
      <c r="AF817" s="1123">
        <f t="shared" si="906"/>
        <v>70.574809520742278</v>
      </c>
      <c r="AG817" s="1123">
        <f t="shared" si="907"/>
        <v>72.168850301284451</v>
      </c>
      <c r="AH817" s="1123">
        <f t="shared" si="908"/>
        <v>72.431290636154671</v>
      </c>
      <c r="AI817" s="1123">
        <f t="shared" si="909"/>
        <v>71.293721407741018</v>
      </c>
      <c r="AJ817" s="1123">
        <f t="shared" si="910"/>
        <v>69.05266756590197</v>
      </c>
      <c r="AK817" s="1123">
        <f t="shared" si="911"/>
        <v>66.292294330197976</v>
      </c>
      <c r="AL817" s="1123">
        <f t="shared" si="912"/>
        <v>63.732135523154462</v>
      </c>
      <c r="AM817" s="1120">
        <f t="shared" si="913"/>
        <v>1</v>
      </c>
      <c r="AN817" s="1120">
        <f t="shared" si="914"/>
        <v>1</v>
      </c>
      <c r="AO817" s="1120">
        <f t="shared" si="915"/>
        <v>1</v>
      </c>
      <c r="AP817" s="1120">
        <f t="shared" si="916"/>
        <v>1</v>
      </c>
      <c r="AQ817" s="1120">
        <f t="shared" si="917"/>
        <v>1</v>
      </c>
      <c r="AR817" s="1120">
        <f t="shared" si="918"/>
        <v>1</v>
      </c>
      <c r="AS817" s="1120">
        <f t="shared" si="919"/>
        <v>0</v>
      </c>
      <c r="AT817" s="1120">
        <f t="shared" si="920"/>
        <v>0</v>
      </c>
      <c r="AU817" s="1120">
        <f t="shared" si="921"/>
        <v>0</v>
      </c>
      <c r="AV817" s="1120">
        <f t="shared" si="922"/>
        <v>1</v>
      </c>
      <c r="AW817" s="1120">
        <f t="shared" si="923"/>
        <v>1</v>
      </c>
      <c r="AX817" s="1120">
        <f t="shared" si="924"/>
        <v>1</v>
      </c>
      <c r="AY817" s="1120">
        <f t="shared" si="925"/>
        <v>0</v>
      </c>
      <c r="AZ817" s="1120">
        <f t="shared" si="926"/>
        <v>0</v>
      </c>
      <c r="BA817" s="1120">
        <f t="shared" si="927"/>
        <v>0</v>
      </c>
      <c r="BB817" s="1120">
        <f t="shared" si="928"/>
        <v>0</v>
      </c>
      <c r="BC817" s="1120">
        <f t="shared" si="929"/>
        <v>0</v>
      </c>
      <c r="BD817" s="1120">
        <f t="shared" si="930"/>
        <v>0</v>
      </c>
      <c r="BE817" s="1120">
        <f t="shared" si="931"/>
        <v>1</v>
      </c>
      <c r="BF817" s="1120">
        <f t="shared" si="932"/>
        <v>1</v>
      </c>
      <c r="BG817" s="1120">
        <f t="shared" si="933"/>
        <v>1</v>
      </c>
      <c r="BH817" s="1120">
        <f t="shared" si="934"/>
        <v>0</v>
      </c>
      <c r="BI817" s="1120">
        <f t="shared" si="935"/>
        <v>0</v>
      </c>
      <c r="BJ817" s="1120">
        <f t="shared" si="936"/>
        <v>0</v>
      </c>
      <c r="BK817" s="1120">
        <f t="shared" si="937"/>
        <v>1</v>
      </c>
      <c r="BL817" s="1120">
        <f t="shared" si="938"/>
        <v>1</v>
      </c>
      <c r="BM817" s="1120">
        <f t="shared" si="939"/>
        <v>1</v>
      </c>
      <c r="BN817" s="1120">
        <f t="shared" si="940"/>
        <v>1</v>
      </c>
      <c r="BO817" s="1120">
        <f t="shared" si="941"/>
        <v>1</v>
      </c>
      <c r="BP817" s="1120">
        <f t="shared" si="942"/>
        <v>1</v>
      </c>
      <c r="BQ817" s="1120">
        <f t="shared" si="943"/>
        <v>1</v>
      </c>
      <c r="BR817" s="1120">
        <f t="shared" si="944"/>
        <v>0</v>
      </c>
      <c r="BS817" s="1120">
        <f t="shared" si="945"/>
        <v>0</v>
      </c>
      <c r="BT817" s="1120">
        <f t="shared" si="946"/>
        <v>1</v>
      </c>
      <c r="BU817" s="1120">
        <f t="shared" si="947"/>
        <v>1</v>
      </c>
      <c r="BV817" s="1120">
        <f t="shared" si="948"/>
        <v>1</v>
      </c>
      <c r="BW817" s="1120">
        <f t="shared" si="949"/>
        <v>0</v>
      </c>
      <c r="BX817" s="1120">
        <f t="shared" si="950"/>
        <v>0</v>
      </c>
      <c r="BY817" s="1120">
        <f t="shared" si="951"/>
        <v>0</v>
      </c>
      <c r="BZ817" s="1120">
        <f t="shared" si="952"/>
        <v>0</v>
      </c>
      <c r="CA817" s="1120">
        <f t="shared" si="953"/>
        <v>0</v>
      </c>
      <c r="CB817" s="1120">
        <f t="shared" si="954"/>
        <v>1</v>
      </c>
      <c r="CC817" s="1120">
        <f t="shared" si="955"/>
        <v>1</v>
      </c>
      <c r="CD817" s="1120">
        <f t="shared" si="956"/>
        <v>1</v>
      </c>
      <c r="CE817" s="1120">
        <f t="shared" si="957"/>
        <v>1</v>
      </c>
      <c r="CF817" s="1120">
        <f t="shared" si="958"/>
        <v>1</v>
      </c>
      <c r="CG817" s="1120">
        <f t="shared" si="959"/>
        <v>0</v>
      </c>
      <c r="CH817" s="1120">
        <f t="shared" si="960"/>
        <v>0</v>
      </c>
      <c r="CI817" s="1120">
        <f t="shared" si="961"/>
        <v>0.85</v>
      </c>
      <c r="CJ817" s="1120">
        <f t="shared" si="962"/>
        <v>0.85</v>
      </c>
      <c r="CK817" s="1120">
        <f t="shared" si="963"/>
        <v>0.85</v>
      </c>
      <c r="CL817" s="1120">
        <f t="shared" si="964"/>
        <v>0.85</v>
      </c>
      <c r="CM817" s="1120">
        <f t="shared" si="965"/>
        <v>0.85</v>
      </c>
      <c r="CN817" s="1120">
        <f t="shared" si="966"/>
        <v>0.85</v>
      </c>
      <c r="CO817" s="1120">
        <f t="shared" si="967"/>
        <v>0.85</v>
      </c>
      <c r="CP817" s="1120">
        <f t="shared" si="968"/>
        <v>0.7</v>
      </c>
      <c r="CQ817" s="1120">
        <f t="shared" si="969"/>
        <v>0.7</v>
      </c>
      <c r="CR817" s="1120">
        <f t="shared" si="970"/>
        <v>0.85</v>
      </c>
      <c r="CS817" s="1120">
        <f t="shared" si="971"/>
        <v>0.85</v>
      </c>
      <c r="CT817" s="1120">
        <f t="shared" si="972"/>
        <v>0.85</v>
      </c>
      <c r="CU817" s="1120">
        <v>1</v>
      </c>
      <c r="CV817" s="1120"/>
      <c r="CW817" s="1120">
        <f t="shared" si="973"/>
        <v>153</v>
      </c>
      <c r="CX817" s="1120">
        <f t="shared" si="974"/>
        <v>212</v>
      </c>
      <c r="CY817" s="1136" t="s">
        <v>4886</v>
      </c>
      <c r="CZ817" s="1129" t="s">
        <v>4888</v>
      </c>
      <c r="DA817" s="1129"/>
      <c r="DB817" s="1129"/>
      <c r="DC817" s="1125" t="s">
        <v>5054</v>
      </c>
      <c r="DD817" s="1125" t="s">
        <v>954</v>
      </c>
      <c r="DE817" s="1120" t="str">
        <f t="shared" si="975"/>
        <v/>
      </c>
      <c r="DF817" s="1120">
        <v>0</v>
      </c>
      <c r="DG817" s="1125">
        <v>0</v>
      </c>
    </row>
    <row r="818" spans="1:111">
      <c r="A818" s="1120" t="s">
        <v>4324</v>
      </c>
      <c r="B818" s="1125" t="s">
        <v>3180</v>
      </c>
      <c r="C818" s="1125" t="s">
        <v>3181</v>
      </c>
      <c r="D818" s="1125" t="s">
        <v>954</v>
      </c>
      <c r="E818" s="1125">
        <v>423</v>
      </c>
      <c r="F818" s="1125">
        <v>-117.13</v>
      </c>
      <c r="G818" s="1125">
        <v>32.82</v>
      </c>
      <c r="H818" s="1125">
        <v>-8</v>
      </c>
      <c r="I818" s="1126">
        <v>43.159999656677243</v>
      </c>
      <c r="J818" s="1126">
        <v>84.2</v>
      </c>
      <c r="K818" s="1127">
        <v>65.66000137329101</v>
      </c>
      <c r="L818" s="1125">
        <v>1542.6000000000001</v>
      </c>
      <c r="M818" s="1125">
        <v>577.80000000000007</v>
      </c>
      <c r="N818" s="1128">
        <v>56.119999313354491</v>
      </c>
      <c r="O818" s="1128">
        <v>56.659999656677243</v>
      </c>
      <c r="P818" s="1128">
        <v>58.280000686645508</v>
      </c>
      <c r="Q818" s="1128">
        <v>58.1</v>
      </c>
      <c r="R818" s="1128">
        <v>60.980000686645511</v>
      </c>
      <c r="S818" s="1128">
        <v>64.400000000000006</v>
      </c>
      <c r="T818" s="1128">
        <v>68.360001373291013</v>
      </c>
      <c r="U818" s="1128">
        <v>69.619999313354498</v>
      </c>
      <c r="V818" s="1128">
        <v>72.139998626708987</v>
      </c>
      <c r="W818" s="1128">
        <v>63.139998626708987</v>
      </c>
      <c r="X818" s="1128">
        <v>57.380000686645509</v>
      </c>
      <c r="Y818" s="1128">
        <v>55.4</v>
      </c>
      <c r="Z818" s="1128">
        <v>61.742410876130407</v>
      </c>
      <c r="AA818" s="1128">
        <f t="shared" si="901"/>
        <v>63.12094667186043</v>
      </c>
      <c r="AB818" s="1128">
        <f t="shared" si="902"/>
        <v>63.025105532836996</v>
      </c>
      <c r="AC818" s="1128">
        <f t="shared" si="903"/>
        <v>64.158902727418806</v>
      </c>
      <c r="AD818" s="1128">
        <f t="shared" si="904"/>
        <v>66.226796544494476</v>
      </c>
      <c r="AE818" s="1128">
        <f t="shared" si="905"/>
        <v>68.689758593434888</v>
      </c>
      <c r="AF818" s="1128">
        <f t="shared" si="906"/>
        <v>70.905779860789664</v>
      </c>
      <c r="AG818" s="1128">
        <f t="shared" si="907"/>
        <v>72.297220253301319</v>
      </c>
      <c r="AH818" s="1128">
        <f t="shared" si="908"/>
        <v>72.501379389916195</v>
      </c>
      <c r="AI818" s="1128">
        <f t="shared" si="909"/>
        <v>71.465040045488081</v>
      </c>
      <c r="AJ818" s="1128">
        <f t="shared" si="910"/>
        <v>69.4583400406149</v>
      </c>
      <c r="AK818" s="1128">
        <f t="shared" si="911"/>
        <v>67.004356655749973</v>
      </c>
      <c r="AL818" s="1128">
        <f t="shared" si="912"/>
        <v>64.742758477187024</v>
      </c>
      <c r="AM818" s="1125">
        <f t="shared" si="913"/>
        <v>1</v>
      </c>
      <c r="AN818" s="1125">
        <f t="shared" si="914"/>
        <v>1</v>
      </c>
      <c r="AO818" s="1125">
        <f t="shared" si="915"/>
        <v>1</v>
      </c>
      <c r="AP818" s="1125">
        <f t="shared" si="916"/>
        <v>1</v>
      </c>
      <c r="AQ818" s="1125">
        <f t="shared" si="917"/>
        <v>1</v>
      </c>
      <c r="AR818" s="1125">
        <f t="shared" si="918"/>
        <v>1</v>
      </c>
      <c r="AS818" s="1125">
        <f t="shared" si="919"/>
        <v>0</v>
      </c>
      <c r="AT818" s="1125">
        <f t="shared" si="920"/>
        <v>0</v>
      </c>
      <c r="AU818" s="1125">
        <f t="shared" si="921"/>
        <v>0</v>
      </c>
      <c r="AV818" s="1125">
        <f t="shared" si="922"/>
        <v>1</v>
      </c>
      <c r="AW818" s="1125">
        <f t="shared" si="923"/>
        <v>1</v>
      </c>
      <c r="AX818" s="1125">
        <f t="shared" si="924"/>
        <v>1</v>
      </c>
      <c r="AY818" s="1125">
        <f t="shared" si="925"/>
        <v>0</v>
      </c>
      <c r="AZ818" s="1125">
        <f t="shared" si="926"/>
        <v>0</v>
      </c>
      <c r="BA818" s="1125">
        <f t="shared" si="927"/>
        <v>0</v>
      </c>
      <c r="BB818" s="1125">
        <f t="shared" si="928"/>
        <v>0</v>
      </c>
      <c r="BC818" s="1125">
        <f t="shared" si="929"/>
        <v>0</v>
      </c>
      <c r="BD818" s="1125">
        <f t="shared" si="930"/>
        <v>0</v>
      </c>
      <c r="BE818" s="1125">
        <f t="shared" si="931"/>
        <v>1</v>
      </c>
      <c r="BF818" s="1125">
        <f t="shared" si="932"/>
        <v>1</v>
      </c>
      <c r="BG818" s="1125">
        <f t="shared" si="933"/>
        <v>1</v>
      </c>
      <c r="BH818" s="1125">
        <f t="shared" si="934"/>
        <v>0</v>
      </c>
      <c r="BI818" s="1125">
        <f t="shared" si="935"/>
        <v>0</v>
      </c>
      <c r="BJ818" s="1125">
        <f t="shared" si="936"/>
        <v>0</v>
      </c>
      <c r="BK818" s="1125">
        <f t="shared" si="937"/>
        <v>1</v>
      </c>
      <c r="BL818" s="1125">
        <f t="shared" si="938"/>
        <v>1</v>
      </c>
      <c r="BM818" s="1125">
        <f t="shared" si="939"/>
        <v>1</v>
      </c>
      <c r="BN818" s="1125">
        <f t="shared" si="940"/>
        <v>1</v>
      </c>
      <c r="BO818" s="1125">
        <f t="shared" si="941"/>
        <v>1</v>
      </c>
      <c r="BP818" s="1125">
        <f t="shared" si="942"/>
        <v>1</v>
      </c>
      <c r="BQ818" s="1125">
        <f t="shared" si="943"/>
        <v>1</v>
      </c>
      <c r="BR818" s="1125">
        <f t="shared" si="944"/>
        <v>0</v>
      </c>
      <c r="BS818" s="1125">
        <f t="shared" si="945"/>
        <v>0</v>
      </c>
      <c r="BT818" s="1125">
        <f t="shared" si="946"/>
        <v>1</v>
      </c>
      <c r="BU818" s="1125">
        <f t="shared" si="947"/>
        <v>1</v>
      </c>
      <c r="BV818" s="1125">
        <f t="shared" si="948"/>
        <v>1</v>
      </c>
      <c r="BW818" s="1125">
        <f t="shared" si="949"/>
        <v>0</v>
      </c>
      <c r="BX818" s="1125">
        <f t="shared" si="950"/>
        <v>0</v>
      </c>
      <c r="BY818" s="1125">
        <f t="shared" si="951"/>
        <v>0</v>
      </c>
      <c r="BZ818" s="1125">
        <f t="shared" si="952"/>
        <v>0</v>
      </c>
      <c r="CA818" s="1125">
        <f t="shared" si="953"/>
        <v>0</v>
      </c>
      <c r="CB818" s="1125">
        <f t="shared" si="954"/>
        <v>1</v>
      </c>
      <c r="CC818" s="1125">
        <f t="shared" si="955"/>
        <v>1</v>
      </c>
      <c r="CD818" s="1125">
        <f t="shared" si="956"/>
        <v>1</v>
      </c>
      <c r="CE818" s="1125">
        <f t="shared" si="957"/>
        <v>1</v>
      </c>
      <c r="CF818" s="1125">
        <f t="shared" si="958"/>
        <v>1</v>
      </c>
      <c r="CG818" s="1125">
        <f t="shared" si="959"/>
        <v>0</v>
      </c>
      <c r="CH818" s="1125">
        <f t="shared" si="960"/>
        <v>0</v>
      </c>
      <c r="CI818" s="1125">
        <f t="shared" si="961"/>
        <v>0.85</v>
      </c>
      <c r="CJ818" s="1125">
        <f t="shared" si="962"/>
        <v>0.85</v>
      </c>
      <c r="CK818" s="1125">
        <f t="shared" si="963"/>
        <v>0.85</v>
      </c>
      <c r="CL818" s="1125">
        <f t="shared" si="964"/>
        <v>0.85</v>
      </c>
      <c r="CM818" s="1125">
        <f t="shared" si="965"/>
        <v>0.85</v>
      </c>
      <c r="CN818" s="1125">
        <f t="shared" si="966"/>
        <v>0.85</v>
      </c>
      <c r="CO818" s="1125">
        <f t="shared" si="967"/>
        <v>0.85</v>
      </c>
      <c r="CP818" s="1125">
        <f t="shared" si="968"/>
        <v>0.7</v>
      </c>
      <c r="CQ818" s="1125">
        <f t="shared" si="969"/>
        <v>0.7</v>
      </c>
      <c r="CR818" s="1125">
        <f t="shared" si="970"/>
        <v>0.85</v>
      </c>
      <c r="CS818" s="1125">
        <f t="shared" si="971"/>
        <v>0.85</v>
      </c>
      <c r="CT818" s="1125">
        <f t="shared" si="972"/>
        <v>0.85</v>
      </c>
      <c r="CU818" s="1125">
        <v>1</v>
      </c>
      <c r="CV818" s="1125"/>
      <c r="CW818" s="1125">
        <f t="shared" si="973"/>
        <v>153</v>
      </c>
      <c r="CX818" s="1125">
        <f t="shared" si="974"/>
        <v>212</v>
      </c>
      <c r="CY818" s="1135" t="s">
        <v>4886</v>
      </c>
      <c r="CZ818" s="1124" t="s">
        <v>4888</v>
      </c>
      <c r="DA818" s="1124"/>
      <c r="DB818" s="1124"/>
      <c r="DC818" s="1120" t="s">
        <v>5705</v>
      </c>
      <c r="DD818" s="1120" t="s">
        <v>954</v>
      </c>
      <c r="DE818" s="1120" t="str">
        <f t="shared" si="975"/>
        <v/>
      </c>
      <c r="DF818" s="1125">
        <v>0</v>
      </c>
      <c r="DG818" s="1120">
        <v>0</v>
      </c>
    </row>
    <row r="819" spans="1:111">
      <c r="A819" s="1125" t="s">
        <v>4326</v>
      </c>
      <c r="B819" s="1120" t="s">
        <v>3182</v>
      </c>
      <c r="C819" s="1120" t="s">
        <v>3183</v>
      </c>
      <c r="D819" s="1120" t="s">
        <v>954</v>
      </c>
      <c r="E819" s="1120">
        <v>49</v>
      </c>
      <c r="F819" s="1120">
        <v>-117.2</v>
      </c>
      <c r="G819" s="1120">
        <v>32.700000000000003</v>
      </c>
      <c r="H819" s="1120">
        <v>-8</v>
      </c>
      <c r="I819" s="1121">
        <v>46.040000343322752</v>
      </c>
      <c r="J819" s="1121">
        <v>79.519999313354489</v>
      </c>
      <c r="K819" s="1122">
        <v>66.560001373291016</v>
      </c>
      <c r="L819" s="1120">
        <v>1364.4</v>
      </c>
      <c r="M819" s="1120">
        <v>376.2</v>
      </c>
      <c r="N819" s="1123">
        <v>55.4</v>
      </c>
      <c r="O819" s="1123">
        <v>57.559999656677249</v>
      </c>
      <c r="P819" s="1123">
        <v>57.559999656677249</v>
      </c>
      <c r="Q819" s="1123">
        <v>59.540000343322752</v>
      </c>
      <c r="R819" s="1123">
        <v>61.160001373291017</v>
      </c>
      <c r="S819" s="1123">
        <v>64.039998626708979</v>
      </c>
      <c r="T819" s="1123">
        <v>68</v>
      </c>
      <c r="U819" s="1123">
        <v>68.180000686645513</v>
      </c>
      <c r="V819" s="1123">
        <v>67.099999999999994</v>
      </c>
      <c r="W819" s="1123">
        <v>65.83999862670899</v>
      </c>
      <c r="X819" s="1123">
        <v>59.359999656677246</v>
      </c>
      <c r="Y819" s="1123">
        <v>56.480000686645511</v>
      </c>
      <c r="Z819" s="1123">
        <v>61.709862961965065</v>
      </c>
      <c r="AA819" s="1123">
        <f t="shared" si="901"/>
        <v>64.184241641891248</v>
      </c>
      <c r="AB819" s="1123">
        <f t="shared" si="902"/>
        <v>64.110060084110756</v>
      </c>
      <c r="AC819" s="1123">
        <f t="shared" si="903"/>
        <v>64.97422262108455</v>
      </c>
      <c r="AD819" s="1123">
        <f t="shared" si="904"/>
        <v>66.551471970402588</v>
      </c>
      <c r="AE819" s="1123">
        <f t="shared" si="905"/>
        <v>68.430673783016928</v>
      </c>
      <c r="AF819" s="1123">
        <f t="shared" si="906"/>
        <v>70.121985147093099</v>
      </c>
      <c r="AG819" s="1123">
        <f t="shared" si="907"/>
        <v>71.18453969168759</v>
      </c>
      <c r="AH819" s="1123">
        <f t="shared" si="908"/>
        <v>71.341366200290665</v>
      </c>
      <c r="AI819" s="1123">
        <f t="shared" si="909"/>
        <v>70.551585426665284</v>
      </c>
      <c r="AJ819" s="1123">
        <f t="shared" si="910"/>
        <v>69.021065900347011</v>
      </c>
      <c r="AK819" s="1123">
        <f t="shared" si="911"/>
        <v>67.148761121890573</v>
      </c>
      <c r="AL819" s="1123">
        <f t="shared" si="912"/>
        <v>65.422716184890646</v>
      </c>
      <c r="AM819" s="1120">
        <f t="shared" si="913"/>
        <v>1</v>
      </c>
      <c r="AN819" s="1120">
        <f t="shared" si="914"/>
        <v>1</v>
      </c>
      <c r="AO819" s="1120">
        <f t="shared" si="915"/>
        <v>1</v>
      </c>
      <c r="AP819" s="1120">
        <f t="shared" si="916"/>
        <v>1</v>
      </c>
      <c r="AQ819" s="1120">
        <f t="shared" si="917"/>
        <v>1</v>
      </c>
      <c r="AR819" s="1120">
        <f t="shared" si="918"/>
        <v>1</v>
      </c>
      <c r="AS819" s="1120">
        <f t="shared" si="919"/>
        <v>0</v>
      </c>
      <c r="AT819" s="1120">
        <f t="shared" si="920"/>
        <v>0</v>
      </c>
      <c r="AU819" s="1120">
        <f t="shared" si="921"/>
        <v>0</v>
      </c>
      <c r="AV819" s="1120">
        <f t="shared" si="922"/>
        <v>1</v>
      </c>
      <c r="AW819" s="1120">
        <f t="shared" si="923"/>
        <v>1</v>
      </c>
      <c r="AX819" s="1120">
        <f t="shared" si="924"/>
        <v>1</v>
      </c>
      <c r="AY819" s="1120">
        <f t="shared" si="925"/>
        <v>0</v>
      </c>
      <c r="AZ819" s="1120">
        <f t="shared" si="926"/>
        <v>0</v>
      </c>
      <c r="BA819" s="1120">
        <f t="shared" si="927"/>
        <v>0</v>
      </c>
      <c r="BB819" s="1120">
        <f t="shared" si="928"/>
        <v>0</v>
      </c>
      <c r="BC819" s="1120">
        <f t="shared" si="929"/>
        <v>0</v>
      </c>
      <c r="BD819" s="1120">
        <f t="shared" si="930"/>
        <v>0</v>
      </c>
      <c r="BE819" s="1120">
        <f t="shared" si="931"/>
        <v>1</v>
      </c>
      <c r="BF819" s="1120">
        <f t="shared" si="932"/>
        <v>1</v>
      </c>
      <c r="BG819" s="1120">
        <f t="shared" si="933"/>
        <v>1</v>
      </c>
      <c r="BH819" s="1120">
        <f t="shared" si="934"/>
        <v>0</v>
      </c>
      <c r="BI819" s="1120">
        <f t="shared" si="935"/>
        <v>0</v>
      </c>
      <c r="BJ819" s="1120">
        <f t="shared" si="936"/>
        <v>0</v>
      </c>
      <c r="BK819" s="1120">
        <f t="shared" si="937"/>
        <v>1</v>
      </c>
      <c r="BL819" s="1120">
        <f t="shared" si="938"/>
        <v>1</v>
      </c>
      <c r="BM819" s="1120">
        <f t="shared" si="939"/>
        <v>1</v>
      </c>
      <c r="BN819" s="1120">
        <f t="shared" si="940"/>
        <v>1</v>
      </c>
      <c r="BO819" s="1120">
        <f t="shared" si="941"/>
        <v>1</v>
      </c>
      <c r="BP819" s="1120">
        <f t="shared" si="942"/>
        <v>1</v>
      </c>
      <c r="BQ819" s="1120">
        <f t="shared" si="943"/>
        <v>1</v>
      </c>
      <c r="BR819" s="1120">
        <f t="shared" si="944"/>
        <v>0</v>
      </c>
      <c r="BS819" s="1120">
        <f t="shared" si="945"/>
        <v>0</v>
      </c>
      <c r="BT819" s="1120">
        <f t="shared" si="946"/>
        <v>1</v>
      </c>
      <c r="BU819" s="1120">
        <f t="shared" si="947"/>
        <v>1</v>
      </c>
      <c r="BV819" s="1120">
        <f t="shared" si="948"/>
        <v>1</v>
      </c>
      <c r="BW819" s="1120">
        <f t="shared" si="949"/>
        <v>0</v>
      </c>
      <c r="BX819" s="1120">
        <f t="shared" si="950"/>
        <v>0</v>
      </c>
      <c r="BY819" s="1120">
        <f t="shared" si="951"/>
        <v>0</v>
      </c>
      <c r="BZ819" s="1120">
        <f t="shared" si="952"/>
        <v>0</v>
      </c>
      <c r="CA819" s="1120">
        <f t="shared" si="953"/>
        <v>0</v>
      </c>
      <c r="CB819" s="1120">
        <f t="shared" si="954"/>
        <v>1</v>
      </c>
      <c r="CC819" s="1120">
        <f t="shared" si="955"/>
        <v>1</v>
      </c>
      <c r="CD819" s="1120">
        <f t="shared" si="956"/>
        <v>1</v>
      </c>
      <c r="CE819" s="1120">
        <f t="shared" si="957"/>
        <v>1</v>
      </c>
      <c r="CF819" s="1120">
        <f t="shared" si="958"/>
        <v>1</v>
      </c>
      <c r="CG819" s="1120">
        <f t="shared" si="959"/>
        <v>0</v>
      </c>
      <c r="CH819" s="1120">
        <f t="shared" si="960"/>
        <v>0</v>
      </c>
      <c r="CI819" s="1120">
        <f t="shared" si="961"/>
        <v>0.85</v>
      </c>
      <c r="CJ819" s="1120">
        <f t="shared" si="962"/>
        <v>0.85</v>
      </c>
      <c r="CK819" s="1120">
        <f t="shared" si="963"/>
        <v>0.85</v>
      </c>
      <c r="CL819" s="1120">
        <f t="shared" si="964"/>
        <v>0.85</v>
      </c>
      <c r="CM819" s="1120">
        <f t="shared" si="965"/>
        <v>0.85</v>
      </c>
      <c r="CN819" s="1120">
        <f t="shared" si="966"/>
        <v>0.85</v>
      </c>
      <c r="CO819" s="1120">
        <f t="shared" si="967"/>
        <v>0.85</v>
      </c>
      <c r="CP819" s="1120">
        <f t="shared" si="968"/>
        <v>0.7</v>
      </c>
      <c r="CQ819" s="1120">
        <f t="shared" si="969"/>
        <v>0.7</v>
      </c>
      <c r="CR819" s="1120">
        <f t="shared" si="970"/>
        <v>0.85</v>
      </c>
      <c r="CS819" s="1120">
        <f t="shared" si="971"/>
        <v>0.85</v>
      </c>
      <c r="CT819" s="1120">
        <f t="shared" si="972"/>
        <v>0.85</v>
      </c>
      <c r="CU819" s="1120">
        <v>1</v>
      </c>
      <c r="CV819" s="1120"/>
      <c r="CW819" s="1120">
        <f t="shared" si="973"/>
        <v>153</v>
      </c>
      <c r="CX819" s="1120">
        <f t="shared" si="974"/>
        <v>212</v>
      </c>
      <c r="CY819" s="1135" t="s">
        <v>4886</v>
      </c>
      <c r="CZ819" s="1124" t="s">
        <v>4888</v>
      </c>
      <c r="DA819" s="1124"/>
      <c r="DB819" s="1124"/>
      <c r="DC819" s="1120" t="s">
        <v>5055</v>
      </c>
      <c r="DD819" s="1120" t="s">
        <v>954</v>
      </c>
      <c r="DE819" s="1120" t="str">
        <f t="shared" si="975"/>
        <v/>
      </c>
      <c r="DF819" s="1120">
        <v>0</v>
      </c>
      <c r="DG819" s="1125">
        <v>0</v>
      </c>
    </row>
    <row r="820" spans="1:111">
      <c r="A820" s="1120" t="s">
        <v>4328</v>
      </c>
      <c r="B820" s="1125" t="s">
        <v>3184</v>
      </c>
      <c r="C820" s="1125" t="s">
        <v>3185</v>
      </c>
      <c r="D820" s="1125" t="s">
        <v>954</v>
      </c>
      <c r="E820" s="1125">
        <v>7</v>
      </c>
      <c r="F820" s="1125">
        <v>-122.4</v>
      </c>
      <c r="G820" s="1125">
        <v>37.619999999999997</v>
      </c>
      <c r="H820" s="1125">
        <v>-8</v>
      </c>
      <c r="I820" s="1126">
        <v>40.820000171661377</v>
      </c>
      <c r="J820" s="1126">
        <v>78.260001373291018</v>
      </c>
      <c r="K820" s="1127">
        <v>62.060001373291016</v>
      </c>
      <c r="L820" s="1125">
        <v>2802.6</v>
      </c>
      <c r="M820" s="1125">
        <v>39.6</v>
      </c>
      <c r="N820" s="1128">
        <v>49.280000686645508</v>
      </c>
      <c r="O820" s="1128">
        <v>52.340000343322757</v>
      </c>
      <c r="P820" s="1128">
        <v>54.859999656677246</v>
      </c>
      <c r="Q820" s="1128">
        <v>56.659999656677243</v>
      </c>
      <c r="R820" s="1128">
        <v>59</v>
      </c>
      <c r="S820" s="1128">
        <v>59.540000343322752</v>
      </c>
      <c r="T820" s="1128">
        <v>60.619999313354491</v>
      </c>
      <c r="U820" s="1128">
        <v>61.880000686645509</v>
      </c>
      <c r="V820" s="1128">
        <v>62.060001373291016</v>
      </c>
      <c r="W820" s="1128">
        <v>59.180000686645506</v>
      </c>
      <c r="X820" s="1128">
        <v>55.040000343322752</v>
      </c>
      <c r="Y820" s="1128">
        <v>51.259999656677245</v>
      </c>
      <c r="Z820" s="1128">
        <v>56.830137212047838</v>
      </c>
      <c r="AA820" s="1128">
        <f t="shared" si="901"/>
        <v>59.697015359718954</v>
      </c>
      <c r="AB820" s="1128">
        <f t="shared" si="902"/>
        <v>59.484892762228903</v>
      </c>
      <c r="AC820" s="1128">
        <f t="shared" si="903"/>
        <v>60.144759682361588</v>
      </c>
      <c r="AD820" s="1128">
        <f t="shared" si="904"/>
        <v>61.504611638527372</v>
      </c>
      <c r="AE820" s="1128">
        <f t="shared" si="905"/>
        <v>63.209982262398682</v>
      </c>
      <c r="AF820" s="1128">
        <f t="shared" si="906"/>
        <v>64.816340420306631</v>
      </c>
      <c r="AG820" s="1128">
        <f t="shared" si="907"/>
        <v>65.904964103663971</v>
      </c>
      <c r="AH820" s="1128">
        <f t="shared" si="908"/>
        <v>66.192086773204863</v>
      </c>
      <c r="AI820" s="1128">
        <f t="shared" si="909"/>
        <v>65.602865480419169</v>
      </c>
      <c r="AJ820" s="1128">
        <f t="shared" si="910"/>
        <v>64.290889835446492</v>
      </c>
      <c r="AK820" s="1128">
        <f t="shared" si="911"/>
        <v>62.598146508305625</v>
      </c>
      <c r="AL820" s="1128">
        <f t="shared" si="912"/>
        <v>60.965875133180127</v>
      </c>
      <c r="AM820" s="1125">
        <f t="shared" si="913"/>
        <v>1</v>
      </c>
      <c r="AN820" s="1125">
        <f t="shared" si="914"/>
        <v>1</v>
      </c>
      <c r="AO820" s="1125">
        <f t="shared" si="915"/>
        <v>1</v>
      </c>
      <c r="AP820" s="1125">
        <f t="shared" si="916"/>
        <v>1</v>
      </c>
      <c r="AQ820" s="1125">
        <f t="shared" si="917"/>
        <v>1</v>
      </c>
      <c r="AR820" s="1125">
        <f t="shared" si="918"/>
        <v>1</v>
      </c>
      <c r="AS820" s="1125">
        <f t="shared" si="919"/>
        <v>1</v>
      </c>
      <c r="AT820" s="1125">
        <f t="shared" si="920"/>
        <v>1</v>
      </c>
      <c r="AU820" s="1125">
        <f t="shared" si="921"/>
        <v>1</v>
      </c>
      <c r="AV820" s="1125">
        <f t="shared" si="922"/>
        <v>1</v>
      </c>
      <c r="AW820" s="1125">
        <f t="shared" si="923"/>
        <v>1</v>
      </c>
      <c r="AX820" s="1125">
        <f t="shared" si="924"/>
        <v>1</v>
      </c>
      <c r="AY820" s="1125">
        <f t="shared" si="925"/>
        <v>0</v>
      </c>
      <c r="AZ820" s="1125">
        <f t="shared" si="926"/>
        <v>0</v>
      </c>
      <c r="BA820" s="1125">
        <f t="shared" si="927"/>
        <v>0</v>
      </c>
      <c r="BB820" s="1125">
        <f t="shared" si="928"/>
        <v>0</v>
      </c>
      <c r="BC820" s="1125">
        <f t="shared" si="929"/>
        <v>0</v>
      </c>
      <c r="BD820" s="1125">
        <f t="shared" si="930"/>
        <v>0</v>
      </c>
      <c r="BE820" s="1125">
        <f t="shared" si="931"/>
        <v>1</v>
      </c>
      <c r="BF820" s="1125">
        <f t="shared" si="932"/>
        <v>1</v>
      </c>
      <c r="BG820" s="1125">
        <f t="shared" si="933"/>
        <v>0</v>
      </c>
      <c r="BH820" s="1125">
        <f t="shared" si="934"/>
        <v>0</v>
      </c>
      <c r="BI820" s="1125">
        <f t="shared" si="935"/>
        <v>0</v>
      </c>
      <c r="BJ820" s="1125">
        <f t="shared" si="936"/>
        <v>0</v>
      </c>
      <c r="BK820" s="1125">
        <f t="shared" si="937"/>
        <v>1</v>
      </c>
      <c r="BL820" s="1125">
        <f t="shared" si="938"/>
        <v>1</v>
      </c>
      <c r="BM820" s="1125">
        <f t="shared" si="939"/>
        <v>1</v>
      </c>
      <c r="BN820" s="1125">
        <f t="shared" si="940"/>
        <v>1</v>
      </c>
      <c r="BO820" s="1125">
        <f t="shared" si="941"/>
        <v>1</v>
      </c>
      <c r="BP820" s="1125">
        <f t="shared" si="942"/>
        <v>1</v>
      </c>
      <c r="BQ820" s="1125">
        <f t="shared" si="943"/>
        <v>1</v>
      </c>
      <c r="BR820" s="1125">
        <f t="shared" si="944"/>
        <v>1</v>
      </c>
      <c r="BS820" s="1125">
        <f t="shared" si="945"/>
        <v>1</v>
      </c>
      <c r="BT820" s="1125">
        <f t="shared" si="946"/>
        <v>1</v>
      </c>
      <c r="BU820" s="1125">
        <f t="shared" si="947"/>
        <v>1</v>
      </c>
      <c r="BV820" s="1125">
        <f t="shared" si="948"/>
        <v>1</v>
      </c>
      <c r="BW820" s="1125">
        <f t="shared" si="949"/>
        <v>0</v>
      </c>
      <c r="BX820" s="1125">
        <f t="shared" si="950"/>
        <v>0</v>
      </c>
      <c r="BY820" s="1125">
        <f t="shared" si="951"/>
        <v>0</v>
      </c>
      <c r="BZ820" s="1125">
        <f t="shared" si="952"/>
        <v>0</v>
      </c>
      <c r="CA820" s="1125">
        <f t="shared" si="953"/>
        <v>0</v>
      </c>
      <c r="CB820" s="1125">
        <f t="shared" si="954"/>
        <v>0</v>
      </c>
      <c r="CC820" s="1125">
        <f t="shared" si="955"/>
        <v>1</v>
      </c>
      <c r="CD820" s="1125">
        <f t="shared" si="956"/>
        <v>1</v>
      </c>
      <c r="CE820" s="1125">
        <f t="shared" si="957"/>
        <v>0</v>
      </c>
      <c r="CF820" s="1125">
        <f t="shared" si="958"/>
        <v>0</v>
      </c>
      <c r="CG820" s="1125">
        <f t="shared" si="959"/>
        <v>0</v>
      </c>
      <c r="CH820" s="1125">
        <f t="shared" si="960"/>
        <v>0</v>
      </c>
      <c r="CI820" s="1125">
        <f t="shared" si="961"/>
        <v>0.85</v>
      </c>
      <c r="CJ820" s="1125">
        <f t="shared" si="962"/>
        <v>0.85</v>
      </c>
      <c r="CK820" s="1125">
        <f t="shared" si="963"/>
        <v>0.85</v>
      </c>
      <c r="CL820" s="1125">
        <f t="shared" si="964"/>
        <v>0.85</v>
      </c>
      <c r="CM820" s="1125">
        <f t="shared" si="965"/>
        <v>0.85</v>
      </c>
      <c r="CN820" s="1125">
        <f t="shared" si="966"/>
        <v>0.85</v>
      </c>
      <c r="CO820" s="1125">
        <f t="shared" si="967"/>
        <v>0.85</v>
      </c>
      <c r="CP820" s="1125">
        <f t="shared" si="968"/>
        <v>0.85</v>
      </c>
      <c r="CQ820" s="1125">
        <f t="shared" si="969"/>
        <v>0.85</v>
      </c>
      <c r="CR820" s="1125">
        <f t="shared" si="970"/>
        <v>0.85</v>
      </c>
      <c r="CS820" s="1125">
        <f t="shared" si="971"/>
        <v>0.85</v>
      </c>
      <c r="CT820" s="1125">
        <f t="shared" si="972"/>
        <v>0.85</v>
      </c>
      <c r="CU820" s="1125">
        <v>1</v>
      </c>
      <c r="CV820" s="1125"/>
      <c r="CW820" s="1125">
        <f t="shared" si="973"/>
        <v>62</v>
      </c>
      <c r="CX820" s="1125">
        <f t="shared" si="974"/>
        <v>303</v>
      </c>
      <c r="CY820" s="1136" t="s">
        <v>4893</v>
      </c>
      <c r="CZ820" s="1129" t="s">
        <v>4895</v>
      </c>
      <c r="DA820" s="1129"/>
      <c r="DB820" s="1129"/>
      <c r="DC820" s="1125" t="s">
        <v>5056</v>
      </c>
      <c r="DD820" s="1125" t="s">
        <v>954</v>
      </c>
      <c r="DE820" s="1120" t="str">
        <f t="shared" si="975"/>
        <v/>
      </c>
      <c r="DF820" s="1125">
        <v>1</v>
      </c>
      <c r="DG820" s="1120">
        <v>0</v>
      </c>
    </row>
    <row r="821" spans="1:111">
      <c r="A821" s="1125" t="s">
        <v>4330</v>
      </c>
      <c r="B821" s="1120" t="s">
        <v>3186</v>
      </c>
      <c r="C821" s="1120" t="s">
        <v>3187</v>
      </c>
      <c r="D821" s="1120" t="s">
        <v>954</v>
      </c>
      <c r="E821" s="1120">
        <v>52</v>
      </c>
      <c r="F821" s="1120">
        <v>-121.93</v>
      </c>
      <c r="G821" s="1120">
        <v>37.369999999999997</v>
      </c>
      <c r="H821" s="1120">
        <v>-8</v>
      </c>
      <c r="I821" s="1121">
        <v>37.76000008583069</v>
      </c>
      <c r="J821" s="1121">
        <v>88.519999313354489</v>
      </c>
      <c r="K821" s="1122">
        <v>66.2</v>
      </c>
      <c r="L821" s="1120">
        <v>2332.8000000000002</v>
      </c>
      <c r="M821" s="1120">
        <v>286.2</v>
      </c>
      <c r="N821" s="1123">
        <v>48.740000343322755</v>
      </c>
      <c r="O821" s="1123">
        <v>49.819999313354494</v>
      </c>
      <c r="P821" s="1123">
        <v>57.559999656677249</v>
      </c>
      <c r="Q821" s="1123">
        <v>56.3</v>
      </c>
      <c r="R821" s="1123">
        <v>61.7</v>
      </c>
      <c r="S821" s="1123">
        <v>64.939998626708984</v>
      </c>
      <c r="T821" s="1123">
        <v>65.3</v>
      </c>
      <c r="U821" s="1123">
        <v>67.639998626708987</v>
      </c>
      <c r="V821" s="1123">
        <v>64.760001373291018</v>
      </c>
      <c r="W821" s="1123">
        <v>63.139998626708987</v>
      </c>
      <c r="X821" s="1123">
        <v>53.959999656677248</v>
      </c>
      <c r="Y821" s="1123">
        <v>50.719999313354492</v>
      </c>
      <c r="Z821" s="1123">
        <v>58.774136613819699</v>
      </c>
      <c r="AA821" s="1123">
        <f t="shared" si="901"/>
        <v>59.908373535766316</v>
      </c>
      <c r="AB821" s="1123">
        <f t="shared" si="902"/>
        <v>59.671030888239393</v>
      </c>
      <c r="AC821" s="1123">
        <f t="shared" si="903"/>
        <v>60.763891389324655</v>
      </c>
      <c r="AD821" s="1123">
        <f t="shared" si="904"/>
        <v>62.902084107924132</v>
      </c>
      <c r="AE821" s="1123">
        <f t="shared" si="905"/>
        <v>65.52825616138766</v>
      </c>
      <c r="AF821" s="1123">
        <f t="shared" si="906"/>
        <v>67.957855333443604</v>
      </c>
      <c r="AG821" s="1123">
        <f t="shared" si="907"/>
        <v>69.557569158638984</v>
      </c>
      <c r="AH821" s="1123">
        <f t="shared" si="908"/>
        <v>69.910407576100383</v>
      </c>
      <c r="AI821" s="1123">
        <f t="shared" si="909"/>
        <v>68.92439781491187</v>
      </c>
      <c r="AJ821" s="1123">
        <f t="shared" si="910"/>
        <v>66.856558514197602</v>
      </c>
      <c r="AK821" s="1123">
        <f t="shared" si="911"/>
        <v>64.245903854056962</v>
      </c>
      <c r="AL821" s="1123">
        <f t="shared" si="912"/>
        <v>61.772941203061713</v>
      </c>
      <c r="AM821" s="1120">
        <f t="shared" si="913"/>
        <v>1</v>
      </c>
      <c r="AN821" s="1120">
        <f t="shared" si="914"/>
        <v>1</v>
      </c>
      <c r="AO821" s="1120">
        <f t="shared" si="915"/>
        <v>1</v>
      </c>
      <c r="AP821" s="1120">
        <f t="shared" si="916"/>
        <v>1</v>
      </c>
      <c r="AQ821" s="1120">
        <f t="shared" si="917"/>
        <v>1</v>
      </c>
      <c r="AR821" s="1120">
        <f t="shared" si="918"/>
        <v>1</v>
      </c>
      <c r="AS821" s="1120">
        <f t="shared" si="919"/>
        <v>1</v>
      </c>
      <c r="AT821" s="1120">
        <f t="shared" si="920"/>
        <v>0</v>
      </c>
      <c r="AU821" s="1120">
        <f t="shared" si="921"/>
        <v>1</v>
      </c>
      <c r="AV821" s="1120">
        <f t="shared" si="922"/>
        <v>1</v>
      </c>
      <c r="AW821" s="1120">
        <f t="shared" si="923"/>
        <v>1</v>
      </c>
      <c r="AX821" s="1120">
        <f t="shared" si="924"/>
        <v>1</v>
      </c>
      <c r="AY821" s="1120">
        <f t="shared" si="925"/>
        <v>0</v>
      </c>
      <c r="AZ821" s="1120">
        <f t="shared" si="926"/>
        <v>0</v>
      </c>
      <c r="BA821" s="1120">
        <f t="shared" si="927"/>
        <v>0</v>
      </c>
      <c r="BB821" s="1120">
        <f t="shared" si="928"/>
        <v>0</v>
      </c>
      <c r="BC821" s="1120">
        <f t="shared" si="929"/>
        <v>0</v>
      </c>
      <c r="BD821" s="1120">
        <f t="shared" si="930"/>
        <v>0</v>
      </c>
      <c r="BE821" s="1120">
        <f t="shared" si="931"/>
        <v>1</v>
      </c>
      <c r="BF821" s="1120">
        <f t="shared" si="932"/>
        <v>1</v>
      </c>
      <c r="BG821" s="1120">
        <f t="shared" si="933"/>
        <v>0</v>
      </c>
      <c r="BH821" s="1120">
        <f t="shared" si="934"/>
        <v>0</v>
      </c>
      <c r="BI821" s="1120">
        <f t="shared" si="935"/>
        <v>0</v>
      </c>
      <c r="BJ821" s="1120">
        <f t="shared" si="936"/>
        <v>0</v>
      </c>
      <c r="BK821" s="1120">
        <f t="shared" si="937"/>
        <v>1</v>
      </c>
      <c r="BL821" s="1120">
        <f t="shared" si="938"/>
        <v>1</v>
      </c>
      <c r="BM821" s="1120">
        <f t="shared" si="939"/>
        <v>1</v>
      </c>
      <c r="BN821" s="1120">
        <f t="shared" si="940"/>
        <v>1</v>
      </c>
      <c r="BO821" s="1120">
        <f t="shared" si="941"/>
        <v>1</v>
      </c>
      <c r="BP821" s="1120">
        <f t="shared" si="942"/>
        <v>1</v>
      </c>
      <c r="BQ821" s="1120">
        <f t="shared" si="943"/>
        <v>1</v>
      </c>
      <c r="BR821" s="1120">
        <f t="shared" si="944"/>
        <v>0</v>
      </c>
      <c r="BS821" s="1120">
        <f t="shared" si="945"/>
        <v>1</v>
      </c>
      <c r="BT821" s="1120">
        <f t="shared" si="946"/>
        <v>1</v>
      </c>
      <c r="BU821" s="1120">
        <f t="shared" si="947"/>
        <v>1</v>
      </c>
      <c r="BV821" s="1120">
        <f t="shared" si="948"/>
        <v>1</v>
      </c>
      <c r="BW821" s="1120">
        <f t="shared" si="949"/>
        <v>0</v>
      </c>
      <c r="BX821" s="1120">
        <f t="shared" si="950"/>
        <v>0</v>
      </c>
      <c r="BY821" s="1120">
        <f t="shared" si="951"/>
        <v>0</v>
      </c>
      <c r="BZ821" s="1120">
        <f t="shared" si="952"/>
        <v>0</v>
      </c>
      <c r="CA821" s="1120">
        <f t="shared" si="953"/>
        <v>0</v>
      </c>
      <c r="CB821" s="1120">
        <f t="shared" si="954"/>
        <v>0</v>
      </c>
      <c r="CC821" s="1120">
        <f t="shared" si="955"/>
        <v>1</v>
      </c>
      <c r="CD821" s="1120">
        <f t="shared" si="956"/>
        <v>1</v>
      </c>
      <c r="CE821" s="1120">
        <f t="shared" si="957"/>
        <v>1</v>
      </c>
      <c r="CF821" s="1120">
        <f t="shared" si="958"/>
        <v>0</v>
      </c>
      <c r="CG821" s="1120">
        <f t="shared" si="959"/>
        <v>0</v>
      </c>
      <c r="CH821" s="1120">
        <f t="shared" si="960"/>
        <v>0</v>
      </c>
      <c r="CI821" s="1120">
        <f t="shared" si="961"/>
        <v>0.85</v>
      </c>
      <c r="CJ821" s="1120">
        <f t="shared" si="962"/>
        <v>0.85</v>
      </c>
      <c r="CK821" s="1120">
        <f t="shared" si="963"/>
        <v>0.85</v>
      </c>
      <c r="CL821" s="1120">
        <f t="shared" si="964"/>
        <v>0.85</v>
      </c>
      <c r="CM821" s="1120">
        <f t="shared" si="965"/>
        <v>0.85</v>
      </c>
      <c r="CN821" s="1120">
        <f t="shared" si="966"/>
        <v>0.85</v>
      </c>
      <c r="CO821" s="1120">
        <f t="shared" si="967"/>
        <v>0.85</v>
      </c>
      <c r="CP821" s="1120">
        <f t="shared" si="968"/>
        <v>0.7</v>
      </c>
      <c r="CQ821" s="1120">
        <f t="shared" si="969"/>
        <v>0.85</v>
      </c>
      <c r="CR821" s="1120">
        <f t="shared" si="970"/>
        <v>0.85</v>
      </c>
      <c r="CS821" s="1120">
        <f t="shared" si="971"/>
        <v>0.85</v>
      </c>
      <c r="CT821" s="1120">
        <f t="shared" si="972"/>
        <v>0.85</v>
      </c>
      <c r="CU821" s="1120">
        <v>1</v>
      </c>
      <c r="CV821" s="1120"/>
      <c r="CW821" s="1120">
        <f t="shared" si="973"/>
        <v>92</v>
      </c>
      <c r="CX821" s="1120">
        <f t="shared" si="974"/>
        <v>273</v>
      </c>
      <c r="CY821" s="1135" t="s">
        <v>4893</v>
      </c>
      <c r="CZ821" s="1124" t="s">
        <v>4895</v>
      </c>
      <c r="DA821" s="1124"/>
      <c r="DB821" s="1124"/>
      <c r="DC821" s="1120" t="s">
        <v>5057</v>
      </c>
      <c r="DD821" s="1120" t="s">
        <v>954</v>
      </c>
      <c r="DE821" s="1120" t="str">
        <f t="shared" si="975"/>
        <v/>
      </c>
      <c r="DF821" s="1120">
        <v>0</v>
      </c>
      <c r="DG821" s="1125">
        <v>0</v>
      </c>
    </row>
    <row r="822" spans="1:111">
      <c r="A822" s="1120" t="s">
        <v>4332</v>
      </c>
      <c r="B822" s="1125" t="s">
        <v>3188</v>
      </c>
      <c r="C822" s="1125" t="s">
        <v>3189</v>
      </c>
      <c r="D822" s="1125" t="s">
        <v>954</v>
      </c>
      <c r="E822" s="1125">
        <v>216</v>
      </c>
      <c r="F822" s="1125">
        <v>-120.63</v>
      </c>
      <c r="G822" s="1125">
        <v>35.229999999999997</v>
      </c>
      <c r="H822" s="1125">
        <v>-8</v>
      </c>
      <c r="I822" s="1126">
        <v>36.320000171661377</v>
      </c>
      <c r="J822" s="1126">
        <v>84.2</v>
      </c>
      <c r="K822" s="1127">
        <v>63.319999313354494</v>
      </c>
      <c r="L822" s="1125">
        <v>2579.4</v>
      </c>
      <c r="M822" s="1125">
        <v>115.2</v>
      </c>
      <c r="N822" s="1128">
        <v>50.9</v>
      </c>
      <c r="O822" s="1128">
        <v>51.259999656677245</v>
      </c>
      <c r="P822" s="1128">
        <v>56.659999656677243</v>
      </c>
      <c r="Q822" s="1128">
        <v>56.840000343322757</v>
      </c>
      <c r="R822" s="1128">
        <v>58.459999656677248</v>
      </c>
      <c r="S822" s="1128">
        <v>61.519999313354496</v>
      </c>
      <c r="T822" s="1128">
        <v>62.239998626708989</v>
      </c>
      <c r="U822" s="1128">
        <v>62.060001373291016</v>
      </c>
      <c r="V822" s="1128">
        <v>64.760001373291018</v>
      </c>
      <c r="W822" s="1128">
        <v>59.719999313354492</v>
      </c>
      <c r="X822" s="1128">
        <v>54.140000343322754</v>
      </c>
      <c r="Y822" s="1128">
        <v>52.7</v>
      </c>
      <c r="Z822" s="1128">
        <v>57.638410928804582</v>
      </c>
      <c r="AA822" s="1128">
        <f t="shared" si="901"/>
        <v>60.169615476273968</v>
      </c>
      <c r="AB822" s="1128">
        <f t="shared" si="902"/>
        <v>59.962266008606321</v>
      </c>
      <c r="AC822" s="1128">
        <f t="shared" si="903"/>
        <v>60.713160365496385</v>
      </c>
      <c r="AD822" s="1128">
        <f t="shared" si="904"/>
        <v>62.226566361188461</v>
      </c>
      <c r="AE822" s="1128">
        <f t="shared" si="905"/>
        <v>64.107991400613045</v>
      </c>
      <c r="AF822" s="1128">
        <f t="shared" si="906"/>
        <v>65.867013053606641</v>
      </c>
      <c r="AG822" s="1128">
        <f t="shared" si="907"/>
        <v>67.045115218972256</v>
      </c>
      <c r="AH822" s="1128">
        <f t="shared" si="908"/>
        <v>67.335207412203431</v>
      </c>
      <c r="AI822" s="1128">
        <f t="shared" si="909"/>
        <v>66.661672632678432</v>
      </c>
      <c r="AJ822" s="1128">
        <f t="shared" si="910"/>
        <v>65.200078100165598</v>
      </c>
      <c r="AK822" s="1128">
        <f t="shared" si="911"/>
        <v>63.331410953417937</v>
      </c>
      <c r="AL822" s="1128">
        <f t="shared" si="912"/>
        <v>61.542768081267624</v>
      </c>
      <c r="AM822" s="1125">
        <f t="shared" si="913"/>
        <v>1</v>
      </c>
      <c r="AN822" s="1125">
        <f t="shared" si="914"/>
        <v>1</v>
      </c>
      <c r="AO822" s="1125">
        <f t="shared" si="915"/>
        <v>1</v>
      </c>
      <c r="AP822" s="1125">
        <f t="shared" si="916"/>
        <v>1</v>
      </c>
      <c r="AQ822" s="1125">
        <f t="shared" si="917"/>
        <v>1</v>
      </c>
      <c r="AR822" s="1125">
        <f t="shared" si="918"/>
        <v>1</v>
      </c>
      <c r="AS822" s="1125">
        <f t="shared" si="919"/>
        <v>1</v>
      </c>
      <c r="AT822" s="1125">
        <f t="shared" si="920"/>
        <v>1</v>
      </c>
      <c r="AU822" s="1125">
        <f t="shared" si="921"/>
        <v>1</v>
      </c>
      <c r="AV822" s="1125">
        <f t="shared" si="922"/>
        <v>1</v>
      </c>
      <c r="AW822" s="1125">
        <f t="shared" si="923"/>
        <v>1</v>
      </c>
      <c r="AX822" s="1125">
        <f t="shared" si="924"/>
        <v>1</v>
      </c>
      <c r="AY822" s="1125">
        <f t="shared" si="925"/>
        <v>0</v>
      </c>
      <c r="AZ822" s="1125">
        <f t="shared" si="926"/>
        <v>0</v>
      </c>
      <c r="BA822" s="1125">
        <f t="shared" si="927"/>
        <v>0</v>
      </c>
      <c r="BB822" s="1125">
        <f t="shared" si="928"/>
        <v>0</v>
      </c>
      <c r="BC822" s="1125">
        <f t="shared" si="929"/>
        <v>0</v>
      </c>
      <c r="BD822" s="1125">
        <f t="shared" si="930"/>
        <v>0</v>
      </c>
      <c r="BE822" s="1125">
        <f t="shared" si="931"/>
        <v>1</v>
      </c>
      <c r="BF822" s="1125">
        <f t="shared" si="932"/>
        <v>1</v>
      </c>
      <c r="BG822" s="1125">
        <f t="shared" si="933"/>
        <v>0</v>
      </c>
      <c r="BH822" s="1125">
        <f t="shared" si="934"/>
        <v>0</v>
      </c>
      <c r="BI822" s="1125">
        <f t="shared" si="935"/>
        <v>0</v>
      </c>
      <c r="BJ822" s="1125">
        <f t="shared" si="936"/>
        <v>0</v>
      </c>
      <c r="BK822" s="1125">
        <f t="shared" si="937"/>
        <v>1</v>
      </c>
      <c r="BL822" s="1125">
        <f t="shared" si="938"/>
        <v>1</v>
      </c>
      <c r="BM822" s="1125">
        <f t="shared" si="939"/>
        <v>1</v>
      </c>
      <c r="BN822" s="1125">
        <f t="shared" si="940"/>
        <v>1</v>
      </c>
      <c r="BO822" s="1125">
        <f t="shared" si="941"/>
        <v>1</v>
      </c>
      <c r="BP822" s="1125">
        <f t="shared" si="942"/>
        <v>1</v>
      </c>
      <c r="BQ822" s="1125">
        <f t="shared" si="943"/>
        <v>1</v>
      </c>
      <c r="BR822" s="1125">
        <f t="shared" si="944"/>
        <v>1</v>
      </c>
      <c r="BS822" s="1125">
        <f t="shared" si="945"/>
        <v>1</v>
      </c>
      <c r="BT822" s="1125">
        <f t="shared" si="946"/>
        <v>1</v>
      </c>
      <c r="BU822" s="1125">
        <f t="shared" si="947"/>
        <v>1</v>
      </c>
      <c r="BV822" s="1125">
        <f t="shared" si="948"/>
        <v>1</v>
      </c>
      <c r="BW822" s="1125">
        <f t="shared" si="949"/>
        <v>0</v>
      </c>
      <c r="BX822" s="1125">
        <f t="shared" si="950"/>
        <v>0</v>
      </c>
      <c r="BY822" s="1125">
        <f t="shared" si="951"/>
        <v>0</v>
      </c>
      <c r="BZ822" s="1125">
        <f t="shared" si="952"/>
        <v>0</v>
      </c>
      <c r="CA822" s="1125">
        <f t="shared" si="953"/>
        <v>0</v>
      </c>
      <c r="CB822" s="1125">
        <f t="shared" si="954"/>
        <v>0</v>
      </c>
      <c r="CC822" s="1125">
        <f t="shared" si="955"/>
        <v>1</v>
      </c>
      <c r="CD822" s="1125">
        <f t="shared" si="956"/>
        <v>1</v>
      </c>
      <c r="CE822" s="1125">
        <f t="shared" si="957"/>
        <v>0</v>
      </c>
      <c r="CF822" s="1125">
        <f t="shared" si="958"/>
        <v>0</v>
      </c>
      <c r="CG822" s="1125">
        <f t="shared" si="959"/>
        <v>0</v>
      </c>
      <c r="CH822" s="1125">
        <f t="shared" si="960"/>
        <v>0</v>
      </c>
      <c r="CI822" s="1125">
        <f t="shared" si="961"/>
        <v>0.85</v>
      </c>
      <c r="CJ822" s="1125">
        <f t="shared" si="962"/>
        <v>0.85</v>
      </c>
      <c r="CK822" s="1125">
        <f t="shared" si="963"/>
        <v>0.85</v>
      </c>
      <c r="CL822" s="1125">
        <f t="shared" si="964"/>
        <v>0.85</v>
      </c>
      <c r="CM822" s="1125">
        <f t="shared" si="965"/>
        <v>0.85</v>
      </c>
      <c r="CN822" s="1125">
        <f t="shared" si="966"/>
        <v>0.85</v>
      </c>
      <c r="CO822" s="1125">
        <f t="shared" si="967"/>
        <v>0.85</v>
      </c>
      <c r="CP822" s="1125">
        <f t="shared" si="968"/>
        <v>0.85</v>
      </c>
      <c r="CQ822" s="1125">
        <f t="shared" si="969"/>
        <v>0.85</v>
      </c>
      <c r="CR822" s="1125">
        <f t="shared" si="970"/>
        <v>0.85</v>
      </c>
      <c r="CS822" s="1125">
        <f t="shared" si="971"/>
        <v>0.85</v>
      </c>
      <c r="CT822" s="1125">
        <f t="shared" si="972"/>
        <v>0.85</v>
      </c>
      <c r="CU822" s="1125">
        <v>1</v>
      </c>
      <c r="CV822" s="1125"/>
      <c r="CW822" s="1125">
        <f t="shared" si="973"/>
        <v>62</v>
      </c>
      <c r="CX822" s="1125">
        <f t="shared" si="974"/>
        <v>303</v>
      </c>
      <c r="CY822" s="1136" t="s">
        <v>4893</v>
      </c>
      <c r="CZ822" s="1129" t="s">
        <v>4895</v>
      </c>
      <c r="DA822" s="1129"/>
      <c r="DB822" s="1129"/>
      <c r="DC822" s="1125" t="s">
        <v>5058</v>
      </c>
      <c r="DD822" s="1125" t="s">
        <v>954</v>
      </c>
      <c r="DE822" s="1120" t="str">
        <f t="shared" si="975"/>
        <v/>
      </c>
      <c r="DF822" s="1125">
        <v>0</v>
      </c>
      <c r="DG822" s="1120">
        <v>0</v>
      </c>
    </row>
    <row r="823" spans="1:111">
      <c r="A823" s="1125" t="s">
        <v>4336</v>
      </c>
      <c r="B823" s="1120" t="s">
        <v>270</v>
      </c>
      <c r="C823" s="1120" t="s">
        <v>271</v>
      </c>
      <c r="D823" s="1120" t="s">
        <v>953</v>
      </c>
      <c r="E823" s="1120">
        <v>23</v>
      </c>
      <c r="F823" s="1120">
        <v>-160.52000000000001</v>
      </c>
      <c r="G823" s="1120">
        <v>55.32</v>
      </c>
      <c r="H823" s="1120">
        <v>-9</v>
      </c>
      <c r="I823" s="1121">
        <v>16.159999656677247</v>
      </c>
      <c r="J823" s="1121">
        <v>58.819999313354494</v>
      </c>
      <c r="K823" s="1122">
        <v>52.340000343322757</v>
      </c>
      <c r="L823" s="1120">
        <v>8920.8000000000011</v>
      </c>
      <c r="M823" s="1120">
        <v>0</v>
      </c>
      <c r="N823" s="1123">
        <v>33.080000042915344</v>
      </c>
      <c r="O823" s="1123">
        <v>34.160000085830688</v>
      </c>
      <c r="P823" s="1123">
        <v>35.060000085830687</v>
      </c>
      <c r="Q823" s="1123">
        <v>35.779999828338624</v>
      </c>
      <c r="R823" s="1123">
        <v>37.76000008583069</v>
      </c>
      <c r="S823" s="1123">
        <v>46.580000686645505</v>
      </c>
      <c r="T823" s="1123">
        <v>53.240000343322755</v>
      </c>
      <c r="U823" s="1123">
        <v>53.419999313354495</v>
      </c>
      <c r="V823" s="1123">
        <v>46.220000171661376</v>
      </c>
      <c r="W823" s="1123">
        <v>40.1</v>
      </c>
      <c r="X823" s="1123">
        <v>32.720000010728839</v>
      </c>
      <c r="Y823" s="1123">
        <v>30.919999957084656</v>
      </c>
      <c r="Z823" s="1123">
        <v>39.962904158912295</v>
      </c>
      <c r="AA823" s="1123">
        <f t="shared" si="901"/>
        <v>42.79619306701467</v>
      </c>
      <c r="AB823" s="1123">
        <f t="shared" si="902"/>
        <v>41.965905463891779</v>
      </c>
      <c r="AC823" s="1123">
        <f t="shared" si="903"/>
        <v>42.177497166240357</v>
      </c>
      <c r="AD823" s="1123">
        <f t="shared" si="904"/>
        <v>43.375813536116411</v>
      </c>
      <c r="AE823" s="1123">
        <f t="shared" si="905"/>
        <v>45.248494945097519</v>
      </c>
      <c r="AF823" s="1123">
        <f t="shared" si="906"/>
        <v>47.307398125038681</v>
      </c>
      <c r="AG823" s="1123">
        <f t="shared" si="907"/>
        <v>49.015838233429811</v>
      </c>
      <c r="AH823" s="1123">
        <f t="shared" si="908"/>
        <v>49.928484028159765</v>
      </c>
      <c r="AI823" s="1123">
        <f t="shared" si="909"/>
        <v>49.807440318534745</v>
      </c>
      <c r="AJ823" s="1123">
        <f t="shared" si="910"/>
        <v>48.684259012808553</v>
      </c>
      <c r="AK823" s="1123">
        <f t="shared" si="911"/>
        <v>46.851714627066571</v>
      </c>
      <c r="AL823" s="1123">
        <f t="shared" si="912"/>
        <v>44.787488095816258</v>
      </c>
      <c r="AM823" s="1120">
        <f t="shared" si="913"/>
        <v>1</v>
      </c>
      <c r="AN823" s="1120">
        <f t="shared" si="914"/>
        <v>1</v>
      </c>
      <c r="AO823" s="1120">
        <f t="shared" si="915"/>
        <v>1</v>
      </c>
      <c r="AP823" s="1120">
        <f t="shared" si="916"/>
        <v>1</v>
      </c>
      <c r="AQ823" s="1120">
        <f t="shared" si="917"/>
        <v>1</v>
      </c>
      <c r="AR823" s="1120">
        <f t="shared" si="918"/>
        <v>1</v>
      </c>
      <c r="AS823" s="1120">
        <f t="shared" si="919"/>
        <v>1</v>
      </c>
      <c r="AT823" s="1120">
        <f t="shared" si="920"/>
        <v>1</v>
      </c>
      <c r="AU823" s="1120">
        <f t="shared" si="921"/>
        <v>1</v>
      </c>
      <c r="AV823" s="1120">
        <f t="shared" si="922"/>
        <v>1</v>
      </c>
      <c r="AW823" s="1120">
        <f t="shared" si="923"/>
        <v>1</v>
      </c>
      <c r="AX823" s="1120">
        <f t="shared" si="924"/>
        <v>1</v>
      </c>
      <c r="AY823" s="1120">
        <f t="shared" si="925"/>
        <v>0</v>
      </c>
      <c r="AZ823" s="1120">
        <f t="shared" si="926"/>
        <v>0</v>
      </c>
      <c r="BA823" s="1120">
        <f t="shared" si="927"/>
        <v>0</v>
      </c>
      <c r="BB823" s="1120">
        <f t="shared" si="928"/>
        <v>0</v>
      </c>
      <c r="BC823" s="1120">
        <f t="shared" si="929"/>
        <v>0</v>
      </c>
      <c r="BD823" s="1120">
        <f t="shared" si="930"/>
        <v>0</v>
      </c>
      <c r="BE823" s="1120">
        <f t="shared" si="931"/>
        <v>1</v>
      </c>
      <c r="BF823" s="1120">
        <f t="shared" si="932"/>
        <v>1</v>
      </c>
      <c r="BG823" s="1120">
        <f t="shared" si="933"/>
        <v>0</v>
      </c>
      <c r="BH823" s="1120">
        <f t="shared" si="934"/>
        <v>0</v>
      </c>
      <c r="BI823" s="1120">
        <f t="shared" si="935"/>
        <v>0</v>
      </c>
      <c r="BJ823" s="1120">
        <f t="shared" si="936"/>
        <v>0</v>
      </c>
      <c r="BK823" s="1120">
        <f t="shared" si="937"/>
        <v>1</v>
      </c>
      <c r="BL823" s="1120">
        <f t="shared" si="938"/>
        <v>1</v>
      </c>
      <c r="BM823" s="1120">
        <f t="shared" si="939"/>
        <v>1</v>
      </c>
      <c r="BN823" s="1120">
        <f t="shared" si="940"/>
        <v>1</v>
      </c>
      <c r="BO823" s="1120">
        <f t="shared" si="941"/>
        <v>1</v>
      </c>
      <c r="BP823" s="1120">
        <f t="shared" si="942"/>
        <v>1</v>
      </c>
      <c r="BQ823" s="1120">
        <f t="shared" si="943"/>
        <v>1</v>
      </c>
      <c r="BR823" s="1120">
        <f t="shared" si="944"/>
        <v>1</v>
      </c>
      <c r="BS823" s="1120">
        <f t="shared" si="945"/>
        <v>1</v>
      </c>
      <c r="BT823" s="1120">
        <f t="shared" si="946"/>
        <v>1</v>
      </c>
      <c r="BU823" s="1120">
        <f t="shared" si="947"/>
        <v>1</v>
      </c>
      <c r="BV823" s="1120">
        <f t="shared" si="948"/>
        <v>1</v>
      </c>
      <c r="BW823" s="1120">
        <f t="shared" si="949"/>
        <v>0</v>
      </c>
      <c r="BX823" s="1120">
        <f t="shared" si="950"/>
        <v>0</v>
      </c>
      <c r="BY823" s="1120">
        <f t="shared" si="951"/>
        <v>0</v>
      </c>
      <c r="BZ823" s="1120">
        <f t="shared" si="952"/>
        <v>0</v>
      </c>
      <c r="CA823" s="1120">
        <f t="shared" si="953"/>
        <v>0</v>
      </c>
      <c r="CB823" s="1120">
        <f t="shared" si="954"/>
        <v>0</v>
      </c>
      <c r="CC823" s="1120">
        <f t="shared" si="955"/>
        <v>1</v>
      </c>
      <c r="CD823" s="1120">
        <f t="shared" si="956"/>
        <v>1</v>
      </c>
      <c r="CE823" s="1120">
        <f t="shared" si="957"/>
        <v>0</v>
      </c>
      <c r="CF823" s="1120">
        <f t="shared" si="958"/>
        <v>0</v>
      </c>
      <c r="CG823" s="1120">
        <f t="shared" si="959"/>
        <v>0</v>
      </c>
      <c r="CH823" s="1120">
        <f t="shared" si="960"/>
        <v>0</v>
      </c>
      <c r="CI823" s="1120">
        <f t="shared" si="961"/>
        <v>0.85</v>
      </c>
      <c r="CJ823" s="1120">
        <f t="shared" si="962"/>
        <v>0.85</v>
      </c>
      <c r="CK823" s="1120">
        <f t="shared" si="963"/>
        <v>0.85</v>
      </c>
      <c r="CL823" s="1120">
        <f t="shared" si="964"/>
        <v>0.85</v>
      </c>
      <c r="CM823" s="1120">
        <f t="shared" si="965"/>
        <v>0.85</v>
      </c>
      <c r="CN823" s="1120">
        <f t="shared" si="966"/>
        <v>0.85</v>
      </c>
      <c r="CO823" s="1120">
        <f t="shared" si="967"/>
        <v>0.85</v>
      </c>
      <c r="CP823" s="1120">
        <f t="shared" si="968"/>
        <v>0.85</v>
      </c>
      <c r="CQ823" s="1120">
        <f t="shared" si="969"/>
        <v>0.85</v>
      </c>
      <c r="CR823" s="1120">
        <f t="shared" si="970"/>
        <v>0.85</v>
      </c>
      <c r="CS823" s="1120">
        <f t="shared" si="971"/>
        <v>0.85</v>
      </c>
      <c r="CT823" s="1120">
        <f t="shared" si="972"/>
        <v>0.85</v>
      </c>
      <c r="CU823" s="1120">
        <v>1</v>
      </c>
      <c r="CV823" s="1120"/>
      <c r="CW823" s="1120">
        <f t="shared" si="973"/>
        <v>62</v>
      </c>
      <c r="CX823" s="1120">
        <f t="shared" si="974"/>
        <v>303</v>
      </c>
      <c r="CY823" s="1135" t="s">
        <v>4879</v>
      </c>
      <c r="CZ823" s="1124">
        <v>7</v>
      </c>
      <c r="DA823" s="1124"/>
      <c r="DB823" s="1124"/>
      <c r="DC823" s="1120" t="s">
        <v>4955</v>
      </c>
      <c r="DD823" s="1120" t="s">
        <v>953</v>
      </c>
      <c r="DE823" s="1120" t="str">
        <f t="shared" si="975"/>
        <v/>
      </c>
      <c r="DF823" s="1120">
        <v>0</v>
      </c>
      <c r="DG823" s="1125">
        <v>0</v>
      </c>
    </row>
    <row r="824" spans="1:111">
      <c r="A824" s="1120" t="s">
        <v>4338</v>
      </c>
      <c r="B824" s="1120" t="s">
        <v>981</v>
      </c>
      <c r="C824" s="1120" t="s">
        <v>982</v>
      </c>
      <c r="D824" s="1120" t="s">
        <v>954</v>
      </c>
      <c r="E824" s="1120">
        <v>4517</v>
      </c>
      <c r="F824" s="1120">
        <v>-118.72</v>
      </c>
      <c r="G824" s="1120">
        <v>34.75</v>
      </c>
      <c r="H824" s="1120">
        <v>-8</v>
      </c>
      <c r="I824" s="1121">
        <v>28.220000171661376</v>
      </c>
      <c r="J824" s="1121">
        <v>89.419999313354495</v>
      </c>
      <c r="K824" s="1122">
        <v>60.259999656677245</v>
      </c>
      <c r="L824" s="1120">
        <v>3601.8</v>
      </c>
      <c r="M824" s="1120">
        <v>1072.8</v>
      </c>
      <c r="N824" s="1123">
        <v>44.959999656677248</v>
      </c>
      <c r="O824" s="1123">
        <v>46.940000343322751</v>
      </c>
      <c r="P824" s="1123">
        <v>47.480000686645511</v>
      </c>
      <c r="Q824" s="1123">
        <v>53.240000343322755</v>
      </c>
      <c r="R824" s="1123">
        <v>57.740000343322755</v>
      </c>
      <c r="S824" s="1123">
        <v>67.819999313354487</v>
      </c>
      <c r="T824" s="1123">
        <v>73.760001373291018</v>
      </c>
      <c r="U824" s="1123">
        <v>76.639998626708987</v>
      </c>
      <c r="V824" s="1123">
        <v>69.080000686645505</v>
      </c>
      <c r="W824" s="1123">
        <v>56.840000343322757</v>
      </c>
      <c r="X824" s="1123">
        <v>50.9</v>
      </c>
      <c r="Y824" s="1123">
        <v>43.7</v>
      </c>
      <c r="Z824" s="1123">
        <v>57.480109731073249</v>
      </c>
      <c r="AA824" s="1123">
        <f t="shared" si="901"/>
        <v>55.269074862057565</v>
      </c>
      <c r="AB824" s="1123">
        <f t="shared" si="902"/>
        <v>54.765562031209022</v>
      </c>
      <c r="AC824" s="1123">
        <f t="shared" si="903"/>
        <v>56.533630353575234</v>
      </c>
      <c r="AD824" s="1123">
        <f t="shared" si="904"/>
        <v>60.112405574173842</v>
      </c>
      <c r="AE824" s="1123">
        <f t="shared" si="905"/>
        <v>64.56902478116028</v>
      </c>
      <c r="AF824" s="1123">
        <f t="shared" si="906"/>
        <v>68.741801499652652</v>
      </c>
      <c r="AG824" s="1123">
        <f t="shared" si="907"/>
        <v>71.543037173540228</v>
      </c>
      <c r="AH824" s="1123">
        <f t="shared" si="908"/>
        <v>72.24254655607578</v>
      </c>
      <c r="AI824" s="1123">
        <f t="shared" si="909"/>
        <v>70.657991746935522</v>
      </c>
      <c r="AJ824" s="1123">
        <f t="shared" si="910"/>
        <v>67.20241137585063</v>
      </c>
      <c r="AK824" s="1123">
        <f t="shared" si="911"/>
        <v>62.776555718649824</v>
      </c>
      <c r="AL824" s="1123">
        <f t="shared" si="912"/>
        <v>58.534092256882701</v>
      </c>
      <c r="AM824" s="1120">
        <f t="shared" si="913"/>
        <v>1</v>
      </c>
      <c r="AN824" s="1120">
        <f t="shared" si="914"/>
        <v>1</v>
      </c>
      <c r="AO824" s="1120">
        <f t="shared" si="915"/>
        <v>1</v>
      </c>
      <c r="AP824" s="1120">
        <f t="shared" si="916"/>
        <v>1</v>
      </c>
      <c r="AQ824" s="1120">
        <f t="shared" si="917"/>
        <v>1</v>
      </c>
      <c r="AR824" s="1120">
        <f t="shared" si="918"/>
        <v>0</v>
      </c>
      <c r="AS824" s="1120">
        <f t="shared" si="919"/>
        <v>0</v>
      </c>
      <c r="AT824" s="1120">
        <f t="shared" si="920"/>
        <v>0</v>
      </c>
      <c r="AU824" s="1120">
        <f t="shared" si="921"/>
        <v>0</v>
      </c>
      <c r="AV824" s="1120">
        <f t="shared" si="922"/>
        <v>1</v>
      </c>
      <c r="AW824" s="1120">
        <f t="shared" si="923"/>
        <v>1</v>
      </c>
      <c r="AX824" s="1120">
        <f t="shared" si="924"/>
        <v>1</v>
      </c>
      <c r="AY824" s="1120">
        <f t="shared" si="925"/>
        <v>0</v>
      </c>
      <c r="AZ824" s="1120">
        <f t="shared" si="926"/>
        <v>0</v>
      </c>
      <c r="BA824" s="1120">
        <f t="shared" si="927"/>
        <v>0</v>
      </c>
      <c r="BB824" s="1120">
        <f t="shared" si="928"/>
        <v>0</v>
      </c>
      <c r="BC824" s="1120">
        <f t="shared" si="929"/>
        <v>0</v>
      </c>
      <c r="BD824" s="1120">
        <f t="shared" si="930"/>
        <v>1</v>
      </c>
      <c r="BE824" s="1120">
        <f t="shared" si="931"/>
        <v>1</v>
      </c>
      <c r="BF824" s="1120">
        <f t="shared" si="932"/>
        <v>1</v>
      </c>
      <c r="BG824" s="1120">
        <f t="shared" si="933"/>
        <v>1</v>
      </c>
      <c r="BH824" s="1120">
        <f t="shared" si="934"/>
        <v>0</v>
      </c>
      <c r="BI824" s="1120">
        <f t="shared" si="935"/>
        <v>0</v>
      </c>
      <c r="BJ824" s="1120">
        <f t="shared" si="936"/>
        <v>0</v>
      </c>
      <c r="BK824" s="1120">
        <f t="shared" si="937"/>
        <v>1</v>
      </c>
      <c r="BL824" s="1120">
        <f t="shared" si="938"/>
        <v>1</v>
      </c>
      <c r="BM824" s="1120">
        <f t="shared" si="939"/>
        <v>1</v>
      </c>
      <c r="BN824" s="1120">
        <f t="shared" si="940"/>
        <v>1</v>
      </c>
      <c r="BO824" s="1120">
        <f t="shared" si="941"/>
        <v>1</v>
      </c>
      <c r="BP824" s="1120">
        <f t="shared" si="942"/>
        <v>1</v>
      </c>
      <c r="BQ824" s="1120">
        <f t="shared" si="943"/>
        <v>0</v>
      </c>
      <c r="BR824" s="1120">
        <f t="shared" si="944"/>
        <v>0</v>
      </c>
      <c r="BS824" s="1120">
        <f t="shared" si="945"/>
        <v>0</v>
      </c>
      <c r="BT824" s="1120">
        <f t="shared" si="946"/>
        <v>1</v>
      </c>
      <c r="BU824" s="1120">
        <f t="shared" si="947"/>
        <v>1</v>
      </c>
      <c r="BV824" s="1120">
        <f t="shared" si="948"/>
        <v>1</v>
      </c>
      <c r="BW824" s="1120">
        <f t="shared" si="949"/>
        <v>0</v>
      </c>
      <c r="BX824" s="1120">
        <f t="shared" si="950"/>
        <v>0</v>
      </c>
      <c r="BY824" s="1120">
        <f t="shared" si="951"/>
        <v>0</v>
      </c>
      <c r="BZ824" s="1120">
        <f t="shared" si="952"/>
        <v>0</v>
      </c>
      <c r="CA824" s="1120">
        <f t="shared" si="953"/>
        <v>1</v>
      </c>
      <c r="CB824" s="1120">
        <f t="shared" si="954"/>
        <v>1</v>
      </c>
      <c r="CC824" s="1120">
        <f t="shared" si="955"/>
        <v>1</v>
      </c>
      <c r="CD824" s="1120">
        <f t="shared" si="956"/>
        <v>1</v>
      </c>
      <c r="CE824" s="1120">
        <f t="shared" si="957"/>
        <v>1</v>
      </c>
      <c r="CF824" s="1120">
        <f t="shared" si="958"/>
        <v>1</v>
      </c>
      <c r="CG824" s="1120">
        <f t="shared" si="959"/>
        <v>0</v>
      </c>
      <c r="CH824" s="1120">
        <f t="shared" si="960"/>
        <v>0</v>
      </c>
      <c r="CI824" s="1120">
        <f t="shared" si="961"/>
        <v>0.85</v>
      </c>
      <c r="CJ824" s="1120">
        <f t="shared" si="962"/>
        <v>0.85</v>
      </c>
      <c r="CK824" s="1120">
        <f t="shared" si="963"/>
        <v>0.85</v>
      </c>
      <c r="CL824" s="1120">
        <f t="shared" si="964"/>
        <v>0.85</v>
      </c>
      <c r="CM824" s="1120">
        <f t="shared" si="965"/>
        <v>0.85</v>
      </c>
      <c r="CN824" s="1120">
        <f t="shared" si="966"/>
        <v>0.85</v>
      </c>
      <c r="CO824" s="1120">
        <f t="shared" si="967"/>
        <v>0.7</v>
      </c>
      <c r="CP824" s="1120">
        <f t="shared" si="968"/>
        <v>0.7</v>
      </c>
      <c r="CQ824" s="1120">
        <f t="shared" si="969"/>
        <v>0.7</v>
      </c>
      <c r="CR824" s="1120">
        <f t="shared" si="970"/>
        <v>0.85</v>
      </c>
      <c r="CS824" s="1120">
        <f t="shared" si="971"/>
        <v>0.85</v>
      </c>
      <c r="CT824" s="1120">
        <f t="shared" si="972"/>
        <v>0.85</v>
      </c>
      <c r="CU824" s="1120">
        <v>1</v>
      </c>
      <c r="CV824" s="1120"/>
      <c r="CW824" s="1120">
        <f t="shared" si="973"/>
        <v>184</v>
      </c>
      <c r="CX824" s="1120">
        <f t="shared" si="974"/>
        <v>181</v>
      </c>
      <c r="CY824" s="1135" t="s">
        <v>4886</v>
      </c>
      <c r="CZ824" s="1124" t="s">
        <v>4888</v>
      </c>
      <c r="DA824" s="1124"/>
      <c r="DB824" s="1124"/>
      <c r="DC824" s="1120" t="s">
        <v>5059</v>
      </c>
      <c r="DD824" s="1120" t="s">
        <v>954</v>
      </c>
      <c r="DE824" s="1120" t="str">
        <f t="shared" si="975"/>
        <v/>
      </c>
      <c r="DF824" s="1120">
        <v>0</v>
      </c>
      <c r="DG824" s="1120">
        <v>0</v>
      </c>
    </row>
    <row r="825" spans="1:111">
      <c r="A825" s="1125" t="s">
        <v>4340</v>
      </c>
      <c r="B825" s="1125" t="s">
        <v>5856</v>
      </c>
      <c r="C825" s="1125" t="s">
        <v>5857</v>
      </c>
      <c r="D825" s="1125" t="s">
        <v>903</v>
      </c>
      <c r="E825" s="1125">
        <v>243</v>
      </c>
      <c r="F825" s="1125">
        <v>-70.72</v>
      </c>
      <c r="G825" s="1125">
        <v>43.4</v>
      </c>
      <c r="H825" s="1125">
        <v>-5</v>
      </c>
      <c r="I825" s="1126">
        <v>-0.21999931335449299</v>
      </c>
      <c r="J825" s="1126">
        <v>84.380000686645502</v>
      </c>
      <c r="K825" s="1127">
        <v>68.719999313354492</v>
      </c>
      <c r="L825" s="1125">
        <v>7398</v>
      </c>
      <c r="M825" s="1125">
        <v>12.6</v>
      </c>
      <c r="N825" s="1128">
        <v>27.679999828338623</v>
      </c>
      <c r="O825" s="1128">
        <v>22.820000171661377</v>
      </c>
      <c r="P825" s="1128">
        <v>34.160000085830688</v>
      </c>
      <c r="Q825" s="1128">
        <v>40.820000171661377</v>
      </c>
      <c r="R825" s="1128">
        <v>52.7</v>
      </c>
      <c r="S825" s="1128">
        <v>64.219999313354492</v>
      </c>
      <c r="T825" s="1128">
        <v>69.080000686645505</v>
      </c>
      <c r="U825" s="1128">
        <v>56.119999313354491</v>
      </c>
      <c r="V825" s="1128">
        <v>55.580000686645505</v>
      </c>
      <c r="W825" s="1128">
        <v>45.320000171661377</v>
      </c>
      <c r="X825" s="1128">
        <v>39.379999828338626</v>
      </c>
      <c r="Y825" s="1128">
        <v>31.279999989271165</v>
      </c>
      <c r="Z825" s="1128">
        <v>45.056164403108703</v>
      </c>
      <c r="AA825" s="1128">
        <f t="shared" si="901"/>
        <v>43.134472786391463</v>
      </c>
      <c r="AB825" s="1128">
        <f t="shared" si="902"/>
        <v>41.581736154789638</v>
      </c>
      <c r="AC825" s="1128">
        <f t="shared" si="903"/>
        <v>42.498655251471028</v>
      </c>
      <c r="AD825" s="1128">
        <f t="shared" si="904"/>
        <v>45.646220983734636</v>
      </c>
      <c r="AE825" s="1128">
        <f t="shared" si="905"/>
        <v>50.203971838009764</v>
      </c>
      <c r="AF825" s="1128">
        <f t="shared" si="906"/>
        <v>54.983859817062886</v>
      </c>
      <c r="AG825" s="1128">
        <f t="shared" si="907"/>
        <v>58.739933458850359</v>
      </c>
      <c r="AH825" s="1128">
        <f t="shared" si="908"/>
        <v>60.493114285793368</v>
      </c>
      <c r="AI825" s="1128">
        <f t="shared" si="909"/>
        <v>59.786408698014867</v>
      </c>
      <c r="AJ825" s="1128">
        <f t="shared" si="910"/>
        <v>56.804030397632083</v>
      </c>
      <c r="AK825" s="1128">
        <f t="shared" si="911"/>
        <v>52.323382248480584</v>
      </c>
      <c r="AL825" s="1128">
        <f t="shared" si="912"/>
        <v>47.512414239514804</v>
      </c>
      <c r="AM825" s="1125">
        <f t="shared" si="913"/>
        <v>1</v>
      </c>
      <c r="AN825" s="1125">
        <f t="shared" si="914"/>
        <v>1</v>
      </c>
      <c r="AO825" s="1125">
        <f t="shared" si="915"/>
        <v>1</v>
      </c>
      <c r="AP825" s="1125">
        <f t="shared" si="916"/>
        <v>1</v>
      </c>
      <c r="AQ825" s="1125">
        <f t="shared" si="917"/>
        <v>1</v>
      </c>
      <c r="AR825" s="1125">
        <f t="shared" si="918"/>
        <v>1</v>
      </c>
      <c r="AS825" s="1125">
        <f t="shared" si="919"/>
        <v>0</v>
      </c>
      <c r="AT825" s="1125">
        <f t="shared" si="920"/>
        <v>1</v>
      </c>
      <c r="AU825" s="1125">
        <f t="shared" si="921"/>
        <v>1</v>
      </c>
      <c r="AV825" s="1125">
        <f t="shared" si="922"/>
        <v>1</v>
      </c>
      <c r="AW825" s="1125">
        <f t="shared" si="923"/>
        <v>1</v>
      </c>
      <c r="AX825" s="1125">
        <f t="shared" si="924"/>
        <v>1</v>
      </c>
      <c r="AY825" s="1125">
        <f t="shared" si="925"/>
        <v>0</v>
      </c>
      <c r="AZ825" s="1125">
        <f t="shared" si="926"/>
        <v>0</v>
      </c>
      <c r="BA825" s="1125">
        <f t="shared" si="927"/>
        <v>0</v>
      </c>
      <c r="BB825" s="1125">
        <f t="shared" si="928"/>
        <v>0</v>
      </c>
      <c r="BC825" s="1125">
        <f t="shared" si="929"/>
        <v>0</v>
      </c>
      <c r="BD825" s="1125">
        <f t="shared" si="930"/>
        <v>0</v>
      </c>
      <c r="BE825" s="1125">
        <f t="shared" si="931"/>
        <v>1</v>
      </c>
      <c r="BF825" s="1125">
        <f t="shared" si="932"/>
        <v>1</v>
      </c>
      <c r="BG825" s="1125">
        <f t="shared" si="933"/>
        <v>0</v>
      </c>
      <c r="BH825" s="1125">
        <f t="shared" si="934"/>
        <v>0</v>
      </c>
      <c r="BI825" s="1125">
        <f t="shared" si="935"/>
        <v>0</v>
      </c>
      <c r="BJ825" s="1125">
        <f t="shared" si="936"/>
        <v>0</v>
      </c>
      <c r="BK825" s="1125">
        <f t="shared" si="937"/>
        <v>1</v>
      </c>
      <c r="BL825" s="1125">
        <f t="shared" si="938"/>
        <v>1</v>
      </c>
      <c r="BM825" s="1125">
        <f t="shared" si="939"/>
        <v>1</v>
      </c>
      <c r="BN825" s="1125">
        <f t="shared" si="940"/>
        <v>1</v>
      </c>
      <c r="BO825" s="1125">
        <f t="shared" si="941"/>
        <v>1</v>
      </c>
      <c r="BP825" s="1125">
        <f t="shared" si="942"/>
        <v>1</v>
      </c>
      <c r="BQ825" s="1125">
        <f t="shared" si="943"/>
        <v>1</v>
      </c>
      <c r="BR825" s="1125">
        <f t="shared" si="944"/>
        <v>1</v>
      </c>
      <c r="BS825" s="1125">
        <f t="shared" si="945"/>
        <v>1</v>
      </c>
      <c r="BT825" s="1125">
        <f t="shared" si="946"/>
        <v>1</v>
      </c>
      <c r="BU825" s="1125">
        <f t="shared" si="947"/>
        <v>1</v>
      </c>
      <c r="BV825" s="1125">
        <f t="shared" si="948"/>
        <v>1</v>
      </c>
      <c r="BW825" s="1125">
        <f t="shared" si="949"/>
        <v>0</v>
      </c>
      <c r="BX825" s="1125">
        <f t="shared" si="950"/>
        <v>0</v>
      </c>
      <c r="BY825" s="1125">
        <f t="shared" si="951"/>
        <v>0</v>
      </c>
      <c r="BZ825" s="1125">
        <f t="shared" si="952"/>
        <v>0</v>
      </c>
      <c r="CA825" s="1125">
        <f t="shared" si="953"/>
        <v>0</v>
      </c>
      <c r="CB825" s="1125">
        <f t="shared" si="954"/>
        <v>1</v>
      </c>
      <c r="CC825" s="1125">
        <f t="shared" si="955"/>
        <v>1</v>
      </c>
      <c r="CD825" s="1125">
        <f t="shared" si="956"/>
        <v>1</v>
      </c>
      <c r="CE825" s="1125">
        <f t="shared" si="957"/>
        <v>0</v>
      </c>
      <c r="CF825" s="1125">
        <f t="shared" si="958"/>
        <v>0</v>
      </c>
      <c r="CG825" s="1125">
        <f t="shared" si="959"/>
        <v>0</v>
      </c>
      <c r="CH825" s="1125">
        <f t="shared" si="960"/>
        <v>0</v>
      </c>
      <c r="CI825" s="1125">
        <f t="shared" si="961"/>
        <v>0.85</v>
      </c>
      <c r="CJ825" s="1125">
        <f t="shared" si="962"/>
        <v>0.85</v>
      </c>
      <c r="CK825" s="1125">
        <f t="shared" si="963"/>
        <v>0.85</v>
      </c>
      <c r="CL825" s="1125">
        <f t="shared" si="964"/>
        <v>0.85</v>
      </c>
      <c r="CM825" s="1125">
        <f t="shared" si="965"/>
        <v>0.85</v>
      </c>
      <c r="CN825" s="1125">
        <f t="shared" si="966"/>
        <v>0.85</v>
      </c>
      <c r="CO825" s="1125">
        <f t="shared" si="967"/>
        <v>0.85</v>
      </c>
      <c r="CP825" s="1125">
        <f t="shared" si="968"/>
        <v>0.85</v>
      </c>
      <c r="CQ825" s="1125">
        <f t="shared" si="969"/>
        <v>0.85</v>
      </c>
      <c r="CR825" s="1125">
        <f t="shared" si="970"/>
        <v>0.85</v>
      </c>
      <c r="CS825" s="1125">
        <f t="shared" si="971"/>
        <v>0.85</v>
      </c>
      <c r="CT825" s="1125">
        <f t="shared" si="972"/>
        <v>0.85</v>
      </c>
      <c r="CU825" s="1125">
        <v>1</v>
      </c>
      <c r="CV825" s="1125"/>
      <c r="CW825" s="1125">
        <f t="shared" si="973"/>
        <v>92</v>
      </c>
      <c r="CX825" s="1125">
        <f t="shared" si="974"/>
        <v>273</v>
      </c>
      <c r="CY825" s="1136" t="s">
        <v>4889</v>
      </c>
      <c r="CZ825" s="1129" t="s">
        <v>4899</v>
      </c>
      <c r="DA825" s="1129"/>
      <c r="DB825" s="1129"/>
      <c r="DC825" s="1125" t="s">
        <v>5738</v>
      </c>
      <c r="DD825" s="1125" t="s">
        <v>903</v>
      </c>
      <c r="DE825" s="1120" t="str">
        <f t="shared" si="975"/>
        <v/>
      </c>
      <c r="DF825" s="1133">
        <v>1</v>
      </c>
      <c r="DG825" s="1125">
        <v>0</v>
      </c>
    </row>
    <row r="826" spans="1:111">
      <c r="A826" s="1120" t="s">
        <v>4342</v>
      </c>
      <c r="B826" s="1125" t="s">
        <v>3190</v>
      </c>
      <c r="C826" s="1125" t="s">
        <v>3191</v>
      </c>
      <c r="D826" s="1125" t="s">
        <v>954</v>
      </c>
      <c r="E826" s="1125">
        <v>52</v>
      </c>
      <c r="F826" s="1125">
        <v>-117.87</v>
      </c>
      <c r="G826" s="1125">
        <v>33.68</v>
      </c>
      <c r="H826" s="1125">
        <v>-8</v>
      </c>
      <c r="I826" s="1126">
        <v>42.620000171661374</v>
      </c>
      <c r="J826" s="1126">
        <v>82.580000686645505</v>
      </c>
      <c r="K826" s="1127">
        <v>66.380000686645502</v>
      </c>
      <c r="L826" s="1125">
        <v>1107</v>
      </c>
      <c r="M826" s="1125">
        <v>588.6</v>
      </c>
      <c r="N826" s="1128">
        <v>55.940000343322751</v>
      </c>
      <c r="O826" s="1128">
        <v>57.2</v>
      </c>
      <c r="P826" s="1128">
        <v>61.160001373291017</v>
      </c>
      <c r="Q826" s="1128">
        <v>60.8</v>
      </c>
      <c r="R826" s="1128">
        <v>64.400000000000006</v>
      </c>
      <c r="S826" s="1128">
        <v>66.380000686645502</v>
      </c>
      <c r="T826" s="1128">
        <v>69.080000686645505</v>
      </c>
      <c r="U826" s="1128">
        <v>69.619999313354498</v>
      </c>
      <c r="V826" s="1128">
        <v>69.080000686645505</v>
      </c>
      <c r="W826" s="1128">
        <v>64.400000000000006</v>
      </c>
      <c r="X826" s="1128">
        <v>59.9</v>
      </c>
      <c r="Y826" s="1128">
        <v>57.380000686645509</v>
      </c>
      <c r="Z826" s="1128">
        <v>62.980219495067857</v>
      </c>
      <c r="AA826" s="1128">
        <f t="shared" si="901"/>
        <v>65.098308529458976</v>
      </c>
      <c r="AB826" s="1128">
        <f t="shared" si="902"/>
        <v>65.062163977016382</v>
      </c>
      <c r="AC826" s="1128">
        <f t="shared" si="903"/>
        <v>66.04732097441709</v>
      </c>
      <c r="AD826" s="1128">
        <f t="shared" si="904"/>
        <v>67.796983168559734</v>
      </c>
      <c r="AE826" s="1128">
        <f t="shared" si="905"/>
        <v>69.85507414543045</v>
      </c>
      <c r="AF826" s="1128">
        <f t="shared" si="906"/>
        <v>71.68512077576591</v>
      </c>
      <c r="AG826" s="1128">
        <f t="shared" si="907"/>
        <v>72.810093203496933</v>
      </c>
      <c r="AH826" s="1128">
        <f t="shared" si="908"/>
        <v>72.936750028985543</v>
      </c>
      <c r="AI826" s="1128">
        <f t="shared" si="909"/>
        <v>72.032076198827369</v>
      </c>
      <c r="AJ826" s="1128">
        <f t="shared" si="910"/>
        <v>70.331888888298877</v>
      </c>
      <c r="AK826" s="1128">
        <f t="shared" si="911"/>
        <v>68.279368120568847</v>
      </c>
      <c r="AL826" s="1128">
        <f t="shared" si="912"/>
        <v>66.409535064048598</v>
      </c>
      <c r="AM826" s="1125">
        <f t="shared" si="913"/>
        <v>1</v>
      </c>
      <c r="AN826" s="1125">
        <f t="shared" si="914"/>
        <v>1</v>
      </c>
      <c r="AO826" s="1125">
        <f t="shared" si="915"/>
        <v>1</v>
      </c>
      <c r="AP826" s="1125">
        <f t="shared" si="916"/>
        <v>1</v>
      </c>
      <c r="AQ826" s="1125">
        <f t="shared" si="917"/>
        <v>1</v>
      </c>
      <c r="AR826" s="1125">
        <f t="shared" si="918"/>
        <v>0</v>
      </c>
      <c r="AS826" s="1125">
        <f t="shared" si="919"/>
        <v>0</v>
      </c>
      <c r="AT826" s="1125">
        <f t="shared" si="920"/>
        <v>0</v>
      </c>
      <c r="AU826" s="1125">
        <f t="shared" si="921"/>
        <v>0</v>
      </c>
      <c r="AV826" s="1125">
        <f t="shared" si="922"/>
        <v>1</v>
      </c>
      <c r="AW826" s="1125">
        <f t="shared" si="923"/>
        <v>1</v>
      </c>
      <c r="AX826" s="1125">
        <f t="shared" si="924"/>
        <v>1</v>
      </c>
      <c r="AY826" s="1125">
        <f t="shared" si="925"/>
        <v>0</v>
      </c>
      <c r="AZ826" s="1125">
        <f t="shared" si="926"/>
        <v>0</v>
      </c>
      <c r="BA826" s="1125">
        <f t="shared" si="927"/>
        <v>0</v>
      </c>
      <c r="BB826" s="1125">
        <f t="shared" si="928"/>
        <v>0</v>
      </c>
      <c r="BC826" s="1125">
        <f t="shared" si="929"/>
        <v>0</v>
      </c>
      <c r="BD826" s="1125">
        <f t="shared" si="930"/>
        <v>1</v>
      </c>
      <c r="BE826" s="1125">
        <f t="shared" si="931"/>
        <v>1</v>
      </c>
      <c r="BF826" s="1125">
        <f t="shared" si="932"/>
        <v>1</v>
      </c>
      <c r="BG826" s="1125">
        <f t="shared" si="933"/>
        <v>1</v>
      </c>
      <c r="BH826" s="1125">
        <f t="shared" si="934"/>
        <v>0</v>
      </c>
      <c r="BI826" s="1125">
        <f t="shared" si="935"/>
        <v>0</v>
      </c>
      <c r="BJ826" s="1125">
        <f t="shared" si="936"/>
        <v>0</v>
      </c>
      <c r="BK826" s="1125">
        <f t="shared" si="937"/>
        <v>1</v>
      </c>
      <c r="BL826" s="1125">
        <f t="shared" si="938"/>
        <v>1</v>
      </c>
      <c r="BM826" s="1125">
        <f t="shared" si="939"/>
        <v>1</v>
      </c>
      <c r="BN826" s="1125">
        <f t="shared" si="940"/>
        <v>1</v>
      </c>
      <c r="BO826" s="1125">
        <f t="shared" si="941"/>
        <v>1</v>
      </c>
      <c r="BP826" s="1125">
        <f t="shared" si="942"/>
        <v>1</v>
      </c>
      <c r="BQ826" s="1125">
        <f t="shared" si="943"/>
        <v>0</v>
      </c>
      <c r="BR826" s="1125">
        <f t="shared" si="944"/>
        <v>0</v>
      </c>
      <c r="BS826" s="1125">
        <f t="shared" si="945"/>
        <v>0</v>
      </c>
      <c r="BT826" s="1125">
        <f t="shared" si="946"/>
        <v>1</v>
      </c>
      <c r="BU826" s="1125">
        <f t="shared" si="947"/>
        <v>1</v>
      </c>
      <c r="BV826" s="1125">
        <f t="shared" si="948"/>
        <v>1</v>
      </c>
      <c r="BW826" s="1125">
        <f t="shared" si="949"/>
        <v>0</v>
      </c>
      <c r="BX826" s="1125">
        <f t="shared" si="950"/>
        <v>0</v>
      </c>
      <c r="BY826" s="1125">
        <f t="shared" si="951"/>
        <v>0</v>
      </c>
      <c r="BZ826" s="1125">
        <f t="shared" si="952"/>
        <v>0</v>
      </c>
      <c r="CA826" s="1125">
        <f t="shared" si="953"/>
        <v>1</v>
      </c>
      <c r="CB826" s="1125">
        <f t="shared" si="954"/>
        <v>1</v>
      </c>
      <c r="CC826" s="1125">
        <f t="shared" si="955"/>
        <v>1</v>
      </c>
      <c r="CD826" s="1125">
        <f t="shared" si="956"/>
        <v>1</v>
      </c>
      <c r="CE826" s="1125">
        <f t="shared" si="957"/>
        <v>1</v>
      </c>
      <c r="CF826" s="1125">
        <f t="shared" si="958"/>
        <v>1</v>
      </c>
      <c r="CG826" s="1125">
        <f t="shared" si="959"/>
        <v>0</v>
      </c>
      <c r="CH826" s="1125">
        <f t="shared" si="960"/>
        <v>0</v>
      </c>
      <c r="CI826" s="1125">
        <f t="shared" si="961"/>
        <v>0.85</v>
      </c>
      <c r="CJ826" s="1125">
        <f t="shared" si="962"/>
        <v>0.85</v>
      </c>
      <c r="CK826" s="1125">
        <f t="shared" si="963"/>
        <v>0.85</v>
      </c>
      <c r="CL826" s="1125">
        <f t="shared" si="964"/>
        <v>0.85</v>
      </c>
      <c r="CM826" s="1125">
        <f t="shared" si="965"/>
        <v>0.85</v>
      </c>
      <c r="CN826" s="1125">
        <f t="shared" si="966"/>
        <v>0.85</v>
      </c>
      <c r="CO826" s="1125">
        <f t="shared" si="967"/>
        <v>0.7</v>
      </c>
      <c r="CP826" s="1125">
        <f t="shared" si="968"/>
        <v>0.7</v>
      </c>
      <c r="CQ826" s="1125">
        <f t="shared" si="969"/>
        <v>0.7</v>
      </c>
      <c r="CR826" s="1125">
        <f t="shared" si="970"/>
        <v>0.85</v>
      </c>
      <c r="CS826" s="1125">
        <f t="shared" si="971"/>
        <v>0.85</v>
      </c>
      <c r="CT826" s="1125">
        <f t="shared" si="972"/>
        <v>0.85</v>
      </c>
      <c r="CU826" s="1125">
        <v>1</v>
      </c>
      <c r="CV826" s="1125"/>
      <c r="CW826" s="1125">
        <f t="shared" si="973"/>
        <v>184</v>
      </c>
      <c r="CX826" s="1125">
        <f t="shared" si="974"/>
        <v>181</v>
      </c>
      <c r="CY826" s="1136" t="s">
        <v>4886</v>
      </c>
      <c r="CZ826" s="1129" t="s">
        <v>4888</v>
      </c>
      <c r="DA826" s="1129"/>
      <c r="DB826" s="1129"/>
      <c r="DC826" s="1125" t="s">
        <v>5060</v>
      </c>
      <c r="DD826" s="1125" t="s">
        <v>954</v>
      </c>
      <c r="DE826" s="1120" t="str">
        <f t="shared" si="975"/>
        <v/>
      </c>
      <c r="DF826" s="1125">
        <v>0</v>
      </c>
      <c r="DG826" s="1120">
        <v>0</v>
      </c>
    </row>
    <row r="827" spans="1:111">
      <c r="A827" s="1125" t="s">
        <v>4344</v>
      </c>
      <c r="B827" s="1120" t="s">
        <v>3192</v>
      </c>
      <c r="C827" s="1120" t="s">
        <v>3193</v>
      </c>
      <c r="D827" s="1120" t="s">
        <v>954</v>
      </c>
      <c r="E827" s="1120">
        <v>10</v>
      </c>
      <c r="F827" s="1120">
        <v>-119.85</v>
      </c>
      <c r="G827" s="1120">
        <v>34.43</v>
      </c>
      <c r="H827" s="1120">
        <v>-8</v>
      </c>
      <c r="I827" s="1121">
        <v>36.860000085830691</v>
      </c>
      <c r="J827" s="1121">
        <v>79.519999313354489</v>
      </c>
      <c r="K827" s="1122">
        <v>64.039998626708979</v>
      </c>
      <c r="L827" s="1120">
        <v>2237.4</v>
      </c>
      <c r="M827" s="1120">
        <v>93.600000000000009</v>
      </c>
      <c r="N827" s="1123">
        <v>52.519999313354489</v>
      </c>
      <c r="O827" s="1123">
        <v>52.880000686645509</v>
      </c>
      <c r="P827" s="1123">
        <v>57.559999656677249</v>
      </c>
      <c r="Q827" s="1123">
        <v>58.640000343322754</v>
      </c>
      <c r="R827" s="1123">
        <v>57.919999313354495</v>
      </c>
      <c r="S827" s="1123">
        <v>61.880000686645509</v>
      </c>
      <c r="T827" s="1123">
        <v>63.86000137329102</v>
      </c>
      <c r="U827" s="1123">
        <v>65.3</v>
      </c>
      <c r="V827" s="1123">
        <v>65.480000686645511</v>
      </c>
      <c r="W827" s="1123">
        <v>59.719999313354492</v>
      </c>
      <c r="X827" s="1123">
        <v>55.219999313354492</v>
      </c>
      <c r="Y827" s="1123">
        <v>51.259999656677245</v>
      </c>
      <c r="Z827" s="1123">
        <v>58.546794541241375</v>
      </c>
      <c r="AA827" s="1123">
        <f t="shared" si="901"/>
        <v>60.906284334776728</v>
      </c>
      <c r="AB827" s="1123">
        <f t="shared" si="902"/>
        <v>60.720739411380762</v>
      </c>
      <c r="AC827" s="1123">
        <f t="shared" si="903"/>
        <v>61.532514718877259</v>
      </c>
      <c r="AD827" s="1123">
        <f t="shared" si="904"/>
        <v>63.130008513531102</v>
      </c>
      <c r="AE827" s="1123">
        <f t="shared" si="905"/>
        <v>65.096809419641204</v>
      </c>
      <c r="AF827" s="1123">
        <f t="shared" si="906"/>
        <v>66.920240471710557</v>
      </c>
      <c r="AG827" s="1123">
        <f t="shared" si="907"/>
        <v>68.124996266094172</v>
      </c>
      <c r="AH827" s="1123">
        <f t="shared" si="908"/>
        <v>68.397038639137222</v>
      </c>
      <c r="AI827" s="1123">
        <f t="shared" si="909"/>
        <v>67.66545555400613</v>
      </c>
      <c r="AJ827" s="1123">
        <f t="shared" si="910"/>
        <v>66.120945415876946</v>
      </c>
      <c r="AK827" s="1123">
        <f t="shared" si="911"/>
        <v>64.166108593874725</v>
      </c>
      <c r="AL827" s="1123">
        <f t="shared" si="912"/>
        <v>62.310503430601649</v>
      </c>
      <c r="AM827" s="1120">
        <f t="shared" si="913"/>
        <v>1</v>
      </c>
      <c r="AN827" s="1120">
        <f t="shared" si="914"/>
        <v>1</v>
      </c>
      <c r="AO827" s="1120">
        <f t="shared" si="915"/>
        <v>1</v>
      </c>
      <c r="AP827" s="1120">
        <f t="shared" si="916"/>
        <v>1</v>
      </c>
      <c r="AQ827" s="1120">
        <f t="shared" si="917"/>
        <v>1</v>
      </c>
      <c r="AR827" s="1120">
        <f t="shared" si="918"/>
        <v>1</v>
      </c>
      <c r="AS827" s="1120">
        <f t="shared" si="919"/>
        <v>1</v>
      </c>
      <c r="AT827" s="1120">
        <f t="shared" si="920"/>
        <v>1</v>
      </c>
      <c r="AU827" s="1120">
        <f t="shared" si="921"/>
        <v>1</v>
      </c>
      <c r="AV827" s="1120">
        <f t="shared" si="922"/>
        <v>1</v>
      </c>
      <c r="AW827" s="1120">
        <f t="shared" si="923"/>
        <v>1</v>
      </c>
      <c r="AX827" s="1120">
        <f t="shared" si="924"/>
        <v>1</v>
      </c>
      <c r="AY827" s="1120">
        <f t="shared" si="925"/>
        <v>0</v>
      </c>
      <c r="AZ827" s="1120">
        <f t="shared" si="926"/>
        <v>0</v>
      </c>
      <c r="BA827" s="1120">
        <f t="shared" si="927"/>
        <v>0</v>
      </c>
      <c r="BB827" s="1120">
        <f t="shared" si="928"/>
        <v>0</v>
      </c>
      <c r="BC827" s="1120">
        <f t="shared" si="929"/>
        <v>0</v>
      </c>
      <c r="BD827" s="1120">
        <f t="shared" si="930"/>
        <v>0</v>
      </c>
      <c r="BE827" s="1120">
        <f t="shared" si="931"/>
        <v>1</v>
      </c>
      <c r="BF827" s="1120">
        <f t="shared" si="932"/>
        <v>1</v>
      </c>
      <c r="BG827" s="1120">
        <f t="shared" si="933"/>
        <v>0</v>
      </c>
      <c r="BH827" s="1120">
        <f t="shared" si="934"/>
        <v>0</v>
      </c>
      <c r="BI827" s="1120">
        <f t="shared" si="935"/>
        <v>0</v>
      </c>
      <c r="BJ827" s="1120">
        <f t="shared" si="936"/>
        <v>0</v>
      </c>
      <c r="BK827" s="1120">
        <f t="shared" si="937"/>
        <v>1</v>
      </c>
      <c r="BL827" s="1120">
        <f t="shared" si="938"/>
        <v>1</v>
      </c>
      <c r="BM827" s="1120">
        <f t="shared" si="939"/>
        <v>1</v>
      </c>
      <c r="BN827" s="1120">
        <f t="shared" si="940"/>
        <v>1</v>
      </c>
      <c r="BO827" s="1120">
        <f t="shared" si="941"/>
        <v>1</v>
      </c>
      <c r="BP827" s="1120">
        <f t="shared" si="942"/>
        <v>1</v>
      </c>
      <c r="BQ827" s="1120">
        <f t="shared" si="943"/>
        <v>1</v>
      </c>
      <c r="BR827" s="1120">
        <f t="shared" si="944"/>
        <v>1</v>
      </c>
      <c r="BS827" s="1120">
        <f t="shared" si="945"/>
        <v>1</v>
      </c>
      <c r="BT827" s="1120">
        <f t="shared" si="946"/>
        <v>1</v>
      </c>
      <c r="BU827" s="1120">
        <f t="shared" si="947"/>
        <v>1</v>
      </c>
      <c r="BV827" s="1120">
        <f t="shared" si="948"/>
        <v>1</v>
      </c>
      <c r="BW827" s="1120">
        <f t="shared" si="949"/>
        <v>0</v>
      </c>
      <c r="BX827" s="1120">
        <f t="shared" si="950"/>
        <v>0</v>
      </c>
      <c r="BY827" s="1120">
        <f t="shared" si="951"/>
        <v>0</v>
      </c>
      <c r="BZ827" s="1120">
        <f t="shared" si="952"/>
        <v>0</v>
      </c>
      <c r="CA827" s="1120">
        <f t="shared" si="953"/>
        <v>0</v>
      </c>
      <c r="CB827" s="1120">
        <f t="shared" si="954"/>
        <v>0</v>
      </c>
      <c r="CC827" s="1120">
        <f t="shared" si="955"/>
        <v>1</v>
      </c>
      <c r="CD827" s="1120">
        <f t="shared" si="956"/>
        <v>1</v>
      </c>
      <c r="CE827" s="1120">
        <f t="shared" si="957"/>
        <v>0</v>
      </c>
      <c r="CF827" s="1120">
        <f t="shared" si="958"/>
        <v>0</v>
      </c>
      <c r="CG827" s="1120">
        <f t="shared" si="959"/>
        <v>0</v>
      </c>
      <c r="CH827" s="1120">
        <f t="shared" si="960"/>
        <v>0</v>
      </c>
      <c r="CI827" s="1120">
        <f t="shared" si="961"/>
        <v>0.85</v>
      </c>
      <c r="CJ827" s="1120">
        <f t="shared" si="962"/>
        <v>0.85</v>
      </c>
      <c r="CK827" s="1120">
        <f t="shared" si="963"/>
        <v>0.85</v>
      </c>
      <c r="CL827" s="1120">
        <f t="shared" si="964"/>
        <v>0.85</v>
      </c>
      <c r="CM827" s="1120">
        <f t="shared" si="965"/>
        <v>0.85</v>
      </c>
      <c r="CN827" s="1120">
        <f t="shared" si="966"/>
        <v>0.85</v>
      </c>
      <c r="CO827" s="1120">
        <f t="shared" si="967"/>
        <v>0.85</v>
      </c>
      <c r="CP827" s="1120">
        <f t="shared" si="968"/>
        <v>0.85</v>
      </c>
      <c r="CQ827" s="1120">
        <f t="shared" si="969"/>
        <v>0.85</v>
      </c>
      <c r="CR827" s="1120">
        <f t="shared" si="970"/>
        <v>0.85</v>
      </c>
      <c r="CS827" s="1120">
        <f t="shared" si="971"/>
        <v>0.85</v>
      </c>
      <c r="CT827" s="1120">
        <f t="shared" si="972"/>
        <v>0.85</v>
      </c>
      <c r="CU827" s="1120">
        <v>1</v>
      </c>
      <c r="CV827" s="1120"/>
      <c r="CW827" s="1120">
        <f t="shared" si="973"/>
        <v>62</v>
      </c>
      <c r="CX827" s="1120">
        <f t="shared" si="974"/>
        <v>303</v>
      </c>
      <c r="CY827" s="1135" t="s">
        <v>4893</v>
      </c>
      <c r="CZ827" s="1124" t="s">
        <v>4895</v>
      </c>
      <c r="DA827" s="1124"/>
      <c r="DB827" s="1124"/>
      <c r="DC827" s="1120" t="s">
        <v>5061</v>
      </c>
      <c r="DD827" s="1120" t="s">
        <v>954</v>
      </c>
      <c r="DE827" s="1120" t="str">
        <f t="shared" si="975"/>
        <v/>
      </c>
      <c r="DF827" s="1120">
        <v>0</v>
      </c>
      <c r="DG827" s="1125">
        <v>0</v>
      </c>
    </row>
    <row r="828" spans="1:111">
      <c r="A828" s="1120" t="s">
        <v>4346</v>
      </c>
      <c r="B828" s="1125" t="s">
        <v>3194</v>
      </c>
      <c r="C828" s="1125" t="s">
        <v>3195</v>
      </c>
      <c r="D828" s="1125" t="s">
        <v>954</v>
      </c>
      <c r="E828" s="1125">
        <v>253</v>
      </c>
      <c r="F828" s="1125">
        <v>-120.47</v>
      </c>
      <c r="G828" s="1125">
        <v>34.92</v>
      </c>
      <c r="H828" s="1125">
        <v>-8</v>
      </c>
      <c r="I828" s="1126">
        <v>34.700000000000003</v>
      </c>
      <c r="J828" s="1126">
        <v>80.239998626708982</v>
      </c>
      <c r="K828" s="1127">
        <v>61.880000686645509</v>
      </c>
      <c r="L828" s="1125">
        <v>3061.8</v>
      </c>
      <c r="M828" s="1125">
        <v>23.400000000000002</v>
      </c>
      <c r="N828" s="1128">
        <v>50.540000343322752</v>
      </c>
      <c r="O828" s="1128">
        <v>50.9</v>
      </c>
      <c r="P828" s="1128">
        <v>51.8</v>
      </c>
      <c r="Q828" s="1128">
        <v>55.4</v>
      </c>
      <c r="R828" s="1128">
        <v>57.019999313354489</v>
      </c>
      <c r="S828" s="1128">
        <v>58.819999313354494</v>
      </c>
      <c r="T828" s="1128">
        <v>61.880000686645509</v>
      </c>
      <c r="U828" s="1128">
        <v>61.160001373291017</v>
      </c>
      <c r="V828" s="1128">
        <v>60.8</v>
      </c>
      <c r="W828" s="1128">
        <v>58.280000686645508</v>
      </c>
      <c r="X828" s="1128">
        <v>53.780000686645508</v>
      </c>
      <c r="Y828" s="1128">
        <v>51.980000686645511</v>
      </c>
      <c r="Z828" s="1128">
        <v>56.059342728183694</v>
      </c>
      <c r="AA828" s="1128">
        <f t="shared" si="901"/>
        <v>59.334629270959155</v>
      </c>
      <c r="AB828" s="1128">
        <f t="shared" si="902"/>
        <v>59.12933268480036</v>
      </c>
      <c r="AC828" s="1128">
        <f t="shared" si="903"/>
        <v>59.687788369270962</v>
      </c>
      <c r="AD828" s="1128">
        <f t="shared" si="904"/>
        <v>60.864426244151105</v>
      </c>
      <c r="AE828" s="1128">
        <f t="shared" si="905"/>
        <v>62.352537514814749</v>
      </c>
      <c r="AF828" s="1128">
        <f t="shared" si="906"/>
        <v>63.764223046074584</v>
      </c>
      <c r="AG828" s="1128">
        <f t="shared" si="907"/>
        <v>64.731505249475177</v>
      </c>
      <c r="AH828" s="1128">
        <f t="shared" si="908"/>
        <v>65.002247112430211</v>
      </c>
      <c r="AI828" s="1128">
        <f t="shared" si="909"/>
        <v>64.505875596102044</v>
      </c>
      <c r="AJ828" s="1128">
        <f t="shared" si="910"/>
        <v>63.371777585538233</v>
      </c>
      <c r="AK828" s="1128">
        <f t="shared" si="911"/>
        <v>61.895573204171598</v>
      </c>
      <c r="AL828" s="1128">
        <f t="shared" si="912"/>
        <v>60.462057873003467</v>
      </c>
      <c r="AM828" s="1125">
        <f t="shared" si="913"/>
        <v>1</v>
      </c>
      <c r="AN828" s="1125">
        <f t="shared" si="914"/>
        <v>1</v>
      </c>
      <c r="AO828" s="1125">
        <f t="shared" si="915"/>
        <v>1</v>
      </c>
      <c r="AP828" s="1125">
        <f t="shared" si="916"/>
        <v>1</v>
      </c>
      <c r="AQ828" s="1125">
        <f t="shared" si="917"/>
        <v>1</v>
      </c>
      <c r="AR828" s="1125">
        <f t="shared" si="918"/>
        <v>1</v>
      </c>
      <c r="AS828" s="1125">
        <f t="shared" si="919"/>
        <v>1</v>
      </c>
      <c r="AT828" s="1125">
        <f t="shared" si="920"/>
        <v>1</v>
      </c>
      <c r="AU828" s="1125">
        <f t="shared" si="921"/>
        <v>1</v>
      </c>
      <c r="AV828" s="1125">
        <f t="shared" si="922"/>
        <v>1</v>
      </c>
      <c r="AW828" s="1125">
        <f t="shared" si="923"/>
        <v>1</v>
      </c>
      <c r="AX828" s="1125">
        <f t="shared" si="924"/>
        <v>1</v>
      </c>
      <c r="AY828" s="1125">
        <f t="shared" si="925"/>
        <v>0</v>
      </c>
      <c r="AZ828" s="1125">
        <f t="shared" si="926"/>
        <v>0</v>
      </c>
      <c r="BA828" s="1125">
        <f t="shared" si="927"/>
        <v>0</v>
      </c>
      <c r="BB828" s="1125">
        <f t="shared" si="928"/>
        <v>0</v>
      </c>
      <c r="BC828" s="1125">
        <f t="shared" si="929"/>
        <v>0</v>
      </c>
      <c r="BD828" s="1125">
        <f t="shared" si="930"/>
        <v>0</v>
      </c>
      <c r="BE828" s="1125">
        <f t="shared" si="931"/>
        <v>1</v>
      </c>
      <c r="BF828" s="1125">
        <f t="shared" si="932"/>
        <v>1</v>
      </c>
      <c r="BG828" s="1125">
        <f t="shared" si="933"/>
        <v>0</v>
      </c>
      <c r="BH828" s="1125">
        <f t="shared" si="934"/>
        <v>0</v>
      </c>
      <c r="BI828" s="1125">
        <f t="shared" si="935"/>
        <v>0</v>
      </c>
      <c r="BJ828" s="1125">
        <f t="shared" si="936"/>
        <v>0</v>
      </c>
      <c r="BK828" s="1125">
        <f t="shared" si="937"/>
        <v>1</v>
      </c>
      <c r="BL828" s="1125">
        <f t="shared" si="938"/>
        <v>1</v>
      </c>
      <c r="BM828" s="1125">
        <f t="shared" si="939"/>
        <v>1</v>
      </c>
      <c r="BN828" s="1125">
        <f t="shared" si="940"/>
        <v>1</v>
      </c>
      <c r="BO828" s="1125">
        <f t="shared" si="941"/>
        <v>1</v>
      </c>
      <c r="BP828" s="1125">
        <f t="shared" si="942"/>
        <v>1</v>
      </c>
      <c r="BQ828" s="1125">
        <f t="shared" si="943"/>
        <v>1</v>
      </c>
      <c r="BR828" s="1125">
        <f t="shared" si="944"/>
        <v>1</v>
      </c>
      <c r="BS828" s="1125">
        <f t="shared" si="945"/>
        <v>1</v>
      </c>
      <c r="BT828" s="1125">
        <f t="shared" si="946"/>
        <v>1</v>
      </c>
      <c r="BU828" s="1125">
        <f t="shared" si="947"/>
        <v>1</v>
      </c>
      <c r="BV828" s="1125">
        <f t="shared" si="948"/>
        <v>1</v>
      </c>
      <c r="BW828" s="1125">
        <f t="shared" si="949"/>
        <v>0</v>
      </c>
      <c r="BX828" s="1125">
        <f t="shared" si="950"/>
        <v>0</v>
      </c>
      <c r="BY828" s="1125">
        <f t="shared" si="951"/>
        <v>0</v>
      </c>
      <c r="BZ828" s="1125">
        <f t="shared" si="952"/>
        <v>0</v>
      </c>
      <c r="CA828" s="1125">
        <f t="shared" si="953"/>
        <v>0</v>
      </c>
      <c r="CB828" s="1125">
        <f t="shared" si="954"/>
        <v>0</v>
      </c>
      <c r="CC828" s="1125">
        <f t="shared" si="955"/>
        <v>1</v>
      </c>
      <c r="CD828" s="1125">
        <f t="shared" si="956"/>
        <v>1</v>
      </c>
      <c r="CE828" s="1125">
        <f t="shared" si="957"/>
        <v>0</v>
      </c>
      <c r="CF828" s="1125">
        <f t="shared" si="958"/>
        <v>0</v>
      </c>
      <c r="CG828" s="1125">
        <f t="shared" si="959"/>
        <v>0</v>
      </c>
      <c r="CH828" s="1125">
        <f t="shared" si="960"/>
        <v>0</v>
      </c>
      <c r="CI828" s="1125">
        <f t="shared" si="961"/>
        <v>0.85</v>
      </c>
      <c r="CJ828" s="1125">
        <f t="shared" si="962"/>
        <v>0.85</v>
      </c>
      <c r="CK828" s="1125">
        <f t="shared" si="963"/>
        <v>0.85</v>
      </c>
      <c r="CL828" s="1125">
        <f t="shared" si="964"/>
        <v>0.85</v>
      </c>
      <c r="CM828" s="1125">
        <f t="shared" si="965"/>
        <v>0.85</v>
      </c>
      <c r="CN828" s="1125">
        <f t="shared" si="966"/>
        <v>0.85</v>
      </c>
      <c r="CO828" s="1125">
        <f t="shared" si="967"/>
        <v>0.85</v>
      </c>
      <c r="CP828" s="1125">
        <f t="shared" si="968"/>
        <v>0.85</v>
      </c>
      <c r="CQ828" s="1125">
        <f t="shared" si="969"/>
        <v>0.85</v>
      </c>
      <c r="CR828" s="1125">
        <f t="shared" si="970"/>
        <v>0.85</v>
      </c>
      <c r="CS828" s="1125">
        <f t="shared" si="971"/>
        <v>0.85</v>
      </c>
      <c r="CT828" s="1125">
        <f t="shared" si="972"/>
        <v>0.85</v>
      </c>
      <c r="CU828" s="1125">
        <v>1</v>
      </c>
      <c r="CV828" s="1125"/>
      <c r="CW828" s="1125">
        <f t="shared" si="973"/>
        <v>62</v>
      </c>
      <c r="CX828" s="1125">
        <f t="shared" si="974"/>
        <v>303</v>
      </c>
      <c r="CY828" s="1136" t="s">
        <v>4893</v>
      </c>
      <c r="CZ828" s="1129" t="s">
        <v>4895</v>
      </c>
      <c r="DA828" s="1129"/>
      <c r="DB828" s="1129"/>
      <c r="DC828" s="1125" t="s">
        <v>5062</v>
      </c>
      <c r="DD828" s="1125" t="s">
        <v>954</v>
      </c>
      <c r="DE828" s="1120" t="str">
        <f t="shared" si="975"/>
        <v/>
      </c>
      <c r="DF828" s="1125">
        <v>0</v>
      </c>
      <c r="DG828" s="1120">
        <v>0</v>
      </c>
    </row>
    <row r="829" spans="1:111">
      <c r="A829" s="1125" t="s">
        <v>4348</v>
      </c>
      <c r="B829" s="1120" t="s">
        <v>3196</v>
      </c>
      <c r="C829" s="1120" t="s">
        <v>3197</v>
      </c>
      <c r="D829" s="1120" t="s">
        <v>954</v>
      </c>
      <c r="E829" s="1120">
        <v>174</v>
      </c>
      <c r="F829" s="1120">
        <v>-118.45</v>
      </c>
      <c r="G829" s="1120">
        <v>34.020000000000003</v>
      </c>
      <c r="H829" s="1120">
        <v>-8</v>
      </c>
      <c r="I829" s="1121">
        <v>44.420000171661378</v>
      </c>
      <c r="J829" s="1121">
        <v>80.780000686645508</v>
      </c>
      <c r="K829" s="1122">
        <v>66.380000686645502</v>
      </c>
      <c r="L829" s="1120">
        <v>1346.4</v>
      </c>
      <c r="M829" s="1120">
        <v>446.40000000000003</v>
      </c>
      <c r="N829" s="1123">
        <v>55.759999656677245</v>
      </c>
      <c r="O829" s="1123">
        <v>57.380000686645509</v>
      </c>
      <c r="P829" s="1123">
        <v>57.2</v>
      </c>
      <c r="Q829" s="1123">
        <v>57.740000343322755</v>
      </c>
      <c r="R829" s="1123">
        <v>61.7</v>
      </c>
      <c r="S829" s="1123">
        <v>64.580000686645505</v>
      </c>
      <c r="T829" s="1123">
        <v>68.900000000000006</v>
      </c>
      <c r="U829" s="1123">
        <v>68.180000686645513</v>
      </c>
      <c r="V829" s="1123">
        <v>68.360001373291013</v>
      </c>
      <c r="W829" s="1123">
        <v>62.419999313354495</v>
      </c>
      <c r="X829" s="1123">
        <v>62.6</v>
      </c>
      <c r="Y829" s="1123">
        <v>58.1</v>
      </c>
      <c r="Z829" s="1123">
        <v>61.931781042961227</v>
      </c>
      <c r="AA829" s="1123">
        <f t="shared" si="901"/>
        <v>64.288672309705419</v>
      </c>
      <c r="AB829" s="1123">
        <f t="shared" si="902"/>
        <v>64.219523761778248</v>
      </c>
      <c r="AC829" s="1123">
        <f t="shared" si="903"/>
        <v>65.118032281807785</v>
      </c>
      <c r="AD829" s="1123">
        <f t="shared" si="904"/>
        <v>66.749987777612915</v>
      </c>
      <c r="AE829" s="1123">
        <f t="shared" si="905"/>
        <v>68.689995900016569</v>
      </c>
      <c r="AF829" s="1123">
        <f t="shared" si="906"/>
        <v>70.432363635484123</v>
      </c>
      <c r="AG829" s="1123">
        <f t="shared" si="907"/>
        <v>71.522915983066383</v>
      </c>
      <c r="AH829" s="1123">
        <f t="shared" si="908"/>
        <v>71.677383667445653</v>
      </c>
      <c r="AI829" s="1123">
        <f t="shared" si="909"/>
        <v>70.8555023062694</v>
      </c>
      <c r="AJ829" s="1123">
        <f t="shared" si="910"/>
        <v>69.271507941903366</v>
      </c>
      <c r="AK829" s="1123">
        <f t="shared" si="911"/>
        <v>67.338293115511618</v>
      </c>
      <c r="AL829" s="1123">
        <f t="shared" si="912"/>
        <v>65.559780063335424</v>
      </c>
      <c r="AM829" s="1120">
        <f t="shared" si="913"/>
        <v>1</v>
      </c>
      <c r="AN829" s="1120">
        <f t="shared" si="914"/>
        <v>1</v>
      </c>
      <c r="AO829" s="1120">
        <f t="shared" si="915"/>
        <v>1</v>
      </c>
      <c r="AP829" s="1120">
        <f t="shared" si="916"/>
        <v>1</v>
      </c>
      <c r="AQ829" s="1120">
        <f t="shared" si="917"/>
        <v>1</v>
      </c>
      <c r="AR829" s="1120">
        <f t="shared" si="918"/>
        <v>1</v>
      </c>
      <c r="AS829" s="1120">
        <f t="shared" si="919"/>
        <v>0</v>
      </c>
      <c r="AT829" s="1120">
        <f t="shared" si="920"/>
        <v>0</v>
      </c>
      <c r="AU829" s="1120">
        <f t="shared" si="921"/>
        <v>0</v>
      </c>
      <c r="AV829" s="1120">
        <f t="shared" si="922"/>
        <v>1</v>
      </c>
      <c r="AW829" s="1120">
        <f t="shared" si="923"/>
        <v>1</v>
      </c>
      <c r="AX829" s="1120">
        <f t="shared" si="924"/>
        <v>1</v>
      </c>
      <c r="AY829" s="1120">
        <f t="shared" si="925"/>
        <v>0</v>
      </c>
      <c r="AZ829" s="1120">
        <f t="shared" si="926"/>
        <v>0</v>
      </c>
      <c r="BA829" s="1120">
        <f t="shared" si="927"/>
        <v>0</v>
      </c>
      <c r="BB829" s="1120">
        <f t="shared" si="928"/>
        <v>0</v>
      </c>
      <c r="BC829" s="1120">
        <f t="shared" si="929"/>
        <v>0</v>
      </c>
      <c r="BD829" s="1120">
        <f t="shared" si="930"/>
        <v>0</v>
      </c>
      <c r="BE829" s="1120">
        <f t="shared" si="931"/>
        <v>1</v>
      </c>
      <c r="BF829" s="1120">
        <f t="shared" si="932"/>
        <v>1</v>
      </c>
      <c r="BG829" s="1120">
        <f t="shared" si="933"/>
        <v>1</v>
      </c>
      <c r="BH829" s="1120">
        <f t="shared" si="934"/>
        <v>0</v>
      </c>
      <c r="BI829" s="1120">
        <f t="shared" si="935"/>
        <v>0</v>
      </c>
      <c r="BJ829" s="1120">
        <f t="shared" si="936"/>
        <v>0</v>
      </c>
      <c r="BK829" s="1120">
        <f t="shared" si="937"/>
        <v>1</v>
      </c>
      <c r="BL829" s="1120">
        <f t="shared" si="938"/>
        <v>1</v>
      </c>
      <c r="BM829" s="1120">
        <f t="shared" si="939"/>
        <v>1</v>
      </c>
      <c r="BN829" s="1120">
        <f t="shared" si="940"/>
        <v>1</v>
      </c>
      <c r="BO829" s="1120">
        <f t="shared" si="941"/>
        <v>1</v>
      </c>
      <c r="BP829" s="1120">
        <f t="shared" si="942"/>
        <v>1</v>
      </c>
      <c r="BQ829" s="1120">
        <f t="shared" si="943"/>
        <v>1</v>
      </c>
      <c r="BR829" s="1120">
        <f t="shared" si="944"/>
        <v>0</v>
      </c>
      <c r="BS829" s="1120">
        <f t="shared" si="945"/>
        <v>0</v>
      </c>
      <c r="BT829" s="1120">
        <f t="shared" si="946"/>
        <v>1</v>
      </c>
      <c r="BU829" s="1120">
        <f t="shared" si="947"/>
        <v>1</v>
      </c>
      <c r="BV829" s="1120">
        <f t="shared" si="948"/>
        <v>1</v>
      </c>
      <c r="BW829" s="1120">
        <f t="shared" si="949"/>
        <v>0</v>
      </c>
      <c r="BX829" s="1120">
        <f t="shared" si="950"/>
        <v>0</v>
      </c>
      <c r="BY829" s="1120">
        <f t="shared" si="951"/>
        <v>0</v>
      </c>
      <c r="BZ829" s="1120">
        <f t="shared" si="952"/>
        <v>0</v>
      </c>
      <c r="CA829" s="1120">
        <f t="shared" si="953"/>
        <v>0</v>
      </c>
      <c r="CB829" s="1120">
        <f t="shared" si="954"/>
        <v>1</v>
      </c>
      <c r="CC829" s="1120">
        <f t="shared" si="955"/>
        <v>1</v>
      </c>
      <c r="CD829" s="1120">
        <f t="shared" si="956"/>
        <v>1</v>
      </c>
      <c r="CE829" s="1120">
        <f t="shared" si="957"/>
        <v>1</v>
      </c>
      <c r="CF829" s="1120">
        <f t="shared" si="958"/>
        <v>1</v>
      </c>
      <c r="CG829" s="1120">
        <f t="shared" si="959"/>
        <v>0</v>
      </c>
      <c r="CH829" s="1120">
        <f t="shared" si="960"/>
        <v>0</v>
      </c>
      <c r="CI829" s="1120">
        <f t="shared" si="961"/>
        <v>0.85</v>
      </c>
      <c r="CJ829" s="1120">
        <f t="shared" si="962"/>
        <v>0.85</v>
      </c>
      <c r="CK829" s="1120">
        <f t="shared" si="963"/>
        <v>0.85</v>
      </c>
      <c r="CL829" s="1120">
        <f t="shared" si="964"/>
        <v>0.85</v>
      </c>
      <c r="CM829" s="1120">
        <f t="shared" si="965"/>
        <v>0.85</v>
      </c>
      <c r="CN829" s="1120">
        <f t="shared" si="966"/>
        <v>0.85</v>
      </c>
      <c r="CO829" s="1120">
        <f t="shared" si="967"/>
        <v>0.85</v>
      </c>
      <c r="CP829" s="1120">
        <f t="shared" si="968"/>
        <v>0.7</v>
      </c>
      <c r="CQ829" s="1120">
        <f t="shared" si="969"/>
        <v>0.7</v>
      </c>
      <c r="CR829" s="1120">
        <f t="shared" si="970"/>
        <v>0.85</v>
      </c>
      <c r="CS829" s="1120">
        <f t="shared" si="971"/>
        <v>0.85</v>
      </c>
      <c r="CT829" s="1120">
        <f t="shared" si="972"/>
        <v>0.85</v>
      </c>
      <c r="CU829" s="1120">
        <v>1</v>
      </c>
      <c r="CV829" s="1120"/>
      <c r="CW829" s="1120">
        <f t="shared" si="973"/>
        <v>153</v>
      </c>
      <c r="CX829" s="1120">
        <f t="shared" si="974"/>
        <v>212</v>
      </c>
      <c r="CY829" s="1135" t="s">
        <v>4886</v>
      </c>
      <c r="CZ829" s="1124" t="s">
        <v>4888</v>
      </c>
      <c r="DA829" s="1124"/>
      <c r="DB829" s="1124"/>
      <c r="DC829" s="1120" t="s">
        <v>5063</v>
      </c>
      <c r="DD829" s="1120" t="s">
        <v>954</v>
      </c>
      <c r="DE829" s="1120" t="str">
        <f t="shared" si="975"/>
        <v/>
      </c>
      <c r="DF829" s="1120">
        <v>0</v>
      </c>
      <c r="DG829" s="1125">
        <v>0</v>
      </c>
    </row>
    <row r="830" spans="1:111">
      <c r="A830" s="1120" t="s">
        <v>4350</v>
      </c>
      <c r="B830" s="1125" t="s">
        <v>5820</v>
      </c>
      <c r="C830" s="1125" t="s">
        <v>5821</v>
      </c>
      <c r="D830" s="1125" t="s">
        <v>954</v>
      </c>
      <c r="E830" s="1125">
        <v>125</v>
      </c>
      <c r="F830" s="1125">
        <v>-122.82</v>
      </c>
      <c r="G830" s="1125">
        <v>38.520000000000003</v>
      </c>
      <c r="H830" s="1125">
        <v>-8</v>
      </c>
      <c r="I830" s="1126">
        <v>31.81999999731779</v>
      </c>
      <c r="J830" s="1126">
        <v>91.039998626708993</v>
      </c>
      <c r="K830" s="1127">
        <v>66.560001373291016</v>
      </c>
      <c r="L830" s="1125">
        <v>3033</v>
      </c>
      <c r="M830" s="1125">
        <v>228.6</v>
      </c>
      <c r="N830" s="1128">
        <v>47.119999313354491</v>
      </c>
      <c r="O830" s="1128">
        <v>51.259999656677245</v>
      </c>
      <c r="P830" s="1128">
        <v>51.619999313354491</v>
      </c>
      <c r="Q830" s="1128">
        <v>55.759999656677245</v>
      </c>
      <c r="R830" s="1128">
        <v>60.980000686645511</v>
      </c>
      <c r="S830" s="1128">
        <v>64.939998626708984</v>
      </c>
      <c r="T830" s="1128">
        <v>62.780000686645508</v>
      </c>
      <c r="U830" s="1128">
        <v>65.480000686645511</v>
      </c>
      <c r="V830" s="1128">
        <v>65.119999313354498</v>
      </c>
      <c r="W830" s="1128">
        <v>56.659999656677243</v>
      </c>
      <c r="X830" s="1128">
        <v>50.540000343322752</v>
      </c>
      <c r="Y830" s="1128">
        <v>48.019999313354489</v>
      </c>
      <c r="Z830" s="1128">
        <v>56.708328542317432</v>
      </c>
      <c r="AA830" s="1128">
        <f t="shared" si="901"/>
        <v>58.221388178874342</v>
      </c>
      <c r="AB830" s="1128">
        <f t="shared" si="902"/>
        <v>57.912212927209694</v>
      </c>
      <c r="AC830" s="1128">
        <f t="shared" si="903"/>
        <v>58.853219121001757</v>
      </c>
      <c r="AD830" s="1128">
        <f t="shared" si="904"/>
        <v>60.799118994494229</v>
      </c>
      <c r="AE830" s="1128">
        <f t="shared" si="905"/>
        <v>63.242683758436534</v>
      </c>
      <c r="AF830" s="1128">
        <f t="shared" si="906"/>
        <v>65.546960600634264</v>
      </c>
      <c r="AG830" s="1128">
        <f t="shared" si="907"/>
        <v>67.111304252187551</v>
      </c>
      <c r="AH830" s="1128">
        <f t="shared" si="908"/>
        <v>67.527944433053634</v>
      </c>
      <c r="AI830" s="1128">
        <f t="shared" si="909"/>
        <v>66.688277459470243</v>
      </c>
      <c r="AJ830" s="1128">
        <f t="shared" si="910"/>
        <v>64.811175467761643</v>
      </c>
      <c r="AK830" s="1128">
        <f t="shared" si="911"/>
        <v>62.385934019083955</v>
      </c>
      <c r="AL830" s="1128">
        <f t="shared" si="912"/>
        <v>60.044729671137063</v>
      </c>
      <c r="AM830" s="1125">
        <f t="shared" si="913"/>
        <v>1</v>
      </c>
      <c r="AN830" s="1125">
        <f t="shared" si="914"/>
        <v>1</v>
      </c>
      <c r="AO830" s="1125">
        <f t="shared" si="915"/>
        <v>1</v>
      </c>
      <c r="AP830" s="1125">
        <f t="shared" si="916"/>
        <v>1</v>
      </c>
      <c r="AQ830" s="1125">
        <f t="shared" si="917"/>
        <v>1</v>
      </c>
      <c r="AR830" s="1125">
        <f t="shared" si="918"/>
        <v>1</v>
      </c>
      <c r="AS830" s="1125">
        <f t="shared" si="919"/>
        <v>1</v>
      </c>
      <c r="AT830" s="1125">
        <f t="shared" si="920"/>
        <v>1</v>
      </c>
      <c r="AU830" s="1125">
        <f t="shared" si="921"/>
        <v>1</v>
      </c>
      <c r="AV830" s="1125">
        <f t="shared" si="922"/>
        <v>1</v>
      </c>
      <c r="AW830" s="1125">
        <f t="shared" si="923"/>
        <v>1</v>
      </c>
      <c r="AX830" s="1125">
        <f t="shared" si="924"/>
        <v>1</v>
      </c>
      <c r="AY830" s="1125">
        <f t="shared" si="925"/>
        <v>0</v>
      </c>
      <c r="AZ830" s="1125">
        <f t="shared" si="926"/>
        <v>0</v>
      </c>
      <c r="BA830" s="1125">
        <f t="shared" si="927"/>
        <v>0</v>
      </c>
      <c r="BB830" s="1125">
        <f t="shared" si="928"/>
        <v>0</v>
      </c>
      <c r="BC830" s="1125">
        <f t="shared" si="929"/>
        <v>0</v>
      </c>
      <c r="BD830" s="1125">
        <f t="shared" si="930"/>
        <v>0</v>
      </c>
      <c r="BE830" s="1125">
        <f t="shared" si="931"/>
        <v>1</v>
      </c>
      <c r="BF830" s="1125">
        <f t="shared" si="932"/>
        <v>1</v>
      </c>
      <c r="BG830" s="1125">
        <f t="shared" si="933"/>
        <v>0</v>
      </c>
      <c r="BH830" s="1125">
        <f t="shared" si="934"/>
        <v>0</v>
      </c>
      <c r="BI830" s="1125">
        <f t="shared" si="935"/>
        <v>0</v>
      </c>
      <c r="BJ830" s="1125">
        <f t="shared" si="936"/>
        <v>0</v>
      </c>
      <c r="BK830" s="1125">
        <f t="shared" si="937"/>
        <v>1</v>
      </c>
      <c r="BL830" s="1125">
        <f t="shared" si="938"/>
        <v>1</v>
      </c>
      <c r="BM830" s="1125">
        <f t="shared" si="939"/>
        <v>1</v>
      </c>
      <c r="BN830" s="1125">
        <f t="shared" si="940"/>
        <v>1</v>
      </c>
      <c r="BO830" s="1125">
        <f t="shared" si="941"/>
        <v>1</v>
      </c>
      <c r="BP830" s="1125">
        <f t="shared" si="942"/>
        <v>1</v>
      </c>
      <c r="BQ830" s="1125">
        <f t="shared" si="943"/>
        <v>1</v>
      </c>
      <c r="BR830" s="1125">
        <f t="shared" si="944"/>
        <v>1</v>
      </c>
      <c r="BS830" s="1125">
        <f t="shared" si="945"/>
        <v>1</v>
      </c>
      <c r="BT830" s="1125">
        <f t="shared" si="946"/>
        <v>1</v>
      </c>
      <c r="BU830" s="1125">
        <f t="shared" si="947"/>
        <v>1</v>
      </c>
      <c r="BV830" s="1125">
        <f t="shared" si="948"/>
        <v>1</v>
      </c>
      <c r="BW830" s="1125">
        <f t="shared" si="949"/>
        <v>0</v>
      </c>
      <c r="BX830" s="1125">
        <f t="shared" si="950"/>
        <v>0</v>
      </c>
      <c r="BY830" s="1125">
        <f t="shared" si="951"/>
        <v>0</v>
      </c>
      <c r="BZ830" s="1125">
        <f t="shared" si="952"/>
        <v>0</v>
      </c>
      <c r="CA830" s="1125">
        <f t="shared" si="953"/>
        <v>0</v>
      </c>
      <c r="CB830" s="1125">
        <f t="shared" si="954"/>
        <v>0</v>
      </c>
      <c r="CC830" s="1125">
        <f t="shared" si="955"/>
        <v>1</v>
      </c>
      <c r="CD830" s="1125">
        <f t="shared" si="956"/>
        <v>1</v>
      </c>
      <c r="CE830" s="1125">
        <f t="shared" si="957"/>
        <v>0</v>
      </c>
      <c r="CF830" s="1125">
        <f t="shared" si="958"/>
        <v>0</v>
      </c>
      <c r="CG830" s="1125">
        <f t="shared" si="959"/>
        <v>0</v>
      </c>
      <c r="CH830" s="1125">
        <f t="shared" si="960"/>
        <v>0</v>
      </c>
      <c r="CI830" s="1125">
        <f t="shared" si="961"/>
        <v>0.85</v>
      </c>
      <c r="CJ830" s="1125">
        <f t="shared" si="962"/>
        <v>0.85</v>
      </c>
      <c r="CK830" s="1125">
        <f t="shared" si="963"/>
        <v>0.85</v>
      </c>
      <c r="CL830" s="1125">
        <f t="shared" si="964"/>
        <v>0.85</v>
      </c>
      <c r="CM830" s="1125">
        <f t="shared" si="965"/>
        <v>0.85</v>
      </c>
      <c r="CN830" s="1125">
        <f t="shared" si="966"/>
        <v>0.85</v>
      </c>
      <c r="CO830" s="1125">
        <f t="shared" si="967"/>
        <v>0.85</v>
      </c>
      <c r="CP830" s="1125">
        <f t="shared" si="968"/>
        <v>0.85</v>
      </c>
      <c r="CQ830" s="1125">
        <f t="shared" si="969"/>
        <v>0.85</v>
      </c>
      <c r="CR830" s="1125">
        <f t="shared" si="970"/>
        <v>0.85</v>
      </c>
      <c r="CS830" s="1125">
        <f t="shared" si="971"/>
        <v>0.85</v>
      </c>
      <c r="CT830" s="1125">
        <f t="shared" si="972"/>
        <v>0.85</v>
      </c>
      <c r="CU830" s="1125">
        <v>1</v>
      </c>
      <c r="CV830" s="1125"/>
      <c r="CW830" s="1125">
        <f t="shared" si="973"/>
        <v>62</v>
      </c>
      <c r="CX830" s="1125">
        <f t="shared" si="974"/>
        <v>303</v>
      </c>
      <c r="CY830" s="1136" t="s">
        <v>4893</v>
      </c>
      <c r="CZ830" s="1129" t="s">
        <v>4895</v>
      </c>
      <c r="DA830" s="1129"/>
      <c r="DB830" s="1129"/>
      <c r="DC830" s="1125" t="s">
        <v>5721</v>
      </c>
      <c r="DD830" s="1125" t="s">
        <v>954</v>
      </c>
      <c r="DE830" s="1120" t="str">
        <f t="shared" si="975"/>
        <v/>
      </c>
      <c r="DF830" s="1125">
        <v>1</v>
      </c>
      <c r="DG830" s="1120">
        <v>0</v>
      </c>
    </row>
    <row r="831" spans="1:111">
      <c r="A831" s="1125" t="s">
        <v>4352</v>
      </c>
      <c r="B831" s="1120" t="s">
        <v>3324</v>
      </c>
      <c r="C831" s="1120" t="s">
        <v>3325</v>
      </c>
      <c r="D831" s="1120" t="s">
        <v>594</v>
      </c>
      <c r="E831" s="1120">
        <v>33</v>
      </c>
      <c r="F831" s="1120">
        <v>-82.55</v>
      </c>
      <c r="G831" s="1120">
        <v>27.38</v>
      </c>
      <c r="H831" s="1120">
        <v>-5</v>
      </c>
      <c r="I831" s="1121">
        <v>43.7</v>
      </c>
      <c r="J831" s="1121">
        <v>91.039998626708993</v>
      </c>
      <c r="K831" s="1122">
        <v>78.980000686645511</v>
      </c>
      <c r="L831" s="1120">
        <v>550.80000000000007</v>
      </c>
      <c r="M831" s="1120">
        <v>99</v>
      </c>
      <c r="N831" s="1123">
        <v>54.680000686645506</v>
      </c>
      <c r="O831" s="1123">
        <v>61.7</v>
      </c>
      <c r="P831" s="1123">
        <v>69.260001373291018</v>
      </c>
      <c r="Q831" s="1123">
        <v>69.080000686645505</v>
      </c>
      <c r="R831" s="1123">
        <v>77</v>
      </c>
      <c r="S831" s="1123">
        <v>78.8</v>
      </c>
      <c r="T831" s="1123">
        <v>80.780000686645508</v>
      </c>
      <c r="U831" s="1123">
        <v>80.419999313354495</v>
      </c>
      <c r="V831" s="1123">
        <v>79.33999862670899</v>
      </c>
      <c r="W831" s="1123">
        <v>78.080000686645505</v>
      </c>
      <c r="X831" s="1123">
        <v>69.619999313354498</v>
      </c>
      <c r="Y831" s="1123">
        <v>64.939998626708984</v>
      </c>
      <c r="Z831" s="1123">
        <v>72.034958907872024</v>
      </c>
      <c r="AA831" s="1123">
        <f t="shared" si="901"/>
        <v>69.22009810990005</v>
      </c>
      <c r="AB831" s="1123">
        <f t="shared" si="902"/>
        <v>69.844893026196573</v>
      </c>
      <c r="AC831" s="1123">
        <f t="shared" si="903"/>
        <v>72.604554827287458</v>
      </c>
      <c r="AD831" s="1123">
        <f t="shared" si="904"/>
        <v>76.779735137042721</v>
      </c>
      <c r="AE831" s="1123">
        <f t="shared" si="905"/>
        <v>81.282108866248478</v>
      </c>
      <c r="AF831" s="1123">
        <f t="shared" si="906"/>
        <v>84.938062918707857</v>
      </c>
      <c r="AG831" s="1123">
        <f t="shared" si="907"/>
        <v>86.794616530689964</v>
      </c>
      <c r="AH831" s="1123">
        <f t="shared" si="908"/>
        <v>86.367830392874481</v>
      </c>
      <c r="AI831" s="1123">
        <f t="shared" si="909"/>
        <v>83.768952889056493</v>
      </c>
      <c r="AJ831" s="1123">
        <f t="shared" si="910"/>
        <v>79.675421490520762</v>
      </c>
      <c r="AK831" s="1123">
        <f t="shared" si="911"/>
        <v>75.154278239524032</v>
      </c>
      <c r="AL831" s="1123">
        <f t="shared" si="912"/>
        <v>71.384028797365048</v>
      </c>
      <c r="AM831" s="1120">
        <f t="shared" si="913"/>
        <v>1</v>
      </c>
      <c r="AN831" s="1120">
        <f t="shared" si="914"/>
        <v>1</v>
      </c>
      <c r="AO831" s="1120">
        <f t="shared" si="915"/>
        <v>0</v>
      </c>
      <c r="AP831" s="1120">
        <f t="shared" si="916"/>
        <v>0</v>
      </c>
      <c r="AQ831" s="1120">
        <f t="shared" si="917"/>
        <v>0</v>
      </c>
      <c r="AR831" s="1120">
        <f t="shared" si="918"/>
        <v>0</v>
      </c>
      <c r="AS831" s="1120">
        <f t="shared" si="919"/>
        <v>0</v>
      </c>
      <c r="AT831" s="1120">
        <f t="shared" si="920"/>
        <v>0</v>
      </c>
      <c r="AU831" s="1120">
        <f t="shared" si="921"/>
        <v>0</v>
      </c>
      <c r="AV831" s="1120">
        <f t="shared" si="922"/>
        <v>0</v>
      </c>
      <c r="AW831" s="1120">
        <f t="shared" si="923"/>
        <v>0</v>
      </c>
      <c r="AX831" s="1120">
        <f t="shared" si="924"/>
        <v>1</v>
      </c>
      <c r="AY831" s="1120">
        <f t="shared" si="925"/>
        <v>0</v>
      </c>
      <c r="AZ831" s="1120">
        <f t="shared" si="926"/>
        <v>0</v>
      </c>
      <c r="BA831" s="1120">
        <f t="shared" si="927"/>
        <v>1</v>
      </c>
      <c r="BB831" s="1120">
        <f t="shared" si="928"/>
        <v>1</v>
      </c>
      <c r="BC831" s="1120">
        <f t="shared" si="929"/>
        <v>1</v>
      </c>
      <c r="BD831" s="1120">
        <f t="shared" si="930"/>
        <v>1</v>
      </c>
      <c r="BE831" s="1120">
        <f t="shared" si="931"/>
        <v>1</v>
      </c>
      <c r="BF831" s="1120">
        <f t="shared" si="932"/>
        <v>1</v>
      </c>
      <c r="BG831" s="1120">
        <f t="shared" si="933"/>
        <v>1</v>
      </c>
      <c r="BH831" s="1120">
        <f t="shared" si="934"/>
        <v>1</v>
      </c>
      <c r="BI831" s="1120">
        <f t="shared" si="935"/>
        <v>1</v>
      </c>
      <c r="BJ831" s="1120">
        <f t="shared" si="936"/>
        <v>0</v>
      </c>
      <c r="BK831" s="1120">
        <f t="shared" si="937"/>
        <v>1</v>
      </c>
      <c r="BL831" s="1120">
        <f t="shared" si="938"/>
        <v>1</v>
      </c>
      <c r="BM831" s="1120">
        <f t="shared" si="939"/>
        <v>1</v>
      </c>
      <c r="BN831" s="1120">
        <f t="shared" si="940"/>
        <v>0</v>
      </c>
      <c r="BO831" s="1120">
        <f t="shared" si="941"/>
        <v>0</v>
      </c>
      <c r="BP831" s="1120">
        <f t="shared" si="942"/>
        <v>0</v>
      </c>
      <c r="BQ831" s="1120">
        <f t="shared" si="943"/>
        <v>0</v>
      </c>
      <c r="BR831" s="1120">
        <f t="shared" si="944"/>
        <v>0</v>
      </c>
      <c r="BS831" s="1120">
        <f t="shared" si="945"/>
        <v>0</v>
      </c>
      <c r="BT831" s="1120">
        <f t="shared" si="946"/>
        <v>0</v>
      </c>
      <c r="BU831" s="1120">
        <f t="shared" si="947"/>
        <v>0</v>
      </c>
      <c r="BV831" s="1120">
        <f t="shared" si="948"/>
        <v>1</v>
      </c>
      <c r="BW831" s="1120">
        <f t="shared" si="949"/>
        <v>0</v>
      </c>
      <c r="BX831" s="1120">
        <f t="shared" si="950"/>
        <v>1</v>
      </c>
      <c r="BY831" s="1120">
        <f t="shared" si="951"/>
        <v>1</v>
      </c>
      <c r="BZ831" s="1120">
        <f t="shared" si="952"/>
        <v>1</v>
      </c>
      <c r="CA831" s="1120">
        <f t="shared" si="953"/>
        <v>1</v>
      </c>
      <c r="CB831" s="1120">
        <f t="shared" si="954"/>
        <v>1</v>
      </c>
      <c r="CC831" s="1120">
        <f t="shared" si="955"/>
        <v>1</v>
      </c>
      <c r="CD831" s="1120">
        <f t="shared" si="956"/>
        <v>1</v>
      </c>
      <c r="CE831" s="1120">
        <f t="shared" si="957"/>
        <v>1</v>
      </c>
      <c r="CF831" s="1120">
        <f t="shared" si="958"/>
        <v>1</v>
      </c>
      <c r="CG831" s="1120">
        <f t="shared" si="959"/>
        <v>1</v>
      </c>
      <c r="CH831" s="1120">
        <f t="shared" si="960"/>
        <v>1</v>
      </c>
      <c r="CI831" s="1120">
        <f t="shared" si="961"/>
        <v>0.85</v>
      </c>
      <c r="CJ831" s="1120">
        <f t="shared" si="962"/>
        <v>0.85</v>
      </c>
      <c r="CK831" s="1120">
        <f t="shared" si="963"/>
        <v>0.85</v>
      </c>
      <c r="CL831" s="1120">
        <f t="shared" si="964"/>
        <v>0.7</v>
      </c>
      <c r="CM831" s="1120">
        <f t="shared" si="965"/>
        <v>0.7</v>
      </c>
      <c r="CN831" s="1120">
        <f t="shared" si="966"/>
        <v>0.7</v>
      </c>
      <c r="CO831" s="1120">
        <f t="shared" si="967"/>
        <v>0.7</v>
      </c>
      <c r="CP831" s="1120">
        <f t="shared" si="968"/>
        <v>0.7</v>
      </c>
      <c r="CQ831" s="1120">
        <f t="shared" si="969"/>
        <v>0.7</v>
      </c>
      <c r="CR831" s="1120">
        <f t="shared" si="970"/>
        <v>0.7</v>
      </c>
      <c r="CS831" s="1120">
        <f t="shared" si="971"/>
        <v>0.7</v>
      </c>
      <c r="CT831" s="1120">
        <f t="shared" si="972"/>
        <v>0.85</v>
      </c>
      <c r="CU831" s="1120">
        <v>1</v>
      </c>
      <c r="CV831" s="1120"/>
      <c r="CW831" s="1120">
        <f t="shared" si="973"/>
        <v>334</v>
      </c>
      <c r="CX831" s="1120">
        <f t="shared" si="974"/>
        <v>31</v>
      </c>
      <c r="CY831" s="1135" t="s">
        <v>4883</v>
      </c>
      <c r="CZ831" s="1124" t="s">
        <v>4884</v>
      </c>
      <c r="DA831" s="1124"/>
      <c r="DB831" s="1124"/>
      <c r="DC831" s="1120" t="s">
        <v>5119</v>
      </c>
      <c r="DD831" s="1120" t="s">
        <v>594</v>
      </c>
      <c r="DE831" s="1120" t="str">
        <f t="shared" si="975"/>
        <v/>
      </c>
      <c r="DF831" s="1133">
        <v>0</v>
      </c>
      <c r="DG831" s="1125">
        <v>0</v>
      </c>
    </row>
    <row r="832" spans="1:111">
      <c r="A832" s="1120" t="s">
        <v>4354</v>
      </c>
      <c r="B832" s="1120" t="s">
        <v>4088</v>
      </c>
      <c r="C832" s="1120" t="s">
        <v>4089</v>
      </c>
      <c r="D832" s="1120" t="s">
        <v>538</v>
      </c>
      <c r="E832" s="1120">
        <v>6344</v>
      </c>
      <c r="F832" s="1120">
        <v>-106.08</v>
      </c>
      <c r="G832" s="1120">
        <v>35.619999999999997</v>
      </c>
      <c r="H832" s="1120">
        <v>-7</v>
      </c>
      <c r="I832" s="1121">
        <v>12.019999313354491</v>
      </c>
      <c r="J832" s="1121">
        <v>89.779997253417974</v>
      </c>
      <c r="K832" s="1122">
        <v>60.980000686645511</v>
      </c>
      <c r="L832" s="1120">
        <v>5365.8</v>
      </c>
      <c r="M832" s="1120">
        <v>648</v>
      </c>
      <c r="N832" s="1123">
        <v>31.1</v>
      </c>
      <c r="O832" s="1123">
        <v>35.960000085830686</v>
      </c>
      <c r="P832" s="1123">
        <v>47.119999313354491</v>
      </c>
      <c r="Q832" s="1123">
        <v>51.440000343322751</v>
      </c>
      <c r="R832" s="1123">
        <v>60.8</v>
      </c>
      <c r="S832" s="1123">
        <v>70.16000137329101</v>
      </c>
      <c r="T832" s="1123">
        <v>70.7</v>
      </c>
      <c r="U832" s="1123">
        <v>69.8</v>
      </c>
      <c r="V832" s="1123">
        <v>60.980000686645511</v>
      </c>
      <c r="W832" s="1123">
        <v>50.9</v>
      </c>
      <c r="X832" s="1123">
        <v>37.939999914169313</v>
      </c>
      <c r="Y832" s="1123">
        <v>29.660000085830688</v>
      </c>
      <c r="Z832" s="1123">
        <v>51.465643981646188</v>
      </c>
      <c r="AA832" s="1123">
        <f t="shared" si="901"/>
        <v>48.798803700797933</v>
      </c>
      <c r="AB832" s="1123">
        <f t="shared" si="902"/>
        <v>47.734460450688118</v>
      </c>
      <c r="AC832" s="1123">
        <f t="shared" si="903"/>
        <v>49.206700150000053</v>
      </c>
      <c r="AD832" s="1123">
        <f t="shared" si="904"/>
        <v>52.831760833207554</v>
      </c>
      <c r="AE832" s="1123">
        <f t="shared" si="905"/>
        <v>57.664714569356477</v>
      </c>
      <c r="AF832" s="1123">
        <f t="shared" si="906"/>
        <v>62.445777489048091</v>
      </c>
      <c r="AG832" s="1123">
        <f t="shared" si="907"/>
        <v>65.928691863854965</v>
      </c>
      <c r="AH832" s="1123">
        <f t="shared" si="908"/>
        <v>67.205582388648494</v>
      </c>
      <c r="AI832" s="1123">
        <f t="shared" si="909"/>
        <v>65.943607870662618</v>
      </c>
      <c r="AJ832" s="1123">
        <f t="shared" si="910"/>
        <v>62.471721415626362</v>
      </c>
      <c r="AK832" s="1123">
        <f t="shared" si="911"/>
        <v>57.69492373143472</v>
      </c>
      <c r="AL832" s="1123">
        <f t="shared" si="912"/>
        <v>52.858360747152815</v>
      </c>
      <c r="AM832" s="1120">
        <f t="shared" si="913"/>
        <v>1</v>
      </c>
      <c r="AN832" s="1120">
        <f t="shared" si="914"/>
        <v>1</v>
      </c>
      <c r="AO832" s="1120">
        <f t="shared" si="915"/>
        <v>1</v>
      </c>
      <c r="AP832" s="1120">
        <f t="shared" si="916"/>
        <v>1</v>
      </c>
      <c r="AQ832" s="1120">
        <f t="shared" si="917"/>
        <v>1</v>
      </c>
      <c r="AR832" s="1120">
        <f t="shared" si="918"/>
        <v>0</v>
      </c>
      <c r="AS832" s="1120">
        <f t="shared" si="919"/>
        <v>0</v>
      </c>
      <c r="AT832" s="1120">
        <f t="shared" si="920"/>
        <v>0</v>
      </c>
      <c r="AU832" s="1120">
        <f t="shared" si="921"/>
        <v>1</v>
      </c>
      <c r="AV832" s="1120">
        <f t="shared" si="922"/>
        <v>1</v>
      </c>
      <c r="AW832" s="1120">
        <f t="shared" si="923"/>
        <v>1</v>
      </c>
      <c r="AX832" s="1120">
        <f t="shared" si="924"/>
        <v>1</v>
      </c>
      <c r="AY832" s="1120">
        <f t="shared" si="925"/>
        <v>0</v>
      </c>
      <c r="AZ832" s="1120">
        <f t="shared" si="926"/>
        <v>0</v>
      </c>
      <c r="BA832" s="1120">
        <f t="shared" si="927"/>
        <v>0</v>
      </c>
      <c r="BB832" s="1120">
        <f t="shared" si="928"/>
        <v>0</v>
      </c>
      <c r="BC832" s="1120">
        <f t="shared" si="929"/>
        <v>0</v>
      </c>
      <c r="BD832" s="1120">
        <f t="shared" si="930"/>
        <v>1</v>
      </c>
      <c r="BE832" s="1120">
        <f t="shared" si="931"/>
        <v>1</v>
      </c>
      <c r="BF832" s="1120">
        <f t="shared" si="932"/>
        <v>1</v>
      </c>
      <c r="BG832" s="1120">
        <f t="shared" si="933"/>
        <v>0</v>
      </c>
      <c r="BH832" s="1120">
        <f t="shared" si="934"/>
        <v>0</v>
      </c>
      <c r="BI832" s="1120">
        <f t="shared" si="935"/>
        <v>0</v>
      </c>
      <c r="BJ832" s="1120">
        <f t="shared" si="936"/>
        <v>0</v>
      </c>
      <c r="BK832" s="1120">
        <f t="shared" si="937"/>
        <v>1</v>
      </c>
      <c r="BL832" s="1120">
        <f t="shared" si="938"/>
        <v>1</v>
      </c>
      <c r="BM832" s="1120">
        <f t="shared" si="939"/>
        <v>1</v>
      </c>
      <c r="BN832" s="1120">
        <f t="shared" si="940"/>
        <v>1</v>
      </c>
      <c r="BO832" s="1120">
        <f t="shared" si="941"/>
        <v>1</v>
      </c>
      <c r="BP832" s="1120">
        <f t="shared" si="942"/>
        <v>1</v>
      </c>
      <c r="BQ832" s="1120">
        <f t="shared" si="943"/>
        <v>0</v>
      </c>
      <c r="BR832" s="1120">
        <f t="shared" si="944"/>
        <v>0</v>
      </c>
      <c r="BS832" s="1120">
        <f t="shared" si="945"/>
        <v>1</v>
      </c>
      <c r="BT832" s="1120">
        <f t="shared" si="946"/>
        <v>1</v>
      </c>
      <c r="BU832" s="1120">
        <f t="shared" si="947"/>
        <v>1</v>
      </c>
      <c r="BV832" s="1120">
        <f t="shared" si="948"/>
        <v>1</v>
      </c>
      <c r="BW832" s="1120">
        <f t="shared" si="949"/>
        <v>0</v>
      </c>
      <c r="BX832" s="1120">
        <f t="shared" si="950"/>
        <v>0</v>
      </c>
      <c r="BY832" s="1120">
        <f t="shared" si="951"/>
        <v>0</v>
      </c>
      <c r="BZ832" s="1120">
        <f t="shared" si="952"/>
        <v>0</v>
      </c>
      <c r="CA832" s="1120">
        <f t="shared" si="953"/>
        <v>1</v>
      </c>
      <c r="CB832" s="1120">
        <f t="shared" si="954"/>
        <v>1</v>
      </c>
      <c r="CC832" s="1120">
        <f t="shared" si="955"/>
        <v>1</v>
      </c>
      <c r="CD832" s="1120">
        <f t="shared" si="956"/>
        <v>1</v>
      </c>
      <c r="CE832" s="1120">
        <f t="shared" si="957"/>
        <v>1</v>
      </c>
      <c r="CF832" s="1120">
        <f t="shared" si="958"/>
        <v>0</v>
      </c>
      <c r="CG832" s="1120">
        <f t="shared" si="959"/>
        <v>0</v>
      </c>
      <c r="CH832" s="1120">
        <f t="shared" si="960"/>
        <v>0</v>
      </c>
      <c r="CI832" s="1120">
        <f t="shared" si="961"/>
        <v>0.85</v>
      </c>
      <c r="CJ832" s="1120">
        <f t="shared" si="962"/>
        <v>0.85</v>
      </c>
      <c r="CK832" s="1120">
        <f t="shared" si="963"/>
        <v>0.85</v>
      </c>
      <c r="CL832" s="1120">
        <f t="shared" si="964"/>
        <v>0.85</v>
      </c>
      <c r="CM832" s="1120">
        <f t="shared" si="965"/>
        <v>0.85</v>
      </c>
      <c r="CN832" s="1120">
        <f t="shared" si="966"/>
        <v>0.85</v>
      </c>
      <c r="CO832" s="1120">
        <f t="shared" si="967"/>
        <v>0.7</v>
      </c>
      <c r="CP832" s="1120">
        <f t="shared" si="968"/>
        <v>0.7</v>
      </c>
      <c r="CQ832" s="1120">
        <f t="shared" si="969"/>
        <v>0.85</v>
      </c>
      <c r="CR832" s="1120">
        <f t="shared" si="970"/>
        <v>0.85</v>
      </c>
      <c r="CS832" s="1120">
        <f t="shared" si="971"/>
        <v>0.85</v>
      </c>
      <c r="CT832" s="1120">
        <f t="shared" si="972"/>
        <v>0.85</v>
      </c>
      <c r="CU832" s="1120">
        <v>1</v>
      </c>
      <c r="CV832" s="1120"/>
      <c r="CW832" s="1120">
        <f t="shared" si="973"/>
        <v>153</v>
      </c>
      <c r="CX832" s="1120">
        <f t="shared" si="974"/>
        <v>212</v>
      </c>
      <c r="CY832" s="1135" t="s">
        <v>4889</v>
      </c>
      <c r="CZ832" s="1124" t="s">
        <v>4890</v>
      </c>
      <c r="DA832" s="1124"/>
      <c r="DB832" s="1124"/>
      <c r="DC832" s="1120" t="s">
        <v>5456</v>
      </c>
      <c r="DD832" s="1120" t="s">
        <v>538</v>
      </c>
      <c r="DE832" s="1120" t="str">
        <f t="shared" si="975"/>
        <v/>
      </c>
      <c r="DF832" s="1133">
        <v>0</v>
      </c>
      <c r="DG832" s="1120">
        <v>0</v>
      </c>
    </row>
    <row r="833" spans="1:111">
      <c r="A833" s="1125" t="s">
        <v>4356</v>
      </c>
      <c r="B833" s="1120" t="s">
        <v>3757</v>
      </c>
      <c r="C833" s="1120" t="s">
        <v>3758</v>
      </c>
      <c r="D833" s="1120" t="s">
        <v>540</v>
      </c>
      <c r="E833" s="1120">
        <v>718</v>
      </c>
      <c r="F833" s="1120">
        <v>-84.35</v>
      </c>
      <c r="G833" s="1120">
        <v>46.47</v>
      </c>
      <c r="H833" s="1120">
        <v>-5</v>
      </c>
      <c r="I833" s="1121">
        <v>-6.1600013732910162</v>
      </c>
      <c r="J833" s="1121">
        <v>80.419999313354495</v>
      </c>
      <c r="K833" s="1122">
        <v>68</v>
      </c>
      <c r="L833" s="1120">
        <v>8931.6</v>
      </c>
      <c r="M833" s="1120">
        <v>129.6</v>
      </c>
      <c r="N833" s="1123">
        <v>10.940000343322753</v>
      </c>
      <c r="O833" s="1123">
        <v>14.180000686645508</v>
      </c>
      <c r="P833" s="1123">
        <v>26.6</v>
      </c>
      <c r="Q833" s="1123">
        <v>36.679999828338623</v>
      </c>
      <c r="R833" s="1123">
        <v>52.159999656677243</v>
      </c>
      <c r="S833" s="1123">
        <v>60.440000343322751</v>
      </c>
      <c r="T833" s="1123">
        <v>64.219999313354492</v>
      </c>
      <c r="U833" s="1123">
        <v>62.780000686645508</v>
      </c>
      <c r="V833" s="1123">
        <v>55.4</v>
      </c>
      <c r="W833" s="1123">
        <v>43.159999656677243</v>
      </c>
      <c r="X833" s="1123">
        <v>35.779999828338624</v>
      </c>
      <c r="Y833" s="1123">
        <v>19.579999828338622</v>
      </c>
      <c r="Z833" s="1123">
        <v>40.297753433593336</v>
      </c>
      <c r="AA833" s="1123">
        <f t="shared" si="901"/>
        <v>38.694606697928798</v>
      </c>
      <c r="AB833" s="1123">
        <f t="shared" si="902"/>
        <v>36.736261065518249</v>
      </c>
      <c r="AC833" s="1123">
        <f t="shared" si="903"/>
        <v>37.270265765904028</v>
      </c>
      <c r="AD833" s="1123">
        <f t="shared" si="904"/>
        <v>40.157424244669038</v>
      </c>
      <c r="AE833" s="1123">
        <f t="shared" si="905"/>
        <v>44.645154151864254</v>
      </c>
      <c r="AF833" s="1123">
        <f t="shared" si="906"/>
        <v>49.563659529167978</v>
      </c>
      <c r="AG833" s="1123">
        <f t="shared" si="907"/>
        <v>53.630856153523787</v>
      </c>
      <c r="AH833" s="1123">
        <f t="shared" si="908"/>
        <v>55.786566547396127</v>
      </c>
      <c r="AI833" s="1123">
        <f t="shared" si="909"/>
        <v>55.46887157611944</v>
      </c>
      <c r="AJ833" s="1123">
        <f t="shared" si="910"/>
        <v>52.76058332978468</v>
      </c>
      <c r="AK833" s="1123">
        <f t="shared" si="911"/>
        <v>48.367658875784215</v>
      </c>
      <c r="AL833" s="1123">
        <f t="shared" si="912"/>
        <v>43.435181670068303</v>
      </c>
      <c r="AM833" s="1120">
        <f t="shared" si="913"/>
        <v>1</v>
      </c>
      <c r="AN833" s="1120">
        <f t="shared" si="914"/>
        <v>1</v>
      </c>
      <c r="AO833" s="1120">
        <f t="shared" si="915"/>
        <v>1</v>
      </c>
      <c r="AP833" s="1120">
        <f t="shared" si="916"/>
        <v>1</v>
      </c>
      <c r="AQ833" s="1120">
        <f t="shared" si="917"/>
        <v>1</v>
      </c>
      <c r="AR833" s="1120">
        <f t="shared" si="918"/>
        <v>1</v>
      </c>
      <c r="AS833" s="1120">
        <f t="shared" si="919"/>
        <v>1</v>
      </c>
      <c r="AT833" s="1120">
        <f t="shared" si="920"/>
        <v>1</v>
      </c>
      <c r="AU833" s="1120">
        <f t="shared" si="921"/>
        <v>1</v>
      </c>
      <c r="AV833" s="1120">
        <f t="shared" si="922"/>
        <v>1</v>
      </c>
      <c r="AW833" s="1120">
        <f t="shared" si="923"/>
        <v>1</v>
      </c>
      <c r="AX833" s="1120">
        <f t="shared" si="924"/>
        <v>1</v>
      </c>
      <c r="AY833" s="1120">
        <f t="shared" si="925"/>
        <v>0</v>
      </c>
      <c r="AZ833" s="1120">
        <f t="shared" si="926"/>
        <v>0</v>
      </c>
      <c r="BA833" s="1120">
        <f t="shared" si="927"/>
        <v>0</v>
      </c>
      <c r="BB833" s="1120">
        <f t="shared" si="928"/>
        <v>0</v>
      </c>
      <c r="BC833" s="1120">
        <f t="shared" si="929"/>
        <v>0</v>
      </c>
      <c r="BD833" s="1120">
        <f t="shared" si="930"/>
        <v>0</v>
      </c>
      <c r="BE833" s="1120">
        <f t="shared" si="931"/>
        <v>1</v>
      </c>
      <c r="BF833" s="1120">
        <f t="shared" si="932"/>
        <v>1</v>
      </c>
      <c r="BG833" s="1120">
        <f t="shared" si="933"/>
        <v>0</v>
      </c>
      <c r="BH833" s="1120">
        <f t="shared" si="934"/>
        <v>0</v>
      </c>
      <c r="BI833" s="1120">
        <f t="shared" si="935"/>
        <v>0</v>
      </c>
      <c r="BJ833" s="1120">
        <f t="shared" si="936"/>
        <v>0</v>
      </c>
      <c r="BK833" s="1120">
        <f t="shared" si="937"/>
        <v>1</v>
      </c>
      <c r="BL833" s="1120">
        <f t="shared" si="938"/>
        <v>1</v>
      </c>
      <c r="BM833" s="1120">
        <f t="shared" si="939"/>
        <v>1</v>
      </c>
      <c r="BN833" s="1120">
        <f t="shared" si="940"/>
        <v>1</v>
      </c>
      <c r="BO833" s="1120">
        <f t="shared" si="941"/>
        <v>1</v>
      </c>
      <c r="BP833" s="1120">
        <f t="shared" si="942"/>
        <v>1</v>
      </c>
      <c r="BQ833" s="1120">
        <f t="shared" si="943"/>
        <v>1</v>
      </c>
      <c r="BR833" s="1120">
        <f t="shared" si="944"/>
        <v>1</v>
      </c>
      <c r="BS833" s="1120">
        <f t="shared" si="945"/>
        <v>1</v>
      </c>
      <c r="BT833" s="1120">
        <f t="shared" si="946"/>
        <v>1</v>
      </c>
      <c r="BU833" s="1120">
        <f t="shared" si="947"/>
        <v>1</v>
      </c>
      <c r="BV833" s="1120">
        <f t="shared" si="948"/>
        <v>1</v>
      </c>
      <c r="BW833" s="1120">
        <f t="shared" si="949"/>
        <v>0</v>
      </c>
      <c r="BX833" s="1120">
        <f t="shared" si="950"/>
        <v>0</v>
      </c>
      <c r="BY833" s="1120">
        <f t="shared" si="951"/>
        <v>0</v>
      </c>
      <c r="BZ833" s="1120">
        <f t="shared" si="952"/>
        <v>0</v>
      </c>
      <c r="CA833" s="1120">
        <f t="shared" si="953"/>
        <v>0</v>
      </c>
      <c r="CB833" s="1120">
        <f t="shared" si="954"/>
        <v>0</v>
      </c>
      <c r="CC833" s="1120">
        <f t="shared" si="955"/>
        <v>1</v>
      </c>
      <c r="CD833" s="1120">
        <f t="shared" si="956"/>
        <v>1</v>
      </c>
      <c r="CE833" s="1120">
        <f t="shared" si="957"/>
        <v>0</v>
      </c>
      <c r="CF833" s="1120">
        <f t="shared" si="958"/>
        <v>0</v>
      </c>
      <c r="CG833" s="1120">
        <f t="shared" si="959"/>
        <v>0</v>
      </c>
      <c r="CH833" s="1120">
        <f t="shared" si="960"/>
        <v>0</v>
      </c>
      <c r="CI833" s="1120">
        <f t="shared" si="961"/>
        <v>0.85</v>
      </c>
      <c r="CJ833" s="1120">
        <f t="shared" si="962"/>
        <v>0.85</v>
      </c>
      <c r="CK833" s="1120">
        <f t="shared" si="963"/>
        <v>0.85</v>
      </c>
      <c r="CL833" s="1120">
        <f t="shared" si="964"/>
        <v>0.85</v>
      </c>
      <c r="CM833" s="1120">
        <f t="shared" si="965"/>
        <v>0.85</v>
      </c>
      <c r="CN833" s="1120">
        <f t="shared" si="966"/>
        <v>0.85</v>
      </c>
      <c r="CO833" s="1120">
        <f t="shared" si="967"/>
        <v>0.85</v>
      </c>
      <c r="CP833" s="1120">
        <f t="shared" si="968"/>
        <v>0.85</v>
      </c>
      <c r="CQ833" s="1120">
        <f t="shared" si="969"/>
        <v>0.85</v>
      </c>
      <c r="CR833" s="1120">
        <f t="shared" si="970"/>
        <v>0.85</v>
      </c>
      <c r="CS833" s="1120">
        <f t="shared" si="971"/>
        <v>0.85</v>
      </c>
      <c r="CT833" s="1120">
        <f t="shared" si="972"/>
        <v>0.85</v>
      </c>
      <c r="CU833" s="1120">
        <v>1</v>
      </c>
      <c r="CV833" s="1120"/>
      <c r="CW833" s="1120">
        <f t="shared" si="973"/>
        <v>62</v>
      </c>
      <c r="CX833" s="1120">
        <f t="shared" si="974"/>
        <v>303</v>
      </c>
      <c r="CY833" s="1136" t="s">
        <v>4879</v>
      </c>
      <c r="CZ833" s="1129">
        <v>7</v>
      </c>
      <c r="DA833" s="1129"/>
      <c r="DB833" s="1129"/>
      <c r="DC833" s="1125" t="s">
        <v>5316</v>
      </c>
      <c r="DD833" s="1125" t="s">
        <v>540</v>
      </c>
      <c r="DE833" s="1120" t="str">
        <f t="shared" si="975"/>
        <v/>
      </c>
      <c r="DF833" s="1133">
        <v>0</v>
      </c>
      <c r="DG833" s="1125">
        <v>0</v>
      </c>
    </row>
    <row r="834" spans="1:111">
      <c r="A834" s="1120" t="s">
        <v>4358</v>
      </c>
      <c r="B834" s="1125" t="s">
        <v>3376</v>
      </c>
      <c r="C834" s="1125" t="s">
        <v>3377</v>
      </c>
      <c r="D834" s="1125" t="s">
        <v>428</v>
      </c>
      <c r="E834" s="1125">
        <v>46</v>
      </c>
      <c r="F834" s="1125">
        <v>-81.2</v>
      </c>
      <c r="G834" s="1125">
        <v>32.119999999999997</v>
      </c>
      <c r="H834" s="1125">
        <v>-5</v>
      </c>
      <c r="I834" s="1126">
        <v>30.559999978542329</v>
      </c>
      <c r="J834" s="1126">
        <v>93.379997253417969</v>
      </c>
      <c r="K834" s="1127">
        <v>76.819999313354487</v>
      </c>
      <c r="L834" s="1125">
        <v>1702.8</v>
      </c>
      <c r="M834" s="1125">
        <v>2424.6</v>
      </c>
      <c r="N834" s="1128">
        <v>48.2</v>
      </c>
      <c r="O834" s="1128">
        <v>51.980000686645511</v>
      </c>
      <c r="P834" s="1128">
        <v>62.060001373291016</v>
      </c>
      <c r="Q834" s="1128">
        <v>66.380000686645502</v>
      </c>
      <c r="R834" s="1128">
        <v>73.939998626708984</v>
      </c>
      <c r="S834" s="1128">
        <v>79.7</v>
      </c>
      <c r="T834" s="1128">
        <v>81.319999313354487</v>
      </c>
      <c r="U834" s="1128">
        <v>79.7</v>
      </c>
      <c r="V834" s="1128">
        <v>76.639998626708987</v>
      </c>
      <c r="W834" s="1128">
        <v>66.2</v>
      </c>
      <c r="X834" s="1128">
        <v>60.980000686645511</v>
      </c>
      <c r="Y834" s="1128">
        <v>49.1</v>
      </c>
      <c r="Z834" s="1128">
        <v>66.417972597096067</v>
      </c>
      <c r="AA834" s="1128">
        <f t="shared" si="901"/>
        <v>62.32290938764821</v>
      </c>
      <c r="AB834" s="1128">
        <f t="shared" si="902"/>
        <v>62.542438442397</v>
      </c>
      <c r="AC834" s="1128">
        <f t="shared" si="903"/>
        <v>65.336177661156086</v>
      </c>
      <c r="AD834" s="1128">
        <f t="shared" si="904"/>
        <v>69.975895863731324</v>
      </c>
      <c r="AE834" s="1128">
        <f t="shared" si="905"/>
        <v>75.252179000399721</v>
      </c>
      <c r="AF834" s="1128">
        <f t="shared" si="906"/>
        <v>79.789682561604252</v>
      </c>
      <c r="AG834" s="1128">
        <f t="shared" si="907"/>
        <v>82.405636319070496</v>
      </c>
      <c r="AH834" s="1128">
        <f t="shared" si="908"/>
        <v>82.418151612847197</v>
      </c>
      <c r="AI834" s="1128">
        <f t="shared" si="909"/>
        <v>79.823966138744936</v>
      </c>
      <c r="AJ834" s="1128">
        <f t="shared" si="910"/>
        <v>75.299294318196729</v>
      </c>
      <c r="AK834" s="1128">
        <f t="shared" si="911"/>
        <v>70.023561588531891</v>
      </c>
      <c r="AL834" s="1128">
        <f t="shared" si="912"/>
        <v>65.371968987239839</v>
      </c>
      <c r="AM834" s="1125">
        <f t="shared" si="913"/>
        <v>1</v>
      </c>
      <c r="AN834" s="1125">
        <f t="shared" si="914"/>
        <v>1</v>
      </c>
      <c r="AO834" s="1125">
        <f t="shared" si="915"/>
        <v>1</v>
      </c>
      <c r="AP834" s="1125">
        <f t="shared" si="916"/>
        <v>0</v>
      </c>
      <c r="AQ834" s="1125">
        <f t="shared" si="917"/>
        <v>0</v>
      </c>
      <c r="AR834" s="1125">
        <f t="shared" si="918"/>
        <v>0</v>
      </c>
      <c r="AS834" s="1125">
        <f t="shared" si="919"/>
        <v>0</v>
      </c>
      <c r="AT834" s="1125">
        <f t="shared" si="920"/>
        <v>0</v>
      </c>
      <c r="AU834" s="1125">
        <f t="shared" si="921"/>
        <v>0</v>
      </c>
      <c r="AV834" s="1125">
        <f t="shared" si="922"/>
        <v>0</v>
      </c>
      <c r="AW834" s="1125">
        <f t="shared" si="923"/>
        <v>1</v>
      </c>
      <c r="AX834" s="1125">
        <f t="shared" si="924"/>
        <v>1</v>
      </c>
      <c r="AY834" s="1125">
        <f t="shared" si="925"/>
        <v>0</v>
      </c>
      <c r="AZ834" s="1125">
        <f t="shared" si="926"/>
        <v>0</v>
      </c>
      <c r="BA834" s="1125">
        <f t="shared" si="927"/>
        <v>0</v>
      </c>
      <c r="BB834" s="1125">
        <f t="shared" si="928"/>
        <v>1</v>
      </c>
      <c r="BC834" s="1125">
        <f t="shared" si="929"/>
        <v>1</v>
      </c>
      <c r="BD834" s="1125">
        <f t="shared" si="930"/>
        <v>1</v>
      </c>
      <c r="BE834" s="1125">
        <f t="shared" si="931"/>
        <v>1</v>
      </c>
      <c r="BF834" s="1125">
        <f t="shared" si="932"/>
        <v>1</v>
      </c>
      <c r="BG834" s="1125">
        <f t="shared" si="933"/>
        <v>1</v>
      </c>
      <c r="BH834" s="1125">
        <f t="shared" si="934"/>
        <v>1</v>
      </c>
      <c r="BI834" s="1125">
        <f t="shared" si="935"/>
        <v>0</v>
      </c>
      <c r="BJ834" s="1125">
        <f t="shared" si="936"/>
        <v>0</v>
      </c>
      <c r="BK834" s="1125">
        <f t="shared" si="937"/>
        <v>1</v>
      </c>
      <c r="BL834" s="1125">
        <f t="shared" si="938"/>
        <v>1</v>
      </c>
      <c r="BM834" s="1125">
        <f t="shared" si="939"/>
        <v>1</v>
      </c>
      <c r="BN834" s="1125">
        <f t="shared" si="940"/>
        <v>1</v>
      </c>
      <c r="BO834" s="1125">
        <f t="shared" si="941"/>
        <v>0</v>
      </c>
      <c r="BP834" s="1125">
        <f t="shared" si="942"/>
        <v>0</v>
      </c>
      <c r="BQ834" s="1125">
        <f t="shared" si="943"/>
        <v>0</v>
      </c>
      <c r="BR834" s="1125">
        <f t="shared" si="944"/>
        <v>0</v>
      </c>
      <c r="BS834" s="1125">
        <f t="shared" si="945"/>
        <v>0</v>
      </c>
      <c r="BT834" s="1125">
        <f t="shared" si="946"/>
        <v>0</v>
      </c>
      <c r="BU834" s="1125">
        <f t="shared" si="947"/>
        <v>1</v>
      </c>
      <c r="BV834" s="1125">
        <f t="shared" si="948"/>
        <v>1</v>
      </c>
      <c r="BW834" s="1125">
        <f t="shared" si="949"/>
        <v>0</v>
      </c>
      <c r="BX834" s="1125">
        <f t="shared" si="950"/>
        <v>0</v>
      </c>
      <c r="BY834" s="1125">
        <f t="shared" si="951"/>
        <v>1</v>
      </c>
      <c r="BZ834" s="1125">
        <f t="shared" si="952"/>
        <v>1</v>
      </c>
      <c r="CA834" s="1125">
        <f t="shared" si="953"/>
        <v>1</v>
      </c>
      <c r="CB834" s="1125">
        <f t="shared" si="954"/>
        <v>1</v>
      </c>
      <c r="CC834" s="1125">
        <f t="shared" si="955"/>
        <v>1</v>
      </c>
      <c r="CD834" s="1125">
        <f t="shared" si="956"/>
        <v>1</v>
      </c>
      <c r="CE834" s="1125">
        <f t="shared" si="957"/>
        <v>1</v>
      </c>
      <c r="CF834" s="1125">
        <f t="shared" si="958"/>
        <v>1</v>
      </c>
      <c r="CG834" s="1125">
        <f t="shared" si="959"/>
        <v>1</v>
      </c>
      <c r="CH834" s="1125">
        <f t="shared" si="960"/>
        <v>0</v>
      </c>
      <c r="CI834" s="1125">
        <f t="shared" si="961"/>
        <v>0.85</v>
      </c>
      <c r="CJ834" s="1125">
        <f t="shared" si="962"/>
        <v>0.85</v>
      </c>
      <c r="CK834" s="1125">
        <f t="shared" si="963"/>
        <v>0.85</v>
      </c>
      <c r="CL834" s="1125">
        <f t="shared" si="964"/>
        <v>0.85</v>
      </c>
      <c r="CM834" s="1125">
        <f t="shared" si="965"/>
        <v>0.7</v>
      </c>
      <c r="CN834" s="1125">
        <f t="shared" si="966"/>
        <v>0.7</v>
      </c>
      <c r="CO834" s="1125">
        <f t="shared" si="967"/>
        <v>0.7</v>
      </c>
      <c r="CP834" s="1125">
        <f t="shared" si="968"/>
        <v>0.7</v>
      </c>
      <c r="CQ834" s="1125">
        <f t="shared" si="969"/>
        <v>0.7</v>
      </c>
      <c r="CR834" s="1125">
        <f t="shared" si="970"/>
        <v>0.7</v>
      </c>
      <c r="CS834" s="1125">
        <f t="shared" si="971"/>
        <v>0.85</v>
      </c>
      <c r="CT834" s="1125">
        <f t="shared" si="972"/>
        <v>0.85</v>
      </c>
      <c r="CU834" s="1125">
        <v>1</v>
      </c>
      <c r="CV834" s="1125"/>
      <c r="CW834" s="1125">
        <f t="shared" si="973"/>
        <v>275</v>
      </c>
      <c r="CX834" s="1125">
        <f t="shared" si="974"/>
        <v>90</v>
      </c>
      <c r="CY834" s="1136" t="s">
        <v>4883</v>
      </c>
      <c r="CZ834" s="1129" t="s">
        <v>4884</v>
      </c>
      <c r="DA834" s="1129"/>
      <c r="DB834" s="1129"/>
      <c r="DC834" s="1125" t="s">
        <v>5144</v>
      </c>
      <c r="DD834" s="1125" t="s">
        <v>428</v>
      </c>
      <c r="DE834" s="1120" t="str">
        <f t="shared" si="975"/>
        <v/>
      </c>
      <c r="DF834" s="1133">
        <v>0</v>
      </c>
      <c r="DG834" s="1120">
        <v>0</v>
      </c>
    </row>
    <row r="835" spans="1:111">
      <c r="A835" s="1125" t="s">
        <v>4362</v>
      </c>
      <c r="B835" s="1125" t="s">
        <v>272</v>
      </c>
      <c r="C835" s="1125" t="s">
        <v>273</v>
      </c>
      <c r="D835" s="1125" t="s">
        <v>953</v>
      </c>
      <c r="E835" s="1125">
        <v>56</v>
      </c>
      <c r="F835" s="1125">
        <v>-170.5</v>
      </c>
      <c r="G835" s="1125">
        <v>63.68</v>
      </c>
      <c r="H835" s="1125">
        <v>-9</v>
      </c>
      <c r="I835" s="1126">
        <v>-16.780000686645508</v>
      </c>
      <c r="J835" s="1126">
        <v>63.680000686645506</v>
      </c>
      <c r="K835" s="1127">
        <v>46.759999656677245</v>
      </c>
      <c r="L835" s="1125">
        <v>12879</v>
      </c>
      <c r="M835" s="1125">
        <v>0</v>
      </c>
      <c r="N835" s="1128">
        <v>11.480000686645507</v>
      </c>
      <c r="O835" s="1128">
        <v>12.559999656677245</v>
      </c>
      <c r="P835" s="1128">
        <v>6.6199993133544917</v>
      </c>
      <c r="Q835" s="1128">
        <v>25.160000085830688</v>
      </c>
      <c r="R835" s="1128">
        <v>35.419999957084656</v>
      </c>
      <c r="S835" s="1128">
        <v>38.660000085830688</v>
      </c>
      <c r="T835" s="1128">
        <v>47.840000343322757</v>
      </c>
      <c r="U835" s="1128">
        <v>46.759999656677245</v>
      </c>
      <c r="V835" s="1128">
        <v>40.820000171661377</v>
      </c>
      <c r="W835" s="1128">
        <v>33.980000042915343</v>
      </c>
      <c r="X835" s="1128">
        <v>28.939999914169313</v>
      </c>
      <c r="Y835" s="1128">
        <v>19.940000343322755</v>
      </c>
      <c r="Z835" s="1128">
        <v>29.102246599328026</v>
      </c>
      <c r="AA835" s="1128">
        <f t="shared" ref="AA835:AA898" si="976">MAX($Z835+6+(0.4+0.01*($Z835-44))*(MAX($N835:$Y835)-MIN($N835:$Y835))/2*SIN((0.986*((1*30-15)-15-(35-1*($Z835-44)))-90)*PI()/180),32)</f>
        <v>32</v>
      </c>
      <c r="AB835" s="1128">
        <f t="shared" ref="AB835:AB898" si="977">MAX($Z835+6+(0.4+0.01*($Z835-44))*(MAX($N835:$Y835)-MIN($N835:$Y835))/2*SIN((0.986*((2*30-15)-15-(35-1*($Z835-44)))-90)*PI()/180),32)</f>
        <v>32</v>
      </c>
      <c r="AC835" s="1128">
        <f t="shared" ref="AC835:AC898" si="978">MAX($Z835+6+(0.4+0.01*($Z835-44))*(MAX($N835:$Y835)-MIN($N835:$Y835))/2*SIN((0.986*((3*30-15)-15-(35-1*($Z835-44)))-90)*PI()/180),32)</f>
        <v>32</v>
      </c>
      <c r="AD835" s="1128">
        <f t="shared" ref="AD835:AD898" si="979">MAX($Z835+6+(0.4+0.01*($Z835-44))*(MAX($N835:$Y835)-MIN($N835:$Y835))/2*SIN((0.986*((4*30-15)-15-(35-1*($Z835-44)))-90)*PI()/180),32)</f>
        <v>32</v>
      </c>
      <c r="AE835" s="1128">
        <f t="shared" ref="AE835:AE898" si="980">MAX($Z835+6+(0.4+0.01*($Z835-44))*(MAX($N835:$Y835)-MIN($N835:$Y835))/2*SIN((0.986*((5*30-15)-15-(35-1*($Z835-44)))-90)*PI()/180),32)</f>
        <v>33.258392442987891</v>
      </c>
      <c r="AF835" s="1128">
        <f t="shared" ref="AF835:AF898" si="981">MAX($Z835+6+(0.4+0.01*($Z835-44))*(MAX($N835:$Y835)-MIN($N835:$Y835))/2*SIN((0.986*((6*30-15)-15-(35-1*($Z835-44)))-90)*PI()/180),32)</f>
        <v>35.884878275554108</v>
      </c>
      <c r="AG835" s="1128">
        <f t="shared" ref="AG835:AG898" si="982">MAX($Z835+6+(0.4+0.01*($Z835-44))*(MAX($N835:$Y835)-MIN($N835:$Y835))/2*SIN((0.986*((7*30-15)-15-(35-1*($Z835-44)))-90)*PI()/180),32)</f>
        <v>38.307359100992798</v>
      </c>
      <c r="AH835" s="1128">
        <f t="shared" ref="AH835:AH898" si="983">MAX($Z835+6+(0.4+0.01*($Z835-44))*(MAX($N835:$Y835)-MIN($N835:$Y835))/2*SIN((0.986*((8*30-15)-15-(35-1*($Z835-44)))-90)*PI()/180),32)</f>
        <v>39.894377960593815</v>
      </c>
      <c r="AI835" s="1128">
        <f t="shared" ref="AI835:AI898" si="984">MAX($Z835+6+(0.4+0.01*($Z835-44))*(MAX($N835:$Y835)-MIN($N835:$Y835))/2*SIN((0.986*((9*30-15)-15-(35-1*($Z835-44)))-90)*PI()/180),32)</f>
        <v>40.232253931901248</v>
      </c>
      <c r="AJ835" s="1128">
        <f t="shared" ref="AJ835:AJ898" si="985">MAX($Z835+6+(0.4+0.01*($Z835-44))*(MAX($N835:$Y835)-MIN($N835:$Y835))/2*SIN((0.986*((10*30-15)-15-(35-1*($Z835-44)))-90)*PI()/180),32)</f>
        <v>39.232914436167469</v>
      </c>
      <c r="AK835" s="1128">
        <f t="shared" ref="AK835:AK898" si="986">MAX($Z835+6+(0.4+0.01*($Z835-44))*(MAX($N835:$Y835)-MIN($N835:$Y835))/2*SIN((0.986*((11*30-15)-15-(35-1*($Z835-44)))-90)*PI()/180),32)</f>
        <v>37.156852713243289</v>
      </c>
      <c r="AL835" s="1128">
        <f t="shared" ref="AL835:AL898" si="987">MAX($Z835+6+(0.4+0.01*($Z835-44))*(MAX($N835:$Y835)-MIN($N835:$Y835))/2*SIN((0.986*((12*30-15)-15-(35-1*($Z835-44)))-90)*PI()/180),32)</f>
        <v>34.545226244288465</v>
      </c>
      <c r="AM835" s="1125">
        <f t="shared" ref="AM835:AM898" si="988">IF(AND(OR(LEFT(AM$1,3)="Jan",LEFT(AM$1,3)="Dec"),I835&lt;59),1,IF(N835&lt;66,1,0))</f>
        <v>1</v>
      </c>
      <c r="AN835" s="1125">
        <f t="shared" ref="AN835:AN898" si="989">IF(AND(OR(LEFT(AN$1,3)="Jan",LEFT(AN$1,3)="Dec"),J835&lt;59),1,IF(O835&lt;66,1,0))</f>
        <v>1</v>
      </c>
      <c r="AO835" s="1125">
        <f t="shared" ref="AO835:AO898" si="990">IF(AND(OR(LEFT(AO$1,3)="Jan",LEFT(AO$1,3)="Dec"),K835&lt;59),1,IF(P835&lt;66,1,0))</f>
        <v>1</v>
      </c>
      <c r="AP835" s="1125">
        <f t="shared" ref="AP835:AP898" si="991">IF(AND(OR(LEFT(AP$1,3)="Jan",LEFT(AP$1,3)="Dec"),L835&lt;59),1,IF(Q835&lt;66,1,0))</f>
        <v>1</v>
      </c>
      <c r="AQ835" s="1125">
        <f t="shared" ref="AQ835:AQ898" si="992">IF(AND(OR(LEFT(AQ$1,3)="Jan",LEFT(AQ$1,3)="Dec"),M835&lt;59),1,IF(R835&lt;66,1,0))</f>
        <v>1</v>
      </c>
      <c r="AR835" s="1125">
        <f t="shared" ref="AR835:AR898" si="993">IF(AND(OR(LEFT(AR$1,3)="Jan",LEFT(AR$1,3)="Dec"),N835&lt;59),1,IF(S835&lt;66,1,0))</f>
        <v>1</v>
      </c>
      <c r="AS835" s="1125">
        <f t="shared" ref="AS835:AS898" si="994">IF(AND(OR(LEFT(AS$1,3)="Jan",LEFT(AS$1,3)="Dec"),O835&lt;59),1,IF(T835&lt;66,1,0))</f>
        <v>1</v>
      </c>
      <c r="AT835" s="1125">
        <f t="shared" ref="AT835:AT898" si="995">IF(AND(OR(LEFT(AT$1,3)="Jan",LEFT(AT$1,3)="Dec"),P835&lt;59),1,IF(U835&lt;66,1,0))</f>
        <v>1</v>
      </c>
      <c r="AU835" s="1125">
        <f t="shared" ref="AU835:AU898" si="996">IF(AND(OR(LEFT(AU$1,3)="Jan",LEFT(AU$1,3)="Dec"),Q835&lt;59),1,IF(V835&lt;66,1,0))</f>
        <v>1</v>
      </c>
      <c r="AV835" s="1125">
        <f t="shared" ref="AV835:AV898" si="997">IF(AND(OR(LEFT(AV$1,3)="Jan",LEFT(AV$1,3)="Dec"),R835&lt;59),1,IF(W835&lt;66,1,0))</f>
        <v>1</v>
      </c>
      <c r="AW835" s="1125">
        <f t="shared" ref="AW835:AW898" si="998">IF(AND(OR(LEFT(AW$1,3)="Jan",LEFT(AW$1,3)="Dec"),S835&lt;59),1,IF(X835&lt;66,1,0))</f>
        <v>1</v>
      </c>
      <c r="AX835" s="1125">
        <f t="shared" ref="AX835:AX898" si="999">IF(AND(OR(LEFT(AX$1,3)="Jan",LEFT(AX$1,3)="Dec"),T835&lt;59),1,IF(Y835&lt;66,1,0))</f>
        <v>1</v>
      </c>
      <c r="AY835" s="1125">
        <f t="shared" ref="AY835:AY898" si="1000">IF(OR(LEFT(AY$1,3)="Jul", LEFT(AY$1,3)="Aug"),1,IF(N835&gt;66,1,0))</f>
        <v>0</v>
      </c>
      <c r="AZ835" s="1125">
        <f t="shared" ref="AZ835:AZ898" si="1001">IF(OR(LEFT(AZ$1,3)="Jul", LEFT(AZ$1,3)="Aug"),1,IF(O835&gt;66,1,0))</f>
        <v>0</v>
      </c>
      <c r="BA835" s="1125">
        <f t="shared" ref="BA835:BA898" si="1002">IF(OR(LEFT(BA$1,3)="Jul", LEFT(BA$1,3)="Aug"),1,IF(P835&gt;66,1,0))</f>
        <v>0</v>
      </c>
      <c r="BB835" s="1125">
        <f t="shared" ref="BB835:BB898" si="1003">IF(OR(LEFT(BB$1,3)="Jul", LEFT(BB$1,3)="Aug"),1,IF(Q835&gt;66,1,0))</f>
        <v>0</v>
      </c>
      <c r="BC835" s="1125">
        <f t="shared" ref="BC835:BC898" si="1004">IF(OR(LEFT(BC$1,3)="Jul", LEFT(BC$1,3)="Aug"),1,IF(R835&gt;66,1,0))</f>
        <v>0</v>
      </c>
      <c r="BD835" s="1125">
        <f t="shared" ref="BD835:BD898" si="1005">IF(OR(LEFT(BD$1,3)="Jul", LEFT(BD$1,3)="Aug"),1,IF(S835&gt;66,1,0))</f>
        <v>0</v>
      </c>
      <c r="BE835" s="1125">
        <f t="shared" ref="BE835:BE898" si="1006">IF(OR(LEFT(BE$1,3)="Jul", LEFT(BE$1,3)="Aug"),1,IF(T835&gt;66,1,0))</f>
        <v>1</v>
      </c>
      <c r="BF835" s="1125">
        <f t="shared" ref="BF835:BF898" si="1007">IF(OR(LEFT(BF$1,3)="Jul", LEFT(BF$1,3)="Aug"),1,IF(U835&gt;66,1,0))</f>
        <v>1</v>
      </c>
      <c r="BG835" s="1125">
        <f t="shared" ref="BG835:BG898" si="1008">IF(OR(LEFT(BG$1,3)="Jul", LEFT(BG$1,3)="Aug"),1,IF(V835&gt;66,1,0))</f>
        <v>0</v>
      </c>
      <c r="BH835" s="1125">
        <f t="shared" ref="BH835:BH898" si="1009">IF(OR(LEFT(BH$1,3)="Jul", LEFT(BH$1,3)="Aug"),1,IF(W835&gt;66,1,0))</f>
        <v>0</v>
      </c>
      <c r="BI835" s="1125">
        <f t="shared" ref="BI835:BI898" si="1010">IF(OR(LEFT(BI$1,3)="Jul", LEFT(BI$1,3)="Aug"),1,IF(X835&gt;66,1,0))</f>
        <v>0</v>
      </c>
      <c r="BJ835" s="1125">
        <f t="shared" ref="BJ835:BJ898" si="1011">IF(OR(LEFT(BJ$1,3)="Jul", LEFT(BJ$1,3)="Aug"),1,IF(Y835&gt;66,1,0))</f>
        <v>0</v>
      </c>
      <c r="BK835" s="1125">
        <f t="shared" ref="BK835:BK898" si="1012">IF(AND(AY835=1,BJ835=0),1,AM835)</f>
        <v>1</v>
      </c>
      <c r="BL835" s="1125">
        <f t="shared" ref="BL835:BL898" si="1013">IF(AND(AY835=0,AZ835=1),1,AN835)</f>
        <v>1</v>
      </c>
      <c r="BM835" s="1125">
        <f t="shared" ref="BM835:BM898" si="1014">IF(AND(AZ835=0,BA835=1),1,AO835)</f>
        <v>1</v>
      </c>
      <c r="BN835" s="1125">
        <f t="shared" ref="BN835:BN898" si="1015">IF(AND(BA835=0,BB835=1),1,AP835)</f>
        <v>1</v>
      </c>
      <c r="BO835" s="1125">
        <f t="shared" ref="BO835:BO898" si="1016">IF(AND(BB835=0,BC835=1),1,AQ835)</f>
        <v>1</v>
      </c>
      <c r="BP835" s="1125">
        <f t="shared" ref="BP835:BP898" si="1017">IF(AND(BC835=0,BD835=1),1,AR835)</f>
        <v>1</v>
      </c>
      <c r="BQ835" s="1125">
        <f t="shared" ref="BQ835:BQ898" si="1018">IF(AND(BD835=0,BE835=1),1,AS835)</f>
        <v>1</v>
      </c>
      <c r="BR835" s="1125">
        <f t="shared" ref="BR835:BR898" si="1019">IF(AND(BE835=0,BF835=1),1,AT835)</f>
        <v>1</v>
      </c>
      <c r="BS835" s="1125">
        <f t="shared" ref="BS835:BS898" si="1020">IF(AND(BF835=0,BG835=1),1,AU835)</f>
        <v>1</v>
      </c>
      <c r="BT835" s="1125">
        <f t="shared" ref="BT835:BT898" si="1021">IF(AND(BG835=0,BH835=1),1,AV835)</f>
        <v>1</v>
      </c>
      <c r="BU835" s="1125">
        <f t="shared" ref="BU835:BU898" si="1022">IF(AND(BH835=0,BI835=1),1,AW835)</f>
        <v>1</v>
      </c>
      <c r="BV835" s="1125">
        <f t="shared" ref="BV835:BV898" si="1023">IF(AND(BI835=0,BJ835=1),1,AX835)</f>
        <v>1</v>
      </c>
      <c r="BW835" s="1125">
        <f t="shared" ref="BW835:BW898" si="1024">IF(OR(AND(AX835=0,AM835=1),AND(AM835=1,AN835=0)),1,AY835)</f>
        <v>0</v>
      </c>
      <c r="BX835" s="1125">
        <f t="shared" ref="BX835:BX898" si="1025">IF(OR(AND(AM835=0,AN835=1),AND(AN835=1,AO835=0)),1,AZ835)</f>
        <v>0</v>
      </c>
      <c r="BY835" s="1125">
        <f t="shared" ref="BY835:BY898" si="1026">IF(OR(AND(AN835=0,AO835=1),AND(AO835=1,AP835=0)),1,BA835)</f>
        <v>0</v>
      </c>
      <c r="BZ835" s="1125">
        <f t="shared" ref="BZ835:BZ898" si="1027">IF(OR(AND(AO835=0,AP835=1),AND(AP835=1,AQ835=0)),1,BB835)</f>
        <v>0</v>
      </c>
      <c r="CA835" s="1125">
        <f t="shared" ref="CA835:CA898" si="1028">IF(OR(AND(AP835=0,AQ835=1),AND(AQ835=1,AR835=0)),1,BC835)</f>
        <v>0</v>
      </c>
      <c r="CB835" s="1125">
        <f t="shared" ref="CB835:CB898" si="1029">IF(OR(AND(AQ835=0,AR835=1),AND(AR835=1,AS835=0)),1,BD835)</f>
        <v>0</v>
      </c>
      <c r="CC835" s="1125">
        <f t="shared" ref="CC835:CC898" si="1030">IF(OR(AND(AR835=0,AS835=1),AND(AS835=1,AT835=0)),1,BE835)</f>
        <v>1</v>
      </c>
      <c r="CD835" s="1125">
        <f t="shared" ref="CD835:CD898" si="1031">IF(OR(AND(AS835=0,AT835=1),AND(AT835=1,AU835=0)),1,BF835)</f>
        <v>1</v>
      </c>
      <c r="CE835" s="1125">
        <f t="shared" ref="CE835:CE898" si="1032">IF(OR(AND(AT835=0,AU835=1),AND(AU835=1,AV835=0)),1,BG835)</f>
        <v>0</v>
      </c>
      <c r="CF835" s="1125">
        <f t="shared" ref="CF835:CF898" si="1033">IF(OR(AND(AU835=0,AV835=1),AND(AV835=1,AW835=0)),1,BH835)</f>
        <v>0</v>
      </c>
      <c r="CG835" s="1125">
        <f t="shared" ref="CG835:CG898" si="1034">IF(OR(AND(AV835=0,AW835=1),AND(AW835=1,AX835=0)),1,BI835)</f>
        <v>0</v>
      </c>
      <c r="CH835" s="1125">
        <f t="shared" ref="CH835:CH898" si="1035">IF(OR(AND(AW835=0,AX835=1),AND(AX835=1,AM835=0)),1,BJ835)</f>
        <v>0</v>
      </c>
      <c r="CI835" s="1125">
        <f t="shared" ref="CI835:CI898" si="1036">IF(BK835=1,0.85,0.7)</f>
        <v>0.85</v>
      </c>
      <c r="CJ835" s="1125">
        <f t="shared" ref="CJ835:CJ898" si="1037">IF(BL835=1,0.85,0.7)</f>
        <v>0.85</v>
      </c>
      <c r="CK835" s="1125">
        <f t="shared" ref="CK835:CK898" si="1038">IF(BM835=1,0.85,0.7)</f>
        <v>0.85</v>
      </c>
      <c r="CL835" s="1125">
        <f t="shared" ref="CL835:CL898" si="1039">IF(BN835=1,0.85,0.7)</f>
        <v>0.85</v>
      </c>
      <c r="CM835" s="1125">
        <f t="shared" ref="CM835:CM898" si="1040">IF(BO835=1,0.85,0.7)</f>
        <v>0.85</v>
      </c>
      <c r="CN835" s="1125">
        <f t="shared" ref="CN835:CN898" si="1041">IF(BP835=1,0.85,0.7)</f>
        <v>0.85</v>
      </c>
      <c r="CO835" s="1125">
        <f t="shared" ref="CO835:CO898" si="1042">IF(BQ835=1,0.85,0.7)</f>
        <v>0.85</v>
      </c>
      <c r="CP835" s="1125">
        <f t="shared" ref="CP835:CP898" si="1043">IF(BR835=1,0.85,0.7)</f>
        <v>0.85</v>
      </c>
      <c r="CQ835" s="1125">
        <f t="shared" ref="CQ835:CQ898" si="1044">IF(BS835=1,0.85,0.7)</f>
        <v>0.85</v>
      </c>
      <c r="CR835" s="1125">
        <f t="shared" ref="CR835:CR898" si="1045">IF(BT835=1,0.85,0.7)</f>
        <v>0.85</v>
      </c>
      <c r="CS835" s="1125">
        <f t="shared" ref="CS835:CS898" si="1046">IF(BU835=1,0.85,0.7)</f>
        <v>0.85</v>
      </c>
      <c r="CT835" s="1125">
        <f t="shared" ref="CT835:CT898" si="1047">IF(BV835=1,0.85,0.7)</f>
        <v>0.85</v>
      </c>
      <c r="CU835" s="1125">
        <v>1</v>
      </c>
      <c r="CV835" s="1125"/>
      <c r="CW835" s="1125">
        <f t="shared" ref="CW835:CW898" si="1048">BW835*31+BX835*28+BY835*31+BZ835*30+CA835*31+CB835*30+CC835*31+CD835*31+CE835*30+CF835*31+CG835*30+CH835*31</f>
        <v>62</v>
      </c>
      <c r="CX835" s="1125">
        <f t="shared" ref="CX835:CX898" si="1049">365-CW835</f>
        <v>303</v>
      </c>
      <c r="CY835" s="1136" t="s">
        <v>4880</v>
      </c>
      <c r="CZ835" s="1129">
        <v>8</v>
      </c>
      <c r="DA835" s="1129"/>
      <c r="DB835" s="1129"/>
      <c r="DC835" s="1125" t="s">
        <v>4956</v>
      </c>
      <c r="DD835" s="1125" t="s">
        <v>953</v>
      </c>
      <c r="DE835" s="1125" t="str">
        <f t="shared" si="975"/>
        <v/>
      </c>
      <c r="DF835" s="1125">
        <v>0</v>
      </c>
      <c r="DG835" s="1125">
        <v>0</v>
      </c>
    </row>
    <row r="836" spans="1:111">
      <c r="A836" s="1120" t="s">
        <v>4364</v>
      </c>
      <c r="B836" s="1125" t="s">
        <v>4030</v>
      </c>
      <c r="C836" s="1125" t="s">
        <v>4031</v>
      </c>
      <c r="D836" s="1125" t="s">
        <v>771</v>
      </c>
      <c r="E836" s="1125">
        <v>3943</v>
      </c>
      <c r="F836" s="1125">
        <v>-103.6</v>
      </c>
      <c r="G836" s="1125">
        <v>41.87</v>
      </c>
      <c r="H836" s="1125">
        <v>-7</v>
      </c>
      <c r="I836" s="1126">
        <v>-1.119999313354493</v>
      </c>
      <c r="J836" s="1126">
        <v>93.2</v>
      </c>
      <c r="K836" s="1127">
        <v>64.760001373291018</v>
      </c>
      <c r="L836" s="1125">
        <v>6508.8</v>
      </c>
      <c r="M836" s="1125">
        <v>781.2</v>
      </c>
      <c r="N836" s="1128">
        <v>22.459999656677248</v>
      </c>
      <c r="O836" s="1128">
        <v>29.3</v>
      </c>
      <c r="P836" s="1128">
        <v>37.76000008583069</v>
      </c>
      <c r="Q836" s="1128">
        <v>48.2</v>
      </c>
      <c r="R836" s="1128">
        <v>58.1</v>
      </c>
      <c r="S836" s="1128">
        <v>68.719999313354492</v>
      </c>
      <c r="T836" s="1128">
        <v>73.760001373291018</v>
      </c>
      <c r="U836" s="1128">
        <v>71.239998626708982</v>
      </c>
      <c r="V836" s="1128">
        <v>62.060001373291016</v>
      </c>
      <c r="W836" s="1128">
        <v>48.019999313354489</v>
      </c>
      <c r="X836" s="1128">
        <v>34.339999914169312</v>
      </c>
      <c r="Y836" s="1128">
        <v>29.480000042915343</v>
      </c>
      <c r="Z836" s="1128">
        <v>48.727178055031658</v>
      </c>
      <c r="AA836" s="1128">
        <f t="shared" si="976"/>
        <v>44.776600095011659</v>
      </c>
      <c r="AB836" s="1128">
        <f t="shared" si="977"/>
        <v>43.25478294315468</v>
      </c>
      <c r="AC836" s="1128">
        <f t="shared" si="978"/>
        <v>44.723422372168656</v>
      </c>
      <c r="AD836" s="1128">
        <f t="shared" si="979"/>
        <v>48.799694882462404</v>
      </c>
      <c r="AE836" s="1128">
        <f t="shared" si="980"/>
        <v>54.421057226967022</v>
      </c>
      <c r="AF836" s="1128">
        <f t="shared" si="981"/>
        <v>60.122214682771435</v>
      </c>
      <c r="AG836" s="1128">
        <f t="shared" si="982"/>
        <v>64.417072701524418</v>
      </c>
      <c r="AH836" s="1128">
        <f t="shared" si="983"/>
        <v>66.186110354872511</v>
      </c>
      <c r="AI836" s="1128">
        <f t="shared" si="984"/>
        <v>64.968200716775073</v>
      </c>
      <c r="AJ836" s="1128">
        <f t="shared" si="985"/>
        <v>61.080810702957869</v>
      </c>
      <c r="AK836" s="1128">
        <f t="shared" si="986"/>
        <v>55.537248427015797</v>
      </c>
      <c r="AL836" s="1128">
        <f t="shared" si="987"/>
        <v>49.782528825053767</v>
      </c>
      <c r="AM836" s="1125">
        <f t="shared" si="988"/>
        <v>1</v>
      </c>
      <c r="AN836" s="1125">
        <f t="shared" si="989"/>
        <v>1</v>
      </c>
      <c r="AO836" s="1125">
        <f t="shared" si="990"/>
        <v>1</v>
      </c>
      <c r="AP836" s="1125">
        <f t="shared" si="991"/>
        <v>1</v>
      </c>
      <c r="AQ836" s="1125">
        <f t="shared" si="992"/>
        <v>1</v>
      </c>
      <c r="AR836" s="1125">
        <f t="shared" si="993"/>
        <v>0</v>
      </c>
      <c r="AS836" s="1125">
        <f t="shared" si="994"/>
        <v>0</v>
      </c>
      <c r="AT836" s="1125">
        <f t="shared" si="995"/>
        <v>0</v>
      </c>
      <c r="AU836" s="1125">
        <f t="shared" si="996"/>
        <v>1</v>
      </c>
      <c r="AV836" s="1125">
        <f t="shared" si="997"/>
        <v>1</v>
      </c>
      <c r="AW836" s="1125">
        <f t="shared" si="998"/>
        <v>1</v>
      </c>
      <c r="AX836" s="1125">
        <f t="shared" si="999"/>
        <v>1</v>
      </c>
      <c r="AY836" s="1125">
        <f t="shared" si="1000"/>
        <v>0</v>
      </c>
      <c r="AZ836" s="1125">
        <f t="shared" si="1001"/>
        <v>0</v>
      </c>
      <c r="BA836" s="1125">
        <f t="shared" si="1002"/>
        <v>0</v>
      </c>
      <c r="BB836" s="1125">
        <f t="shared" si="1003"/>
        <v>0</v>
      </c>
      <c r="BC836" s="1125">
        <f t="shared" si="1004"/>
        <v>0</v>
      </c>
      <c r="BD836" s="1125">
        <f t="shared" si="1005"/>
        <v>1</v>
      </c>
      <c r="BE836" s="1125">
        <f t="shared" si="1006"/>
        <v>1</v>
      </c>
      <c r="BF836" s="1125">
        <f t="shared" si="1007"/>
        <v>1</v>
      </c>
      <c r="BG836" s="1125">
        <f t="shared" si="1008"/>
        <v>0</v>
      </c>
      <c r="BH836" s="1125">
        <f t="shared" si="1009"/>
        <v>0</v>
      </c>
      <c r="BI836" s="1125">
        <f t="shared" si="1010"/>
        <v>0</v>
      </c>
      <c r="BJ836" s="1125">
        <f t="shared" si="1011"/>
        <v>0</v>
      </c>
      <c r="BK836" s="1125">
        <f t="shared" si="1012"/>
        <v>1</v>
      </c>
      <c r="BL836" s="1125">
        <f t="shared" si="1013"/>
        <v>1</v>
      </c>
      <c r="BM836" s="1125">
        <f t="shared" si="1014"/>
        <v>1</v>
      </c>
      <c r="BN836" s="1125">
        <f t="shared" si="1015"/>
        <v>1</v>
      </c>
      <c r="BO836" s="1125">
        <f t="shared" si="1016"/>
        <v>1</v>
      </c>
      <c r="BP836" s="1125">
        <f t="shared" si="1017"/>
        <v>1</v>
      </c>
      <c r="BQ836" s="1125">
        <f t="shared" si="1018"/>
        <v>0</v>
      </c>
      <c r="BR836" s="1125">
        <f t="shared" si="1019"/>
        <v>0</v>
      </c>
      <c r="BS836" s="1125">
        <f t="shared" si="1020"/>
        <v>1</v>
      </c>
      <c r="BT836" s="1125">
        <f t="shared" si="1021"/>
        <v>1</v>
      </c>
      <c r="BU836" s="1125">
        <f t="shared" si="1022"/>
        <v>1</v>
      </c>
      <c r="BV836" s="1125">
        <f t="shared" si="1023"/>
        <v>1</v>
      </c>
      <c r="BW836" s="1125">
        <f t="shared" si="1024"/>
        <v>0</v>
      </c>
      <c r="BX836" s="1125">
        <f t="shared" si="1025"/>
        <v>0</v>
      </c>
      <c r="BY836" s="1125">
        <f t="shared" si="1026"/>
        <v>0</v>
      </c>
      <c r="BZ836" s="1125">
        <f t="shared" si="1027"/>
        <v>0</v>
      </c>
      <c r="CA836" s="1125">
        <f t="shared" si="1028"/>
        <v>1</v>
      </c>
      <c r="CB836" s="1125">
        <f t="shared" si="1029"/>
        <v>1</v>
      </c>
      <c r="CC836" s="1125">
        <f t="shared" si="1030"/>
        <v>1</v>
      </c>
      <c r="CD836" s="1125">
        <f t="shared" si="1031"/>
        <v>1</v>
      </c>
      <c r="CE836" s="1125">
        <f t="shared" si="1032"/>
        <v>1</v>
      </c>
      <c r="CF836" s="1125">
        <f t="shared" si="1033"/>
        <v>0</v>
      </c>
      <c r="CG836" s="1125">
        <f t="shared" si="1034"/>
        <v>0</v>
      </c>
      <c r="CH836" s="1125">
        <f t="shared" si="1035"/>
        <v>0</v>
      </c>
      <c r="CI836" s="1125">
        <f t="shared" si="1036"/>
        <v>0.85</v>
      </c>
      <c r="CJ836" s="1125">
        <f t="shared" si="1037"/>
        <v>0.85</v>
      </c>
      <c r="CK836" s="1125">
        <f t="shared" si="1038"/>
        <v>0.85</v>
      </c>
      <c r="CL836" s="1125">
        <f t="shared" si="1039"/>
        <v>0.85</v>
      </c>
      <c r="CM836" s="1125">
        <f t="shared" si="1040"/>
        <v>0.85</v>
      </c>
      <c r="CN836" s="1125">
        <f t="shared" si="1041"/>
        <v>0.85</v>
      </c>
      <c r="CO836" s="1125">
        <f t="shared" si="1042"/>
        <v>0.7</v>
      </c>
      <c r="CP836" s="1125">
        <f t="shared" si="1043"/>
        <v>0.7</v>
      </c>
      <c r="CQ836" s="1125">
        <f t="shared" si="1044"/>
        <v>0.85</v>
      </c>
      <c r="CR836" s="1125">
        <f t="shared" si="1045"/>
        <v>0.85</v>
      </c>
      <c r="CS836" s="1125">
        <f t="shared" si="1046"/>
        <v>0.85</v>
      </c>
      <c r="CT836" s="1125">
        <f t="shared" si="1047"/>
        <v>0.85</v>
      </c>
      <c r="CU836" s="1125">
        <v>1</v>
      </c>
      <c r="CV836" s="1125"/>
      <c r="CW836" s="1125">
        <f t="shared" si="1048"/>
        <v>153</v>
      </c>
      <c r="CX836" s="1125">
        <f t="shared" si="1049"/>
        <v>212</v>
      </c>
      <c r="CY836" s="1136" t="s">
        <v>4889</v>
      </c>
      <c r="CZ836" s="1129" t="s">
        <v>4897</v>
      </c>
      <c r="DA836" s="1129"/>
      <c r="DB836" s="1129"/>
      <c r="DC836" s="1125" t="s">
        <v>5428</v>
      </c>
      <c r="DD836" s="1125" t="s">
        <v>771</v>
      </c>
      <c r="DE836" s="1120" t="str">
        <f t="shared" si="975"/>
        <v/>
      </c>
      <c r="DF836" s="1133">
        <v>0</v>
      </c>
      <c r="DG836" s="1120">
        <v>0</v>
      </c>
    </row>
    <row r="837" spans="1:111">
      <c r="A837" s="1125" t="s">
        <v>4360</v>
      </c>
      <c r="B837" s="1120" t="s">
        <v>3070</v>
      </c>
      <c r="C837" s="1120" t="s">
        <v>3071</v>
      </c>
      <c r="D837" s="1120" t="s">
        <v>1250</v>
      </c>
      <c r="E837" s="1120">
        <v>1509</v>
      </c>
      <c r="F837" s="1120">
        <v>-111.92</v>
      </c>
      <c r="G837" s="1120">
        <v>33.619999999999997</v>
      </c>
      <c r="H837" s="1120">
        <v>-7</v>
      </c>
      <c r="I837" s="1121">
        <v>39.02000017166138</v>
      </c>
      <c r="J837" s="1121">
        <v>109.57999725341797</v>
      </c>
      <c r="K837" s="1122">
        <v>69.980000686645511</v>
      </c>
      <c r="L837" s="1120">
        <v>1197</v>
      </c>
      <c r="M837" s="1120">
        <v>4320</v>
      </c>
      <c r="N837" s="1123">
        <v>55.040000343322752</v>
      </c>
      <c r="O837" s="1123">
        <v>54.140000343322754</v>
      </c>
      <c r="P837" s="1123">
        <v>61.880000686645509</v>
      </c>
      <c r="Q837" s="1123">
        <v>69.8</v>
      </c>
      <c r="R837" s="1123">
        <v>81.139998626708987</v>
      </c>
      <c r="S837" s="1123">
        <v>89.6</v>
      </c>
      <c r="T837" s="1123">
        <v>93.920002746582028</v>
      </c>
      <c r="U837" s="1123">
        <v>92.120002746582031</v>
      </c>
      <c r="V837" s="1123">
        <v>89.239998626708982</v>
      </c>
      <c r="W837" s="1123">
        <v>71.599999999999994</v>
      </c>
      <c r="X837" s="1123">
        <v>61.339998626708983</v>
      </c>
      <c r="Y837" s="1123">
        <v>54.319999313354494</v>
      </c>
      <c r="Z837" s="1123">
        <v>72.94778100157437</v>
      </c>
      <c r="AA837" s="1123">
        <f t="shared" si="976"/>
        <v>65.308380476449102</v>
      </c>
      <c r="AB837" s="1123">
        <f t="shared" si="977"/>
        <v>66.382243425271369</v>
      </c>
      <c r="AC837" s="1123">
        <f t="shared" si="978"/>
        <v>70.731507384152522</v>
      </c>
      <c r="AD837" s="1123">
        <f t="shared" si="979"/>
        <v>77.222469678023771</v>
      </c>
      <c r="AE837" s="1123">
        <f t="shared" si="980"/>
        <v>84.163160956230797</v>
      </c>
      <c r="AF837" s="1123">
        <f t="shared" si="981"/>
        <v>89.744383077818696</v>
      </c>
      <c r="AG837" s="1123">
        <f t="shared" si="982"/>
        <v>92.511304487559215</v>
      </c>
      <c r="AH837" s="1123">
        <f t="shared" si="983"/>
        <v>91.742684480453889</v>
      </c>
      <c r="AI837" s="1123">
        <f t="shared" si="984"/>
        <v>87.638875706147545</v>
      </c>
      <c r="AJ837" s="1123">
        <f t="shared" si="985"/>
        <v>81.269599163270684</v>
      </c>
      <c r="AK837" s="1123">
        <f t="shared" si="986"/>
        <v>74.295104936246716</v>
      </c>
      <c r="AL837" s="1123">
        <f t="shared" si="987"/>
        <v>68.533402425558933</v>
      </c>
      <c r="AM837" s="1120">
        <f t="shared" si="988"/>
        <v>1</v>
      </c>
      <c r="AN837" s="1120">
        <f t="shared" si="989"/>
        <v>1</v>
      </c>
      <c r="AO837" s="1120">
        <f t="shared" si="990"/>
        <v>1</v>
      </c>
      <c r="AP837" s="1120">
        <f t="shared" si="991"/>
        <v>0</v>
      </c>
      <c r="AQ837" s="1120">
        <f t="shared" si="992"/>
        <v>0</v>
      </c>
      <c r="AR837" s="1120">
        <f t="shared" si="993"/>
        <v>0</v>
      </c>
      <c r="AS837" s="1120">
        <f t="shared" si="994"/>
        <v>0</v>
      </c>
      <c r="AT837" s="1120">
        <f t="shared" si="995"/>
        <v>0</v>
      </c>
      <c r="AU837" s="1120">
        <f t="shared" si="996"/>
        <v>0</v>
      </c>
      <c r="AV837" s="1120">
        <f t="shared" si="997"/>
        <v>0</v>
      </c>
      <c r="AW837" s="1120">
        <f t="shared" si="998"/>
        <v>1</v>
      </c>
      <c r="AX837" s="1120">
        <f t="shared" si="999"/>
        <v>1</v>
      </c>
      <c r="AY837" s="1120">
        <f t="shared" si="1000"/>
        <v>0</v>
      </c>
      <c r="AZ837" s="1120">
        <f t="shared" si="1001"/>
        <v>0</v>
      </c>
      <c r="BA837" s="1120">
        <f t="shared" si="1002"/>
        <v>0</v>
      </c>
      <c r="BB837" s="1120">
        <f t="shared" si="1003"/>
        <v>1</v>
      </c>
      <c r="BC837" s="1120">
        <f t="shared" si="1004"/>
        <v>1</v>
      </c>
      <c r="BD837" s="1120">
        <f t="shared" si="1005"/>
        <v>1</v>
      </c>
      <c r="BE837" s="1120">
        <f t="shared" si="1006"/>
        <v>1</v>
      </c>
      <c r="BF837" s="1120">
        <f t="shared" si="1007"/>
        <v>1</v>
      </c>
      <c r="BG837" s="1120">
        <f t="shared" si="1008"/>
        <v>1</v>
      </c>
      <c r="BH837" s="1120">
        <f t="shared" si="1009"/>
        <v>1</v>
      </c>
      <c r="BI837" s="1120">
        <f t="shared" si="1010"/>
        <v>0</v>
      </c>
      <c r="BJ837" s="1120">
        <f t="shared" si="1011"/>
        <v>0</v>
      </c>
      <c r="BK837" s="1120">
        <f t="shared" si="1012"/>
        <v>1</v>
      </c>
      <c r="BL837" s="1120">
        <f t="shared" si="1013"/>
        <v>1</v>
      </c>
      <c r="BM837" s="1120">
        <f t="shared" si="1014"/>
        <v>1</v>
      </c>
      <c r="BN837" s="1120">
        <f t="shared" si="1015"/>
        <v>1</v>
      </c>
      <c r="BO837" s="1120">
        <f t="shared" si="1016"/>
        <v>0</v>
      </c>
      <c r="BP837" s="1120">
        <f t="shared" si="1017"/>
        <v>0</v>
      </c>
      <c r="BQ837" s="1120">
        <f t="shared" si="1018"/>
        <v>0</v>
      </c>
      <c r="BR837" s="1120">
        <f t="shared" si="1019"/>
        <v>0</v>
      </c>
      <c r="BS837" s="1120">
        <f t="shared" si="1020"/>
        <v>0</v>
      </c>
      <c r="BT837" s="1120">
        <f t="shared" si="1021"/>
        <v>0</v>
      </c>
      <c r="BU837" s="1120">
        <f t="shared" si="1022"/>
        <v>1</v>
      </c>
      <c r="BV837" s="1120">
        <f t="shared" si="1023"/>
        <v>1</v>
      </c>
      <c r="BW837" s="1120">
        <f t="shared" si="1024"/>
        <v>0</v>
      </c>
      <c r="BX837" s="1120">
        <f t="shared" si="1025"/>
        <v>0</v>
      </c>
      <c r="BY837" s="1120">
        <f t="shared" si="1026"/>
        <v>1</v>
      </c>
      <c r="BZ837" s="1120">
        <f t="shared" si="1027"/>
        <v>1</v>
      </c>
      <c r="CA837" s="1120">
        <f t="shared" si="1028"/>
        <v>1</v>
      </c>
      <c r="CB837" s="1120">
        <f t="shared" si="1029"/>
        <v>1</v>
      </c>
      <c r="CC837" s="1120">
        <f t="shared" si="1030"/>
        <v>1</v>
      </c>
      <c r="CD837" s="1120">
        <f t="shared" si="1031"/>
        <v>1</v>
      </c>
      <c r="CE837" s="1120">
        <f t="shared" si="1032"/>
        <v>1</v>
      </c>
      <c r="CF837" s="1120">
        <f t="shared" si="1033"/>
        <v>1</v>
      </c>
      <c r="CG837" s="1120">
        <f t="shared" si="1034"/>
        <v>1</v>
      </c>
      <c r="CH837" s="1120">
        <f t="shared" si="1035"/>
        <v>0</v>
      </c>
      <c r="CI837" s="1120">
        <f t="shared" si="1036"/>
        <v>0.85</v>
      </c>
      <c r="CJ837" s="1120">
        <f t="shared" si="1037"/>
        <v>0.85</v>
      </c>
      <c r="CK837" s="1120">
        <f t="shared" si="1038"/>
        <v>0.85</v>
      </c>
      <c r="CL837" s="1120">
        <f t="shared" si="1039"/>
        <v>0.85</v>
      </c>
      <c r="CM837" s="1120">
        <f t="shared" si="1040"/>
        <v>0.7</v>
      </c>
      <c r="CN837" s="1120">
        <f t="shared" si="1041"/>
        <v>0.7</v>
      </c>
      <c r="CO837" s="1120">
        <f t="shared" si="1042"/>
        <v>0.7</v>
      </c>
      <c r="CP837" s="1120">
        <f t="shared" si="1043"/>
        <v>0.7</v>
      </c>
      <c r="CQ837" s="1120">
        <f t="shared" si="1044"/>
        <v>0.7</v>
      </c>
      <c r="CR837" s="1120">
        <f t="shared" si="1045"/>
        <v>0.7</v>
      </c>
      <c r="CS837" s="1120">
        <f t="shared" si="1046"/>
        <v>0.85</v>
      </c>
      <c r="CT837" s="1120">
        <f t="shared" si="1047"/>
        <v>0.85</v>
      </c>
      <c r="CU837" s="1120">
        <v>1</v>
      </c>
      <c r="CV837" s="1120"/>
      <c r="CW837" s="1120">
        <f t="shared" si="1048"/>
        <v>275</v>
      </c>
      <c r="CX837" s="1120">
        <f t="shared" si="1049"/>
        <v>90</v>
      </c>
      <c r="CY837" s="1135" t="s">
        <v>4886</v>
      </c>
      <c r="CZ837" s="1124" t="s">
        <v>4887</v>
      </c>
      <c r="DA837" s="1124"/>
      <c r="DB837" s="1124"/>
      <c r="DC837" s="1120" t="s">
        <v>5004</v>
      </c>
      <c r="DD837" s="1120" t="s">
        <v>1250</v>
      </c>
      <c r="DE837" s="1120" t="str">
        <f t="shared" si="975"/>
        <v/>
      </c>
      <c r="DF837" s="1120">
        <v>0</v>
      </c>
      <c r="DG837" s="1125">
        <v>0</v>
      </c>
    </row>
    <row r="838" spans="1:111">
      <c r="A838" s="1120" t="s">
        <v>4366</v>
      </c>
      <c r="B838" s="1125" t="s">
        <v>4580</v>
      </c>
      <c r="C838" s="1125" t="s">
        <v>4581</v>
      </c>
      <c r="D838" s="1125" t="s">
        <v>238</v>
      </c>
      <c r="E838" s="1125">
        <v>66</v>
      </c>
      <c r="F838" s="1125">
        <v>-122.25</v>
      </c>
      <c r="G838" s="1125">
        <v>47.68</v>
      </c>
      <c r="H838" s="1125">
        <v>-8</v>
      </c>
      <c r="I838" s="1126">
        <v>28.039999914169311</v>
      </c>
      <c r="J838" s="1126">
        <v>82.219999313354492</v>
      </c>
      <c r="K838" s="1127">
        <v>63.86000137329102</v>
      </c>
      <c r="L838" s="1125">
        <v>4224.6000000000004</v>
      </c>
      <c r="M838" s="1125">
        <v>181.8</v>
      </c>
      <c r="N838" s="1128">
        <v>41.720000171661376</v>
      </c>
      <c r="O838" s="1128">
        <v>43.879999828338626</v>
      </c>
      <c r="P838" s="1128">
        <v>48.559999656677249</v>
      </c>
      <c r="Q838" s="1128">
        <v>51.8</v>
      </c>
      <c r="R838" s="1128">
        <v>55.940000343322751</v>
      </c>
      <c r="S838" s="1128">
        <v>60.440000343322751</v>
      </c>
      <c r="T838" s="1128">
        <v>66.2</v>
      </c>
      <c r="U838" s="1128">
        <v>65.83999862670899</v>
      </c>
      <c r="V838" s="1128">
        <v>60.8</v>
      </c>
      <c r="W838" s="1128">
        <v>53.059999656677249</v>
      </c>
      <c r="X838" s="1128">
        <v>47.840000343322757</v>
      </c>
      <c r="Y838" s="1128">
        <v>43.159999656677243</v>
      </c>
      <c r="Z838" s="1128">
        <v>53.325808102072102</v>
      </c>
      <c r="AA838" s="1128">
        <f t="shared" si="976"/>
        <v>53.868093365184023</v>
      </c>
      <c r="AB838" s="1128">
        <f t="shared" si="977"/>
        <v>53.30505045893738</v>
      </c>
      <c r="AC838" s="1128">
        <f t="shared" si="978"/>
        <v>54.311410815057592</v>
      </c>
      <c r="AD838" s="1128">
        <f t="shared" si="979"/>
        <v>56.624851098239397</v>
      </c>
      <c r="AE838" s="1128">
        <f t="shared" si="980"/>
        <v>59.642337447477544</v>
      </c>
      <c r="AF838" s="1128">
        <f t="shared" si="981"/>
        <v>62.577315544970901</v>
      </c>
      <c r="AG838" s="1128">
        <f t="shared" si="982"/>
        <v>64.664738120226261</v>
      </c>
      <c r="AH838" s="1128">
        <f t="shared" si="983"/>
        <v>65.360486310847691</v>
      </c>
      <c r="AI838" s="1128">
        <f t="shared" si="984"/>
        <v>64.48320262914558</v>
      </c>
      <c r="AJ838" s="1128">
        <f t="shared" si="985"/>
        <v>62.261564586106324</v>
      </c>
      <c r="AK838" s="1128">
        <f t="shared" si="986"/>
        <v>59.274676374126692</v>
      </c>
      <c r="AL838" s="1128">
        <f t="shared" si="987"/>
        <v>56.301116434999805</v>
      </c>
      <c r="AM838" s="1125">
        <f t="shared" si="988"/>
        <v>1</v>
      </c>
      <c r="AN838" s="1125">
        <f t="shared" si="989"/>
        <v>1</v>
      </c>
      <c r="AO838" s="1125">
        <f t="shared" si="990"/>
        <v>1</v>
      </c>
      <c r="AP838" s="1125">
        <f t="shared" si="991"/>
        <v>1</v>
      </c>
      <c r="AQ838" s="1125">
        <f t="shared" si="992"/>
        <v>1</v>
      </c>
      <c r="AR838" s="1125">
        <f t="shared" si="993"/>
        <v>1</v>
      </c>
      <c r="AS838" s="1125">
        <f t="shared" si="994"/>
        <v>0</v>
      </c>
      <c r="AT838" s="1125">
        <f t="shared" si="995"/>
        <v>1</v>
      </c>
      <c r="AU838" s="1125">
        <f t="shared" si="996"/>
        <v>1</v>
      </c>
      <c r="AV838" s="1125">
        <f t="shared" si="997"/>
        <v>1</v>
      </c>
      <c r="AW838" s="1125">
        <f t="shared" si="998"/>
        <v>1</v>
      </c>
      <c r="AX838" s="1125">
        <f t="shared" si="999"/>
        <v>1</v>
      </c>
      <c r="AY838" s="1125">
        <f t="shared" si="1000"/>
        <v>0</v>
      </c>
      <c r="AZ838" s="1125">
        <f t="shared" si="1001"/>
        <v>0</v>
      </c>
      <c r="BA838" s="1125">
        <f t="shared" si="1002"/>
        <v>0</v>
      </c>
      <c r="BB838" s="1125">
        <f t="shared" si="1003"/>
        <v>0</v>
      </c>
      <c r="BC838" s="1125">
        <f t="shared" si="1004"/>
        <v>0</v>
      </c>
      <c r="BD838" s="1125">
        <f t="shared" si="1005"/>
        <v>0</v>
      </c>
      <c r="BE838" s="1125">
        <f t="shared" si="1006"/>
        <v>1</v>
      </c>
      <c r="BF838" s="1125">
        <f t="shared" si="1007"/>
        <v>1</v>
      </c>
      <c r="BG838" s="1125">
        <f t="shared" si="1008"/>
        <v>0</v>
      </c>
      <c r="BH838" s="1125">
        <f t="shared" si="1009"/>
        <v>0</v>
      </c>
      <c r="BI838" s="1125">
        <f t="shared" si="1010"/>
        <v>0</v>
      </c>
      <c r="BJ838" s="1125">
        <f t="shared" si="1011"/>
        <v>0</v>
      </c>
      <c r="BK838" s="1125">
        <f t="shared" si="1012"/>
        <v>1</v>
      </c>
      <c r="BL838" s="1125">
        <f t="shared" si="1013"/>
        <v>1</v>
      </c>
      <c r="BM838" s="1125">
        <f t="shared" si="1014"/>
        <v>1</v>
      </c>
      <c r="BN838" s="1125">
        <f t="shared" si="1015"/>
        <v>1</v>
      </c>
      <c r="BO838" s="1125">
        <f t="shared" si="1016"/>
        <v>1</v>
      </c>
      <c r="BP838" s="1125">
        <f t="shared" si="1017"/>
        <v>1</v>
      </c>
      <c r="BQ838" s="1125">
        <f t="shared" si="1018"/>
        <v>1</v>
      </c>
      <c r="BR838" s="1125">
        <f t="shared" si="1019"/>
        <v>1</v>
      </c>
      <c r="BS838" s="1125">
        <f t="shared" si="1020"/>
        <v>1</v>
      </c>
      <c r="BT838" s="1125">
        <f t="shared" si="1021"/>
        <v>1</v>
      </c>
      <c r="BU838" s="1125">
        <f t="shared" si="1022"/>
        <v>1</v>
      </c>
      <c r="BV838" s="1125">
        <f t="shared" si="1023"/>
        <v>1</v>
      </c>
      <c r="BW838" s="1125">
        <f t="shared" si="1024"/>
        <v>0</v>
      </c>
      <c r="BX838" s="1125">
        <f t="shared" si="1025"/>
        <v>0</v>
      </c>
      <c r="BY838" s="1125">
        <f t="shared" si="1026"/>
        <v>0</v>
      </c>
      <c r="BZ838" s="1125">
        <f t="shared" si="1027"/>
        <v>0</v>
      </c>
      <c r="CA838" s="1125">
        <f t="shared" si="1028"/>
        <v>0</v>
      </c>
      <c r="CB838" s="1125">
        <f t="shared" si="1029"/>
        <v>1</v>
      </c>
      <c r="CC838" s="1125">
        <f t="shared" si="1030"/>
        <v>1</v>
      </c>
      <c r="CD838" s="1125">
        <f t="shared" si="1031"/>
        <v>1</v>
      </c>
      <c r="CE838" s="1125">
        <f t="shared" si="1032"/>
        <v>0</v>
      </c>
      <c r="CF838" s="1125">
        <f t="shared" si="1033"/>
        <v>0</v>
      </c>
      <c r="CG838" s="1125">
        <f t="shared" si="1034"/>
        <v>0</v>
      </c>
      <c r="CH838" s="1125">
        <f t="shared" si="1035"/>
        <v>0</v>
      </c>
      <c r="CI838" s="1125">
        <f t="shared" si="1036"/>
        <v>0.85</v>
      </c>
      <c r="CJ838" s="1125">
        <f t="shared" si="1037"/>
        <v>0.85</v>
      </c>
      <c r="CK838" s="1125">
        <f t="shared" si="1038"/>
        <v>0.85</v>
      </c>
      <c r="CL838" s="1125">
        <f t="shared" si="1039"/>
        <v>0.85</v>
      </c>
      <c r="CM838" s="1125">
        <f t="shared" si="1040"/>
        <v>0.85</v>
      </c>
      <c r="CN838" s="1125">
        <f t="shared" si="1041"/>
        <v>0.85</v>
      </c>
      <c r="CO838" s="1125">
        <f t="shared" si="1042"/>
        <v>0.85</v>
      </c>
      <c r="CP838" s="1125">
        <f t="shared" si="1043"/>
        <v>0.85</v>
      </c>
      <c r="CQ838" s="1125">
        <f t="shared" si="1044"/>
        <v>0.85</v>
      </c>
      <c r="CR838" s="1125">
        <f t="shared" si="1045"/>
        <v>0.85</v>
      </c>
      <c r="CS838" s="1125">
        <f t="shared" si="1046"/>
        <v>0.85</v>
      </c>
      <c r="CT838" s="1125">
        <f t="shared" si="1047"/>
        <v>0.85</v>
      </c>
      <c r="CU838" s="1125">
        <v>1</v>
      </c>
      <c r="CV838" s="1125"/>
      <c r="CW838" s="1125">
        <f t="shared" si="1048"/>
        <v>92</v>
      </c>
      <c r="CX838" s="1125">
        <f t="shared" si="1049"/>
        <v>273</v>
      </c>
      <c r="CY838" s="1136" t="s">
        <v>4893</v>
      </c>
      <c r="CZ838" s="1129" t="s">
        <v>4894</v>
      </c>
      <c r="DA838" s="1129"/>
      <c r="DB838" s="1129"/>
      <c r="DC838" s="1125" t="s">
        <v>5664</v>
      </c>
      <c r="DD838" s="1125" t="s">
        <v>238</v>
      </c>
      <c r="DE838" s="1120" t="b">
        <f t="shared" si="975"/>
        <v>0</v>
      </c>
      <c r="DF838" s="1133">
        <v>0</v>
      </c>
      <c r="DG838" s="1120">
        <v>0</v>
      </c>
    </row>
    <row r="839" spans="1:111">
      <c r="A839" s="1125" t="s">
        <v>4368</v>
      </c>
      <c r="B839" s="1120" t="s">
        <v>4582</v>
      </c>
      <c r="C839" s="1120" t="s">
        <v>4583</v>
      </c>
      <c r="D839" s="1120" t="s">
        <v>238</v>
      </c>
      <c r="E839" s="1120">
        <v>400</v>
      </c>
      <c r="F839" s="1120">
        <v>-122.32</v>
      </c>
      <c r="G839" s="1120">
        <v>47.47</v>
      </c>
      <c r="H839" s="1120">
        <v>-8</v>
      </c>
      <c r="I839" s="1121">
        <v>29.119999957084655</v>
      </c>
      <c r="J839" s="1121">
        <v>81.319999313354487</v>
      </c>
      <c r="K839" s="1122">
        <v>63.5</v>
      </c>
      <c r="L839" s="1120">
        <v>4577.4000000000005</v>
      </c>
      <c r="M839" s="1120">
        <v>136.80000000000001</v>
      </c>
      <c r="N839" s="1123">
        <v>40.1</v>
      </c>
      <c r="O839" s="1123">
        <v>42.440000343322751</v>
      </c>
      <c r="P839" s="1123">
        <v>46.940000343322751</v>
      </c>
      <c r="Q839" s="1123">
        <v>51.619999313354491</v>
      </c>
      <c r="R839" s="1123">
        <v>55.4</v>
      </c>
      <c r="S839" s="1123">
        <v>60.080000686645505</v>
      </c>
      <c r="T839" s="1123">
        <v>63.86000137329102</v>
      </c>
      <c r="U839" s="1123">
        <v>65.83999862670899</v>
      </c>
      <c r="V839" s="1123">
        <v>59.180000686645506</v>
      </c>
      <c r="W839" s="1123">
        <v>52.519999313354489</v>
      </c>
      <c r="X839" s="1123">
        <v>46.580000686645505</v>
      </c>
      <c r="Y839" s="1123">
        <v>41.720000171661376</v>
      </c>
      <c r="Z839" s="1123">
        <v>52.246301494493878</v>
      </c>
      <c r="AA839" s="1123">
        <f t="shared" si="976"/>
        <v>52.68355517791548</v>
      </c>
      <c r="AB839" s="1123">
        <f t="shared" si="977"/>
        <v>52.046689746915739</v>
      </c>
      <c r="AC839" s="1123">
        <f t="shared" si="978"/>
        <v>53.025848656831201</v>
      </c>
      <c r="AD839" s="1123">
        <f t="shared" si="979"/>
        <v>55.365799048496861</v>
      </c>
      <c r="AE839" s="1123">
        <f t="shared" si="980"/>
        <v>58.456596792598006</v>
      </c>
      <c r="AF839" s="1123">
        <f t="shared" si="981"/>
        <v>61.492577826499669</v>
      </c>
      <c r="AG839" s="1123">
        <f t="shared" si="982"/>
        <v>63.682366907831451</v>
      </c>
      <c r="AH839" s="1123">
        <f t="shared" si="983"/>
        <v>64.455161766873019</v>
      </c>
      <c r="AI839" s="1123">
        <f t="shared" si="984"/>
        <v>63.609521514485898</v>
      </c>
      <c r="AJ839" s="1123">
        <f t="shared" si="985"/>
        <v>61.365875314165571</v>
      </c>
      <c r="AK839" s="1123">
        <f t="shared" si="986"/>
        <v>58.309064123660065</v>
      </c>
      <c r="AL839" s="1123">
        <f t="shared" si="987"/>
        <v>55.235892886660999</v>
      </c>
      <c r="AM839" s="1120">
        <f t="shared" si="988"/>
        <v>1</v>
      </c>
      <c r="AN839" s="1120">
        <f t="shared" si="989"/>
        <v>1</v>
      </c>
      <c r="AO839" s="1120">
        <f t="shared" si="990"/>
        <v>1</v>
      </c>
      <c r="AP839" s="1120">
        <f t="shared" si="991"/>
        <v>1</v>
      </c>
      <c r="AQ839" s="1120">
        <f t="shared" si="992"/>
        <v>1</v>
      </c>
      <c r="AR839" s="1120">
        <f t="shared" si="993"/>
        <v>1</v>
      </c>
      <c r="AS839" s="1120">
        <f t="shared" si="994"/>
        <v>1</v>
      </c>
      <c r="AT839" s="1120">
        <f t="shared" si="995"/>
        <v>1</v>
      </c>
      <c r="AU839" s="1120">
        <f t="shared" si="996"/>
        <v>1</v>
      </c>
      <c r="AV839" s="1120">
        <f t="shared" si="997"/>
        <v>1</v>
      </c>
      <c r="AW839" s="1120">
        <f t="shared" si="998"/>
        <v>1</v>
      </c>
      <c r="AX839" s="1120">
        <f t="shared" si="999"/>
        <v>1</v>
      </c>
      <c r="AY839" s="1120">
        <f t="shared" si="1000"/>
        <v>0</v>
      </c>
      <c r="AZ839" s="1120">
        <f t="shared" si="1001"/>
        <v>0</v>
      </c>
      <c r="BA839" s="1120">
        <f t="shared" si="1002"/>
        <v>0</v>
      </c>
      <c r="BB839" s="1120">
        <f t="shared" si="1003"/>
        <v>0</v>
      </c>
      <c r="BC839" s="1120">
        <f t="shared" si="1004"/>
        <v>0</v>
      </c>
      <c r="BD839" s="1120">
        <f t="shared" si="1005"/>
        <v>0</v>
      </c>
      <c r="BE839" s="1120">
        <f t="shared" si="1006"/>
        <v>1</v>
      </c>
      <c r="BF839" s="1120">
        <f t="shared" si="1007"/>
        <v>1</v>
      </c>
      <c r="BG839" s="1120">
        <f t="shared" si="1008"/>
        <v>0</v>
      </c>
      <c r="BH839" s="1120">
        <f t="shared" si="1009"/>
        <v>0</v>
      </c>
      <c r="BI839" s="1120">
        <f t="shared" si="1010"/>
        <v>0</v>
      </c>
      <c r="BJ839" s="1120">
        <f t="shared" si="1011"/>
        <v>0</v>
      </c>
      <c r="BK839" s="1120">
        <f t="shared" si="1012"/>
        <v>1</v>
      </c>
      <c r="BL839" s="1120">
        <f t="shared" si="1013"/>
        <v>1</v>
      </c>
      <c r="BM839" s="1120">
        <f t="shared" si="1014"/>
        <v>1</v>
      </c>
      <c r="BN839" s="1120">
        <f t="shared" si="1015"/>
        <v>1</v>
      </c>
      <c r="BO839" s="1120">
        <f t="shared" si="1016"/>
        <v>1</v>
      </c>
      <c r="BP839" s="1120">
        <f t="shared" si="1017"/>
        <v>1</v>
      </c>
      <c r="BQ839" s="1120">
        <f t="shared" si="1018"/>
        <v>1</v>
      </c>
      <c r="BR839" s="1120">
        <f t="shared" si="1019"/>
        <v>1</v>
      </c>
      <c r="BS839" s="1120">
        <f t="shared" si="1020"/>
        <v>1</v>
      </c>
      <c r="BT839" s="1120">
        <f t="shared" si="1021"/>
        <v>1</v>
      </c>
      <c r="BU839" s="1120">
        <f t="shared" si="1022"/>
        <v>1</v>
      </c>
      <c r="BV839" s="1120">
        <f t="shared" si="1023"/>
        <v>1</v>
      </c>
      <c r="BW839" s="1120">
        <f t="shared" si="1024"/>
        <v>0</v>
      </c>
      <c r="BX839" s="1120">
        <f t="shared" si="1025"/>
        <v>0</v>
      </c>
      <c r="BY839" s="1120">
        <f t="shared" si="1026"/>
        <v>0</v>
      </c>
      <c r="BZ839" s="1120">
        <f t="shared" si="1027"/>
        <v>0</v>
      </c>
      <c r="CA839" s="1120">
        <f t="shared" si="1028"/>
        <v>0</v>
      </c>
      <c r="CB839" s="1120">
        <f t="shared" si="1029"/>
        <v>0</v>
      </c>
      <c r="CC839" s="1120">
        <f t="shared" si="1030"/>
        <v>1</v>
      </c>
      <c r="CD839" s="1120">
        <f t="shared" si="1031"/>
        <v>1</v>
      </c>
      <c r="CE839" s="1120">
        <f t="shared" si="1032"/>
        <v>0</v>
      </c>
      <c r="CF839" s="1120">
        <f t="shared" si="1033"/>
        <v>0</v>
      </c>
      <c r="CG839" s="1120">
        <f t="shared" si="1034"/>
        <v>0</v>
      </c>
      <c r="CH839" s="1120">
        <f t="shared" si="1035"/>
        <v>0</v>
      </c>
      <c r="CI839" s="1120">
        <f t="shared" si="1036"/>
        <v>0.85</v>
      </c>
      <c r="CJ839" s="1120">
        <f t="shared" si="1037"/>
        <v>0.85</v>
      </c>
      <c r="CK839" s="1120">
        <f t="shared" si="1038"/>
        <v>0.85</v>
      </c>
      <c r="CL839" s="1120">
        <f t="shared" si="1039"/>
        <v>0.85</v>
      </c>
      <c r="CM839" s="1120">
        <f t="shared" si="1040"/>
        <v>0.85</v>
      </c>
      <c r="CN839" s="1120">
        <f t="shared" si="1041"/>
        <v>0.85</v>
      </c>
      <c r="CO839" s="1120">
        <f t="shared" si="1042"/>
        <v>0.85</v>
      </c>
      <c r="CP839" s="1120">
        <f t="shared" si="1043"/>
        <v>0.85</v>
      </c>
      <c r="CQ839" s="1120">
        <f t="shared" si="1044"/>
        <v>0.85</v>
      </c>
      <c r="CR839" s="1120">
        <f t="shared" si="1045"/>
        <v>0.85</v>
      </c>
      <c r="CS839" s="1120">
        <f t="shared" si="1046"/>
        <v>0.85</v>
      </c>
      <c r="CT839" s="1120">
        <f t="shared" si="1047"/>
        <v>0.85</v>
      </c>
      <c r="CU839" s="1120">
        <v>1</v>
      </c>
      <c r="CV839" s="1120"/>
      <c r="CW839" s="1120">
        <f t="shared" si="1048"/>
        <v>62</v>
      </c>
      <c r="CX839" s="1120">
        <f t="shared" si="1049"/>
        <v>303</v>
      </c>
      <c r="CY839" s="1135" t="s">
        <v>4893</v>
      </c>
      <c r="CZ839" s="1124" t="s">
        <v>4894</v>
      </c>
      <c r="DA839" s="1124"/>
      <c r="DB839" s="1124"/>
      <c r="DC839" s="1120" t="s">
        <v>6053</v>
      </c>
      <c r="DD839" s="1120" t="s">
        <v>238</v>
      </c>
      <c r="DE839" s="1120" t="str">
        <f t="shared" si="975"/>
        <v/>
      </c>
      <c r="DF839" s="1133">
        <v>0</v>
      </c>
      <c r="DG839" s="1125">
        <v>0</v>
      </c>
    </row>
    <row r="840" spans="1:111">
      <c r="A840" s="1120" t="s">
        <v>4370</v>
      </c>
      <c r="B840" s="1120" t="s">
        <v>274</v>
      </c>
      <c r="C840" s="1120" t="s">
        <v>275</v>
      </c>
      <c r="D840" s="1120" t="s">
        <v>953</v>
      </c>
      <c r="E840" s="1120">
        <v>26</v>
      </c>
      <c r="F840" s="1120">
        <v>-160</v>
      </c>
      <c r="G840" s="1120">
        <v>66.599999999999994</v>
      </c>
      <c r="H840" s="1120">
        <v>-9</v>
      </c>
      <c r="I840" s="1121">
        <v>-57.460001373291021</v>
      </c>
      <c r="J840" s="1121">
        <v>69.980000686645511</v>
      </c>
      <c r="K840" s="1122">
        <v>54.859999656677246</v>
      </c>
      <c r="L840" s="1120">
        <v>14434.2</v>
      </c>
      <c r="M840" s="1120">
        <v>0</v>
      </c>
      <c r="N840" s="1123">
        <v>-12.460001373291016</v>
      </c>
      <c r="O840" s="1123">
        <v>-0.4000000000000008</v>
      </c>
      <c r="P840" s="1123">
        <v>13.280000686645508</v>
      </c>
      <c r="Q840" s="1123">
        <v>20.479999828338624</v>
      </c>
      <c r="R840" s="1123">
        <v>39.379999828338626</v>
      </c>
      <c r="S840" s="1123">
        <v>46.220000171661376</v>
      </c>
      <c r="T840" s="1123">
        <v>54.5</v>
      </c>
      <c r="U840" s="1123">
        <v>50</v>
      </c>
      <c r="V840" s="1123">
        <v>37.4</v>
      </c>
      <c r="W840" s="1123">
        <v>30.559999978542329</v>
      </c>
      <c r="X840" s="1123">
        <v>9.6800006866455064</v>
      </c>
      <c r="Y840" s="1123">
        <v>7.6999999999999993</v>
      </c>
      <c r="Z840" s="1123">
        <v>24.860164365278532</v>
      </c>
      <c r="AA840" s="1123">
        <f t="shared" si="976"/>
        <v>32</v>
      </c>
      <c r="AB840" s="1123">
        <f t="shared" si="977"/>
        <v>32</v>
      </c>
      <c r="AC840" s="1123">
        <f t="shared" si="978"/>
        <v>32</v>
      </c>
      <c r="AD840" s="1123">
        <f t="shared" si="979"/>
        <v>32</v>
      </c>
      <c r="AE840" s="1123">
        <f t="shared" si="980"/>
        <v>32</v>
      </c>
      <c r="AF840" s="1123">
        <f t="shared" si="981"/>
        <v>32</v>
      </c>
      <c r="AG840" s="1123">
        <f t="shared" si="982"/>
        <v>34.77546811740244</v>
      </c>
      <c r="AH840" s="1123">
        <f t="shared" si="983"/>
        <v>37.120028480653374</v>
      </c>
      <c r="AI840" s="1123">
        <f t="shared" si="984"/>
        <v>37.832858794805787</v>
      </c>
      <c r="AJ840" s="1123">
        <f t="shared" si="985"/>
        <v>36.728148853428209</v>
      </c>
      <c r="AK840" s="1123">
        <f t="shared" si="986"/>
        <v>34.093858326836212</v>
      </c>
      <c r="AL840" s="1123">
        <f t="shared" si="987"/>
        <v>32</v>
      </c>
      <c r="AM840" s="1120">
        <f t="shared" si="988"/>
        <v>1</v>
      </c>
      <c r="AN840" s="1120">
        <f t="shared" si="989"/>
        <v>1</v>
      </c>
      <c r="AO840" s="1120">
        <f t="shared" si="990"/>
        <v>1</v>
      </c>
      <c r="AP840" s="1120">
        <f t="shared" si="991"/>
        <v>1</v>
      </c>
      <c r="AQ840" s="1120">
        <f t="shared" si="992"/>
        <v>1</v>
      </c>
      <c r="AR840" s="1120">
        <f t="shared" si="993"/>
        <v>1</v>
      </c>
      <c r="AS840" s="1120">
        <f t="shared" si="994"/>
        <v>1</v>
      </c>
      <c r="AT840" s="1120">
        <f t="shared" si="995"/>
        <v>1</v>
      </c>
      <c r="AU840" s="1120">
        <f t="shared" si="996"/>
        <v>1</v>
      </c>
      <c r="AV840" s="1120">
        <f t="shared" si="997"/>
        <v>1</v>
      </c>
      <c r="AW840" s="1120">
        <f t="shared" si="998"/>
        <v>1</v>
      </c>
      <c r="AX840" s="1120">
        <f t="shared" si="999"/>
        <v>1</v>
      </c>
      <c r="AY840" s="1120">
        <f t="shared" si="1000"/>
        <v>0</v>
      </c>
      <c r="AZ840" s="1120">
        <f t="shared" si="1001"/>
        <v>0</v>
      </c>
      <c r="BA840" s="1120">
        <f t="shared" si="1002"/>
        <v>0</v>
      </c>
      <c r="BB840" s="1120">
        <f t="shared" si="1003"/>
        <v>0</v>
      </c>
      <c r="BC840" s="1120">
        <f t="shared" si="1004"/>
        <v>0</v>
      </c>
      <c r="BD840" s="1120">
        <f t="shared" si="1005"/>
        <v>0</v>
      </c>
      <c r="BE840" s="1120">
        <f t="shared" si="1006"/>
        <v>1</v>
      </c>
      <c r="BF840" s="1120">
        <f t="shared" si="1007"/>
        <v>1</v>
      </c>
      <c r="BG840" s="1120">
        <f t="shared" si="1008"/>
        <v>0</v>
      </c>
      <c r="BH840" s="1120">
        <f t="shared" si="1009"/>
        <v>0</v>
      </c>
      <c r="BI840" s="1120">
        <f t="shared" si="1010"/>
        <v>0</v>
      </c>
      <c r="BJ840" s="1120">
        <f t="shared" si="1011"/>
        <v>0</v>
      </c>
      <c r="BK840" s="1120">
        <f t="shared" si="1012"/>
        <v>1</v>
      </c>
      <c r="BL840" s="1120">
        <f t="shared" si="1013"/>
        <v>1</v>
      </c>
      <c r="BM840" s="1120">
        <f t="shared" si="1014"/>
        <v>1</v>
      </c>
      <c r="BN840" s="1120">
        <f t="shared" si="1015"/>
        <v>1</v>
      </c>
      <c r="BO840" s="1120">
        <f t="shared" si="1016"/>
        <v>1</v>
      </c>
      <c r="BP840" s="1120">
        <f t="shared" si="1017"/>
        <v>1</v>
      </c>
      <c r="BQ840" s="1120">
        <f t="shared" si="1018"/>
        <v>1</v>
      </c>
      <c r="BR840" s="1120">
        <f t="shared" si="1019"/>
        <v>1</v>
      </c>
      <c r="BS840" s="1120">
        <f t="shared" si="1020"/>
        <v>1</v>
      </c>
      <c r="BT840" s="1120">
        <f t="shared" si="1021"/>
        <v>1</v>
      </c>
      <c r="BU840" s="1120">
        <f t="shared" si="1022"/>
        <v>1</v>
      </c>
      <c r="BV840" s="1120">
        <f t="shared" si="1023"/>
        <v>1</v>
      </c>
      <c r="BW840" s="1120">
        <f t="shared" si="1024"/>
        <v>0</v>
      </c>
      <c r="BX840" s="1120">
        <f t="shared" si="1025"/>
        <v>0</v>
      </c>
      <c r="BY840" s="1120">
        <f t="shared" si="1026"/>
        <v>0</v>
      </c>
      <c r="BZ840" s="1120">
        <f t="shared" si="1027"/>
        <v>0</v>
      </c>
      <c r="CA840" s="1120">
        <f t="shared" si="1028"/>
        <v>0</v>
      </c>
      <c r="CB840" s="1120">
        <f t="shared" si="1029"/>
        <v>0</v>
      </c>
      <c r="CC840" s="1120">
        <f t="shared" si="1030"/>
        <v>1</v>
      </c>
      <c r="CD840" s="1120">
        <f t="shared" si="1031"/>
        <v>1</v>
      </c>
      <c r="CE840" s="1120">
        <f t="shared" si="1032"/>
        <v>0</v>
      </c>
      <c r="CF840" s="1120">
        <f t="shared" si="1033"/>
        <v>0</v>
      </c>
      <c r="CG840" s="1120">
        <f t="shared" si="1034"/>
        <v>0</v>
      </c>
      <c r="CH840" s="1120">
        <f t="shared" si="1035"/>
        <v>0</v>
      </c>
      <c r="CI840" s="1120">
        <f t="shared" si="1036"/>
        <v>0.85</v>
      </c>
      <c r="CJ840" s="1120">
        <f t="shared" si="1037"/>
        <v>0.85</v>
      </c>
      <c r="CK840" s="1120">
        <f t="shared" si="1038"/>
        <v>0.85</v>
      </c>
      <c r="CL840" s="1120">
        <f t="shared" si="1039"/>
        <v>0.85</v>
      </c>
      <c r="CM840" s="1120">
        <f t="shared" si="1040"/>
        <v>0.85</v>
      </c>
      <c r="CN840" s="1120">
        <f t="shared" si="1041"/>
        <v>0.85</v>
      </c>
      <c r="CO840" s="1120">
        <f t="shared" si="1042"/>
        <v>0.85</v>
      </c>
      <c r="CP840" s="1120">
        <f t="shared" si="1043"/>
        <v>0.85</v>
      </c>
      <c r="CQ840" s="1120">
        <f t="shared" si="1044"/>
        <v>0.85</v>
      </c>
      <c r="CR840" s="1120">
        <f t="shared" si="1045"/>
        <v>0.85</v>
      </c>
      <c r="CS840" s="1120">
        <f t="shared" si="1046"/>
        <v>0.85</v>
      </c>
      <c r="CT840" s="1120">
        <f t="shared" si="1047"/>
        <v>0.85</v>
      </c>
      <c r="CU840" s="1120">
        <v>1</v>
      </c>
      <c r="CV840" s="1120"/>
      <c r="CW840" s="1120">
        <f t="shared" si="1048"/>
        <v>62</v>
      </c>
      <c r="CX840" s="1120">
        <f t="shared" si="1049"/>
        <v>303</v>
      </c>
      <c r="CY840" s="1135" t="s">
        <v>4880</v>
      </c>
      <c r="CZ840" s="1124">
        <v>8</v>
      </c>
      <c r="DA840" s="1124"/>
      <c r="DB840" s="1124"/>
      <c r="DC840" s="1120" t="s">
        <v>4957</v>
      </c>
      <c r="DD840" s="1120" t="s">
        <v>953</v>
      </c>
      <c r="DE840" s="1120" t="str">
        <f t="shared" si="975"/>
        <v/>
      </c>
      <c r="DF840" s="1120">
        <v>0</v>
      </c>
      <c r="DG840" s="1120">
        <v>0</v>
      </c>
    </row>
    <row r="841" spans="1:111">
      <c r="A841" s="1125" t="s">
        <v>4372</v>
      </c>
      <c r="B841" s="1125" t="s">
        <v>276</v>
      </c>
      <c r="C841" s="1125" t="s">
        <v>277</v>
      </c>
      <c r="D841" s="1125" t="s">
        <v>953</v>
      </c>
      <c r="E841" s="1125">
        <v>59</v>
      </c>
      <c r="F841" s="1125">
        <v>-149.44999999999999</v>
      </c>
      <c r="G841" s="1125">
        <v>60.12</v>
      </c>
      <c r="H841" s="1125">
        <v>-9</v>
      </c>
      <c r="I841" s="1126">
        <v>7.3400003433227532</v>
      </c>
      <c r="J841" s="1126">
        <v>66.019999313354489</v>
      </c>
      <c r="K841" s="1127">
        <v>55.580000686645505</v>
      </c>
      <c r="L841" s="1125">
        <v>8888.4</v>
      </c>
      <c r="M841" s="1125">
        <v>0</v>
      </c>
      <c r="N841" s="1128">
        <v>31.639999994635581</v>
      </c>
      <c r="O841" s="1128">
        <v>28.939999914169313</v>
      </c>
      <c r="P841" s="1128">
        <v>30.380000042915345</v>
      </c>
      <c r="Q841" s="1128">
        <v>39.02000017166138</v>
      </c>
      <c r="R841" s="1128">
        <v>44.059999656677249</v>
      </c>
      <c r="S841" s="1128">
        <v>53.240000343322755</v>
      </c>
      <c r="T841" s="1128">
        <v>54.319999313354494</v>
      </c>
      <c r="U841" s="1128">
        <v>56.119999313354491</v>
      </c>
      <c r="V841" s="1128">
        <v>48.2</v>
      </c>
      <c r="W841" s="1128">
        <v>35.060000085830687</v>
      </c>
      <c r="X841" s="1128">
        <v>28.4</v>
      </c>
      <c r="Y841" s="1128">
        <v>30.380000042915345</v>
      </c>
      <c r="Z841" s="1128">
        <v>40.046246479414911</v>
      </c>
      <c r="AA841" s="1128">
        <f t="shared" si="976"/>
        <v>42.131361469563785</v>
      </c>
      <c r="AB841" s="1128">
        <f t="shared" si="977"/>
        <v>41.109427432910053</v>
      </c>
      <c r="AC841" s="1128">
        <f t="shared" si="978"/>
        <v>41.374351359412195</v>
      </c>
      <c r="AD841" s="1128">
        <f t="shared" si="979"/>
        <v>42.857076745026149</v>
      </c>
      <c r="AE841" s="1128">
        <f t="shared" si="980"/>
        <v>45.171108368501798</v>
      </c>
      <c r="AF841" s="1128">
        <f t="shared" si="981"/>
        <v>47.713258226873464</v>
      </c>
      <c r="AG841" s="1128">
        <f t="shared" si="982"/>
        <v>49.820875783841416</v>
      </c>
      <c r="AH841" s="1128">
        <f t="shared" si="983"/>
        <v>50.944578043812271</v>
      </c>
      <c r="AI841" s="1128">
        <f t="shared" si="984"/>
        <v>50.791454695948609</v>
      </c>
      <c r="AJ841" s="1128">
        <f t="shared" si="985"/>
        <v>49.401419700573321</v>
      </c>
      <c r="AK841" s="1128">
        <f t="shared" si="986"/>
        <v>47.13680710031867</v>
      </c>
      <c r="AL841" s="1128">
        <f t="shared" si="987"/>
        <v>44.587923068177574</v>
      </c>
      <c r="AM841" s="1125">
        <f t="shared" si="988"/>
        <v>1</v>
      </c>
      <c r="AN841" s="1125">
        <f t="shared" si="989"/>
        <v>1</v>
      </c>
      <c r="AO841" s="1125">
        <f t="shared" si="990"/>
        <v>1</v>
      </c>
      <c r="AP841" s="1125">
        <f t="shared" si="991"/>
        <v>1</v>
      </c>
      <c r="AQ841" s="1125">
        <f t="shared" si="992"/>
        <v>1</v>
      </c>
      <c r="AR841" s="1125">
        <f t="shared" si="993"/>
        <v>1</v>
      </c>
      <c r="AS841" s="1125">
        <f t="shared" si="994"/>
        <v>1</v>
      </c>
      <c r="AT841" s="1125">
        <f t="shared" si="995"/>
        <v>1</v>
      </c>
      <c r="AU841" s="1125">
        <f t="shared" si="996"/>
        <v>1</v>
      </c>
      <c r="AV841" s="1125">
        <f t="shared" si="997"/>
        <v>1</v>
      </c>
      <c r="AW841" s="1125">
        <f t="shared" si="998"/>
        <v>1</v>
      </c>
      <c r="AX841" s="1125">
        <f t="shared" si="999"/>
        <v>1</v>
      </c>
      <c r="AY841" s="1125">
        <f t="shared" si="1000"/>
        <v>0</v>
      </c>
      <c r="AZ841" s="1125">
        <f t="shared" si="1001"/>
        <v>0</v>
      </c>
      <c r="BA841" s="1125">
        <f t="shared" si="1002"/>
        <v>0</v>
      </c>
      <c r="BB841" s="1125">
        <f t="shared" si="1003"/>
        <v>0</v>
      </c>
      <c r="BC841" s="1125">
        <f t="shared" si="1004"/>
        <v>0</v>
      </c>
      <c r="BD841" s="1125">
        <f t="shared" si="1005"/>
        <v>0</v>
      </c>
      <c r="BE841" s="1125">
        <f t="shared" si="1006"/>
        <v>1</v>
      </c>
      <c r="BF841" s="1125">
        <f t="shared" si="1007"/>
        <v>1</v>
      </c>
      <c r="BG841" s="1125">
        <f t="shared" si="1008"/>
        <v>0</v>
      </c>
      <c r="BH841" s="1125">
        <f t="shared" si="1009"/>
        <v>0</v>
      </c>
      <c r="BI841" s="1125">
        <f t="shared" si="1010"/>
        <v>0</v>
      </c>
      <c r="BJ841" s="1125">
        <f t="shared" si="1011"/>
        <v>0</v>
      </c>
      <c r="BK841" s="1125">
        <f t="shared" si="1012"/>
        <v>1</v>
      </c>
      <c r="BL841" s="1125">
        <f t="shared" si="1013"/>
        <v>1</v>
      </c>
      <c r="BM841" s="1125">
        <f t="shared" si="1014"/>
        <v>1</v>
      </c>
      <c r="BN841" s="1125">
        <f t="shared" si="1015"/>
        <v>1</v>
      </c>
      <c r="BO841" s="1125">
        <f t="shared" si="1016"/>
        <v>1</v>
      </c>
      <c r="BP841" s="1125">
        <f t="shared" si="1017"/>
        <v>1</v>
      </c>
      <c r="BQ841" s="1125">
        <f t="shared" si="1018"/>
        <v>1</v>
      </c>
      <c r="BR841" s="1125">
        <f t="shared" si="1019"/>
        <v>1</v>
      </c>
      <c r="BS841" s="1125">
        <f t="shared" si="1020"/>
        <v>1</v>
      </c>
      <c r="BT841" s="1125">
        <f t="shared" si="1021"/>
        <v>1</v>
      </c>
      <c r="BU841" s="1125">
        <f t="shared" si="1022"/>
        <v>1</v>
      </c>
      <c r="BV841" s="1125">
        <f t="shared" si="1023"/>
        <v>1</v>
      </c>
      <c r="BW841" s="1125">
        <f t="shared" si="1024"/>
        <v>0</v>
      </c>
      <c r="BX841" s="1125">
        <f t="shared" si="1025"/>
        <v>0</v>
      </c>
      <c r="BY841" s="1125">
        <f t="shared" si="1026"/>
        <v>0</v>
      </c>
      <c r="BZ841" s="1125">
        <f t="shared" si="1027"/>
        <v>0</v>
      </c>
      <c r="CA841" s="1125">
        <f t="shared" si="1028"/>
        <v>0</v>
      </c>
      <c r="CB841" s="1125">
        <f t="shared" si="1029"/>
        <v>0</v>
      </c>
      <c r="CC841" s="1125">
        <f t="shared" si="1030"/>
        <v>1</v>
      </c>
      <c r="CD841" s="1125">
        <f t="shared" si="1031"/>
        <v>1</v>
      </c>
      <c r="CE841" s="1125">
        <f t="shared" si="1032"/>
        <v>0</v>
      </c>
      <c r="CF841" s="1125">
        <f t="shared" si="1033"/>
        <v>0</v>
      </c>
      <c r="CG841" s="1125">
        <f t="shared" si="1034"/>
        <v>0</v>
      </c>
      <c r="CH841" s="1125">
        <f t="shared" si="1035"/>
        <v>0</v>
      </c>
      <c r="CI841" s="1125">
        <f t="shared" si="1036"/>
        <v>0.85</v>
      </c>
      <c r="CJ841" s="1125">
        <f t="shared" si="1037"/>
        <v>0.85</v>
      </c>
      <c r="CK841" s="1125">
        <f t="shared" si="1038"/>
        <v>0.85</v>
      </c>
      <c r="CL841" s="1125">
        <f t="shared" si="1039"/>
        <v>0.85</v>
      </c>
      <c r="CM841" s="1125">
        <f t="shared" si="1040"/>
        <v>0.85</v>
      </c>
      <c r="CN841" s="1125">
        <f t="shared" si="1041"/>
        <v>0.85</v>
      </c>
      <c r="CO841" s="1125">
        <f t="shared" si="1042"/>
        <v>0.85</v>
      </c>
      <c r="CP841" s="1125">
        <f t="shared" si="1043"/>
        <v>0.85</v>
      </c>
      <c r="CQ841" s="1125">
        <f t="shared" si="1044"/>
        <v>0.85</v>
      </c>
      <c r="CR841" s="1125">
        <f t="shared" si="1045"/>
        <v>0.85</v>
      </c>
      <c r="CS841" s="1125">
        <f t="shared" si="1046"/>
        <v>0.85</v>
      </c>
      <c r="CT841" s="1125">
        <f t="shared" si="1047"/>
        <v>0.85</v>
      </c>
      <c r="CU841" s="1125">
        <v>1</v>
      </c>
      <c r="CV841" s="1125"/>
      <c r="CW841" s="1125">
        <f t="shared" si="1048"/>
        <v>62</v>
      </c>
      <c r="CX841" s="1125">
        <f t="shared" si="1049"/>
        <v>303</v>
      </c>
      <c r="CY841" s="1136" t="s">
        <v>4879</v>
      </c>
      <c r="CZ841" s="1129">
        <v>7</v>
      </c>
      <c r="DA841" s="1129"/>
      <c r="DB841" s="1129"/>
      <c r="DC841" s="1125" t="s">
        <v>4958</v>
      </c>
      <c r="DD841" s="1125" t="s">
        <v>953</v>
      </c>
      <c r="DE841" s="1125" t="str">
        <f t="shared" si="975"/>
        <v/>
      </c>
      <c r="DF841" s="1125">
        <v>0</v>
      </c>
      <c r="DG841" s="1125">
        <v>0</v>
      </c>
    </row>
    <row r="842" spans="1:111">
      <c r="A842" s="1120" t="s">
        <v>4374</v>
      </c>
      <c r="B842" s="1125" t="s">
        <v>173</v>
      </c>
      <c r="C842" s="1125" t="s">
        <v>174</v>
      </c>
      <c r="D842" s="1125" t="s">
        <v>427</v>
      </c>
      <c r="E842" s="1125">
        <v>3831</v>
      </c>
      <c r="F842" s="1125">
        <v>-123.37</v>
      </c>
      <c r="G842" s="1125">
        <v>42.6</v>
      </c>
      <c r="H842" s="1125">
        <v>-8</v>
      </c>
      <c r="I842" s="1126">
        <v>24.8</v>
      </c>
      <c r="J842" s="1126">
        <v>80.780000686645508</v>
      </c>
      <c r="K842" s="1127">
        <v>60.080000686645505</v>
      </c>
      <c r="L842" s="1125">
        <v>5592.6</v>
      </c>
      <c r="M842" s="1125">
        <v>363.6</v>
      </c>
      <c r="N842" s="1128">
        <v>37.939999914169313</v>
      </c>
      <c r="O842" s="1128">
        <v>39.379999828338626</v>
      </c>
      <c r="P842" s="1128">
        <v>34.160000085830688</v>
      </c>
      <c r="Q842" s="1128">
        <v>43.52000017166138</v>
      </c>
      <c r="R842" s="1128">
        <v>55.940000343322751</v>
      </c>
      <c r="S842" s="1128">
        <v>57.2</v>
      </c>
      <c r="T842" s="1128">
        <v>65.66000137329101</v>
      </c>
      <c r="U842" s="1128">
        <v>64.580000686645505</v>
      </c>
      <c r="V842" s="1128">
        <v>62.780000686645508</v>
      </c>
      <c r="W842" s="1128">
        <v>51.619999313354491</v>
      </c>
      <c r="X842" s="1128">
        <v>46.580000686645505</v>
      </c>
      <c r="Y842" s="1128">
        <v>40.820000171661377</v>
      </c>
      <c r="Z842" s="1128">
        <v>50.07495917829749</v>
      </c>
      <c r="AA842" s="1128">
        <f t="shared" si="976"/>
        <v>49.698768098228484</v>
      </c>
      <c r="AB842" s="1128">
        <f t="shared" si="977"/>
        <v>48.819394451027435</v>
      </c>
      <c r="AC842" s="1128">
        <f t="shared" si="978"/>
        <v>49.831295561626277</v>
      </c>
      <c r="AD842" s="1128">
        <f t="shared" si="979"/>
        <v>52.470703811679286</v>
      </c>
      <c r="AE842" s="1128">
        <f t="shared" si="980"/>
        <v>56.049616766297817</v>
      </c>
      <c r="AF842" s="1128">
        <f t="shared" si="981"/>
        <v>59.635135611142452</v>
      </c>
      <c r="AG842" s="1128">
        <f t="shared" si="982"/>
        <v>62.292639604786501</v>
      </c>
      <c r="AH842" s="1128">
        <f t="shared" si="983"/>
        <v>63.329409377910444</v>
      </c>
      <c r="AI842" s="1128">
        <f t="shared" si="984"/>
        <v>62.475194912043712</v>
      </c>
      <c r="AJ842" s="1128">
        <f t="shared" si="985"/>
        <v>59.95266037155784</v>
      </c>
      <c r="AK842" s="1128">
        <f t="shared" si="986"/>
        <v>56.419343257864433</v>
      </c>
      <c r="AL842" s="1128">
        <f t="shared" si="987"/>
        <v>52.796257126712597</v>
      </c>
      <c r="AM842" s="1125">
        <f t="shared" si="988"/>
        <v>1</v>
      </c>
      <c r="AN842" s="1125">
        <f t="shared" si="989"/>
        <v>1</v>
      </c>
      <c r="AO842" s="1125">
        <f t="shared" si="990"/>
        <v>1</v>
      </c>
      <c r="AP842" s="1125">
        <f t="shared" si="991"/>
        <v>1</v>
      </c>
      <c r="AQ842" s="1125">
        <f t="shared" si="992"/>
        <v>1</v>
      </c>
      <c r="AR842" s="1125">
        <f t="shared" si="993"/>
        <v>1</v>
      </c>
      <c r="AS842" s="1125">
        <f t="shared" si="994"/>
        <v>1</v>
      </c>
      <c r="AT842" s="1125">
        <f t="shared" si="995"/>
        <v>1</v>
      </c>
      <c r="AU842" s="1125">
        <f t="shared" si="996"/>
        <v>1</v>
      </c>
      <c r="AV842" s="1125">
        <f t="shared" si="997"/>
        <v>1</v>
      </c>
      <c r="AW842" s="1125">
        <f t="shared" si="998"/>
        <v>1</v>
      </c>
      <c r="AX842" s="1125">
        <f t="shared" si="999"/>
        <v>1</v>
      </c>
      <c r="AY842" s="1125">
        <f t="shared" si="1000"/>
        <v>0</v>
      </c>
      <c r="AZ842" s="1125">
        <f t="shared" si="1001"/>
        <v>0</v>
      </c>
      <c r="BA842" s="1125">
        <f t="shared" si="1002"/>
        <v>0</v>
      </c>
      <c r="BB842" s="1125">
        <f t="shared" si="1003"/>
        <v>0</v>
      </c>
      <c r="BC842" s="1125">
        <f t="shared" si="1004"/>
        <v>0</v>
      </c>
      <c r="BD842" s="1125">
        <f t="shared" si="1005"/>
        <v>0</v>
      </c>
      <c r="BE842" s="1125">
        <f t="shared" si="1006"/>
        <v>1</v>
      </c>
      <c r="BF842" s="1125">
        <f t="shared" si="1007"/>
        <v>1</v>
      </c>
      <c r="BG842" s="1125">
        <f t="shared" si="1008"/>
        <v>0</v>
      </c>
      <c r="BH842" s="1125">
        <f t="shared" si="1009"/>
        <v>0</v>
      </c>
      <c r="BI842" s="1125">
        <f t="shared" si="1010"/>
        <v>0</v>
      </c>
      <c r="BJ842" s="1125">
        <f t="shared" si="1011"/>
        <v>0</v>
      </c>
      <c r="BK842" s="1125">
        <f t="shared" si="1012"/>
        <v>1</v>
      </c>
      <c r="BL842" s="1125">
        <f t="shared" si="1013"/>
        <v>1</v>
      </c>
      <c r="BM842" s="1125">
        <f t="shared" si="1014"/>
        <v>1</v>
      </c>
      <c r="BN842" s="1125">
        <f t="shared" si="1015"/>
        <v>1</v>
      </c>
      <c r="BO842" s="1125">
        <f t="shared" si="1016"/>
        <v>1</v>
      </c>
      <c r="BP842" s="1125">
        <f t="shared" si="1017"/>
        <v>1</v>
      </c>
      <c r="BQ842" s="1125">
        <f t="shared" si="1018"/>
        <v>1</v>
      </c>
      <c r="BR842" s="1125">
        <f t="shared" si="1019"/>
        <v>1</v>
      </c>
      <c r="BS842" s="1125">
        <f t="shared" si="1020"/>
        <v>1</v>
      </c>
      <c r="BT842" s="1125">
        <f t="shared" si="1021"/>
        <v>1</v>
      </c>
      <c r="BU842" s="1125">
        <f t="shared" si="1022"/>
        <v>1</v>
      </c>
      <c r="BV842" s="1125">
        <f t="shared" si="1023"/>
        <v>1</v>
      </c>
      <c r="BW842" s="1125">
        <f t="shared" si="1024"/>
        <v>0</v>
      </c>
      <c r="BX842" s="1125">
        <f t="shared" si="1025"/>
        <v>0</v>
      </c>
      <c r="BY842" s="1125">
        <f t="shared" si="1026"/>
        <v>0</v>
      </c>
      <c r="BZ842" s="1125">
        <f t="shared" si="1027"/>
        <v>0</v>
      </c>
      <c r="CA842" s="1125">
        <f t="shared" si="1028"/>
        <v>0</v>
      </c>
      <c r="CB842" s="1125">
        <f t="shared" si="1029"/>
        <v>0</v>
      </c>
      <c r="CC842" s="1125">
        <f t="shared" si="1030"/>
        <v>1</v>
      </c>
      <c r="CD842" s="1125">
        <f t="shared" si="1031"/>
        <v>1</v>
      </c>
      <c r="CE842" s="1125">
        <f t="shared" si="1032"/>
        <v>0</v>
      </c>
      <c r="CF842" s="1125">
        <f t="shared" si="1033"/>
        <v>0</v>
      </c>
      <c r="CG842" s="1125">
        <f t="shared" si="1034"/>
        <v>0</v>
      </c>
      <c r="CH842" s="1125">
        <f t="shared" si="1035"/>
        <v>0</v>
      </c>
      <c r="CI842" s="1125">
        <f t="shared" si="1036"/>
        <v>0.85</v>
      </c>
      <c r="CJ842" s="1125">
        <f t="shared" si="1037"/>
        <v>0.85</v>
      </c>
      <c r="CK842" s="1125">
        <f t="shared" si="1038"/>
        <v>0.85</v>
      </c>
      <c r="CL842" s="1125">
        <f t="shared" si="1039"/>
        <v>0.85</v>
      </c>
      <c r="CM842" s="1125">
        <f t="shared" si="1040"/>
        <v>0.85</v>
      </c>
      <c r="CN842" s="1125">
        <f t="shared" si="1041"/>
        <v>0.85</v>
      </c>
      <c r="CO842" s="1125">
        <f t="shared" si="1042"/>
        <v>0.85</v>
      </c>
      <c r="CP842" s="1125">
        <f t="shared" si="1043"/>
        <v>0.85</v>
      </c>
      <c r="CQ842" s="1125">
        <f t="shared" si="1044"/>
        <v>0.85</v>
      </c>
      <c r="CR842" s="1125">
        <f t="shared" si="1045"/>
        <v>0.85</v>
      </c>
      <c r="CS842" s="1125">
        <f t="shared" si="1046"/>
        <v>0.85</v>
      </c>
      <c r="CT842" s="1125">
        <f t="shared" si="1047"/>
        <v>0.85</v>
      </c>
      <c r="CU842" s="1125">
        <v>1</v>
      </c>
      <c r="CV842" s="1125"/>
      <c r="CW842" s="1125">
        <f t="shared" si="1048"/>
        <v>62</v>
      </c>
      <c r="CX842" s="1125">
        <f t="shared" si="1049"/>
        <v>303</v>
      </c>
      <c r="CY842" s="1136" t="s">
        <v>4893</v>
      </c>
      <c r="CZ842" s="1129" t="s">
        <v>4894</v>
      </c>
      <c r="DA842" s="1129"/>
      <c r="DB842" s="1129"/>
      <c r="DC842" s="1125" t="s">
        <v>5528</v>
      </c>
      <c r="DD842" s="1125" t="s">
        <v>427</v>
      </c>
      <c r="DE842" s="1120" t="str">
        <f t="shared" si="975"/>
        <v/>
      </c>
      <c r="DF842" s="1133">
        <v>0</v>
      </c>
      <c r="DG842" s="1120">
        <v>0</v>
      </c>
    </row>
    <row r="843" spans="1:111">
      <c r="A843" s="1125" t="s">
        <v>4376</v>
      </c>
      <c r="B843" s="1125" t="s">
        <v>4500</v>
      </c>
      <c r="C843" s="1125" t="s">
        <v>4501</v>
      </c>
      <c r="D843" s="1125" t="s">
        <v>501</v>
      </c>
      <c r="E843" s="1125">
        <v>85</v>
      </c>
      <c r="F843" s="1125">
        <v>-77.45</v>
      </c>
      <c r="G843" s="1125">
        <v>38.270000000000003</v>
      </c>
      <c r="H843" s="1125">
        <v>-5</v>
      </c>
      <c r="I843" s="1126">
        <v>18.320000171661377</v>
      </c>
      <c r="J843" s="1126">
        <v>92.660001373291024</v>
      </c>
      <c r="K843" s="1127">
        <v>76.099999999999994</v>
      </c>
      <c r="L843" s="1125">
        <v>4433.4000000000005</v>
      </c>
      <c r="M843" s="1125">
        <v>1434.6000000000001</v>
      </c>
      <c r="N843" s="1128">
        <v>36.679999828338623</v>
      </c>
      <c r="O843" s="1128">
        <v>36.860000085830691</v>
      </c>
      <c r="P843" s="1128">
        <v>41.540000343322752</v>
      </c>
      <c r="Q843" s="1128">
        <v>53.059999656677249</v>
      </c>
      <c r="R843" s="1128">
        <v>65.480000686645511</v>
      </c>
      <c r="S843" s="1128">
        <v>73.039998626708979</v>
      </c>
      <c r="T843" s="1128">
        <v>78.8</v>
      </c>
      <c r="U843" s="1128">
        <v>78.619999313354498</v>
      </c>
      <c r="V843" s="1128">
        <v>67.280000686645508</v>
      </c>
      <c r="W843" s="1128">
        <v>56.659999656677243</v>
      </c>
      <c r="X843" s="1128">
        <v>41.9</v>
      </c>
      <c r="Y843" s="1128">
        <v>42.8</v>
      </c>
      <c r="Z843" s="1128">
        <v>56.187561551185503</v>
      </c>
      <c r="AA843" s="1128">
        <f t="shared" si="976"/>
        <v>52.032969244834682</v>
      </c>
      <c r="AB843" s="1128">
        <f t="shared" si="977"/>
        <v>51.280828950279215</v>
      </c>
      <c r="AC843" s="1128">
        <f t="shared" si="978"/>
        <v>53.371696585987017</v>
      </c>
      <c r="AD843" s="1128">
        <f t="shared" si="979"/>
        <v>57.760555281465265</v>
      </c>
      <c r="AE843" s="1128">
        <f t="shared" si="980"/>
        <v>63.303381383377783</v>
      </c>
      <c r="AF843" s="1128">
        <f t="shared" si="981"/>
        <v>68.555351850725259</v>
      </c>
      <c r="AG843" s="1128">
        <f t="shared" si="982"/>
        <v>72.147459645878811</v>
      </c>
      <c r="AH843" s="1128">
        <f t="shared" si="983"/>
        <v>73.143366515974904</v>
      </c>
      <c r="AI843" s="1128">
        <f t="shared" si="984"/>
        <v>71.283473987933561</v>
      </c>
      <c r="AJ843" s="1128">
        <f t="shared" si="985"/>
        <v>67.052591711000218</v>
      </c>
      <c r="AK843" s="1128">
        <f t="shared" si="986"/>
        <v>61.553564350527012</v>
      </c>
      <c r="AL843" s="1128">
        <f t="shared" si="987"/>
        <v>56.219798130598029</v>
      </c>
      <c r="AM843" s="1125">
        <f t="shared" si="988"/>
        <v>1</v>
      </c>
      <c r="AN843" s="1125">
        <f t="shared" si="989"/>
        <v>1</v>
      </c>
      <c r="AO843" s="1125">
        <f t="shared" si="990"/>
        <v>1</v>
      </c>
      <c r="AP843" s="1125">
        <f t="shared" si="991"/>
        <v>1</v>
      </c>
      <c r="AQ843" s="1125">
        <f t="shared" si="992"/>
        <v>1</v>
      </c>
      <c r="AR843" s="1125">
        <f t="shared" si="993"/>
        <v>0</v>
      </c>
      <c r="AS843" s="1125">
        <f t="shared" si="994"/>
        <v>0</v>
      </c>
      <c r="AT843" s="1125">
        <f t="shared" si="995"/>
        <v>0</v>
      </c>
      <c r="AU843" s="1125">
        <f t="shared" si="996"/>
        <v>0</v>
      </c>
      <c r="AV843" s="1125">
        <f t="shared" si="997"/>
        <v>1</v>
      </c>
      <c r="AW843" s="1125">
        <f t="shared" si="998"/>
        <v>1</v>
      </c>
      <c r="AX843" s="1125">
        <f t="shared" si="999"/>
        <v>1</v>
      </c>
      <c r="AY843" s="1125">
        <f t="shared" si="1000"/>
        <v>0</v>
      </c>
      <c r="AZ843" s="1125">
        <f t="shared" si="1001"/>
        <v>0</v>
      </c>
      <c r="BA843" s="1125">
        <f t="shared" si="1002"/>
        <v>0</v>
      </c>
      <c r="BB843" s="1125">
        <f t="shared" si="1003"/>
        <v>0</v>
      </c>
      <c r="BC843" s="1125">
        <f t="shared" si="1004"/>
        <v>0</v>
      </c>
      <c r="BD843" s="1125">
        <f t="shared" si="1005"/>
        <v>1</v>
      </c>
      <c r="BE843" s="1125">
        <f t="shared" si="1006"/>
        <v>1</v>
      </c>
      <c r="BF843" s="1125">
        <f t="shared" si="1007"/>
        <v>1</v>
      </c>
      <c r="BG843" s="1125">
        <f t="shared" si="1008"/>
        <v>1</v>
      </c>
      <c r="BH843" s="1125">
        <f t="shared" si="1009"/>
        <v>0</v>
      </c>
      <c r="BI843" s="1125">
        <f t="shared" si="1010"/>
        <v>0</v>
      </c>
      <c r="BJ843" s="1125">
        <f t="shared" si="1011"/>
        <v>0</v>
      </c>
      <c r="BK843" s="1125">
        <f t="shared" si="1012"/>
        <v>1</v>
      </c>
      <c r="BL843" s="1125">
        <f t="shared" si="1013"/>
        <v>1</v>
      </c>
      <c r="BM843" s="1125">
        <f t="shared" si="1014"/>
        <v>1</v>
      </c>
      <c r="BN843" s="1125">
        <f t="shared" si="1015"/>
        <v>1</v>
      </c>
      <c r="BO843" s="1125">
        <f t="shared" si="1016"/>
        <v>1</v>
      </c>
      <c r="BP843" s="1125">
        <f t="shared" si="1017"/>
        <v>1</v>
      </c>
      <c r="BQ843" s="1125">
        <f t="shared" si="1018"/>
        <v>0</v>
      </c>
      <c r="BR843" s="1125">
        <f t="shared" si="1019"/>
        <v>0</v>
      </c>
      <c r="BS843" s="1125">
        <f t="shared" si="1020"/>
        <v>0</v>
      </c>
      <c r="BT843" s="1125">
        <f t="shared" si="1021"/>
        <v>1</v>
      </c>
      <c r="BU843" s="1125">
        <f t="shared" si="1022"/>
        <v>1</v>
      </c>
      <c r="BV843" s="1125">
        <f t="shared" si="1023"/>
        <v>1</v>
      </c>
      <c r="BW843" s="1125">
        <f t="shared" si="1024"/>
        <v>0</v>
      </c>
      <c r="BX843" s="1125">
        <f t="shared" si="1025"/>
        <v>0</v>
      </c>
      <c r="BY843" s="1125">
        <f t="shared" si="1026"/>
        <v>0</v>
      </c>
      <c r="BZ843" s="1125">
        <f t="shared" si="1027"/>
        <v>0</v>
      </c>
      <c r="CA843" s="1125">
        <f t="shared" si="1028"/>
        <v>1</v>
      </c>
      <c r="CB843" s="1125">
        <f t="shared" si="1029"/>
        <v>1</v>
      </c>
      <c r="CC843" s="1125">
        <f t="shared" si="1030"/>
        <v>1</v>
      </c>
      <c r="CD843" s="1125">
        <f t="shared" si="1031"/>
        <v>1</v>
      </c>
      <c r="CE843" s="1125">
        <f t="shared" si="1032"/>
        <v>1</v>
      </c>
      <c r="CF843" s="1125">
        <f t="shared" si="1033"/>
        <v>1</v>
      </c>
      <c r="CG843" s="1125">
        <f t="shared" si="1034"/>
        <v>0</v>
      </c>
      <c r="CH843" s="1125">
        <f t="shared" si="1035"/>
        <v>0</v>
      </c>
      <c r="CI843" s="1125">
        <f t="shared" si="1036"/>
        <v>0.85</v>
      </c>
      <c r="CJ843" s="1125">
        <f t="shared" si="1037"/>
        <v>0.85</v>
      </c>
      <c r="CK843" s="1125">
        <f t="shared" si="1038"/>
        <v>0.85</v>
      </c>
      <c r="CL843" s="1125">
        <f t="shared" si="1039"/>
        <v>0.85</v>
      </c>
      <c r="CM843" s="1125">
        <f t="shared" si="1040"/>
        <v>0.85</v>
      </c>
      <c r="CN843" s="1125">
        <f t="shared" si="1041"/>
        <v>0.85</v>
      </c>
      <c r="CO843" s="1125">
        <f t="shared" si="1042"/>
        <v>0.7</v>
      </c>
      <c r="CP843" s="1125">
        <f t="shared" si="1043"/>
        <v>0.7</v>
      </c>
      <c r="CQ843" s="1125">
        <f t="shared" si="1044"/>
        <v>0.7</v>
      </c>
      <c r="CR843" s="1125">
        <f t="shared" si="1045"/>
        <v>0.85</v>
      </c>
      <c r="CS843" s="1125">
        <f t="shared" si="1046"/>
        <v>0.85</v>
      </c>
      <c r="CT843" s="1125">
        <f t="shared" si="1047"/>
        <v>0.85</v>
      </c>
      <c r="CU843" s="1125">
        <v>1</v>
      </c>
      <c r="CV843" s="1125"/>
      <c r="CW843" s="1125">
        <f t="shared" si="1048"/>
        <v>184</v>
      </c>
      <c r="CX843" s="1125">
        <f t="shared" si="1049"/>
        <v>181</v>
      </c>
      <c r="CY843" s="1136" t="s">
        <v>4881</v>
      </c>
      <c r="CZ843" s="1129" t="s">
        <v>4885</v>
      </c>
      <c r="DA843" s="1129"/>
      <c r="DB843" s="1129"/>
      <c r="DC843" s="1125" t="s">
        <v>5643</v>
      </c>
      <c r="DD843" s="1125" t="s">
        <v>501</v>
      </c>
      <c r="DE843" s="1120" t="str">
        <f t="shared" si="975"/>
        <v/>
      </c>
      <c r="DF843" s="1133">
        <v>0</v>
      </c>
      <c r="DG843" s="1125">
        <v>0</v>
      </c>
    </row>
    <row r="844" spans="1:111">
      <c r="A844" s="1120" t="s">
        <v>4378</v>
      </c>
      <c r="B844" s="1125" t="s">
        <v>3461</v>
      </c>
      <c r="C844" s="1125" t="s">
        <v>3462</v>
      </c>
      <c r="D844" s="1125" t="s">
        <v>566</v>
      </c>
      <c r="E844" s="1125">
        <v>1417</v>
      </c>
      <c r="F844" s="1125">
        <v>-95.83</v>
      </c>
      <c r="G844" s="1125">
        <v>43.22</v>
      </c>
      <c r="H844" s="1125">
        <v>-6</v>
      </c>
      <c r="I844" s="1126">
        <v>-9.5800006866455085</v>
      </c>
      <c r="J844" s="1126">
        <v>91.579997253417972</v>
      </c>
      <c r="K844" s="1127">
        <v>80.780000686645508</v>
      </c>
      <c r="L844" s="1125">
        <v>6759</v>
      </c>
      <c r="M844" s="1125">
        <v>806.4</v>
      </c>
      <c r="N844" s="1128">
        <v>18.320000171661377</v>
      </c>
      <c r="O844" s="1128">
        <v>34.160000085830688</v>
      </c>
      <c r="P844" s="1128">
        <v>40.1</v>
      </c>
      <c r="Q844" s="1128">
        <v>50.9</v>
      </c>
      <c r="R844" s="1128">
        <v>55.4</v>
      </c>
      <c r="S844" s="1128">
        <v>69.8</v>
      </c>
      <c r="T844" s="1128">
        <v>73.400000000000006</v>
      </c>
      <c r="U844" s="1128">
        <v>71.419999313354495</v>
      </c>
      <c r="V844" s="1128">
        <v>60.619999313354491</v>
      </c>
      <c r="W844" s="1128">
        <v>52.519999313354489</v>
      </c>
      <c r="X844" s="1128">
        <v>25.7</v>
      </c>
      <c r="Y844" s="1128">
        <v>23.540000343322752</v>
      </c>
      <c r="Z844" s="1128">
        <v>48.06241083615447</v>
      </c>
      <c r="AA844" s="1128">
        <f t="shared" si="976"/>
        <v>43.607203482142033</v>
      </c>
      <c r="AB844" s="1128">
        <f t="shared" si="977"/>
        <v>41.929202454668228</v>
      </c>
      <c r="AC844" s="1128">
        <f t="shared" si="978"/>
        <v>43.413909170229758</v>
      </c>
      <c r="AD844" s="1128">
        <f t="shared" si="979"/>
        <v>47.674311943392446</v>
      </c>
      <c r="AE844" s="1128">
        <f t="shared" si="980"/>
        <v>53.599871136537359</v>
      </c>
      <c r="AF844" s="1128">
        <f t="shared" si="981"/>
        <v>59.645998430340008</v>
      </c>
      <c r="AG844" s="1128">
        <f t="shared" si="982"/>
        <v>64.236677572028782</v>
      </c>
      <c r="AH844" s="1128">
        <f t="shared" si="983"/>
        <v>66.17527729881553</v>
      </c>
      <c r="AI844" s="1128">
        <f t="shared" si="984"/>
        <v>64.956471717187171</v>
      </c>
      <c r="AJ844" s="1128">
        <f t="shared" si="985"/>
        <v>60.897961284357706</v>
      </c>
      <c r="AK844" s="1128">
        <f t="shared" si="986"/>
        <v>55.057659288183068</v>
      </c>
      <c r="AL844" s="1128">
        <f t="shared" si="987"/>
        <v>48.957930445744296</v>
      </c>
      <c r="AM844" s="1125">
        <f t="shared" si="988"/>
        <v>1</v>
      </c>
      <c r="AN844" s="1125">
        <f t="shared" si="989"/>
        <v>1</v>
      </c>
      <c r="AO844" s="1125">
        <f t="shared" si="990"/>
        <v>1</v>
      </c>
      <c r="AP844" s="1125">
        <f t="shared" si="991"/>
        <v>1</v>
      </c>
      <c r="AQ844" s="1125">
        <f t="shared" si="992"/>
        <v>1</v>
      </c>
      <c r="AR844" s="1125">
        <f t="shared" si="993"/>
        <v>0</v>
      </c>
      <c r="AS844" s="1125">
        <f t="shared" si="994"/>
        <v>0</v>
      </c>
      <c r="AT844" s="1125">
        <f t="shared" si="995"/>
        <v>0</v>
      </c>
      <c r="AU844" s="1125">
        <f t="shared" si="996"/>
        <v>1</v>
      </c>
      <c r="AV844" s="1125">
        <f t="shared" si="997"/>
        <v>1</v>
      </c>
      <c r="AW844" s="1125">
        <f t="shared" si="998"/>
        <v>1</v>
      </c>
      <c r="AX844" s="1125">
        <f t="shared" si="999"/>
        <v>1</v>
      </c>
      <c r="AY844" s="1125">
        <f t="shared" si="1000"/>
        <v>0</v>
      </c>
      <c r="AZ844" s="1125">
        <f t="shared" si="1001"/>
        <v>0</v>
      </c>
      <c r="BA844" s="1125">
        <f t="shared" si="1002"/>
        <v>0</v>
      </c>
      <c r="BB844" s="1125">
        <f t="shared" si="1003"/>
        <v>0</v>
      </c>
      <c r="BC844" s="1125">
        <f t="shared" si="1004"/>
        <v>0</v>
      </c>
      <c r="BD844" s="1125">
        <f t="shared" si="1005"/>
        <v>1</v>
      </c>
      <c r="BE844" s="1125">
        <f t="shared" si="1006"/>
        <v>1</v>
      </c>
      <c r="BF844" s="1125">
        <f t="shared" si="1007"/>
        <v>1</v>
      </c>
      <c r="BG844" s="1125">
        <f t="shared" si="1008"/>
        <v>0</v>
      </c>
      <c r="BH844" s="1125">
        <f t="shared" si="1009"/>
        <v>0</v>
      </c>
      <c r="BI844" s="1125">
        <f t="shared" si="1010"/>
        <v>0</v>
      </c>
      <c r="BJ844" s="1125">
        <f t="shared" si="1011"/>
        <v>0</v>
      </c>
      <c r="BK844" s="1125">
        <f t="shared" si="1012"/>
        <v>1</v>
      </c>
      <c r="BL844" s="1125">
        <f t="shared" si="1013"/>
        <v>1</v>
      </c>
      <c r="BM844" s="1125">
        <f t="shared" si="1014"/>
        <v>1</v>
      </c>
      <c r="BN844" s="1125">
        <f t="shared" si="1015"/>
        <v>1</v>
      </c>
      <c r="BO844" s="1125">
        <f t="shared" si="1016"/>
        <v>1</v>
      </c>
      <c r="BP844" s="1125">
        <f t="shared" si="1017"/>
        <v>1</v>
      </c>
      <c r="BQ844" s="1125">
        <f t="shared" si="1018"/>
        <v>0</v>
      </c>
      <c r="BR844" s="1125">
        <f t="shared" si="1019"/>
        <v>0</v>
      </c>
      <c r="BS844" s="1125">
        <f t="shared" si="1020"/>
        <v>1</v>
      </c>
      <c r="BT844" s="1125">
        <f t="shared" si="1021"/>
        <v>1</v>
      </c>
      <c r="BU844" s="1125">
        <f t="shared" si="1022"/>
        <v>1</v>
      </c>
      <c r="BV844" s="1125">
        <f t="shared" si="1023"/>
        <v>1</v>
      </c>
      <c r="BW844" s="1125">
        <f t="shared" si="1024"/>
        <v>0</v>
      </c>
      <c r="BX844" s="1125">
        <f t="shared" si="1025"/>
        <v>0</v>
      </c>
      <c r="BY844" s="1125">
        <f t="shared" si="1026"/>
        <v>0</v>
      </c>
      <c r="BZ844" s="1125">
        <f t="shared" si="1027"/>
        <v>0</v>
      </c>
      <c r="CA844" s="1125">
        <f t="shared" si="1028"/>
        <v>1</v>
      </c>
      <c r="CB844" s="1125">
        <f t="shared" si="1029"/>
        <v>1</v>
      </c>
      <c r="CC844" s="1125">
        <f t="shared" si="1030"/>
        <v>1</v>
      </c>
      <c r="CD844" s="1125">
        <f t="shared" si="1031"/>
        <v>1</v>
      </c>
      <c r="CE844" s="1125">
        <f t="shared" si="1032"/>
        <v>1</v>
      </c>
      <c r="CF844" s="1125">
        <f t="shared" si="1033"/>
        <v>0</v>
      </c>
      <c r="CG844" s="1125">
        <f t="shared" si="1034"/>
        <v>0</v>
      </c>
      <c r="CH844" s="1125">
        <f t="shared" si="1035"/>
        <v>0</v>
      </c>
      <c r="CI844" s="1125">
        <f t="shared" si="1036"/>
        <v>0.85</v>
      </c>
      <c r="CJ844" s="1125">
        <f t="shared" si="1037"/>
        <v>0.85</v>
      </c>
      <c r="CK844" s="1125">
        <f t="shared" si="1038"/>
        <v>0.85</v>
      </c>
      <c r="CL844" s="1125">
        <f t="shared" si="1039"/>
        <v>0.85</v>
      </c>
      <c r="CM844" s="1125">
        <f t="shared" si="1040"/>
        <v>0.85</v>
      </c>
      <c r="CN844" s="1125">
        <f t="shared" si="1041"/>
        <v>0.85</v>
      </c>
      <c r="CO844" s="1125">
        <f t="shared" si="1042"/>
        <v>0.7</v>
      </c>
      <c r="CP844" s="1125">
        <f t="shared" si="1043"/>
        <v>0.7</v>
      </c>
      <c r="CQ844" s="1125">
        <f t="shared" si="1044"/>
        <v>0.85</v>
      </c>
      <c r="CR844" s="1125">
        <f t="shared" si="1045"/>
        <v>0.85</v>
      </c>
      <c r="CS844" s="1125">
        <f t="shared" si="1046"/>
        <v>0.85</v>
      </c>
      <c r="CT844" s="1125">
        <f t="shared" si="1047"/>
        <v>0.85</v>
      </c>
      <c r="CU844" s="1125">
        <v>1</v>
      </c>
      <c r="CV844" s="1125"/>
      <c r="CW844" s="1125">
        <f t="shared" si="1048"/>
        <v>153</v>
      </c>
      <c r="CX844" s="1125">
        <f t="shared" si="1049"/>
        <v>212</v>
      </c>
      <c r="CY844" s="1136" t="s">
        <v>4889</v>
      </c>
      <c r="CZ844" s="1129" t="s">
        <v>4899</v>
      </c>
      <c r="DA844" s="1129"/>
      <c r="DB844" s="1129"/>
      <c r="DC844" s="1125" t="s">
        <v>5186</v>
      </c>
      <c r="DD844" s="1125" t="s">
        <v>566</v>
      </c>
      <c r="DE844" s="1120" t="str">
        <f t="shared" si="975"/>
        <v/>
      </c>
      <c r="DF844" s="1133">
        <v>0</v>
      </c>
      <c r="DG844" s="1120">
        <v>0</v>
      </c>
    </row>
    <row r="845" spans="1:111">
      <c r="A845" s="1125" t="s">
        <v>4380</v>
      </c>
      <c r="B845" s="1120" t="s">
        <v>2976</v>
      </c>
      <c r="C845" s="1120" t="s">
        <v>2977</v>
      </c>
      <c r="D845" s="1120" t="s">
        <v>953</v>
      </c>
      <c r="E845" s="1120">
        <v>102</v>
      </c>
      <c r="F845" s="1120">
        <v>174.12</v>
      </c>
      <c r="G845" s="1120">
        <v>52.72</v>
      </c>
      <c r="H845" s="1120">
        <v>-10</v>
      </c>
      <c r="I845" s="1121">
        <v>23.9</v>
      </c>
      <c r="J845" s="1121">
        <v>53.240000343322755</v>
      </c>
      <c r="K845" s="1122">
        <v>50.359999656677246</v>
      </c>
      <c r="L845" s="1120">
        <v>9644.4</v>
      </c>
      <c r="M845" s="1120">
        <v>0</v>
      </c>
      <c r="N845" s="1123">
        <v>33.619999957084659</v>
      </c>
      <c r="O845" s="1123">
        <v>31.459999978542328</v>
      </c>
      <c r="P845" s="1123">
        <v>30.559999978542329</v>
      </c>
      <c r="Q845" s="1123">
        <v>33.440000021457671</v>
      </c>
      <c r="R845" s="1123">
        <v>37.579999828338622</v>
      </c>
      <c r="S845" s="1123">
        <v>41.720000171661376</v>
      </c>
      <c r="T845" s="1123">
        <v>45.679999828338623</v>
      </c>
      <c r="U845" s="1123">
        <v>47.840000343322757</v>
      </c>
      <c r="V845" s="1123">
        <v>46.940000343322751</v>
      </c>
      <c r="W845" s="1123">
        <v>40.820000171661377</v>
      </c>
      <c r="X845" s="1123">
        <v>33.980000042915343</v>
      </c>
      <c r="Y845" s="1123">
        <v>31.1</v>
      </c>
      <c r="Z845" s="1123">
        <v>37.935561698920104</v>
      </c>
      <c r="AA845" s="1123">
        <f t="shared" si="976"/>
        <v>41.705678899821827</v>
      </c>
      <c r="AB845" s="1123">
        <f t="shared" si="977"/>
        <v>41.056519067099174</v>
      </c>
      <c r="AC845" s="1123">
        <f t="shared" si="978"/>
        <v>41.157826063750584</v>
      </c>
      <c r="AD845" s="1123">
        <f t="shared" si="979"/>
        <v>41.983192659910806</v>
      </c>
      <c r="AE845" s="1123">
        <f t="shared" si="980"/>
        <v>43.317474333006416</v>
      </c>
      <c r="AF845" s="1123">
        <f t="shared" si="981"/>
        <v>44.81287000304205</v>
      </c>
      <c r="AG845" s="1123">
        <f t="shared" si="982"/>
        <v>46.079581743878101</v>
      </c>
      <c r="AH845" s="1123">
        <f t="shared" si="983"/>
        <v>46.787421619646828</v>
      </c>
      <c r="AI845" s="1123">
        <f t="shared" si="984"/>
        <v>46.751880258586453</v>
      </c>
      <c r="AJ845" s="1123">
        <f t="shared" si="985"/>
        <v>45.982222064166301</v>
      </c>
      <c r="AK845" s="1123">
        <f t="shared" si="986"/>
        <v>44.6790703055538</v>
      </c>
      <c r="AL845" s="1123">
        <f t="shared" si="987"/>
        <v>43.18211157080777</v>
      </c>
      <c r="AM845" s="1120">
        <f t="shared" si="988"/>
        <v>1</v>
      </c>
      <c r="AN845" s="1120">
        <f t="shared" si="989"/>
        <v>1</v>
      </c>
      <c r="AO845" s="1120">
        <f t="shared" si="990"/>
        <v>1</v>
      </c>
      <c r="AP845" s="1120">
        <f t="shared" si="991"/>
        <v>1</v>
      </c>
      <c r="AQ845" s="1120">
        <f t="shared" si="992"/>
        <v>1</v>
      </c>
      <c r="AR845" s="1120">
        <f t="shared" si="993"/>
        <v>1</v>
      </c>
      <c r="AS845" s="1120">
        <f t="shared" si="994"/>
        <v>1</v>
      </c>
      <c r="AT845" s="1120">
        <f t="shared" si="995"/>
        <v>1</v>
      </c>
      <c r="AU845" s="1120">
        <f t="shared" si="996"/>
        <v>1</v>
      </c>
      <c r="AV845" s="1120">
        <f t="shared" si="997"/>
        <v>1</v>
      </c>
      <c r="AW845" s="1120">
        <f t="shared" si="998"/>
        <v>1</v>
      </c>
      <c r="AX845" s="1120">
        <f t="shared" si="999"/>
        <v>1</v>
      </c>
      <c r="AY845" s="1120">
        <f t="shared" si="1000"/>
        <v>0</v>
      </c>
      <c r="AZ845" s="1120">
        <f t="shared" si="1001"/>
        <v>0</v>
      </c>
      <c r="BA845" s="1120">
        <f t="shared" si="1002"/>
        <v>0</v>
      </c>
      <c r="BB845" s="1120">
        <f t="shared" si="1003"/>
        <v>0</v>
      </c>
      <c r="BC845" s="1120">
        <f t="shared" si="1004"/>
        <v>0</v>
      </c>
      <c r="BD845" s="1120">
        <f t="shared" si="1005"/>
        <v>0</v>
      </c>
      <c r="BE845" s="1120">
        <f t="shared" si="1006"/>
        <v>1</v>
      </c>
      <c r="BF845" s="1120">
        <f t="shared" si="1007"/>
        <v>1</v>
      </c>
      <c r="BG845" s="1120">
        <f t="shared" si="1008"/>
        <v>0</v>
      </c>
      <c r="BH845" s="1120">
        <f t="shared" si="1009"/>
        <v>0</v>
      </c>
      <c r="BI845" s="1120">
        <f t="shared" si="1010"/>
        <v>0</v>
      </c>
      <c r="BJ845" s="1120">
        <f t="shared" si="1011"/>
        <v>0</v>
      </c>
      <c r="BK845" s="1120">
        <f t="shared" si="1012"/>
        <v>1</v>
      </c>
      <c r="BL845" s="1120">
        <f t="shared" si="1013"/>
        <v>1</v>
      </c>
      <c r="BM845" s="1120">
        <f t="shared" si="1014"/>
        <v>1</v>
      </c>
      <c r="BN845" s="1120">
        <f t="shared" si="1015"/>
        <v>1</v>
      </c>
      <c r="BO845" s="1120">
        <f t="shared" si="1016"/>
        <v>1</v>
      </c>
      <c r="BP845" s="1120">
        <f t="shared" si="1017"/>
        <v>1</v>
      </c>
      <c r="BQ845" s="1120">
        <f t="shared" si="1018"/>
        <v>1</v>
      </c>
      <c r="BR845" s="1120">
        <f t="shared" si="1019"/>
        <v>1</v>
      </c>
      <c r="BS845" s="1120">
        <f t="shared" si="1020"/>
        <v>1</v>
      </c>
      <c r="BT845" s="1120">
        <f t="shared" si="1021"/>
        <v>1</v>
      </c>
      <c r="BU845" s="1120">
        <f t="shared" si="1022"/>
        <v>1</v>
      </c>
      <c r="BV845" s="1120">
        <f t="shared" si="1023"/>
        <v>1</v>
      </c>
      <c r="BW845" s="1120">
        <f t="shared" si="1024"/>
        <v>0</v>
      </c>
      <c r="BX845" s="1120">
        <f t="shared" si="1025"/>
        <v>0</v>
      </c>
      <c r="BY845" s="1120">
        <f t="shared" si="1026"/>
        <v>0</v>
      </c>
      <c r="BZ845" s="1120">
        <f t="shared" si="1027"/>
        <v>0</v>
      </c>
      <c r="CA845" s="1120">
        <f t="shared" si="1028"/>
        <v>0</v>
      </c>
      <c r="CB845" s="1120">
        <f t="shared" si="1029"/>
        <v>0</v>
      </c>
      <c r="CC845" s="1120">
        <f t="shared" si="1030"/>
        <v>1</v>
      </c>
      <c r="CD845" s="1120">
        <f t="shared" si="1031"/>
        <v>1</v>
      </c>
      <c r="CE845" s="1120">
        <f t="shared" si="1032"/>
        <v>0</v>
      </c>
      <c r="CF845" s="1120">
        <f t="shared" si="1033"/>
        <v>0</v>
      </c>
      <c r="CG845" s="1120">
        <f t="shared" si="1034"/>
        <v>0</v>
      </c>
      <c r="CH845" s="1120">
        <f t="shared" si="1035"/>
        <v>0</v>
      </c>
      <c r="CI845" s="1120">
        <f t="shared" si="1036"/>
        <v>0.85</v>
      </c>
      <c r="CJ845" s="1120">
        <f t="shared" si="1037"/>
        <v>0.85</v>
      </c>
      <c r="CK845" s="1120">
        <f t="shared" si="1038"/>
        <v>0.85</v>
      </c>
      <c r="CL845" s="1120">
        <f t="shared" si="1039"/>
        <v>0.85</v>
      </c>
      <c r="CM845" s="1120">
        <f t="shared" si="1040"/>
        <v>0.85</v>
      </c>
      <c r="CN845" s="1120">
        <f t="shared" si="1041"/>
        <v>0.85</v>
      </c>
      <c r="CO845" s="1120">
        <f t="shared" si="1042"/>
        <v>0.85</v>
      </c>
      <c r="CP845" s="1120">
        <f t="shared" si="1043"/>
        <v>0.85</v>
      </c>
      <c r="CQ845" s="1120">
        <f t="shared" si="1044"/>
        <v>0.85</v>
      </c>
      <c r="CR845" s="1120">
        <f t="shared" si="1045"/>
        <v>0.85</v>
      </c>
      <c r="CS845" s="1120">
        <f t="shared" si="1046"/>
        <v>0.85</v>
      </c>
      <c r="CT845" s="1120">
        <f t="shared" si="1047"/>
        <v>0.85</v>
      </c>
      <c r="CU845" s="1120">
        <v>1</v>
      </c>
      <c r="CV845" s="1120"/>
      <c r="CW845" s="1120">
        <f t="shared" si="1048"/>
        <v>62</v>
      </c>
      <c r="CX845" s="1120">
        <f t="shared" si="1049"/>
        <v>303</v>
      </c>
      <c r="CY845" s="1135" t="s">
        <v>4879</v>
      </c>
      <c r="CZ845" s="1124">
        <v>7</v>
      </c>
      <c r="DA845" s="1124"/>
      <c r="DB845" s="1124"/>
      <c r="DC845" s="1120" t="s">
        <v>4959</v>
      </c>
      <c r="DD845" s="1120" t="s">
        <v>953</v>
      </c>
      <c r="DE845" s="1120" t="str">
        <f t="shared" si="975"/>
        <v/>
      </c>
      <c r="DF845" s="1120">
        <v>0</v>
      </c>
      <c r="DG845" s="1125">
        <v>0</v>
      </c>
    </row>
    <row r="846" spans="1:111">
      <c r="A846" s="1120" t="s">
        <v>4382</v>
      </c>
      <c r="B846" s="1120" t="s">
        <v>3463</v>
      </c>
      <c r="C846" s="1120" t="s">
        <v>3464</v>
      </c>
      <c r="D846" s="1120" t="s">
        <v>566</v>
      </c>
      <c r="E846" s="1120">
        <v>971</v>
      </c>
      <c r="F846" s="1120">
        <v>-95.42</v>
      </c>
      <c r="G846" s="1120">
        <v>40.75</v>
      </c>
      <c r="H846" s="1120">
        <v>-6</v>
      </c>
      <c r="I846" s="1121">
        <v>-4.1800006866455091</v>
      </c>
      <c r="J846" s="1121">
        <v>95.179997253417966</v>
      </c>
      <c r="K846" s="1122">
        <v>78.980000686645511</v>
      </c>
      <c r="L846" s="1120">
        <v>6111</v>
      </c>
      <c r="M846" s="1120">
        <v>1287</v>
      </c>
      <c r="N846" s="1123">
        <v>24.079999828338622</v>
      </c>
      <c r="O846" s="1123">
        <v>25.879999828338622</v>
      </c>
      <c r="P846" s="1123">
        <v>40.1</v>
      </c>
      <c r="Q846" s="1123">
        <v>53.240000343322755</v>
      </c>
      <c r="R846" s="1123">
        <v>64.580000686645505</v>
      </c>
      <c r="S846" s="1123">
        <v>74.66000137329101</v>
      </c>
      <c r="T846" s="1123">
        <v>71.960001373291021</v>
      </c>
      <c r="U846" s="1123">
        <v>78.439998626708984</v>
      </c>
      <c r="V846" s="1123">
        <v>68.360001373291013</v>
      </c>
      <c r="W846" s="1123">
        <v>49.459999656677248</v>
      </c>
      <c r="X846" s="1123">
        <v>37.4</v>
      </c>
      <c r="Y846" s="1123">
        <v>24.620000171661378</v>
      </c>
      <c r="Z846" s="1123">
        <v>51.191452324749676</v>
      </c>
      <c r="AA846" s="1123">
        <f t="shared" si="976"/>
        <v>45.805748716572751</v>
      </c>
      <c r="AB846" s="1123">
        <f t="shared" si="977"/>
        <v>44.373936057465642</v>
      </c>
      <c r="AC846" s="1123">
        <f t="shared" si="978"/>
        <v>46.283206537330784</v>
      </c>
      <c r="AD846" s="1123">
        <f t="shared" si="979"/>
        <v>51.035879382842637</v>
      </c>
      <c r="AE846" s="1123">
        <f t="shared" si="980"/>
        <v>57.393097175912985</v>
      </c>
      <c r="AF846" s="1123">
        <f t="shared" si="981"/>
        <v>63.697753131086394</v>
      </c>
      <c r="AG846" s="1123">
        <f t="shared" si="982"/>
        <v>68.306441515957715</v>
      </c>
      <c r="AH846" s="1123">
        <f t="shared" si="983"/>
        <v>70.017836680972408</v>
      </c>
      <c r="AI846" s="1123">
        <f t="shared" si="984"/>
        <v>68.385837102971578</v>
      </c>
      <c r="AJ846" s="1123">
        <f t="shared" si="985"/>
        <v>63.835848621835929</v>
      </c>
      <c r="AK846" s="1123">
        <f t="shared" si="986"/>
        <v>57.553895852618389</v>
      </c>
      <c r="AL846" s="1123">
        <f t="shared" si="987"/>
        <v>51.177466592438037</v>
      </c>
      <c r="AM846" s="1120">
        <f t="shared" si="988"/>
        <v>1</v>
      </c>
      <c r="AN846" s="1120">
        <f t="shared" si="989"/>
        <v>1</v>
      </c>
      <c r="AO846" s="1120">
        <f t="shared" si="990"/>
        <v>1</v>
      </c>
      <c r="AP846" s="1120">
        <f t="shared" si="991"/>
        <v>1</v>
      </c>
      <c r="AQ846" s="1120">
        <f t="shared" si="992"/>
        <v>1</v>
      </c>
      <c r="AR846" s="1120">
        <f t="shared" si="993"/>
        <v>0</v>
      </c>
      <c r="AS846" s="1120">
        <f t="shared" si="994"/>
        <v>0</v>
      </c>
      <c r="AT846" s="1120">
        <f t="shared" si="995"/>
        <v>0</v>
      </c>
      <c r="AU846" s="1120">
        <f t="shared" si="996"/>
        <v>0</v>
      </c>
      <c r="AV846" s="1120">
        <f t="shared" si="997"/>
        <v>1</v>
      </c>
      <c r="AW846" s="1120">
        <f t="shared" si="998"/>
        <v>1</v>
      </c>
      <c r="AX846" s="1120">
        <f t="shared" si="999"/>
        <v>1</v>
      </c>
      <c r="AY846" s="1120">
        <f t="shared" si="1000"/>
        <v>0</v>
      </c>
      <c r="AZ846" s="1120">
        <f t="shared" si="1001"/>
        <v>0</v>
      </c>
      <c r="BA846" s="1120">
        <f t="shared" si="1002"/>
        <v>0</v>
      </c>
      <c r="BB846" s="1120">
        <f t="shared" si="1003"/>
        <v>0</v>
      </c>
      <c r="BC846" s="1120">
        <f t="shared" si="1004"/>
        <v>0</v>
      </c>
      <c r="BD846" s="1120">
        <f t="shared" si="1005"/>
        <v>1</v>
      </c>
      <c r="BE846" s="1120">
        <f t="shared" si="1006"/>
        <v>1</v>
      </c>
      <c r="BF846" s="1120">
        <f t="shared" si="1007"/>
        <v>1</v>
      </c>
      <c r="BG846" s="1120">
        <f t="shared" si="1008"/>
        <v>1</v>
      </c>
      <c r="BH846" s="1120">
        <f t="shared" si="1009"/>
        <v>0</v>
      </c>
      <c r="BI846" s="1120">
        <f t="shared" si="1010"/>
        <v>0</v>
      </c>
      <c r="BJ846" s="1120">
        <f t="shared" si="1011"/>
        <v>0</v>
      </c>
      <c r="BK846" s="1120">
        <f t="shared" si="1012"/>
        <v>1</v>
      </c>
      <c r="BL846" s="1120">
        <f t="shared" si="1013"/>
        <v>1</v>
      </c>
      <c r="BM846" s="1120">
        <f t="shared" si="1014"/>
        <v>1</v>
      </c>
      <c r="BN846" s="1120">
        <f t="shared" si="1015"/>
        <v>1</v>
      </c>
      <c r="BO846" s="1120">
        <f t="shared" si="1016"/>
        <v>1</v>
      </c>
      <c r="BP846" s="1120">
        <f t="shared" si="1017"/>
        <v>1</v>
      </c>
      <c r="BQ846" s="1120">
        <f t="shared" si="1018"/>
        <v>0</v>
      </c>
      <c r="BR846" s="1120">
        <f t="shared" si="1019"/>
        <v>0</v>
      </c>
      <c r="BS846" s="1120">
        <f t="shared" si="1020"/>
        <v>0</v>
      </c>
      <c r="BT846" s="1120">
        <f t="shared" si="1021"/>
        <v>1</v>
      </c>
      <c r="BU846" s="1120">
        <f t="shared" si="1022"/>
        <v>1</v>
      </c>
      <c r="BV846" s="1120">
        <f t="shared" si="1023"/>
        <v>1</v>
      </c>
      <c r="BW846" s="1120">
        <f t="shared" si="1024"/>
        <v>0</v>
      </c>
      <c r="BX846" s="1120">
        <f t="shared" si="1025"/>
        <v>0</v>
      </c>
      <c r="BY846" s="1120">
        <f t="shared" si="1026"/>
        <v>0</v>
      </c>
      <c r="BZ846" s="1120">
        <f t="shared" si="1027"/>
        <v>0</v>
      </c>
      <c r="CA846" s="1120">
        <f t="shared" si="1028"/>
        <v>1</v>
      </c>
      <c r="CB846" s="1120">
        <f t="shared" si="1029"/>
        <v>1</v>
      </c>
      <c r="CC846" s="1120">
        <f t="shared" si="1030"/>
        <v>1</v>
      </c>
      <c r="CD846" s="1120">
        <f t="shared" si="1031"/>
        <v>1</v>
      </c>
      <c r="CE846" s="1120">
        <f t="shared" si="1032"/>
        <v>1</v>
      </c>
      <c r="CF846" s="1120">
        <f t="shared" si="1033"/>
        <v>1</v>
      </c>
      <c r="CG846" s="1120">
        <f t="shared" si="1034"/>
        <v>0</v>
      </c>
      <c r="CH846" s="1120">
        <f t="shared" si="1035"/>
        <v>0</v>
      </c>
      <c r="CI846" s="1120">
        <f t="shared" si="1036"/>
        <v>0.85</v>
      </c>
      <c r="CJ846" s="1120">
        <f t="shared" si="1037"/>
        <v>0.85</v>
      </c>
      <c r="CK846" s="1120">
        <f t="shared" si="1038"/>
        <v>0.85</v>
      </c>
      <c r="CL846" s="1120">
        <f t="shared" si="1039"/>
        <v>0.85</v>
      </c>
      <c r="CM846" s="1120">
        <f t="shared" si="1040"/>
        <v>0.85</v>
      </c>
      <c r="CN846" s="1120">
        <f t="shared" si="1041"/>
        <v>0.85</v>
      </c>
      <c r="CO846" s="1120">
        <f t="shared" si="1042"/>
        <v>0.7</v>
      </c>
      <c r="CP846" s="1120">
        <f t="shared" si="1043"/>
        <v>0.7</v>
      </c>
      <c r="CQ846" s="1120">
        <f t="shared" si="1044"/>
        <v>0.7</v>
      </c>
      <c r="CR846" s="1120">
        <f t="shared" si="1045"/>
        <v>0.85</v>
      </c>
      <c r="CS846" s="1120">
        <f t="shared" si="1046"/>
        <v>0.85</v>
      </c>
      <c r="CT846" s="1120">
        <f t="shared" si="1047"/>
        <v>0.85</v>
      </c>
      <c r="CU846" s="1120">
        <v>1</v>
      </c>
      <c r="CV846" s="1120"/>
      <c r="CW846" s="1120">
        <f t="shared" si="1048"/>
        <v>184</v>
      </c>
      <c r="CX846" s="1120">
        <f t="shared" si="1049"/>
        <v>181</v>
      </c>
      <c r="CY846" s="1135" t="s">
        <v>4889</v>
      </c>
      <c r="CZ846" s="1124" t="s">
        <v>4897</v>
      </c>
      <c r="DA846" s="1124"/>
      <c r="DB846" s="1124"/>
      <c r="DC846" s="1120" t="s">
        <v>5187</v>
      </c>
      <c r="DD846" s="1120" t="s">
        <v>566</v>
      </c>
      <c r="DE846" s="1120" t="str">
        <f t="shared" si="975"/>
        <v/>
      </c>
      <c r="DF846" s="1133">
        <v>0</v>
      </c>
      <c r="DG846" s="1120">
        <v>0</v>
      </c>
    </row>
    <row r="847" spans="1:111">
      <c r="A847" s="1125" t="s">
        <v>4384</v>
      </c>
      <c r="B847" s="1125" t="s">
        <v>4685</v>
      </c>
      <c r="C847" s="1125" t="s">
        <v>4686</v>
      </c>
      <c r="D847" s="1125" t="s">
        <v>904</v>
      </c>
      <c r="E847" s="1125">
        <v>3962</v>
      </c>
      <c r="F847" s="1125">
        <v>-106.97</v>
      </c>
      <c r="G847" s="1125">
        <v>44.77</v>
      </c>
      <c r="H847" s="1125">
        <v>-7</v>
      </c>
      <c r="I847" s="1126">
        <v>-5.9800006866455089</v>
      </c>
      <c r="J847" s="1126">
        <v>92.120002746582031</v>
      </c>
      <c r="K847" s="1127">
        <v>62.960001373291014</v>
      </c>
      <c r="L847" s="1125">
        <v>7041.6</v>
      </c>
      <c r="M847" s="1125">
        <v>489.6</v>
      </c>
      <c r="N847" s="1128">
        <v>21.379999828338622</v>
      </c>
      <c r="O847" s="1128">
        <v>26.060000085830687</v>
      </c>
      <c r="P847" s="1128">
        <v>36.679999828338623</v>
      </c>
      <c r="Q847" s="1128">
        <v>47.119999313354491</v>
      </c>
      <c r="R847" s="1128">
        <v>54.5</v>
      </c>
      <c r="S847" s="1128">
        <v>62.060001373291016</v>
      </c>
      <c r="T847" s="1128">
        <v>71.960001373291021</v>
      </c>
      <c r="U847" s="1128">
        <v>70.16000137329101</v>
      </c>
      <c r="V847" s="1128">
        <v>57.919999313354495</v>
      </c>
      <c r="W847" s="1128">
        <v>44.6</v>
      </c>
      <c r="X847" s="1128">
        <v>37.579999828338622</v>
      </c>
      <c r="Y847" s="1128">
        <v>26.23999991416931</v>
      </c>
      <c r="Z847" s="1128">
        <v>46.469041285188233</v>
      </c>
      <c r="AA847" s="1128">
        <f t="shared" si="976"/>
        <v>43.368158136226299</v>
      </c>
      <c r="AB847" s="1128">
        <f t="shared" si="977"/>
        <v>41.738806361257311</v>
      </c>
      <c r="AC847" s="1128">
        <f t="shared" si="978"/>
        <v>42.906455677136442</v>
      </c>
      <c r="AD847" s="1128">
        <f t="shared" si="979"/>
        <v>46.566740295659159</v>
      </c>
      <c r="AE847" s="1128">
        <f t="shared" si="980"/>
        <v>51.76555062431413</v>
      </c>
      <c r="AF847" s="1128">
        <f t="shared" si="981"/>
        <v>57.147736634845174</v>
      </c>
      <c r="AG847" s="1128">
        <f t="shared" si="982"/>
        <v>61.310348601610329</v>
      </c>
      <c r="AH847" s="1128">
        <f t="shared" si="983"/>
        <v>63.168337567680098</v>
      </c>
      <c r="AI847" s="1128">
        <f t="shared" si="984"/>
        <v>62.237390076571742</v>
      </c>
      <c r="AJ847" s="1128">
        <f t="shared" si="985"/>
        <v>58.760171938177756</v>
      </c>
      <c r="AK847" s="1128">
        <f t="shared" si="986"/>
        <v>53.64307364582406</v>
      </c>
      <c r="AL847" s="1128">
        <f t="shared" si="987"/>
        <v>48.219945726284287</v>
      </c>
      <c r="AM847" s="1125">
        <f t="shared" si="988"/>
        <v>1</v>
      </c>
      <c r="AN847" s="1125">
        <f t="shared" si="989"/>
        <v>1</v>
      </c>
      <c r="AO847" s="1125">
        <f t="shared" si="990"/>
        <v>1</v>
      </c>
      <c r="AP847" s="1125">
        <f t="shared" si="991"/>
        <v>1</v>
      </c>
      <c r="AQ847" s="1125">
        <f t="shared" si="992"/>
        <v>1</v>
      </c>
      <c r="AR847" s="1125">
        <f t="shared" si="993"/>
        <v>1</v>
      </c>
      <c r="AS847" s="1125">
        <f t="shared" si="994"/>
        <v>0</v>
      </c>
      <c r="AT847" s="1125">
        <f t="shared" si="995"/>
        <v>0</v>
      </c>
      <c r="AU847" s="1125">
        <f t="shared" si="996"/>
        <v>1</v>
      </c>
      <c r="AV847" s="1125">
        <f t="shared" si="997"/>
        <v>1</v>
      </c>
      <c r="AW847" s="1125">
        <f t="shared" si="998"/>
        <v>1</v>
      </c>
      <c r="AX847" s="1125">
        <f t="shared" si="999"/>
        <v>1</v>
      </c>
      <c r="AY847" s="1125">
        <f t="shared" si="1000"/>
        <v>0</v>
      </c>
      <c r="AZ847" s="1125">
        <f t="shared" si="1001"/>
        <v>0</v>
      </c>
      <c r="BA847" s="1125">
        <f t="shared" si="1002"/>
        <v>0</v>
      </c>
      <c r="BB847" s="1125">
        <f t="shared" si="1003"/>
        <v>0</v>
      </c>
      <c r="BC847" s="1125">
        <f t="shared" si="1004"/>
        <v>0</v>
      </c>
      <c r="BD847" s="1125">
        <f t="shared" si="1005"/>
        <v>0</v>
      </c>
      <c r="BE847" s="1125">
        <f t="shared" si="1006"/>
        <v>1</v>
      </c>
      <c r="BF847" s="1125">
        <f t="shared" si="1007"/>
        <v>1</v>
      </c>
      <c r="BG847" s="1125">
        <f t="shared" si="1008"/>
        <v>0</v>
      </c>
      <c r="BH847" s="1125">
        <f t="shared" si="1009"/>
        <v>0</v>
      </c>
      <c r="BI847" s="1125">
        <f t="shared" si="1010"/>
        <v>0</v>
      </c>
      <c r="BJ847" s="1125">
        <f t="shared" si="1011"/>
        <v>0</v>
      </c>
      <c r="BK847" s="1125">
        <f t="shared" si="1012"/>
        <v>1</v>
      </c>
      <c r="BL847" s="1125">
        <f t="shared" si="1013"/>
        <v>1</v>
      </c>
      <c r="BM847" s="1125">
        <f t="shared" si="1014"/>
        <v>1</v>
      </c>
      <c r="BN847" s="1125">
        <f t="shared" si="1015"/>
        <v>1</v>
      </c>
      <c r="BO847" s="1125">
        <f t="shared" si="1016"/>
        <v>1</v>
      </c>
      <c r="BP847" s="1125">
        <f t="shared" si="1017"/>
        <v>1</v>
      </c>
      <c r="BQ847" s="1125">
        <f t="shared" si="1018"/>
        <v>1</v>
      </c>
      <c r="BR847" s="1125">
        <f t="shared" si="1019"/>
        <v>0</v>
      </c>
      <c r="BS847" s="1125">
        <f t="shared" si="1020"/>
        <v>1</v>
      </c>
      <c r="BT847" s="1125">
        <f t="shared" si="1021"/>
        <v>1</v>
      </c>
      <c r="BU847" s="1125">
        <f t="shared" si="1022"/>
        <v>1</v>
      </c>
      <c r="BV847" s="1125">
        <f t="shared" si="1023"/>
        <v>1</v>
      </c>
      <c r="BW847" s="1125">
        <f t="shared" si="1024"/>
        <v>0</v>
      </c>
      <c r="BX847" s="1125">
        <f t="shared" si="1025"/>
        <v>0</v>
      </c>
      <c r="BY847" s="1125">
        <f t="shared" si="1026"/>
        <v>0</v>
      </c>
      <c r="BZ847" s="1125">
        <f t="shared" si="1027"/>
        <v>0</v>
      </c>
      <c r="CA847" s="1125">
        <f t="shared" si="1028"/>
        <v>0</v>
      </c>
      <c r="CB847" s="1125">
        <f t="shared" si="1029"/>
        <v>1</v>
      </c>
      <c r="CC847" s="1125">
        <f t="shared" si="1030"/>
        <v>1</v>
      </c>
      <c r="CD847" s="1125">
        <f t="shared" si="1031"/>
        <v>1</v>
      </c>
      <c r="CE847" s="1125">
        <f t="shared" si="1032"/>
        <v>1</v>
      </c>
      <c r="CF847" s="1125">
        <f t="shared" si="1033"/>
        <v>0</v>
      </c>
      <c r="CG847" s="1125">
        <f t="shared" si="1034"/>
        <v>0</v>
      </c>
      <c r="CH847" s="1125">
        <f t="shared" si="1035"/>
        <v>0</v>
      </c>
      <c r="CI847" s="1125">
        <f t="shared" si="1036"/>
        <v>0.85</v>
      </c>
      <c r="CJ847" s="1125">
        <f t="shared" si="1037"/>
        <v>0.85</v>
      </c>
      <c r="CK847" s="1125">
        <f t="shared" si="1038"/>
        <v>0.85</v>
      </c>
      <c r="CL847" s="1125">
        <f t="shared" si="1039"/>
        <v>0.85</v>
      </c>
      <c r="CM847" s="1125">
        <f t="shared" si="1040"/>
        <v>0.85</v>
      </c>
      <c r="CN847" s="1125">
        <f t="shared" si="1041"/>
        <v>0.85</v>
      </c>
      <c r="CO847" s="1125">
        <f t="shared" si="1042"/>
        <v>0.85</v>
      </c>
      <c r="CP847" s="1125">
        <f t="shared" si="1043"/>
        <v>0.7</v>
      </c>
      <c r="CQ847" s="1125">
        <f t="shared" si="1044"/>
        <v>0.85</v>
      </c>
      <c r="CR847" s="1125">
        <f t="shared" si="1045"/>
        <v>0.85</v>
      </c>
      <c r="CS847" s="1125">
        <f t="shared" si="1046"/>
        <v>0.85</v>
      </c>
      <c r="CT847" s="1125">
        <f t="shared" si="1047"/>
        <v>0.85</v>
      </c>
      <c r="CU847" s="1125">
        <v>1</v>
      </c>
      <c r="CV847" s="1125"/>
      <c r="CW847" s="1125">
        <f t="shared" si="1048"/>
        <v>122</v>
      </c>
      <c r="CX847" s="1125">
        <f t="shared" si="1049"/>
        <v>243</v>
      </c>
      <c r="CY847" s="1135" t="s">
        <v>4889</v>
      </c>
      <c r="CZ847" s="1124" t="s">
        <v>4896</v>
      </c>
      <c r="DA847" s="1124"/>
      <c r="DB847" s="1124"/>
      <c r="DC847" s="1120" t="s">
        <v>5703</v>
      </c>
      <c r="DD847" s="1120" t="s">
        <v>904</v>
      </c>
      <c r="DE847" s="1120" t="str">
        <f t="shared" si="975"/>
        <v/>
      </c>
      <c r="DF847" s="1133">
        <v>0</v>
      </c>
      <c r="DG847" s="1125">
        <v>0</v>
      </c>
    </row>
    <row r="848" spans="1:111">
      <c r="A848" s="1120" t="s">
        <v>4386</v>
      </c>
      <c r="B848" s="1125" t="s">
        <v>5796</v>
      </c>
      <c r="C848" s="1125" t="s">
        <v>5797</v>
      </c>
      <c r="D848" s="1125" t="s">
        <v>953</v>
      </c>
      <c r="E848" s="1125">
        <v>7</v>
      </c>
      <c r="F848" s="1125">
        <v>-166.05</v>
      </c>
      <c r="G848" s="1125">
        <v>66.27</v>
      </c>
      <c r="H848" s="1125">
        <v>-9</v>
      </c>
      <c r="I848" s="1126">
        <v>-28.660001373291017</v>
      </c>
      <c r="J848" s="1126">
        <v>57.019999313354489</v>
      </c>
      <c r="K848" s="1127">
        <v>51.619999313354491</v>
      </c>
      <c r="L848" s="1125">
        <v>14268.6</v>
      </c>
      <c r="M848" s="1125">
        <v>0</v>
      </c>
      <c r="N848" s="1128">
        <v>4.9999999999999991</v>
      </c>
      <c r="O848" s="1128">
        <v>-3.6399986267089854</v>
      </c>
      <c r="P848" s="1128">
        <v>6.2599996566772456</v>
      </c>
      <c r="Q848" s="1128">
        <v>19.399999999999999</v>
      </c>
      <c r="R848" s="1128">
        <v>32.360000005364419</v>
      </c>
      <c r="S848" s="1128">
        <v>38.120000171661374</v>
      </c>
      <c r="T848" s="1128">
        <v>48.559999656677249</v>
      </c>
      <c r="U848" s="1128">
        <v>46.940000343322751</v>
      </c>
      <c r="V848" s="1128">
        <v>39.559999656677249</v>
      </c>
      <c r="W848" s="1128">
        <v>33.440000021457671</v>
      </c>
      <c r="X848" s="1128">
        <v>22.1</v>
      </c>
      <c r="Y848" s="1128">
        <v>13.459999656677246</v>
      </c>
      <c r="Z848" s="1128">
        <v>25.315342500952823</v>
      </c>
      <c r="AA848" s="1128">
        <f t="shared" si="976"/>
        <v>32</v>
      </c>
      <c r="AB848" s="1128">
        <f t="shared" si="977"/>
        <v>32</v>
      </c>
      <c r="AC848" s="1128">
        <f t="shared" si="978"/>
        <v>32</v>
      </c>
      <c r="AD848" s="1128">
        <f t="shared" si="979"/>
        <v>32</v>
      </c>
      <c r="AE848" s="1128">
        <f t="shared" si="980"/>
        <v>32</v>
      </c>
      <c r="AF848" s="1128">
        <f t="shared" si="981"/>
        <v>32</v>
      </c>
      <c r="AG848" s="1128">
        <f t="shared" si="982"/>
        <v>34.470186847185445</v>
      </c>
      <c r="AH848" s="1128">
        <f t="shared" si="983"/>
        <v>36.320997600032044</v>
      </c>
      <c r="AI848" s="1128">
        <f t="shared" si="984"/>
        <v>36.867007211823577</v>
      </c>
      <c r="AJ848" s="1128">
        <f t="shared" si="985"/>
        <v>35.965889862983758</v>
      </c>
      <c r="AK848" s="1128">
        <f t="shared" si="986"/>
        <v>33.852535677126383</v>
      </c>
      <c r="AL848" s="1128">
        <f t="shared" si="987"/>
        <v>32</v>
      </c>
      <c r="AM848" s="1125">
        <f t="shared" si="988"/>
        <v>1</v>
      </c>
      <c r="AN848" s="1125">
        <f t="shared" si="989"/>
        <v>1</v>
      </c>
      <c r="AO848" s="1125">
        <f t="shared" si="990"/>
        <v>1</v>
      </c>
      <c r="AP848" s="1125">
        <f t="shared" si="991"/>
        <v>1</v>
      </c>
      <c r="AQ848" s="1125">
        <f t="shared" si="992"/>
        <v>1</v>
      </c>
      <c r="AR848" s="1125">
        <f t="shared" si="993"/>
        <v>1</v>
      </c>
      <c r="AS848" s="1125">
        <f t="shared" si="994"/>
        <v>1</v>
      </c>
      <c r="AT848" s="1125">
        <f t="shared" si="995"/>
        <v>1</v>
      </c>
      <c r="AU848" s="1125">
        <f t="shared" si="996"/>
        <v>1</v>
      </c>
      <c r="AV848" s="1125">
        <f t="shared" si="997"/>
        <v>1</v>
      </c>
      <c r="AW848" s="1125">
        <f t="shared" si="998"/>
        <v>1</v>
      </c>
      <c r="AX848" s="1125">
        <f t="shared" si="999"/>
        <v>1</v>
      </c>
      <c r="AY848" s="1125">
        <f t="shared" si="1000"/>
        <v>0</v>
      </c>
      <c r="AZ848" s="1125">
        <f t="shared" si="1001"/>
        <v>0</v>
      </c>
      <c r="BA848" s="1125">
        <f t="shared" si="1002"/>
        <v>0</v>
      </c>
      <c r="BB848" s="1125">
        <f t="shared" si="1003"/>
        <v>0</v>
      </c>
      <c r="BC848" s="1125">
        <f t="shared" si="1004"/>
        <v>0</v>
      </c>
      <c r="BD848" s="1125">
        <f t="shared" si="1005"/>
        <v>0</v>
      </c>
      <c r="BE848" s="1125">
        <f t="shared" si="1006"/>
        <v>1</v>
      </c>
      <c r="BF848" s="1125">
        <f t="shared" si="1007"/>
        <v>1</v>
      </c>
      <c r="BG848" s="1125">
        <f t="shared" si="1008"/>
        <v>0</v>
      </c>
      <c r="BH848" s="1125">
        <f t="shared" si="1009"/>
        <v>0</v>
      </c>
      <c r="BI848" s="1125">
        <f t="shared" si="1010"/>
        <v>0</v>
      </c>
      <c r="BJ848" s="1125">
        <f t="shared" si="1011"/>
        <v>0</v>
      </c>
      <c r="BK848" s="1125">
        <f t="shared" si="1012"/>
        <v>1</v>
      </c>
      <c r="BL848" s="1125">
        <f t="shared" si="1013"/>
        <v>1</v>
      </c>
      <c r="BM848" s="1125">
        <f t="shared" si="1014"/>
        <v>1</v>
      </c>
      <c r="BN848" s="1125">
        <f t="shared" si="1015"/>
        <v>1</v>
      </c>
      <c r="BO848" s="1125">
        <f t="shared" si="1016"/>
        <v>1</v>
      </c>
      <c r="BP848" s="1125">
        <f t="shared" si="1017"/>
        <v>1</v>
      </c>
      <c r="BQ848" s="1125">
        <f t="shared" si="1018"/>
        <v>1</v>
      </c>
      <c r="BR848" s="1125">
        <f t="shared" si="1019"/>
        <v>1</v>
      </c>
      <c r="BS848" s="1125">
        <f t="shared" si="1020"/>
        <v>1</v>
      </c>
      <c r="BT848" s="1125">
        <f t="shared" si="1021"/>
        <v>1</v>
      </c>
      <c r="BU848" s="1125">
        <f t="shared" si="1022"/>
        <v>1</v>
      </c>
      <c r="BV848" s="1125">
        <f t="shared" si="1023"/>
        <v>1</v>
      </c>
      <c r="BW848" s="1125">
        <f t="shared" si="1024"/>
        <v>0</v>
      </c>
      <c r="BX848" s="1125">
        <f t="shared" si="1025"/>
        <v>0</v>
      </c>
      <c r="BY848" s="1125">
        <f t="shared" si="1026"/>
        <v>0</v>
      </c>
      <c r="BZ848" s="1125">
        <f t="shared" si="1027"/>
        <v>0</v>
      </c>
      <c r="CA848" s="1125">
        <f t="shared" si="1028"/>
        <v>0</v>
      </c>
      <c r="CB848" s="1125">
        <f t="shared" si="1029"/>
        <v>0</v>
      </c>
      <c r="CC848" s="1125">
        <f t="shared" si="1030"/>
        <v>1</v>
      </c>
      <c r="CD848" s="1125">
        <f t="shared" si="1031"/>
        <v>1</v>
      </c>
      <c r="CE848" s="1125">
        <f t="shared" si="1032"/>
        <v>0</v>
      </c>
      <c r="CF848" s="1125">
        <f t="shared" si="1033"/>
        <v>0</v>
      </c>
      <c r="CG848" s="1125">
        <f t="shared" si="1034"/>
        <v>0</v>
      </c>
      <c r="CH848" s="1125">
        <f t="shared" si="1035"/>
        <v>0</v>
      </c>
      <c r="CI848" s="1125">
        <f t="shared" si="1036"/>
        <v>0.85</v>
      </c>
      <c r="CJ848" s="1125">
        <f t="shared" si="1037"/>
        <v>0.85</v>
      </c>
      <c r="CK848" s="1125">
        <f t="shared" si="1038"/>
        <v>0.85</v>
      </c>
      <c r="CL848" s="1125">
        <f t="shared" si="1039"/>
        <v>0.85</v>
      </c>
      <c r="CM848" s="1125">
        <f t="shared" si="1040"/>
        <v>0.85</v>
      </c>
      <c r="CN848" s="1125">
        <f t="shared" si="1041"/>
        <v>0.85</v>
      </c>
      <c r="CO848" s="1125">
        <f t="shared" si="1042"/>
        <v>0.85</v>
      </c>
      <c r="CP848" s="1125">
        <f t="shared" si="1043"/>
        <v>0.85</v>
      </c>
      <c r="CQ848" s="1125">
        <f t="shared" si="1044"/>
        <v>0.85</v>
      </c>
      <c r="CR848" s="1125">
        <f t="shared" si="1045"/>
        <v>0.85</v>
      </c>
      <c r="CS848" s="1125">
        <f t="shared" si="1046"/>
        <v>0.85</v>
      </c>
      <c r="CT848" s="1125">
        <f t="shared" si="1047"/>
        <v>0.85</v>
      </c>
      <c r="CU848" s="1125">
        <v>1</v>
      </c>
      <c r="CV848" s="1125"/>
      <c r="CW848" s="1125">
        <f t="shared" si="1048"/>
        <v>62</v>
      </c>
      <c r="CX848" s="1125">
        <f t="shared" si="1049"/>
        <v>303</v>
      </c>
      <c r="CY848" s="1136" t="s">
        <v>4880</v>
      </c>
      <c r="CZ848" s="1129">
        <v>8</v>
      </c>
      <c r="DA848" s="1129"/>
      <c r="DB848" s="1129"/>
      <c r="DC848" s="1125" t="s">
        <v>5708</v>
      </c>
      <c r="DD848" s="1125" t="s">
        <v>953</v>
      </c>
      <c r="DE848" s="1125" t="str">
        <f t="shared" si="975"/>
        <v/>
      </c>
      <c r="DF848" s="1125">
        <v>0</v>
      </c>
      <c r="DG848" s="1120">
        <v>0</v>
      </c>
    </row>
    <row r="849" spans="1:111">
      <c r="A849" s="1125" t="s">
        <v>4390</v>
      </c>
      <c r="B849" s="1125" t="s">
        <v>3072</v>
      </c>
      <c r="C849" s="1125" t="s">
        <v>3073</v>
      </c>
      <c r="D849" s="1125" t="s">
        <v>1250</v>
      </c>
      <c r="E849" s="1125">
        <v>6409</v>
      </c>
      <c r="F849" s="1125">
        <v>-110</v>
      </c>
      <c r="G849" s="1125">
        <v>34.270000000000003</v>
      </c>
      <c r="H849" s="1125">
        <v>-7</v>
      </c>
      <c r="I849" s="1126">
        <v>13.1</v>
      </c>
      <c r="J849" s="1126">
        <v>89.779997253417974</v>
      </c>
      <c r="K849" s="1127">
        <v>59.180000686645506</v>
      </c>
      <c r="L849" s="1125">
        <v>4500</v>
      </c>
      <c r="M849" s="1125">
        <v>655.20000000000005</v>
      </c>
      <c r="N849" s="1128">
        <v>37.939999914169313</v>
      </c>
      <c r="O849" s="1128">
        <v>37.4</v>
      </c>
      <c r="P849" s="1128">
        <v>46.580000686645505</v>
      </c>
      <c r="Q849" s="1128">
        <v>51.980000686645511</v>
      </c>
      <c r="R849" s="1128">
        <v>62.780000686645508</v>
      </c>
      <c r="S849" s="1128">
        <v>69.980000686645511</v>
      </c>
      <c r="T849" s="1128">
        <v>73.039998626708979</v>
      </c>
      <c r="U849" s="1128">
        <v>67.460001373291021</v>
      </c>
      <c r="V849" s="1128">
        <v>66.919999313354495</v>
      </c>
      <c r="W849" s="1128">
        <v>51.080000686645505</v>
      </c>
      <c r="X849" s="1128">
        <v>44.779999828338624</v>
      </c>
      <c r="Y849" s="1128">
        <v>35.419999957084656</v>
      </c>
      <c r="Z849" s="1128">
        <v>53.863835822784736</v>
      </c>
      <c r="AA849" s="1128">
        <f t="shared" si="976"/>
        <v>51.348358764076877</v>
      </c>
      <c r="AB849" s="1128">
        <f t="shared" si="977"/>
        <v>50.517285167917905</v>
      </c>
      <c r="AC849" s="1128">
        <f t="shared" si="978"/>
        <v>52.122534034655466</v>
      </c>
      <c r="AD849" s="1128">
        <f t="shared" si="979"/>
        <v>55.745672509540562</v>
      </c>
      <c r="AE849" s="1128">
        <f t="shared" si="980"/>
        <v>60.442273714840418</v>
      </c>
      <c r="AF849" s="1128">
        <f t="shared" si="981"/>
        <v>64.988096169578213</v>
      </c>
      <c r="AG849" s="1128">
        <f t="shared" si="982"/>
        <v>68.198201197682039</v>
      </c>
      <c r="AH849" s="1128">
        <f t="shared" si="983"/>
        <v>69.235825454360707</v>
      </c>
      <c r="AI849" s="1128">
        <f t="shared" si="984"/>
        <v>67.830496186837109</v>
      </c>
      <c r="AJ849" s="1128">
        <f t="shared" si="985"/>
        <v>64.348534125470849</v>
      </c>
      <c r="AK849" s="1128">
        <f t="shared" si="986"/>
        <v>59.697566340216618</v>
      </c>
      <c r="AL849" s="1128">
        <f t="shared" si="987"/>
        <v>55.089939257884055</v>
      </c>
      <c r="AM849" s="1125">
        <f t="shared" si="988"/>
        <v>1</v>
      </c>
      <c r="AN849" s="1125">
        <f t="shared" si="989"/>
        <v>1</v>
      </c>
      <c r="AO849" s="1125">
        <f t="shared" si="990"/>
        <v>1</v>
      </c>
      <c r="AP849" s="1125">
        <f t="shared" si="991"/>
        <v>1</v>
      </c>
      <c r="AQ849" s="1125">
        <f t="shared" si="992"/>
        <v>1</v>
      </c>
      <c r="AR849" s="1125">
        <f t="shared" si="993"/>
        <v>0</v>
      </c>
      <c r="AS849" s="1125">
        <f t="shared" si="994"/>
        <v>0</v>
      </c>
      <c r="AT849" s="1125">
        <f t="shared" si="995"/>
        <v>0</v>
      </c>
      <c r="AU849" s="1125">
        <f t="shared" si="996"/>
        <v>0</v>
      </c>
      <c r="AV849" s="1125">
        <f t="shared" si="997"/>
        <v>1</v>
      </c>
      <c r="AW849" s="1125">
        <f t="shared" si="998"/>
        <v>1</v>
      </c>
      <c r="AX849" s="1125">
        <f t="shared" si="999"/>
        <v>1</v>
      </c>
      <c r="AY849" s="1125">
        <f t="shared" si="1000"/>
        <v>0</v>
      </c>
      <c r="AZ849" s="1125">
        <f t="shared" si="1001"/>
        <v>0</v>
      </c>
      <c r="BA849" s="1125">
        <f t="shared" si="1002"/>
        <v>0</v>
      </c>
      <c r="BB849" s="1125">
        <f t="shared" si="1003"/>
        <v>0</v>
      </c>
      <c r="BC849" s="1125">
        <f t="shared" si="1004"/>
        <v>0</v>
      </c>
      <c r="BD849" s="1125">
        <f t="shared" si="1005"/>
        <v>1</v>
      </c>
      <c r="BE849" s="1125">
        <f t="shared" si="1006"/>
        <v>1</v>
      </c>
      <c r="BF849" s="1125">
        <f t="shared" si="1007"/>
        <v>1</v>
      </c>
      <c r="BG849" s="1125">
        <f t="shared" si="1008"/>
        <v>1</v>
      </c>
      <c r="BH849" s="1125">
        <f t="shared" si="1009"/>
        <v>0</v>
      </c>
      <c r="BI849" s="1125">
        <f t="shared" si="1010"/>
        <v>0</v>
      </c>
      <c r="BJ849" s="1125">
        <f t="shared" si="1011"/>
        <v>0</v>
      </c>
      <c r="BK849" s="1125">
        <f t="shared" si="1012"/>
        <v>1</v>
      </c>
      <c r="BL849" s="1125">
        <f t="shared" si="1013"/>
        <v>1</v>
      </c>
      <c r="BM849" s="1125">
        <f t="shared" si="1014"/>
        <v>1</v>
      </c>
      <c r="BN849" s="1125">
        <f t="shared" si="1015"/>
        <v>1</v>
      </c>
      <c r="BO849" s="1125">
        <f t="shared" si="1016"/>
        <v>1</v>
      </c>
      <c r="BP849" s="1125">
        <f t="shared" si="1017"/>
        <v>1</v>
      </c>
      <c r="BQ849" s="1125">
        <f t="shared" si="1018"/>
        <v>0</v>
      </c>
      <c r="BR849" s="1125">
        <f t="shared" si="1019"/>
        <v>0</v>
      </c>
      <c r="BS849" s="1125">
        <f t="shared" si="1020"/>
        <v>0</v>
      </c>
      <c r="BT849" s="1125">
        <f t="shared" si="1021"/>
        <v>1</v>
      </c>
      <c r="BU849" s="1125">
        <f t="shared" si="1022"/>
        <v>1</v>
      </c>
      <c r="BV849" s="1125">
        <f t="shared" si="1023"/>
        <v>1</v>
      </c>
      <c r="BW849" s="1125">
        <f t="shared" si="1024"/>
        <v>0</v>
      </c>
      <c r="BX849" s="1125">
        <f t="shared" si="1025"/>
        <v>0</v>
      </c>
      <c r="BY849" s="1125">
        <f t="shared" si="1026"/>
        <v>0</v>
      </c>
      <c r="BZ849" s="1125">
        <f t="shared" si="1027"/>
        <v>0</v>
      </c>
      <c r="CA849" s="1125">
        <f t="shared" si="1028"/>
        <v>1</v>
      </c>
      <c r="CB849" s="1125">
        <f t="shared" si="1029"/>
        <v>1</v>
      </c>
      <c r="CC849" s="1125">
        <f t="shared" si="1030"/>
        <v>1</v>
      </c>
      <c r="CD849" s="1125">
        <f t="shared" si="1031"/>
        <v>1</v>
      </c>
      <c r="CE849" s="1125">
        <f t="shared" si="1032"/>
        <v>1</v>
      </c>
      <c r="CF849" s="1125">
        <f t="shared" si="1033"/>
        <v>1</v>
      </c>
      <c r="CG849" s="1125">
        <f t="shared" si="1034"/>
        <v>0</v>
      </c>
      <c r="CH849" s="1125">
        <f t="shared" si="1035"/>
        <v>0</v>
      </c>
      <c r="CI849" s="1125">
        <f t="shared" si="1036"/>
        <v>0.85</v>
      </c>
      <c r="CJ849" s="1125">
        <f t="shared" si="1037"/>
        <v>0.85</v>
      </c>
      <c r="CK849" s="1125">
        <f t="shared" si="1038"/>
        <v>0.85</v>
      </c>
      <c r="CL849" s="1125">
        <f t="shared" si="1039"/>
        <v>0.85</v>
      </c>
      <c r="CM849" s="1125">
        <f t="shared" si="1040"/>
        <v>0.85</v>
      </c>
      <c r="CN849" s="1125">
        <f t="shared" si="1041"/>
        <v>0.85</v>
      </c>
      <c r="CO849" s="1125">
        <f t="shared" si="1042"/>
        <v>0.7</v>
      </c>
      <c r="CP849" s="1125">
        <f t="shared" si="1043"/>
        <v>0.7</v>
      </c>
      <c r="CQ849" s="1125">
        <f t="shared" si="1044"/>
        <v>0.7</v>
      </c>
      <c r="CR849" s="1125">
        <f t="shared" si="1045"/>
        <v>0.85</v>
      </c>
      <c r="CS849" s="1125">
        <f t="shared" si="1046"/>
        <v>0.85</v>
      </c>
      <c r="CT849" s="1125">
        <f t="shared" si="1047"/>
        <v>0.85</v>
      </c>
      <c r="CU849" s="1125">
        <v>1</v>
      </c>
      <c r="CV849" s="1125"/>
      <c r="CW849" s="1125">
        <f t="shared" si="1048"/>
        <v>184</v>
      </c>
      <c r="CX849" s="1125">
        <f t="shared" si="1049"/>
        <v>181</v>
      </c>
      <c r="CY849" s="1136" t="s">
        <v>4889</v>
      </c>
      <c r="CZ849" s="1129" t="s">
        <v>4890</v>
      </c>
      <c r="DA849" s="1129"/>
      <c r="DB849" s="1129"/>
      <c r="DC849" s="1125" t="s">
        <v>5005</v>
      </c>
      <c r="DD849" s="1125" t="s">
        <v>1250</v>
      </c>
      <c r="DE849" s="1125" t="str">
        <f t="shared" si="975"/>
        <v/>
      </c>
      <c r="DF849" s="1125">
        <v>0</v>
      </c>
      <c r="DG849" s="1125">
        <v>0</v>
      </c>
    </row>
    <row r="850" spans="1:111">
      <c r="A850" s="1120" t="s">
        <v>4388</v>
      </c>
      <c r="B850" s="1125" t="s">
        <v>927</v>
      </c>
      <c r="C850" s="1125" t="s">
        <v>928</v>
      </c>
      <c r="D850" s="1125" t="s">
        <v>591</v>
      </c>
      <c r="E850" s="1125">
        <v>180</v>
      </c>
      <c r="F850" s="1125">
        <v>-93.75</v>
      </c>
      <c r="G850" s="1125">
        <v>32.53</v>
      </c>
      <c r="H850" s="1125">
        <v>-6</v>
      </c>
      <c r="I850" s="1126">
        <v>29.839999914169312</v>
      </c>
      <c r="J850" s="1126">
        <v>96.8</v>
      </c>
      <c r="K850" s="1127">
        <v>76.460001373291021</v>
      </c>
      <c r="L850" s="1125">
        <v>2662.2000000000003</v>
      </c>
      <c r="M850" s="1125">
        <v>2680.2000000000003</v>
      </c>
      <c r="N850" s="1128">
        <v>41.540000343322752</v>
      </c>
      <c r="O850" s="1128">
        <v>46.940000343322751</v>
      </c>
      <c r="P850" s="1128">
        <v>55.4</v>
      </c>
      <c r="Q850" s="1128">
        <v>65.66000137329101</v>
      </c>
      <c r="R850" s="1128">
        <v>72.680000686645513</v>
      </c>
      <c r="S850" s="1128">
        <v>77.360001373291013</v>
      </c>
      <c r="T850" s="1128">
        <v>83.66000137329101</v>
      </c>
      <c r="U850" s="1128">
        <v>83.83999862670899</v>
      </c>
      <c r="V850" s="1128">
        <v>80.960001373291021</v>
      </c>
      <c r="W850" s="1128">
        <v>65.3</v>
      </c>
      <c r="X850" s="1128">
        <v>51.259999656677245</v>
      </c>
      <c r="Y850" s="1128">
        <v>47.659999656677243</v>
      </c>
      <c r="Z850" s="1128">
        <v>64.449315463549468</v>
      </c>
      <c r="AA850" s="1128">
        <f t="shared" si="976"/>
        <v>58.063013771053562</v>
      </c>
      <c r="AB850" s="1128">
        <f t="shared" si="977"/>
        <v>58.113485102814295</v>
      </c>
      <c r="AC850" s="1128">
        <f t="shared" si="978"/>
        <v>61.37948071900081</v>
      </c>
      <c r="AD850" s="1128">
        <f t="shared" si="979"/>
        <v>67.009668531738171</v>
      </c>
      <c r="AE850" s="1128">
        <f t="shared" si="980"/>
        <v>73.536453323815849</v>
      </c>
      <c r="AF850" s="1128">
        <f t="shared" si="981"/>
        <v>79.25852805838062</v>
      </c>
      <c r="AG850" s="1128">
        <f t="shared" si="982"/>
        <v>82.684345776027314</v>
      </c>
      <c r="AH850" s="1128">
        <f t="shared" si="983"/>
        <v>82.920914295202266</v>
      </c>
      <c r="AI850" s="1128">
        <f t="shared" si="984"/>
        <v>79.906568385751271</v>
      </c>
      <c r="AJ850" s="1128">
        <f t="shared" si="985"/>
        <v>74.427043761449312</v>
      </c>
      <c r="AK850" s="1128">
        <f t="shared" si="986"/>
        <v>67.910662957651212</v>
      </c>
      <c r="AL850" s="1128">
        <f t="shared" si="987"/>
        <v>62.056021051334795</v>
      </c>
      <c r="AM850" s="1125">
        <f t="shared" si="988"/>
        <v>1</v>
      </c>
      <c r="AN850" s="1125">
        <f t="shared" si="989"/>
        <v>1</v>
      </c>
      <c r="AO850" s="1125">
        <f t="shared" si="990"/>
        <v>1</v>
      </c>
      <c r="AP850" s="1125">
        <f t="shared" si="991"/>
        <v>1</v>
      </c>
      <c r="AQ850" s="1125">
        <f t="shared" si="992"/>
        <v>0</v>
      </c>
      <c r="AR850" s="1125">
        <f t="shared" si="993"/>
        <v>0</v>
      </c>
      <c r="AS850" s="1125">
        <f t="shared" si="994"/>
        <v>0</v>
      </c>
      <c r="AT850" s="1125">
        <f t="shared" si="995"/>
        <v>0</v>
      </c>
      <c r="AU850" s="1125">
        <f t="shared" si="996"/>
        <v>0</v>
      </c>
      <c r="AV850" s="1125">
        <f t="shared" si="997"/>
        <v>1</v>
      </c>
      <c r="AW850" s="1125">
        <f t="shared" si="998"/>
        <v>1</v>
      </c>
      <c r="AX850" s="1125">
        <f t="shared" si="999"/>
        <v>1</v>
      </c>
      <c r="AY850" s="1125">
        <f t="shared" si="1000"/>
        <v>0</v>
      </c>
      <c r="AZ850" s="1125">
        <f t="shared" si="1001"/>
        <v>0</v>
      </c>
      <c r="BA850" s="1125">
        <f t="shared" si="1002"/>
        <v>0</v>
      </c>
      <c r="BB850" s="1125">
        <f t="shared" si="1003"/>
        <v>0</v>
      </c>
      <c r="BC850" s="1125">
        <f t="shared" si="1004"/>
        <v>1</v>
      </c>
      <c r="BD850" s="1125">
        <f t="shared" si="1005"/>
        <v>1</v>
      </c>
      <c r="BE850" s="1125">
        <f t="shared" si="1006"/>
        <v>1</v>
      </c>
      <c r="BF850" s="1125">
        <f t="shared" si="1007"/>
        <v>1</v>
      </c>
      <c r="BG850" s="1125">
        <f t="shared" si="1008"/>
        <v>1</v>
      </c>
      <c r="BH850" s="1125">
        <f t="shared" si="1009"/>
        <v>0</v>
      </c>
      <c r="BI850" s="1125">
        <f t="shared" si="1010"/>
        <v>0</v>
      </c>
      <c r="BJ850" s="1125">
        <f t="shared" si="1011"/>
        <v>0</v>
      </c>
      <c r="BK850" s="1125">
        <f t="shared" si="1012"/>
        <v>1</v>
      </c>
      <c r="BL850" s="1125">
        <f t="shared" si="1013"/>
        <v>1</v>
      </c>
      <c r="BM850" s="1125">
        <f t="shared" si="1014"/>
        <v>1</v>
      </c>
      <c r="BN850" s="1125">
        <f t="shared" si="1015"/>
        <v>1</v>
      </c>
      <c r="BO850" s="1125">
        <f t="shared" si="1016"/>
        <v>1</v>
      </c>
      <c r="BP850" s="1125">
        <f t="shared" si="1017"/>
        <v>0</v>
      </c>
      <c r="BQ850" s="1125">
        <f t="shared" si="1018"/>
        <v>0</v>
      </c>
      <c r="BR850" s="1125">
        <f t="shared" si="1019"/>
        <v>0</v>
      </c>
      <c r="BS850" s="1125">
        <f t="shared" si="1020"/>
        <v>0</v>
      </c>
      <c r="BT850" s="1125">
        <f t="shared" si="1021"/>
        <v>1</v>
      </c>
      <c r="BU850" s="1125">
        <f t="shared" si="1022"/>
        <v>1</v>
      </c>
      <c r="BV850" s="1125">
        <f t="shared" si="1023"/>
        <v>1</v>
      </c>
      <c r="BW850" s="1125">
        <f t="shared" si="1024"/>
        <v>0</v>
      </c>
      <c r="BX850" s="1125">
        <f t="shared" si="1025"/>
        <v>0</v>
      </c>
      <c r="BY850" s="1125">
        <f t="shared" si="1026"/>
        <v>0</v>
      </c>
      <c r="BZ850" s="1125">
        <f t="shared" si="1027"/>
        <v>1</v>
      </c>
      <c r="CA850" s="1125">
        <f t="shared" si="1028"/>
        <v>1</v>
      </c>
      <c r="CB850" s="1125">
        <f t="shared" si="1029"/>
        <v>1</v>
      </c>
      <c r="CC850" s="1125">
        <f t="shared" si="1030"/>
        <v>1</v>
      </c>
      <c r="CD850" s="1125">
        <f t="shared" si="1031"/>
        <v>1</v>
      </c>
      <c r="CE850" s="1125">
        <f t="shared" si="1032"/>
        <v>1</v>
      </c>
      <c r="CF850" s="1125">
        <f t="shared" si="1033"/>
        <v>1</v>
      </c>
      <c r="CG850" s="1125">
        <f t="shared" si="1034"/>
        <v>0</v>
      </c>
      <c r="CH850" s="1125">
        <f t="shared" si="1035"/>
        <v>0</v>
      </c>
      <c r="CI850" s="1125">
        <f t="shared" si="1036"/>
        <v>0.85</v>
      </c>
      <c r="CJ850" s="1125">
        <f t="shared" si="1037"/>
        <v>0.85</v>
      </c>
      <c r="CK850" s="1125">
        <f t="shared" si="1038"/>
        <v>0.85</v>
      </c>
      <c r="CL850" s="1125">
        <f t="shared" si="1039"/>
        <v>0.85</v>
      </c>
      <c r="CM850" s="1125">
        <f t="shared" si="1040"/>
        <v>0.85</v>
      </c>
      <c r="CN850" s="1125">
        <f t="shared" si="1041"/>
        <v>0.7</v>
      </c>
      <c r="CO850" s="1125">
        <f t="shared" si="1042"/>
        <v>0.7</v>
      </c>
      <c r="CP850" s="1125">
        <f t="shared" si="1043"/>
        <v>0.7</v>
      </c>
      <c r="CQ850" s="1125">
        <f t="shared" si="1044"/>
        <v>0.7</v>
      </c>
      <c r="CR850" s="1125">
        <f t="shared" si="1045"/>
        <v>0.85</v>
      </c>
      <c r="CS850" s="1125">
        <f t="shared" si="1046"/>
        <v>0.85</v>
      </c>
      <c r="CT850" s="1125">
        <f t="shared" si="1047"/>
        <v>0.85</v>
      </c>
      <c r="CU850" s="1125">
        <v>1</v>
      </c>
      <c r="CV850" s="1125"/>
      <c r="CW850" s="1125">
        <f t="shared" si="1048"/>
        <v>214</v>
      </c>
      <c r="CX850" s="1125">
        <f t="shared" si="1049"/>
        <v>151</v>
      </c>
      <c r="CY850" s="1136" t="s">
        <v>4900</v>
      </c>
      <c r="CZ850" s="1129" t="s">
        <v>4882</v>
      </c>
      <c r="DA850" s="1129"/>
      <c r="DB850" s="1129"/>
      <c r="DC850" s="1125" t="s">
        <v>5263</v>
      </c>
      <c r="DD850" s="1125" t="s">
        <v>591</v>
      </c>
      <c r="DE850" s="1120" t="str">
        <f t="shared" si="975"/>
        <v/>
      </c>
      <c r="DF850" s="1133">
        <v>0</v>
      </c>
      <c r="DG850" s="1120">
        <v>0</v>
      </c>
    </row>
    <row r="851" spans="1:111">
      <c r="A851" s="1125" t="s">
        <v>4392</v>
      </c>
      <c r="B851" s="1120" t="s">
        <v>3645</v>
      </c>
      <c r="C851" s="1120" t="s">
        <v>3646</v>
      </c>
      <c r="D851" s="1120" t="s">
        <v>591</v>
      </c>
      <c r="E851" s="1120">
        <v>253</v>
      </c>
      <c r="F851" s="1120">
        <v>-93.82</v>
      </c>
      <c r="G851" s="1120">
        <v>32.450000000000003</v>
      </c>
      <c r="H851" s="1120">
        <v>-6</v>
      </c>
      <c r="I851" s="1121">
        <v>27.679999828338623</v>
      </c>
      <c r="J851" s="1121">
        <v>95.360001373291013</v>
      </c>
      <c r="K851" s="1122">
        <v>76.460001373291021</v>
      </c>
      <c r="L851" s="1120">
        <v>2284.2000000000003</v>
      </c>
      <c r="M851" s="1120">
        <v>2417.4</v>
      </c>
      <c r="N851" s="1123">
        <v>42.8</v>
      </c>
      <c r="O851" s="1123">
        <v>49.459999656677248</v>
      </c>
      <c r="P851" s="1123">
        <v>59</v>
      </c>
      <c r="Q851" s="1123">
        <v>66.380000686645502</v>
      </c>
      <c r="R851" s="1123">
        <v>72.680000686645513</v>
      </c>
      <c r="S851" s="1123">
        <v>78.080000686645505</v>
      </c>
      <c r="T851" s="1123">
        <v>81.680000686645513</v>
      </c>
      <c r="U851" s="1123">
        <v>82.760001373291018</v>
      </c>
      <c r="V851" s="1123">
        <v>76.819999313354487</v>
      </c>
      <c r="W851" s="1123">
        <v>62.960001373291014</v>
      </c>
      <c r="X851" s="1123">
        <v>58.459999656677248</v>
      </c>
      <c r="Y851" s="1123">
        <v>45.320000171661377</v>
      </c>
      <c r="Z851" s="1123">
        <v>64.767890777326613</v>
      </c>
      <c r="AA851" s="1123">
        <f t="shared" si="976"/>
        <v>58.988804488545583</v>
      </c>
      <c r="AB851" s="1123">
        <f t="shared" si="977"/>
        <v>59.070717418056965</v>
      </c>
      <c r="AC851" s="1123">
        <f t="shared" si="978"/>
        <v>62.201678842559843</v>
      </c>
      <c r="AD851" s="1123">
        <f t="shared" si="979"/>
        <v>67.565555417181471</v>
      </c>
      <c r="AE851" s="1123">
        <f t="shared" si="980"/>
        <v>73.764170052906636</v>
      </c>
      <c r="AF851" s="1123">
        <f t="shared" si="981"/>
        <v>79.181758321390546</v>
      </c>
      <c r="AG851" s="1123">
        <f t="shared" si="982"/>
        <v>82.406142352890527</v>
      </c>
      <c r="AH851" s="1123">
        <f t="shared" si="983"/>
        <v>82.596836760334071</v>
      </c>
      <c r="AI851" s="1123">
        <f t="shared" si="984"/>
        <v>79.704134107731278</v>
      </c>
      <c r="AJ851" s="1123">
        <f t="shared" si="985"/>
        <v>74.482061919380286</v>
      </c>
      <c r="AK851" s="1123">
        <f t="shared" si="986"/>
        <v>68.291833785743137</v>
      </c>
      <c r="AL851" s="1123">
        <f t="shared" si="987"/>
        <v>62.747028064155501</v>
      </c>
      <c r="AM851" s="1120">
        <f t="shared" si="988"/>
        <v>1</v>
      </c>
      <c r="AN851" s="1120">
        <f t="shared" si="989"/>
        <v>1</v>
      </c>
      <c r="AO851" s="1120">
        <f t="shared" si="990"/>
        <v>1</v>
      </c>
      <c r="AP851" s="1120">
        <f t="shared" si="991"/>
        <v>0</v>
      </c>
      <c r="AQ851" s="1120">
        <f t="shared" si="992"/>
        <v>0</v>
      </c>
      <c r="AR851" s="1120">
        <f t="shared" si="993"/>
        <v>0</v>
      </c>
      <c r="AS851" s="1120">
        <f t="shared" si="994"/>
        <v>0</v>
      </c>
      <c r="AT851" s="1120">
        <f t="shared" si="995"/>
        <v>0</v>
      </c>
      <c r="AU851" s="1120">
        <f t="shared" si="996"/>
        <v>0</v>
      </c>
      <c r="AV851" s="1120">
        <f t="shared" si="997"/>
        <v>1</v>
      </c>
      <c r="AW851" s="1120">
        <f t="shared" si="998"/>
        <v>1</v>
      </c>
      <c r="AX851" s="1120">
        <f t="shared" si="999"/>
        <v>1</v>
      </c>
      <c r="AY851" s="1120">
        <f t="shared" si="1000"/>
        <v>0</v>
      </c>
      <c r="AZ851" s="1120">
        <f t="shared" si="1001"/>
        <v>0</v>
      </c>
      <c r="BA851" s="1120">
        <f t="shared" si="1002"/>
        <v>0</v>
      </c>
      <c r="BB851" s="1120">
        <f t="shared" si="1003"/>
        <v>1</v>
      </c>
      <c r="BC851" s="1120">
        <f t="shared" si="1004"/>
        <v>1</v>
      </c>
      <c r="BD851" s="1120">
        <f t="shared" si="1005"/>
        <v>1</v>
      </c>
      <c r="BE851" s="1120">
        <f t="shared" si="1006"/>
        <v>1</v>
      </c>
      <c r="BF851" s="1120">
        <f t="shared" si="1007"/>
        <v>1</v>
      </c>
      <c r="BG851" s="1120">
        <f t="shared" si="1008"/>
        <v>1</v>
      </c>
      <c r="BH851" s="1120">
        <f t="shared" si="1009"/>
        <v>0</v>
      </c>
      <c r="BI851" s="1120">
        <f t="shared" si="1010"/>
        <v>0</v>
      </c>
      <c r="BJ851" s="1120">
        <f t="shared" si="1011"/>
        <v>0</v>
      </c>
      <c r="BK851" s="1120">
        <f t="shared" si="1012"/>
        <v>1</v>
      </c>
      <c r="BL851" s="1120">
        <f t="shared" si="1013"/>
        <v>1</v>
      </c>
      <c r="BM851" s="1120">
        <f t="shared" si="1014"/>
        <v>1</v>
      </c>
      <c r="BN851" s="1120">
        <f t="shared" si="1015"/>
        <v>1</v>
      </c>
      <c r="BO851" s="1120">
        <f t="shared" si="1016"/>
        <v>0</v>
      </c>
      <c r="BP851" s="1120">
        <f t="shared" si="1017"/>
        <v>0</v>
      </c>
      <c r="BQ851" s="1120">
        <f t="shared" si="1018"/>
        <v>0</v>
      </c>
      <c r="BR851" s="1120">
        <f t="shared" si="1019"/>
        <v>0</v>
      </c>
      <c r="BS851" s="1120">
        <f t="shared" si="1020"/>
        <v>0</v>
      </c>
      <c r="BT851" s="1120">
        <f t="shared" si="1021"/>
        <v>1</v>
      </c>
      <c r="BU851" s="1120">
        <f t="shared" si="1022"/>
        <v>1</v>
      </c>
      <c r="BV851" s="1120">
        <f t="shared" si="1023"/>
        <v>1</v>
      </c>
      <c r="BW851" s="1120">
        <f t="shared" si="1024"/>
        <v>0</v>
      </c>
      <c r="BX851" s="1120">
        <f t="shared" si="1025"/>
        <v>0</v>
      </c>
      <c r="BY851" s="1120">
        <f t="shared" si="1026"/>
        <v>1</v>
      </c>
      <c r="BZ851" s="1120">
        <f t="shared" si="1027"/>
        <v>1</v>
      </c>
      <c r="CA851" s="1120">
        <f t="shared" si="1028"/>
        <v>1</v>
      </c>
      <c r="CB851" s="1120">
        <f t="shared" si="1029"/>
        <v>1</v>
      </c>
      <c r="CC851" s="1120">
        <f t="shared" si="1030"/>
        <v>1</v>
      </c>
      <c r="CD851" s="1120">
        <f t="shared" si="1031"/>
        <v>1</v>
      </c>
      <c r="CE851" s="1120">
        <f t="shared" si="1032"/>
        <v>1</v>
      </c>
      <c r="CF851" s="1120">
        <f t="shared" si="1033"/>
        <v>1</v>
      </c>
      <c r="CG851" s="1120">
        <f t="shared" si="1034"/>
        <v>0</v>
      </c>
      <c r="CH851" s="1120">
        <f t="shared" si="1035"/>
        <v>0</v>
      </c>
      <c r="CI851" s="1120">
        <f t="shared" si="1036"/>
        <v>0.85</v>
      </c>
      <c r="CJ851" s="1120">
        <f t="shared" si="1037"/>
        <v>0.85</v>
      </c>
      <c r="CK851" s="1120">
        <f t="shared" si="1038"/>
        <v>0.85</v>
      </c>
      <c r="CL851" s="1120">
        <f t="shared" si="1039"/>
        <v>0.85</v>
      </c>
      <c r="CM851" s="1120">
        <f t="shared" si="1040"/>
        <v>0.7</v>
      </c>
      <c r="CN851" s="1120">
        <f t="shared" si="1041"/>
        <v>0.7</v>
      </c>
      <c r="CO851" s="1120">
        <f t="shared" si="1042"/>
        <v>0.7</v>
      </c>
      <c r="CP851" s="1120">
        <f t="shared" si="1043"/>
        <v>0.7</v>
      </c>
      <c r="CQ851" s="1120">
        <f t="shared" si="1044"/>
        <v>0.7</v>
      </c>
      <c r="CR851" s="1120">
        <f t="shared" si="1045"/>
        <v>0.85</v>
      </c>
      <c r="CS851" s="1120">
        <f t="shared" si="1046"/>
        <v>0.85</v>
      </c>
      <c r="CT851" s="1120">
        <f t="shared" si="1047"/>
        <v>0.85</v>
      </c>
      <c r="CU851" s="1120">
        <v>1</v>
      </c>
      <c r="CV851" s="1120"/>
      <c r="CW851" s="1120">
        <f t="shared" si="1048"/>
        <v>245</v>
      </c>
      <c r="CX851" s="1120">
        <f t="shared" si="1049"/>
        <v>120</v>
      </c>
      <c r="CY851" s="1135" t="s">
        <v>4900</v>
      </c>
      <c r="CZ851" s="1124" t="s">
        <v>4882</v>
      </c>
      <c r="DA851" s="1124"/>
      <c r="DB851" s="1124"/>
      <c r="DC851" s="1120" t="s">
        <v>5264</v>
      </c>
      <c r="DD851" s="1120" t="s">
        <v>591</v>
      </c>
      <c r="DE851" s="1120" t="str">
        <f t="shared" si="975"/>
        <v/>
      </c>
      <c r="DF851" s="1133">
        <v>0</v>
      </c>
      <c r="DG851" s="1125">
        <v>0</v>
      </c>
    </row>
    <row r="852" spans="1:111">
      <c r="A852" s="1120" t="s">
        <v>4394</v>
      </c>
      <c r="B852" s="1120" t="s">
        <v>4032</v>
      </c>
      <c r="C852" s="1120" t="s">
        <v>4033</v>
      </c>
      <c r="D852" s="1120" t="s">
        <v>771</v>
      </c>
      <c r="E852" s="1120">
        <v>4307</v>
      </c>
      <c r="F852" s="1120">
        <v>-102.98</v>
      </c>
      <c r="G852" s="1120">
        <v>41.1</v>
      </c>
      <c r="H852" s="1120">
        <v>-7</v>
      </c>
      <c r="I852" s="1121">
        <v>-3.9998626708985165E-2</v>
      </c>
      <c r="J852" s="1121">
        <v>92.660001373291024</v>
      </c>
      <c r="K852" s="1122">
        <v>63.139998626708987</v>
      </c>
      <c r="L852" s="1120">
        <v>6748.2</v>
      </c>
      <c r="M852" s="1120">
        <v>531</v>
      </c>
      <c r="N852" s="1123">
        <v>23.720000171661376</v>
      </c>
      <c r="O852" s="1123">
        <v>25.160000085830688</v>
      </c>
      <c r="P852" s="1123">
        <v>38.660000085830688</v>
      </c>
      <c r="Q852" s="1123">
        <v>47.3</v>
      </c>
      <c r="R852" s="1123">
        <v>58.640000343322754</v>
      </c>
      <c r="S852" s="1123">
        <v>66.2</v>
      </c>
      <c r="T852" s="1123">
        <v>71.419999313354495</v>
      </c>
      <c r="U852" s="1123">
        <v>66.739998626708982</v>
      </c>
      <c r="V852" s="1123">
        <v>58.459999656677248</v>
      </c>
      <c r="W852" s="1123">
        <v>46.040000343322752</v>
      </c>
      <c r="X852" s="1123">
        <v>34.339999914169312</v>
      </c>
      <c r="Y852" s="1123">
        <v>29.839999914169312</v>
      </c>
      <c r="Z852" s="1123">
        <v>47.343397129529144</v>
      </c>
      <c r="AA852" s="1123">
        <f t="shared" si="976"/>
        <v>44.502408226620659</v>
      </c>
      <c r="AB852" s="1123">
        <f t="shared" si="977"/>
        <v>43.010197564439608</v>
      </c>
      <c r="AC852" s="1123">
        <f t="shared" si="978"/>
        <v>44.211494608324585</v>
      </c>
      <c r="AD852" s="1123">
        <f t="shared" si="979"/>
        <v>47.793162771239153</v>
      </c>
      <c r="AE852" s="1123">
        <f t="shared" si="980"/>
        <v>52.821585051342481</v>
      </c>
      <c r="AF852" s="1123">
        <f t="shared" si="981"/>
        <v>57.986025690992705</v>
      </c>
      <c r="AG852" s="1123">
        <f t="shared" si="982"/>
        <v>61.940293651025669</v>
      </c>
      <c r="AH852" s="1123">
        <f t="shared" si="983"/>
        <v>63.653648050544959</v>
      </c>
      <c r="AI852" s="1123">
        <f t="shared" si="984"/>
        <v>62.67947666172536</v>
      </c>
      <c r="AJ852" s="1123">
        <f t="shared" si="985"/>
        <v>59.271712269498217</v>
      </c>
      <c r="AK852" s="1123">
        <f t="shared" si="986"/>
        <v>54.318641177936435</v>
      </c>
      <c r="AL852" s="1123">
        <f t="shared" si="987"/>
        <v>49.11135769619159</v>
      </c>
      <c r="AM852" s="1120">
        <f t="shared" si="988"/>
        <v>1</v>
      </c>
      <c r="AN852" s="1120">
        <f t="shared" si="989"/>
        <v>1</v>
      </c>
      <c r="AO852" s="1120">
        <f t="shared" si="990"/>
        <v>1</v>
      </c>
      <c r="AP852" s="1120">
        <f t="shared" si="991"/>
        <v>1</v>
      </c>
      <c r="AQ852" s="1120">
        <f t="shared" si="992"/>
        <v>1</v>
      </c>
      <c r="AR852" s="1120">
        <f t="shared" si="993"/>
        <v>0</v>
      </c>
      <c r="AS852" s="1120">
        <f t="shared" si="994"/>
        <v>0</v>
      </c>
      <c r="AT852" s="1120">
        <f t="shared" si="995"/>
        <v>0</v>
      </c>
      <c r="AU852" s="1120">
        <f t="shared" si="996"/>
        <v>1</v>
      </c>
      <c r="AV852" s="1120">
        <f t="shared" si="997"/>
        <v>1</v>
      </c>
      <c r="AW852" s="1120">
        <f t="shared" si="998"/>
        <v>1</v>
      </c>
      <c r="AX852" s="1120">
        <f t="shared" si="999"/>
        <v>1</v>
      </c>
      <c r="AY852" s="1120">
        <f t="shared" si="1000"/>
        <v>0</v>
      </c>
      <c r="AZ852" s="1120">
        <f t="shared" si="1001"/>
        <v>0</v>
      </c>
      <c r="BA852" s="1120">
        <f t="shared" si="1002"/>
        <v>0</v>
      </c>
      <c r="BB852" s="1120">
        <f t="shared" si="1003"/>
        <v>0</v>
      </c>
      <c r="BC852" s="1120">
        <f t="shared" si="1004"/>
        <v>0</v>
      </c>
      <c r="BD852" s="1120">
        <f t="shared" si="1005"/>
        <v>1</v>
      </c>
      <c r="BE852" s="1120">
        <f t="shared" si="1006"/>
        <v>1</v>
      </c>
      <c r="BF852" s="1120">
        <f t="shared" si="1007"/>
        <v>1</v>
      </c>
      <c r="BG852" s="1120">
        <f t="shared" si="1008"/>
        <v>0</v>
      </c>
      <c r="BH852" s="1120">
        <f t="shared" si="1009"/>
        <v>0</v>
      </c>
      <c r="BI852" s="1120">
        <f t="shared" si="1010"/>
        <v>0</v>
      </c>
      <c r="BJ852" s="1120">
        <f t="shared" si="1011"/>
        <v>0</v>
      </c>
      <c r="BK852" s="1120">
        <f t="shared" si="1012"/>
        <v>1</v>
      </c>
      <c r="BL852" s="1120">
        <f t="shared" si="1013"/>
        <v>1</v>
      </c>
      <c r="BM852" s="1120">
        <f t="shared" si="1014"/>
        <v>1</v>
      </c>
      <c r="BN852" s="1120">
        <f t="shared" si="1015"/>
        <v>1</v>
      </c>
      <c r="BO852" s="1120">
        <f t="shared" si="1016"/>
        <v>1</v>
      </c>
      <c r="BP852" s="1120">
        <f t="shared" si="1017"/>
        <v>1</v>
      </c>
      <c r="BQ852" s="1120">
        <f t="shared" si="1018"/>
        <v>0</v>
      </c>
      <c r="BR852" s="1120">
        <f t="shared" si="1019"/>
        <v>0</v>
      </c>
      <c r="BS852" s="1120">
        <f t="shared" si="1020"/>
        <v>1</v>
      </c>
      <c r="BT852" s="1120">
        <f t="shared" si="1021"/>
        <v>1</v>
      </c>
      <c r="BU852" s="1120">
        <f t="shared" si="1022"/>
        <v>1</v>
      </c>
      <c r="BV852" s="1120">
        <f t="shared" si="1023"/>
        <v>1</v>
      </c>
      <c r="BW852" s="1120">
        <f t="shared" si="1024"/>
        <v>0</v>
      </c>
      <c r="BX852" s="1120">
        <f t="shared" si="1025"/>
        <v>0</v>
      </c>
      <c r="BY852" s="1120">
        <f t="shared" si="1026"/>
        <v>0</v>
      </c>
      <c r="BZ852" s="1120">
        <f t="shared" si="1027"/>
        <v>0</v>
      </c>
      <c r="CA852" s="1120">
        <f t="shared" si="1028"/>
        <v>1</v>
      </c>
      <c r="CB852" s="1120">
        <f t="shared" si="1029"/>
        <v>1</v>
      </c>
      <c r="CC852" s="1120">
        <f t="shared" si="1030"/>
        <v>1</v>
      </c>
      <c r="CD852" s="1120">
        <f t="shared" si="1031"/>
        <v>1</v>
      </c>
      <c r="CE852" s="1120">
        <f t="shared" si="1032"/>
        <v>1</v>
      </c>
      <c r="CF852" s="1120">
        <f t="shared" si="1033"/>
        <v>0</v>
      </c>
      <c r="CG852" s="1120">
        <f t="shared" si="1034"/>
        <v>0</v>
      </c>
      <c r="CH852" s="1120">
        <f t="shared" si="1035"/>
        <v>0</v>
      </c>
      <c r="CI852" s="1120">
        <f t="shared" si="1036"/>
        <v>0.85</v>
      </c>
      <c r="CJ852" s="1120">
        <f t="shared" si="1037"/>
        <v>0.85</v>
      </c>
      <c r="CK852" s="1120">
        <f t="shared" si="1038"/>
        <v>0.85</v>
      </c>
      <c r="CL852" s="1120">
        <f t="shared" si="1039"/>
        <v>0.85</v>
      </c>
      <c r="CM852" s="1120">
        <f t="shared" si="1040"/>
        <v>0.85</v>
      </c>
      <c r="CN852" s="1120">
        <f t="shared" si="1041"/>
        <v>0.85</v>
      </c>
      <c r="CO852" s="1120">
        <f t="shared" si="1042"/>
        <v>0.7</v>
      </c>
      <c r="CP852" s="1120">
        <f t="shared" si="1043"/>
        <v>0.7</v>
      </c>
      <c r="CQ852" s="1120">
        <f t="shared" si="1044"/>
        <v>0.85</v>
      </c>
      <c r="CR852" s="1120">
        <f t="shared" si="1045"/>
        <v>0.85</v>
      </c>
      <c r="CS852" s="1120">
        <f t="shared" si="1046"/>
        <v>0.85</v>
      </c>
      <c r="CT852" s="1120">
        <f t="shared" si="1047"/>
        <v>0.85</v>
      </c>
      <c r="CU852" s="1120">
        <v>1</v>
      </c>
      <c r="CV852" s="1120"/>
      <c r="CW852" s="1120">
        <f t="shared" si="1048"/>
        <v>153</v>
      </c>
      <c r="CX852" s="1120">
        <f t="shared" si="1049"/>
        <v>212</v>
      </c>
      <c r="CY852" s="1135" t="s">
        <v>4889</v>
      </c>
      <c r="CZ852" s="1124" t="s">
        <v>4897</v>
      </c>
      <c r="DA852" s="1124"/>
      <c r="DB852" s="1124"/>
      <c r="DC852" s="1120" t="s">
        <v>5429</v>
      </c>
      <c r="DD852" s="1120" t="s">
        <v>771</v>
      </c>
      <c r="DE852" s="1120" t="str">
        <f t="shared" ref="DE852:DE915" si="1050">IF(AND(C852=DC852,D852=DD852),"",FALSE)</f>
        <v/>
      </c>
      <c r="DF852" s="1133">
        <v>1</v>
      </c>
      <c r="DG852" s="1120">
        <v>0</v>
      </c>
    </row>
    <row r="853" spans="1:111">
      <c r="A853" s="1125" t="s">
        <v>1170</v>
      </c>
      <c r="B853" s="1125" t="s">
        <v>3924</v>
      </c>
      <c r="C853" s="1125" t="s">
        <v>3925</v>
      </c>
      <c r="D853" s="1125" t="s">
        <v>1108</v>
      </c>
      <c r="E853" s="1125">
        <v>1984</v>
      </c>
      <c r="F853" s="1125">
        <v>-104.2</v>
      </c>
      <c r="G853" s="1125">
        <v>47.7</v>
      </c>
      <c r="H853" s="1125">
        <v>-7</v>
      </c>
      <c r="I853" s="1126">
        <v>-13.360001373291016</v>
      </c>
      <c r="J853" s="1126">
        <v>90.320002746582034</v>
      </c>
      <c r="K853" s="1127">
        <v>66.739998626708982</v>
      </c>
      <c r="L853" s="1125">
        <v>9183.6</v>
      </c>
      <c r="M853" s="1125">
        <v>464.40000000000003</v>
      </c>
      <c r="N853" s="1128">
        <v>3.7400003433227531</v>
      </c>
      <c r="O853" s="1128">
        <v>24.259999656677245</v>
      </c>
      <c r="P853" s="1128">
        <v>19.579999828338622</v>
      </c>
      <c r="Q853" s="1128">
        <v>47.3</v>
      </c>
      <c r="R853" s="1128">
        <v>50.719999313354492</v>
      </c>
      <c r="S853" s="1128">
        <v>59.719999313354492</v>
      </c>
      <c r="T853" s="1128">
        <v>72.5</v>
      </c>
      <c r="U853" s="1128">
        <v>68.719999313354492</v>
      </c>
      <c r="V853" s="1128">
        <v>60.440000343322751</v>
      </c>
      <c r="W853" s="1128">
        <v>35.779999828338624</v>
      </c>
      <c r="X853" s="1128">
        <v>31.279999989271165</v>
      </c>
      <c r="Y853" s="1128">
        <v>11.840000343322753</v>
      </c>
      <c r="Z853" s="1128">
        <v>40.522629994072325</v>
      </c>
      <c r="AA853" s="1128">
        <f t="shared" si="976"/>
        <v>36.619721710158252</v>
      </c>
      <c r="AB853" s="1128">
        <f t="shared" si="977"/>
        <v>34.099532216531166</v>
      </c>
      <c r="AC853" s="1128">
        <f t="shared" si="978"/>
        <v>34.817614604351945</v>
      </c>
      <c r="AD853" s="1128">
        <f t="shared" si="979"/>
        <v>38.586789633250554</v>
      </c>
      <c r="AE853" s="1128">
        <f t="shared" si="980"/>
        <v>44.424563747199151</v>
      </c>
      <c r="AF853" s="1128">
        <f t="shared" si="981"/>
        <v>50.809231160574797</v>
      </c>
      <c r="AG853" s="1128">
        <f t="shared" si="982"/>
        <v>56.076529921378011</v>
      </c>
      <c r="AH853" s="1128">
        <f t="shared" si="983"/>
        <v>58.853457436074514</v>
      </c>
      <c r="AI853" s="1128">
        <f t="shared" si="984"/>
        <v>58.416164754210286</v>
      </c>
      <c r="AJ853" s="1128">
        <f t="shared" si="985"/>
        <v>54.878638952197463</v>
      </c>
      <c r="AK853" s="1128">
        <f t="shared" si="986"/>
        <v>49.162990645253451</v>
      </c>
      <c r="AL853" s="1128">
        <f t="shared" si="987"/>
        <v>42.759091645389766</v>
      </c>
      <c r="AM853" s="1125">
        <f t="shared" si="988"/>
        <v>1</v>
      </c>
      <c r="AN853" s="1125">
        <f t="shared" si="989"/>
        <v>1</v>
      </c>
      <c r="AO853" s="1125">
        <f t="shared" si="990"/>
        <v>1</v>
      </c>
      <c r="AP853" s="1125">
        <f t="shared" si="991"/>
        <v>1</v>
      </c>
      <c r="AQ853" s="1125">
        <f t="shared" si="992"/>
        <v>1</v>
      </c>
      <c r="AR853" s="1125">
        <f t="shared" si="993"/>
        <v>1</v>
      </c>
      <c r="AS853" s="1125">
        <f t="shared" si="994"/>
        <v>0</v>
      </c>
      <c r="AT853" s="1125">
        <f t="shared" si="995"/>
        <v>0</v>
      </c>
      <c r="AU853" s="1125">
        <f t="shared" si="996"/>
        <v>1</v>
      </c>
      <c r="AV853" s="1125">
        <f t="shared" si="997"/>
        <v>1</v>
      </c>
      <c r="AW853" s="1125">
        <f t="shared" si="998"/>
        <v>1</v>
      </c>
      <c r="AX853" s="1125">
        <f t="shared" si="999"/>
        <v>1</v>
      </c>
      <c r="AY853" s="1125">
        <f t="shared" si="1000"/>
        <v>0</v>
      </c>
      <c r="AZ853" s="1125">
        <f t="shared" si="1001"/>
        <v>0</v>
      </c>
      <c r="BA853" s="1125">
        <f t="shared" si="1002"/>
        <v>0</v>
      </c>
      <c r="BB853" s="1125">
        <f t="shared" si="1003"/>
        <v>0</v>
      </c>
      <c r="BC853" s="1125">
        <f t="shared" si="1004"/>
        <v>0</v>
      </c>
      <c r="BD853" s="1125">
        <f t="shared" si="1005"/>
        <v>0</v>
      </c>
      <c r="BE853" s="1125">
        <f t="shared" si="1006"/>
        <v>1</v>
      </c>
      <c r="BF853" s="1125">
        <f t="shared" si="1007"/>
        <v>1</v>
      </c>
      <c r="BG853" s="1125">
        <f t="shared" si="1008"/>
        <v>0</v>
      </c>
      <c r="BH853" s="1125">
        <f t="shared" si="1009"/>
        <v>0</v>
      </c>
      <c r="BI853" s="1125">
        <f t="shared" si="1010"/>
        <v>0</v>
      </c>
      <c r="BJ853" s="1125">
        <f t="shared" si="1011"/>
        <v>0</v>
      </c>
      <c r="BK853" s="1125">
        <f t="shared" si="1012"/>
        <v>1</v>
      </c>
      <c r="BL853" s="1125">
        <f t="shared" si="1013"/>
        <v>1</v>
      </c>
      <c r="BM853" s="1125">
        <f t="shared" si="1014"/>
        <v>1</v>
      </c>
      <c r="BN853" s="1125">
        <f t="shared" si="1015"/>
        <v>1</v>
      </c>
      <c r="BO853" s="1125">
        <f t="shared" si="1016"/>
        <v>1</v>
      </c>
      <c r="BP853" s="1125">
        <f t="shared" si="1017"/>
        <v>1</v>
      </c>
      <c r="BQ853" s="1125">
        <f t="shared" si="1018"/>
        <v>1</v>
      </c>
      <c r="BR853" s="1125">
        <f t="shared" si="1019"/>
        <v>0</v>
      </c>
      <c r="BS853" s="1125">
        <f t="shared" si="1020"/>
        <v>1</v>
      </c>
      <c r="BT853" s="1125">
        <f t="shared" si="1021"/>
        <v>1</v>
      </c>
      <c r="BU853" s="1125">
        <f t="shared" si="1022"/>
        <v>1</v>
      </c>
      <c r="BV853" s="1125">
        <f t="shared" si="1023"/>
        <v>1</v>
      </c>
      <c r="BW853" s="1125">
        <f t="shared" si="1024"/>
        <v>0</v>
      </c>
      <c r="BX853" s="1125">
        <f t="shared" si="1025"/>
        <v>0</v>
      </c>
      <c r="BY853" s="1125">
        <f t="shared" si="1026"/>
        <v>0</v>
      </c>
      <c r="BZ853" s="1125">
        <f t="shared" si="1027"/>
        <v>0</v>
      </c>
      <c r="CA853" s="1125">
        <f t="shared" si="1028"/>
        <v>0</v>
      </c>
      <c r="CB853" s="1125">
        <f t="shared" si="1029"/>
        <v>1</v>
      </c>
      <c r="CC853" s="1125">
        <f t="shared" si="1030"/>
        <v>1</v>
      </c>
      <c r="CD853" s="1125">
        <f t="shared" si="1031"/>
        <v>1</v>
      </c>
      <c r="CE853" s="1125">
        <f t="shared" si="1032"/>
        <v>1</v>
      </c>
      <c r="CF853" s="1125">
        <f t="shared" si="1033"/>
        <v>0</v>
      </c>
      <c r="CG853" s="1125">
        <f t="shared" si="1034"/>
        <v>0</v>
      </c>
      <c r="CH853" s="1125">
        <f t="shared" si="1035"/>
        <v>0</v>
      </c>
      <c r="CI853" s="1125">
        <f t="shared" si="1036"/>
        <v>0.85</v>
      </c>
      <c r="CJ853" s="1125">
        <f t="shared" si="1037"/>
        <v>0.85</v>
      </c>
      <c r="CK853" s="1125">
        <f t="shared" si="1038"/>
        <v>0.85</v>
      </c>
      <c r="CL853" s="1125">
        <f t="shared" si="1039"/>
        <v>0.85</v>
      </c>
      <c r="CM853" s="1125">
        <f t="shared" si="1040"/>
        <v>0.85</v>
      </c>
      <c r="CN853" s="1125">
        <f t="shared" si="1041"/>
        <v>0.85</v>
      </c>
      <c r="CO853" s="1125">
        <f t="shared" si="1042"/>
        <v>0.85</v>
      </c>
      <c r="CP853" s="1125">
        <f t="shared" si="1043"/>
        <v>0.7</v>
      </c>
      <c r="CQ853" s="1125">
        <f t="shared" si="1044"/>
        <v>0.85</v>
      </c>
      <c r="CR853" s="1125">
        <f t="shared" si="1045"/>
        <v>0.85</v>
      </c>
      <c r="CS853" s="1125">
        <f t="shared" si="1046"/>
        <v>0.85</v>
      </c>
      <c r="CT853" s="1125">
        <f t="shared" si="1047"/>
        <v>0.85</v>
      </c>
      <c r="CU853" s="1125">
        <v>1</v>
      </c>
      <c r="CV853" s="1125"/>
      <c r="CW853" s="1125">
        <f t="shared" si="1048"/>
        <v>122</v>
      </c>
      <c r="CX853" s="1125">
        <f t="shared" si="1049"/>
        <v>243</v>
      </c>
      <c r="CY853" s="1136" t="s">
        <v>4889</v>
      </c>
      <c r="CZ853" s="1129" t="s">
        <v>4896</v>
      </c>
      <c r="DA853" s="1129"/>
      <c r="DB853" s="1129"/>
      <c r="DC853" s="1125" t="s">
        <v>6039</v>
      </c>
      <c r="DD853" s="1125" t="s">
        <v>1108</v>
      </c>
      <c r="DE853" s="1120" t="str">
        <f t="shared" si="1050"/>
        <v/>
      </c>
      <c r="DF853" s="1133">
        <v>0</v>
      </c>
      <c r="DG853" s="1125">
        <v>0</v>
      </c>
    </row>
    <row r="854" spans="1:111">
      <c r="A854" s="1120" t="s">
        <v>4396</v>
      </c>
      <c r="B854" s="1125" t="s">
        <v>4086</v>
      </c>
      <c r="C854" s="1125" t="s">
        <v>4087</v>
      </c>
      <c r="D854" s="1125" t="s">
        <v>538</v>
      </c>
      <c r="E854" s="1125">
        <v>6816</v>
      </c>
      <c r="F854" s="1125">
        <v>-105.53</v>
      </c>
      <c r="G854" s="1125">
        <v>33.47</v>
      </c>
      <c r="H854" s="1125">
        <v>-7</v>
      </c>
      <c r="I854" s="1126">
        <v>19.220000171661376</v>
      </c>
      <c r="J854" s="1126">
        <v>85.639998626708987</v>
      </c>
      <c r="K854" s="1127">
        <v>56.119999313354491</v>
      </c>
      <c r="L854" s="1125">
        <v>4068</v>
      </c>
      <c r="M854" s="1125">
        <v>682.2</v>
      </c>
      <c r="N854" s="1128">
        <v>41.9</v>
      </c>
      <c r="O854" s="1128">
        <v>42.8</v>
      </c>
      <c r="P854" s="1128">
        <v>49.640000343322754</v>
      </c>
      <c r="Q854" s="1128">
        <v>56.3</v>
      </c>
      <c r="R854" s="1128">
        <v>64.580000686645505</v>
      </c>
      <c r="S854" s="1128">
        <v>68.900000000000006</v>
      </c>
      <c r="T854" s="1128">
        <v>69.8</v>
      </c>
      <c r="U854" s="1128">
        <v>70.519999313354489</v>
      </c>
      <c r="V854" s="1128">
        <v>64.939998626708984</v>
      </c>
      <c r="W854" s="1128">
        <v>52.519999313354489</v>
      </c>
      <c r="X854" s="1128">
        <v>41</v>
      </c>
      <c r="Y854" s="1128">
        <v>37.76000008583069</v>
      </c>
      <c r="Z854" s="1128">
        <v>55.125808084435661</v>
      </c>
      <c r="AA854" s="1128">
        <f t="shared" si="976"/>
        <v>53.448304028372348</v>
      </c>
      <c r="AB854" s="1128">
        <f t="shared" si="977"/>
        <v>52.797890664539516</v>
      </c>
      <c r="AC854" s="1128">
        <f t="shared" si="978"/>
        <v>54.318277313294786</v>
      </c>
      <c r="AD854" s="1128">
        <f t="shared" si="979"/>
        <v>57.613151764772631</v>
      </c>
      <c r="AE854" s="1128">
        <f t="shared" si="980"/>
        <v>61.823654217643075</v>
      </c>
      <c r="AF854" s="1128">
        <f t="shared" si="981"/>
        <v>65.85225232175857</v>
      </c>
      <c r="AG854" s="1128">
        <f t="shared" si="982"/>
        <v>68.648829898705401</v>
      </c>
      <c r="AH854" s="1128">
        <f t="shared" si="983"/>
        <v>69.484415906487399</v>
      </c>
      <c r="AI854" s="1128">
        <f t="shared" si="984"/>
        <v>68.141201975406034</v>
      </c>
      <c r="AJ854" s="1128">
        <f t="shared" si="985"/>
        <v>64.96931751615088</v>
      </c>
      <c r="AK854" s="1128">
        <f t="shared" si="986"/>
        <v>60.795563093245946</v>
      </c>
      <c r="AL854" s="1128">
        <f t="shared" si="987"/>
        <v>56.707892116523965</v>
      </c>
      <c r="AM854" s="1125">
        <f t="shared" si="988"/>
        <v>1</v>
      </c>
      <c r="AN854" s="1125">
        <f t="shared" si="989"/>
        <v>1</v>
      </c>
      <c r="AO854" s="1125">
        <f t="shared" si="990"/>
        <v>1</v>
      </c>
      <c r="AP854" s="1125">
        <f t="shared" si="991"/>
        <v>1</v>
      </c>
      <c r="AQ854" s="1125">
        <f t="shared" si="992"/>
        <v>1</v>
      </c>
      <c r="AR854" s="1125">
        <f t="shared" si="993"/>
        <v>0</v>
      </c>
      <c r="AS854" s="1125">
        <f t="shared" si="994"/>
        <v>0</v>
      </c>
      <c r="AT854" s="1125">
        <f t="shared" si="995"/>
        <v>0</v>
      </c>
      <c r="AU854" s="1125">
        <f t="shared" si="996"/>
        <v>1</v>
      </c>
      <c r="AV854" s="1125">
        <f t="shared" si="997"/>
        <v>1</v>
      </c>
      <c r="AW854" s="1125">
        <f t="shared" si="998"/>
        <v>1</v>
      </c>
      <c r="AX854" s="1125">
        <f t="shared" si="999"/>
        <v>1</v>
      </c>
      <c r="AY854" s="1125">
        <f t="shared" si="1000"/>
        <v>0</v>
      </c>
      <c r="AZ854" s="1125">
        <f t="shared" si="1001"/>
        <v>0</v>
      </c>
      <c r="BA854" s="1125">
        <f t="shared" si="1002"/>
        <v>0</v>
      </c>
      <c r="BB854" s="1125">
        <f t="shared" si="1003"/>
        <v>0</v>
      </c>
      <c r="BC854" s="1125">
        <f t="shared" si="1004"/>
        <v>0</v>
      </c>
      <c r="BD854" s="1125">
        <f t="shared" si="1005"/>
        <v>1</v>
      </c>
      <c r="BE854" s="1125">
        <f t="shared" si="1006"/>
        <v>1</v>
      </c>
      <c r="BF854" s="1125">
        <f t="shared" si="1007"/>
        <v>1</v>
      </c>
      <c r="BG854" s="1125">
        <f t="shared" si="1008"/>
        <v>0</v>
      </c>
      <c r="BH854" s="1125">
        <f t="shared" si="1009"/>
        <v>0</v>
      </c>
      <c r="BI854" s="1125">
        <f t="shared" si="1010"/>
        <v>0</v>
      </c>
      <c r="BJ854" s="1125">
        <f t="shared" si="1011"/>
        <v>0</v>
      </c>
      <c r="BK854" s="1125">
        <f t="shared" si="1012"/>
        <v>1</v>
      </c>
      <c r="BL854" s="1125">
        <f t="shared" si="1013"/>
        <v>1</v>
      </c>
      <c r="BM854" s="1125">
        <f t="shared" si="1014"/>
        <v>1</v>
      </c>
      <c r="BN854" s="1125">
        <f t="shared" si="1015"/>
        <v>1</v>
      </c>
      <c r="BO854" s="1125">
        <f t="shared" si="1016"/>
        <v>1</v>
      </c>
      <c r="BP854" s="1125">
        <f t="shared" si="1017"/>
        <v>1</v>
      </c>
      <c r="BQ854" s="1125">
        <f t="shared" si="1018"/>
        <v>0</v>
      </c>
      <c r="BR854" s="1125">
        <f t="shared" si="1019"/>
        <v>0</v>
      </c>
      <c r="BS854" s="1125">
        <f t="shared" si="1020"/>
        <v>1</v>
      </c>
      <c r="BT854" s="1125">
        <f t="shared" si="1021"/>
        <v>1</v>
      </c>
      <c r="BU854" s="1125">
        <f t="shared" si="1022"/>
        <v>1</v>
      </c>
      <c r="BV854" s="1125">
        <f t="shared" si="1023"/>
        <v>1</v>
      </c>
      <c r="BW854" s="1125">
        <f t="shared" si="1024"/>
        <v>0</v>
      </c>
      <c r="BX854" s="1125">
        <f t="shared" si="1025"/>
        <v>0</v>
      </c>
      <c r="BY854" s="1125">
        <f t="shared" si="1026"/>
        <v>0</v>
      </c>
      <c r="BZ854" s="1125">
        <f t="shared" si="1027"/>
        <v>0</v>
      </c>
      <c r="CA854" s="1125">
        <f t="shared" si="1028"/>
        <v>1</v>
      </c>
      <c r="CB854" s="1125">
        <f t="shared" si="1029"/>
        <v>1</v>
      </c>
      <c r="CC854" s="1125">
        <f t="shared" si="1030"/>
        <v>1</v>
      </c>
      <c r="CD854" s="1125">
        <f t="shared" si="1031"/>
        <v>1</v>
      </c>
      <c r="CE854" s="1125">
        <f t="shared" si="1032"/>
        <v>1</v>
      </c>
      <c r="CF854" s="1125">
        <f t="shared" si="1033"/>
        <v>0</v>
      </c>
      <c r="CG854" s="1125">
        <f t="shared" si="1034"/>
        <v>0</v>
      </c>
      <c r="CH854" s="1125">
        <f t="shared" si="1035"/>
        <v>0</v>
      </c>
      <c r="CI854" s="1125">
        <f t="shared" si="1036"/>
        <v>0.85</v>
      </c>
      <c r="CJ854" s="1125">
        <f t="shared" si="1037"/>
        <v>0.85</v>
      </c>
      <c r="CK854" s="1125">
        <f t="shared" si="1038"/>
        <v>0.85</v>
      </c>
      <c r="CL854" s="1125">
        <f t="shared" si="1039"/>
        <v>0.85</v>
      </c>
      <c r="CM854" s="1125">
        <f t="shared" si="1040"/>
        <v>0.85</v>
      </c>
      <c r="CN854" s="1125">
        <f t="shared" si="1041"/>
        <v>0.85</v>
      </c>
      <c r="CO854" s="1125">
        <f t="shared" si="1042"/>
        <v>0.7</v>
      </c>
      <c r="CP854" s="1125">
        <f t="shared" si="1043"/>
        <v>0.7</v>
      </c>
      <c r="CQ854" s="1125">
        <f t="shared" si="1044"/>
        <v>0.85</v>
      </c>
      <c r="CR854" s="1125">
        <f t="shared" si="1045"/>
        <v>0.85</v>
      </c>
      <c r="CS854" s="1125">
        <f t="shared" si="1046"/>
        <v>0.85</v>
      </c>
      <c r="CT854" s="1125">
        <f t="shared" si="1047"/>
        <v>0.85</v>
      </c>
      <c r="CU854" s="1125">
        <v>1</v>
      </c>
      <c r="CV854" s="1125"/>
      <c r="CW854" s="1125">
        <f t="shared" si="1048"/>
        <v>153</v>
      </c>
      <c r="CX854" s="1125">
        <f t="shared" si="1049"/>
        <v>212</v>
      </c>
      <c r="CY854" s="1136" t="s">
        <v>4891</v>
      </c>
      <c r="CZ854" s="1129" t="s">
        <v>4892</v>
      </c>
      <c r="DA854" s="1129"/>
      <c r="DB854" s="1129"/>
      <c r="DC854" s="1125" t="s">
        <v>5457</v>
      </c>
      <c r="DD854" s="1125" t="s">
        <v>538</v>
      </c>
      <c r="DE854" s="1120" t="str">
        <f t="shared" si="1050"/>
        <v/>
      </c>
      <c r="DF854" s="1133">
        <v>0</v>
      </c>
      <c r="DG854" s="1120">
        <v>0</v>
      </c>
    </row>
    <row r="855" spans="1:111">
      <c r="A855" s="1125" t="s">
        <v>4398</v>
      </c>
      <c r="B855" s="1125" t="s">
        <v>3042</v>
      </c>
      <c r="C855" s="1125" t="s">
        <v>3043</v>
      </c>
      <c r="D855" s="1125" t="s">
        <v>1176</v>
      </c>
      <c r="E855" s="1125">
        <v>1194</v>
      </c>
      <c r="F855" s="1125">
        <v>-94.48</v>
      </c>
      <c r="G855" s="1125">
        <v>36.18</v>
      </c>
      <c r="H855" s="1125">
        <v>-6</v>
      </c>
      <c r="I855" s="1126">
        <v>16.159999656677247</v>
      </c>
      <c r="J855" s="1126">
        <v>92.660001373291024</v>
      </c>
      <c r="K855" s="1127">
        <v>74.119999313354498</v>
      </c>
      <c r="L855" s="1125">
        <v>3738.6</v>
      </c>
      <c r="M855" s="1125">
        <v>1702.8</v>
      </c>
      <c r="N855" s="1128">
        <v>37.220000171661376</v>
      </c>
      <c r="O855" s="1128">
        <v>46.759999656677245</v>
      </c>
      <c r="P855" s="1128">
        <v>45.5</v>
      </c>
      <c r="Q855" s="1128">
        <v>57.019999313354489</v>
      </c>
      <c r="R855" s="1128">
        <v>67.819999313354487</v>
      </c>
      <c r="S855" s="1128">
        <v>75.2</v>
      </c>
      <c r="T855" s="1128">
        <v>79.519999313354489</v>
      </c>
      <c r="U855" s="1128">
        <v>78.980000686645511</v>
      </c>
      <c r="V855" s="1128">
        <v>71.599999999999994</v>
      </c>
      <c r="W855" s="1128">
        <v>55.219999313354492</v>
      </c>
      <c r="X855" s="1128">
        <v>50.9</v>
      </c>
      <c r="Y855" s="1128">
        <v>39.559999656677249</v>
      </c>
      <c r="Z855" s="1128">
        <v>58.819999786011159</v>
      </c>
      <c r="AA855" s="1128">
        <f t="shared" si="976"/>
        <v>53.917721629970437</v>
      </c>
      <c r="AB855" s="1128">
        <f t="shared" si="977"/>
        <v>53.390734721712001</v>
      </c>
      <c r="AC855" s="1128">
        <f t="shared" si="978"/>
        <v>55.842961882769202</v>
      </c>
      <c r="AD855" s="1128">
        <f t="shared" si="979"/>
        <v>60.635192313648034</v>
      </c>
      <c r="AE855" s="1128">
        <f t="shared" si="980"/>
        <v>66.518257302033547</v>
      </c>
      <c r="AF855" s="1128">
        <f t="shared" si="981"/>
        <v>71.958645297927319</v>
      </c>
      <c r="AG855" s="1128">
        <f t="shared" si="982"/>
        <v>75.538235331282834</v>
      </c>
      <c r="AH855" s="1128">
        <f t="shared" si="983"/>
        <v>76.323952096753786</v>
      </c>
      <c r="AI855" s="1128">
        <f t="shared" si="984"/>
        <v>74.110986411158308</v>
      </c>
      <c r="AJ855" s="1128">
        <f t="shared" si="985"/>
        <v>69.476181883280347</v>
      </c>
      <c r="AK855" s="1128">
        <f t="shared" si="986"/>
        <v>63.62767173781107</v>
      </c>
      <c r="AL855" s="1128">
        <f t="shared" si="987"/>
        <v>58.089960272436571</v>
      </c>
      <c r="AM855" s="1125">
        <f t="shared" si="988"/>
        <v>1</v>
      </c>
      <c r="AN855" s="1125">
        <f t="shared" si="989"/>
        <v>1</v>
      </c>
      <c r="AO855" s="1125">
        <f t="shared" si="990"/>
        <v>1</v>
      </c>
      <c r="AP855" s="1125">
        <f t="shared" si="991"/>
        <v>1</v>
      </c>
      <c r="AQ855" s="1125">
        <f t="shared" si="992"/>
        <v>0</v>
      </c>
      <c r="AR855" s="1125">
        <f t="shared" si="993"/>
        <v>0</v>
      </c>
      <c r="AS855" s="1125">
        <f t="shared" si="994"/>
        <v>0</v>
      </c>
      <c r="AT855" s="1125">
        <f t="shared" si="995"/>
        <v>0</v>
      </c>
      <c r="AU855" s="1125">
        <f t="shared" si="996"/>
        <v>0</v>
      </c>
      <c r="AV855" s="1125">
        <f t="shared" si="997"/>
        <v>1</v>
      </c>
      <c r="AW855" s="1125">
        <f t="shared" si="998"/>
        <v>1</v>
      </c>
      <c r="AX855" s="1125">
        <f t="shared" si="999"/>
        <v>1</v>
      </c>
      <c r="AY855" s="1125">
        <f t="shared" si="1000"/>
        <v>0</v>
      </c>
      <c r="AZ855" s="1125">
        <f t="shared" si="1001"/>
        <v>0</v>
      </c>
      <c r="BA855" s="1125">
        <f t="shared" si="1002"/>
        <v>0</v>
      </c>
      <c r="BB855" s="1125">
        <f t="shared" si="1003"/>
        <v>0</v>
      </c>
      <c r="BC855" s="1125">
        <f t="shared" si="1004"/>
        <v>1</v>
      </c>
      <c r="BD855" s="1125">
        <f t="shared" si="1005"/>
        <v>1</v>
      </c>
      <c r="BE855" s="1125">
        <f t="shared" si="1006"/>
        <v>1</v>
      </c>
      <c r="BF855" s="1125">
        <f t="shared" si="1007"/>
        <v>1</v>
      </c>
      <c r="BG855" s="1125">
        <f t="shared" si="1008"/>
        <v>1</v>
      </c>
      <c r="BH855" s="1125">
        <f t="shared" si="1009"/>
        <v>0</v>
      </c>
      <c r="BI855" s="1125">
        <f t="shared" si="1010"/>
        <v>0</v>
      </c>
      <c r="BJ855" s="1125">
        <f t="shared" si="1011"/>
        <v>0</v>
      </c>
      <c r="BK855" s="1125">
        <f t="shared" si="1012"/>
        <v>1</v>
      </c>
      <c r="BL855" s="1125">
        <f t="shared" si="1013"/>
        <v>1</v>
      </c>
      <c r="BM855" s="1125">
        <f t="shared" si="1014"/>
        <v>1</v>
      </c>
      <c r="BN855" s="1125">
        <f t="shared" si="1015"/>
        <v>1</v>
      </c>
      <c r="BO855" s="1125">
        <f t="shared" si="1016"/>
        <v>1</v>
      </c>
      <c r="BP855" s="1125">
        <f t="shared" si="1017"/>
        <v>0</v>
      </c>
      <c r="BQ855" s="1125">
        <f t="shared" si="1018"/>
        <v>0</v>
      </c>
      <c r="BR855" s="1125">
        <f t="shared" si="1019"/>
        <v>0</v>
      </c>
      <c r="BS855" s="1125">
        <f t="shared" si="1020"/>
        <v>0</v>
      </c>
      <c r="BT855" s="1125">
        <f t="shared" si="1021"/>
        <v>1</v>
      </c>
      <c r="BU855" s="1125">
        <f t="shared" si="1022"/>
        <v>1</v>
      </c>
      <c r="BV855" s="1125">
        <f t="shared" si="1023"/>
        <v>1</v>
      </c>
      <c r="BW855" s="1125">
        <f t="shared" si="1024"/>
        <v>0</v>
      </c>
      <c r="BX855" s="1125">
        <f t="shared" si="1025"/>
        <v>0</v>
      </c>
      <c r="BY855" s="1125">
        <f t="shared" si="1026"/>
        <v>0</v>
      </c>
      <c r="BZ855" s="1125">
        <f t="shared" si="1027"/>
        <v>1</v>
      </c>
      <c r="CA855" s="1125">
        <f t="shared" si="1028"/>
        <v>1</v>
      </c>
      <c r="CB855" s="1125">
        <f t="shared" si="1029"/>
        <v>1</v>
      </c>
      <c r="CC855" s="1125">
        <f t="shared" si="1030"/>
        <v>1</v>
      </c>
      <c r="CD855" s="1125">
        <f t="shared" si="1031"/>
        <v>1</v>
      </c>
      <c r="CE855" s="1125">
        <f t="shared" si="1032"/>
        <v>1</v>
      </c>
      <c r="CF855" s="1125">
        <f t="shared" si="1033"/>
        <v>1</v>
      </c>
      <c r="CG855" s="1125">
        <f t="shared" si="1034"/>
        <v>0</v>
      </c>
      <c r="CH855" s="1125">
        <f t="shared" si="1035"/>
        <v>0</v>
      </c>
      <c r="CI855" s="1125">
        <f t="shared" si="1036"/>
        <v>0.85</v>
      </c>
      <c r="CJ855" s="1125">
        <f t="shared" si="1037"/>
        <v>0.85</v>
      </c>
      <c r="CK855" s="1125">
        <f t="shared" si="1038"/>
        <v>0.85</v>
      </c>
      <c r="CL855" s="1125">
        <f t="shared" si="1039"/>
        <v>0.85</v>
      </c>
      <c r="CM855" s="1125">
        <f t="shared" si="1040"/>
        <v>0.85</v>
      </c>
      <c r="CN855" s="1125">
        <f t="shared" si="1041"/>
        <v>0.7</v>
      </c>
      <c r="CO855" s="1125">
        <f t="shared" si="1042"/>
        <v>0.7</v>
      </c>
      <c r="CP855" s="1125">
        <f t="shared" si="1043"/>
        <v>0.7</v>
      </c>
      <c r="CQ855" s="1125">
        <f t="shared" si="1044"/>
        <v>0.7</v>
      </c>
      <c r="CR855" s="1125">
        <f t="shared" si="1045"/>
        <v>0.85</v>
      </c>
      <c r="CS855" s="1125">
        <f t="shared" si="1046"/>
        <v>0.85</v>
      </c>
      <c r="CT855" s="1125">
        <f t="shared" si="1047"/>
        <v>0.85</v>
      </c>
      <c r="CU855" s="1125">
        <v>1</v>
      </c>
      <c r="CV855" s="1125"/>
      <c r="CW855" s="1125">
        <f t="shared" si="1048"/>
        <v>214</v>
      </c>
      <c r="CX855" s="1125">
        <f t="shared" si="1049"/>
        <v>151</v>
      </c>
      <c r="CY855" s="1136" t="s">
        <v>4881</v>
      </c>
      <c r="CZ855" s="1129" t="s">
        <v>4885</v>
      </c>
      <c r="DA855" s="1129"/>
      <c r="DB855" s="1129"/>
      <c r="DC855" s="1125" t="s">
        <v>5714</v>
      </c>
      <c r="DD855" s="1125" t="s">
        <v>1176</v>
      </c>
      <c r="DE855" s="1125" t="b">
        <f t="shared" si="1050"/>
        <v>0</v>
      </c>
      <c r="DF855" s="1125">
        <v>0</v>
      </c>
      <c r="DG855" s="1125">
        <v>0</v>
      </c>
    </row>
    <row r="856" spans="1:111">
      <c r="A856" s="1120" t="s">
        <v>4400</v>
      </c>
      <c r="B856" s="1125" t="s">
        <v>3825</v>
      </c>
      <c r="C856" s="1125" t="s">
        <v>3826</v>
      </c>
      <c r="D856" s="1125" t="s">
        <v>934</v>
      </c>
      <c r="E856" s="1125">
        <v>1086</v>
      </c>
      <c r="F856" s="1125">
        <v>-91.4</v>
      </c>
      <c r="G856" s="1125">
        <v>47.2</v>
      </c>
      <c r="H856" s="1125">
        <v>-6</v>
      </c>
      <c r="I856" s="1126">
        <v>-14.260001373291017</v>
      </c>
      <c r="J856" s="1126">
        <v>81.319999313354487</v>
      </c>
      <c r="K856" s="1127">
        <v>66.019999313354489</v>
      </c>
      <c r="L856" s="1125">
        <v>9930.6</v>
      </c>
      <c r="M856" s="1125">
        <v>63</v>
      </c>
      <c r="N856" s="1128">
        <v>10.759999656677246</v>
      </c>
      <c r="O856" s="1128">
        <v>9.6800006866455064</v>
      </c>
      <c r="P856" s="1128">
        <v>32.360000005364419</v>
      </c>
      <c r="Q856" s="1128">
        <v>41.9</v>
      </c>
      <c r="R856" s="1128">
        <v>41.179999828338623</v>
      </c>
      <c r="S856" s="1128">
        <v>58.459999656677248</v>
      </c>
      <c r="T856" s="1128">
        <v>61.339998626708983</v>
      </c>
      <c r="U856" s="1128">
        <v>59</v>
      </c>
      <c r="V856" s="1128">
        <v>55.4</v>
      </c>
      <c r="W856" s="1128">
        <v>35.6</v>
      </c>
      <c r="X856" s="1128">
        <v>26.060000085830687</v>
      </c>
      <c r="Y856" s="1128">
        <v>14.719999313354492</v>
      </c>
      <c r="Z856" s="1128">
        <v>37.340821731082379</v>
      </c>
      <c r="AA856" s="1128">
        <f t="shared" si="976"/>
        <v>36.848807820624444</v>
      </c>
      <c r="AB856" s="1128">
        <f t="shared" si="977"/>
        <v>34.901653589072396</v>
      </c>
      <c r="AC856" s="1128">
        <f t="shared" si="978"/>
        <v>35.154298585252945</v>
      </c>
      <c r="AD856" s="1128">
        <f t="shared" si="979"/>
        <v>37.540886997534386</v>
      </c>
      <c r="AE856" s="1128">
        <f t="shared" si="980"/>
        <v>41.439317777814864</v>
      </c>
      <c r="AF856" s="1128">
        <f t="shared" si="981"/>
        <v>45.833404866577425</v>
      </c>
      <c r="AG856" s="1128">
        <f t="shared" si="982"/>
        <v>49.57776174920437</v>
      </c>
      <c r="AH856" s="1128">
        <f t="shared" si="983"/>
        <v>51.696364101952796</v>
      </c>
      <c r="AI856" s="1128">
        <f t="shared" si="984"/>
        <v>51.63696557292829</v>
      </c>
      <c r="AJ856" s="1128">
        <f t="shared" si="985"/>
        <v>49.415049304080135</v>
      </c>
      <c r="AK856" s="1128">
        <f t="shared" si="986"/>
        <v>45.609792011649766</v>
      </c>
      <c r="AL856" s="1128">
        <f t="shared" si="987"/>
        <v>41.213092649699071</v>
      </c>
      <c r="AM856" s="1125">
        <f t="shared" si="988"/>
        <v>1</v>
      </c>
      <c r="AN856" s="1125">
        <f t="shared" si="989"/>
        <v>1</v>
      </c>
      <c r="AO856" s="1125">
        <f t="shared" si="990"/>
        <v>1</v>
      </c>
      <c r="AP856" s="1125">
        <f t="shared" si="991"/>
        <v>1</v>
      </c>
      <c r="AQ856" s="1125">
        <f t="shared" si="992"/>
        <v>1</v>
      </c>
      <c r="AR856" s="1125">
        <f t="shared" si="993"/>
        <v>1</v>
      </c>
      <c r="AS856" s="1125">
        <f t="shared" si="994"/>
        <v>1</v>
      </c>
      <c r="AT856" s="1125">
        <f t="shared" si="995"/>
        <v>1</v>
      </c>
      <c r="AU856" s="1125">
        <f t="shared" si="996"/>
        <v>1</v>
      </c>
      <c r="AV856" s="1125">
        <f t="shared" si="997"/>
        <v>1</v>
      </c>
      <c r="AW856" s="1125">
        <f t="shared" si="998"/>
        <v>1</v>
      </c>
      <c r="AX856" s="1125">
        <f t="shared" si="999"/>
        <v>1</v>
      </c>
      <c r="AY856" s="1125">
        <f t="shared" si="1000"/>
        <v>0</v>
      </c>
      <c r="AZ856" s="1125">
        <f t="shared" si="1001"/>
        <v>0</v>
      </c>
      <c r="BA856" s="1125">
        <f t="shared" si="1002"/>
        <v>0</v>
      </c>
      <c r="BB856" s="1125">
        <f t="shared" si="1003"/>
        <v>0</v>
      </c>
      <c r="BC856" s="1125">
        <f t="shared" si="1004"/>
        <v>0</v>
      </c>
      <c r="BD856" s="1125">
        <f t="shared" si="1005"/>
        <v>0</v>
      </c>
      <c r="BE856" s="1125">
        <f t="shared" si="1006"/>
        <v>1</v>
      </c>
      <c r="BF856" s="1125">
        <f t="shared" si="1007"/>
        <v>1</v>
      </c>
      <c r="BG856" s="1125">
        <f t="shared" si="1008"/>
        <v>0</v>
      </c>
      <c r="BH856" s="1125">
        <f t="shared" si="1009"/>
        <v>0</v>
      </c>
      <c r="BI856" s="1125">
        <f t="shared" si="1010"/>
        <v>0</v>
      </c>
      <c r="BJ856" s="1125">
        <f t="shared" si="1011"/>
        <v>0</v>
      </c>
      <c r="BK856" s="1125">
        <f t="shared" si="1012"/>
        <v>1</v>
      </c>
      <c r="BL856" s="1125">
        <f t="shared" si="1013"/>
        <v>1</v>
      </c>
      <c r="BM856" s="1125">
        <f t="shared" si="1014"/>
        <v>1</v>
      </c>
      <c r="BN856" s="1125">
        <f t="shared" si="1015"/>
        <v>1</v>
      </c>
      <c r="BO856" s="1125">
        <f t="shared" si="1016"/>
        <v>1</v>
      </c>
      <c r="BP856" s="1125">
        <f t="shared" si="1017"/>
        <v>1</v>
      </c>
      <c r="BQ856" s="1125">
        <f t="shared" si="1018"/>
        <v>1</v>
      </c>
      <c r="BR856" s="1125">
        <f t="shared" si="1019"/>
        <v>1</v>
      </c>
      <c r="BS856" s="1125">
        <f t="shared" si="1020"/>
        <v>1</v>
      </c>
      <c r="BT856" s="1125">
        <f t="shared" si="1021"/>
        <v>1</v>
      </c>
      <c r="BU856" s="1125">
        <f t="shared" si="1022"/>
        <v>1</v>
      </c>
      <c r="BV856" s="1125">
        <f t="shared" si="1023"/>
        <v>1</v>
      </c>
      <c r="BW856" s="1125">
        <f t="shared" si="1024"/>
        <v>0</v>
      </c>
      <c r="BX856" s="1125">
        <f t="shared" si="1025"/>
        <v>0</v>
      </c>
      <c r="BY856" s="1125">
        <f t="shared" si="1026"/>
        <v>0</v>
      </c>
      <c r="BZ856" s="1125">
        <f t="shared" si="1027"/>
        <v>0</v>
      </c>
      <c r="CA856" s="1125">
        <f t="shared" si="1028"/>
        <v>0</v>
      </c>
      <c r="CB856" s="1125">
        <f t="shared" si="1029"/>
        <v>0</v>
      </c>
      <c r="CC856" s="1125">
        <f t="shared" si="1030"/>
        <v>1</v>
      </c>
      <c r="CD856" s="1125">
        <f t="shared" si="1031"/>
        <v>1</v>
      </c>
      <c r="CE856" s="1125">
        <f t="shared" si="1032"/>
        <v>0</v>
      </c>
      <c r="CF856" s="1125">
        <f t="shared" si="1033"/>
        <v>0</v>
      </c>
      <c r="CG856" s="1125">
        <f t="shared" si="1034"/>
        <v>0</v>
      </c>
      <c r="CH856" s="1125">
        <f t="shared" si="1035"/>
        <v>0</v>
      </c>
      <c r="CI856" s="1125">
        <f t="shared" si="1036"/>
        <v>0.85</v>
      </c>
      <c r="CJ856" s="1125">
        <f t="shared" si="1037"/>
        <v>0.85</v>
      </c>
      <c r="CK856" s="1125">
        <f t="shared" si="1038"/>
        <v>0.85</v>
      </c>
      <c r="CL856" s="1125">
        <f t="shared" si="1039"/>
        <v>0.85</v>
      </c>
      <c r="CM856" s="1125">
        <f t="shared" si="1040"/>
        <v>0.85</v>
      </c>
      <c r="CN856" s="1125">
        <f t="shared" si="1041"/>
        <v>0.85</v>
      </c>
      <c r="CO856" s="1125">
        <f t="shared" si="1042"/>
        <v>0.85</v>
      </c>
      <c r="CP856" s="1125">
        <f t="shared" si="1043"/>
        <v>0.85</v>
      </c>
      <c r="CQ856" s="1125">
        <f t="shared" si="1044"/>
        <v>0.85</v>
      </c>
      <c r="CR856" s="1125">
        <f t="shared" si="1045"/>
        <v>0.85</v>
      </c>
      <c r="CS856" s="1125">
        <f t="shared" si="1046"/>
        <v>0.85</v>
      </c>
      <c r="CT856" s="1125">
        <f t="shared" si="1047"/>
        <v>0.85</v>
      </c>
      <c r="CU856" s="1125">
        <v>1</v>
      </c>
      <c r="CV856" s="1125"/>
      <c r="CW856" s="1125">
        <f t="shared" si="1048"/>
        <v>62</v>
      </c>
      <c r="CX856" s="1125">
        <f t="shared" si="1049"/>
        <v>303</v>
      </c>
      <c r="CY856" s="1136" t="s">
        <v>4879</v>
      </c>
      <c r="CZ856" s="1129">
        <v>7</v>
      </c>
      <c r="DA856" s="1129"/>
      <c r="DB856" s="1129"/>
      <c r="DC856" s="1125" t="s">
        <v>5340</v>
      </c>
      <c r="DD856" s="1125" t="s">
        <v>934</v>
      </c>
      <c r="DE856" s="1120" t="str">
        <f t="shared" si="1050"/>
        <v/>
      </c>
      <c r="DF856" s="1133">
        <v>0</v>
      </c>
      <c r="DG856" s="1120">
        <v>0</v>
      </c>
    </row>
    <row r="857" spans="1:111">
      <c r="A857" s="1125" t="s">
        <v>4402</v>
      </c>
      <c r="B857" s="1125" t="s">
        <v>3465</v>
      </c>
      <c r="C857" s="1125" t="s">
        <v>3466</v>
      </c>
      <c r="D857" s="1125" t="s">
        <v>566</v>
      </c>
      <c r="E857" s="1125">
        <v>1092</v>
      </c>
      <c r="F857" s="1125">
        <v>-96.38</v>
      </c>
      <c r="G857" s="1125">
        <v>42.38</v>
      </c>
      <c r="H857" s="1125">
        <v>-6</v>
      </c>
      <c r="I857" s="1126">
        <v>-3.6399986267089854</v>
      </c>
      <c r="J857" s="1126">
        <v>90.5</v>
      </c>
      <c r="K857" s="1127">
        <v>74.480000686645511</v>
      </c>
      <c r="L857" s="1125">
        <v>6622.2</v>
      </c>
      <c r="M857" s="1125">
        <v>1027.8</v>
      </c>
      <c r="N857" s="1128">
        <v>17.240000343322752</v>
      </c>
      <c r="O857" s="1128">
        <v>28.220000171661376</v>
      </c>
      <c r="P857" s="1128">
        <v>36.320000171661377</v>
      </c>
      <c r="Q857" s="1128">
        <v>51.259999656677245</v>
      </c>
      <c r="R857" s="1128">
        <v>62.239998626708989</v>
      </c>
      <c r="S857" s="1128">
        <v>71.419999313354495</v>
      </c>
      <c r="T857" s="1128">
        <v>76.460001373291021</v>
      </c>
      <c r="U857" s="1128">
        <v>71.960001373291021</v>
      </c>
      <c r="V857" s="1128">
        <v>64.580000686645505</v>
      </c>
      <c r="W857" s="1128">
        <v>50.180000686645506</v>
      </c>
      <c r="X857" s="1128">
        <v>35.060000085830687</v>
      </c>
      <c r="Y857" s="1128">
        <v>22.459999656677248</v>
      </c>
      <c r="Z857" s="1128">
        <v>49.047726208935046</v>
      </c>
      <c r="AA857" s="1128">
        <f t="shared" si="976"/>
        <v>43.442150213411239</v>
      </c>
      <c r="AB857" s="1128">
        <f t="shared" si="977"/>
        <v>41.709098745353501</v>
      </c>
      <c r="AC857" s="1128">
        <f t="shared" si="978"/>
        <v>43.452966080149594</v>
      </c>
      <c r="AD857" s="1128">
        <f t="shared" si="979"/>
        <v>48.219186323175812</v>
      </c>
      <c r="AE857" s="1128">
        <f t="shared" si="980"/>
        <v>54.765370718410139</v>
      </c>
      <c r="AF857" s="1128">
        <f t="shared" si="981"/>
        <v>61.385155423479596</v>
      </c>
      <c r="AG857" s="1128">
        <f t="shared" si="982"/>
        <v>66.352991541037596</v>
      </c>
      <c r="AH857" s="1128">
        <f t="shared" si="983"/>
        <v>68.373936030370714</v>
      </c>
      <c r="AI857" s="1128">
        <f t="shared" si="984"/>
        <v>66.921198566637003</v>
      </c>
      <c r="AJ857" s="1128">
        <f t="shared" si="985"/>
        <v>62.373457557120602</v>
      </c>
      <c r="AK857" s="1128">
        <f t="shared" si="986"/>
        <v>55.91615177876232</v>
      </c>
      <c r="AL857" s="1128">
        <f t="shared" si="987"/>
        <v>49.232477492785435</v>
      </c>
      <c r="AM857" s="1125">
        <f t="shared" si="988"/>
        <v>1</v>
      </c>
      <c r="AN857" s="1125">
        <f t="shared" si="989"/>
        <v>1</v>
      </c>
      <c r="AO857" s="1125">
        <f t="shared" si="990"/>
        <v>1</v>
      </c>
      <c r="AP857" s="1125">
        <f t="shared" si="991"/>
        <v>1</v>
      </c>
      <c r="AQ857" s="1125">
        <f t="shared" si="992"/>
        <v>1</v>
      </c>
      <c r="AR857" s="1125">
        <f t="shared" si="993"/>
        <v>0</v>
      </c>
      <c r="AS857" s="1125">
        <f t="shared" si="994"/>
        <v>0</v>
      </c>
      <c r="AT857" s="1125">
        <f t="shared" si="995"/>
        <v>0</v>
      </c>
      <c r="AU857" s="1125">
        <f t="shared" si="996"/>
        <v>1</v>
      </c>
      <c r="AV857" s="1125">
        <f t="shared" si="997"/>
        <v>1</v>
      </c>
      <c r="AW857" s="1125">
        <f t="shared" si="998"/>
        <v>1</v>
      </c>
      <c r="AX857" s="1125">
        <f t="shared" si="999"/>
        <v>1</v>
      </c>
      <c r="AY857" s="1125">
        <f t="shared" si="1000"/>
        <v>0</v>
      </c>
      <c r="AZ857" s="1125">
        <f t="shared" si="1001"/>
        <v>0</v>
      </c>
      <c r="BA857" s="1125">
        <f t="shared" si="1002"/>
        <v>0</v>
      </c>
      <c r="BB857" s="1125">
        <f t="shared" si="1003"/>
        <v>0</v>
      </c>
      <c r="BC857" s="1125">
        <f t="shared" si="1004"/>
        <v>0</v>
      </c>
      <c r="BD857" s="1125">
        <f t="shared" si="1005"/>
        <v>1</v>
      </c>
      <c r="BE857" s="1125">
        <f t="shared" si="1006"/>
        <v>1</v>
      </c>
      <c r="BF857" s="1125">
        <f t="shared" si="1007"/>
        <v>1</v>
      </c>
      <c r="BG857" s="1125">
        <f t="shared" si="1008"/>
        <v>0</v>
      </c>
      <c r="BH857" s="1125">
        <f t="shared" si="1009"/>
        <v>0</v>
      </c>
      <c r="BI857" s="1125">
        <f t="shared" si="1010"/>
        <v>0</v>
      </c>
      <c r="BJ857" s="1125">
        <f t="shared" si="1011"/>
        <v>0</v>
      </c>
      <c r="BK857" s="1125">
        <f t="shared" si="1012"/>
        <v>1</v>
      </c>
      <c r="BL857" s="1125">
        <f t="shared" si="1013"/>
        <v>1</v>
      </c>
      <c r="BM857" s="1125">
        <f t="shared" si="1014"/>
        <v>1</v>
      </c>
      <c r="BN857" s="1125">
        <f t="shared" si="1015"/>
        <v>1</v>
      </c>
      <c r="BO857" s="1125">
        <f t="shared" si="1016"/>
        <v>1</v>
      </c>
      <c r="BP857" s="1125">
        <f t="shared" si="1017"/>
        <v>1</v>
      </c>
      <c r="BQ857" s="1125">
        <f t="shared" si="1018"/>
        <v>0</v>
      </c>
      <c r="BR857" s="1125">
        <f t="shared" si="1019"/>
        <v>0</v>
      </c>
      <c r="BS857" s="1125">
        <f t="shared" si="1020"/>
        <v>1</v>
      </c>
      <c r="BT857" s="1125">
        <f t="shared" si="1021"/>
        <v>1</v>
      </c>
      <c r="BU857" s="1125">
        <f t="shared" si="1022"/>
        <v>1</v>
      </c>
      <c r="BV857" s="1125">
        <f t="shared" si="1023"/>
        <v>1</v>
      </c>
      <c r="BW857" s="1125">
        <f t="shared" si="1024"/>
        <v>0</v>
      </c>
      <c r="BX857" s="1125">
        <f t="shared" si="1025"/>
        <v>0</v>
      </c>
      <c r="BY857" s="1125">
        <f t="shared" si="1026"/>
        <v>0</v>
      </c>
      <c r="BZ857" s="1125">
        <f t="shared" si="1027"/>
        <v>0</v>
      </c>
      <c r="CA857" s="1125">
        <f t="shared" si="1028"/>
        <v>1</v>
      </c>
      <c r="CB857" s="1125">
        <f t="shared" si="1029"/>
        <v>1</v>
      </c>
      <c r="CC857" s="1125">
        <f t="shared" si="1030"/>
        <v>1</v>
      </c>
      <c r="CD857" s="1125">
        <f t="shared" si="1031"/>
        <v>1</v>
      </c>
      <c r="CE857" s="1125">
        <f t="shared" si="1032"/>
        <v>1</v>
      </c>
      <c r="CF857" s="1125">
        <f t="shared" si="1033"/>
        <v>0</v>
      </c>
      <c r="CG857" s="1125">
        <f t="shared" si="1034"/>
        <v>0</v>
      </c>
      <c r="CH857" s="1125">
        <f t="shared" si="1035"/>
        <v>0</v>
      </c>
      <c r="CI857" s="1125">
        <f t="shared" si="1036"/>
        <v>0.85</v>
      </c>
      <c r="CJ857" s="1125">
        <f t="shared" si="1037"/>
        <v>0.85</v>
      </c>
      <c r="CK857" s="1125">
        <f t="shared" si="1038"/>
        <v>0.85</v>
      </c>
      <c r="CL857" s="1125">
        <f t="shared" si="1039"/>
        <v>0.85</v>
      </c>
      <c r="CM857" s="1125">
        <f t="shared" si="1040"/>
        <v>0.85</v>
      </c>
      <c r="CN857" s="1125">
        <f t="shared" si="1041"/>
        <v>0.85</v>
      </c>
      <c r="CO857" s="1125">
        <f t="shared" si="1042"/>
        <v>0.7</v>
      </c>
      <c r="CP857" s="1125">
        <f t="shared" si="1043"/>
        <v>0.7</v>
      </c>
      <c r="CQ857" s="1125">
        <f t="shared" si="1044"/>
        <v>0.85</v>
      </c>
      <c r="CR857" s="1125">
        <f t="shared" si="1045"/>
        <v>0.85</v>
      </c>
      <c r="CS857" s="1125">
        <f t="shared" si="1046"/>
        <v>0.85</v>
      </c>
      <c r="CT857" s="1125">
        <f t="shared" si="1047"/>
        <v>0.85</v>
      </c>
      <c r="CU857" s="1125">
        <v>1</v>
      </c>
      <c r="CV857" s="1125"/>
      <c r="CW857" s="1125">
        <f t="shared" si="1048"/>
        <v>153</v>
      </c>
      <c r="CX857" s="1125">
        <f t="shared" si="1049"/>
        <v>212</v>
      </c>
      <c r="CY857" s="1136" t="s">
        <v>4889</v>
      </c>
      <c r="CZ857" s="1129" t="s">
        <v>4897</v>
      </c>
      <c r="DA857" s="1129"/>
      <c r="DB857" s="1129"/>
      <c r="DC857" s="1125" t="s">
        <v>5188</v>
      </c>
      <c r="DD857" s="1125" t="s">
        <v>566</v>
      </c>
      <c r="DE857" s="1120" t="str">
        <f t="shared" si="1050"/>
        <v/>
      </c>
      <c r="DF857" s="1133">
        <v>0</v>
      </c>
      <c r="DG857" s="1125">
        <v>0</v>
      </c>
    </row>
    <row r="858" spans="1:111">
      <c r="A858" s="1120" t="s">
        <v>5923</v>
      </c>
      <c r="B858" s="1125" t="s">
        <v>4330</v>
      </c>
      <c r="C858" s="1125" t="s">
        <v>4331</v>
      </c>
      <c r="D858" s="1125" t="s">
        <v>1147</v>
      </c>
      <c r="E858" s="1125">
        <v>1420</v>
      </c>
      <c r="F858" s="1125">
        <v>-96.75</v>
      </c>
      <c r="G858" s="1125">
        <v>43.58</v>
      </c>
      <c r="H858" s="1125">
        <v>-6</v>
      </c>
      <c r="I858" s="1126">
        <v>-8.3199993133544936</v>
      </c>
      <c r="J858" s="1126">
        <v>89.419999313354495</v>
      </c>
      <c r="K858" s="1127">
        <v>73.400000000000006</v>
      </c>
      <c r="L858" s="1125">
        <v>7452</v>
      </c>
      <c r="M858" s="1125">
        <v>792</v>
      </c>
      <c r="N858" s="1128">
        <v>13.640000343322754</v>
      </c>
      <c r="O858" s="1128">
        <v>20.120000171661378</v>
      </c>
      <c r="P858" s="1128">
        <v>36.5</v>
      </c>
      <c r="Q858" s="1128">
        <v>46.4</v>
      </c>
      <c r="R858" s="1128">
        <v>59.180000686645506</v>
      </c>
      <c r="S858" s="1128">
        <v>69.260001373291018</v>
      </c>
      <c r="T858" s="1128">
        <v>73.580000686645505</v>
      </c>
      <c r="U858" s="1128">
        <v>71.419999313354495</v>
      </c>
      <c r="V858" s="1128">
        <v>62.780000686645508</v>
      </c>
      <c r="W858" s="1128">
        <v>48.380000686645509</v>
      </c>
      <c r="X858" s="1128">
        <v>31.639999994635581</v>
      </c>
      <c r="Y858" s="1128">
        <v>19.220000171661376</v>
      </c>
      <c r="Z858" s="1128">
        <v>46.151452397206057</v>
      </c>
      <c r="AA858" s="1128">
        <f t="shared" si="976"/>
        <v>41.483896148726686</v>
      </c>
      <c r="AB858" s="1128">
        <f t="shared" si="977"/>
        <v>39.533837361195097</v>
      </c>
      <c r="AC858" s="1128">
        <f t="shared" si="978"/>
        <v>40.872754376133216</v>
      </c>
      <c r="AD858" s="1128">
        <f t="shared" si="979"/>
        <v>45.151637840261664</v>
      </c>
      <c r="AE858" s="1128">
        <f t="shared" si="980"/>
        <v>51.255130839065195</v>
      </c>
      <c r="AF858" s="1128">
        <f t="shared" si="981"/>
        <v>57.592263864731464</v>
      </c>
      <c r="AG858" s="1128">
        <f t="shared" si="982"/>
        <v>62.511165535944542</v>
      </c>
      <c r="AH858" s="1128">
        <f t="shared" si="983"/>
        <v>64.729648329533461</v>
      </c>
      <c r="AI858" s="1128">
        <f t="shared" si="984"/>
        <v>63.669430517494561</v>
      </c>
      <c r="AJ858" s="1128">
        <f t="shared" si="985"/>
        <v>59.606874210986824</v>
      </c>
      <c r="AK858" s="1128">
        <f t="shared" si="986"/>
        <v>53.600947317189238</v>
      </c>
      <c r="AL858" s="1128">
        <f t="shared" si="987"/>
        <v>47.217187235105179</v>
      </c>
      <c r="AM858" s="1125">
        <f t="shared" si="988"/>
        <v>1</v>
      </c>
      <c r="AN858" s="1125">
        <f t="shared" si="989"/>
        <v>1</v>
      </c>
      <c r="AO858" s="1125">
        <f t="shared" si="990"/>
        <v>1</v>
      </c>
      <c r="AP858" s="1125">
        <f t="shared" si="991"/>
        <v>1</v>
      </c>
      <c r="AQ858" s="1125">
        <f t="shared" si="992"/>
        <v>1</v>
      </c>
      <c r="AR858" s="1125">
        <f t="shared" si="993"/>
        <v>0</v>
      </c>
      <c r="AS858" s="1125">
        <f t="shared" si="994"/>
        <v>0</v>
      </c>
      <c r="AT858" s="1125">
        <f t="shared" si="995"/>
        <v>0</v>
      </c>
      <c r="AU858" s="1125">
        <f t="shared" si="996"/>
        <v>1</v>
      </c>
      <c r="AV858" s="1125">
        <f t="shared" si="997"/>
        <v>1</v>
      </c>
      <c r="AW858" s="1125">
        <f t="shared" si="998"/>
        <v>1</v>
      </c>
      <c r="AX858" s="1125">
        <f t="shared" si="999"/>
        <v>1</v>
      </c>
      <c r="AY858" s="1125">
        <f t="shared" si="1000"/>
        <v>0</v>
      </c>
      <c r="AZ858" s="1125">
        <f t="shared" si="1001"/>
        <v>0</v>
      </c>
      <c r="BA858" s="1125">
        <f t="shared" si="1002"/>
        <v>0</v>
      </c>
      <c r="BB858" s="1125">
        <f t="shared" si="1003"/>
        <v>0</v>
      </c>
      <c r="BC858" s="1125">
        <f t="shared" si="1004"/>
        <v>0</v>
      </c>
      <c r="BD858" s="1125">
        <f t="shared" si="1005"/>
        <v>1</v>
      </c>
      <c r="BE858" s="1125">
        <f t="shared" si="1006"/>
        <v>1</v>
      </c>
      <c r="BF858" s="1125">
        <f t="shared" si="1007"/>
        <v>1</v>
      </c>
      <c r="BG858" s="1125">
        <f t="shared" si="1008"/>
        <v>0</v>
      </c>
      <c r="BH858" s="1125">
        <f t="shared" si="1009"/>
        <v>0</v>
      </c>
      <c r="BI858" s="1125">
        <f t="shared" si="1010"/>
        <v>0</v>
      </c>
      <c r="BJ858" s="1125">
        <f t="shared" si="1011"/>
        <v>0</v>
      </c>
      <c r="BK858" s="1125">
        <f t="shared" si="1012"/>
        <v>1</v>
      </c>
      <c r="BL858" s="1125">
        <f t="shared" si="1013"/>
        <v>1</v>
      </c>
      <c r="BM858" s="1125">
        <f t="shared" si="1014"/>
        <v>1</v>
      </c>
      <c r="BN858" s="1125">
        <f t="shared" si="1015"/>
        <v>1</v>
      </c>
      <c r="BO858" s="1125">
        <f t="shared" si="1016"/>
        <v>1</v>
      </c>
      <c r="BP858" s="1125">
        <f t="shared" si="1017"/>
        <v>1</v>
      </c>
      <c r="BQ858" s="1125">
        <f t="shared" si="1018"/>
        <v>0</v>
      </c>
      <c r="BR858" s="1125">
        <f t="shared" si="1019"/>
        <v>0</v>
      </c>
      <c r="BS858" s="1125">
        <f t="shared" si="1020"/>
        <v>1</v>
      </c>
      <c r="BT858" s="1125">
        <f t="shared" si="1021"/>
        <v>1</v>
      </c>
      <c r="BU858" s="1125">
        <f t="shared" si="1022"/>
        <v>1</v>
      </c>
      <c r="BV858" s="1125">
        <f t="shared" si="1023"/>
        <v>1</v>
      </c>
      <c r="BW858" s="1125">
        <f t="shared" si="1024"/>
        <v>0</v>
      </c>
      <c r="BX858" s="1125">
        <f t="shared" si="1025"/>
        <v>0</v>
      </c>
      <c r="BY858" s="1125">
        <f t="shared" si="1026"/>
        <v>0</v>
      </c>
      <c r="BZ858" s="1125">
        <f t="shared" si="1027"/>
        <v>0</v>
      </c>
      <c r="CA858" s="1125">
        <f t="shared" si="1028"/>
        <v>1</v>
      </c>
      <c r="CB858" s="1125">
        <f t="shared" si="1029"/>
        <v>1</v>
      </c>
      <c r="CC858" s="1125">
        <f t="shared" si="1030"/>
        <v>1</v>
      </c>
      <c r="CD858" s="1125">
        <f t="shared" si="1031"/>
        <v>1</v>
      </c>
      <c r="CE858" s="1125">
        <f t="shared" si="1032"/>
        <v>1</v>
      </c>
      <c r="CF858" s="1125">
        <f t="shared" si="1033"/>
        <v>0</v>
      </c>
      <c r="CG858" s="1125">
        <f t="shared" si="1034"/>
        <v>0</v>
      </c>
      <c r="CH858" s="1125">
        <f t="shared" si="1035"/>
        <v>0</v>
      </c>
      <c r="CI858" s="1125">
        <f t="shared" si="1036"/>
        <v>0.85</v>
      </c>
      <c r="CJ858" s="1125">
        <f t="shared" si="1037"/>
        <v>0.85</v>
      </c>
      <c r="CK858" s="1125">
        <f t="shared" si="1038"/>
        <v>0.85</v>
      </c>
      <c r="CL858" s="1125">
        <f t="shared" si="1039"/>
        <v>0.85</v>
      </c>
      <c r="CM858" s="1125">
        <f t="shared" si="1040"/>
        <v>0.85</v>
      </c>
      <c r="CN858" s="1125">
        <f t="shared" si="1041"/>
        <v>0.85</v>
      </c>
      <c r="CO858" s="1125">
        <f t="shared" si="1042"/>
        <v>0.7</v>
      </c>
      <c r="CP858" s="1125">
        <f t="shared" si="1043"/>
        <v>0.7</v>
      </c>
      <c r="CQ858" s="1125">
        <f t="shared" si="1044"/>
        <v>0.85</v>
      </c>
      <c r="CR858" s="1125">
        <f t="shared" si="1045"/>
        <v>0.85</v>
      </c>
      <c r="CS858" s="1125">
        <f t="shared" si="1046"/>
        <v>0.85</v>
      </c>
      <c r="CT858" s="1125">
        <f t="shared" si="1047"/>
        <v>0.85</v>
      </c>
      <c r="CU858" s="1125">
        <v>1</v>
      </c>
      <c r="CV858" s="1125"/>
      <c r="CW858" s="1125">
        <f t="shared" si="1048"/>
        <v>153</v>
      </c>
      <c r="CX858" s="1125">
        <f t="shared" si="1049"/>
        <v>212</v>
      </c>
      <c r="CY858" s="1136" t="s">
        <v>4889</v>
      </c>
      <c r="CZ858" s="1129" t="s">
        <v>4899</v>
      </c>
      <c r="DA858" s="1129"/>
      <c r="DB858" s="1129"/>
      <c r="DC858" s="1125" t="s">
        <v>5563</v>
      </c>
      <c r="DD858" s="1125" t="s">
        <v>1147</v>
      </c>
      <c r="DE858" s="1120" t="str">
        <f t="shared" si="1050"/>
        <v/>
      </c>
      <c r="DF858" s="1133">
        <v>0</v>
      </c>
      <c r="DG858" s="1120">
        <v>0</v>
      </c>
    </row>
    <row r="859" spans="1:111">
      <c r="A859" s="1125" t="s">
        <v>4404</v>
      </c>
      <c r="B859" s="1120" t="s">
        <v>2978</v>
      </c>
      <c r="C859" s="1120" t="s">
        <v>2979</v>
      </c>
      <c r="D859" s="1120" t="s">
        <v>953</v>
      </c>
      <c r="E859" s="1120">
        <v>13</v>
      </c>
      <c r="F859" s="1120">
        <v>-135.37</v>
      </c>
      <c r="G859" s="1120">
        <v>57.05</v>
      </c>
      <c r="H859" s="1120">
        <v>-9</v>
      </c>
      <c r="I859" s="1121">
        <v>20.3</v>
      </c>
      <c r="J859" s="1121">
        <v>63.86000137329102</v>
      </c>
      <c r="K859" s="1122">
        <v>57.740000343322755</v>
      </c>
      <c r="L859" s="1120">
        <v>7765.2</v>
      </c>
      <c r="M859" s="1120">
        <v>0</v>
      </c>
      <c r="N859" s="1123">
        <v>33.799999999999997</v>
      </c>
      <c r="O859" s="1123">
        <v>29.660000085830688</v>
      </c>
      <c r="P859" s="1123">
        <v>36.860000085830691</v>
      </c>
      <c r="Q859" s="1123">
        <v>39.379999828338626</v>
      </c>
      <c r="R859" s="1123">
        <v>46.4</v>
      </c>
      <c r="S859" s="1123">
        <v>52.159999656677243</v>
      </c>
      <c r="T859" s="1123">
        <v>54.319999313354494</v>
      </c>
      <c r="U859" s="1123">
        <v>55.580000686645505</v>
      </c>
      <c r="V859" s="1123">
        <v>53.059999656677249</v>
      </c>
      <c r="W859" s="1123">
        <v>45.320000171661377</v>
      </c>
      <c r="X859" s="1123">
        <v>37.76000008583069</v>
      </c>
      <c r="Y859" s="1123">
        <v>32</v>
      </c>
      <c r="Z859" s="1123">
        <v>43.106739690989663</v>
      </c>
      <c r="AA859" s="1123">
        <f t="shared" si="976"/>
        <v>44.975007930744894</v>
      </c>
      <c r="AB859" s="1123">
        <f t="shared" si="977"/>
        <v>44.064548099626094</v>
      </c>
      <c r="AC859" s="1123">
        <f t="shared" si="978"/>
        <v>44.468413209320666</v>
      </c>
      <c r="AD859" s="1123">
        <f t="shared" si="979"/>
        <v>46.081329595236994</v>
      </c>
      <c r="AE859" s="1123">
        <f t="shared" si="980"/>
        <v>48.482865745592093</v>
      </c>
      <c r="AF859" s="1123">
        <f t="shared" si="981"/>
        <v>51.047024254003588</v>
      </c>
      <c r="AG859" s="1123">
        <f t="shared" si="982"/>
        <v>53.105417690375297</v>
      </c>
      <c r="AH859" s="1123">
        <f t="shared" si="983"/>
        <v>54.121494084713909</v>
      </c>
      <c r="AI859" s="1123">
        <f t="shared" si="984"/>
        <v>53.83039746662385</v>
      </c>
      <c r="AJ859" s="1123">
        <f t="shared" si="985"/>
        <v>52.308006655544965</v>
      </c>
      <c r="AK859" s="1123">
        <f t="shared" si="986"/>
        <v>49.951156277137521</v>
      </c>
      <c r="AL859" s="1123">
        <f t="shared" si="987"/>
        <v>47.374195702697151</v>
      </c>
      <c r="AM859" s="1120">
        <f t="shared" si="988"/>
        <v>1</v>
      </c>
      <c r="AN859" s="1120">
        <f t="shared" si="989"/>
        <v>1</v>
      </c>
      <c r="AO859" s="1120">
        <f t="shared" si="990"/>
        <v>1</v>
      </c>
      <c r="AP859" s="1120">
        <f t="shared" si="991"/>
        <v>1</v>
      </c>
      <c r="AQ859" s="1120">
        <f t="shared" si="992"/>
        <v>1</v>
      </c>
      <c r="AR859" s="1120">
        <f t="shared" si="993"/>
        <v>1</v>
      </c>
      <c r="AS859" s="1120">
        <f t="shared" si="994"/>
        <v>1</v>
      </c>
      <c r="AT859" s="1120">
        <f t="shared" si="995"/>
        <v>1</v>
      </c>
      <c r="AU859" s="1120">
        <f t="shared" si="996"/>
        <v>1</v>
      </c>
      <c r="AV859" s="1120">
        <f t="shared" si="997"/>
        <v>1</v>
      </c>
      <c r="AW859" s="1120">
        <f t="shared" si="998"/>
        <v>1</v>
      </c>
      <c r="AX859" s="1120">
        <f t="shared" si="999"/>
        <v>1</v>
      </c>
      <c r="AY859" s="1120">
        <f t="shared" si="1000"/>
        <v>0</v>
      </c>
      <c r="AZ859" s="1120">
        <f t="shared" si="1001"/>
        <v>0</v>
      </c>
      <c r="BA859" s="1120">
        <f t="shared" si="1002"/>
        <v>0</v>
      </c>
      <c r="BB859" s="1120">
        <f t="shared" si="1003"/>
        <v>0</v>
      </c>
      <c r="BC859" s="1120">
        <f t="shared" si="1004"/>
        <v>0</v>
      </c>
      <c r="BD859" s="1120">
        <f t="shared" si="1005"/>
        <v>0</v>
      </c>
      <c r="BE859" s="1120">
        <f t="shared" si="1006"/>
        <v>1</v>
      </c>
      <c r="BF859" s="1120">
        <f t="shared" si="1007"/>
        <v>1</v>
      </c>
      <c r="BG859" s="1120">
        <f t="shared" si="1008"/>
        <v>0</v>
      </c>
      <c r="BH859" s="1120">
        <f t="shared" si="1009"/>
        <v>0</v>
      </c>
      <c r="BI859" s="1120">
        <f t="shared" si="1010"/>
        <v>0</v>
      </c>
      <c r="BJ859" s="1120">
        <f t="shared" si="1011"/>
        <v>0</v>
      </c>
      <c r="BK859" s="1120">
        <f t="shared" si="1012"/>
        <v>1</v>
      </c>
      <c r="BL859" s="1120">
        <f t="shared" si="1013"/>
        <v>1</v>
      </c>
      <c r="BM859" s="1120">
        <f t="shared" si="1014"/>
        <v>1</v>
      </c>
      <c r="BN859" s="1120">
        <f t="shared" si="1015"/>
        <v>1</v>
      </c>
      <c r="BO859" s="1120">
        <f t="shared" si="1016"/>
        <v>1</v>
      </c>
      <c r="BP859" s="1120">
        <f t="shared" si="1017"/>
        <v>1</v>
      </c>
      <c r="BQ859" s="1120">
        <f t="shared" si="1018"/>
        <v>1</v>
      </c>
      <c r="BR859" s="1120">
        <f t="shared" si="1019"/>
        <v>1</v>
      </c>
      <c r="BS859" s="1120">
        <f t="shared" si="1020"/>
        <v>1</v>
      </c>
      <c r="BT859" s="1120">
        <f t="shared" si="1021"/>
        <v>1</v>
      </c>
      <c r="BU859" s="1120">
        <f t="shared" si="1022"/>
        <v>1</v>
      </c>
      <c r="BV859" s="1120">
        <f t="shared" si="1023"/>
        <v>1</v>
      </c>
      <c r="BW859" s="1120">
        <f t="shared" si="1024"/>
        <v>0</v>
      </c>
      <c r="BX859" s="1120">
        <f t="shared" si="1025"/>
        <v>0</v>
      </c>
      <c r="BY859" s="1120">
        <f t="shared" si="1026"/>
        <v>0</v>
      </c>
      <c r="BZ859" s="1120">
        <f t="shared" si="1027"/>
        <v>0</v>
      </c>
      <c r="CA859" s="1120">
        <f t="shared" si="1028"/>
        <v>0</v>
      </c>
      <c r="CB859" s="1120">
        <f t="shared" si="1029"/>
        <v>0</v>
      </c>
      <c r="CC859" s="1120">
        <f t="shared" si="1030"/>
        <v>1</v>
      </c>
      <c r="CD859" s="1120">
        <f t="shared" si="1031"/>
        <v>1</v>
      </c>
      <c r="CE859" s="1120">
        <f t="shared" si="1032"/>
        <v>0</v>
      </c>
      <c r="CF859" s="1120">
        <f t="shared" si="1033"/>
        <v>0</v>
      </c>
      <c r="CG859" s="1120">
        <f t="shared" si="1034"/>
        <v>0</v>
      </c>
      <c r="CH859" s="1120">
        <f t="shared" si="1035"/>
        <v>0</v>
      </c>
      <c r="CI859" s="1120">
        <f t="shared" si="1036"/>
        <v>0.85</v>
      </c>
      <c r="CJ859" s="1120">
        <f t="shared" si="1037"/>
        <v>0.85</v>
      </c>
      <c r="CK859" s="1120">
        <f t="shared" si="1038"/>
        <v>0.85</v>
      </c>
      <c r="CL859" s="1120">
        <f t="shared" si="1039"/>
        <v>0.85</v>
      </c>
      <c r="CM859" s="1120">
        <f t="shared" si="1040"/>
        <v>0.85</v>
      </c>
      <c r="CN859" s="1120">
        <f t="shared" si="1041"/>
        <v>0.85</v>
      </c>
      <c r="CO859" s="1120">
        <f t="shared" si="1042"/>
        <v>0.85</v>
      </c>
      <c r="CP859" s="1120">
        <f t="shared" si="1043"/>
        <v>0.85</v>
      </c>
      <c r="CQ859" s="1120">
        <f t="shared" si="1044"/>
        <v>0.85</v>
      </c>
      <c r="CR859" s="1120">
        <f t="shared" si="1045"/>
        <v>0.85</v>
      </c>
      <c r="CS859" s="1120">
        <f t="shared" si="1046"/>
        <v>0.85</v>
      </c>
      <c r="CT859" s="1120">
        <f t="shared" si="1047"/>
        <v>0.85</v>
      </c>
      <c r="CU859" s="1120">
        <v>1</v>
      </c>
      <c r="CV859" s="1120"/>
      <c r="CW859" s="1120">
        <f t="shared" si="1048"/>
        <v>62</v>
      </c>
      <c r="CX859" s="1120">
        <f t="shared" si="1049"/>
        <v>303</v>
      </c>
      <c r="CY859" s="1135" t="s">
        <v>4879</v>
      </c>
      <c r="CZ859" s="1124">
        <v>7</v>
      </c>
      <c r="DA859" s="1124"/>
      <c r="DB859" s="1124"/>
      <c r="DC859" s="1120" t="s">
        <v>4960</v>
      </c>
      <c r="DD859" s="1120" t="s">
        <v>953</v>
      </c>
      <c r="DE859" s="1120" t="str">
        <f t="shared" si="1050"/>
        <v/>
      </c>
      <c r="DF859" s="1120">
        <v>0</v>
      </c>
      <c r="DG859" s="1125">
        <v>0</v>
      </c>
    </row>
    <row r="860" spans="1:111">
      <c r="A860" s="1120" t="s">
        <v>4406</v>
      </c>
      <c r="B860" s="1125" t="s">
        <v>2980</v>
      </c>
      <c r="C860" s="1125" t="s">
        <v>2981</v>
      </c>
      <c r="D860" s="1125" t="s">
        <v>953</v>
      </c>
      <c r="E860" s="1125">
        <v>30</v>
      </c>
      <c r="F860" s="1125">
        <v>-135.30000000000001</v>
      </c>
      <c r="G860" s="1125">
        <v>59.47</v>
      </c>
      <c r="H860" s="1125">
        <v>-9</v>
      </c>
      <c r="I860" s="1126">
        <v>6.9800006866455071</v>
      </c>
      <c r="J860" s="1126">
        <v>68.539998626708979</v>
      </c>
      <c r="K860" s="1127">
        <v>56.480000686645511</v>
      </c>
      <c r="L860" s="1125">
        <v>8121.6</v>
      </c>
      <c r="M860" s="1125">
        <v>10.8</v>
      </c>
      <c r="N860" s="1128">
        <v>30.019999957084657</v>
      </c>
      <c r="O860" s="1128">
        <v>28.939999914169313</v>
      </c>
      <c r="P860" s="1128">
        <v>35.779999828338624</v>
      </c>
      <c r="Q860" s="1128">
        <v>43.159999656677243</v>
      </c>
      <c r="R860" s="1128">
        <v>51.8</v>
      </c>
      <c r="S860" s="1128">
        <v>57.380000686645509</v>
      </c>
      <c r="T860" s="1128">
        <v>54.859999656677246</v>
      </c>
      <c r="U860" s="1128">
        <v>56.3</v>
      </c>
      <c r="V860" s="1128">
        <v>50.180000686645506</v>
      </c>
      <c r="W860" s="1128">
        <v>39.200000000000003</v>
      </c>
      <c r="X860" s="1128">
        <v>34.339999914169312</v>
      </c>
      <c r="Y860" s="1128">
        <v>23.359999656677246</v>
      </c>
      <c r="Z860" s="1128">
        <v>42.172712323241036</v>
      </c>
      <c r="AA860" s="1128">
        <f t="shared" si="976"/>
        <v>42.940461534037084</v>
      </c>
      <c r="AB860" s="1128">
        <f t="shared" si="977"/>
        <v>41.724298151450412</v>
      </c>
      <c r="AC860" s="1128">
        <f t="shared" si="978"/>
        <v>42.189013295811343</v>
      </c>
      <c r="AD860" s="1128">
        <f t="shared" si="979"/>
        <v>44.213471803265065</v>
      </c>
      <c r="AE860" s="1128">
        <f t="shared" si="980"/>
        <v>47.2699673659938</v>
      </c>
      <c r="AF860" s="1128">
        <f t="shared" si="981"/>
        <v>50.561777313549932</v>
      </c>
      <c r="AG860" s="1128">
        <f t="shared" si="982"/>
        <v>53.230840654776117</v>
      </c>
      <c r="AH860" s="1128">
        <f t="shared" si="983"/>
        <v>54.581424898270619</v>
      </c>
      <c r="AI860" s="1128">
        <f t="shared" si="984"/>
        <v>54.261479447833409</v>
      </c>
      <c r="AJ860" s="1128">
        <f t="shared" si="985"/>
        <v>52.354403015629572</v>
      </c>
      <c r="AK860" s="1128">
        <f t="shared" si="986"/>
        <v>49.357304462650454</v>
      </c>
      <c r="AL860" s="1128">
        <f t="shared" si="987"/>
        <v>46.051423713416824</v>
      </c>
      <c r="AM860" s="1125">
        <f t="shared" si="988"/>
        <v>1</v>
      </c>
      <c r="AN860" s="1125">
        <f t="shared" si="989"/>
        <v>1</v>
      </c>
      <c r="AO860" s="1125">
        <f t="shared" si="990"/>
        <v>1</v>
      </c>
      <c r="AP860" s="1125">
        <f t="shared" si="991"/>
        <v>1</v>
      </c>
      <c r="AQ860" s="1125">
        <f t="shared" si="992"/>
        <v>1</v>
      </c>
      <c r="AR860" s="1125">
        <f t="shared" si="993"/>
        <v>1</v>
      </c>
      <c r="AS860" s="1125">
        <f t="shared" si="994"/>
        <v>1</v>
      </c>
      <c r="AT860" s="1125">
        <f t="shared" si="995"/>
        <v>1</v>
      </c>
      <c r="AU860" s="1125">
        <f t="shared" si="996"/>
        <v>1</v>
      </c>
      <c r="AV860" s="1125">
        <f t="shared" si="997"/>
        <v>1</v>
      </c>
      <c r="AW860" s="1125">
        <f t="shared" si="998"/>
        <v>1</v>
      </c>
      <c r="AX860" s="1125">
        <f t="shared" si="999"/>
        <v>1</v>
      </c>
      <c r="AY860" s="1125">
        <f t="shared" si="1000"/>
        <v>0</v>
      </c>
      <c r="AZ860" s="1125">
        <f t="shared" si="1001"/>
        <v>0</v>
      </c>
      <c r="BA860" s="1125">
        <f t="shared" si="1002"/>
        <v>0</v>
      </c>
      <c r="BB860" s="1125">
        <f t="shared" si="1003"/>
        <v>0</v>
      </c>
      <c r="BC860" s="1125">
        <f t="shared" si="1004"/>
        <v>0</v>
      </c>
      <c r="BD860" s="1125">
        <f t="shared" si="1005"/>
        <v>0</v>
      </c>
      <c r="BE860" s="1125">
        <f t="shared" si="1006"/>
        <v>1</v>
      </c>
      <c r="BF860" s="1125">
        <f t="shared" si="1007"/>
        <v>1</v>
      </c>
      <c r="BG860" s="1125">
        <f t="shared" si="1008"/>
        <v>0</v>
      </c>
      <c r="BH860" s="1125">
        <f t="shared" si="1009"/>
        <v>0</v>
      </c>
      <c r="BI860" s="1125">
        <f t="shared" si="1010"/>
        <v>0</v>
      </c>
      <c r="BJ860" s="1125">
        <f t="shared" si="1011"/>
        <v>0</v>
      </c>
      <c r="BK860" s="1125">
        <f t="shared" si="1012"/>
        <v>1</v>
      </c>
      <c r="BL860" s="1125">
        <f t="shared" si="1013"/>
        <v>1</v>
      </c>
      <c r="BM860" s="1125">
        <f t="shared" si="1014"/>
        <v>1</v>
      </c>
      <c r="BN860" s="1125">
        <f t="shared" si="1015"/>
        <v>1</v>
      </c>
      <c r="BO860" s="1125">
        <f t="shared" si="1016"/>
        <v>1</v>
      </c>
      <c r="BP860" s="1125">
        <f t="shared" si="1017"/>
        <v>1</v>
      </c>
      <c r="BQ860" s="1125">
        <f t="shared" si="1018"/>
        <v>1</v>
      </c>
      <c r="BR860" s="1125">
        <f t="shared" si="1019"/>
        <v>1</v>
      </c>
      <c r="BS860" s="1125">
        <f t="shared" si="1020"/>
        <v>1</v>
      </c>
      <c r="BT860" s="1125">
        <f t="shared" si="1021"/>
        <v>1</v>
      </c>
      <c r="BU860" s="1125">
        <f t="shared" si="1022"/>
        <v>1</v>
      </c>
      <c r="BV860" s="1125">
        <f t="shared" si="1023"/>
        <v>1</v>
      </c>
      <c r="BW860" s="1125">
        <f t="shared" si="1024"/>
        <v>0</v>
      </c>
      <c r="BX860" s="1125">
        <f t="shared" si="1025"/>
        <v>0</v>
      </c>
      <c r="BY860" s="1125">
        <f t="shared" si="1026"/>
        <v>0</v>
      </c>
      <c r="BZ860" s="1125">
        <f t="shared" si="1027"/>
        <v>0</v>
      </c>
      <c r="CA860" s="1125">
        <f t="shared" si="1028"/>
        <v>0</v>
      </c>
      <c r="CB860" s="1125">
        <f t="shared" si="1029"/>
        <v>0</v>
      </c>
      <c r="CC860" s="1125">
        <f t="shared" si="1030"/>
        <v>1</v>
      </c>
      <c r="CD860" s="1125">
        <f t="shared" si="1031"/>
        <v>1</v>
      </c>
      <c r="CE860" s="1125">
        <f t="shared" si="1032"/>
        <v>0</v>
      </c>
      <c r="CF860" s="1125">
        <f t="shared" si="1033"/>
        <v>0</v>
      </c>
      <c r="CG860" s="1125">
        <f t="shared" si="1034"/>
        <v>0</v>
      </c>
      <c r="CH860" s="1125">
        <f t="shared" si="1035"/>
        <v>0</v>
      </c>
      <c r="CI860" s="1125">
        <f t="shared" si="1036"/>
        <v>0.85</v>
      </c>
      <c r="CJ860" s="1125">
        <f t="shared" si="1037"/>
        <v>0.85</v>
      </c>
      <c r="CK860" s="1125">
        <f t="shared" si="1038"/>
        <v>0.85</v>
      </c>
      <c r="CL860" s="1125">
        <f t="shared" si="1039"/>
        <v>0.85</v>
      </c>
      <c r="CM860" s="1125">
        <f t="shared" si="1040"/>
        <v>0.85</v>
      </c>
      <c r="CN860" s="1125">
        <f t="shared" si="1041"/>
        <v>0.85</v>
      </c>
      <c r="CO860" s="1125">
        <f t="shared" si="1042"/>
        <v>0.85</v>
      </c>
      <c r="CP860" s="1125">
        <f t="shared" si="1043"/>
        <v>0.85</v>
      </c>
      <c r="CQ860" s="1125">
        <f t="shared" si="1044"/>
        <v>0.85</v>
      </c>
      <c r="CR860" s="1125">
        <f t="shared" si="1045"/>
        <v>0.85</v>
      </c>
      <c r="CS860" s="1125">
        <f t="shared" si="1046"/>
        <v>0.85</v>
      </c>
      <c r="CT860" s="1125">
        <f t="shared" si="1047"/>
        <v>0.85</v>
      </c>
      <c r="CU860" s="1125">
        <v>1</v>
      </c>
      <c r="CV860" s="1125"/>
      <c r="CW860" s="1125">
        <f t="shared" si="1048"/>
        <v>62</v>
      </c>
      <c r="CX860" s="1125">
        <f t="shared" si="1049"/>
        <v>303</v>
      </c>
      <c r="CY860" s="1136" t="s">
        <v>4879</v>
      </c>
      <c r="CZ860" s="1129">
        <v>7</v>
      </c>
      <c r="DA860" s="1129"/>
      <c r="DB860" s="1129"/>
      <c r="DC860" s="1125" t="s">
        <v>4961</v>
      </c>
      <c r="DD860" s="1125" t="s">
        <v>953</v>
      </c>
      <c r="DE860" s="1125" t="str">
        <f t="shared" si="1050"/>
        <v/>
      </c>
      <c r="DF860" s="1125">
        <v>0</v>
      </c>
      <c r="DG860" s="1120">
        <v>0</v>
      </c>
    </row>
    <row r="861" spans="1:111">
      <c r="A861" s="1125" t="s">
        <v>4408</v>
      </c>
      <c r="B861" s="1120" t="s">
        <v>1254</v>
      </c>
      <c r="C861" s="1120" t="s">
        <v>1255</v>
      </c>
      <c r="D861" s="1120" t="s">
        <v>953</v>
      </c>
      <c r="E861" s="1120">
        <v>177</v>
      </c>
      <c r="F861" s="1120">
        <v>-157.15</v>
      </c>
      <c r="G861" s="1120">
        <v>61.72</v>
      </c>
      <c r="H861" s="1120">
        <v>-9</v>
      </c>
      <c r="I861" s="1121">
        <v>-43.779997253417967</v>
      </c>
      <c r="J861" s="1121">
        <v>100.57999725341797</v>
      </c>
      <c r="K861" s="1122">
        <v>72.319999313354487</v>
      </c>
      <c r="L861" s="1120">
        <v>11286</v>
      </c>
      <c r="M861" s="1120">
        <v>234</v>
      </c>
      <c r="N861" s="1123">
        <v>-1.119999313354493</v>
      </c>
      <c r="O861" s="1123">
        <v>23</v>
      </c>
      <c r="P861" s="1123">
        <v>22.820000171661377</v>
      </c>
      <c r="Q861" s="1123">
        <v>55.040000343322752</v>
      </c>
      <c r="R861" s="1123">
        <v>43.340000343322757</v>
      </c>
      <c r="S861" s="1123">
        <v>56.3</v>
      </c>
      <c r="T861" s="1123">
        <v>54.859999656677246</v>
      </c>
      <c r="U861" s="1123">
        <v>50.359999656677246</v>
      </c>
      <c r="V861" s="1123">
        <v>42.079999828338622</v>
      </c>
      <c r="W861" s="1123">
        <v>33.440000021457671</v>
      </c>
      <c r="X861" s="1123">
        <v>17.600000000000001</v>
      </c>
      <c r="Y861" s="1123">
        <v>11.840000343322753</v>
      </c>
      <c r="Z861" s="1123">
        <v>34.126958992938469</v>
      </c>
      <c r="AA861" s="1123">
        <f t="shared" si="976"/>
        <v>33.930795476979789</v>
      </c>
      <c r="AB861" s="1123">
        <f t="shared" si="977"/>
        <v>32</v>
      </c>
      <c r="AC861" s="1123">
        <f t="shared" si="978"/>
        <v>32</v>
      </c>
      <c r="AD861" s="1123">
        <f t="shared" si="979"/>
        <v>33.957225203757623</v>
      </c>
      <c r="AE861" s="1123">
        <f t="shared" si="980"/>
        <v>37.753759415728844</v>
      </c>
      <c r="AF861" s="1123">
        <f t="shared" si="981"/>
        <v>42.168904669612267</v>
      </c>
      <c r="AG861" s="1123">
        <f t="shared" si="982"/>
        <v>46.051785315535277</v>
      </c>
      <c r="AH861" s="1123">
        <f t="shared" si="983"/>
        <v>48.390268676136046</v>
      </c>
      <c r="AI861" s="1123">
        <f t="shared" si="984"/>
        <v>48.574793026354548</v>
      </c>
      <c r="AJ861" s="1123">
        <f t="shared" si="985"/>
        <v>46.557259250700028</v>
      </c>
      <c r="AK861" s="1123">
        <f t="shared" si="986"/>
        <v>42.863568618933435</v>
      </c>
      <c r="AL861" s="1123">
        <f t="shared" si="987"/>
        <v>38.456538515720375</v>
      </c>
      <c r="AM861" s="1120">
        <f t="shared" si="988"/>
        <v>1</v>
      </c>
      <c r="AN861" s="1120">
        <f t="shared" si="989"/>
        <v>1</v>
      </c>
      <c r="AO861" s="1120">
        <f t="shared" si="990"/>
        <v>1</v>
      </c>
      <c r="AP861" s="1120">
        <f t="shared" si="991"/>
        <v>1</v>
      </c>
      <c r="AQ861" s="1120">
        <f t="shared" si="992"/>
        <v>1</v>
      </c>
      <c r="AR861" s="1120">
        <f t="shared" si="993"/>
        <v>1</v>
      </c>
      <c r="AS861" s="1120">
        <f t="shared" si="994"/>
        <v>1</v>
      </c>
      <c r="AT861" s="1120">
        <f t="shared" si="995"/>
        <v>1</v>
      </c>
      <c r="AU861" s="1120">
        <f t="shared" si="996"/>
        <v>1</v>
      </c>
      <c r="AV861" s="1120">
        <f t="shared" si="997"/>
        <v>1</v>
      </c>
      <c r="AW861" s="1120">
        <f t="shared" si="998"/>
        <v>1</v>
      </c>
      <c r="AX861" s="1120">
        <f t="shared" si="999"/>
        <v>1</v>
      </c>
      <c r="AY861" s="1120">
        <f t="shared" si="1000"/>
        <v>0</v>
      </c>
      <c r="AZ861" s="1120">
        <f t="shared" si="1001"/>
        <v>0</v>
      </c>
      <c r="BA861" s="1120">
        <f t="shared" si="1002"/>
        <v>0</v>
      </c>
      <c r="BB861" s="1120">
        <f t="shared" si="1003"/>
        <v>0</v>
      </c>
      <c r="BC861" s="1120">
        <f t="shared" si="1004"/>
        <v>0</v>
      </c>
      <c r="BD861" s="1120">
        <f t="shared" si="1005"/>
        <v>0</v>
      </c>
      <c r="BE861" s="1120">
        <f t="shared" si="1006"/>
        <v>1</v>
      </c>
      <c r="BF861" s="1120">
        <f t="shared" si="1007"/>
        <v>1</v>
      </c>
      <c r="BG861" s="1120">
        <f t="shared" si="1008"/>
        <v>0</v>
      </c>
      <c r="BH861" s="1120">
        <f t="shared" si="1009"/>
        <v>0</v>
      </c>
      <c r="BI861" s="1120">
        <f t="shared" si="1010"/>
        <v>0</v>
      </c>
      <c r="BJ861" s="1120">
        <f t="shared" si="1011"/>
        <v>0</v>
      </c>
      <c r="BK861" s="1120">
        <f t="shared" si="1012"/>
        <v>1</v>
      </c>
      <c r="BL861" s="1120">
        <f t="shared" si="1013"/>
        <v>1</v>
      </c>
      <c r="BM861" s="1120">
        <f t="shared" si="1014"/>
        <v>1</v>
      </c>
      <c r="BN861" s="1120">
        <f t="shared" si="1015"/>
        <v>1</v>
      </c>
      <c r="BO861" s="1120">
        <f t="shared" si="1016"/>
        <v>1</v>
      </c>
      <c r="BP861" s="1120">
        <f t="shared" si="1017"/>
        <v>1</v>
      </c>
      <c r="BQ861" s="1120">
        <f t="shared" si="1018"/>
        <v>1</v>
      </c>
      <c r="BR861" s="1120">
        <f t="shared" si="1019"/>
        <v>1</v>
      </c>
      <c r="BS861" s="1120">
        <f t="shared" si="1020"/>
        <v>1</v>
      </c>
      <c r="BT861" s="1120">
        <f t="shared" si="1021"/>
        <v>1</v>
      </c>
      <c r="BU861" s="1120">
        <f t="shared" si="1022"/>
        <v>1</v>
      </c>
      <c r="BV861" s="1120">
        <f t="shared" si="1023"/>
        <v>1</v>
      </c>
      <c r="BW861" s="1120">
        <f t="shared" si="1024"/>
        <v>0</v>
      </c>
      <c r="BX861" s="1120">
        <f t="shared" si="1025"/>
        <v>0</v>
      </c>
      <c r="BY861" s="1120">
        <f t="shared" si="1026"/>
        <v>0</v>
      </c>
      <c r="BZ861" s="1120">
        <f t="shared" si="1027"/>
        <v>0</v>
      </c>
      <c r="CA861" s="1120">
        <f t="shared" si="1028"/>
        <v>0</v>
      </c>
      <c r="CB861" s="1120">
        <f t="shared" si="1029"/>
        <v>0</v>
      </c>
      <c r="CC861" s="1120">
        <f t="shared" si="1030"/>
        <v>1</v>
      </c>
      <c r="CD861" s="1120">
        <f t="shared" si="1031"/>
        <v>1</v>
      </c>
      <c r="CE861" s="1120">
        <f t="shared" si="1032"/>
        <v>0</v>
      </c>
      <c r="CF861" s="1120">
        <f t="shared" si="1033"/>
        <v>0</v>
      </c>
      <c r="CG861" s="1120">
        <f t="shared" si="1034"/>
        <v>0</v>
      </c>
      <c r="CH861" s="1120">
        <f t="shared" si="1035"/>
        <v>0</v>
      </c>
      <c r="CI861" s="1120">
        <f t="shared" si="1036"/>
        <v>0.85</v>
      </c>
      <c r="CJ861" s="1120">
        <f t="shared" si="1037"/>
        <v>0.85</v>
      </c>
      <c r="CK861" s="1120">
        <f t="shared" si="1038"/>
        <v>0.85</v>
      </c>
      <c r="CL861" s="1120">
        <f t="shared" si="1039"/>
        <v>0.85</v>
      </c>
      <c r="CM861" s="1120">
        <f t="shared" si="1040"/>
        <v>0.85</v>
      </c>
      <c r="CN861" s="1120">
        <f t="shared" si="1041"/>
        <v>0.85</v>
      </c>
      <c r="CO861" s="1120">
        <f t="shared" si="1042"/>
        <v>0.85</v>
      </c>
      <c r="CP861" s="1120">
        <f t="shared" si="1043"/>
        <v>0.85</v>
      </c>
      <c r="CQ861" s="1120">
        <f t="shared" si="1044"/>
        <v>0.85</v>
      </c>
      <c r="CR861" s="1120">
        <f t="shared" si="1045"/>
        <v>0.85</v>
      </c>
      <c r="CS861" s="1120">
        <f t="shared" si="1046"/>
        <v>0.85</v>
      </c>
      <c r="CT861" s="1120">
        <f t="shared" si="1047"/>
        <v>0.85</v>
      </c>
      <c r="CU861" s="1120">
        <v>1</v>
      </c>
      <c r="CV861" s="1120"/>
      <c r="CW861" s="1120">
        <f t="shared" si="1048"/>
        <v>62</v>
      </c>
      <c r="CX861" s="1120">
        <f t="shared" si="1049"/>
        <v>303</v>
      </c>
      <c r="CY861" s="1135" t="s">
        <v>4880</v>
      </c>
      <c r="CZ861" s="1124">
        <v>8</v>
      </c>
      <c r="DA861" s="1124"/>
      <c r="DB861" s="1124"/>
      <c r="DC861" s="1120" t="s">
        <v>4962</v>
      </c>
      <c r="DD861" s="1120" t="s">
        <v>953</v>
      </c>
      <c r="DE861" s="1120" t="str">
        <f t="shared" si="1050"/>
        <v/>
      </c>
      <c r="DF861" s="1120">
        <v>0</v>
      </c>
      <c r="DG861" s="1125">
        <v>0</v>
      </c>
    </row>
    <row r="862" spans="1:111">
      <c r="A862" s="1120" t="s">
        <v>4410</v>
      </c>
      <c r="B862" s="1125" t="s">
        <v>4584</v>
      </c>
      <c r="C862" s="1125" t="s">
        <v>4585</v>
      </c>
      <c r="D862" s="1125" t="s">
        <v>238</v>
      </c>
      <c r="E862" s="1125">
        <v>620</v>
      </c>
      <c r="F862" s="1125">
        <v>-122.28</v>
      </c>
      <c r="G862" s="1125">
        <v>47.9</v>
      </c>
      <c r="H862" s="1125">
        <v>-8</v>
      </c>
      <c r="I862" s="1126">
        <v>30.019999957084657</v>
      </c>
      <c r="J862" s="1126">
        <v>75.2</v>
      </c>
      <c r="K862" s="1127">
        <v>62.060001373291016</v>
      </c>
      <c r="L862" s="1125">
        <v>5027.4000000000005</v>
      </c>
      <c r="M862" s="1125">
        <v>68.400000000000006</v>
      </c>
      <c r="N862" s="1128">
        <v>44.959999656677248</v>
      </c>
      <c r="O862" s="1128">
        <v>42.259999656677245</v>
      </c>
      <c r="P862" s="1128">
        <v>43.7</v>
      </c>
      <c r="Q862" s="1128">
        <v>49.280000686645508</v>
      </c>
      <c r="R862" s="1128">
        <v>50</v>
      </c>
      <c r="S862" s="1128">
        <v>58.280000686645508</v>
      </c>
      <c r="T862" s="1128">
        <v>61.160001373291017</v>
      </c>
      <c r="U862" s="1128">
        <v>63.5</v>
      </c>
      <c r="V862" s="1128">
        <v>58.640000343322754</v>
      </c>
      <c r="W862" s="1128">
        <v>51.259999656677245</v>
      </c>
      <c r="X862" s="1128">
        <v>44.059999656677249</v>
      </c>
      <c r="Y862" s="1128">
        <v>42.440000343322751</v>
      </c>
      <c r="Z862" s="1128">
        <v>50.845753598670434</v>
      </c>
      <c r="AA862" s="1128">
        <f t="shared" si="976"/>
        <v>52.443331066773879</v>
      </c>
      <c r="AB862" s="1128">
        <f t="shared" si="977"/>
        <v>51.873243969065953</v>
      </c>
      <c r="AC862" s="1128">
        <f t="shared" si="978"/>
        <v>52.599318135007358</v>
      </c>
      <c r="AD862" s="1128">
        <f t="shared" si="979"/>
        <v>54.432291144103878</v>
      </c>
      <c r="AE862" s="1128">
        <f t="shared" si="980"/>
        <v>56.894370334565409</v>
      </c>
      <c r="AF862" s="1128">
        <f t="shared" si="981"/>
        <v>59.343776823609332</v>
      </c>
      <c r="AG862" s="1128">
        <f t="shared" si="982"/>
        <v>61.142035063369782</v>
      </c>
      <c r="AH862" s="1128">
        <f t="shared" si="983"/>
        <v>61.820401331654885</v>
      </c>
      <c r="AI862" s="1128">
        <f t="shared" si="984"/>
        <v>61.202049006695496</v>
      </c>
      <c r="AJ862" s="1128">
        <f t="shared" si="985"/>
        <v>59.448161151090055</v>
      </c>
      <c r="AK862" s="1128">
        <f t="shared" si="986"/>
        <v>57.015915662632104</v>
      </c>
      <c r="AL862" s="1128">
        <f t="shared" si="987"/>
        <v>54.53931480992577</v>
      </c>
      <c r="AM862" s="1125">
        <f t="shared" si="988"/>
        <v>1</v>
      </c>
      <c r="AN862" s="1125">
        <f t="shared" si="989"/>
        <v>1</v>
      </c>
      <c r="AO862" s="1125">
        <f t="shared" si="990"/>
        <v>1</v>
      </c>
      <c r="AP862" s="1125">
        <f t="shared" si="991"/>
        <v>1</v>
      </c>
      <c r="AQ862" s="1125">
        <f t="shared" si="992"/>
        <v>1</v>
      </c>
      <c r="AR862" s="1125">
        <f t="shared" si="993"/>
        <v>1</v>
      </c>
      <c r="AS862" s="1125">
        <f t="shared" si="994"/>
        <v>1</v>
      </c>
      <c r="AT862" s="1125">
        <f t="shared" si="995"/>
        <v>1</v>
      </c>
      <c r="AU862" s="1125">
        <f t="shared" si="996"/>
        <v>1</v>
      </c>
      <c r="AV862" s="1125">
        <f t="shared" si="997"/>
        <v>1</v>
      </c>
      <c r="AW862" s="1125">
        <f t="shared" si="998"/>
        <v>1</v>
      </c>
      <c r="AX862" s="1125">
        <f t="shared" si="999"/>
        <v>1</v>
      </c>
      <c r="AY862" s="1125">
        <f t="shared" si="1000"/>
        <v>0</v>
      </c>
      <c r="AZ862" s="1125">
        <f t="shared" si="1001"/>
        <v>0</v>
      </c>
      <c r="BA862" s="1125">
        <f t="shared" si="1002"/>
        <v>0</v>
      </c>
      <c r="BB862" s="1125">
        <f t="shared" si="1003"/>
        <v>0</v>
      </c>
      <c r="BC862" s="1125">
        <f t="shared" si="1004"/>
        <v>0</v>
      </c>
      <c r="BD862" s="1125">
        <f t="shared" si="1005"/>
        <v>0</v>
      </c>
      <c r="BE862" s="1125">
        <f t="shared" si="1006"/>
        <v>1</v>
      </c>
      <c r="BF862" s="1125">
        <f t="shared" si="1007"/>
        <v>1</v>
      </c>
      <c r="BG862" s="1125">
        <f t="shared" si="1008"/>
        <v>0</v>
      </c>
      <c r="BH862" s="1125">
        <f t="shared" si="1009"/>
        <v>0</v>
      </c>
      <c r="BI862" s="1125">
        <f t="shared" si="1010"/>
        <v>0</v>
      </c>
      <c r="BJ862" s="1125">
        <f t="shared" si="1011"/>
        <v>0</v>
      </c>
      <c r="BK862" s="1125">
        <f t="shared" si="1012"/>
        <v>1</v>
      </c>
      <c r="BL862" s="1125">
        <f t="shared" si="1013"/>
        <v>1</v>
      </c>
      <c r="BM862" s="1125">
        <f t="shared" si="1014"/>
        <v>1</v>
      </c>
      <c r="BN862" s="1125">
        <f t="shared" si="1015"/>
        <v>1</v>
      </c>
      <c r="BO862" s="1125">
        <f t="shared" si="1016"/>
        <v>1</v>
      </c>
      <c r="BP862" s="1125">
        <f t="shared" si="1017"/>
        <v>1</v>
      </c>
      <c r="BQ862" s="1125">
        <f t="shared" si="1018"/>
        <v>1</v>
      </c>
      <c r="BR862" s="1125">
        <f t="shared" si="1019"/>
        <v>1</v>
      </c>
      <c r="BS862" s="1125">
        <f t="shared" si="1020"/>
        <v>1</v>
      </c>
      <c r="BT862" s="1125">
        <f t="shared" si="1021"/>
        <v>1</v>
      </c>
      <c r="BU862" s="1125">
        <f t="shared" si="1022"/>
        <v>1</v>
      </c>
      <c r="BV862" s="1125">
        <f t="shared" si="1023"/>
        <v>1</v>
      </c>
      <c r="BW862" s="1125">
        <f t="shared" si="1024"/>
        <v>0</v>
      </c>
      <c r="BX862" s="1125">
        <f t="shared" si="1025"/>
        <v>0</v>
      </c>
      <c r="BY862" s="1125">
        <f t="shared" si="1026"/>
        <v>0</v>
      </c>
      <c r="BZ862" s="1125">
        <f t="shared" si="1027"/>
        <v>0</v>
      </c>
      <c r="CA862" s="1125">
        <f t="shared" si="1028"/>
        <v>0</v>
      </c>
      <c r="CB862" s="1125">
        <f t="shared" si="1029"/>
        <v>0</v>
      </c>
      <c r="CC862" s="1125">
        <f t="shared" si="1030"/>
        <v>1</v>
      </c>
      <c r="CD862" s="1125">
        <f t="shared" si="1031"/>
        <v>1</v>
      </c>
      <c r="CE862" s="1125">
        <f t="shared" si="1032"/>
        <v>0</v>
      </c>
      <c r="CF862" s="1125">
        <f t="shared" si="1033"/>
        <v>0</v>
      </c>
      <c r="CG862" s="1125">
        <f t="shared" si="1034"/>
        <v>0</v>
      </c>
      <c r="CH862" s="1125">
        <f t="shared" si="1035"/>
        <v>0</v>
      </c>
      <c r="CI862" s="1125">
        <f t="shared" si="1036"/>
        <v>0.85</v>
      </c>
      <c r="CJ862" s="1125">
        <f t="shared" si="1037"/>
        <v>0.85</v>
      </c>
      <c r="CK862" s="1125">
        <f t="shared" si="1038"/>
        <v>0.85</v>
      </c>
      <c r="CL862" s="1125">
        <f t="shared" si="1039"/>
        <v>0.85</v>
      </c>
      <c r="CM862" s="1125">
        <f t="shared" si="1040"/>
        <v>0.85</v>
      </c>
      <c r="CN862" s="1125">
        <f t="shared" si="1041"/>
        <v>0.85</v>
      </c>
      <c r="CO862" s="1125">
        <f t="shared" si="1042"/>
        <v>0.85</v>
      </c>
      <c r="CP862" s="1125">
        <f t="shared" si="1043"/>
        <v>0.85</v>
      </c>
      <c r="CQ862" s="1125">
        <f t="shared" si="1044"/>
        <v>0.85</v>
      </c>
      <c r="CR862" s="1125">
        <f t="shared" si="1045"/>
        <v>0.85</v>
      </c>
      <c r="CS862" s="1125">
        <f t="shared" si="1046"/>
        <v>0.85</v>
      </c>
      <c r="CT862" s="1125">
        <f t="shared" si="1047"/>
        <v>0.85</v>
      </c>
      <c r="CU862" s="1125">
        <v>1</v>
      </c>
      <c r="CV862" s="1125"/>
      <c r="CW862" s="1125">
        <f t="shared" si="1048"/>
        <v>62</v>
      </c>
      <c r="CX862" s="1125">
        <f t="shared" si="1049"/>
        <v>303</v>
      </c>
      <c r="CY862" s="1136" t="s">
        <v>4893</v>
      </c>
      <c r="CZ862" s="1129" t="s">
        <v>4894</v>
      </c>
      <c r="DA862" s="1129"/>
      <c r="DB862" s="1129"/>
      <c r="DC862" s="1125" t="s">
        <v>5665</v>
      </c>
      <c r="DD862" s="1125" t="s">
        <v>238</v>
      </c>
      <c r="DE862" s="1120" t="str">
        <f t="shared" si="1050"/>
        <v/>
      </c>
      <c r="DF862" s="1133">
        <v>0</v>
      </c>
      <c r="DG862" s="1120">
        <v>0</v>
      </c>
    </row>
    <row r="863" spans="1:111">
      <c r="A863" s="1125" t="s">
        <v>4412</v>
      </c>
      <c r="B863" s="1125" t="s">
        <v>3493</v>
      </c>
      <c r="C863" s="1125" t="s">
        <v>3494</v>
      </c>
      <c r="D863" s="1125" t="s">
        <v>249</v>
      </c>
      <c r="E863" s="1125">
        <v>5838</v>
      </c>
      <c r="F863" s="1125">
        <v>-111.58</v>
      </c>
      <c r="G863" s="1125">
        <v>42.65</v>
      </c>
      <c r="H863" s="1125">
        <v>-7</v>
      </c>
      <c r="I863" s="1126">
        <v>-18.400000000000002</v>
      </c>
      <c r="J863" s="1126">
        <v>88.7</v>
      </c>
      <c r="K863" s="1127">
        <v>55.219999313354492</v>
      </c>
      <c r="L863" s="1125">
        <v>8159.4000000000005</v>
      </c>
      <c r="M863" s="1125">
        <v>356.40000000000003</v>
      </c>
      <c r="N863" s="1128">
        <v>28.580000042915344</v>
      </c>
      <c r="O863" s="1128">
        <v>23.540000343322752</v>
      </c>
      <c r="P863" s="1128">
        <v>29.3</v>
      </c>
      <c r="Q863" s="1128">
        <v>37.4</v>
      </c>
      <c r="R863" s="1128">
        <v>50.9</v>
      </c>
      <c r="S863" s="1128">
        <v>61.519999313354496</v>
      </c>
      <c r="T863" s="1128">
        <v>68.719999313354492</v>
      </c>
      <c r="U863" s="1128">
        <v>64.760001373291018</v>
      </c>
      <c r="V863" s="1128">
        <v>52.519999313354489</v>
      </c>
      <c r="W863" s="1128">
        <v>41.179999828338623</v>
      </c>
      <c r="X863" s="1128">
        <v>30.740000021457671</v>
      </c>
      <c r="Y863" s="1128">
        <v>25.339999914169312</v>
      </c>
      <c r="Z863" s="1128">
        <v>43.004657489567585</v>
      </c>
      <c r="AA863" s="1128">
        <f t="shared" si="976"/>
        <v>41.830594739310449</v>
      </c>
      <c r="AB863" s="1128">
        <f t="shared" si="977"/>
        <v>40.240360351389043</v>
      </c>
      <c r="AC863" s="1128">
        <f t="shared" si="978"/>
        <v>40.934675074441067</v>
      </c>
      <c r="AD863" s="1128">
        <f t="shared" si="979"/>
        <v>43.73255507618925</v>
      </c>
      <c r="AE863" s="1128">
        <f t="shared" si="980"/>
        <v>47.904689817541964</v>
      </c>
      <c r="AF863" s="1128">
        <f t="shared" si="981"/>
        <v>52.363548083623087</v>
      </c>
      <c r="AG863" s="1128">
        <f t="shared" si="982"/>
        <v>55.94685975429276</v>
      </c>
      <c r="AH863" s="1128">
        <f t="shared" si="983"/>
        <v>57.720579422086587</v>
      </c>
      <c r="AI863" s="1128">
        <f t="shared" si="984"/>
        <v>57.222359721746628</v>
      </c>
      <c r="AJ863" s="1128">
        <f t="shared" si="985"/>
        <v>54.582069295964487</v>
      </c>
      <c r="AK863" s="1128">
        <f t="shared" si="986"/>
        <v>50.487940532327357</v>
      </c>
      <c r="AL863" s="1128">
        <f t="shared" si="987"/>
        <v>46.007171185511289</v>
      </c>
      <c r="AM863" s="1125">
        <f t="shared" si="988"/>
        <v>1</v>
      </c>
      <c r="AN863" s="1125">
        <f t="shared" si="989"/>
        <v>1</v>
      </c>
      <c r="AO863" s="1125">
        <f t="shared" si="990"/>
        <v>1</v>
      </c>
      <c r="AP863" s="1125">
        <f t="shared" si="991"/>
        <v>1</v>
      </c>
      <c r="AQ863" s="1125">
        <f t="shared" si="992"/>
        <v>1</v>
      </c>
      <c r="AR863" s="1125">
        <f t="shared" si="993"/>
        <v>1</v>
      </c>
      <c r="AS863" s="1125">
        <f t="shared" si="994"/>
        <v>0</v>
      </c>
      <c r="AT863" s="1125">
        <f t="shared" si="995"/>
        <v>1</v>
      </c>
      <c r="AU863" s="1125">
        <f t="shared" si="996"/>
        <v>1</v>
      </c>
      <c r="AV863" s="1125">
        <f t="shared" si="997"/>
        <v>1</v>
      </c>
      <c r="AW863" s="1125">
        <f t="shared" si="998"/>
        <v>1</v>
      </c>
      <c r="AX863" s="1125">
        <f t="shared" si="999"/>
        <v>1</v>
      </c>
      <c r="AY863" s="1125">
        <f t="shared" si="1000"/>
        <v>0</v>
      </c>
      <c r="AZ863" s="1125">
        <f t="shared" si="1001"/>
        <v>0</v>
      </c>
      <c r="BA863" s="1125">
        <f t="shared" si="1002"/>
        <v>0</v>
      </c>
      <c r="BB863" s="1125">
        <f t="shared" si="1003"/>
        <v>0</v>
      </c>
      <c r="BC863" s="1125">
        <f t="shared" si="1004"/>
        <v>0</v>
      </c>
      <c r="BD863" s="1125">
        <f t="shared" si="1005"/>
        <v>0</v>
      </c>
      <c r="BE863" s="1125">
        <f t="shared" si="1006"/>
        <v>1</v>
      </c>
      <c r="BF863" s="1125">
        <f t="shared" si="1007"/>
        <v>1</v>
      </c>
      <c r="BG863" s="1125">
        <f t="shared" si="1008"/>
        <v>0</v>
      </c>
      <c r="BH863" s="1125">
        <f t="shared" si="1009"/>
        <v>0</v>
      </c>
      <c r="BI863" s="1125">
        <f t="shared" si="1010"/>
        <v>0</v>
      </c>
      <c r="BJ863" s="1125">
        <f t="shared" si="1011"/>
        <v>0</v>
      </c>
      <c r="BK863" s="1125">
        <f t="shared" si="1012"/>
        <v>1</v>
      </c>
      <c r="BL863" s="1125">
        <f t="shared" si="1013"/>
        <v>1</v>
      </c>
      <c r="BM863" s="1125">
        <f t="shared" si="1014"/>
        <v>1</v>
      </c>
      <c r="BN863" s="1125">
        <f t="shared" si="1015"/>
        <v>1</v>
      </c>
      <c r="BO863" s="1125">
        <f t="shared" si="1016"/>
        <v>1</v>
      </c>
      <c r="BP863" s="1125">
        <f t="shared" si="1017"/>
        <v>1</v>
      </c>
      <c r="BQ863" s="1125">
        <f t="shared" si="1018"/>
        <v>1</v>
      </c>
      <c r="BR863" s="1125">
        <f t="shared" si="1019"/>
        <v>1</v>
      </c>
      <c r="BS863" s="1125">
        <f t="shared" si="1020"/>
        <v>1</v>
      </c>
      <c r="BT863" s="1125">
        <f t="shared" si="1021"/>
        <v>1</v>
      </c>
      <c r="BU863" s="1125">
        <f t="shared" si="1022"/>
        <v>1</v>
      </c>
      <c r="BV863" s="1125">
        <f t="shared" si="1023"/>
        <v>1</v>
      </c>
      <c r="BW863" s="1125">
        <f t="shared" si="1024"/>
        <v>0</v>
      </c>
      <c r="BX863" s="1125">
        <f t="shared" si="1025"/>
        <v>0</v>
      </c>
      <c r="BY863" s="1125">
        <f t="shared" si="1026"/>
        <v>0</v>
      </c>
      <c r="BZ863" s="1125">
        <f t="shared" si="1027"/>
        <v>0</v>
      </c>
      <c r="CA863" s="1125">
        <f t="shared" si="1028"/>
        <v>0</v>
      </c>
      <c r="CB863" s="1125">
        <f t="shared" si="1029"/>
        <v>1</v>
      </c>
      <c r="CC863" s="1125">
        <f t="shared" si="1030"/>
        <v>1</v>
      </c>
      <c r="CD863" s="1125">
        <f t="shared" si="1031"/>
        <v>1</v>
      </c>
      <c r="CE863" s="1125">
        <f t="shared" si="1032"/>
        <v>0</v>
      </c>
      <c r="CF863" s="1125">
        <f t="shared" si="1033"/>
        <v>0</v>
      </c>
      <c r="CG863" s="1125">
        <f t="shared" si="1034"/>
        <v>0</v>
      </c>
      <c r="CH863" s="1125">
        <f t="shared" si="1035"/>
        <v>0</v>
      </c>
      <c r="CI863" s="1125">
        <f t="shared" si="1036"/>
        <v>0.85</v>
      </c>
      <c r="CJ863" s="1125">
        <f t="shared" si="1037"/>
        <v>0.85</v>
      </c>
      <c r="CK863" s="1125">
        <f t="shared" si="1038"/>
        <v>0.85</v>
      </c>
      <c r="CL863" s="1125">
        <f t="shared" si="1039"/>
        <v>0.85</v>
      </c>
      <c r="CM863" s="1125">
        <f t="shared" si="1040"/>
        <v>0.85</v>
      </c>
      <c r="CN863" s="1125">
        <f t="shared" si="1041"/>
        <v>0.85</v>
      </c>
      <c r="CO863" s="1125">
        <f t="shared" si="1042"/>
        <v>0.85</v>
      </c>
      <c r="CP863" s="1125">
        <f t="shared" si="1043"/>
        <v>0.85</v>
      </c>
      <c r="CQ863" s="1125">
        <f t="shared" si="1044"/>
        <v>0.85</v>
      </c>
      <c r="CR863" s="1125">
        <f t="shared" si="1045"/>
        <v>0.85</v>
      </c>
      <c r="CS863" s="1125">
        <f t="shared" si="1046"/>
        <v>0.85</v>
      </c>
      <c r="CT863" s="1125">
        <f t="shared" si="1047"/>
        <v>0.85</v>
      </c>
      <c r="CU863" s="1125">
        <v>1</v>
      </c>
      <c r="CV863" s="1125"/>
      <c r="CW863" s="1125">
        <f t="shared" si="1048"/>
        <v>92</v>
      </c>
      <c r="CX863" s="1125">
        <f t="shared" si="1049"/>
        <v>273</v>
      </c>
      <c r="CY863" s="1136" t="s">
        <v>4889</v>
      </c>
      <c r="CZ863" s="1129" t="s">
        <v>4896</v>
      </c>
      <c r="DA863" s="1129"/>
      <c r="DB863" s="1129"/>
      <c r="DC863" s="1125" t="s">
        <v>5963</v>
      </c>
      <c r="DD863" s="1125" t="s">
        <v>249</v>
      </c>
      <c r="DE863" s="1120" t="str">
        <f t="shared" si="1050"/>
        <v/>
      </c>
      <c r="DF863" s="1133">
        <v>0</v>
      </c>
      <c r="DG863" s="1125">
        <v>0</v>
      </c>
    </row>
    <row r="864" spans="1:111">
      <c r="A864" s="1120" t="s">
        <v>4414</v>
      </c>
      <c r="B864" s="1125" t="s">
        <v>1256</v>
      </c>
      <c r="C864" s="1125" t="s">
        <v>1257</v>
      </c>
      <c r="D864" s="1125" t="s">
        <v>953</v>
      </c>
      <c r="E864" s="1125">
        <v>112</v>
      </c>
      <c r="F864" s="1125">
        <v>-151.03</v>
      </c>
      <c r="G864" s="1125">
        <v>60.47</v>
      </c>
      <c r="H864" s="1125">
        <v>-9</v>
      </c>
      <c r="I864" s="1126">
        <v>-19.480000686645511</v>
      </c>
      <c r="J864" s="1126">
        <v>68</v>
      </c>
      <c r="K864" s="1127">
        <v>55.580000686645505</v>
      </c>
      <c r="L864" s="1125">
        <v>9745.2000000000007</v>
      </c>
      <c r="M864" s="1125">
        <v>3.6</v>
      </c>
      <c r="N864" s="1128">
        <v>25.339999914169312</v>
      </c>
      <c r="O864" s="1128">
        <v>29.480000042915343</v>
      </c>
      <c r="P864" s="1128">
        <v>29.119999957084655</v>
      </c>
      <c r="Q864" s="1128">
        <v>35.6</v>
      </c>
      <c r="R864" s="1128">
        <v>46.580000686645505</v>
      </c>
      <c r="S864" s="1128">
        <v>54.319999313354494</v>
      </c>
      <c r="T864" s="1128">
        <v>55.219999313354492</v>
      </c>
      <c r="U864" s="1128">
        <v>53.240000343322755</v>
      </c>
      <c r="V864" s="1128">
        <v>45.859999656677246</v>
      </c>
      <c r="W864" s="1128">
        <v>32.360000005364419</v>
      </c>
      <c r="X864" s="1128">
        <v>19.579999828338622</v>
      </c>
      <c r="Y864" s="1128">
        <v>25.160000085830688</v>
      </c>
      <c r="Z864" s="1128">
        <v>37.709205409949774</v>
      </c>
      <c r="AA864" s="1128">
        <f t="shared" si="976"/>
        <v>39.155977352425012</v>
      </c>
      <c r="AB864" s="1128">
        <f t="shared" si="977"/>
        <v>37.815261153746725</v>
      </c>
      <c r="AC864" s="1128">
        <f t="shared" si="978"/>
        <v>38.010892353878106</v>
      </c>
      <c r="AD864" s="1128">
        <f t="shared" si="979"/>
        <v>39.691876665736864</v>
      </c>
      <c r="AE864" s="1128">
        <f t="shared" si="980"/>
        <v>42.42003962368463</v>
      </c>
      <c r="AF864" s="1128">
        <f t="shared" si="981"/>
        <v>45.484243510468531</v>
      </c>
      <c r="AG864" s="1128">
        <f t="shared" si="982"/>
        <v>48.085756362187084</v>
      </c>
      <c r="AH864" s="1128">
        <f t="shared" si="983"/>
        <v>49.54645376351327</v>
      </c>
      <c r="AI864" s="1128">
        <f t="shared" si="984"/>
        <v>49.485582426763102</v>
      </c>
      <c r="AJ864" s="1128">
        <f t="shared" si="985"/>
        <v>47.919009403916199</v>
      </c>
      <c r="AK864" s="1128">
        <f t="shared" si="986"/>
        <v>45.255086094998653</v>
      </c>
      <c r="AL864" s="1128">
        <f t="shared" si="987"/>
        <v>42.188205162780648</v>
      </c>
      <c r="AM864" s="1125">
        <f t="shared" si="988"/>
        <v>1</v>
      </c>
      <c r="AN864" s="1125">
        <f t="shared" si="989"/>
        <v>1</v>
      </c>
      <c r="AO864" s="1125">
        <f t="shared" si="990"/>
        <v>1</v>
      </c>
      <c r="AP864" s="1125">
        <f t="shared" si="991"/>
        <v>1</v>
      </c>
      <c r="AQ864" s="1125">
        <f t="shared" si="992"/>
        <v>1</v>
      </c>
      <c r="AR864" s="1125">
        <f t="shared" si="993"/>
        <v>1</v>
      </c>
      <c r="AS864" s="1125">
        <f t="shared" si="994"/>
        <v>1</v>
      </c>
      <c r="AT864" s="1125">
        <f t="shared" si="995"/>
        <v>1</v>
      </c>
      <c r="AU864" s="1125">
        <f t="shared" si="996"/>
        <v>1</v>
      </c>
      <c r="AV864" s="1125">
        <f t="shared" si="997"/>
        <v>1</v>
      </c>
      <c r="AW864" s="1125">
        <f t="shared" si="998"/>
        <v>1</v>
      </c>
      <c r="AX864" s="1125">
        <f t="shared" si="999"/>
        <v>1</v>
      </c>
      <c r="AY864" s="1125">
        <f t="shared" si="1000"/>
        <v>0</v>
      </c>
      <c r="AZ864" s="1125">
        <f t="shared" si="1001"/>
        <v>0</v>
      </c>
      <c r="BA864" s="1125">
        <f t="shared" si="1002"/>
        <v>0</v>
      </c>
      <c r="BB864" s="1125">
        <f t="shared" si="1003"/>
        <v>0</v>
      </c>
      <c r="BC864" s="1125">
        <f t="shared" si="1004"/>
        <v>0</v>
      </c>
      <c r="BD864" s="1125">
        <f t="shared" si="1005"/>
        <v>0</v>
      </c>
      <c r="BE864" s="1125">
        <f t="shared" si="1006"/>
        <v>1</v>
      </c>
      <c r="BF864" s="1125">
        <f t="shared" si="1007"/>
        <v>1</v>
      </c>
      <c r="BG864" s="1125">
        <f t="shared" si="1008"/>
        <v>0</v>
      </c>
      <c r="BH864" s="1125">
        <f t="shared" si="1009"/>
        <v>0</v>
      </c>
      <c r="BI864" s="1125">
        <f t="shared" si="1010"/>
        <v>0</v>
      </c>
      <c r="BJ864" s="1125">
        <f t="shared" si="1011"/>
        <v>0</v>
      </c>
      <c r="BK864" s="1125">
        <f t="shared" si="1012"/>
        <v>1</v>
      </c>
      <c r="BL864" s="1125">
        <f t="shared" si="1013"/>
        <v>1</v>
      </c>
      <c r="BM864" s="1125">
        <f t="shared" si="1014"/>
        <v>1</v>
      </c>
      <c r="BN864" s="1125">
        <f t="shared" si="1015"/>
        <v>1</v>
      </c>
      <c r="BO864" s="1125">
        <f t="shared" si="1016"/>
        <v>1</v>
      </c>
      <c r="BP864" s="1125">
        <f t="shared" si="1017"/>
        <v>1</v>
      </c>
      <c r="BQ864" s="1125">
        <f t="shared" si="1018"/>
        <v>1</v>
      </c>
      <c r="BR864" s="1125">
        <f t="shared" si="1019"/>
        <v>1</v>
      </c>
      <c r="BS864" s="1125">
        <f t="shared" si="1020"/>
        <v>1</v>
      </c>
      <c r="BT864" s="1125">
        <f t="shared" si="1021"/>
        <v>1</v>
      </c>
      <c r="BU864" s="1125">
        <f t="shared" si="1022"/>
        <v>1</v>
      </c>
      <c r="BV864" s="1125">
        <f t="shared" si="1023"/>
        <v>1</v>
      </c>
      <c r="BW864" s="1125">
        <f t="shared" si="1024"/>
        <v>0</v>
      </c>
      <c r="BX864" s="1125">
        <f t="shared" si="1025"/>
        <v>0</v>
      </c>
      <c r="BY864" s="1125">
        <f t="shared" si="1026"/>
        <v>0</v>
      </c>
      <c r="BZ864" s="1125">
        <f t="shared" si="1027"/>
        <v>0</v>
      </c>
      <c r="CA864" s="1125">
        <f t="shared" si="1028"/>
        <v>0</v>
      </c>
      <c r="CB864" s="1125">
        <f t="shared" si="1029"/>
        <v>0</v>
      </c>
      <c r="CC864" s="1125">
        <f t="shared" si="1030"/>
        <v>1</v>
      </c>
      <c r="CD864" s="1125">
        <f t="shared" si="1031"/>
        <v>1</v>
      </c>
      <c r="CE864" s="1125">
        <f t="shared" si="1032"/>
        <v>0</v>
      </c>
      <c r="CF864" s="1125">
        <f t="shared" si="1033"/>
        <v>0</v>
      </c>
      <c r="CG864" s="1125">
        <f t="shared" si="1034"/>
        <v>0</v>
      </c>
      <c r="CH864" s="1125">
        <f t="shared" si="1035"/>
        <v>0</v>
      </c>
      <c r="CI864" s="1125">
        <f t="shared" si="1036"/>
        <v>0.85</v>
      </c>
      <c r="CJ864" s="1125">
        <f t="shared" si="1037"/>
        <v>0.85</v>
      </c>
      <c r="CK864" s="1125">
        <f t="shared" si="1038"/>
        <v>0.85</v>
      </c>
      <c r="CL864" s="1125">
        <f t="shared" si="1039"/>
        <v>0.85</v>
      </c>
      <c r="CM864" s="1125">
        <f t="shared" si="1040"/>
        <v>0.85</v>
      </c>
      <c r="CN864" s="1125">
        <f t="shared" si="1041"/>
        <v>0.85</v>
      </c>
      <c r="CO864" s="1125">
        <f t="shared" si="1042"/>
        <v>0.85</v>
      </c>
      <c r="CP864" s="1125">
        <f t="shared" si="1043"/>
        <v>0.85</v>
      </c>
      <c r="CQ864" s="1125">
        <f t="shared" si="1044"/>
        <v>0.85</v>
      </c>
      <c r="CR864" s="1125">
        <f t="shared" si="1045"/>
        <v>0.85</v>
      </c>
      <c r="CS864" s="1125">
        <f t="shared" si="1046"/>
        <v>0.85</v>
      </c>
      <c r="CT864" s="1125">
        <f t="shared" si="1047"/>
        <v>0.85</v>
      </c>
      <c r="CU864" s="1125">
        <v>1</v>
      </c>
      <c r="CV864" s="1125"/>
      <c r="CW864" s="1125">
        <f t="shared" si="1048"/>
        <v>62</v>
      </c>
      <c r="CX864" s="1125">
        <f t="shared" si="1049"/>
        <v>303</v>
      </c>
      <c r="CY864" s="1136" t="s">
        <v>4879</v>
      </c>
      <c r="CZ864" s="1129">
        <v>7</v>
      </c>
      <c r="DA864" s="1129"/>
      <c r="DB864" s="1129"/>
      <c r="DC864" s="1125" t="s">
        <v>4963</v>
      </c>
      <c r="DD864" s="1125" t="s">
        <v>953</v>
      </c>
      <c r="DE864" s="1125" t="str">
        <f t="shared" si="1050"/>
        <v/>
      </c>
      <c r="DF864" s="1125">
        <v>0</v>
      </c>
      <c r="DG864" s="1120">
        <v>0</v>
      </c>
    </row>
    <row r="865" spans="1:111">
      <c r="A865" s="1125" t="s">
        <v>4416</v>
      </c>
      <c r="B865" s="1125" t="s">
        <v>3613</v>
      </c>
      <c r="C865" s="1125" t="s">
        <v>3614</v>
      </c>
      <c r="D865" s="1125" t="s">
        <v>1107</v>
      </c>
      <c r="E865" s="1125">
        <v>928</v>
      </c>
      <c r="F865" s="1125">
        <v>-84.6</v>
      </c>
      <c r="G865" s="1125">
        <v>38</v>
      </c>
      <c r="H865" s="1125">
        <v>-5</v>
      </c>
      <c r="I865" s="1126">
        <v>18.5</v>
      </c>
      <c r="J865" s="1126">
        <v>92.120002746582031</v>
      </c>
      <c r="K865" s="1127">
        <v>74.480000686645511</v>
      </c>
      <c r="L865" s="1125">
        <v>3895.2000000000003</v>
      </c>
      <c r="M865" s="1125">
        <v>1506.6000000000001</v>
      </c>
      <c r="N865" s="1128">
        <v>34.519999957084657</v>
      </c>
      <c r="O865" s="1128">
        <v>35.6</v>
      </c>
      <c r="P865" s="1128">
        <v>50.359999656677246</v>
      </c>
      <c r="Q865" s="1128">
        <v>58.819999313354494</v>
      </c>
      <c r="R865" s="1128">
        <v>69.439998626708984</v>
      </c>
      <c r="S865" s="1128">
        <v>75.380000686645502</v>
      </c>
      <c r="T865" s="1128">
        <v>76.639998626708987</v>
      </c>
      <c r="U865" s="1128">
        <v>75.919999313354495</v>
      </c>
      <c r="V865" s="1128">
        <v>68.900000000000006</v>
      </c>
      <c r="W865" s="1128">
        <v>57.019999313354489</v>
      </c>
      <c r="X865" s="1128">
        <v>52.7</v>
      </c>
      <c r="Y865" s="1128">
        <v>37.579999828338622</v>
      </c>
      <c r="Z865" s="1128">
        <v>57.853917410928908</v>
      </c>
      <c r="AA865" s="1128">
        <f t="shared" si="976"/>
        <v>53.254987454224221</v>
      </c>
      <c r="AB865" s="1128">
        <f t="shared" si="977"/>
        <v>52.643679563812341</v>
      </c>
      <c r="AC865" s="1128">
        <f t="shared" si="978"/>
        <v>54.954492923245873</v>
      </c>
      <c r="AD865" s="1128">
        <f t="shared" si="979"/>
        <v>59.585078419676663</v>
      </c>
      <c r="AE865" s="1128">
        <f t="shared" si="980"/>
        <v>65.328402583977493</v>
      </c>
      <c r="AF865" s="1128">
        <f t="shared" si="981"/>
        <v>70.6873794654189</v>
      </c>
      <c r="AG865" s="1128">
        <f t="shared" si="982"/>
        <v>74.26510915551961</v>
      </c>
      <c r="AH865" s="1128">
        <f t="shared" si="983"/>
        <v>75.129001276071449</v>
      </c>
      <c r="AI865" s="1128">
        <f t="shared" si="984"/>
        <v>73.053869032872029</v>
      </c>
      <c r="AJ865" s="1128">
        <f t="shared" si="985"/>
        <v>68.58062762386713</v>
      </c>
      <c r="AK865" s="1128">
        <f t="shared" si="986"/>
        <v>62.875296357050637</v>
      </c>
      <c r="AL865" s="1128">
        <f t="shared" si="987"/>
        <v>57.425057748934449</v>
      </c>
      <c r="AM865" s="1125">
        <f t="shared" si="988"/>
        <v>1</v>
      </c>
      <c r="AN865" s="1125">
        <f t="shared" si="989"/>
        <v>1</v>
      </c>
      <c r="AO865" s="1125">
        <f t="shared" si="990"/>
        <v>1</v>
      </c>
      <c r="AP865" s="1125">
        <f t="shared" si="991"/>
        <v>1</v>
      </c>
      <c r="AQ865" s="1125">
        <f t="shared" si="992"/>
        <v>0</v>
      </c>
      <c r="AR865" s="1125">
        <f t="shared" si="993"/>
        <v>0</v>
      </c>
      <c r="AS865" s="1125">
        <f t="shared" si="994"/>
        <v>0</v>
      </c>
      <c r="AT865" s="1125">
        <f t="shared" si="995"/>
        <v>0</v>
      </c>
      <c r="AU865" s="1125">
        <f t="shared" si="996"/>
        <v>0</v>
      </c>
      <c r="AV865" s="1125">
        <f t="shared" si="997"/>
        <v>1</v>
      </c>
      <c r="AW865" s="1125">
        <f t="shared" si="998"/>
        <v>1</v>
      </c>
      <c r="AX865" s="1125">
        <f t="shared" si="999"/>
        <v>1</v>
      </c>
      <c r="AY865" s="1125">
        <f t="shared" si="1000"/>
        <v>0</v>
      </c>
      <c r="AZ865" s="1125">
        <f t="shared" si="1001"/>
        <v>0</v>
      </c>
      <c r="BA865" s="1125">
        <f t="shared" si="1002"/>
        <v>0</v>
      </c>
      <c r="BB865" s="1125">
        <f t="shared" si="1003"/>
        <v>0</v>
      </c>
      <c r="BC865" s="1125">
        <f t="shared" si="1004"/>
        <v>1</v>
      </c>
      <c r="BD865" s="1125">
        <f t="shared" si="1005"/>
        <v>1</v>
      </c>
      <c r="BE865" s="1125">
        <f t="shared" si="1006"/>
        <v>1</v>
      </c>
      <c r="BF865" s="1125">
        <f t="shared" si="1007"/>
        <v>1</v>
      </c>
      <c r="BG865" s="1125">
        <f t="shared" si="1008"/>
        <v>1</v>
      </c>
      <c r="BH865" s="1125">
        <f t="shared" si="1009"/>
        <v>0</v>
      </c>
      <c r="BI865" s="1125">
        <f t="shared" si="1010"/>
        <v>0</v>
      </c>
      <c r="BJ865" s="1125">
        <f t="shared" si="1011"/>
        <v>0</v>
      </c>
      <c r="BK865" s="1125">
        <f t="shared" si="1012"/>
        <v>1</v>
      </c>
      <c r="BL865" s="1125">
        <f t="shared" si="1013"/>
        <v>1</v>
      </c>
      <c r="BM865" s="1125">
        <f t="shared" si="1014"/>
        <v>1</v>
      </c>
      <c r="BN865" s="1125">
        <f t="shared" si="1015"/>
        <v>1</v>
      </c>
      <c r="BO865" s="1125">
        <f t="shared" si="1016"/>
        <v>1</v>
      </c>
      <c r="BP865" s="1125">
        <f t="shared" si="1017"/>
        <v>0</v>
      </c>
      <c r="BQ865" s="1125">
        <f t="shared" si="1018"/>
        <v>0</v>
      </c>
      <c r="BR865" s="1125">
        <f t="shared" si="1019"/>
        <v>0</v>
      </c>
      <c r="BS865" s="1125">
        <f t="shared" si="1020"/>
        <v>0</v>
      </c>
      <c r="BT865" s="1125">
        <f t="shared" si="1021"/>
        <v>1</v>
      </c>
      <c r="BU865" s="1125">
        <f t="shared" si="1022"/>
        <v>1</v>
      </c>
      <c r="BV865" s="1125">
        <f t="shared" si="1023"/>
        <v>1</v>
      </c>
      <c r="BW865" s="1125">
        <f t="shared" si="1024"/>
        <v>0</v>
      </c>
      <c r="BX865" s="1125">
        <f t="shared" si="1025"/>
        <v>0</v>
      </c>
      <c r="BY865" s="1125">
        <f t="shared" si="1026"/>
        <v>0</v>
      </c>
      <c r="BZ865" s="1125">
        <f t="shared" si="1027"/>
        <v>1</v>
      </c>
      <c r="CA865" s="1125">
        <f t="shared" si="1028"/>
        <v>1</v>
      </c>
      <c r="CB865" s="1125">
        <f t="shared" si="1029"/>
        <v>1</v>
      </c>
      <c r="CC865" s="1125">
        <f t="shared" si="1030"/>
        <v>1</v>
      </c>
      <c r="CD865" s="1125">
        <f t="shared" si="1031"/>
        <v>1</v>
      </c>
      <c r="CE865" s="1125">
        <f t="shared" si="1032"/>
        <v>1</v>
      </c>
      <c r="CF865" s="1125">
        <f t="shared" si="1033"/>
        <v>1</v>
      </c>
      <c r="CG865" s="1125">
        <f t="shared" si="1034"/>
        <v>0</v>
      </c>
      <c r="CH865" s="1125">
        <f t="shared" si="1035"/>
        <v>0</v>
      </c>
      <c r="CI865" s="1125">
        <f t="shared" si="1036"/>
        <v>0.85</v>
      </c>
      <c r="CJ865" s="1125">
        <f t="shared" si="1037"/>
        <v>0.85</v>
      </c>
      <c r="CK865" s="1125">
        <f t="shared" si="1038"/>
        <v>0.85</v>
      </c>
      <c r="CL865" s="1125">
        <f t="shared" si="1039"/>
        <v>0.85</v>
      </c>
      <c r="CM865" s="1125">
        <f t="shared" si="1040"/>
        <v>0.85</v>
      </c>
      <c r="CN865" s="1125">
        <f t="shared" si="1041"/>
        <v>0.7</v>
      </c>
      <c r="CO865" s="1125">
        <f t="shared" si="1042"/>
        <v>0.7</v>
      </c>
      <c r="CP865" s="1125">
        <f t="shared" si="1043"/>
        <v>0.7</v>
      </c>
      <c r="CQ865" s="1125">
        <f t="shared" si="1044"/>
        <v>0.7</v>
      </c>
      <c r="CR865" s="1125">
        <f t="shared" si="1045"/>
        <v>0.85</v>
      </c>
      <c r="CS865" s="1125">
        <f t="shared" si="1046"/>
        <v>0.85</v>
      </c>
      <c r="CT865" s="1125">
        <f t="shared" si="1047"/>
        <v>0.85</v>
      </c>
      <c r="CU865" s="1125">
        <v>1</v>
      </c>
      <c r="CV865" s="1125"/>
      <c r="CW865" s="1125">
        <f t="shared" si="1048"/>
        <v>214</v>
      </c>
      <c r="CX865" s="1125">
        <f t="shared" si="1049"/>
        <v>151</v>
      </c>
      <c r="CY865" s="1136" t="s">
        <v>4881</v>
      </c>
      <c r="CZ865" s="1129" t="s">
        <v>4885</v>
      </c>
      <c r="DA865" s="1129"/>
      <c r="DB865" s="1129"/>
      <c r="DC865" s="1125" t="s">
        <v>5735</v>
      </c>
      <c r="DD865" s="1125" t="s">
        <v>1107</v>
      </c>
      <c r="DE865" s="1120" t="b">
        <f t="shared" si="1050"/>
        <v>0</v>
      </c>
      <c r="DF865" s="1133">
        <v>0</v>
      </c>
      <c r="DG865" s="1125">
        <v>0</v>
      </c>
    </row>
    <row r="866" spans="1:111">
      <c r="A866" s="1120" t="s">
        <v>5925</v>
      </c>
      <c r="B866" s="1125" t="s">
        <v>3547</v>
      </c>
      <c r="C866" s="1125" t="s">
        <v>3548</v>
      </c>
      <c r="D866" s="1125" t="s">
        <v>283</v>
      </c>
      <c r="E866" s="1125">
        <v>774</v>
      </c>
      <c r="F866" s="1125">
        <v>-86.33</v>
      </c>
      <c r="G866" s="1125">
        <v>41.7</v>
      </c>
      <c r="H866" s="1125">
        <v>-5</v>
      </c>
      <c r="I866" s="1126">
        <v>4.4599996566772457</v>
      </c>
      <c r="J866" s="1126">
        <v>88.16000137329101</v>
      </c>
      <c r="K866" s="1127">
        <v>72.680000686645513</v>
      </c>
      <c r="L866" s="1125">
        <v>5743.8</v>
      </c>
      <c r="M866" s="1125">
        <v>943.2</v>
      </c>
      <c r="N866" s="1128">
        <v>26.23999991416931</v>
      </c>
      <c r="O866" s="1128">
        <v>27.5</v>
      </c>
      <c r="P866" s="1128">
        <v>40.640000343322754</v>
      </c>
      <c r="Q866" s="1128">
        <v>50.180000686645506</v>
      </c>
      <c r="R866" s="1128">
        <v>63.5</v>
      </c>
      <c r="S866" s="1128">
        <v>69.619999313354498</v>
      </c>
      <c r="T866" s="1128">
        <v>74.83999862670899</v>
      </c>
      <c r="U866" s="1128">
        <v>73.039998626708979</v>
      </c>
      <c r="V866" s="1128">
        <v>64.219999313354492</v>
      </c>
      <c r="W866" s="1128">
        <v>51.8</v>
      </c>
      <c r="X866" s="1128">
        <v>42.079999828338622</v>
      </c>
      <c r="Y866" s="1128">
        <v>29.660000085830688</v>
      </c>
      <c r="Z866" s="1128">
        <v>51.244712054108923</v>
      </c>
      <c r="AA866" s="1128">
        <f t="shared" si="976"/>
        <v>47.049111216048871</v>
      </c>
      <c r="AB866" s="1128">
        <f t="shared" si="977"/>
        <v>45.772811894090339</v>
      </c>
      <c r="AC866" s="1128">
        <f t="shared" si="978"/>
        <v>47.486840136173413</v>
      </c>
      <c r="AD866" s="1128">
        <f t="shared" si="979"/>
        <v>51.744408067024402</v>
      </c>
      <c r="AE866" s="1128">
        <f t="shared" si="980"/>
        <v>57.435714994359145</v>
      </c>
      <c r="AF866" s="1128">
        <f t="shared" si="981"/>
        <v>63.077234061873263</v>
      </c>
      <c r="AG866" s="1128">
        <f t="shared" si="982"/>
        <v>67.198416386178764</v>
      </c>
      <c r="AH866" s="1128">
        <f t="shared" si="983"/>
        <v>68.725012285103389</v>
      </c>
      <c r="AI866" s="1128">
        <f t="shared" si="984"/>
        <v>67.259091012037516</v>
      </c>
      <c r="AJ866" s="1128">
        <f t="shared" si="985"/>
        <v>63.182767537336403</v>
      </c>
      <c r="AK866" s="1128">
        <f t="shared" si="986"/>
        <v>57.558598392727127</v>
      </c>
      <c r="AL866" s="1128">
        <f t="shared" si="987"/>
        <v>51.85260993682212</v>
      </c>
      <c r="AM866" s="1125">
        <f t="shared" si="988"/>
        <v>1</v>
      </c>
      <c r="AN866" s="1125">
        <f t="shared" si="989"/>
        <v>1</v>
      </c>
      <c r="AO866" s="1125">
        <f t="shared" si="990"/>
        <v>1</v>
      </c>
      <c r="AP866" s="1125">
        <f t="shared" si="991"/>
        <v>1</v>
      </c>
      <c r="AQ866" s="1125">
        <f t="shared" si="992"/>
        <v>1</v>
      </c>
      <c r="AR866" s="1125">
        <f t="shared" si="993"/>
        <v>0</v>
      </c>
      <c r="AS866" s="1125">
        <f t="shared" si="994"/>
        <v>0</v>
      </c>
      <c r="AT866" s="1125">
        <f t="shared" si="995"/>
        <v>0</v>
      </c>
      <c r="AU866" s="1125">
        <f t="shared" si="996"/>
        <v>1</v>
      </c>
      <c r="AV866" s="1125">
        <f t="shared" si="997"/>
        <v>1</v>
      </c>
      <c r="AW866" s="1125">
        <f t="shared" si="998"/>
        <v>1</v>
      </c>
      <c r="AX866" s="1125">
        <f t="shared" si="999"/>
        <v>1</v>
      </c>
      <c r="AY866" s="1125">
        <f t="shared" si="1000"/>
        <v>0</v>
      </c>
      <c r="AZ866" s="1125">
        <f t="shared" si="1001"/>
        <v>0</v>
      </c>
      <c r="BA866" s="1125">
        <f t="shared" si="1002"/>
        <v>0</v>
      </c>
      <c r="BB866" s="1125">
        <f t="shared" si="1003"/>
        <v>0</v>
      </c>
      <c r="BC866" s="1125">
        <f t="shared" si="1004"/>
        <v>0</v>
      </c>
      <c r="BD866" s="1125">
        <f t="shared" si="1005"/>
        <v>1</v>
      </c>
      <c r="BE866" s="1125">
        <f t="shared" si="1006"/>
        <v>1</v>
      </c>
      <c r="BF866" s="1125">
        <f t="shared" si="1007"/>
        <v>1</v>
      </c>
      <c r="BG866" s="1125">
        <f t="shared" si="1008"/>
        <v>0</v>
      </c>
      <c r="BH866" s="1125">
        <f t="shared" si="1009"/>
        <v>0</v>
      </c>
      <c r="BI866" s="1125">
        <f t="shared" si="1010"/>
        <v>0</v>
      </c>
      <c r="BJ866" s="1125">
        <f t="shared" si="1011"/>
        <v>0</v>
      </c>
      <c r="BK866" s="1125">
        <f t="shared" si="1012"/>
        <v>1</v>
      </c>
      <c r="BL866" s="1125">
        <f t="shared" si="1013"/>
        <v>1</v>
      </c>
      <c r="BM866" s="1125">
        <f t="shared" si="1014"/>
        <v>1</v>
      </c>
      <c r="BN866" s="1125">
        <f t="shared" si="1015"/>
        <v>1</v>
      </c>
      <c r="BO866" s="1125">
        <f t="shared" si="1016"/>
        <v>1</v>
      </c>
      <c r="BP866" s="1125">
        <f t="shared" si="1017"/>
        <v>1</v>
      </c>
      <c r="BQ866" s="1125">
        <f t="shared" si="1018"/>
        <v>0</v>
      </c>
      <c r="BR866" s="1125">
        <f t="shared" si="1019"/>
        <v>0</v>
      </c>
      <c r="BS866" s="1125">
        <f t="shared" si="1020"/>
        <v>1</v>
      </c>
      <c r="BT866" s="1125">
        <f t="shared" si="1021"/>
        <v>1</v>
      </c>
      <c r="BU866" s="1125">
        <f t="shared" si="1022"/>
        <v>1</v>
      </c>
      <c r="BV866" s="1125">
        <f t="shared" si="1023"/>
        <v>1</v>
      </c>
      <c r="BW866" s="1125">
        <f t="shared" si="1024"/>
        <v>0</v>
      </c>
      <c r="BX866" s="1125">
        <f t="shared" si="1025"/>
        <v>0</v>
      </c>
      <c r="BY866" s="1125">
        <f t="shared" si="1026"/>
        <v>0</v>
      </c>
      <c r="BZ866" s="1125">
        <f t="shared" si="1027"/>
        <v>0</v>
      </c>
      <c r="CA866" s="1125">
        <f t="shared" si="1028"/>
        <v>1</v>
      </c>
      <c r="CB866" s="1125">
        <f t="shared" si="1029"/>
        <v>1</v>
      </c>
      <c r="CC866" s="1125">
        <f t="shared" si="1030"/>
        <v>1</v>
      </c>
      <c r="CD866" s="1125">
        <f t="shared" si="1031"/>
        <v>1</v>
      </c>
      <c r="CE866" s="1125">
        <f t="shared" si="1032"/>
        <v>1</v>
      </c>
      <c r="CF866" s="1125">
        <f t="shared" si="1033"/>
        <v>0</v>
      </c>
      <c r="CG866" s="1125">
        <f t="shared" si="1034"/>
        <v>0</v>
      </c>
      <c r="CH866" s="1125">
        <f t="shared" si="1035"/>
        <v>0</v>
      </c>
      <c r="CI866" s="1125">
        <f t="shared" si="1036"/>
        <v>0.85</v>
      </c>
      <c r="CJ866" s="1125">
        <f t="shared" si="1037"/>
        <v>0.85</v>
      </c>
      <c r="CK866" s="1125">
        <f t="shared" si="1038"/>
        <v>0.85</v>
      </c>
      <c r="CL866" s="1125">
        <f t="shared" si="1039"/>
        <v>0.85</v>
      </c>
      <c r="CM866" s="1125">
        <f t="shared" si="1040"/>
        <v>0.85</v>
      </c>
      <c r="CN866" s="1125">
        <f t="shared" si="1041"/>
        <v>0.85</v>
      </c>
      <c r="CO866" s="1125">
        <f t="shared" si="1042"/>
        <v>0.7</v>
      </c>
      <c r="CP866" s="1125">
        <f t="shared" si="1043"/>
        <v>0.7</v>
      </c>
      <c r="CQ866" s="1125">
        <f t="shared" si="1044"/>
        <v>0.85</v>
      </c>
      <c r="CR866" s="1125">
        <f t="shared" si="1045"/>
        <v>0.85</v>
      </c>
      <c r="CS866" s="1125">
        <f t="shared" si="1046"/>
        <v>0.85</v>
      </c>
      <c r="CT866" s="1125">
        <f t="shared" si="1047"/>
        <v>0.85</v>
      </c>
      <c r="CU866" s="1125">
        <v>1</v>
      </c>
      <c r="CV866" s="1125"/>
      <c r="CW866" s="1125">
        <f t="shared" si="1048"/>
        <v>153</v>
      </c>
      <c r="CX866" s="1125">
        <f t="shared" si="1049"/>
        <v>212</v>
      </c>
      <c r="CY866" s="1136" t="s">
        <v>4889</v>
      </c>
      <c r="CZ866" s="1129" t="s">
        <v>4897</v>
      </c>
      <c r="DA866" s="1129"/>
      <c r="DB866" s="1129"/>
      <c r="DC866" s="1125" t="s">
        <v>5224</v>
      </c>
      <c r="DD866" s="1125" t="s">
        <v>283</v>
      </c>
      <c r="DE866" s="1120" t="str">
        <f t="shared" si="1050"/>
        <v/>
      </c>
      <c r="DF866" s="1133">
        <v>0</v>
      </c>
      <c r="DG866" s="1120">
        <v>0</v>
      </c>
    </row>
    <row r="867" spans="1:111">
      <c r="A867" s="1125" t="s">
        <v>294</v>
      </c>
      <c r="B867" s="1120" t="s">
        <v>3198</v>
      </c>
      <c r="C867" s="1120" t="s">
        <v>3199</v>
      </c>
      <c r="D867" s="1120" t="s">
        <v>954</v>
      </c>
      <c r="E867" s="1120">
        <v>6262</v>
      </c>
      <c r="F867" s="1120">
        <v>-120</v>
      </c>
      <c r="G867" s="1120">
        <v>38.9</v>
      </c>
      <c r="H867" s="1120">
        <v>-8</v>
      </c>
      <c r="I867" s="1121">
        <v>3.7400003433227531</v>
      </c>
      <c r="J867" s="1121">
        <v>84.380000686645502</v>
      </c>
      <c r="K867" s="1122">
        <v>51.619999313354491</v>
      </c>
      <c r="L867" s="1120">
        <v>7545.6</v>
      </c>
      <c r="M867" s="1120">
        <v>37.800000000000004</v>
      </c>
      <c r="N867" s="1123">
        <v>26.420000171661378</v>
      </c>
      <c r="O867" s="1123">
        <v>29.119999957084655</v>
      </c>
      <c r="P867" s="1123">
        <v>33.440000021457671</v>
      </c>
      <c r="Q867" s="1123">
        <v>42.440000343322751</v>
      </c>
      <c r="R867" s="1123">
        <v>48.380000686645509</v>
      </c>
      <c r="S867" s="1123">
        <v>57.559999656677249</v>
      </c>
      <c r="T867" s="1123">
        <v>62.239998626708989</v>
      </c>
      <c r="U867" s="1123">
        <v>62.060001373291016</v>
      </c>
      <c r="V867" s="1123">
        <v>55.940000343322751</v>
      </c>
      <c r="W867" s="1123">
        <v>42.97999982833862</v>
      </c>
      <c r="X867" s="1123">
        <v>35.6</v>
      </c>
      <c r="Y867" s="1123">
        <v>29.119999957084655</v>
      </c>
      <c r="Z867" s="1123">
        <v>43.850411040325689</v>
      </c>
      <c r="AA867" s="1123">
        <f t="shared" si="976"/>
        <v>43.979585158929829</v>
      </c>
      <c r="AB867" s="1123">
        <f t="shared" si="977"/>
        <v>42.74120981083685</v>
      </c>
      <c r="AC867" s="1123">
        <f t="shared" si="978"/>
        <v>43.355957319317312</v>
      </c>
      <c r="AD867" s="1123">
        <f t="shared" si="979"/>
        <v>45.663584272739925</v>
      </c>
      <c r="AE867" s="1123">
        <f t="shared" si="980"/>
        <v>49.062572144087291</v>
      </c>
      <c r="AF867" s="1123">
        <f t="shared" si="981"/>
        <v>52.666922364704092</v>
      </c>
      <c r="AG867" s="1123">
        <f t="shared" si="982"/>
        <v>55.537105504868329</v>
      </c>
      <c r="AH867" s="1123">
        <f t="shared" si="983"/>
        <v>56.924964098235151</v>
      </c>
      <c r="AI867" s="1123">
        <f t="shared" si="984"/>
        <v>56.468731414895174</v>
      </c>
      <c r="AJ867" s="1123">
        <f t="shared" si="985"/>
        <v>54.287331534519438</v>
      </c>
      <c r="AK867" s="1123">
        <f t="shared" si="986"/>
        <v>50.949379952317592</v>
      </c>
      <c r="AL867" s="1123">
        <f t="shared" si="987"/>
        <v>47.324965187581483</v>
      </c>
      <c r="AM867" s="1120">
        <f t="shared" si="988"/>
        <v>1</v>
      </c>
      <c r="AN867" s="1120">
        <f t="shared" si="989"/>
        <v>1</v>
      </c>
      <c r="AO867" s="1120">
        <f t="shared" si="990"/>
        <v>1</v>
      </c>
      <c r="AP867" s="1120">
        <f t="shared" si="991"/>
        <v>1</v>
      </c>
      <c r="AQ867" s="1120">
        <f t="shared" si="992"/>
        <v>1</v>
      </c>
      <c r="AR867" s="1120">
        <f t="shared" si="993"/>
        <v>1</v>
      </c>
      <c r="AS867" s="1120">
        <f t="shared" si="994"/>
        <v>1</v>
      </c>
      <c r="AT867" s="1120">
        <f t="shared" si="995"/>
        <v>1</v>
      </c>
      <c r="AU867" s="1120">
        <f t="shared" si="996"/>
        <v>1</v>
      </c>
      <c r="AV867" s="1120">
        <f t="shared" si="997"/>
        <v>1</v>
      </c>
      <c r="AW867" s="1120">
        <f t="shared" si="998"/>
        <v>1</v>
      </c>
      <c r="AX867" s="1120">
        <f t="shared" si="999"/>
        <v>1</v>
      </c>
      <c r="AY867" s="1120">
        <f t="shared" si="1000"/>
        <v>0</v>
      </c>
      <c r="AZ867" s="1120">
        <f t="shared" si="1001"/>
        <v>0</v>
      </c>
      <c r="BA867" s="1120">
        <f t="shared" si="1002"/>
        <v>0</v>
      </c>
      <c r="BB867" s="1120">
        <f t="shared" si="1003"/>
        <v>0</v>
      </c>
      <c r="BC867" s="1120">
        <f t="shared" si="1004"/>
        <v>0</v>
      </c>
      <c r="BD867" s="1120">
        <f t="shared" si="1005"/>
        <v>0</v>
      </c>
      <c r="BE867" s="1120">
        <f t="shared" si="1006"/>
        <v>1</v>
      </c>
      <c r="BF867" s="1120">
        <f t="shared" si="1007"/>
        <v>1</v>
      </c>
      <c r="BG867" s="1120">
        <f t="shared" si="1008"/>
        <v>0</v>
      </c>
      <c r="BH867" s="1120">
        <f t="shared" si="1009"/>
        <v>0</v>
      </c>
      <c r="BI867" s="1120">
        <f t="shared" si="1010"/>
        <v>0</v>
      </c>
      <c r="BJ867" s="1120">
        <f t="shared" si="1011"/>
        <v>0</v>
      </c>
      <c r="BK867" s="1120">
        <f t="shared" si="1012"/>
        <v>1</v>
      </c>
      <c r="BL867" s="1120">
        <f t="shared" si="1013"/>
        <v>1</v>
      </c>
      <c r="BM867" s="1120">
        <f t="shared" si="1014"/>
        <v>1</v>
      </c>
      <c r="BN867" s="1120">
        <f t="shared" si="1015"/>
        <v>1</v>
      </c>
      <c r="BO867" s="1120">
        <f t="shared" si="1016"/>
        <v>1</v>
      </c>
      <c r="BP867" s="1120">
        <f t="shared" si="1017"/>
        <v>1</v>
      </c>
      <c r="BQ867" s="1120">
        <f t="shared" si="1018"/>
        <v>1</v>
      </c>
      <c r="BR867" s="1120">
        <f t="shared" si="1019"/>
        <v>1</v>
      </c>
      <c r="BS867" s="1120">
        <f t="shared" si="1020"/>
        <v>1</v>
      </c>
      <c r="BT867" s="1120">
        <f t="shared" si="1021"/>
        <v>1</v>
      </c>
      <c r="BU867" s="1120">
        <f t="shared" si="1022"/>
        <v>1</v>
      </c>
      <c r="BV867" s="1120">
        <f t="shared" si="1023"/>
        <v>1</v>
      </c>
      <c r="BW867" s="1120">
        <f t="shared" si="1024"/>
        <v>0</v>
      </c>
      <c r="BX867" s="1120">
        <f t="shared" si="1025"/>
        <v>0</v>
      </c>
      <c r="BY867" s="1120">
        <f t="shared" si="1026"/>
        <v>0</v>
      </c>
      <c r="BZ867" s="1120">
        <f t="shared" si="1027"/>
        <v>0</v>
      </c>
      <c r="CA867" s="1120">
        <f t="shared" si="1028"/>
        <v>0</v>
      </c>
      <c r="CB867" s="1120">
        <f t="shared" si="1029"/>
        <v>0</v>
      </c>
      <c r="CC867" s="1120">
        <f t="shared" si="1030"/>
        <v>1</v>
      </c>
      <c r="CD867" s="1120">
        <f t="shared" si="1031"/>
        <v>1</v>
      </c>
      <c r="CE867" s="1120">
        <f t="shared" si="1032"/>
        <v>0</v>
      </c>
      <c r="CF867" s="1120">
        <f t="shared" si="1033"/>
        <v>0</v>
      </c>
      <c r="CG867" s="1120">
        <f t="shared" si="1034"/>
        <v>0</v>
      </c>
      <c r="CH867" s="1120">
        <f t="shared" si="1035"/>
        <v>0</v>
      </c>
      <c r="CI867" s="1120">
        <f t="shared" si="1036"/>
        <v>0.85</v>
      </c>
      <c r="CJ867" s="1120">
        <f t="shared" si="1037"/>
        <v>0.85</v>
      </c>
      <c r="CK867" s="1120">
        <f t="shared" si="1038"/>
        <v>0.85</v>
      </c>
      <c r="CL867" s="1120">
        <f t="shared" si="1039"/>
        <v>0.85</v>
      </c>
      <c r="CM867" s="1120">
        <f t="shared" si="1040"/>
        <v>0.85</v>
      </c>
      <c r="CN867" s="1120">
        <f t="shared" si="1041"/>
        <v>0.85</v>
      </c>
      <c r="CO867" s="1120">
        <f t="shared" si="1042"/>
        <v>0.85</v>
      </c>
      <c r="CP867" s="1120">
        <f t="shared" si="1043"/>
        <v>0.85</v>
      </c>
      <c r="CQ867" s="1120">
        <f t="shared" si="1044"/>
        <v>0.85</v>
      </c>
      <c r="CR867" s="1120">
        <f t="shared" si="1045"/>
        <v>0.85</v>
      </c>
      <c r="CS867" s="1120">
        <f t="shared" si="1046"/>
        <v>0.85</v>
      </c>
      <c r="CT867" s="1120">
        <f t="shared" si="1047"/>
        <v>0.85</v>
      </c>
      <c r="CU867" s="1120">
        <v>1</v>
      </c>
      <c r="CV867" s="1120"/>
      <c r="CW867" s="1120">
        <f t="shared" si="1048"/>
        <v>62</v>
      </c>
      <c r="CX867" s="1120">
        <f t="shared" si="1049"/>
        <v>303</v>
      </c>
      <c r="CY867" s="1135" t="s">
        <v>4891</v>
      </c>
      <c r="CZ867" s="1124" t="s">
        <v>4892</v>
      </c>
      <c r="DA867" s="1124"/>
      <c r="DB867" s="1124"/>
      <c r="DC867" s="1120" t="s">
        <v>5064</v>
      </c>
      <c r="DD867" s="1120" t="s">
        <v>954</v>
      </c>
      <c r="DE867" s="1120" t="str">
        <f t="shared" si="1050"/>
        <v/>
      </c>
      <c r="DF867" s="1120">
        <v>0</v>
      </c>
      <c r="DG867" s="1125">
        <v>0</v>
      </c>
    </row>
    <row r="868" spans="1:111">
      <c r="A868" s="1120" t="s">
        <v>4420</v>
      </c>
      <c r="B868" s="1120" t="s">
        <v>3827</v>
      </c>
      <c r="C868" s="1120" t="s">
        <v>3828</v>
      </c>
      <c r="D868" s="1120" t="s">
        <v>934</v>
      </c>
      <c r="E868" s="1120">
        <v>820</v>
      </c>
      <c r="F868" s="1120">
        <v>-93.15</v>
      </c>
      <c r="G868" s="1120">
        <v>44.85</v>
      </c>
      <c r="H868" s="1120">
        <v>-6</v>
      </c>
      <c r="I868" s="1121">
        <v>-5.6199993133544934</v>
      </c>
      <c r="J868" s="1121">
        <v>88.16000137329101</v>
      </c>
      <c r="K868" s="1122">
        <v>72.5</v>
      </c>
      <c r="L868" s="1120">
        <v>7871.4000000000005</v>
      </c>
      <c r="M868" s="1120">
        <v>846</v>
      </c>
      <c r="N868" s="1123">
        <v>11.840000343322753</v>
      </c>
      <c r="O868" s="1123">
        <v>23</v>
      </c>
      <c r="P868" s="1123">
        <v>33.080000042915344</v>
      </c>
      <c r="Q868" s="1123">
        <v>45.679999828338623</v>
      </c>
      <c r="R868" s="1123">
        <v>57.559999656677249</v>
      </c>
      <c r="S868" s="1123">
        <v>70.7</v>
      </c>
      <c r="T868" s="1123">
        <v>73.760001373291018</v>
      </c>
      <c r="U868" s="1123">
        <v>70.880000686645502</v>
      </c>
      <c r="V868" s="1123">
        <v>64.939998626708984</v>
      </c>
      <c r="W868" s="1123">
        <v>48.2</v>
      </c>
      <c r="X868" s="1123">
        <v>31.1</v>
      </c>
      <c r="Y868" s="1123">
        <v>9.8599996566772461</v>
      </c>
      <c r="Z868" s="1123">
        <v>45.142958926566656</v>
      </c>
      <c r="AA868" s="1123">
        <f t="shared" si="976"/>
        <v>40.166595890326334</v>
      </c>
      <c r="AB868" s="1123">
        <f t="shared" si="977"/>
        <v>38.026729561712031</v>
      </c>
      <c r="AC868" s="1123">
        <f t="shared" si="978"/>
        <v>39.305810544259941</v>
      </c>
      <c r="AD868" s="1123">
        <f t="shared" si="979"/>
        <v>43.670426668634349</v>
      </c>
      <c r="AE868" s="1123">
        <f t="shared" si="980"/>
        <v>49.982873481246628</v>
      </c>
      <c r="AF868" s="1123">
        <f t="shared" si="981"/>
        <v>56.597714442639436</v>
      </c>
      <c r="AG868" s="1123">
        <f t="shared" si="982"/>
        <v>61.790689318440876</v>
      </c>
      <c r="AH868" s="1123">
        <f t="shared" si="983"/>
        <v>64.208169181108119</v>
      </c>
      <c r="AI868" s="1123">
        <f t="shared" si="984"/>
        <v>63.220000649944552</v>
      </c>
      <c r="AJ868" s="1123">
        <f t="shared" si="985"/>
        <v>59.083765080736001</v>
      </c>
      <c r="AK868" s="1123">
        <f t="shared" si="986"/>
        <v>52.877636015916202</v>
      </c>
      <c r="AL868" s="1123">
        <f t="shared" si="987"/>
        <v>46.219336635574344</v>
      </c>
      <c r="AM868" s="1120">
        <f t="shared" si="988"/>
        <v>1</v>
      </c>
      <c r="AN868" s="1120">
        <f t="shared" si="989"/>
        <v>1</v>
      </c>
      <c r="AO868" s="1120">
        <f t="shared" si="990"/>
        <v>1</v>
      </c>
      <c r="AP868" s="1120">
        <f t="shared" si="991"/>
        <v>1</v>
      </c>
      <c r="AQ868" s="1120">
        <f t="shared" si="992"/>
        <v>1</v>
      </c>
      <c r="AR868" s="1120">
        <f t="shared" si="993"/>
        <v>0</v>
      </c>
      <c r="AS868" s="1120">
        <f t="shared" si="994"/>
        <v>0</v>
      </c>
      <c r="AT868" s="1120">
        <f t="shared" si="995"/>
        <v>0</v>
      </c>
      <c r="AU868" s="1120">
        <f t="shared" si="996"/>
        <v>1</v>
      </c>
      <c r="AV868" s="1120">
        <f t="shared" si="997"/>
        <v>1</v>
      </c>
      <c r="AW868" s="1120">
        <f t="shared" si="998"/>
        <v>1</v>
      </c>
      <c r="AX868" s="1120">
        <f t="shared" si="999"/>
        <v>1</v>
      </c>
      <c r="AY868" s="1120">
        <f t="shared" si="1000"/>
        <v>0</v>
      </c>
      <c r="AZ868" s="1120">
        <f t="shared" si="1001"/>
        <v>0</v>
      </c>
      <c r="BA868" s="1120">
        <f t="shared" si="1002"/>
        <v>0</v>
      </c>
      <c r="BB868" s="1120">
        <f t="shared" si="1003"/>
        <v>0</v>
      </c>
      <c r="BC868" s="1120">
        <f t="shared" si="1004"/>
        <v>0</v>
      </c>
      <c r="BD868" s="1120">
        <f t="shared" si="1005"/>
        <v>1</v>
      </c>
      <c r="BE868" s="1120">
        <f t="shared" si="1006"/>
        <v>1</v>
      </c>
      <c r="BF868" s="1120">
        <f t="shared" si="1007"/>
        <v>1</v>
      </c>
      <c r="BG868" s="1120">
        <f t="shared" si="1008"/>
        <v>0</v>
      </c>
      <c r="BH868" s="1120">
        <f t="shared" si="1009"/>
        <v>0</v>
      </c>
      <c r="BI868" s="1120">
        <f t="shared" si="1010"/>
        <v>0</v>
      </c>
      <c r="BJ868" s="1120">
        <f t="shared" si="1011"/>
        <v>0</v>
      </c>
      <c r="BK868" s="1120">
        <f t="shared" si="1012"/>
        <v>1</v>
      </c>
      <c r="BL868" s="1120">
        <f t="shared" si="1013"/>
        <v>1</v>
      </c>
      <c r="BM868" s="1120">
        <f t="shared" si="1014"/>
        <v>1</v>
      </c>
      <c r="BN868" s="1120">
        <f t="shared" si="1015"/>
        <v>1</v>
      </c>
      <c r="BO868" s="1120">
        <f t="shared" si="1016"/>
        <v>1</v>
      </c>
      <c r="BP868" s="1120">
        <f t="shared" si="1017"/>
        <v>1</v>
      </c>
      <c r="BQ868" s="1120">
        <f t="shared" si="1018"/>
        <v>0</v>
      </c>
      <c r="BR868" s="1120">
        <f t="shared" si="1019"/>
        <v>0</v>
      </c>
      <c r="BS868" s="1120">
        <f t="shared" si="1020"/>
        <v>1</v>
      </c>
      <c r="BT868" s="1120">
        <f t="shared" si="1021"/>
        <v>1</v>
      </c>
      <c r="BU868" s="1120">
        <f t="shared" si="1022"/>
        <v>1</v>
      </c>
      <c r="BV868" s="1120">
        <f t="shared" si="1023"/>
        <v>1</v>
      </c>
      <c r="BW868" s="1120">
        <f t="shared" si="1024"/>
        <v>0</v>
      </c>
      <c r="BX868" s="1120">
        <f t="shared" si="1025"/>
        <v>0</v>
      </c>
      <c r="BY868" s="1120">
        <f t="shared" si="1026"/>
        <v>0</v>
      </c>
      <c r="BZ868" s="1120">
        <f t="shared" si="1027"/>
        <v>0</v>
      </c>
      <c r="CA868" s="1120">
        <f t="shared" si="1028"/>
        <v>1</v>
      </c>
      <c r="CB868" s="1120">
        <f t="shared" si="1029"/>
        <v>1</v>
      </c>
      <c r="CC868" s="1120">
        <f t="shared" si="1030"/>
        <v>1</v>
      </c>
      <c r="CD868" s="1120">
        <f t="shared" si="1031"/>
        <v>1</v>
      </c>
      <c r="CE868" s="1120">
        <f t="shared" si="1032"/>
        <v>1</v>
      </c>
      <c r="CF868" s="1120">
        <f t="shared" si="1033"/>
        <v>0</v>
      </c>
      <c r="CG868" s="1120">
        <f t="shared" si="1034"/>
        <v>0</v>
      </c>
      <c r="CH868" s="1120">
        <f t="shared" si="1035"/>
        <v>0</v>
      </c>
      <c r="CI868" s="1120">
        <f t="shared" si="1036"/>
        <v>0.85</v>
      </c>
      <c r="CJ868" s="1120">
        <f t="shared" si="1037"/>
        <v>0.85</v>
      </c>
      <c r="CK868" s="1120">
        <f t="shared" si="1038"/>
        <v>0.85</v>
      </c>
      <c r="CL868" s="1120">
        <f t="shared" si="1039"/>
        <v>0.85</v>
      </c>
      <c r="CM868" s="1120">
        <f t="shared" si="1040"/>
        <v>0.85</v>
      </c>
      <c r="CN868" s="1120">
        <f t="shared" si="1041"/>
        <v>0.85</v>
      </c>
      <c r="CO868" s="1120">
        <f t="shared" si="1042"/>
        <v>0.7</v>
      </c>
      <c r="CP868" s="1120">
        <f t="shared" si="1043"/>
        <v>0.7</v>
      </c>
      <c r="CQ868" s="1120">
        <f t="shared" si="1044"/>
        <v>0.85</v>
      </c>
      <c r="CR868" s="1120">
        <f t="shared" si="1045"/>
        <v>0.85</v>
      </c>
      <c r="CS868" s="1120">
        <f t="shared" si="1046"/>
        <v>0.85</v>
      </c>
      <c r="CT868" s="1120">
        <f t="shared" si="1047"/>
        <v>0.85</v>
      </c>
      <c r="CU868" s="1120">
        <v>1</v>
      </c>
      <c r="CV868" s="1120"/>
      <c r="CW868" s="1120">
        <f t="shared" si="1048"/>
        <v>153</v>
      </c>
      <c r="CX868" s="1120">
        <f t="shared" si="1049"/>
        <v>212</v>
      </c>
      <c r="CY868" s="1135" t="s">
        <v>4889</v>
      </c>
      <c r="CZ868" s="1124" t="s">
        <v>4899</v>
      </c>
      <c r="DA868" s="1124"/>
      <c r="DB868" s="1124"/>
      <c r="DC868" s="1120" t="s">
        <v>5341</v>
      </c>
      <c r="DD868" s="1120" t="s">
        <v>934</v>
      </c>
      <c r="DE868" s="1120" t="str">
        <f t="shared" si="1050"/>
        <v/>
      </c>
      <c r="DF868" s="1133">
        <v>1</v>
      </c>
      <c r="DG868" s="1120">
        <v>0</v>
      </c>
    </row>
    <row r="869" spans="1:111">
      <c r="A869" s="1125" t="s">
        <v>4422</v>
      </c>
      <c r="B869" s="1120" t="s">
        <v>3505</v>
      </c>
      <c r="C869" s="1120" t="s">
        <v>3506</v>
      </c>
      <c r="D869" s="1120" t="s">
        <v>932</v>
      </c>
      <c r="E869" s="1120">
        <v>420</v>
      </c>
      <c r="F869" s="1120">
        <v>-89.25</v>
      </c>
      <c r="G869" s="1120">
        <v>37.770000000000003</v>
      </c>
      <c r="H869" s="1120">
        <v>-6</v>
      </c>
      <c r="I869" s="1121">
        <v>15.980000686645507</v>
      </c>
      <c r="J869" s="1121">
        <v>91.039998626708993</v>
      </c>
      <c r="K869" s="1122">
        <v>77</v>
      </c>
      <c r="L869" s="1120">
        <v>4199.4000000000005</v>
      </c>
      <c r="M869" s="1120">
        <v>1668.6000000000001</v>
      </c>
      <c r="N869" s="1123">
        <v>28.580000042915344</v>
      </c>
      <c r="O869" s="1123">
        <v>38.839999914169312</v>
      </c>
      <c r="P869" s="1123">
        <v>49.1</v>
      </c>
      <c r="Q869" s="1123">
        <v>53.780000686645508</v>
      </c>
      <c r="R869" s="1123">
        <v>71.419999313354495</v>
      </c>
      <c r="S869" s="1123">
        <v>74.119999313354498</v>
      </c>
      <c r="T869" s="1123">
        <v>79.7</v>
      </c>
      <c r="U869" s="1123">
        <v>77.719999313354492</v>
      </c>
      <c r="V869" s="1123">
        <v>70.880000686645502</v>
      </c>
      <c r="W869" s="1123">
        <v>58.640000343322754</v>
      </c>
      <c r="X869" s="1123">
        <v>50.540000343322752</v>
      </c>
      <c r="Y869" s="1123">
        <v>35.060000085830687</v>
      </c>
      <c r="Z869" s="1123">
        <v>57.462849316596987</v>
      </c>
      <c r="AA869" s="1123">
        <f t="shared" si="976"/>
        <v>50.725622879459152</v>
      </c>
      <c r="AB869" s="1123">
        <f t="shared" si="977"/>
        <v>49.942407881340273</v>
      </c>
      <c r="AC869" s="1123">
        <f t="shared" si="978"/>
        <v>52.683504299630471</v>
      </c>
      <c r="AD869" s="1123">
        <f t="shared" si="979"/>
        <v>58.23440311132795</v>
      </c>
      <c r="AE869" s="1123">
        <f t="shared" si="980"/>
        <v>65.148176999223736</v>
      </c>
      <c r="AF869" s="1123">
        <f t="shared" si="981"/>
        <v>71.622644254957123</v>
      </c>
      <c r="AG869" s="1123">
        <f t="shared" si="982"/>
        <v>75.970135213760642</v>
      </c>
      <c r="AH869" s="1123">
        <f t="shared" si="983"/>
        <v>77.057409360358477</v>
      </c>
      <c r="AI869" s="1123">
        <f t="shared" si="984"/>
        <v>74.60105193303815</v>
      </c>
      <c r="AJ869" s="1123">
        <f t="shared" si="985"/>
        <v>69.241350348844463</v>
      </c>
      <c r="AK869" s="1123">
        <f t="shared" si="986"/>
        <v>62.375393421199071</v>
      </c>
      <c r="AL869" s="1123">
        <f t="shared" si="987"/>
        <v>55.792898630891749</v>
      </c>
      <c r="AM869" s="1120">
        <f t="shared" si="988"/>
        <v>1</v>
      </c>
      <c r="AN869" s="1120">
        <f t="shared" si="989"/>
        <v>1</v>
      </c>
      <c r="AO869" s="1120">
        <f t="shared" si="990"/>
        <v>1</v>
      </c>
      <c r="AP869" s="1120">
        <f t="shared" si="991"/>
        <v>1</v>
      </c>
      <c r="AQ869" s="1120">
        <f t="shared" si="992"/>
        <v>0</v>
      </c>
      <c r="AR869" s="1120">
        <f t="shared" si="993"/>
        <v>0</v>
      </c>
      <c r="AS869" s="1120">
        <f t="shared" si="994"/>
        <v>0</v>
      </c>
      <c r="AT869" s="1120">
        <f t="shared" si="995"/>
        <v>0</v>
      </c>
      <c r="AU869" s="1120">
        <f t="shared" si="996"/>
        <v>0</v>
      </c>
      <c r="AV869" s="1120">
        <f t="shared" si="997"/>
        <v>1</v>
      </c>
      <c r="AW869" s="1120">
        <f t="shared" si="998"/>
        <v>1</v>
      </c>
      <c r="AX869" s="1120">
        <f t="shared" si="999"/>
        <v>1</v>
      </c>
      <c r="AY869" s="1120">
        <f t="shared" si="1000"/>
        <v>0</v>
      </c>
      <c r="AZ869" s="1120">
        <f t="shared" si="1001"/>
        <v>0</v>
      </c>
      <c r="BA869" s="1120">
        <f t="shared" si="1002"/>
        <v>0</v>
      </c>
      <c r="BB869" s="1120">
        <f t="shared" si="1003"/>
        <v>0</v>
      </c>
      <c r="BC869" s="1120">
        <f t="shared" si="1004"/>
        <v>1</v>
      </c>
      <c r="BD869" s="1120">
        <f t="shared" si="1005"/>
        <v>1</v>
      </c>
      <c r="BE869" s="1120">
        <f t="shared" si="1006"/>
        <v>1</v>
      </c>
      <c r="BF869" s="1120">
        <f t="shared" si="1007"/>
        <v>1</v>
      </c>
      <c r="BG869" s="1120">
        <f t="shared" si="1008"/>
        <v>1</v>
      </c>
      <c r="BH869" s="1120">
        <f t="shared" si="1009"/>
        <v>0</v>
      </c>
      <c r="BI869" s="1120">
        <f t="shared" si="1010"/>
        <v>0</v>
      </c>
      <c r="BJ869" s="1120">
        <f t="shared" si="1011"/>
        <v>0</v>
      </c>
      <c r="BK869" s="1120">
        <f t="shared" si="1012"/>
        <v>1</v>
      </c>
      <c r="BL869" s="1120">
        <f t="shared" si="1013"/>
        <v>1</v>
      </c>
      <c r="BM869" s="1120">
        <f t="shared" si="1014"/>
        <v>1</v>
      </c>
      <c r="BN869" s="1120">
        <f t="shared" si="1015"/>
        <v>1</v>
      </c>
      <c r="BO869" s="1120">
        <f t="shared" si="1016"/>
        <v>1</v>
      </c>
      <c r="BP869" s="1120">
        <f t="shared" si="1017"/>
        <v>0</v>
      </c>
      <c r="BQ869" s="1120">
        <f t="shared" si="1018"/>
        <v>0</v>
      </c>
      <c r="BR869" s="1120">
        <f t="shared" si="1019"/>
        <v>0</v>
      </c>
      <c r="BS869" s="1120">
        <f t="shared" si="1020"/>
        <v>0</v>
      </c>
      <c r="BT869" s="1120">
        <f t="shared" si="1021"/>
        <v>1</v>
      </c>
      <c r="BU869" s="1120">
        <f t="shared" si="1022"/>
        <v>1</v>
      </c>
      <c r="BV869" s="1120">
        <f t="shared" si="1023"/>
        <v>1</v>
      </c>
      <c r="BW869" s="1120">
        <f t="shared" si="1024"/>
        <v>0</v>
      </c>
      <c r="BX869" s="1120">
        <f t="shared" si="1025"/>
        <v>0</v>
      </c>
      <c r="BY869" s="1120">
        <f t="shared" si="1026"/>
        <v>0</v>
      </c>
      <c r="BZ869" s="1120">
        <f t="shared" si="1027"/>
        <v>1</v>
      </c>
      <c r="CA869" s="1120">
        <f t="shared" si="1028"/>
        <v>1</v>
      </c>
      <c r="CB869" s="1120">
        <f t="shared" si="1029"/>
        <v>1</v>
      </c>
      <c r="CC869" s="1120">
        <f t="shared" si="1030"/>
        <v>1</v>
      </c>
      <c r="CD869" s="1120">
        <f t="shared" si="1031"/>
        <v>1</v>
      </c>
      <c r="CE869" s="1120">
        <f t="shared" si="1032"/>
        <v>1</v>
      </c>
      <c r="CF869" s="1120">
        <f t="shared" si="1033"/>
        <v>1</v>
      </c>
      <c r="CG869" s="1120">
        <f t="shared" si="1034"/>
        <v>0</v>
      </c>
      <c r="CH869" s="1120">
        <f t="shared" si="1035"/>
        <v>0</v>
      </c>
      <c r="CI869" s="1120">
        <f t="shared" si="1036"/>
        <v>0.85</v>
      </c>
      <c r="CJ869" s="1120">
        <f t="shared" si="1037"/>
        <v>0.85</v>
      </c>
      <c r="CK869" s="1120">
        <f t="shared" si="1038"/>
        <v>0.85</v>
      </c>
      <c r="CL869" s="1120">
        <f t="shared" si="1039"/>
        <v>0.85</v>
      </c>
      <c r="CM869" s="1120">
        <f t="shared" si="1040"/>
        <v>0.85</v>
      </c>
      <c r="CN869" s="1120">
        <f t="shared" si="1041"/>
        <v>0.7</v>
      </c>
      <c r="CO869" s="1120">
        <f t="shared" si="1042"/>
        <v>0.7</v>
      </c>
      <c r="CP869" s="1120">
        <f t="shared" si="1043"/>
        <v>0.7</v>
      </c>
      <c r="CQ869" s="1120">
        <f t="shared" si="1044"/>
        <v>0.7</v>
      </c>
      <c r="CR869" s="1120">
        <f t="shared" si="1045"/>
        <v>0.85</v>
      </c>
      <c r="CS869" s="1120">
        <f t="shared" si="1046"/>
        <v>0.85</v>
      </c>
      <c r="CT869" s="1120">
        <f t="shared" si="1047"/>
        <v>0.85</v>
      </c>
      <c r="CU869" s="1120">
        <v>1</v>
      </c>
      <c r="CV869" s="1120"/>
      <c r="CW869" s="1120">
        <f t="shared" si="1048"/>
        <v>214</v>
      </c>
      <c r="CX869" s="1120">
        <f t="shared" si="1049"/>
        <v>151</v>
      </c>
      <c r="CY869" s="1135" t="s">
        <v>4881</v>
      </c>
      <c r="CZ869" s="1124" t="s">
        <v>4885</v>
      </c>
      <c r="DA869" s="1124"/>
      <c r="DB869" s="1124"/>
      <c r="DC869" s="1120" t="s">
        <v>5212</v>
      </c>
      <c r="DD869" s="1120" t="s">
        <v>932</v>
      </c>
      <c r="DE869" s="1120" t="str">
        <f t="shared" si="1050"/>
        <v/>
      </c>
      <c r="DF869" s="1133">
        <v>0</v>
      </c>
      <c r="DG869" s="1125">
        <v>0</v>
      </c>
    </row>
    <row r="870" spans="1:111">
      <c r="A870" s="1120" t="s">
        <v>4424</v>
      </c>
      <c r="B870" s="1120" t="s">
        <v>3962</v>
      </c>
      <c r="C870" s="1120" t="s">
        <v>3963</v>
      </c>
      <c r="D870" s="1120" t="s">
        <v>426</v>
      </c>
      <c r="E870" s="1120">
        <v>462</v>
      </c>
      <c r="F870" s="1120">
        <v>-79.400000000000006</v>
      </c>
      <c r="G870" s="1120">
        <v>35.229999999999997</v>
      </c>
      <c r="H870" s="1120">
        <v>-5</v>
      </c>
      <c r="I870" s="1121">
        <v>23</v>
      </c>
      <c r="J870" s="1121">
        <v>91.579997253417972</v>
      </c>
      <c r="K870" s="1122">
        <v>73.939998626708984</v>
      </c>
      <c r="L870" s="1120">
        <v>3376.8</v>
      </c>
      <c r="M870" s="1120">
        <v>1477.8</v>
      </c>
      <c r="N870" s="1123">
        <v>43.340000343322757</v>
      </c>
      <c r="O870" s="1123">
        <v>43.879999828338626</v>
      </c>
      <c r="P870" s="1123">
        <v>46.759999656677245</v>
      </c>
      <c r="Q870" s="1123">
        <v>56.3</v>
      </c>
      <c r="R870" s="1123">
        <v>64.580000686645505</v>
      </c>
      <c r="S870" s="1123">
        <v>75.739998626708982</v>
      </c>
      <c r="T870" s="1123">
        <v>77.360001373291013</v>
      </c>
      <c r="U870" s="1123">
        <v>75.739998626708982</v>
      </c>
      <c r="V870" s="1123">
        <v>71.060001373291016</v>
      </c>
      <c r="W870" s="1123">
        <v>61.880000686645509</v>
      </c>
      <c r="X870" s="1123">
        <v>46.580000686645505</v>
      </c>
      <c r="Y870" s="1123">
        <v>46.040000343322752</v>
      </c>
      <c r="Z870" s="1123">
        <v>59.193808408240749</v>
      </c>
      <c r="AA870" s="1123">
        <f t="shared" si="976"/>
        <v>56.345431939033389</v>
      </c>
      <c r="AB870" s="1123">
        <f t="shared" si="977"/>
        <v>55.949430757178177</v>
      </c>
      <c r="AC870" s="1123">
        <f t="shared" si="978"/>
        <v>57.963119070244268</v>
      </c>
      <c r="AD870" s="1123">
        <f t="shared" si="979"/>
        <v>61.861597987554745</v>
      </c>
      <c r="AE870" s="1123">
        <f t="shared" si="980"/>
        <v>66.628668901933992</v>
      </c>
      <c r="AF870" s="1123">
        <f t="shared" si="981"/>
        <v>71.021721316762566</v>
      </c>
      <c r="AG870" s="1123">
        <f t="shared" si="982"/>
        <v>73.895638421128453</v>
      </c>
      <c r="AH870" s="1123">
        <f t="shared" si="983"/>
        <v>74.501289433375533</v>
      </c>
      <c r="AI870" s="1123">
        <f t="shared" si="984"/>
        <v>72.680802083796948</v>
      </c>
      <c r="AJ870" s="1123">
        <f t="shared" si="985"/>
        <v>68.908714454619641</v>
      </c>
      <c r="AK870" s="1123">
        <f t="shared" si="986"/>
        <v>64.168279316018612</v>
      </c>
      <c r="AL870" s="1123">
        <f t="shared" si="987"/>
        <v>59.695164139186971</v>
      </c>
      <c r="AM870" s="1120">
        <f t="shared" si="988"/>
        <v>1</v>
      </c>
      <c r="AN870" s="1120">
        <f t="shared" si="989"/>
        <v>1</v>
      </c>
      <c r="AO870" s="1120">
        <f t="shared" si="990"/>
        <v>1</v>
      </c>
      <c r="AP870" s="1120">
        <f t="shared" si="991"/>
        <v>1</v>
      </c>
      <c r="AQ870" s="1120">
        <f t="shared" si="992"/>
        <v>1</v>
      </c>
      <c r="AR870" s="1120">
        <f t="shared" si="993"/>
        <v>0</v>
      </c>
      <c r="AS870" s="1120">
        <f t="shared" si="994"/>
        <v>0</v>
      </c>
      <c r="AT870" s="1120">
        <f t="shared" si="995"/>
        <v>0</v>
      </c>
      <c r="AU870" s="1120">
        <f t="shared" si="996"/>
        <v>0</v>
      </c>
      <c r="AV870" s="1120">
        <f t="shared" si="997"/>
        <v>1</v>
      </c>
      <c r="AW870" s="1120">
        <f t="shared" si="998"/>
        <v>1</v>
      </c>
      <c r="AX870" s="1120">
        <f t="shared" si="999"/>
        <v>1</v>
      </c>
      <c r="AY870" s="1120">
        <f t="shared" si="1000"/>
        <v>0</v>
      </c>
      <c r="AZ870" s="1120">
        <f t="shared" si="1001"/>
        <v>0</v>
      </c>
      <c r="BA870" s="1120">
        <f t="shared" si="1002"/>
        <v>0</v>
      </c>
      <c r="BB870" s="1120">
        <f t="shared" si="1003"/>
        <v>0</v>
      </c>
      <c r="BC870" s="1120">
        <f t="shared" si="1004"/>
        <v>0</v>
      </c>
      <c r="BD870" s="1120">
        <f t="shared" si="1005"/>
        <v>1</v>
      </c>
      <c r="BE870" s="1120">
        <f t="shared" si="1006"/>
        <v>1</v>
      </c>
      <c r="BF870" s="1120">
        <f t="shared" si="1007"/>
        <v>1</v>
      </c>
      <c r="BG870" s="1120">
        <f t="shared" si="1008"/>
        <v>1</v>
      </c>
      <c r="BH870" s="1120">
        <f t="shared" si="1009"/>
        <v>0</v>
      </c>
      <c r="BI870" s="1120">
        <f t="shared" si="1010"/>
        <v>0</v>
      </c>
      <c r="BJ870" s="1120">
        <f t="shared" si="1011"/>
        <v>0</v>
      </c>
      <c r="BK870" s="1120">
        <f t="shared" si="1012"/>
        <v>1</v>
      </c>
      <c r="BL870" s="1120">
        <f t="shared" si="1013"/>
        <v>1</v>
      </c>
      <c r="BM870" s="1120">
        <f t="shared" si="1014"/>
        <v>1</v>
      </c>
      <c r="BN870" s="1120">
        <f t="shared" si="1015"/>
        <v>1</v>
      </c>
      <c r="BO870" s="1120">
        <f t="shared" si="1016"/>
        <v>1</v>
      </c>
      <c r="BP870" s="1120">
        <f t="shared" si="1017"/>
        <v>1</v>
      </c>
      <c r="BQ870" s="1120">
        <f t="shared" si="1018"/>
        <v>0</v>
      </c>
      <c r="BR870" s="1120">
        <f t="shared" si="1019"/>
        <v>0</v>
      </c>
      <c r="BS870" s="1120">
        <f t="shared" si="1020"/>
        <v>0</v>
      </c>
      <c r="BT870" s="1120">
        <f t="shared" si="1021"/>
        <v>1</v>
      </c>
      <c r="BU870" s="1120">
        <f t="shared" si="1022"/>
        <v>1</v>
      </c>
      <c r="BV870" s="1120">
        <f t="shared" si="1023"/>
        <v>1</v>
      </c>
      <c r="BW870" s="1120">
        <f t="shared" si="1024"/>
        <v>0</v>
      </c>
      <c r="BX870" s="1120">
        <f t="shared" si="1025"/>
        <v>0</v>
      </c>
      <c r="BY870" s="1120">
        <f t="shared" si="1026"/>
        <v>0</v>
      </c>
      <c r="BZ870" s="1120">
        <f t="shared" si="1027"/>
        <v>0</v>
      </c>
      <c r="CA870" s="1120">
        <f t="shared" si="1028"/>
        <v>1</v>
      </c>
      <c r="CB870" s="1120">
        <f t="shared" si="1029"/>
        <v>1</v>
      </c>
      <c r="CC870" s="1120">
        <f t="shared" si="1030"/>
        <v>1</v>
      </c>
      <c r="CD870" s="1120">
        <f t="shared" si="1031"/>
        <v>1</v>
      </c>
      <c r="CE870" s="1120">
        <f t="shared" si="1032"/>
        <v>1</v>
      </c>
      <c r="CF870" s="1120">
        <f t="shared" si="1033"/>
        <v>1</v>
      </c>
      <c r="CG870" s="1120">
        <f t="shared" si="1034"/>
        <v>0</v>
      </c>
      <c r="CH870" s="1120">
        <f t="shared" si="1035"/>
        <v>0</v>
      </c>
      <c r="CI870" s="1120">
        <f t="shared" si="1036"/>
        <v>0.85</v>
      </c>
      <c r="CJ870" s="1120">
        <f t="shared" si="1037"/>
        <v>0.85</v>
      </c>
      <c r="CK870" s="1120">
        <f t="shared" si="1038"/>
        <v>0.85</v>
      </c>
      <c r="CL870" s="1120">
        <f t="shared" si="1039"/>
        <v>0.85</v>
      </c>
      <c r="CM870" s="1120">
        <f t="shared" si="1040"/>
        <v>0.85</v>
      </c>
      <c r="CN870" s="1120">
        <f t="shared" si="1041"/>
        <v>0.85</v>
      </c>
      <c r="CO870" s="1120">
        <f t="shared" si="1042"/>
        <v>0.7</v>
      </c>
      <c r="CP870" s="1120">
        <f t="shared" si="1043"/>
        <v>0.7</v>
      </c>
      <c r="CQ870" s="1120">
        <f t="shared" si="1044"/>
        <v>0.7</v>
      </c>
      <c r="CR870" s="1120">
        <f t="shared" si="1045"/>
        <v>0.85</v>
      </c>
      <c r="CS870" s="1120">
        <f t="shared" si="1046"/>
        <v>0.85</v>
      </c>
      <c r="CT870" s="1120">
        <f t="shared" si="1047"/>
        <v>0.85</v>
      </c>
      <c r="CU870" s="1120">
        <v>1</v>
      </c>
      <c r="CV870" s="1120"/>
      <c r="CW870" s="1120">
        <f t="shared" si="1048"/>
        <v>184</v>
      </c>
      <c r="CX870" s="1120">
        <f t="shared" si="1049"/>
        <v>181</v>
      </c>
      <c r="CY870" s="1135" t="s">
        <v>4881</v>
      </c>
      <c r="CZ870" s="1124" t="s">
        <v>4882</v>
      </c>
      <c r="DA870" s="1124"/>
      <c r="DB870" s="1124"/>
      <c r="DC870" s="1120" t="s">
        <v>5400</v>
      </c>
      <c r="DD870" s="1120" t="s">
        <v>426</v>
      </c>
      <c r="DE870" s="1120" t="str">
        <f t="shared" si="1050"/>
        <v/>
      </c>
      <c r="DF870" s="1133">
        <v>0</v>
      </c>
      <c r="DG870" s="1120">
        <v>0</v>
      </c>
    </row>
    <row r="871" spans="1:111">
      <c r="A871" s="1125" t="s">
        <v>4426</v>
      </c>
      <c r="B871" s="1125" t="s">
        <v>3326</v>
      </c>
      <c r="C871" s="1125" t="s">
        <v>3327</v>
      </c>
      <c r="D871" s="1125" t="s">
        <v>594</v>
      </c>
      <c r="E871" s="1125">
        <v>30</v>
      </c>
      <c r="F871" s="1125">
        <v>-81.75</v>
      </c>
      <c r="G871" s="1125">
        <v>26.53</v>
      </c>
      <c r="H871" s="1125">
        <v>-5</v>
      </c>
      <c r="I871" s="1126">
        <v>45.320000171661377</v>
      </c>
      <c r="J871" s="1126">
        <v>92.660001373291024</v>
      </c>
      <c r="K871" s="1127">
        <v>76.819999313354487</v>
      </c>
      <c r="L871" s="1125">
        <v>304.2</v>
      </c>
      <c r="M871" s="1125">
        <v>102.60000000000001</v>
      </c>
      <c r="N871" s="1128">
        <v>63.319999313354494</v>
      </c>
      <c r="O871" s="1128">
        <v>68.180000686645513</v>
      </c>
      <c r="P871" s="1128">
        <v>68.360001373291013</v>
      </c>
      <c r="Q871" s="1128">
        <v>72.860001373291013</v>
      </c>
      <c r="R871" s="1128">
        <v>74.66000137329101</v>
      </c>
      <c r="S871" s="1128">
        <v>78.980000686645511</v>
      </c>
      <c r="T871" s="1128">
        <v>80.060001373291016</v>
      </c>
      <c r="U871" s="1128">
        <v>80.419999313354495</v>
      </c>
      <c r="V871" s="1128">
        <v>80.960001373291021</v>
      </c>
      <c r="W871" s="1128">
        <v>74.119999313354498</v>
      </c>
      <c r="X871" s="1128">
        <v>67.639998626708987</v>
      </c>
      <c r="Y871" s="1128">
        <v>63.319999313354494</v>
      </c>
      <c r="Z871" s="1128">
        <v>72.751507187934777</v>
      </c>
      <c r="AA871" s="1128">
        <f t="shared" si="976"/>
        <v>72.72264720109952</v>
      </c>
      <c r="AB871" s="1128">
        <f t="shared" si="977"/>
        <v>73.187148255336552</v>
      </c>
      <c r="AC871" s="1128">
        <f t="shared" si="978"/>
        <v>75.102085214722067</v>
      </c>
      <c r="AD871" s="1128">
        <f t="shared" si="979"/>
        <v>77.968300250720432</v>
      </c>
      <c r="AE871" s="1128">
        <f t="shared" si="980"/>
        <v>81.03867024448796</v>
      </c>
      <c r="AF871" s="1128">
        <f t="shared" si="981"/>
        <v>83.512855941315308</v>
      </c>
      <c r="AG871" s="1128">
        <f t="shared" si="982"/>
        <v>84.745922710968699</v>
      </c>
      <c r="AH871" s="1128">
        <f t="shared" si="983"/>
        <v>84.416452697803877</v>
      </c>
      <c r="AI871" s="1128">
        <f t="shared" si="984"/>
        <v>82.610327338038829</v>
      </c>
      <c r="AJ871" s="1128">
        <f t="shared" si="985"/>
        <v>79.798341039930619</v>
      </c>
      <c r="AK871" s="1128">
        <f t="shared" si="986"/>
        <v>76.713481366101718</v>
      </c>
      <c r="AL871" s="1128">
        <f t="shared" si="987"/>
        <v>74.159864529662201</v>
      </c>
      <c r="AM871" s="1125">
        <f t="shared" si="988"/>
        <v>1</v>
      </c>
      <c r="AN871" s="1125">
        <f t="shared" si="989"/>
        <v>0</v>
      </c>
      <c r="AO871" s="1125">
        <f t="shared" si="990"/>
        <v>0</v>
      </c>
      <c r="AP871" s="1125">
        <f t="shared" si="991"/>
        <v>0</v>
      </c>
      <c r="AQ871" s="1125">
        <f t="shared" si="992"/>
        <v>0</v>
      </c>
      <c r="AR871" s="1125">
        <f t="shared" si="993"/>
        <v>0</v>
      </c>
      <c r="AS871" s="1125">
        <f t="shared" si="994"/>
        <v>0</v>
      </c>
      <c r="AT871" s="1125">
        <f t="shared" si="995"/>
        <v>0</v>
      </c>
      <c r="AU871" s="1125">
        <f t="shared" si="996"/>
        <v>0</v>
      </c>
      <c r="AV871" s="1125">
        <f t="shared" si="997"/>
        <v>0</v>
      </c>
      <c r="AW871" s="1125">
        <f t="shared" si="998"/>
        <v>0</v>
      </c>
      <c r="AX871" s="1125">
        <f t="shared" si="999"/>
        <v>1</v>
      </c>
      <c r="AY871" s="1125">
        <f t="shared" si="1000"/>
        <v>0</v>
      </c>
      <c r="AZ871" s="1125">
        <f t="shared" si="1001"/>
        <v>1</v>
      </c>
      <c r="BA871" s="1125">
        <f t="shared" si="1002"/>
        <v>1</v>
      </c>
      <c r="BB871" s="1125">
        <f t="shared" si="1003"/>
        <v>1</v>
      </c>
      <c r="BC871" s="1125">
        <f t="shared" si="1004"/>
        <v>1</v>
      </c>
      <c r="BD871" s="1125">
        <f t="shared" si="1005"/>
        <v>1</v>
      </c>
      <c r="BE871" s="1125">
        <f t="shared" si="1006"/>
        <v>1</v>
      </c>
      <c r="BF871" s="1125">
        <f t="shared" si="1007"/>
        <v>1</v>
      </c>
      <c r="BG871" s="1125">
        <f t="shared" si="1008"/>
        <v>1</v>
      </c>
      <c r="BH871" s="1125">
        <f t="shared" si="1009"/>
        <v>1</v>
      </c>
      <c r="BI871" s="1125">
        <f t="shared" si="1010"/>
        <v>1</v>
      </c>
      <c r="BJ871" s="1125">
        <f t="shared" si="1011"/>
        <v>0</v>
      </c>
      <c r="BK871" s="1125">
        <f t="shared" si="1012"/>
        <v>1</v>
      </c>
      <c r="BL871" s="1125">
        <f t="shared" si="1013"/>
        <v>1</v>
      </c>
      <c r="BM871" s="1125">
        <f t="shared" si="1014"/>
        <v>0</v>
      </c>
      <c r="BN871" s="1125">
        <f t="shared" si="1015"/>
        <v>0</v>
      </c>
      <c r="BO871" s="1125">
        <f t="shared" si="1016"/>
        <v>0</v>
      </c>
      <c r="BP871" s="1125">
        <f t="shared" si="1017"/>
        <v>0</v>
      </c>
      <c r="BQ871" s="1125">
        <f t="shared" si="1018"/>
        <v>0</v>
      </c>
      <c r="BR871" s="1125">
        <f t="shared" si="1019"/>
        <v>0</v>
      </c>
      <c r="BS871" s="1125">
        <f t="shared" si="1020"/>
        <v>0</v>
      </c>
      <c r="BT871" s="1125">
        <f t="shared" si="1021"/>
        <v>0</v>
      </c>
      <c r="BU871" s="1125">
        <f t="shared" si="1022"/>
        <v>0</v>
      </c>
      <c r="BV871" s="1125">
        <f t="shared" si="1023"/>
        <v>1</v>
      </c>
      <c r="BW871" s="1125">
        <f t="shared" si="1024"/>
        <v>1</v>
      </c>
      <c r="BX871" s="1125">
        <f t="shared" si="1025"/>
        <v>1</v>
      </c>
      <c r="BY871" s="1125">
        <f t="shared" si="1026"/>
        <v>1</v>
      </c>
      <c r="BZ871" s="1125">
        <f t="shared" si="1027"/>
        <v>1</v>
      </c>
      <c r="CA871" s="1125">
        <f t="shared" si="1028"/>
        <v>1</v>
      </c>
      <c r="CB871" s="1125">
        <f t="shared" si="1029"/>
        <v>1</v>
      </c>
      <c r="CC871" s="1125">
        <f t="shared" si="1030"/>
        <v>1</v>
      </c>
      <c r="CD871" s="1125">
        <f t="shared" si="1031"/>
        <v>1</v>
      </c>
      <c r="CE871" s="1125">
        <f t="shared" si="1032"/>
        <v>1</v>
      </c>
      <c r="CF871" s="1125">
        <f t="shared" si="1033"/>
        <v>1</v>
      </c>
      <c r="CG871" s="1125">
        <f t="shared" si="1034"/>
        <v>1</v>
      </c>
      <c r="CH871" s="1125">
        <f t="shared" si="1035"/>
        <v>1</v>
      </c>
      <c r="CI871" s="1125">
        <f t="shared" si="1036"/>
        <v>0.85</v>
      </c>
      <c r="CJ871" s="1125">
        <f t="shared" si="1037"/>
        <v>0.85</v>
      </c>
      <c r="CK871" s="1125">
        <f t="shared" si="1038"/>
        <v>0.7</v>
      </c>
      <c r="CL871" s="1125">
        <f t="shared" si="1039"/>
        <v>0.7</v>
      </c>
      <c r="CM871" s="1125">
        <f t="shared" si="1040"/>
        <v>0.7</v>
      </c>
      <c r="CN871" s="1125">
        <f t="shared" si="1041"/>
        <v>0.7</v>
      </c>
      <c r="CO871" s="1125">
        <f t="shared" si="1042"/>
        <v>0.7</v>
      </c>
      <c r="CP871" s="1125">
        <f t="shared" si="1043"/>
        <v>0.7</v>
      </c>
      <c r="CQ871" s="1125">
        <f t="shared" si="1044"/>
        <v>0.7</v>
      </c>
      <c r="CR871" s="1125">
        <f t="shared" si="1045"/>
        <v>0.7</v>
      </c>
      <c r="CS871" s="1125">
        <f t="shared" si="1046"/>
        <v>0.7</v>
      </c>
      <c r="CT871" s="1125">
        <f t="shared" si="1047"/>
        <v>0.85</v>
      </c>
      <c r="CU871" s="1125">
        <v>1</v>
      </c>
      <c r="CV871" s="1125"/>
      <c r="CW871" s="1125">
        <f t="shared" si="1048"/>
        <v>365</v>
      </c>
      <c r="CX871" s="1125">
        <f t="shared" si="1049"/>
        <v>0</v>
      </c>
      <c r="CY871" s="1136" t="s">
        <v>4883</v>
      </c>
      <c r="CZ871" s="1129" t="s">
        <v>4884</v>
      </c>
      <c r="DA871" s="1129"/>
      <c r="DB871" s="1129"/>
      <c r="DC871" s="1125" t="s">
        <v>5120</v>
      </c>
      <c r="DD871" s="1125" t="s">
        <v>594</v>
      </c>
      <c r="DE871" s="1120" t="str">
        <f t="shared" si="1050"/>
        <v/>
      </c>
      <c r="DF871" s="1133">
        <v>0</v>
      </c>
      <c r="DG871" s="1125">
        <v>0</v>
      </c>
    </row>
    <row r="872" spans="1:111">
      <c r="A872" s="1120" t="s">
        <v>4428</v>
      </c>
      <c r="B872" s="1120" t="s">
        <v>1962</v>
      </c>
      <c r="C872" s="1120" t="s">
        <v>2656</v>
      </c>
      <c r="D872" s="1120" t="s">
        <v>566</v>
      </c>
      <c r="E872" s="1120">
        <v>1338</v>
      </c>
      <c r="F872" s="1120">
        <v>-95.15</v>
      </c>
      <c r="G872" s="1120">
        <v>43.17</v>
      </c>
      <c r="H872" s="1120">
        <v>-6</v>
      </c>
      <c r="I872" s="1121">
        <v>-8.3199993133544936</v>
      </c>
      <c r="J872" s="1121">
        <v>88.7</v>
      </c>
      <c r="K872" s="1122">
        <v>73.219999313354492</v>
      </c>
      <c r="L872" s="1120">
        <v>7936.2</v>
      </c>
      <c r="M872" s="1120">
        <v>635.4</v>
      </c>
      <c r="N872" s="1123">
        <v>13.819999313354492</v>
      </c>
      <c r="O872" s="1123">
        <v>22.459999656677248</v>
      </c>
      <c r="P872" s="1123">
        <v>29.119999957084655</v>
      </c>
      <c r="Q872" s="1123">
        <v>49.640000343322754</v>
      </c>
      <c r="R872" s="1123">
        <v>57.919999313354495</v>
      </c>
      <c r="S872" s="1123">
        <v>67.460001373291021</v>
      </c>
      <c r="T872" s="1123">
        <v>72.139998626708987</v>
      </c>
      <c r="U872" s="1123">
        <v>68.360001373291013</v>
      </c>
      <c r="V872" s="1123">
        <v>59.359999656677246</v>
      </c>
      <c r="W872" s="1123">
        <v>48.019999313354489</v>
      </c>
      <c r="X872" s="1123">
        <v>36.5</v>
      </c>
      <c r="Y872" s="1123">
        <v>7.1599996566772459</v>
      </c>
      <c r="Z872" s="1123">
        <v>44.412109467819946</v>
      </c>
      <c r="AA872" s="1123">
        <f t="shared" si="976"/>
        <v>39.540235170343294</v>
      </c>
      <c r="AB872" s="1123">
        <f t="shared" si="977"/>
        <v>37.323116907997537</v>
      </c>
      <c r="AC872" s="1123">
        <f t="shared" si="978"/>
        <v>38.517846263850473</v>
      </c>
      <c r="AD872" s="1123">
        <f t="shared" si="979"/>
        <v>42.812998619962343</v>
      </c>
      <c r="AE872" s="1123">
        <f t="shared" si="980"/>
        <v>49.088976324411234</v>
      </c>
      <c r="AF872" s="1123">
        <f t="shared" si="981"/>
        <v>55.709849072788543</v>
      </c>
      <c r="AG872" s="1123">
        <f t="shared" si="982"/>
        <v>60.949784352492237</v>
      </c>
      <c r="AH872" s="1123">
        <f t="shared" si="983"/>
        <v>63.442912283020604</v>
      </c>
      <c r="AI872" s="1123">
        <f t="shared" si="984"/>
        <v>62.539360649017048</v>
      </c>
      <c r="AJ872" s="1123">
        <f t="shared" si="985"/>
        <v>58.474654108036752</v>
      </c>
      <c r="AK872" s="1123">
        <f t="shared" si="986"/>
        <v>52.308321059010098</v>
      </c>
      <c r="AL872" s="1123">
        <f t="shared" si="987"/>
        <v>45.647711237234581</v>
      </c>
      <c r="AM872" s="1120">
        <f t="shared" si="988"/>
        <v>1</v>
      </c>
      <c r="AN872" s="1120">
        <f t="shared" si="989"/>
        <v>1</v>
      </c>
      <c r="AO872" s="1120">
        <f t="shared" si="990"/>
        <v>1</v>
      </c>
      <c r="AP872" s="1120">
        <f t="shared" si="991"/>
        <v>1</v>
      </c>
      <c r="AQ872" s="1120">
        <f t="shared" si="992"/>
        <v>1</v>
      </c>
      <c r="AR872" s="1120">
        <f t="shared" si="993"/>
        <v>0</v>
      </c>
      <c r="AS872" s="1120">
        <f t="shared" si="994"/>
        <v>0</v>
      </c>
      <c r="AT872" s="1120">
        <f t="shared" si="995"/>
        <v>0</v>
      </c>
      <c r="AU872" s="1120">
        <f t="shared" si="996"/>
        <v>1</v>
      </c>
      <c r="AV872" s="1120">
        <f t="shared" si="997"/>
        <v>1</v>
      </c>
      <c r="AW872" s="1120">
        <f t="shared" si="998"/>
        <v>1</v>
      </c>
      <c r="AX872" s="1120">
        <f t="shared" si="999"/>
        <v>1</v>
      </c>
      <c r="AY872" s="1120">
        <f t="shared" si="1000"/>
        <v>0</v>
      </c>
      <c r="AZ872" s="1120">
        <f t="shared" si="1001"/>
        <v>0</v>
      </c>
      <c r="BA872" s="1120">
        <f t="shared" si="1002"/>
        <v>0</v>
      </c>
      <c r="BB872" s="1120">
        <f t="shared" si="1003"/>
        <v>0</v>
      </c>
      <c r="BC872" s="1120">
        <f t="shared" si="1004"/>
        <v>0</v>
      </c>
      <c r="BD872" s="1120">
        <f t="shared" si="1005"/>
        <v>1</v>
      </c>
      <c r="BE872" s="1120">
        <f t="shared" si="1006"/>
        <v>1</v>
      </c>
      <c r="BF872" s="1120">
        <f t="shared" si="1007"/>
        <v>1</v>
      </c>
      <c r="BG872" s="1120">
        <f t="shared" si="1008"/>
        <v>0</v>
      </c>
      <c r="BH872" s="1120">
        <f t="shared" si="1009"/>
        <v>0</v>
      </c>
      <c r="BI872" s="1120">
        <f t="shared" si="1010"/>
        <v>0</v>
      </c>
      <c r="BJ872" s="1120">
        <f t="shared" si="1011"/>
        <v>0</v>
      </c>
      <c r="BK872" s="1120">
        <f t="shared" si="1012"/>
        <v>1</v>
      </c>
      <c r="BL872" s="1120">
        <f t="shared" si="1013"/>
        <v>1</v>
      </c>
      <c r="BM872" s="1120">
        <f t="shared" si="1014"/>
        <v>1</v>
      </c>
      <c r="BN872" s="1120">
        <f t="shared" si="1015"/>
        <v>1</v>
      </c>
      <c r="BO872" s="1120">
        <f t="shared" si="1016"/>
        <v>1</v>
      </c>
      <c r="BP872" s="1120">
        <f t="shared" si="1017"/>
        <v>1</v>
      </c>
      <c r="BQ872" s="1120">
        <f t="shared" si="1018"/>
        <v>0</v>
      </c>
      <c r="BR872" s="1120">
        <f t="shared" si="1019"/>
        <v>0</v>
      </c>
      <c r="BS872" s="1120">
        <f t="shared" si="1020"/>
        <v>1</v>
      </c>
      <c r="BT872" s="1120">
        <f t="shared" si="1021"/>
        <v>1</v>
      </c>
      <c r="BU872" s="1120">
        <f t="shared" si="1022"/>
        <v>1</v>
      </c>
      <c r="BV872" s="1120">
        <f t="shared" si="1023"/>
        <v>1</v>
      </c>
      <c r="BW872" s="1120">
        <f t="shared" si="1024"/>
        <v>0</v>
      </c>
      <c r="BX872" s="1120">
        <f t="shared" si="1025"/>
        <v>0</v>
      </c>
      <c r="BY872" s="1120">
        <f t="shared" si="1026"/>
        <v>0</v>
      </c>
      <c r="BZ872" s="1120">
        <f t="shared" si="1027"/>
        <v>0</v>
      </c>
      <c r="CA872" s="1120">
        <f t="shared" si="1028"/>
        <v>1</v>
      </c>
      <c r="CB872" s="1120">
        <f t="shared" si="1029"/>
        <v>1</v>
      </c>
      <c r="CC872" s="1120">
        <f t="shared" si="1030"/>
        <v>1</v>
      </c>
      <c r="CD872" s="1120">
        <f t="shared" si="1031"/>
        <v>1</v>
      </c>
      <c r="CE872" s="1120">
        <f t="shared" si="1032"/>
        <v>1</v>
      </c>
      <c r="CF872" s="1120">
        <f t="shared" si="1033"/>
        <v>0</v>
      </c>
      <c r="CG872" s="1120">
        <f t="shared" si="1034"/>
        <v>0</v>
      </c>
      <c r="CH872" s="1120">
        <f t="shared" si="1035"/>
        <v>0</v>
      </c>
      <c r="CI872" s="1120">
        <f t="shared" si="1036"/>
        <v>0.85</v>
      </c>
      <c r="CJ872" s="1120">
        <f t="shared" si="1037"/>
        <v>0.85</v>
      </c>
      <c r="CK872" s="1120">
        <f t="shared" si="1038"/>
        <v>0.85</v>
      </c>
      <c r="CL872" s="1120">
        <f t="shared" si="1039"/>
        <v>0.85</v>
      </c>
      <c r="CM872" s="1120">
        <f t="shared" si="1040"/>
        <v>0.85</v>
      </c>
      <c r="CN872" s="1120">
        <f t="shared" si="1041"/>
        <v>0.85</v>
      </c>
      <c r="CO872" s="1120">
        <f t="shared" si="1042"/>
        <v>0.7</v>
      </c>
      <c r="CP872" s="1120">
        <f t="shared" si="1043"/>
        <v>0.7</v>
      </c>
      <c r="CQ872" s="1120">
        <f t="shared" si="1044"/>
        <v>0.85</v>
      </c>
      <c r="CR872" s="1120">
        <f t="shared" si="1045"/>
        <v>0.85</v>
      </c>
      <c r="CS872" s="1120">
        <f t="shared" si="1046"/>
        <v>0.85</v>
      </c>
      <c r="CT872" s="1120">
        <f t="shared" si="1047"/>
        <v>0.85</v>
      </c>
      <c r="CU872" s="1120">
        <v>1</v>
      </c>
      <c r="CV872" s="1120"/>
      <c r="CW872" s="1120">
        <f t="shared" si="1048"/>
        <v>153</v>
      </c>
      <c r="CX872" s="1120">
        <f t="shared" si="1049"/>
        <v>212</v>
      </c>
      <c r="CY872" s="1135" t="s">
        <v>4889</v>
      </c>
      <c r="CZ872" s="1124" t="s">
        <v>4899</v>
      </c>
      <c r="DA872" s="1124"/>
      <c r="DB872" s="1124"/>
      <c r="DC872" s="1120" t="s">
        <v>5189</v>
      </c>
      <c r="DD872" s="1120" t="s">
        <v>566</v>
      </c>
      <c r="DE872" s="1120" t="str">
        <f t="shared" si="1050"/>
        <v/>
      </c>
      <c r="DF872" s="1133">
        <v>0</v>
      </c>
      <c r="DG872" s="1120">
        <v>0</v>
      </c>
    </row>
    <row r="873" spans="1:111">
      <c r="A873" s="1125" t="s">
        <v>5927</v>
      </c>
      <c r="B873" s="1120" t="s">
        <v>4588</v>
      </c>
      <c r="C873" s="1120" t="s">
        <v>4589</v>
      </c>
      <c r="D873" s="1120" t="s">
        <v>238</v>
      </c>
      <c r="E873" s="1120">
        <v>2549</v>
      </c>
      <c r="F873" s="1120">
        <v>-117.59</v>
      </c>
      <c r="G873" s="1120">
        <v>47.49</v>
      </c>
      <c r="H873" s="1120">
        <v>-8</v>
      </c>
      <c r="I873" s="1121">
        <v>9.6800006866455064</v>
      </c>
      <c r="J873" s="1121">
        <v>89.419999313354495</v>
      </c>
      <c r="K873" s="1122">
        <v>61.880000686645509</v>
      </c>
      <c r="L873" s="1120">
        <v>6526.8</v>
      </c>
      <c r="M873" s="1120">
        <v>417.6</v>
      </c>
      <c r="N873" s="1123">
        <v>26.779999828338624</v>
      </c>
      <c r="O873" s="1123">
        <v>31.81999999731779</v>
      </c>
      <c r="P873" s="1123">
        <v>39.559999656677249</v>
      </c>
      <c r="Q873" s="1123">
        <v>48.380000686645509</v>
      </c>
      <c r="R873" s="1123">
        <v>54.680000686645506</v>
      </c>
      <c r="S873" s="1123">
        <v>61.339998626708983</v>
      </c>
      <c r="T873" s="1123">
        <v>68.719999313354492</v>
      </c>
      <c r="U873" s="1123">
        <v>66.739998626708982</v>
      </c>
      <c r="V873" s="1123">
        <v>61.880000686645509</v>
      </c>
      <c r="W873" s="1123">
        <v>46.4</v>
      </c>
      <c r="X873" s="1123">
        <v>35.060000085830687</v>
      </c>
      <c r="Y873" s="1123">
        <v>29.660000085830688</v>
      </c>
      <c r="Z873" s="1123">
        <v>47.669862867463124</v>
      </c>
      <c r="AA873" s="1123">
        <f t="shared" si="976"/>
        <v>45.811376978330074</v>
      </c>
      <c r="AB873" s="1123">
        <f t="shared" si="977"/>
        <v>44.514691750118516</v>
      </c>
      <c r="AC873" s="1123">
        <f t="shared" si="978"/>
        <v>45.604442959100368</v>
      </c>
      <c r="AD873" s="1123">
        <f t="shared" si="979"/>
        <v>48.796570159080048</v>
      </c>
      <c r="AE873" s="1123">
        <f t="shared" si="980"/>
        <v>53.258996203213655</v>
      </c>
      <c r="AF873" s="1123">
        <f t="shared" si="981"/>
        <v>57.828520975030848</v>
      </c>
      <c r="AG873" s="1123">
        <f t="shared" si="982"/>
        <v>61.314027424249176</v>
      </c>
      <c r="AH873" s="1123">
        <f t="shared" si="983"/>
        <v>62.806964581599622</v>
      </c>
      <c r="AI873" s="1123">
        <f t="shared" si="984"/>
        <v>61.918175370160782</v>
      </c>
      <c r="AJ873" s="1123">
        <f t="shared" si="985"/>
        <v>58.879336394550535</v>
      </c>
      <c r="AK873" s="1123">
        <f t="shared" si="986"/>
        <v>54.482567863687834</v>
      </c>
      <c r="AL873" s="1123">
        <f t="shared" si="987"/>
        <v>49.873955251396069</v>
      </c>
      <c r="AM873" s="1120">
        <f t="shared" si="988"/>
        <v>1</v>
      </c>
      <c r="AN873" s="1120">
        <f t="shared" si="989"/>
        <v>1</v>
      </c>
      <c r="AO873" s="1120">
        <f t="shared" si="990"/>
        <v>1</v>
      </c>
      <c r="AP873" s="1120">
        <f t="shared" si="991"/>
        <v>1</v>
      </c>
      <c r="AQ873" s="1120">
        <f t="shared" si="992"/>
        <v>1</v>
      </c>
      <c r="AR873" s="1120">
        <f t="shared" si="993"/>
        <v>1</v>
      </c>
      <c r="AS873" s="1120">
        <f t="shared" si="994"/>
        <v>0</v>
      </c>
      <c r="AT873" s="1120">
        <f t="shared" si="995"/>
        <v>0</v>
      </c>
      <c r="AU873" s="1120">
        <f t="shared" si="996"/>
        <v>1</v>
      </c>
      <c r="AV873" s="1120">
        <f t="shared" si="997"/>
        <v>1</v>
      </c>
      <c r="AW873" s="1120">
        <f t="shared" si="998"/>
        <v>1</v>
      </c>
      <c r="AX873" s="1120">
        <f t="shared" si="999"/>
        <v>1</v>
      </c>
      <c r="AY873" s="1120">
        <f t="shared" si="1000"/>
        <v>0</v>
      </c>
      <c r="AZ873" s="1120">
        <f t="shared" si="1001"/>
        <v>0</v>
      </c>
      <c r="BA873" s="1120">
        <f t="shared" si="1002"/>
        <v>0</v>
      </c>
      <c r="BB873" s="1120">
        <f t="shared" si="1003"/>
        <v>0</v>
      </c>
      <c r="BC873" s="1120">
        <f t="shared" si="1004"/>
        <v>0</v>
      </c>
      <c r="BD873" s="1120">
        <f t="shared" si="1005"/>
        <v>0</v>
      </c>
      <c r="BE873" s="1120">
        <f t="shared" si="1006"/>
        <v>1</v>
      </c>
      <c r="BF873" s="1120">
        <f t="shared" si="1007"/>
        <v>1</v>
      </c>
      <c r="BG873" s="1120">
        <f t="shared" si="1008"/>
        <v>0</v>
      </c>
      <c r="BH873" s="1120">
        <f t="shared" si="1009"/>
        <v>0</v>
      </c>
      <c r="BI873" s="1120">
        <f t="shared" si="1010"/>
        <v>0</v>
      </c>
      <c r="BJ873" s="1120">
        <f t="shared" si="1011"/>
        <v>0</v>
      </c>
      <c r="BK873" s="1120">
        <f t="shared" si="1012"/>
        <v>1</v>
      </c>
      <c r="BL873" s="1120">
        <f t="shared" si="1013"/>
        <v>1</v>
      </c>
      <c r="BM873" s="1120">
        <f t="shared" si="1014"/>
        <v>1</v>
      </c>
      <c r="BN873" s="1120">
        <f t="shared" si="1015"/>
        <v>1</v>
      </c>
      <c r="BO873" s="1120">
        <f t="shared" si="1016"/>
        <v>1</v>
      </c>
      <c r="BP873" s="1120">
        <f t="shared" si="1017"/>
        <v>1</v>
      </c>
      <c r="BQ873" s="1120">
        <f t="shared" si="1018"/>
        <v>1</v>
      </c>
      <c r="BR873" s="1120">
        <f t="shared" si="1019"/>
        <v>0</v>
      </c>
      <c r="BS873" s="1120">
        <f t="shared" si="1020"/>
        <v>1</v>
      </c>
      <c r="BT873" s="1120">
        <f t="shared" si="1021"/>
        <v>1</v>
      </c>
      <c r="BU873" s="1120">
        <f t="shared" si="1022"/>
        <v>1</v>
      </c>
      <c r="BV873" s="1120">
        <f t="shared" si="1023"/>
        <v>1</v>
      </c>
      <c r="BW873" s="1120">
        <f t="shared" si="1024"/>
        <v>0</v>
      </c>
      <c r="BX873" s="1120">
        <f t="shared" si="1025"/>
        <v>0</v>
      </c>
      <c r="BY873" s="1120">
        <f t="shared" si="1026"/>
        <v>0</v>
      </c>
      <c r="BZ873" s="1120">
        <f t="shared" si="1027"/>
        <v>0</v>
      </c>
      <c r="CA873" s="1120">
        <f t="shared" si="1028"/>
        <v>0</v>
      </c>
      <c r="CB873" s="1120">
        <f t="shared" si="1029"/>
        <v>1</v>
      </c>
      <c r="CC873" s="1120">
        <f t="shared" si="1030"/>
        <v>1</v>
      </c>
      <c r="CD873" s="1120">
        <f t="shared" si="1031"/>
        <v>1</v>
      </c>
      <c r="CE873" s="1120">
        <f t="shared" si="1032"/>
        <v>1</v>
      </c>
      <c r="CF873" s="1120">
        <f t="shared" si="1033"/>
        <v>0</v>
      </c>
      <c r="CG873" s="1120">
        <f t="shared" si="1034"/>
        <v>0</v>
      </c>
      <c r="CH873" s="1120">
        <f t="shared" si="1035"/>
        <v>0</v>
      </c>
      <c r="CI873" s="1120">
        <f t="shared" si="1036"/>
        <v>0.85</v>
      </c>
      <c r="CJ873" s="1120">
        <f t="shared" si="1037"/>
        <v>0.85</v>
      </c>
      <c r="CK873" s="1120">
        <f t="shared" si="1038"/>
        <v>0.85</v>
      </c>
      <c r="CL873" s="1120">
        <f t="shared" si="1039"/>
        <v>0.85</v>
      </c>
      <c r="CM873" s="1120">
        <f t="shared" si="1040"/>
        <v>0.85</v>
      </c>
      <c r="CN873" s="1120">
        <f t="shared" si="1041"/>
        <v>0.85</v>
      </c>
      <c r="CO873" s="1120">
        <f t="shared" si="1042"/>
        <v>0.85</v>
      </c>
      <c r="CP873" s="1120">
        <f t="shared" si="1043"/>
        <v>0.7</v>
      </c>
      <c r="CQ873" s="1120">
        <f t="shared" si="1044"/>
        <v>0.85</v>
      </c>
      <c r="CR873" s="1120">
        <f t="shared" si="1045"/>
        <v>0.85</v>
      </c>
      <c r="CS873" s="1120">
        <f t="shared" si="1046"/>
        <v>0.85</v>
      </c>
      <c r="CT873" s="1120">
        <f t="shared" si="1047"/>
        <v>0.85</v>
      </c>
      <c r="CU873" s="1120">
        <v>1</v>
      </c>
      <c r="CV873" s="1120"/>
      <c r="CW873" s="1120">
        <f t="shared" si="1048"/>
        <v>122</v>
      </c>
      <c r="CX873" s="1120">
        <f t="shared" si="1049"/>
        <v>243</v>
      </c>
      <c r="CY873" s="1135" t="s">
        <v>4889</v>
      </c>
      <c r="CZ873" s="1124" t="s">
        <v>4890</v>
      </c>
      <c r="DA873" s="1124"/>
      <c r="DB873" s="1124"/>
      <c r="DC873" s="1120" t="s">
        <v>5666</v>
      </c>
      <c r="DD873" s="1120" t="s">
        <v>238</v>
      </c>
      <c r="DE873" s="1120" t="b">
        <f t="shared" si="1050"/>
        <v>0</v>
      </c>
      <c r="DF873" s="1133">
        <v>0</v>
      </c>
      <c r="DG873" s="1125">
        <v>0</v>
      </c>
    </row>
    <row r="874" spans="1:111">
      <c r="A874" s="1120" t="s">
        <v>4430</v>
      </c>
      <c r="B874" s="1120" t="s">
        <v>3044</v>
      </c>
      <c r="C874" s="1120" t="s">
        <v>3045</v>
      </c>
      <c r="D874" s="1120" t="s">
        <v>1176</v>
      </c>
      <c r="E874" s="1120">
        <v>1351</v>
      </c>
      <c r="F874" s="1120">
        <v>-94.12</v>
      </c>
      <c r="G874" s="1120">
        <v>36.18</v>
      </c>
      <c r="H874" s="1120">
        <v>-6</v>
      </c>
      <c r="I874" s="1121">
        <v>8.0599996566772454</v>
      </c>
      <c r="J874" s="1121">
        <v>95.179997253417966</v>
      </c>
      <c r="K874" s="1122">
        <v>73.580000686645505</v>
      </c>
      <c r="L874" s="1120">
        <v>3900.6</v>
      </c>
      <c r="M874" s="1120">
        <v>1569.6000000000001</v>
      </c>
      <c r="N874" s="1123">
        <v>34.160000085830688</v>
      </c>
      <c r="O874" s="1123">
        <v>40.459999656677248</v>
      </c>
      <c r="P874" s="1123">
        <v>49.1</v>
      </c>
      <c r="Q874" s="1123">
        <v>60.440000343322751</v>
      </c>
      <c r="R874" s="1123">
        <v>65.119999313354498</v>
      </c>
      <c r="S874" s="1123">
        <v>72.139998626708987</v>
      </c>
      <c r="T874" s="1123">
        <v>78.8</v>
      </c>
      <c r="U874" s="1123">
        <v>80.419999313354495</v>
      </c>
      <c r="V874" s="1123">
        <v>68.719999313354492</v>
      </c>
      <c r="W874" s="1123">
        <v>59.359999656677246</v>
      </c>
      <c r="X874" s="1123">
        <v>47.659999656677243</v>
      </c>
      <c r="Y874" s="1123">
        <v>38.299999999999997</v>
      </c>
      <c r="Z874" s="1123">
        <v>57.985588706944085</v>
      </c>
      <c r="AA874" s="1123">
        <f t="shared" si="976"/>
        <v>52.306381586354163</v>
      </c>
      <c r="AB874" s="1123">
        <f t="shared" si="977"/>
        <v>51.647713084661831</v>
      </c>
      <c r="AC874" s="1123">
        <f t="shared" si="978"/>
        <v>54.205101996335969</v>
      </c>
      <c r="AD874" s="1123">
        <f t="shared" si="979"/>
        <v>59.311925490992635</v>
      </c>
      <c r="AE874" s="1123">
        <f t="shared" si="980"/>
        <v>65.637011326217333</v>
      </c>
      <c r="AF874" s="1123">
        <f t="shared" si="981"/>
        <v>71.531628406535546</v>
      </c>
      <c r="AG874" s="1123">
        <f t="shared" si="982"/>
        <v>75.459253951163475</v>
      </c>
      <c r="AH874" s="1123">
        <f t="shared" si="983"/>
        <v>76.396091835352081</v>
      </c>
      <c r="AI874" s="1123">
        <f t="shared" si="984"/>
        <v>74.09794082747878</v>
      </c>
      <c r="AJ874" s="1123">
        <f t="shared" si="985"/>
        <v>69.163849403324818</v>
      </c>
      <c r="AK874" s="1123">
        <f t="shared" si="986"/>
        <v>62.879964529246394</v>
      </c>
      <c r="AL874" s="1123">
        <f t="shared" si="987"/>
        <v>56.884277635269186</v>
      </c>
      <c r="AM874" s="1120">
        <f t="shared" si="988"/>
        <v>1</v>
      </c>
      <c r="AN874" s="1120">
        <f t="shared" si="989"/>
        <v>1</v>
      </c>
      <c r="AO874" s="1120">
        <f t="shared" si="990"/>
        <v>1</v>
      </c>
      <c r="AP874" s="1120">
        <f t="shared" si="991"/>
        <v>1</v>
      </c>
      <c r="AQ874" s="1120">
        <f t="shared" si="992"/>
        <v>1</v>
      </c>
      <c r="AR874" s="1120">
        <f t="shared" si="993"/>
        <v>0</v>
      </c>
      <c r="AS874" s="1120">
        <f t="shared" si="994"/>
        <v>0</v>
      </c>
      <c r="AT874" s="1120">
        <f t="shared" si="995"/>
        <v>0</v>
      </c>
      <c r="AU874" s="1120">
        <f t="shared" si="996"/>
        <v>0</v>
      </c>
      <c r="AV874" s="1120">
        <f t="shared" si="997"/>
        <v>1</v>
      </c>
      <c r="AW874" s="1120">
        <f t="shared" si="998"/>
        <v>1</v>
      </c>
      <c r="AX874" s="1120">
        <f t="shared" si="999"/>
        <v>1</v>
      </c>
      <c r="AY874" s="1120">
        <f t="shared" si="1000"/>
        <v>0</v>
      </c>
      <c r="AZ874" s="1120">
        <f t="shared" si="1001"/>
        <v>0</v>
      </c>
      <c r="BA874" s="1120">
        <f t="shared" si="1002"/>
        <v>0</v>
      </c>
      <c r="BB874" s="1120">
        <f t="shared" si="1003"/>
        <v>0</v>
      </c>
      <c r="BC874" s="1120">
        <f t="shared" si="1004"/>
        <v>0</v>
      </c>
      <c r="BD874" s="1120">
        <f t="shared" si="1005"/>
        <v>1</v>
      </c>
      <c r="BE874" s="1120">
        <f t="shared" si="1006"/>
        <v>1</v>
      </c>
      <c r="BF874" s="1120">
        <f t="shared" si="1007"/>
        <v>1</v>
      </c>
      <c r="BG874" s="1120">
        <f t="shared" si="1008"/>
        <v>1</v>
      </c>
      <c r="BH874" s="1120">
        <f t="shared" si="1009"/>
        <v>0</v>
      </c>
      <c r="BI874" s="1120">
        <f t="shared" si="1010"/>
        <v>0</v>
      </c>
      <c r="BJ874" s="1120">
        <f t="shared" si="1011"/>
        <v>0</v>
      </c>
      <c r="BK874" s="1120">
        <f t="shared" si="1012"/>
        <v>1</v>
      </c>
      <c r="BL874" s="1120">
        <f t="shared" si="1013"/>
        <v>1</v>
      </c>
      <c r="BM874" s="1120">
        <f t="shared" si="1014"/>
        <v>1</v>
      </c>
      <c r="BN874" s="1120">
        <f t="shared" si="1015"/>
        <v>1</v>
      </c>
      <c r="BO874" s="1120">
        <f t="shared" si="1016"/>
        <v>1</v>
      </c>
      <c r="BP874" s="1120">
        <f t="shared" si="1017"/>
        <v>1</v>
      </c>
      <c r="BQ874" s="1120">
        <f t="shared" si="1018"/>
        <v>0</v>
      </c>
      <c r="BR874" s="1120">
        <f t="shared" si="1019"/>
        <v>0</v>
      </c>
      <c r="BS874" s="1120">
        <f t="shared" si="1020"/>
        <v>0</v>
      </c>
      <c r="BT874" s="1120">
        <f t="shared" si="1021"/>
        <v>1</v>
      </c>
      <c r="BU874" s="1120">
        <f t="shared" si="1022"/>
        <v>1</v>
      </c>
      <c r="BV874" s="1120">
        <f t="shared" si="1023"/>
        <v>1</v>
      </c>
      <c r="BW874" s="1120">
        <f t="shared" si="1024"/>
        <v>0</v>
      </c>
      <c r="BX874" s="1120">
        <f t="shared" si="1025"/>
        <v>0</v>
      </c>
      <c r="BY874" s="1120">
        <f t="shared" si="1026"/>
        <v>0</v>
      </c>
      <c r="BZ874" s="1120">
        <f t="shared" si="1027"/>
        <v>0</v>
      </c>
      <c r="CA874" s="1120">
        <f t="shared" si="1028"/>
        <v>1</v>
      </c>
      <c r="CB874" s="1120">
        <f t="shared" si="1029"/>
        <v>1</v>
      </c>
      <c r="CC874" s="1120">
        <f t="shared" si="1030"/>
        <v>1</v>
      </c>
      <c r="CD874" s="1120">
        <f t="shared" si="1031"/>
        <v>1</v>
      </c>
      <c r="CE874" s="1120">
        <f t="shared" si="1032"/>
        <v>1</v>
      </c>
      <c r="CF874" s="1120">
        <f t="shared" si="1033"/>
        <v>1</v>
      </c>
      <c r="CG874" s="1120">
        <f t="shared" si="1034"/>
        <v>0</v>
      </c>
      <c r="CH874" s="1120">
        <f t="shared" si="1035"/>
        <v>0</v>
      </c>
      <c r="CI874" s="1120">
        <f t="shared" si="1036"/>
        <v>0.85</v>
      </c>
      <c r="CJ874" s="1120">
        <f t="shared" si="1037"/>
        <v>0.85</v>
      </c>
      <c r="CK874" s="1120">
        <f t="shared" si="1038"/>
        <v>0.85</v>
      </c>
      <c r="CL874" s="1120">
        <f t="shared" si="1039"/>
        <v>0.85</v>
      </c>
      <c r="CM874" s="1120">
        <f t="shared" si="1040"/>
        <v>0.85</v>
      </c>
      <c r="CN874" s="1120">
        <f t="shared" si="1041"/>
        <v>0.85</v>
      </c>
      <c r="CO874" s="1120">
        <f t="shared" si="1042"/>
        <v>0.7</v>
      </c>
      <c r="CP874" s="1120">
        <f t="shared" si="1043"/>
        <v>0.7</v>
      </c>
      <c r="CQ874" s="1120">
        <f t="shared" si="1044"/>
        <v>0.7</v>
      </c>
      <c r="CR874" s="1120">
        <f t="shared" si="1045"/>
        <v>0.85</v>
      </c>
      <c r="CS874" s="1120">
        <f t="shared" si="1046"/>
        <v>0.85</v>
      </c>
      <c r="CT874" s="1120">
        <f t="shared" si="1047"/>
        <v>0.85</v>
      </c>
      <c r="CU874" s="1120">
        <v>1</v>
      </c>
      <c r="CV874" s="1120"/>
      <c r="CW874" s="1120">
        <f t="shared" si="1048"/>
        <v>184</v>
      </c>
      <c r="CX874" s="1120">
        <f t="shared" si="1049"/>
        <v>181</v>
      </c>
      <c r="CY874" s="1135" t="s">
        <v>4881</v>
      </c>
      <c r="CZ874" s="1124" t="s">
        <v>4885</v>
      </c>
      <c r="DA874" s="1124"/>
      <c r="DB874" s="1124"/>
      <c r="DC874" s="1120" t="s">
        <v>4993</v>
      </c>
      <c r="DD874" s="1120" t="s">
        <v>1176</v>
      </c>
      <c r="DE874" s="1120" t="str">
        <f t="shared" si="1050"/>
        <v/>
      </c>
      <c r="DF874" s="1120">
        <v>0</v>
      </c>
      <c r="DG874" s="1120">
        <v>0</v>
      </c>
    </row>
    <row r="875" spans="1:111">
      <c r="A875" s="1125" t="s">
        <v>4432</v>
      </c>
      <c r="B875" s="1125" t="s">
        <v>3523</v>
      </c>
      <c r="C875" s="1125" t="s">
        <v>3524</v>
      </c>
      <c r="D875" s="1125" t="s">
        <v>932</v>
      </c>
      <c r="E875" s="1125">
        <v>587</v>
      </c>
      <c r="F875" s="1125">
        <v>-89.68</v>
      </c>
      <c r="G875" s="1125">
        <v>39.85</v>
      </c>
      <c r="H875" s="1125">
        <v>-6</v>
      </c>
      <c r="I875" s="1126">
        <v>4.640000343322753</v>
      </c>
      <c r="J875" s="1126">
        <v>90.5</v>
      </c>
      <c r="K875" s="1127">
        <v>75.560001373291016</v>
      </c>
      <c r="L875" s="1125">
        <v>5346</v>
      </c>
      <c r="M875" s="1125">
        <v>1247.4000000000001</v>
      </c>
      <c r="N875" s="1128">
        <v>23</v>
      </c>
      <c r="O875" s="1128">
        <v>25.7</v>
      </c>
      <c r="P875" s="1128">
        <v>45.140000343322754</v>
      </c>
      <c r="Q875" s="1128">
        <v>54.319999313354494</v>
      </c>
      <c r="R875" s="1128">
        <v>64.939998626708984</v>
      </c>
      <c r="S875" s="1128">
        <v>74.480000686645511</v>
      </c>
      <c r="T875" s="1128">
        <v>76.460001373291021</v>
      </c>
      <c r="U875" s="1128">
        <v>73.939998626708984</v>
      </c>
      <c r="V875" s="1128">
        <v>66.560001373291016</v>
      </c>
      <c r="W875" s="1128">
        <v>53.419999313354495</v>
      </c>
      <c r="X875" s="1128">
        <v>45.140000343322754</v>
      </c>
      <c r="Y875" s="1128">
        <v>33.080000042915344</v>
      </c>
      <c r="Z875" s="1128">
        <v>53.161589040037704</v>
      </c>
      <c r="AA875" s="1128">
        <f t="shared" si="976"/>
        <v>47.29851004568107</v>
      </c>
      <c r="AB875" s="1128">
        <f t="shared" si="977"/>
        <v>46.054380925054147</v>
      </c>
      <c r="AC875" s="1128">
        <f t="shared" si="978"/>
        <v>48.226847587788875</v>
      </c>
      <c r="AD875" s="1128">
        <f t="shared" si="979"/>
        <v>53.24962311951878</v>
      </c>
      <c r="AE875" s="1128">
        <f t="shared" si="980"/>
        <v>59.813443674584533</v>
      </c>
      <c r="AF875" s="1128">
        <f t="shared" si="981"/>
        <v>66.207348273771672</v>
      </c>
      <c r="AG875" s="1128">
        <f t="shared" si="982"/>
        <v>70.764667150249608</v>
      </c>
      <c r="AH875" s="1128">
        <f t="shared" si="983"/>
        <v>72.297464908454643</v>
      </c>
      <c r="AI875" s="1128">
        <f t="shared" si="984"/>
        <v>70.406194191582173</v>
      </c>
      <c r="AJ875" s="1128">
        <f t="shared" si="985"/>
        <v>65.583843857348967</v>
      </c>
      <c r="AK875" s="1128">
        <f t="shared" si="986"/>
        <v>59.08743383504104</v>
      </c>
      <c r="AL875" s="1128">
        <f t="shared" si="987"/>
        <v>52.610353509681808</v>
      </c>
      <c r="AM875" s="1125">
        <f t="shared" si="988"/>
        <v>1</v>
      </c>
      <c r="AN875" s="1125">
        <f t="shared" si="989"/>
        <v>1</v>
      </c>
      <c r="AO875" s="1125">
        <f t="shared" si="990"/>
        <v>1</v>
      </c>
      <c r="AP875" s="1125">
        <f t="shared" si="991"/>
        <v>1</v>
      </c>
      <c r="AQ875" s="1125">
        <f t="shared" si="992"/>
        <v>1</v>
      </c>
      <c r="AR875" s="1125">
        <f t="shared" si="993"/>
        <v>0</v>
      </c>
      <c r="AS875" s="1125">
        <f t="shared" si="994"/>
        <v>0</v>
      </c>
      <c r="AT875" s="1125">
        <f t="shared" si="995"/>
        <v>0</v>
      </c>
      <c r="AU875" s="1125">
        <f t="shared" si="996"/>
        <v>0</v>
      </c>
      <c r="AV875" s="1125">
        <f t="shared" si="997"/>
        <v>1</v>
      </c>
      <c r="AW875" s="1125">
        <f t="shared" si="998"/>
        <v>1</v>
      </c>
      <c r="AX875" s="1125">
        <f t="shared" si="999"/>
        <v>1</v>
      </c>
      <c r="AY875" s="1125">
        <f t="shared" si="1000"/>
        <v>0</v>
      </c>
      <c r="AZ875" s="1125">
        <f t="shared" si="1001"/>
        <v>0</v>
      </c>
      <c r="BA875" s="1125">
        <f t="shared" si="1002"/>
        <v>0</v>
      </c>
      <c r="BB875" s="1125">
        <f t="shared" si="1003"/>
        <v>0</v>
      </c>
      <c r="BC875" s="1125">
        <f t="shared" si="1004"/>
        <v>0</v>
      </c>
      <c r="BD875" s="1125">
        <f t="shared" si="1005"/>
        <v>1</v>
      </c>
      <c r="BE875" s="1125">
        <f t="shared" si="1006"/>
        <v>1</v>
      </c>
      <c r="BF875" s="1125">
        <f t="shared" si="1007"/>
        <v>1</v>
      </c>
      <c r="BG875" s="1125">
        <f t="shared" si="1008"/>
        <v>1</v>
      </c>
      <c r="BH875" s="1125">
        <f t="shared" si="1009"/>
        <v>0</v>
      </c>
      <c r="BI875" s="1125">
        <f t="shared" si="1010"/>
        <v>0</v>
      </c>
      <c r="BJ875" s="1125">
        <f t="shared" si="1011"/>
        <v>0</v>
      </c>
      <c r="BK875" s="1125">
        <f t="shared" si="1012"/>
        <v>1</v>
      </c>
      <c r="BL875" s="1125">
        <f t="shared" si="1013"/>
        <v>1</v>
      </c>
      <c r="BM875" s="1125">
        <f t="shared" si="1014"/>
        <v>1</v>
      </c>
      <c r="BN875" s="1125">
        <f t="shared" si="1015"/>
        <v>1</v>
      </c>
      <c r="BO875" s="1125">
        <f t="shared" si="1016"/>
        <v>1</v>
      </c>
      <c r="BP875" s="1125">
        <f t="shared" si="1017"/>
        <v>1</v>
      </c>
      <c r="BQ875" s="1125">
        <f t="shared" si="1018"/>
        <v>0</v>
      </c>
      <c r="BR875" s="1125">
        <f t="shared" si="1019"/>
        <v>0</v>
      </c>
      <c r="BS875" s="1125">
        <f t="shared" si="1020"/>
        <v>0</v>
      </c>
      <c r="BT875" s="1125">
        <f t="shared" si="1021"/>
        <v>1</v>
      </c>
      <c r="BU875" s="1125">
        <f t="shared" si="1022"/>
        <v>1</v>
      </c>
      <c r="BV875" s="1125">
        <f t="shared" si="1023"/>
        <v>1</v>
      </c>
      <c r="BW875" s="1125">
        <f t="shared" si="1024"/>
        <v>0</v>
      </c>
      <c r="BX875" s="1125">
        <f t="shared" si="1025"/>
        <v>0</v>
      </c>
      <c r="BY875" s="1125">
        <f t="shared" si="1026"/>
        <v>0</v>
      </c>
      <c r="BZ875" s="1125">
        <f t="shared" si="1027"/>
        <v>0</v>
      </c>
      <c r="CA875" s="1125">
        <f t="shared" si="1028"/>
        <v>1</v>
      </c>
      <c r="CB875" s="1125">
        <f t="shared" si="1029"/>
        <v>1</v>
      </c>
      <c r="CC875" s="1125">
        <f t="shared" si="1030"/>
        <v>1</v>
      </c>
      <c r="CD875" s="1125">
        <f t="shared" si="1031"/>
        <v>1</v>
      </c>
      <c r="CE875" s="1125">
        <f t="shared" si="1032"/>
        <v>1</v>
      </c>
      <c r="CF875" s="1125">
        <f t="shared" si="1033"/>
        <v>1</v>
      </c>
      <c r="CG875" s="1125">
        <f t="shared" si="1034"/>
        <v>0</v>
      </c>
      <c r="CH875" s="1125">
        <f t="shared" si="1035"/>
        <v>0</v>
      </c>
      <c r="CI875" s="1125">
        <f t="shared" si="1036"/>
        <v>0.85</v>
      </c>
      <c r="CJ875" s="1125">
        <f t="shared" si="1037"/>
        <v>0.85</v>
      </c>
      <c r="CK875" s="1125">
        <f t="shared" si="1038"/>
        <v>0.85</v>
      </c>
      <c r="CL875" s="1125">
        <f t="shared" si="1039"/>
        <v>0.85</v>
      </c>
      <c r="CM875" s="1125">
        <f t="shared" si="1040"/>
        <v>0.85</v>
      </c>
      <c r="CN875" s="1125">
        <f t="shared" si="1041"/>
        <v>0.85</v>
      </c>
      <c r="CO875" s="1125">
        <f t="shared" si="1042"/>
        <v>0.7</v>
      </c>
      <c r="CP875" s="1125">
        <f t="shared" si="1043"/>
        <v>0.7</v>
      </c>
      <c r="CQ875" s="1125">
        <f t="shared" si="1044"/>
        <v>0.7</v>
      </c>
      <c r="CR875" s="1125">
        <f t="shared" si="1045"/>
        <v>0.85</v>
      </c>
      <c r="CS875" s="1125">
        <f t="shared" si="1046"/>
        <v>0.85</v>
      </c>
      <c r="CT875" s="1125">
        <f t="shared" si="1047"/>
        <v>0.85</v>
      </c>
      <c r="CU875" s="1125">
        <v>1</v>
      </c>
      <c r="CV875" s="1125"/>
      <c r="CW875" s="1125">
        <f t="shared" si="1048"/>
        <v>184</v>
      </c>
      <c r="CX875" s="1125">
        <f t="shared" si="1049"/>
        <v>181</v>
      </c>
      <c r="CY875" s="1136" t="s">
        <v>4889</v>
      </c>
      <c r="CZ875" s="1129" t="s">
        <v>4897</v>
      </c>
      <c r="DA875" s="1129"/>
      <c r="DB875" s="1129"/>
      <c r="DC875" s="1125" t="s">
        <v>5213</v>
      </c>
      <c r="DD875" s="1125" t="s">
        <v>932</v>
      </c>
      <c r="DE875" s="1120" t="str">
        <f t="shared" si="1050"/>
        <v/>
      </c>
      <c r="DF875" s="1133">
        <v>0</v>
      </c>
      <c r="DG875" s="1125">
        <v>0</v>
      </c>
    </row>
    <row r="876" spans="1:111">
      <c r="A876" s="1120" t="s">
        <v>4434</v>
      </c>
      <c r="B876" s="1125" t="s">
        <v>4550</v>
      </c>
      <c r="C876" s="1125" t="s">
        <v>4551</v>
      </c>
      <c r="D876" s="1125" t="s">
        <v>1033</v>
      </c>
      <c r="E876" s="1125">
        <v>577</v>
      </c>
      <c r="F876" s="1125">
        <v>-72.52</v>
      </c>
      <c r="G876" s="1125">
        <v>43.35</v>
      </c>
      <c r="H876" s="1125">
        <v>-5</v>
      </c>
      <c r="I876" s="1126">
        <v>0.49999999999999922</v>
      </c>
      <c r="J876" s="1126">
        <v>84.380000686645502</v>
      </c>
      <c r="K876" s="1127">
        <v>69.439998626708984</v>
      </c>
      <c r="L876" s="1125">
        <v>7077.6</v>
      </c>
      <c r="M876" s="1125">
        <v>313.2</v>
      </c>
      <c r="N876" s="1128">
        <v>20.120000171661378</v>
      </c>
      <c r="O876" s="1128">
        <v>22.459999656677248</v>
      </c>
      <c r="P876" s="1128">
        <v>33.619999957084659</v>
      </c>
      <c r="Q876" s="1128">
        <v>42.620000171661374</v>
      </c>
      <c r="R876" s="1128">
        <v>55.4</v>
      </c>
      <c r="S876" s="1128">
        <v>65.66000137329101</v>
      </c>
      <c r="T876" s="1128">
        <v>65.119999313354498</v>
      </c>
      <c r="U876" s="1128">
        <v>64.939998626708984</v>
      </c>
      <c r="V876" s="1128">
        <v>61.339998626708983</v>
      </c>
      <c r="W876" s="1128">
        <v>48.740000343322755</v>
      </c>
      <c r="X876" s="1128">
        <v>37.579999828338622</v>
      </c>
      <c r="Y876" s="1128">
        <v>30.919999957084656</v>
      </c>
      <c r="Z876" s="1128">
        <v>45.834355999541607</v>
      </c>
      <c r="AA876" s="1128">
        <f t="shared" si="976"/>
        <v>43.818509963832192</v>
      </c>
      <c r="AB876" s="1128">
        <f t="shared" si="977"/>
        <v>42.322804490359786</v>
      </c>
      <c r="AC876" s="1128">
        <f t="shared" si="978"/>
        <v>43.306431495201238</v>
      </c>
      <c r="AD876" s="1128">
        <f t="shared" si="979"/>
        <v>46.512993441393647</v>
      </c>
      <c r="AE876" s="1128">
        <f t="shared" si="980"/>
        <v>51.106650543046605</v>
      </c>
      <c r="AF876" s="1128">
        <f t="shared" si="981"/>
        <v>55.889995286215523</v>
      </c>
      <c r="AG876" s="1128">
        <f t="shared" si="982"/>
        <v>59.616175150019643</v>
      </c>
      <c r="AH876" s="1128">
        <f t="shared" si="983"/>
        <v>61.313903930788555</v>
      </c>
      <c r="AI876" s="1128">
        <f t="shared" si="984"/>
        <v>60.540642459022401</v>
      </c>
      <c r="AJ876" s="1128">
        <f t="shared" si="985"/>
        <v>57.497953253657009</v>
      </c>
      <c r="AK876" s="1128">
        <f t="shared" si="986"/>
        <v>52.978960145330838</v>
      </c>
      <c r="AL876" s="1128">
        <f t="shared" si="987"/>
        <v>48.161608327520902</v>
      </c>
      <c r="AM876" s="1125">
        <f t="shared" si="988"/>
        <v>1</v>
      </c>
      <c r="AN876" s="1125">
        <f t="shared" si="989"/>
        <v>1</v>
      </c>
      <c r="AO876" s="1125">
        <f t="shared" si="990"/>
        <v>1</v>
      </c>
      <c r="AP876" s="1125">
        <f t="shared" si="991"/>
        <v>1</v>
      </c>
      <c r="AQ876" s="1125">
        <f t="shared" si="992"/>
        <v>1</v>
      </c>
      <c r="AR876" s="1125">
        <f t="shared" si="993"/>
        <v>1</v>
      </c>
      <c r="AS876" s="1125">
        <f t="shared" si="994"/>
        <v>1</v>
      </c>
      <c r="AT876" s="1125">
        <f t="shared" si="995"/>
        <v>1</v>
      </c>
      <c r="AU876" s="1125">
        <f t="shared" si="996"/>
        <v>1</v>
      </c>
      <c r="AV876" s="1125">
        <f t="shared" si="997"/>
        <v>1</v>
      </c>
      <c r="AW876" s="1125">
        <f t="shared" si="998"/>
        <v>1</v>
      </c>
      <c r="AX876" s="1125">
        <f t="shared" si="999"/>
        <v>1</v>
      </c>
      <c r="AY876" s="1125">
        <f t="shared" si="1000"/>
        <v>0</v>
      </c>
      <c r="AZ876" s="1125">
        <f t="shared" si="1001"/>
        <v>0</v>
      </c>
      <c r="BA876" s="1125">
        <f t="shared" si="1002"/>
        <v>0</v>
      </c>
      <c r="BB876" s="1125">
        <f t="shared" si="1003"/>
        <v>0</v>
      </c>
      <c r="BC876" s="1125">
        <f t="shared" si="1004"/>
        <v>0</v>
      </c>
      <c r="BD876" s="1125">
        <f t="shared" si="1005"/>
        <v>0</v>
      </c>
      <c r="BE876" s="1125">
        <f t="shared" si="1006"/>
        <v>1</v>
      </c>
      <c r="BF876" s="1125">
        <f t="shared" si="1007"/>
        <v>1</v>
      </c>
      <c r="BG876" s="1125">
        <f t="shared" si="1008"/>
        <v>0</v>
      </c>
      <c r="BH876" s="1125">
        <f t="shared" si="1009"/>
        <v>0</v>
      </c>
      <c r="BI876" s="1125">
        <f t="shared" si="1010"/>
        <v>0</v>
      </c>
      <c r="BJ876" s="1125">
        <f t="shared" si="1011"/>
        <v>0</v>
      </c>
      <c r="BK876" s="1125">
        <f t="shared" si="1012"/>
        <v>1</v>
      </c>
      <c r="BL876" s="1125">
        <f t="shared" si="1013"/>
        <v>1</v>
      </c>
      <c r="BM876" s="1125">
        <f t="shared" si="1014"/>
        <v>1</v>
      </c>
      <c r="BN876" s="1125">
        <f t="shared" si="1015"/>
        <v>1</v>
      </c>
      <c r="BO876" s="1125">
        <f t="shared" si="1016"/>
        <v>1</v>
      </c>
      <c r="BP876" s="1125">
        <f t="shared" si="1017"/>
        <v>1</v>
      </c>
      <c r="BQ876" s="1125">
        <f t="shared" si="1018"/>
        <v>1</v>
      </c>
      <c r="BR876" s="1125">
        <f t="shared" si="1019"/>
        <v>1</v>
      </c>
      <c r="BS876" s="1125">
        <f t="shared" si="1020"/>
        <v>1</v>
      </c>
      <c r="BT876" s="1125">
        <f t="shared" si="1021"/>
        <v>1</v>
      </c>
      <c r="BU876" s="1125">
        <f t="shared" si="1022"/>
        <v>1</v>
      </c>
      <c r="BV876" s="1125">
        <f t="shared" si="1023"/>
        <v>1</v>
      </c>
      <c r="BW876" s="1125">
        <f t="shared" si="1024"/>
        <v>0</v>
      </c>
      <c r="BX876" s="1125">
        <f t="shared" si="1025"/>
        <v>0</v>
      </c>
      <c r="BY876" s="1125">
        <f t="shared" si="1026"/>
        <v>0</v>
      </c>
      <c r="BZ876" s="1125">
        <f t="shared" si="1027"/>
        <v>0</v>
      </c>
      <c r="CA876" s="1125">
        <f t="shared" si="1028"/>
        <v>0</v>
      </c>
      <c r="CB876" s="1125">
        <f t="shared" si="1029"/>
        <v>0</v>
      </c>
      <c r="CC876" s="1125">
        <f t="shared" si="1030"/>
        <v>1</v>
      </c>
      <c r="CD876" s="1125">
        <f t="shared" si="1031"/>
        <v>1</v>
      </c>
      <c r="CE876" s="1125">
        <f t="shared" si="1032"/>
        <v>0</v>
      </c>
      <c r="CF876" s="1125">
        <f t="shared" si="1033"/>
        <v>0</v>
      </c>
      <c r="CG876" s="1125">
        <f t="shared" si="1034"/>
        <v>0</v>
      </c>
      <c r="CH876" s="1125">
        <f t="shared" si="1035"/>
        <v>0</v>
      </c>
      <c r="CI876" s="1125">
        <f t="shared" si="1036"/>
        <v>0.85</v>
      </c>
      <c r="CJ876" s="1125">
        <f t="shared" si="1037"/>
        <v>0.85</v>
      </c>
      <c r="CK876" s="1125">
        <f t="shared" si="1038"/>
        <v>0.85</v>
      </c>
      <c r="CL876" s="1125">
        <f t="shared" si="1039"/>
        <v>0.85</v>
      </c>
      <c r="CM876" s="1125">
        <f t="shared" si="1040"/>
        <v>0.85</v>
      </c>
      <c r="CN876" s="1125">
        <f t="shared" si="1041"/>
        <v>0.85</v>
      </c>
      <c r="CO876" s="1125">
        <f t="shared" si="1042"/>
        <v>0.85</v>
      </c>
      <c r="CP876" s="1125">
        <f t="shared" si="1043"/>
        <v>0.85</v>
      </c>
      <c r="CQ876" s="1125">
        <f t="shared" si="1044"/>
        <v>0.85</v>
      </c>
      <c r="CR876" s="1125">
        <f t="shared" si="1045"/>
        <v>0.85</v>
      </c>
      <c r="CS876" s="1125">
        <f t="shared" si="1046"/>
        <v>0.85</v>
      </c>
      <c r="CT876" s="1125">
        <f t="shared" si="1047"/>
        <v>0.85</v>
      </c>
      <c r="CU876" s="1125">
        <v>1</v>
      </c>
      <c r="CV876" s="1125"/>
      <c r="CW876" s="1125">
        <f t="shared" si="1048"/>
        <v>62</v>
      </c>
      <c r="CX876" s="1125">
        <f t="shared" si="1049"/>
        <v>303</v>
      </c>
      <c r="CY876" s="1135" t="s">
        <v>4889</v>
      </c>
      <c r="CZ876" s="1124" t="s">
        <v>4899</v>
      </c>
      <c r="DA876" s="1124"/>
      <c r="DB876" s="1124"/>
      <c r="DC876" s="1120" t="s">
        <v>6015</v>
      </c>
      <c r="DD876" s="1120" t="s">
        <v>1033</v>
      </c>
      <c r="DE876" s="1120" t="str">
        <f t="shared" si="1050"/>
        <v/>
      </c>
      <c r="DF876" s="1133">
        <v>0</v>
      </c>
      <c r="DG876" s="1120">
        <v>0</v>
      </c>
    </row>
    <row r="877" spans="1:111">
      <c r="A877" s="1125" t="s">
        <v>5929</v>
      </c>
      <c r="B877" s="1120" t="s">
        <v>3860</v>
      </c>
      <c r="C877" s="1120" t="s">
        <v>3861</v>
      </c>
      <c r="D877" s="1120" t="s">
        <v>1248</v>
      </c>
      <c r="E877" s="1120">
        <v>1260</v>
      </c>
      <c r="F877" s="1120">
        <v>-93.38</v>
      </c>
      <c r="G877" s="1120">
        <v>37.229999999999997</v>
      </c>
      <c r="H877" s="1120">
        <v>-6</v>
      </c>
      <c r="I877" s="1121">
        <v>10.940000343322753</v>
      </c>
      <c r="J877" s="1121">
        <v>92.120002746582031</v>
      </c>
      <c r="K877" s="1122">
        <v>74.480000686645511</v>
      </c>
      <c r="L877" s="1120">
        <v>4498.2</v>
      </c>
      <c r="M877" s="1120">
        <v>1333.8</v>
      </c>
      <c r="N877" s="1123">
        <v>33.080000042915344</v>
      </c>
      <c r="O877" s="1123">
        <v>31.81999999731779</v>
      </c>
      <c r="P877" s="1123">
        <v>48.380000686645509</v>
      </c>
      <c r="Q877" s="1123">
        <v>57.2</v>
      </c>
      <c r="R877" s="1123">
        <v>62.419999313354495</v>
      </c>
      <c r="S877" s="1123">
        <v>74.119999313354498</v>
      </c>
      <c r="T877" s="1123">
        <v>78.080000686645505</v>
      </c>
      <c r="U877" s="1123">
        <v>76.280000686645508</v>
      </c>
      <c r="V877" s="1123">
        <v>67.280000686645508</v>
      </c>
      <c r="W877" s="1123">
        <v>57.559999656677249</v>
      </c>
      <c r="X877" s="1123">
        <v>43.52000017166138</v>
      </c>
      <c r="Y877" s="1123">
        <v>37.4</v>
      </c>
      <c r="Z877" s="1123">
        <v>55.736328872148306</v>
      </c>
      <c r="AA877" s="1123">
        <f t="shared" si="976"/>
        <v>50.715948659058853</v>
      </c>
      <c r="AB877" s="1123">
        <f t="shared" si="977"/>
        <v>49.850033285677448</v>
      </c>
      <c r="AC877" s="1123">
        <f t="shared" si="978"/>
        <v>52.082464030269279</v>
      </c>
      <c r="AD877" s="1123">
        <f t="shared" si="979"/>
        <v>56.83132341645733</v>
      </c>
      <c r="AE877" s="1123">
        <f t="shared" si="980"/>
        <v>62.858748063093351</v>
      </c>
      <c r="AF877" s="1123">
        <f t="shared" si="981"/>
        <v>68.593596850606247</v>
      </c>
      <c r="AG877" s="1123">
        <f t="shared" si="982"/>
        <v>72.540993065835806</v>
      </c>
      <c r="AH877" s="1123">
        <f t="shared" si="983"/>
        <v>73.67198705406544</v>
      </c>
      <c r="AI877" s="1123">
        <f t="shared" si="984"/>
        <v>71.69176780311814</v>
      </c>
      <c r="AJ877" s="1123">
        <f t="shared" si="985"/>
        <v>67.116509976855724</v>
      </c>
      <c r="AK877" s="1123">
        <f t="shared" si="986"/>
        <v>61.138825034550777</v>
      </c>
      <c r="AL877" s="1123">
        <f t="shared" si="987"/>
        <v>55.316888675328499</v>
      </c>
      <c r="AM877" s="1120">
        <f t="shared" si="988"/>
        <v>1</v>
      </c>
      <c r="AN877" s="1120">
        <f t="shared" si="989"/>
        <v>1</v>
      </c>
      <c r="AO877" s="1120">
        <f t="shared" si="990"/>
        <v>1</v>
      </c>
      <c r="AP877" s="1120">
        <f t="shared" si="991"/>
        <v>1</v>
      </c>
      <c r="AQ877" s="1120">
        <f t="shared" si="992"/>
        <v>1</v>
      </c>
      <c r="AR877" s="1120">
        <f t="shared" si="993"/>
        <v>0</v>
      </c>
      <c r="AS877" s="1120">
        <f t="shared" si="994"/>
        <v>0</v>
      </c>
      <c r="AT877" s="1120">
        <f t="shared" si="995"/>
        <v>0</v>
      </c>
      <c r="AU877" s="1120">
        <f t="shared" si="996"/>
        <v>0</v>
      </c>
      <c r="AV877" s="1120">
        <f t="shared" si="997"/>
        <v>1</v>
      </c>
      <c r="AW877" s="1120">
        <f t="shared" si="998"/>
        <v>1</v>
      </c>
      <c r="AX877" s="1120">
        <f t="shared" si="999"/>
        <v>1</v>
      </c>
      <c r="AY877" s="1120">
        <f t="shared" si="1000"/>
        <v>0</v>
      </c>
      <c r="AZ877" s="1120">
        <f t="shared" si="1001"/>
        <v>0</v>
      </c>
      <c r="BA877" s="1120">
        <f t="shared" si="1002"/>
        <v>0</v>
      </c>
      <c r="BB877" s="1120">
        <f t="shared" si="1003"/>
        <v>0</v>
      </c>
      <c r="BC877" s="1120">
        <f t="shared" si="1004"/>
        <v>0</v>
      </c>
      <c r="BD877" s="1120">
        <f t="shared" si="1005"/>
        <v>1</v>
      </c>
      <c r="BE877" s="1120">
        <f t="shared" si="1006"/>
        <v>1</v>
      </c>
      <c r="BF877" s="1120">
        <f t="shared" si="1007"/>
        <v>1</v>
      </c>
      <c r="BG877" s="1120">
        <f t="shared" si="1008"/>
        <v>1</v>
      </c>
      <c r="BH877" s="1120">
        <f t="shared" si="1009"/>
        <v>0</v>
      </c>
      <c r="BI877" s="1120">
        <f t="shared" si="1010"/>
        <v>0</v>
      </c>
      <c r="BJ877" s="1120">
        <f t="shared" si="1011"/>
        <v>0</v>
      </c>
      <c r="BK877" s="1120">
        <f t="shared" si="1012"/>
        <v>1</v>
      </c>
      <c r="BL877" s="1120">
        <f t="shared" si="1013"/>
        <v>1</v>
      </c>
      <c r="BM877" s="1120">
        <f t="shared" si="1014"/>
        <v>1</v>
      </c>
      <c r="BN877" s="1120">
        <f t="shared" si="1015"/>
        <v>1</v>
      </c>
      <c r="BO877" s="1120">
        <f t="shared" si="1016"/>
        <v>1</v>
      </c>
      <c r="BP877" s="1120">
        <f t="shared" si="1017"/>
        <v>1</v>
      </c>
      <c r="BQ877" s="1120">
        <f t="shared" si="1018"/>
        <v>0</v>
      </c>
      <c r="BR877" s="1120">
        <f t="shared" si="1019"/>
        <v>0</v>
      </c>
      <c r="BS877" s="1120">
        <f t="shared" si="1020"/>
        <v>0</v>
      </c>
      <c r="BT877" s="1120">
        <f t="shared" si="1021"/>
        <v>1</v>
      </c>
      <c r="BU877" s="1120">
        <f t="shared" si="1022"/>
        <v>1</v>
      </c>
      <c r="BV877" s="1120">
        <f t="shared" si="1023"/>
        <v>1</v>
      </c>
      <c r="BW877" s="1120">
        <f t="shared" si="1024"/>
        <v>0</v>
      </c>
      <c r="BX877" s="1120">
        <f t="shared" si="1025"/>
        <v>0</v>
      </c>
      <c r="BY877" s="1120">
        <f t="shared" si="1026"/>
        <v>0</v>
      </c>
      <c r="BZ877" s="1120">
        <f t="shared" si="1027"/>
        <v>0</v>
      </c>
      <c r="CA877" s="1120">
        <f t="shared" si="1028"/>
        <v>1</v>
      </c>
      <c r="CB877" s="1120">
        <f t="shared" si="1029"/>
        <v>1</v>
      </c>
      <c r="CC877" s="1120">
        <f t="shared" si="1030"/>
        <v>1</v>
      </c>
      <c r="CD877" s="1120">
        <f t="shared" si="1031"/>
        <v>1</v>
      </c>
      <c r="CE877" s="1120">
        <f t="shared" si="1032"/>
        <v>1</v>
      </c>
      <c r="CF877" s="1120">
        <f t="shared" si="1033"/>
        <v>1</v>
      </c>
      <c r="CG877" s="1120">
        <f t="shared" si="1034"/>
        <v>0</v>
      </c>
      <c r="CH877" s="1120">
        <f t="shared" si="1035"/>
        <v>0</v>
      </c>
      <c r="CI877" s="1120">
        <f t="shared" si="1036"/>
        <v>0.85</v>
      </c>
      <c r="CJ877" s="1120">
        <f t="shared" si="1037"/>
        <v>0.85</v>
      </c>
      <c r="CK877" s="1120">
        <f t="shared" si="1038"/>
        <v>0.85</v>
      </c>
      <c r="CL877" s="1120">
        <f t="shared" si="1039"/>
        <v>0.85</v>
      </c>
      <c r="CM877" s="1120">
        <f t="shared" si="1040"/>
        <v>0.85</v>
      </c>
      <c r="CN877" s="1120">
        <f t="shared" si="1041"/>
        <v>0.85</v>
      </c>
      <c r="CO877" s="1120">
        <f t="shared" si="1042"/>
        <v>0.7</v>
      </c>
      <c r="CP877" s="1120">
        <f t="shared" si="1043"/>
        <v>0.7</v>
      </c>
      <c r="CQ877" s="1120">
        <f t="shared" si="1044"/>
        <v>0.7</v>
      </c>
      <c r="CR877" s="1120">
        <f t="shared" si="1045"/>
        <v>0.85</v>
      </c>
      <c r="CS877" s="1120">
        <f t="shared" si="1046"/>
        <v>0.85</v>
      </c>
      <c r="CT877" s="1120">
        <f t="shared" si="1047"/>
        <v>0.85</v>
      </c>
      <c r="CU877" s="1120">
        <v>1</v>
      </c>
      <c r="CV877" s="1120"/>
      <c r="CW877" s="1120">
        <f t="shared" si="1048"/>
        <v>184</v>
      </c>
      <c r="CX877" s="1120">
        <f t="shared" si="1049"/>
        <v>181</v>
      </c>
      <c r="CY877" s="1135" t="s">
        <v>4881</v>
      </c>
      <c r="CZ877" s="1124" t="s">
        <v>4885</v>
      </c>
      <c r="DA877" s="1124"/>
      <c r="DB877" s="1124"/>
      <c r="DC877" s="1120" t="s">
        <v>5356</v>
      </c>
      <c r="DD877" s="1120" t="s">
        <v>1248</v>
      </c>
      <c r="DE877" s="1120" t="str">
        <f t="shared" si="1050"/>
        <v/>
      </c>
      <c r="DF877" s="1133">
        <v>0</v>
      </c>
      <c r="DG877" s="1125">
        <v>0</v>
      </c>
    </row>
    <row r="878" spans="1:111">
      <c r="A878" s="1120" t="s">
        <v>4436</v>
      </c>
      <c r="B878" s="1125" t="s">
        <v>3759</v>
      </c>
      <c r="C878" s="1125" t="s">
        <v>3760</v>
      </c>
      <c r="D878" s="1125" t="s">
        <v>540</v>
      </c>
      <c r="E878" s="1125">
        <v>649</v>
      </c>
      <c r="F878" s="1125">
        <v>-82.53</v>
      </c>
      <c r="G878" s="1125">
        <v>42.92</v>
      </c>
      <c r="H878" s="1125">
        <v>-5</v>
      </c>
      <c r="I878" s="1126">
        <v>5.3599996566772452</v>
      </c>
      <c r="J878" s="1126">
        <v>86.360001373291013</v>
      </c>
      <c r="K878" s="1127">
        <v>71.599999999999994</v>
      </c>
      <c r="L878" s="1125">
        <v>6237</v>
      </c>
      <c r="M878" s="1125">
        <v>775.80000000000007</v>
      </c>
      <c r="N878" s="1128">
        <v>22.279999828338624</v>
      </c>
      <c r="O878" s="1128">
        <v>28.939999914169313</v>
      </c>
      <c r="P878" s="1128">
        <v>37.4</v>
      </c>
      <c r="Q878" s="1128">
        <v>49.1</v>
      </c>
      <c r="R878" s="1128">
        <v>56.659999656677243</v>
      </c>
      <c r="S878" s="1128">
        <v>69.260001373291018</v>
      </c>
      <c r="T878" s="1128">
        <v>73.939998626708984</v>
      </c>
      <c r="U878" s="1128">
        <v>71.060001373291016</v>
      </c>
      <c r="V878" s="1128">
        <v>61.339998626708983</v>
      </c>
      <c r="W878" s="1128">
        <v>48.919999313354495</v>
      </c>
      <c r="X878" s="1128">
        <v>41.359999656677246</v>
      </c>
      <c r="Y878" s="1128">
        <v>32</v>
      </c>
      <c r="Z878" s="1128">
        <v>49.458027260401479</v>
      </c>
      <c r="AA878" s="1128">
        <f t="shared" si="976"/>
        <v>45.201191732916911</v>
      </c>
      <c r="AB878" s="1128">
        <f t="shared" si="977"/>
        <v>43.716583841028289</v>
      </c>
      <c r="AC878" s="1128">
        <f t="shared" si="978"/>
        <v>45.292564117519419</v>
      </c>
      <c r="AD878" s="1128">
        <f t="shared" si="979"/>
        <v>49.518329016731684</v>
      </c>
      <c r="AE878" s="1128">
        <f t="shared" si="980"/>
        <v>55.292367796677112</v>
      </c>
      <c r="AF878" s="1128">
        <f t="shared" si="981"/>
        <v>61.109588268731905</v>
      </c>
      <c r="AG878" s="1128">
        <f t="shared" si="982"/>
        <v>65.453642270773955</v>
      </c>
      <c r="AH878" s="1128">
        <f t="shared" si="983"/>
        <v>67.192185183272443</v>
      </c>
      <c r="AI878" s="1128">
        <f t="shared" si="984"/>
        <v>65.872039004327377</v>
      </c>
      <c r="AJ878" s="1128">
        <f t="shared" si="985"/>
        <v>61.837320179549216</v>
      </c>
      <c r="AK878" s="1128">
        <f t="shared" si="986"/>
        <v>56.139740347515563</v>
      </c>
      <c r="AL878" s="1128">
        <f t="shared" si="987"/>
        <v>50.264461493808959</v>
      </c>
      <c r="AM878" s="1125">
        <f t="shared" si="988"/>
        <v>1</v>
      </c>
      <c r="AN878" s="1125">
        <f t="shared" si="989"/>
        <v>1</v>
      </c>
      <c r="AO878" s="1125">
        <f t="shared" si="990"/>
        <v>1</v>
      </c>
      <c r="AP878" s="1125">
        <f t="shared" si="991"/>
        <v>1</v>
      </c>
      <c r="AQ878" s="1125">
        <f t="shared" si="992"/>
        <v>1</v>
      </c>
      <c r="AR878" s="1125">
        <f t="shared" si="993"/>
        <v>0</v>
      </c>
      <c r="AS878" s="1125">
        <f t="shared" si="994"/>
        <v>0</v>
      </c>
      <c r="AT878" s="1125">
        <f t="shared" si="995"/>
        <v>0</v>
      </c>
      <c r="AU878" s="1125">
        <f t="shared" si="996"/>
        <v>1</v>
      </c>
      <c r="AV878" s="1125">
        <f t="shared" si="997"/>
        <v>1</v>
      </c>
      <c r="AW878" s="1125">
        <f t="shared" si="998"/>
        <v>1</v>
      </c>
      <c r="AX878" s="1125">
        <f t="shared" si="999"/>
        <v>1</v>
      </c>
      <c r="AY878" s="1125">
        <f t="shared" si="1000"/>
        <v>0</v>
      </c>
      <c r="AZ878" s="1125">
        <f t="shared" si="1001"/>
        <v>0</v>
      </c>
      <c r="BA878" s="1125">
        <f t="shared" si="1002"/>
        <v>0</v>
      </c>
      <c r="BB878" s="1125">
        <f t="shared" si="1003"/>
        <v>0</v>
      </c>
      <c r="BC878" s="1125">
        <f t="shared" si="1004"/>
        <v>0</v>
      </c>
      <c r="BD878" s="1125">
        <f t="shared" si="1005"/>
        <v>1</v>
      </c>
      <c r="BE878" s="1125">
        <f t="shared" si="1006"/>
        <v>1</v>
      </c>
      <c r="BF878" s="1125">
        <f t="shared" si="1007"/>
        <v>1</v>
      </c>
      <c r="BG878" s="1125">
        <f t="shared" si="1008"/>
        <v>0</v>
      </c>
      <c r="BH878" s="1125">
        <f t="shared" si="1009"/>
        <v>0</v>
      </c>
      <c r="BI878" s="1125">
        <f t="shared" si="1010"/>
        <v>0</v>
      </c>
      <c r="BJ878" s="1125">
        <f t="shared" si="1011"/>
        <v>0</v>
      </c>
      <c r="BK878" s="1125">
        <f t="shared" si="1012"/>
        <v>1</v>
      </c>
      <c r="BL878" s="1125">
        <f t="shared" si="1013"/>
        <v>1</v>
      </c>
      <c r="BM878" s="1125">
        <f t="shared" si="1014"/>
        <v>1</v>
      </c>
      <c r="BN878" s="1125">
        <f t="shared" si="1015"/>
        <v>1</v>
      </c>
      <c r="BO878" s="1125">
        <f t="shared" si="1016"/>
        <v>1</v>
      </c>
      <c r="BP878" s="1125">
        <f t="shared" si="1017"/>
        <v>1</v>
      </c>
      <c r="BQ878" s="1125">
        <f t="shared" si="1018"/>
        <v>0</v>
      </c>
      <c r="BR878" s="1125">
        <f t="shared" si="1019"/>
        <v>0</v>
      </c>
      <c r="BS878" s="1125">
        <f t="shared" si="1020"/>
        <v>1</v>
      </c>
      <c r="BT878" s="1125">
        <f t="shared" si="1021"/>
        <v>1</v>
      </c>
      <c r="BU878" s="1125">
        <f t="shared" si="1022"/>
        <v>1</v>
      </c>
      <c r="BV878" s="1125">
        <f t="shared" si="1023"/>
        <v>1</v>
      </c>
      <c r="BW878" s="1125">
        <f t="shared" si="1024"/>
        <v>0</v>
      </c>
      <c r="BX878" s="1125">
        <f t="shared" si="1025"/>
        <v>0</v>
      </c>
      <c r="BY878" s="1125">
        <f t="shared" si="1026"/>
        <v>0</v>
      </c>
      <c r="BZ878" s="1125">
        <f t="shared" si="1027"/>
        <v>0</v>
      </c>
      <c r="CA878" s="1125">
        <f t="shared" si="1028"/>
        <v>1</v>
      </c>
      <c r="CB878" s="1125">
        <f t="shared" si="1029"/>
        <v>1</v>
      </c>
      <c r="CC878" s="1125">
        <f t="shared" si="1030"/>
        <v>1</v>
      </c>
      <c r="CD878" s="1125">
        <f t="shared" si="1031"/>
        <v>1</v>
      </c>
      <c r="CE878" s="1125">
        <f t="shared" si="1032"/>
        <v>1</v>
      </c>
      <c r="CF878" s="1125">
        <f t="shared" si="1033"/>
        <v>0</v>
      </c>
      <c r="CG878" s="1125">
        <f t="shared" si="1034"/>
        <v>0</v>
      </c>
      <c r="CH878" s="1125">
        <f t="shared" si="1035"/>
        <v>0</v>
      </c>
      <c r="CI878" s="1125">
        <f t="shared" si="1036"/>
        <v>0.85</v>
      </c>
      <c r="CJ878" s="1125">
        <f t="shared" si="1037"/>
        <v>0.85</v>
      </c>
      <c r="CK878" s="1125">
        <f t="shared" si="1038"/>
        <v>0.85</v>
      </c>
      <c r="CL878" s="1125">
        <f t="shared" si="1039"/>
        <v>0.85</v>
      </c>
      <c r="CM878" s="1125">
        <f t="shared" si="1040"/>
        <v>0.85</v>
      </c>
      <c r="CN878" s="1125">
        <f t="shared" si="1041"/>
        <v>0.85</v>
      </c>
      <c r="CO878" s="1125">
        <f t="shared" si="1042"/>
        <v>0.7</v>
      </c>
      <c r="CP878" s="1125">
        <f t="shared" si="1043"/>
        <v>0.7</v>
      </c>
      <c r="CQ878" s="1125">
        <f t="shared" si="1044"/>
        <v>0.85</v>
      </c>
      <c r="CR878" s="1125">
        <f t="shared" si="1045"/>
        <v>0.85</v>
      </c>
      <c r="CS878" s="1125">
        <f t="shared" si="1046"/>
        <v>0.85</v>
      </c>
      <c r="CT878" s="1125">
        <f t="shared" si="1047"/>
        <v>0.85</v>
      </c>
      <c r="CU878" s="1125">
        <v>1</v>
      </c>
      <c r="CV878" s="1125"/>
      <c r="CW878" s="1125">
        <f t="shared" si="1048"/>
        <v>153</v>
      </c>
      <c r="CX878" s="1125">
        <f t="shared" si="1049"/>
        <v>212</v>
      </c>
      <c r="CY878" s="1136" t="s">
        <v>4889</v>
      </c>
      <c r="CZ878" s="1129" t="s">
        <v>4897</v>
      </c>
      <c r="DA878" s="1129"/>
      <c r="DB878" s="1129"/>
      <c r="DC878" s="1125" t="s">
        <v>5318</v>
      </c>
      <c r="DD878" s="1125" t="s">
        <v>540</v>
      </c>
      <c r="DE878" s="1120" t="b">
        <f t="shared" si="1050"/>
        <v>0</v>
      </c>
      <c r="DF878" s="1133">
        <v>0</v>
      </c>
      <c r="DG878" s="1120">
        <v>0</v>
      </c>
    </row>
    <row r="879" spans="1:111">
      <c r="A879" s="1125" t="s">
        <v>4438</v>
      </c>
      <c r="B879" s="1125" t="s">
        <v>3829</v>
      </c>
      <c r="C879" s="1125" t="s">
        <v>3830</v>
      </c>
      <c r="D879" s="1125" t="s">
        <v>934</v>
      </c>
      <c r="E879" s="1125">
        <v>1020</v>
      </c>
      <c r="F879" s="1125">
        <v>-94.05</v>
      </c>
      <c r="G879" s="1125">
        <v>45.55</v>
      </c>
      <c r="H879" s="1125">
        <v>-6</v>
      </c>
      <c r="I879" s="1126">
        <v>-12.819999313354494</v>
      </c>
      <c r="J879" s="1126">
        <v>86.539998626708979</v>
      </c>
      <c r="K879" s="1127">
        <v>71.239998626708982</v>
      </c>
      <c r="L879" s="1125">
        <v>8728.2000000000007</v>
      </c>
      <c r="M879" s="1125">
        <v>505.8</v>
      </c>
      <c r="N879" s="1128">
        <v>7.3400003433227532</v>
      </c>
      <c r="O879" s="1128">
        <v>13.1</v>
      </c>
      <c r="P879" s="1128">
        <v>30.559999978542329</v>
      </c>
      <c r="Q879" s="1128">
        <v>41.540000343322752</v>
      </c>
      <c r="R879" s="1128">
        <v>59</v>
      </c>
      <c r="S879" s="1128">
        <v>67.099999999999994</v>
      </c>
      <c r="T879" s="1128">
        <v>69.439998626708984</v>
      </c>
      <c r="U879" s="1128">
        <v>68.180000686645513</v>
      </c>
      <c r="V879" s="1128">
        <v>58.640000343322754</v>
      </c>
      <c r="W879" s="1128">
        <v>46.220000171661376</v>
      </c>
      <c r="X879" s="1128">
        <v>28.939999914169313</v>
      </c>
      <c r="Y879" s="1128">
        <v>10.399999999999999</v>
      </c>
      <c r="Z879" s="1128">
        <v>41.859561676815765</v>
      </c>
      <c r="AA879" s="1128">
        <f t="shared" si="976"/>
        <v>38.424631203357116</v>
      </c>
      <c r="AB879" s="1128">
        <f t="shared" si="977"/>
        <v>36.192805898475513</v>
      </c>
      <c r="AC879" s="1128">
        <f t="shared" si="978"/>
        <v>37.002100277367042</v>
      </c>
      <c r="AD879" s="1128">
        <f t="shared" si="979"/>
        <v>40.641559288569731</v>
      </c>
      <c r="AE879" s="1128">
        <f t="shared" si="980"/>
        <v>46.162501855052547</v>
      </c>
      <c r="AF879" s="1128">
        <f t="shared" si="981"/>
        <v>52.125809216561422</v>
      </c>
      <c r="AG879" s="1128">
        <f t="shared" si="982"/>
        <v>56.977053411970928</v>
      </c>
      <c r="AH879" s="1128">
        <f t="shared" si="983"/>
        <v>59.451682881811557</v>
      </c>
      <c r="AI879" s="1128">
        <f t="shared" si="984"/>
        <v>58.904647319574877</v>
      </c>
      <c r="AJ879" s="1128">
        <f t="shared" si="985"/>
        <v>55.478539974631069</v>
      </c>
      <c r="AK879" s="1128">
        <f t="shared" si="986"/>
        <v>50.066428524352105</v>
      </c>
      <c r="AL879" s="1128">
        <f t="shared" si="987"/>
        <v>44.079063221415225</v>
      </c>
      <c r="AM879" s="1125">
        <f t="shared" si="988"/>
        <v>1</v>
      </c>
      <c r="AN879" s="1125">
        <f t="shared" si="989"/>
        <v>1</v>
      </c>
      <c r="AO879" s="1125">
        <f t="shared" si="990"/>
        <v>1</v>
      </c>
      <c r="AP879" s="1125">
        <f t="shared" si="991"/>
        <v>1</v>
      </c>
      <c r="AQ879" s="1125">
        <f t="shared" si="992"/>
        <v>1</v>
      </c>
      <c r="AR879" s="1125">
        <f t="shared" si="993"/>
        <v>0</v>
      </c>
      <c r="AS879" s="1125">
        <f t="shared" si="994"/>
        <v>0</v>
      </c>
      <c r="AT879" s="1125">
        <f t="shared" si="995"/>
        <v>0</v>
      </c>
      <c r="AU879" s="1125">
        <f t="shared" si="996"/>
        <v>1</v>
      </c>
      <c r="AV879" s="1125">
        <f t="shared" si="997"/>
        <v>1</v>
      </c>
      <c r="AW879" s="1125">
        <f t="shared" si="998"/>
        <v>1</v>
      </c>
      <c r="AX879" s="1125">
        <f t="shared" si="999"/>
        <v>1</v>
      </c>
      <c r="AY879" s="1125">
        <f t="shared" si="1000"/>
        <v>0</v>
      </c>
      <c r="AZ879" s="1125">
        <f t="shared" si="1001"/>
        <v>0</v>
      </c>
      <c r="BA879" s="1125">
        <f t="shared" si="1002"/>
        <v>0</v>
      </c>
      <c r="BB879" s="1125">
        <f t="shared" si="1003"/>
        <v>0</v>
      </c>
      <c r="BC879" s="1125">
        <f t="shared" si="1004"/>
        <v>0</v>
      </c>
      <c r="BD879" s="1125">
        <f t="shared" si="1005"/>
        <v>1</v>
      </c>
      <c r="BE879" s="1125">
        <f t="shared" si="1006"/>
        <v>1</v>
      </c>
      <c r="BF879" s="1125">
        <f t="shared" si="1007"/>
        <v>1</v>
      </c>
      <c r="BG879" s="1125">
        <f t="shared" si="1008"/>
        <v>0</v>
      </c>
      <c r="BH879" s="1125">
        <f t="shared" si="1009"/>
        <v>0</v>
      </c>
      <c r="BI879" s="1125">
        <f t="shared" si="1010"/>
        <v>0</v>
      </c>
      <c r="BJ879" s="1125">
        <f t="shared" si="1011"/>
        <v>0</v>
      </c>
      <c r="BK879" s="1125">
        <f t="shared" si="1012"/>
        <v>1</v>
      </c>
      <c r="BL879" s="1125">
        <f t="shared" si="1013"/>
        <v>1</v>
      </c>
      <c r="BM879" s="1125">
        <f t="shared" si="1014"/>
        <v>1</v>
      </c>
      <c r="BN879" s="1125">
        <f t="shared" si="1015"/>
        <v>1</v>
      </c>
      <c r="BO879" s="1125">
        <f t="shared" si="1016"/>
        <v>1</v>
      </c>
      <c r="BP879" s="1125">
        <f t="shared" si="1017"/>
        <v>1</v>
      </c>
      <c r="BQ879" s="1125">
        <f t="shared" si="1018"/>
        <v>0</v>
      </c>
      <c r="BR879" s="1125">
        <f t="shared" si="1019"/>
        <v>0</v>
      </c>
      <c r="BS879" s="1125">
        <f t="shared" si="1020"/>
        <v>1</v>
      </c>
      <c r="BT879" s="1125">
        <f t="shared" si="1021"/>
        <v>1</v>
      </c>
      <c r="BU879" s="1125">
        <f t="shared" si="1022"/>
        <v>1</v>
      </c>
      <c r="BV879" s="1125">
        <f t="shared" si="1023"/>
        <v>1</v>
      </c>
      <c r="BW879" s="1125">
        <f t="shared" si="1024"/>
        <v>0</v>
      </c>
      <c r="BX879" s="1125">
        <f t="shared" si="1025"/>
        <v>0</v>
      </c>
      <c r="BY879" s="1125">
        <f t="shared" si="1026"/>
        <v>0</v>
      </c>
      <c r="BZ879" s="1125">
        <f t="shared" si="1027"/>
        <v>0</v>
      </c>
      <c r="CA879" s="1125">
        <f t="shared" si="1028"/>
        <v>1</v>
      </c>
      <c r="CB879" s="1125">
        <f t="shared" si="1029"/>
        <v>1</v>
      </c>
      <c r="CC879" s="1125">
        <f t="shared" si="1030"/>
        <v>1</v>
      </c>
      <c r="CD879" s="1125">
        <f t="shared" si="1031"/>
        <v>1</v>
      </c>
      <c r="CE879" s="1125">
        <f t="shared" si="1032"/>
        <v>1</v>
      </c>
      <c r="CF879" s="1125">
        <f t="shared" si="1033"/>
        <v>0</v>
      </c>
      <c r="CG879" s="1125">
        <f t="shared" si="1034"/>
        <v>0</v>
      </c>
      <c r="CH879" s="1125">
        <f t="shared" si="1035"/>
        <v>0</v>
      </c>
      <c r="CI879" s="1125">
        <f t="shared" si="1036"/>
        <v>0.85</v>
      </c>
      <c r="CJ879" s="1125">
        <f t="shared" si="1037"/>
        <v>0.85</v>
      </c>
      <c r="CK879" s="1125">
        <f t="shared" si="1038"/>
        <v>0.85</v>
      </c>
      <c r="CL879" s="1125">
        <f t="shared" si="1039"/>
        <v>0.85</v>
      </c>
      <c r="CM879" s="1125">
        <f t="shared" si="1040"/>
        <v>0.85</v>
      </c>
      <c r="CN879" s="1125">
        <f t="shared" si="1041"/>
        <v>0.85</v>
      </c>
      <c r="CO879" s="1125">
        <f t="shared" si="1042"/>
        <v>0.7</v>
      </c>
      <c r="CP879" s="1125">
        <f t="shared" si="1043"/>
        <v>0.7</v>
      </c>
      <c r="CQ879" s="1125">
        <f t="shared" si="1044"/>
        <v>0.85</v>
      </c>
      <c r="CR879" s="1125">
        <f t="shared" si="1045"/>
        <v>0.85</v>
      </c>
      <c r="CS879" s="1125">
        <f t="shared" si="1046"/>
        <v>0.85</v>
      </c>
      <c r="CT879" s="1125">
        <f t="shared" si="1047"/>
        <v>0.85</v>
      </c>
      <c r="CU879" s="1125">
        <v>1</v>
      </c>
      <c r="CV879" s="1125"/>
      <c r="CW879" s="1125">
        <f t="shared" si="1048"/>
        <v>153</v>
      </c>
      <c r="CX879" s="1125">
        <f t="shared" si="1049"/>
        <v>212</v>
      </c>
      <c r="CY879" s="1136" t="s">
        <v>4889</v>
      </c>
      <c r="CZ879" s="1129" t="s">
        <v>4899</v>
      </c>
      <c r="DA879" s="1129"/>
      <c r="DB879" s="1129"/>
      <c r="DC879" s="1125" t="s">
        <v>5342</v>
      </c>
      <c r="DD879" s="1125" t="s">
        <v>934</v>
      </c>
      <c r="DE879" s="1120" t="str">
        <f t="shared" si="1050"/>
        <v/>
      </c>
      <c r="DF879" s="1133">
        <v>0</v>
      </c>
      <c r="DG879" s="1125">
        <v>0</v>
      </c>
    </row>
    <row r="880" spans="1:111">
      <c r="A880" s="1120" t="s">
        <v>4440</v>
      </c>
      <c r="B880" s="1125" t="s">
        <v>3862</v>
      </c>
      <c r="C880" s="1125" t="s">
        <v>3863</v>
      </c>
      <c r="D880" s="1125" t="s">
        <v>1248</v>
      </c>
      <c r="E880" s="1125">
        <v>810</v>
      </c>
      <c r="F880" s="1125">
        <v>-94.9</v>
      </c>
      <c r="G880" s="1125">
        <v>39.770000000000003</v>
      </c>
      <c r="H880" s="1125">
        <v>-6</v>
      </c>
      <c r="I880" s="1126">
        <v>1.9399986267089837</v>
      </c>
      <c r="J880" s="1126">
        <v>94.100000000000009</v>
      </c>
      <c r="K880" s="1127">
        <v>78.980000686645511</v>
      </c>
      <c r="L880" s="1125">
        <v>5387.4000000000005</v>
      </c>
      <c r="M880" s="1125">
        <v>1425.6000000000001</v>
      </c>
      <c r="N880" s="1128">
        <v>26.960000085830689</v>
      </c>
      <c r="O880" s="1128">
        <v>34.880000042915341</v>
      </c>
      <c r="P880" s="1128">
        <v>37.220000171661376</v>
      </c>
      <c r="Q880" s="1128">
        <v>53.419999313354495</v>
      </c>
      <c r="R880" s="1128">
        <v>64.219999313354492</v>
      </c>
      <c r="S880" s="1128">
        <v>75.019999313354489</v>
      </c>
      <c r="T880" s="1128">
        <v>77.719999313354492</v>
      </c>
      <c r="U880" s="1128">
        <v>79.16000137329101</v>
      </c>
      <c r="V880" s="1128">
        <v>63.86000137329102</v>
      </c>
      <c r="W880" s="1128">
        <v>54.5</v>
      </c>
      <c r="X880" s="1128">
        <v>40.459999656677248</v>
      </c>
      <c r="Y880" s="1128">
        <v>34.160000085830688</v>
      </c>
      <c r="Z880" s="1128">
        <v>53.565972606972473</v>
      </c>
      <c r="AA880" s="1128">
        <f t="shared" si="976"/>
        <v>47.848772396474928</v>
      </c>
      <c r="AB880" s="1128">
        <f t="shared" si="977"/>
        <v>46.669169331688323</v>
      </c>
      <c r="AC880" s="1128">
        <f t="shared" si="978"/>
        <v>48.851316786358986</v>
      </c>
      <c r="AD880" s="1128">
        <f t="shared" si="979"/>
        <v>53.826404398516821</v>
      </c>
      <c r="AE880" s="1128">
        <f t="shared" si="980"/>
        <v>60.297598913632065</v>
      </c>
      <c r="AF880" s="1128">
        <f t="shared" si="981"/>
        <v>66.578083757213818</v>
      </c>
      <c r="AG880" s="1128">
        <f t="shared" si="982"/>
        <v>71.030753769581381</v>
      </c>
      <c r="AH880" s="1128">
        <f t="shared" si="983"/>
        <v>72.494951894289244</v>
      </c>
      <c r="AI880" s="1128">
        <f t="shared" si="984"/>
        <v>70.589012326156165</v>
      </c>
      <c r="AJ880" s="1128">
        <f t="shared" si="985"/>
        <v>65.809747585033875</v>
      </c>
      <c r="AK880" s="1128">
        <f t="shared" si="986"/>
        <v>59.402946676394912</v>
      </c>
      <c r="AL880" s="1128">
        <f t="shared" si="987"/>
        <v>53.038640988866639</v>
      </c>
      <c r="AM880" s="1125">
        <f t="shared" si="988"/>
        <v>1</v>
      </c>
      <c r="AN880" s="1125">
        <f t="shared" si="989"/>
        <v>1</v>
      </c>
      <c r="AO880" s="1125">
        <f t="shared" si="990"/>
        <v>1</v>
      </c>
      <c r="AP880" s="1125">
        <f t="shared" si="991"/>
        <v>1</v>
      </c>
      <c r="AQ880" s="1125">
        <f t="shared" si="992"/>
        <v>1</v>
      </c>
      <c r="AR880" s="1125">
        <f t="shared" si="993"/>
        <v>0</v>
      </c>
      <c r="AS880" s="1125">
        <f t="shared" si="994"/>
        <v>0</v>
      </c>
      <c r="AT880" s="1125">
        <f t="shared" si="995"/>
        <v>0</v>
      </c>
      <c r="AU880" s="1125">
        <f t="shared" si="996"/>
        <v>1</v>
      </c>
      <c r="AV880" s="1125">
        <f t="shared" si="997"/>
        <v>1</v>
      </c>
      <c r="AW880" s="1125">
        <f t="shared" si="998"/>
        <v>1</v>
      </c>
      <c r="AX880" s="1125">
        <f t="shared" si="999"/>
        <v>1</v>
      </c>
      <c r="AY880" s="1125">
        <f t="shared" si="1000"/>
        <v>0</v>
      </c>
      <c r="AZ880" s="1125">
        <f t="shared" si="1001"/>
        <v>0</v>
      </c>
      <c r="BA880" s="1125">
        <f t="shared" si="1002"/>
        <v>0</v>
      </c>
      <c r="BB880" s="1125">
        <f t="shared" si="1003"/>
        <v>0</v>
      </c>
      <c r="BC880" s="1125">
        <f t="shared" si="1004"/>
        <v>0</v>
      </c>
      <c r="BD880" s="1125">
        <f t="shared" si="1005"/>
        <v>1</v>
      </c>
      <c r="BE880" s="1125">
        <f t="shared" si="1006"/>
        <v>1</v>
      </c>
      <c r="BF880" s="1125">
        <f t="shared" si="1007"/>
        <v>1</v>
      </c>
      <c r="BG880" s="1125">
        <f t="shared" si="1008"/>
        <v>0</v>
      </c>
      <c r="BH880" s="1125">
        <f t="shared" si="1009"/>
        <v>0</v>
      </c>
      <c r="BI880" s="1125">
        <f t="shared" si="1010"/>
        <v>0</v>
      </c>
      <c r="BJ880" s="1125">
        <f t="shared" si="1011"/>
        <v>0</v>
      </c>
      <c r="BK880" s="1125">
        <f t="shared" si="1012"/>
        <v>1</v>
      </c>
      <c r="BL880" s="1125">
        <f t="shared" si="1013"/>
        <v>1</v>
      </c>
      <c r="BM880" s="1125">
        <f t="shared" si="1014"/>
        <v>1</v>
      </c>
      <c r="BN880" s="1125">
        <f t="shared" si="1015"/>
        <v>1</v>
      </c>
      <c r="BO880" s="1125">
        <f t="shared" si="1016"/>
        <v>1</v>
      </c>
      <c r="BP880" s="1125">
        <f t="shared" si="1017"/>
        <v>1</v>
      </c>
      <c r="BQ880" s="1125">
        <f t="shared" si="1018"/>
        <v>0</v>
      </c>
      <c r="BR880" s="1125">
        <f t="shared" si="1019"/>
        <v>0</v>
      </c>
      <c r="BS880" s="1125">
        <f t="shared" si="1020"/>
        <v>1</v>
      </c>
      <c r="BT880" s="1125">
        <f t="shared" si="1021"/>
        <v>1</v>
      </c>
      <c r="BU880" s="1125">
        <f t="shared" si="1022"/>
        <v>1</v>
      </c>
      <c r="BV880" s="1125">
        <f t="shared" si="1023"/>
        <v>1</v>
      </c>
      <c r="BW880" s="1125">
        <f t="shared" si="1024"/>
        <v>0</v>
      </c>
      <c r="BX880" s="1125">
        <f t="shared" si="1025"/>
        <v>0</v>
      </c>
      <c r="BY880" s="1125">
        <f t="shared" si="1026"/>
        <v>0</v>
      </c>
      <c r="BZ880" s="1125">
        <f t="shared" si="1027"/>
        <v>0</v>
      </c>
      <c r="CA880" s="1125">
        <f t="shared" si="1028"/>
        <v>1</v>
      </c>
      <c r="CB880" s="1125">
        <f t="shared" si="1029"/>
        <v>1</v>
      </c>
      <c r="CC880" s="1125">
        <f t="shared" si="1030"/>
        <v>1</v>
      </c>
      <c r="CD880" s="1125">
        <f t="shared" si="1031"/>
        <v>1</v>
      </c>
      <c r="CE880" s="1125">
        <f t="shared" si="1032"/>
        <v>1</v>
      </c>
      <c r="CF880" s="1125">
        <f t="shared" si="1033"/>
        <v>0</v>
      </c>
      <c r="CG880" s="1125">
        <f t="shared" si="1034"/>
        <v>0</v>
      </c>
      <c r="CH880" s="1125">
        <f t="shared" si="1035"/>
        <v>0</v>
      </c>
      <c r="CI880" s="1125">
        <f t="shared" si="1036"/>
        <v>0.85</v>
      </c>
      <c r="CJ880" s="1125">
        <f t="shared" si="1037"/>
        <v>0.85</v>
      </c>
      <c r="CK880" s="1125">
        <f t="shared" si="1038"/>
        <v>0.85</v>
      </c>
      <c r="CL880" s="1125">
        <f t="shared" si="1039"/>
        <v>0.85</v>
      </c>
      <c r="CM880" s="1125">
        <f t="shared" si="1040"/>
        <v>0.85</v>
      </c>
      <c r="CN880" s="1125">
        <f t="shared" si="1041"/>
        <v>0.85</v>
      </c>
      <c r="CO880" s="1125">
        <f t="shared" si="1042"/>
        <v>0.7</v>
      </c>
      <c r="CP880" s="1125">
        <f t="shared" si="1043"/>
        <v>0.7</v>
      </c>
      <c r="CQ880" s="1125">
        <f t="shared" si="1044"/>
        <v>0.85</v>
      </c>
      <c r="CR880" s="1125">
        <f t="shared" si="1045"/>
        <v>0.85</v>
      </c>
      <c r="CS880" s="1125">
        <f t="shared" si="1046"/>
        <v>0.85</v>
      </c>
      <c r="CT880" s="1125">
        <f t="shared" si="1047"/>
        <v>0.85</v>
      </c>
      <c r="CU880" s="1125">
        <v>1</v>
      </c>
      <c r="CV880" s="1125"/>
      <c r="CW880" s="1125">
        <f t="shared" si="1048"/>
        <v>153</v>
      </c>
      <c r="CX880" s="1125">
        <f t="shared" si="1049"/>
        <v>212</v>
      </c>
      <c r="CY880" s="1136" t="s">
        <v>4889</v>
      </c>
      <c r="CZ880" s="1129" t="s">
        <v>4897</v>
      </c>
      <c r="DA880" s="1129"/>
      <c r="DB880" s="1129"/>
      <c r="DC880" s="1125" t="s">
        <v>5357</v>
      </c>
      <c r="DD880" s="1125" t="s">
        <v>1248</v>
      </c>
      <c r="DE880" s="1120" t="str">
        <f t="shared" si="1050"/>
        <v/>
      </c>
      <c r="DF880" s="1133">
        <v>0</v>
      </c>
      <c r="DG880" s="1120">
        <v>0</v>
      </c>
    </row>
    <row r="881" spans="1:111">
      <c r="A881" s="1125" t="s">
        <v>4418</v>
      </c>
      <c r="B881" s="1120" t="s">
        <v>3864</v>
      </c>
      <c r="C881" s="1120" t="s">
        <v>3865</v>
      </c>
      <c r="D881" s="1120" t="s">
        <v>1248</v>
      </c>
      <c r="E881" s="1120">
        <v>567</v>
      </c>
      <c r="F881" s="1120">
        <v>-90.37</v>
      </c>
      <c r="G881" s="1120">
        <v>38.75</v>
      </c>
      <c r="H881" s="1120">
        <v>-6</v>
      </c>
      <c r="I881" s="1121">
        <v>10.219999313354492</v>
      </c>
      <c r="J881" s="1121">
        <v>93.2</v>
      </c>
      <c r="K881" s="1122">
        <v>76.099999999999994</v>
      </c>
      <c r="L881" s="1120">
        <v>4685.4000000000005</v>
      </c>
      <c r="M881" s="1120">
        <v>1668.6000000000001</v>
      </c>
      <c r="N881" s="1123">
        <v>29.119999957084655</v>
      </c>
      <c r="O881" s="1123">
        <v>34.880000042915341</v>
      </c>
      <c r="P881" s="1123">
        <v>49.640000343322754</v>
      </c>
      <c r="Q881" s="1123">
        <v>57.559999656677249</v>
      </c>
      <c r="R881" s="1123">
        <v>64.219999313354492</v>
      </c>
      <c r="S881" s="1123">
        <v>76.819999313354487</v>
      </c>
      <c r="T881" s="1123">
        <v>80.780000686645508</v>
      </c>
      <c r="U881" s="1123">
        <v>77.539998626708979</v>
      </c>
      <c r="V881" s="1123">
        <v>70.16000137329101</v>
      </c>
      <c r="W881" s="1123">
        <v>55.4</v>
      </c>
      <c r="X881" s="1123">
        <v>44.6</v>
      </c>
      <c r="Y881" s="1123">
        <v>31.459999978542328</v>
      </c>
      <c r="Z881" s="1123">
        <v>56.119999938566394</v>
      </c>
      <c r="AA881" s="1123">
        <f t="shared" si="976"/>
        <v>49.687555926901908</v>
      </c>
      <c r="AB881" s="1123">
        <f t="shared" si="977"/>
        <v>48.758334621139348</v>
      </c>
      <c r="AC881" s="1123">
        <f t="shared" si="978"/>
        <v>51.312037289859504</v>
      </c>
      <c r="AD881" s="1123">
        <f t="shared" si="979"/>
        <v>56.68300197871114</v>
      </c>
      <c r="AE881" s="1123">
        <f t="shared" si="980"/>
        <v>63.471203972473802</v>
      </c>
      <c r="AF881" s="1123">
        <f t="shared" si="981"/>
        <v>69.907193812114045</v>
      </c>
      <c r="AG881" s="1123">
        <f t="shared" si="982"/>
        <v>74.313331564323988</v>
      </c>
      <c r="AH881" s="1123">
        <f t="shared" si="983"/>
        <v>75.541089523352042</v>
      </c>
      <c r="AI881" s="1123">
        <f t="shared" si="984"/>
        <v>73.270433656854664</v>
      </c>
      <c r="AJ881" s="1123">
        <f t="shared" si="985"/>
        <v>68.09324540830049</v>
      </c>
      <c r="AK881" s="1123">
        <f t="shared" si="986"/>
        <v>61.359038677561102</v>
      </c>
      <c r="AL881" s="1123">
        <f t="shared" si="987"/>
        <v>54.823188226270737</v>
      </c>
      <c r="AM881" s="1120">
        <f t="shared" si="988"/>
        <v>1</v>
      </c>
      <c r="AN881" s="1120">
        <f t="shared" si="989"/>
        <v>1</v>
      </c>
      <c r="AO881" s="1120">
        <f t="shared" si="990"/>
        <v>1</v>
      </c>
      <c r="AP881" s="1120">
        <f t="shared" si="991"/>
        <v>1</v>
      </c>
      <c r="AQ881" s="1120">
        <f t="shared" si="992"/>
        <v>1</v>
      </c>
      <c r="AR881" s="1120">
        <f t="shared" si="993"/>
        <v>0</v>
      </c>
      <c r="AS881" s="1120">
        <f t="shared" si="994"/>
        <v>0</v>
      </c>
      <c r="AT881" s="1120">
        <f t="shared" si="995"/>
        <v>0</v>
      </c>
      <c r="AU881" s="1120">
        <f t="shared" si="996"/>
        <v>0</v>
      </c>
      <c r="AV881" s="1120">
        <f t="shared" si="997"/>
        <v>1</v>
      </c>
      <c r="AW881" s="1120">
        <f t="shared" si="998"/>
        <v>1</v>
      </c>
      <c r="AX881" s="1120">
        <f t="shared" si="999"/>
        <v>1</v>
      </c>
      <c r="AY881" s="1120">
        <f t="shared" si="1000"/>
        <v>0</v>
      </c>
      <c r="AZ881" s="1120">
        <f t="shared" si="1001"/>
        <v>0</v>
      </c>
      <c r="BA881" s="1120">
        <f t="shared" si="1002"/>
        <v>0</v>
      </c>
      <c r="BB881" s="1120">
        <f t="shared" si="1003"/>
        <v>0</v>
      </c>
      <c r="BC881" s="1120">
        <f t="shared" si="1004"/>
        <v>0</v>
      </c>
      <c r="BD881" s="1120">
        <f t="shared" si="1005"/>
        <v>1</v>
      </c>
      <c r="BE881" s="1120">
        <f t="shared" si="1006"/>
        <v>1</v>
      </c>
      <c r="BF881" s="1120">
        <f t="shared" si="1007"/>
        <v>1</v>
      </c>
      <c r="BG881" s="1120">
        <f t="shared" si="1008"/>
        <v>1</v>
      </c>
      <c r="BH881" s="1120">
        <f t="shared" si="1009"/>
        <v>0</v>
      </c>
      <c r="BI881" s="1120">
        <f t="shared" si="1010"/>
        <v>0</v>
      </c>
      <c r="BJ881" s="1120">
        <f t="shared" si="1011"/>
        <v>0</v>
      </c>
      <c r="BK881" s="1120">
        <f t="shared" si="1012"/>
        <v>1</v>
      </c>
      <c r="BL881" s="1120">
        <f t="shared" si="1013"/>
        <v>1</v>
      </c>
      <c r="BM881" s="1120">
        <f t="shared" si="1014"/>
        <v>1</v>
      </c>
      <c r="BN881" s="1120">
        <f t="shared" si="1015"/>
        <v>1</v>
      </c>
      <c r="BO881" s="1120">
        <f t="shared" si="1016"/>
        <v>1</v>
      </c>
      <c r="BP881" s="1120">
        <f t="shared" si="1017"/>
        <v>1</v>
      </c>
      <c r="BQ881" s="1120">
        <f t="shared" si="1018"/>
        <v>0</v>
      </c>
      <c r="BR881" s="1120">
        <f t="shared" si="1019"/>
        <v>0</v>
      </c>
      <c r="BS881" s="1120">
        <f t="shared" si="1020"/>
        <v>0</v>
      </c>
      <c r="BT881" s="1120">
        <f t="shared" si="1021"/>
        <v>1</v>
      </c>
      <c r="BU881" s="1120">
        <f t="shared" si="1022"/>
        <v>1</v>
      </c>
      <c r="BV881" s="1120">
        <f t="shared" si="1023"/>
        <v>1</v>
      </c>
      <c r="BW881" s="1120">
        <f t="shared" si="1024"/>
        <v>0</v>
      </c>
      <c r="BX881" s="1120">
        <f t="shared" si="1025"/>
        <v>0</v>
      </c>
      <c r="BY881" s="1120">
        <f t="shared" si="1026"/>
        <v>0</v>
      </c>
      <c r="BZ881" s="1120">
        <f t="shared" si="1027"/>
        <v>0</v>
      </c>
      <c r="CA881" s="1120">
        <f t="shared" si="1028"/>
        <v>1</v>
      </c>
      <c r="CB881" s="1120">
        <f t="shared" si="1029"/>
        <v>1</v>
      </c>
      <c r="CC881" s="1120">
        <f t="shared" si="1030"/>
        <v>1</v>
      </c>
      <c r="CD881" s="1120">
        <f t="shared" si="1031"/>
        <v>1</v>
      </c>
      <c r="CE881" s="1120">
        <f t="shared" si="1032"/>
        <v>1</v>
      </c>
      <c r="CF881" s="1120">
        <f t="shared" si="1033"/>
        <v>1</v>
      </c>
      <c r="CG881" s="1120">
        <f t="shared" si="1034"/>
        <v>0</v>
      </c>
      <c r="CH881" s="1120">
        <f t="shared" si="1035"/>
        <v>0</v>
      </c>
      <c r="CI881" s="1120">
        <f t="shared" si="1036"/>
        <v>0.85</v>
      </c>
      <c r="CJ881" s="1120">
        <f t="shared" si="1037"/>
        <v>0.85</v>
      </c>
      <c r="CK881" s="1120">
        <f t="shared" si="1038"/>
        <v>0.85</v>
      </c>
      <c r="CL881" s="1120">
        <f t="shared" si="1039"/>
        <v>0.85</v>
      </c>
      <c r="CM881" s="1120">
        <f t="shared" si="1040"/>
        <v>0.85</v>
      </c>
      <c r="CN881" s="1120">
        <f t="shared" si="1041"/>
        <v>0.85</v>
      </c>
      <c r="CO881" s="1120">
        <f t="shared" si="1042"/>
        <v>0.7</v>
      </c>
      <c r="CP881" s="1120">
        <f t="shared" si="1043"/>
        <v>0.7</v>
      </c>
      <c r="CQ881" s="1120">
        <f t="shared" si="1044"/>
        <v>0.7</v>
      </c>
      <c r="CR881" s="1120">
        <f t="shared" si="1045"/>
        <v>0.85</v>
      </c>
      <c r="CS881" s="1120">
        <f t="shared" si="1046"/>
        <v>0.85</v>
      </c>
      <c r="CT881" s="1120">
        <f t="shared" si="1047"/>
        <v>0.85</v>
      </c>
      <c r="CU881" s="1120">
        <v>1</v>
      </c>
      <c r="CV881" s="1120"/>
      <c r="CW881" s="1120">
        <f t="shared" si="1048"/>
        <v>184</v>
      </c>
      <c r="CX881" s="1120">
        <f t="shared" si="1049"/>
        <v>181</v>
      </c>
      <c r="CY881" s="1135" t="s">
        <v>4881</v>
      </c>
      <c r="CZ881" s="1124" t="s">
        <v>4885</v>
      </c>
      <c r="DA881" s="1124"/>
      <c r="DB881" s="1124"/>
      <c r="DC881" s="1120" t="s">
        <v>5358</v>
      </c>
      <c r="DD881" s="1120" t="s">
        <v>1248</v>
      </c>
      <c r="DE881" s="1120" t="b">
        <f t="shared" si="1050"/>
        <v>0</v>
      </c>
      <c r="DF881" s="1133">
        <v>0</v>
      </c>
      <c r="DG881" s="1125">
        <v>0</v>
      </c>
    </row>
    <row r="882" spans="1:111">
      <c r="A882" s="1120" t="s">
        <v>4442</v>
      </c>
      <c r="B882" s="1125" t="s">
        <v>3866</v>
      </c>
      <c r="C882" s="1125" t="s">
        <v>3867</v>
      </c>
      <c r="D882" s="1125" t="s">
        <v>1248</v>
      </c>
      <c r="E882" s="1125">
        <v>462</v>
      </c>
      <c r="F882" s="1125">
        <v>-90.65</v>
      </c>
      <c r="G882" s="1125">
        <v>38.65</v>
      </c>
      <c r="H882" s="1125">
        <v>-6</v>
      </c>
      <c r="I882" s="1126">
        <v>10.759999656677246</v>
      </c>
      <c r="J882" s="1126">
        <v>92.660001373291024</v>
      </c>
      <c r="K882" s="1127">
        <v>76.280000686645508</v>
      </c>
      <c r="L882" s="1125">
        <v>4168.8</v>
      </c>
      <c r="M882" s="1125">
        <v>1414.8</v>
      </c>
      <c r="N882" s="1128">
        <v>29.660000085830688</v>
      </c>
      <c r="O882" s="1128">
        <v>35.6</v>
      </c>
      <c r="P882" s="1128">
        <v>46.940000343322751</v>
      </c>
      <c r="Q882" s="1128">
        <v>60.259999656677245</v>
      </c>
      <c r="R882" s="1128">
        <v>66.919999313354495</v>
      </c>
      <c r="S882" s="1128">
        <v>73.219999313354492</v>
      </c>
      <c r="T882" s="1128">
        <v>78.080000686645505</v>
      </c>
      <c r="U882" s="1128">
        <v>76.639998626708987</v>
      </c>
      <c r="V882" s="1128">
        <v>66.919999313354495</v>
      </c>
      <c r="W882" s="1128">
        <v>56.840000343322757</v>
      </c>
      <c r="X882" s="1128">
        <v>50.359999656677246</v>
      </c>
      <c r="Y882" s="1128">
        <v>39.379999828338626</v>
      </c>
      <c r="Z882" s="1128">
        <v>56.843451819877103</v>
      </c>
      <c r="AA882" s="1128">
        <f t="shared" si="976"/>
        <v>50.968809229409807</v>
      </c>
      <c r="AB882" s="1128">
        <f t="shared" si="977"/>
        <v>50.166416217246422</v>
      </c>
      <c r="AC882" s="1128">
        <f t="shared" si="978"/>
        <v>52.668487893940821</v>
      </c>
      <c r="AD882" s="1128">
        <f t="shared" si="979"/>
        <v>57.822820718870936</v>
      </c>
      <c r="AE882" s="1128">
        <f t="shared" si="980"/>
        <v>64.285858410545558</v>
      </c>
      <c r="AF882" s="1128">
        <f t="shared" si="981"/>
        <v>70.372910596204036</v>
      </c>
      <c r="AG882" s="1128">
        <f t="shared" si="982"/>
        <v>74.497293319340883</v>
      </c>
      <c r="AH882" s="1128">
        <f t="shared" si="983"/>
        <v>75.583922664508819</v>
      </c>
      <c r="AI882" s="1128">
        <f t="shared" si="984"/>
        <v>73.349551947424715</v>
      </c>
      <c r="AJ882" s="1128">
        <f t="shared" si="985"/>
        <v>68.376604328191576</v>
      </c>
      <c r="AK882" s="1128">
        <f t="shared" si="986"/>
        <v>61.961355239205055</v>
      </c>
      <c r="AL882" s="1128">
        <f t="shared" si="987"/>
        <v>55.776038217490495</v>
      </c>
      <c r="AM882" s="1125">
        <f t="shared" si="988"/>
        <v>1</v>
      </c>
      <c r="AN882" s="1125">
        <f t="shared" si="989"/>
        <v>1</v>
      </c>
      <c r="AO882" s="1125">
        <f t="shared" si="990"/>
        <v>1</v>
      </c>
      <c r="AP882" s="1125">
        <f t="shared" si="991"/>
        <v>1</v>
      </c>
      <c r="AQ882" s="1125">
        <f t="shared" si="992"/>
        <v>0</v>
      </c>
      <c r="AR882" s="1125">
        <f t="shared" si="993"/>
        <v>0</v>
      </c>
      <c r="AS882" s="1125">
        <f t="shared" si="994"/>
        <v>0</v>
      </c>
      <c r="AT882" s="1125">
        <f t="shared" si="995"/>
        <v>0</v>
      </c>
      <c r="AU882" s="1125">
        <f t="shared" si="996"/>
        <v>0</v>
      </c>
      <c r="AV882" s="1125">
        <f t="shared" si="997"/>
        <v>1</v>
      </c>
      <c r="AW882" s="1125">
        <f t="shared" si="998"/>
        <v>1</v>
      </c>
      <c r="AX882" s="1125">
        <f t="shared" si="999"/>
        <v>1</v>
      </c>
      <c r="AY882" s="1125">
        <f t="shared" si="1000"/>
        <v>0</v>
      </c>
      <c r="AZ882" s="1125">
        <f t="shared" si="1001"/>
        <v>0</v>
      </c>
      <c r="BA882" s="1125">
        <f t="shared" si="1002"/>
        <v>0</v>
      </c>
      <c r="BB882" s="1125">
        <f t="shared" si="1003"/>
        <v>0</v>
      </c>
      <c r="BC882" s="1125">
        <f t="shared" si="1004"/>
        <v>1</v>
      </c>
      <c r="BD882" s="1125">
        <f t="shared" si="1005"/>
        <v>1</v>
      </c>
      <c r="BE882" s="1125">
        <f t="shared" si="1006"/>
        <v>1</v>
      </c>
      <c r="BF882" s="1125">
        <f t="shared" si="1007"/>
        <v>1</v>
      </c>
      <c r="BG882" s="1125">
        <f t="shared" si="1008"/>
        <v>1</v>
      </c>
      <c r="BH882" s="1125">
        <f t="shared" si="1009"/>
        <v>0</v>
      </c>
      <c r="BI882" s="1125">
        <f t="shared" si="1010"/>
        <v>0</v>
      </c>
      <c r="BJ882" s="1125">
        <f t="shared" si="1011"/>
        <v>0</v>
      </c>
      <c r="BK882" s="1125">
        <f t="shared" si="1012"/>
        <v>1</v>
      </c>
      <c r="BL882" s="1125">
        <f t="shared" si="1013"/>
        <v>1</v>
      </c>
      <c r="BM882" s="1125">
        <f t="shared" si="1014"/>
        <v>1</v>
      </c>
      <c r="BN882" s="1125">
        <f t="shared" si="1015"/>
        <v>1</v>
      </c>
      <c r="BO882" s="1125">
        <f t="shared" si="1016"/>
        <v>1</v>
      </c>
      <c r="BP882" s="1125">
        <f t="shared" si="1017"/>
        <v>0</v>
      </c>
      <c r="BQ882" s="1125">
        <f t="shared" si="1018"/>
        <v>0</v>
      </c>
      <c r="BR882" s="1125">
        <f t="shared" si="1019"/>
        <v>0</v>
      </c>
      <c r="BS882" s="1125">
        <f t="shared" si="1020"/>
        <v>0</v>
      </c>
      <c r="BT882" s="1125">
        <f t="shared" si="1021"/>
        <v>1</v>
      </c>
      <c r="BU882" s="1125">
        <f t="shared" si="1022"/>
        <v>1</v>
      </c>
      <c r="BV882" s="1125">
        <f t="shared" si="1023"/>
        <v>1</v>
      </c>
      <c r="BW882" s="1125">
        <f t="shared" si="1024"/>
        <v>0</v>
      </c>
      <c r="BX882" s="1125">
        <f t="shared" si="1025"/>
        <v>0</v>
      </c>
      <c r="BY882" s="1125">
        <f t="shared" si="1026"/>
        <v>0</v>
      </c>
      <c r="BZ882" s="1125">
        <f t="shared" si="1027"/>
        <v>1</v>
      </c>
      <c r="CA882" s="1125">
        <f t="shared" si="1028"/>
        <v>1</v>
      </c>
      <c r="CB882" s="1125">
        <f t="shared" si="1029"/>
        <v>1</v>
      </c>
      <c r="CC882" s="1125">
        <f t="shared" si="1030"/>
        <v>1</v>
      </c>
      <c r="CD882" s="1125">
        <f t="shared" si="1031"/>
        <v>1</v>
      </c>
      <c r="CE882" s="1125">
        <f t="shared" si="1032"/>
        <v>1</v>
      </c>
      <c r="CF882" s="1125">
        <f t="shared" si="1033"/>
        <v>1</v>
      </c>
      <c r="CG882" s="1125">
        <f t="shared" si="1034"/>
        <v>0</v>
      </c>
      <c r="CH882" s="1125">
        <f t="shared" si="1035"/>
        <v>0</v>
      </c>
      <c r="CI882" s="1125">
        <f t="shared" si="1036"/>
        <v>0.85</v>
      </c>
      <c r="CJ882" s="1125">
        <f t="shared" si="1037"/>
        <v>0.85</v>
      </c>
      <c r="CK882" s="1125">
        <f t="shared" si="1038"/>
        <v>0.85</v>
      </c>
      <c r="CL882" s="1125">
        <f t="shared" si="1039"/>
        <v>0.85</v>
      </c>
      <c r="CM882" s="1125">
        <f t="shared" si="1040"/>
        <v>0.85</v>
      </c>
      <c r="CN882" s="1125">
        <f t="shared" si="1041"/>
        <v>0.7</v>
      </c>
      <c r="CO882" s="1125">
        <f t="shared" si="1042"/>
        <v>0.7</v>
      </c>
      <c r="CP882" s="1125">
        <f t="shared" si="1043"/>
        <v>0.7</v>
      </c>
      <c r="CQ882" s="1125">
        <f t="shared" si="1044"/>
        <v>0.7</v>
      </c>
      <c r="CR882" s="1125">
        <f t="shared" si="1045"/>
        <v>0.85</v>
      </c>
      <c r="CS882" s="1125">
        <f t="shared" si="1046"/>
        <v>0.85</v>
      </c>
      <c r="CT882" s="1125">
        <f t="shared" si="1047"/>
        <v>0.85</v>
      </c>
      <c r="CU882" s="1125">
        <v>1</v>
      </c>
      <c r="CV882" s="1125"/>
      <c r="CW882" s="1125">
        <f t="shared" si="1048"/>
        <v>214</v>
      </c>
      <c r="CX882" s="1125">
        <f t="shared" si="1049"/>
        <v>151</v>
      </c>
      <c r="CY882" s="1136" t="s">
        <v>4881</v>
      </c>
      <c r="CZ882" s="1129" t="s">
        <v>4885</v>
      </c>
      <c r="DA882" s="1129"/>
      <c r="DB882" s="1129"/>
      <c r="DC882" s="1125" t="s">
        <v>5359</v>
      </c>
      <c r="DD882" s="1125" t="s">
        <v>1248</v>
      </c>
      <c r="DE882" s="1120" t="str">
        <f t="shared" si="1050"/>
        <v/>
      </c>
      <c r="DF882" s="1133">
        <v>0</v>
      </c>
      <c r="DG882" s="1120">
        <v>0</v>
      </c>
    </row>
    <row r="883" spans="1:111">
      <c r="A883" s="1125" t="s">
        <v>4444</v>
      </c>
      <c r="B883" s="1120" t="s">
        <v>3274</v>
      </c>
      <c r="C883" s="1120" t="s">
        <v>3275</v>
      </c>
      <c r="D883" s="1120" t="s">
        <v>594</v>
      </c>
      <c r="E883" s="1120">
        <v>23</v>
      </c>
      <c r="F883" s="1120">
        <v>-80.37</v>
      </c>
      <c r="G883" s="1120">
        <v>27.48</v>
      </c>
      <c r="H883" s="1120">
        <v>-5</v>
      </c>
      <c r="I883" s="1121">
        <v>30.019999957084657</v>
      </c>
      <c r="J883" s="1121">
        <v>91.579997253417972</v>
      </c>
      <c r="K883" s="1122">
        <v>78.980000686645511</v>
      </c>
      <c r="L883" s="1120">
        <v>651.6</v>
      </c>
      <c r="M883" s="1120">
        <v>3042</v>
      </c>
      <c r="N883" s="1123">
        <v>56.840000343322757</v>
      </c>
      <c r="O883" s="1123">
        <v>65.119999313354498</v>
      </c>
      <c r="P883" s="1123">
        <v>65.480000686645511</v>
      </c>
      <c r="Q883" s="1123">
        <v>70.519999313354489</v>
      </c>
      <c r="R883" s="1123">
        <v>75.560001373291016</v>
      </c>
      <c r="S883" s="1123">
        <v>77.900000000000006</v>
      </c>
      <c r="T883" s="1123">
        <v>79.33999862670899</v>
      </c>
      <c r="U883" s="1123">
        <v>80.599999999999994</v>
      </c>
      <c r="V883" s="1123">
        <v>76.099999999999994</v>
      </c>
      <c r="W883" s="1123">
        <v>73.039998626708979</v>
      </c>
      <c r="X883" s="1123">
        <v>67.460001373291021</v>
      </c>
      <c r="Y883" s="1123">
        <v>62.960001373291014</v>
      </c>
      <c r="Z883" s="1123">
        <v>70.934739817266589</v>
      </c>
      <c r="AA883" s="1123">
        <f t="shared" si="976"/>
        <v>69.059361954432816</v>
      </c>
      <c r="AB883" s="1123">
        <f t="shared" si="977"/>
        <v>69.542713170376857</v>
      </c>
      <c r="AC883" s="1123">
        <f t="shared" si="978"/>
        <v>71.952910046411503</v>
      </c>
      <c r="AD883" s="1123">
        <f t="shared" si="979"/>
        <v>75.661697624540167</v>
      </c>
      <c r="AE883" s="1123">
        <f t="shared" si="980"/>
        <v>79.702323268377015</v>
      </c>
      <c r="AF883" s="1123">
        <f t="shared" si="981"/>
        <v>83.021535635929936</v>
      </c>
      <c r="AG883" s="1123">
        <f t="shared" si="982"/>
        <v>84.754130872985385</v>
      </c>
      <c r="AH883" s="1123">
        <f t="shared" si="983"/>
        <v>84.448481330904045</v>
      </c>
      <c r="AI883" s="1123">
        <f t="shared" si="984"/>
        <v>82.184259273031429</v>
      </c>
      <c r="AJ883" s="1123">
        <f t="shared" si="985"/>
        <v>78.551669071470158</v>
      </c>
      <c r="AK883" s="1123">
        <f t="shared" si="986"/>
        <v>74.497601342166661</v>
      </c>
      <c r="AL883" s="1123">
        <f t="shared" si="987"/>
        <v>71.078811313838713</v>
      </c>
      <c r="AM883" s="1120">
        <f t="shared" si="988"/>
        <v>1</v>
      </c>
      <c r="AN883" s="1120">
        <f t="shared" si="989"/>
        <v>1</v>
      </c>
      <c r="AO883" s="1120">
        <f t="shared" si="990"/>
        <v>1</v>
      </c>
      <c r="AP883" s="1120">
        <f t="shared" si="991"/>
        <v>0</v>
      </c>
      <c r="AQ883" s="1120">
        <f t="shared" si="992"/>
        <v>0</v>
      </c>
      <c r="AR883" s="1120">
        <f t="shared" si="993"/>
        <v>0</v>
      </c>
      <c r="AS883" s="1120">
        <f t="shared" si="994"/>
        <v>0</v>
      </c>
      <c r="AT883" s="1120">
        <f t="shared" si="995"/>
        <v>0</v>
      </c>
      <c r="AU883" s="1120">
        <f t="shared" si="996"/>
        <v>0</v>
      </c>
      <c r="AV883" s="1120">
        <f t="shared" si="997"/>
        <v>0</v>
      </c>
      <c r="AW883" s="1120">
        <f t="shared" si="998"/>
        <v>0</v>
      </c>
      <c r="AX883" s="1120">
        <f t="shared" si="999"/>
        <v>1</v>
      </c>
      <c r="AY883" s="1120">
        <f t="shared" si="1000"/>
        <v>0</v>
      </c>
      <c r="AZ883" s="1120">
        <f t="shared" si="1001"/>
        <v>0</v>
      </c>
      <c r="BA883" s="1120">
        <f t="shared" si="1002"/>
        <v>0</v>
      </c>
      <c r="BB883" s="1120">
        <f t="shared" si="1003"/>
        <v>1</v>
      </c>
      <c r="BC883" s="1120">
        <f t="shared" si="1004"/>
        <v>1</v>
      </c>
      <c r="BD883" s="1120">
        <f t="shared" si="1005"/>
        <v>1</v>
      </c>
      <c r="BE883" s="1120">
        <f t="shared" si="1006"/>
        <v>1</v>
      </c>
      <c r="BF883" s="1120">
        <f t="shared" si="1007"/>
        <v>1</v>
      </c>
      <c r="BG883" s="1120">
        <f t="shared" si="1008"/>
        <v>1</v>
      </c>
      <c r="BH883" s="1120">
        <f t="shared" si="1009"/>
        <v>1</v>
      </c>
      <c r="BI883" s="1120">
        <f t="shared" si="1010"/>
        <v>1</v>
      </c>
      <c r="BJ883" s="1120">
        <f t="shared" si="1011"/>
        <v>0</v>
      </c>
      <c r="BK883" s="1120">
        <f t="shared" si="1012"/>
        <v>1</v>
      </c>
      <c r="BL883" s="1120">
        <f t="shared" si="1013"/>
        <v>1</v>
      </c>
      <c r="BM883" s="1120">
        <f t="shared" si="1014"/>
        <v>1</v>
      </c>
      <c r="BN883" s="1120">
        <f t="shared" si="1015"/>
        <v>1</v>
      </c>
      <c r="BO883" s="1120">
        <f t="shared" si="1016"/>
        <v>0</v>
      </c>
      <c r="BP883" s="1120">
        <f t="shared" si="1017"/>
        <v>0</v>
      </c>
      <c r="BQ883" s="1120">
        <f t="shared" si="1018"/>
        <v>0</v>
      </c>
      <c r="BR883" s="1120">
        <f t="shared" si="1019"/>
        <v>0</v>
      </c>
      <c r="BS883" s="1120">
        <f t="shared" si="1020"/>
        <v>0</v>
      </c>
      <c r="BT883" s="1120">
        <f t="shared" si="1021"/>
        <v>0</v>
      </c>
      <c r="BU883" s="1120">
        <f t="shared" si="1022"/>
        <v>0</v>
      </c>
      <c r="BV883" s="1120">
        <f t="shared" si="1023"/>
        <v>1</v>
      </c>
      <c r="BW883" s="1120">
        <f t="shared" si="1024"/>
        <v>0</v>
      </c>
      <c r="BX883" s="1120">
        <f t="shared" si="1025"/>
        <v>0</v>
      </c>
      <c r="BY883" s="1120">
        <f t="shared" si="1026"/>
        <v>1</v>
      </c>
      <c r="BZ883" s="1120">
        <f t="shared" si="1027"/>
        <v>1</v>
      </c>
      <c r="CA883" s="1120">
        <f t="shared" si="1028"/>
        <v>1</v>
      </c>
      <c r="CB883" s="1120">
        <f t="shared" si="1029"/>
        <v>1</v>
      </c>
      <c r="CC883" s="1120">
        <f t="shared" si="1030"/>
        <v>1</v>
      </c>
      <c r="CD883" s="1120">
        <f t="shared" si="1031"/>
        <v>1</v>
      </c>
      <c r="CE883" s="1120">
        <f t="shared" si="1032"/>
        <v>1</v>
      </c>
      <c r="CF883" s="1120">
        <f t="shared" si="1033"/>
        <v>1</v>
      </c>
      <c r="CG883" s="1120">
        <f t="shared" si="1034"/>
        <v>1</v>
      </c>
      <c r="CH883" s="1120">
        <f t="shared" si="1035"/>
        <v>1</v>
      </c>
      <c r="CI883" s="1120">
        <f t="shared" si="1036"/>
        <v>0.85</v>
      </c>
      <c r="CJ883" s="1120">
        <f t="shared" si="1037"/>
        <v>0.85</v>
      </c>
      <c r="CK883" s="1120">
        <f t="shared" si="1038"/>
        <v>0.85</v>
      </c>
      <c r="CL883" s="1120">
        <f t="shared" si="1039"/>
        <v>0.85</v>
      </c>
      <c r="CM883" s="1120">
        <f t="shared" si="1040"/>
        <v>0.7</v>
      </c>
      <c r="CN883" s="1120">
        <f t="shared" si="1041"/>
        <v>0.7</v>
      </c>
      <c r="CO883" s="1120">
        <f t="shared" si="1042"/>
        <v>0.7</v>
      </c>
      <c r="CP883" s="1120">
        <f t="shared" si="1043"/>
        <v>0.7</v>
      </c>
      <c r="CQ883" s="1120">
        <f t="shared" si="1044"/>
        <v>0.7</v>
      </c>
      <c r="CR883" s="1120">
        <f t="shared" si="1045"/>
        <v>0.7</v>
      </c>
      <c r="CS883" s="1120">
        <f t="shared" si="1046"/>
        <v>0.7</v>
      </c>
      <c r="CT883" s="1120">
        <f t="shared" si="1047"/>
        <v>0.85</v>
      </c>
      <c r="CU883" s="1120">
        <v>1</v>
      </c>
      <c r="CV883" s="1120"/>
      <c r="CW883" s="1120">
        <f t="shared" si="1048"/>
        <v>306</v>
      </c>
      <c r="CX883" s="1120">
        <f t="shared" si="1049"/>
        <v>59</v>
      </c>
      <c r="CY883" s="1135" t="s">
        <v>4883</v>
      </c>
      <c r="CZ883" s="1124" t="s">
        <v>4884</v>
      </c>
      <c r="DA883" s="1124"/>
      <c r="DB883" s="1124"/>
      <c r="DC883" s="1120" t="s">
        <v>5121</v>
      </c>
      <c r="DD883" s="1120" t="s">
        <v>594</v>
      </c>
      <c r="DE883" s="1120" t="str">
        <f t="shared" si="1050"/>
        <v/>
      </c>
      <c r="DF883" s="1133">
        <v>0</v>
      </c>
      <c r="DG883" s="1125">
        <v>0</v>
      </c>
    </row>
    <row r="884" spans="1:111">
      <c r="A884" s="1120" t="s">
        <v>4450</v>
      </c>
      <c r="B884" s="1120" t="s">
        <v>3831</v>
      </c>
      <c r="C884" s="1120" t="s">
        <v>3832</v>
      </c>
      <c r="D884" s="1120" t="s">
        <v>934</v>
      </c>
      <c r="E884" s="1120">
        <v>722</v>
      </c>
      <c r="F884" s="1120">
        <v>-93.05</v>
      </c>
      <c r="G884" s="1120">
        <v>44.93</v>
      </c>
      <c r="H884" s="1120">
        <v>-6</v>
      </c>
      <c r="I884" s="1121">
        <v>-7.6000000000000014</v>
      </c>
      <c r="J884" s="1121">
        <v>87.619999313354498</v>
      </c>
      <c r="K884" s="1122">
        <v>73.219999313354492</v>
      </c>
      <c r="L884" s="1120">
        <v>7790.4000000000005</v>
      </c>
      <c r="M884" s="1120">
        <v>653.4</v>
      </c>
      <c r="N884" s="1123">
        <v>3.9199993133544915</v>
      </c>
      <c r="O884" s="1123">
        <v>22.640000343322754</v>
      </c>
      <c r="P884" s="1123">
        <v>33.440000021457671</v>
      </c>
      <c r="Q884" s="1123">
        <v>44.6</v>
      </c>
      <c r="R884" s="1123">
        <v>56.3</v>
      </c>
      <c r="S884" s="1123">
        <v>69.8</v>
      </c>
      <c r="T884" s="1123">
        <v>69.439998626708984</v>
      </c>
      <c r="U884" s="1123">
        <v>72.860001373291013</v>
      </c>
      <c r="V884" s="1123">
        <v>62.780000686645508</v>
      </c>
      <c r="W884" s="1123">
        <v>48.2</v>
      </c>
      <c r="X884" s="1123">
        <v>37.4</v>
      </c>
      <c r="Y884" s="1123">
        <v>15.619999313354493</v>
      </c>
      <c r="Z884" s="1123">
        <v>44.834246543302932</v>
      </c>
      <c r="AA884" s="1123">
        <f t="shared" si="976"/>
        <v>39.122309364273988</v>
      </c>
      <c r="AB884" s="1123">
        <f t="shared" si="977"/>
        <v>36.794834438810469</v>
      </c>
      <c r="AC884" s="1123">
        <f t="shared" si="978"/>
        <v>38.126948632272423</v>
      </c>
      <c r="AD884" s="1123">
        <f t="shared" si="979"/>
        <v>42.771415851632867</v>
      </c>
      <c r="AE884" s="1123">
        <f t="shared" si="980"/>
        <v>49.517584142759148</v>
      </c>
      <c r="AF884" s="1123">
        <f t="shared" si="981"/>
        <v>56.60696077896894</v>
      </c>
      <c r="AG884" s="1123">
        <f t="shared" si="982"/>
        <v>62.191590489433217</v>
      </c>
      <c r="AH884" s="1123">
        <f t="shared" si="983"/>
        <v>64.815753478370553</v>
      </c>
      <c r="AI884" s="1123">
        <f t="shared" si="984"/>
        <v>63.795421223138675</v>
      </c>
      <c r="AJ884" s="1123">
        <f t="shared" si="985"/>
        <v>59.396559049859789</v>
      </c>
      <c r="AK884" s="1123">
        <f t="shared" si="986"/>
        <v>52.765798172517066</v>
      </c>
      <c r="AL884" s="1123">
        <f t="shared" si="987"/>
        <v>45.631548596908047</v>
      </c>
      <c r="AM884" s="1120">
        <f t="shared" si="988"/>
        <v>1</v>
      </c>
      <c r="AN884" s="1120">
        <f t="shared" si="989"/>
        <v>1</v>
      </c>
      <c r="AO884" s="1120">
        <f t="shared" si="990"/>
        <v>1</v>
      </c>
      <c r="AP884" s="1120">
        <f t="shared" si="991"/>
        <v>1</v>
      </c>
      <c r="AQ884" s="1120">
        <f t="shared" si="992"/>
        <v>1</v>
      </c>
      <c r="AR884" s="1120">
        <f t="shared" si="993"/>
        <v>0</v>
      </c>
      <c r="AS884" s="1120">
        <f t="shared" si="994"/>
        <v>0</v>
      </c>
      <c r="AT884" s="1120">
        <f t="shared" si="995"/>
        <v>0</v>
      </c>
      <c r="AU884" s="1120">
        <f t="shared" si="996"/>
        <v>1</v>
      </c>
      <c r="AV884" s="1120">
        <f t="shared" si="997"/>
        <v>1</v>
      </c>
      <c r="AW884" s="1120">
        <f t="shared" si="998"/>
        <v>1</v>
      </c>
      <c r="AX884" s="1120">
        <f t="shared" si="999"/>
        <v>1</v>
      </c>
      <c r="AY884" s="1120">
        <f t="shared" si="1000"/>
        <v>0</v>
      </c>
      <c r="AZ884" s="1120">
        <f t="shared" si="1001"/>
        <v>0</v>
      </c>
      <c r="BA884" s="1120">
        <f t="shared" si="1002"/>
        <v>0</v>
      </c>
      <c r="BB884" s="1120">
        <f t="shared" si="1003"/>
        <v>0</v>
      </c>
      <c r="BC884" s="1120">
        <f t="shared" si="1004"/>
        <v>0</v>
      </c>
      <c r="BD884" s="1120">
        <f t="shared" si="1005"/>
        <v>1</v>
      </c>
      <c r="BE884" s="1120">
        <f t="shared" si="1006"/>
        <v>1</v>
      </c>
      <c r="BF884" s="1120">
        <f t="shared" si="1007"/>
        <v>1</v>
      </c>
      <c r="BG884" s="1120">
        <f t="shared" si="1008"/>
        <v>0</v>
      </c>
      <c r="BH884" s="1120">
        <f t="shared" si="1009"/>
        <v>0</v>
      </c>
      <c r="BI884" s="1120">
        <f t="shared" si="1010"/>
        <v>0</v>
      </c>
      <c r="BJ884" s="1120">
        <f t="shared" si="1011"/>
        <v>0</v>
      </c>
      <c r="BK884" s="1120">
        <f t="shared" si="1012"/>
        <v>1</v>
      </c>
      <c r="BL884" s="1120">
        <f t="shared" si="1013"/>
        <v>1</v>
      </c>
      <c r="BM884" s="1120">
        <f t="shared" si="1014"/>
        <v>1</v>
      </c>
      <c r="BN884" s="1120">
        <f t="shared" si="1015"/>
        <v>1</v>
      </c>
      <c r="BO884" s="1120">
        <f t="shared" si="1016"/>
        <v>1</v>
      </c>
      <c r="BP884" s="1120">
        <f t="shared" si="1017"/>
        <v>1</v>
      </c>
      <c r="BQ884" s="1120">
        <f t="shared" si="1018"/>
        <v>0</v>
      </c>
      <c r="BR884" s="1120">
        <f t="shared" si="1019"/>
        <v>0</v>
      </c>
      <c r="BS884" s="1120">
        <f t="shared" si="1020"/>
        <v>1</v>
      </c>
      <c r="BT884" s="1120">
        <f t="shared" si="1021"/>
        <v>1</v>
      </c>
      <c r="BU884" s="1120">
        <f t="shared" si="1022"/>
        <v>1</v>
      </c>
      <c r="BV884" s="1120">
        <f t="shared" si="1023"/>
        <v>1</v>
      </c>
      <c r="BW884" s="1120">
        <f t="shared" si="1024"/>
        <v>0</v>
      </c>
      <c r="BX884" s="1120">
        <f t="shared" si="1025"/>
        <v>0</v>
      </c>
      <c r="BY884" s="1120">
        <f t="shared" si="1026"/>
        <v>0</v>
      </c>
      <c r="BZ884" s="1120">
        <f t="shared" si="1027"/>
        <v>0</v>
      </c>
      <c r="CA884" s="1120">
        <f t="shared" si="1028"/>
        <v>1</v>
      </c>
      <c r="CB884" s="1120">
        <f t="shared" si="1029"/>
        <v>1</v>
      </c>
      <c r="CC884" s="1120">
        <f t="shared" si="1030"/>
        <v>1</v>
      </c>
      <c r="CD884" s="1120">
        <f t="shared" si="1031"/>
        <v>1</v>
      </c>
      <c r="CE884" s="1120">
        <f t="shared" si="1032"/>
        <v>1</v>
      </c>
      <c r="CF884" s="1120">
        <f t="shared" si="1033"/>
        <v>0</v>
      </c>
      <c r="CG884" s="1120">
        <f t="shared" si="1034"/>
        <v>0</v>
      </c>
      <c r="CH884" s="1120">
        <f t="shared" si="1035"/>
        <v>0</v>
      </c>
      <c r="CI884" s="1120">
        <f t="shared" si="1036"/>
        <v>0.85</v>
      </c>
      <c r="CJ884" s="1120">
        <f t="shared" si="1037"/>
        <v>0.85</v>
      </c>
      <c r="CK884" s="1120">
        <f t="shared" si="1038"/>
        <v>0.85</v>
      </c>
      <c r="CL884" s="1120">
        <f t="shared" si="1039"/>
        <v>0.85</v>
      </c>
      <c r="CM884" s="1120">
        <f t="shared" si="1040"/>
        <v>0.85</v>
      </c>
      <c r="CN884" s="1120">
        <f t="shared" si="1041"/>
        <v>0.85</v>
      </c>
      <c r="CO884" s="1120">
        <f t="shared" si="1042"/>
        <v>0.7</v>
      </c>
      <c r="CP884" s="1120">
        <f t="shared" si="1043"/>
        <v>0.7</v>
      </c>
      <c r="CQ884" s="1120">
        <f t="shared" si="1044"/>
        <v>0.85</v>
      </c>
      <c r="CR884" s="1120">
        <f t="shared" si="1045"/>
        <v>0.85</v>
      </c>
      <c r="CS884" s="1120">
        <f t="shared" si="1046"/>
        <v>0.85</v>
      </c>
      <c r="CT884" s="1120">
        <f t="shared" si="1047"/>
        <v>0.85</v>
      </c>
      <c r="CU884" s="1120">
        <v>1</v>
      </c>
      <c r="CV884" s="1120"/>
      <c r="CW884" s="1120">
        <f t="shared" si="1048"/>
        <v>153</v>
      </c>
      <c r="CX884" s="1120">
        <f t="shared" si="1049"/>
        <v>212</v>
      </c>
      <c r="CY884" s="1135" t="s">
        <v>4889</v>
      </c>
      <c r="CZ884" s="1124" t="s">
        <v>4899</v>
      </c>
      <c r="DA884" s="1124"/>
      <c r="DB884" s="1124"/>
      <c r="DC884" s="1120" t="s">
        <v>5343</v>
      </c>
      <c r="DD884" s="1120" t="s">
        <v>934</v>
      </c>
      <c r="DE884" s="1120" t="str">
        <f t="shared" si="1050"/>
        <v/>
      </c>
      <c r="DF884" s="1133">
        <v>0</v>
      </c>
      <c r="DG884" s="1120">
        <v>0</v>
      </c>
    </row>
    <row r="885" spans="1:111">
      <c r="A885" s="1125" t="s">
        <v>4446</v>
      </c>
      <c r="B885" s="1120" t="s">
        <v>2982</v>
      </c>
      <c r="C885" s="1120" t="s">
        <v>2983</v>
      </c>
      <c r="D885" s="1120" t="s">
        <v>953</v>
      </c>
      <c r="E885" s="1120">
        <v>23</v>
      </c>
      <c r="F885" s="1120">
        <v>-170.22</v>
      </c>
      <c r="G885" s="1120">
        <v>57.17</v>
      </c>
      <c r="H885" s="1120">
        <v>-9</v>
      </c>
      <c r="I885" s="1121">
        <v>6.7999999999999989</v>
      </c>
      <c r="J885" s="1121">
        <v>53.059999656677249</v>
      </c>
      <c r="K885" s="1122">
        <v>50.540000343322752</v>
      </c>
      <c r="L885" s="1120">
        <v>10303.200000000001</v>
      </c>
      <c r="M885" s="1120">
        <v>0</v>
      </c>
      <c r="N885" s="1123">
        <v>28.220000171661376</v>
      </c>
      <c r="O885" s="1123">
        <v>24.620000171661378</v>
      </c>
      <c r="P885" s="1123">
        <v>26.420000171661378</v>
      </c>
      <c r="Q885" s="1123">
        <v>30.740000021457671</v>
      </c>
      <c r="R885" s="1123">
        <v>37.220000171661376</v>
      </c>
      <c r="S885" s="1123">
        <v>41.720000171661376</v>
      </c>
      <c r="T885" s="1123">
        <v>46.759999656677245</v>
      </c>
      <c r="U885" s="1123">
        <v>48.380000686645509</v>
      </c>
      <c r="V885" s="1123">
        <v>45.5</v>
      </c>
      <c r="W885" s="1123">
        <v>39.740000343322755</v>
      </c>
      <c r="X885" s="1123">
        <v>32.180000002682206</v>
      </c>
      <c r="Y885" s="1123">
        <v>31.639999994635581</v>
      </c>
      <c r="Z885" s="1123">
        <v>36.173534377437747</v>
      </c>
      <c r="AA885" s="1123">
        <f t="shared" si="976"/>
        <v>39.343224720182683</v>
      </c>
      <c r="AB885" s="1123">
        <f t="shared" si="977"/>
        <v>38.444053432829939</v>
      </c>
      <c r="AC885" s="1123">
        <f t="shared" si="978"/>
        <v>38.517028826730275</v>
      </c>
      <c r="AD885" s="1123">
        <f t="shared" si="979"/>
        <v>39.5431287408787</v>
      </c>
      <c r="AE885" s="1123">
        <f t="shared" si="980"/>
        <v>41.254884419974111</v>
      </c>
      <c r="AF885" s="1123">
        <f t="shared" si="981"/>
        <v>43.206100367306789</v>
      </c>
      <c r="AG885" s="1123">
        <f t="shared" si="982"/>
        <v>44.888162077056528</v>
      </c>
      <c r="AH885" s="1123">
        <f t="shared" si="983"/>
        <v>45.862614243221493</v>
      </c>
      <c r="AI885" s="1123">
        <f t="shared" si="984"/>
        <v>45.875450891928338</v>
      </c>
      <c r="AJ885" s="1123">
        <f t="shared" si="985"/>
        <v>44.923325952872887</v>
      </c>
      <c r="AK885" s="1123">
        <f t="shared" si="986"/>
        <v>43.254425464109396</v>
      </c>
      <c r="AL885" s="1123">
        <f t="shared" si="987"/>
        <v>41.303774056569083</v>
      </c>
      <c r="AM885" s="1120">
        <f t="shared" si="988"/>
        <v>1</v>
      </c>
      <c r="AN885" s="1120">
        <f t="shared" si="989"/>
        <v>1</v>
      </c>
      <c r="AO885" s="1120">
        <f t="shared" si="990"/>
        <v>1</v>
      </c>
      <c r="AP885" s="1120">
        <f t="shared" si="991"/>
        <v>1</v>
      </c>
      <c r="AQ885" s="1120">
        <f t="shared" si="992"/>
        <v>1</v>
      </c>
      <c r="AR885" s="1120">
        <f t="shared" si="993"/>
        <v>1</v>
      </c>
      <c r="AS885" s="1120">
        <f t="shared" si="994"/>
        <v>1</v>
      </c>
      <c r="AT885" s="1120">
        <f t="shared" si="995"/>
        <v>1</v>
      </c>
      <c r="AU885" s="1120">
        <f t="shared" si="996"/>
        <v>1</v>
      </c>
      <c r="AV885" s="1120">
        <f t="shared" si="997"/>
        <v>1</v>
      </c>
      <c r="AW885" s="1120">
        <f t="shared" si="998"/>
        <v>1</v>
      </c>
      <c r="AX885" s="1120">
        <f t="shared" si="999"/>
        <v>1</v>
      </c>
      <c r="AY885" s="1120">
        <f t="shared" si="1000"/>
        <v>0</v>
      </c>
      <c r="AZ885" s="1120">
        <f t="shared" si="1001"/>
        <v>0</v>
      </c>
      <c r="BA885" s="1120">
        <f t="shared" si="1002"/>
        <v>0</v>
      </c>
      <c r="BB885" s="1120">
        <f t="shared" si="1003"/>
        <v>0</v>
      </c>
      <c r="BC885" s="1120">
        <f t="shared" si="1004"/>
        <v>0</v>
      </c>
      <c r="BD885" s="1120">
        <f t="shared" si="1005"/>
        <v>0</v>
      </c>
      <c r="BE885" s="1120">
        <f t="shared" si="1006"/>
        <v>1</v>
      </c>
      <c r="BF885" s="1120">
        <f t="shared" si="1007"/>
        <v>1</v>
      </c>
      <c r="BG885" s="1120">
        <f t="shared" si="1008"/>
        <v>0</v>
      </c>
      <c r="BH885" s="1120">
        <f t="shared" si="1009"/>
        <v>0</v>
      </c>
      <c r="BI885" s="1120">
        <f t="shared" si="1010"/>
        <v>0</v>
      </c>
      <c r="BJ885" s="1120">
        <f t="shared" si="1011"/>
        <v>0</v>
      </c>
      <c r="BK885" s="1120">
        <f t="shared" si="1012"/>
        <v>1</v>
      </c>
      <c r="BL885" s="1120">
        <f t="shared" si="1013"/>
        <v>1</v>
      </c>
      <c r="BM885" s="1120">
        <f t="shared" si="1014"/>
        <v>1</v>
      </c>
      <c r="BN885" s="1120">
        <f t="shared" si="1015"/>
        <v>1</v>
      </c>
      <c r="BO885" s="1120">
        <f t="shared" si="1016"/>
        <v>1</v>
      </c>
      <c r="BP885" s="1120">
        <f t="shared" si="1017"/>
        <v>1</v>
      </c>
      <c r="BQ885" s="1120">
        <f t="shared" si="1018"/>
        <v>1</v>
      </c>
      <c r="BR885" s="1120">
        <f t="shared" si="1019"/>
        <v>1</v>
      </c>
      <c r="BS885" s="1120">
        <f t="shared" si="1020"/>
        <v>1</v>
      </c>
      <c r="BT885" s="1120">
        <f t="shared" si="1021"/>
        <v>1</v>
      </c>
      <c r="BU885" s="1120">
        <f t="shared" si="1022"/>
        <v>1</v>
      </c>
      <c r="BV885" s="1120">
        <f t="shared" si="1023"/>
        <v>1</v>
      </c>
      <c r="BW885" s="1120">
        <f t="shared" si="1024"/>
        <v>0</v>
      </c>
      <c r="BX885" s="1120">
        <f t="shared" si="1025"/>
        <v>0</v>
      </c>
      <c r="BY885" s="1120">
        <f t="shared" si="1026"/>
        <v>0</v>
      </c>
      <c r="BZ885" s="1120">
        <f t="shared" si="1027"/>
        <v>0</v>
      </c>
      <c r="CA885" s="1120">
        <f t="shared" si="1028"/>
        <v>0</v>
      </c>
      <c r="CB885" s="1120">
        <f t="shared" si="1029"/>
        <v>0</v>
      </c>
      <c r="CC885" s="1120">
        <f t="shared" si="1030"/>
        <v>1</v>
      </c>
      <c r="CD885" s="1120">
        <f t="shared" si="1031"/>
        <v>1</v>
      </c>
      <c r="CE885" s="1120">
        <f t="shared" si="1032"/>
        <v>0</v>
      </c>
      <c r="CF885" s="1120">
        <f t="shared" si="1033"/>
        <v>0</v>
      </c>
      <c r="CG885" s="1120">
        <f t="shared" si="1034"/>
        <v>0</v>
      </c>
      <c r="CH885" s="1120">
        <f t="shared" si="1035"/>
        <v>0</v>
      </c>
      <c r="CI885" s="1120">
        <f t="shared" si="1036"/>
        <v>0.85</v>
      </c>
      <c r="CJ885" s="1120">
        <f t="shared" si="1037"/>
        <v>0.85</v>
      </c>
      <c r="CK885" s="1120">
        <f t="shared" si="1038"/>
        <v>0.85</v>
      </c>
      <c r="CL885" s="1120">
        <f t="shared" si="1039"/>
        <v>0.85</v>
      </c>
      <c r="CM885" s="1120">
        <f t="shared" si="1040"/>
        <v>0.85</v>
      </c>
      <c r="CN885" s="1120">
        <f t="shared" si="1041"/>
        <v>0.85</v>
      </c>
      <c r="CO885" s="1120">
        <f t="shared" si="1042"/>
        <v>0.85</v>
      </c>
      <c r="CP885" s="1120">
        <f t="shared" si="1043"/>
        <v>0.85</v>
      </c>
      <c r="CQ885" s="1120">
        <f t="shared" si="1044"/>
        <v>0.85</v>
      </c>
      <c r="CR885" s="1120">
        <f t="shared" si="1045"/>
        <v>0.85</v>
      </c>
      <c r="CS885" s="1120">
        <f t="shared" si="1046"/>
        <v>0.85</v>
      </c>
      <c r="CT885" s="1120">
        <f t="shared" si="1047"/>
        <v>0.85</v>
      </c>
      <c r="CU885" s="1120">
        <v>1</v>
      </c>
      <c r="CV885" s="1120"/>
      <c r="CW885" s="1120">
        <f t="shared" si="1048"/>
        <v>62</v>
      </c>
      <c r="CX885" s="1120">
        <f t="shared" si="1049"/>
        <v>303</v>
      </c>
      <c r="CY885" s="1135" t="s">
        <v>4879</v>
      </c>
      <c r="CZ885" s="1124">
        <v>7</v>
      </c>
      <c r="DA885" s="1124"/>
      <c r="DB885" s="1124"/>
      <c r="DC885" s="1120" t="s">
        <v>4964</v>
      </c>
      <c r="DD885" s="1120" t="s">
        <v>953</v>
      </c>
      <c r="DE885" s="1120" t="str">
        <f t="shared" si="1050"/>
        <v/>
      </c>
      <c r="DF885" s="1120">
        <v>0</v>
      </c>
      <c r="DG885" s="1125">
        <v>0</v>
      </c>
    </row>
    <row r="886" spans="1:111">
      <c r="A886" s="1120" t="s">
        <v>4448</v>
      </c>
      <c r="B886" s="1125" t="s">
        <v>3328</v>
      </c>
      <c r="C886" s="1125" t="s">
        <v>3329</v>
      </c>
      <c r="D886" s="1125" t="s">
        <v>594</v>
      </c>
      <c r="E886" s="1125">
        <v>7</v>
      </c>
      <c r="F886" s="1125">
        <v>-82.63</v>
      </c>
      <c r="G886" s="1125">
        <v>27.77</v>
      </c>
      <c r="H886" s="1125">
        <v>-5</v>
      </c>
      <c r="I886" s="1126">
        <v>44.420000171661378</v>
      </c>
      <c r="J886" s="1126">
        <v>91.579997253417972</v>
      </c>
      <c r="K886" s="1127">
        <v>80.780000686645508</v>
      </c>
      <c r="L886" s="1125">
        <v>415.8</v>
      </c>
      <c r="M886" s="1125">
        <v>3774.6</v>
      </c>
      <c r="N886" s="1128">
        <v>61.7</v>
      </c>
      <c r="O886" s="1128">
        <v>62.960001373291014</v>
      </c>
      <c r="P886" s="1128">
        <v>62.780000686645508</v>
      </c>
      <c r="Q886" s="1128">
        <v>71.060001373291016</v>
      </c>
      <c r="R886" s="1128">
        <v>79.16000137329101</v>
      </c>
      <c r="S886" s="1128">
        <v>82.039998626708979</v>
      </c>
      <c r="T886" s="1128">
        <v>83.119999313354498</v>
      </c>
      <c r="U886" s="1128">
        <v>82.939998626708984</v>
      </c>
      <c r="V886" s="1128">
        <v>83.119999313354498</v>
      </c>
      <c r="W886" s="1128">
        <v>78.980000686645511</v>
      </c>
      <c r="X886" s="1128">
        <v>68.180000686645513</v>
      </c>
      <c r="Y886" s="1128">
        <v>66.560001373291016</v>
      </c>
      <c r="Z886" s="1128">
        <v>73.609096170712832</v>
      </c>
      <c r="AA886" s="1128">
        <f t="shared" si="976"/>
        <v>72.186020893321995</v>
      </c>
      <c r="AB886" s="1128">
        <f t="shared" si="977"/>
        <v>72.812566792820419</v>
      </c>
      <c r="AC886" s="1128">
        <f t="shared" si="978"/>
        <v>75.210732812354593</v>
      </c>
      <c r="AD886" s="1128">
        <f t="shared" si="979"/>
        <v>78.755400022075904</v>
      </c>
      <c r="AE886" s="1128">
        <f t="shared" si="980"/>
        <v>82.522596288795299</v>
      </c>
      <c r="AF886" s="1128">
        <f t="shared" si="981"/>
        <v>85.530343851340618</v>
      </c>
      <c r="AG886" s="1128">
        <f t="shared" si="982"/>
        <v>86.994626956741456</v>
      </c>
      <c r="AH886" s="1128">
        <f t="shared" si="983"/>
        <v>86.533757648289381</v>
      </c>
      <c r="AI886" s="1128">
        <f t="shared" si="984"/>
        <v>84.267868613443454</v>
      </c>
      <c r="AJ886" s="1128">
        <f t="shared" si="985"/>
        <v>80.787598747543271</v>
      </c>
      <c r="AK886" s="1128">
        <f t="shared" si="986"/>
        <v>77.000134023717777</v>
      </c>
      <c r="AL886" s="1128">
        <f t="shared" si="987"/>
        <v>73.89273548883024</v>
      </c>
      <c r="AM886" s="1125">
        <f t="shared" si="988"/>
        <v>1</v>
      </c>
      <c r="AN886" s="1125">
        <f t="shared" si="989"/>
        <v>1</v>
      </c>
      <c r="AO886" s="1125">
        <f t="shared" si="990"/>
        <v>1</v>
      </c>
      <c r="AP886" s="1125">
        <f t="shared" si="991"/>
        <v>0</v>
      </c>
      <c r="AQ886" s="1125">
        <f t="shared" si="992"/>
        <v>0</v>
      </c>
      <c r="AR886" s="1125">
        <f t="shared" si="993"/>
        <v>0</v>
      </c>
      <c r="AS886" s="1125">
        <f t="shared" si="994"/>
        <v>0</v>
      </c>
      <c r="AT886" s="1125">
        <f t="shared" si="995"/>
        <v>0</v>
      </c>
      <c r="AU886" s="1125">
        <f t="shared" si="996"/>
        <v>0</v>
      </c>
      <c r="AV886" s="1125">
        <f t="shared" si="997"/>
        <v>0</v>
      </c>
      <c r="AW886" s="1125">
        <f t="shared" si="998"/>
        <v>0</v>
      </c>
      <c r="AX886" s="1125">
        <f t="shared" si="999"/>
        <v>0</v>
      </c>
      <c r="AY886" s="1125">
        <f t="shared" si="1000"/>
        <v>0</v>
      </c>
      <c r="AZ886" s="1125">
        <f t="shared" si="1001"/>
        <v>0</v>
      </c>
      <c r="BA886" s="1125">
        <f t="shared" si="1002"/>
        <v>0</v>
      </c>
      <c r="BB886" s="1125">
        <f t="shared" si="1003"/>
        <v>1</v>
      </c>
      <c r="BC886" s="1125">
        <f t="shared" si="1004"/>
        <v>1</v>
      </c>
      <c r="BD886" s="1125">
        <f t="shared" si="1005"/>
        <v>1</v>
      </c>
      <c r="BE886" s="1125">
        <f t="shared" si="1006"/>
        <v>1</v>
      </c>
      <c r="BF886" s="1125">
        <f t="shared" si="1007"/>
        <v>1</v>
      </c>
      <c r="BG886" s="1125">
        <f t="shared" si="1008"/>
        <v>1</v>
      </c>
      <c r="BH886" s="1125">
        <f t="shared" si="1009"/>
        <v>1</v>
      </c>
      <c r="BI886" s="1125">
        <f t="shared" si="1010"/>
        <v>1</v>
      </c>
      <c r="BJ886" s="1125">
        <f t="shared" si="1011"/>
        <v>1</v>
      </c>
      <c r="BK886" s="1125">
        <f t="shared" si="1012"/>
        <v>1</v>
      </c>
      <c r="BL886" s="1125">
        <f t="shared" si="1013"/>
        <v>1</v>
      </c>
      <c r="BM886" s="1125">
        <f t="shared" si="1014"/>
        <v>1</v>
      </c>
      <c r="BN886" s="1125">
        <f t="shared" si="1015"/>
        <v>1</v>
      </c>
      <c r="BO886" s="1125">
        <f t="shared" si="1016"/>
        <v>0</v>
      </c>
      <c r="BP886" s="1125">
        <f t="shared" si="1017"/>
        <v>0</v>
      </c>
      <c r="BQ886" s="1125">
        <f t="shared" si="1018"/>
        <v>0</v>
      </c>
      <c r="BR886" s="1125">
        <f t="shared" si="1019"/>
        <v>0</v>
      </c>
      <c r="BS886" s="1125">
        <f t="shared" si="1020"/>
        <v>0</v>
      </c>
      <c r="BT886" s="1125">
        <f t="shared" si="1021"/>
        <v>0</v>
      </c>
      <c r="BU886" s="1125">
        <f t="shared" si="1022"/>
        <v>0</v>
      </c>
      <c r="BV886" s="1125">
        <f t="shared" si="1023"/>
        <v>0</v>
      </c>
      <c r="BW886" s="1125">
        <f t="shared" si="1024"/>
        <v>1</v>
      </c>
      <c r="BX886" s="1125">
        <f t="shared" si="1025"/>
        <v>0</v>
      </c>
      <c r="BY886" s="1125">
        <f t="shared" si="1026"/>
        <v>1</v>
      </c>
      <c r="BZ886" s="1125">
        <f t="shared" si="1027"/>
        <v>1</v>
      </c>
      <c r="CA886" s="1125">
        <f t="shared" si="1028"/>
        <v>1</v>
      </c>
      <c r="CB886" s="1125">
        <f t="shared" si="1029"/>
        <v>1</v>
      </c>
      <c r="CC886" s="1125">
        <f t="shared" si="1030"/>
        <v>1</v>
      </c>
      <c r="CD886" s="1125">
        <f t="shared" si="1031"/>
        <v>1</v>
      </c>
      <c r="CE886" s="1125">
        <f t="shared" si="1032"/>
        <v>1</v>
      </c>
      <c r="CF886" s="1125">
        <f t="shared" si="1033"/>
        <v>1</v>
      </c>
      <c r="CG886" s="1125">
        <f t="shared" si="1034"/>
        <v>1</v>
      </c>
      <c r="CH886" s="1125">
        <f t="shared" si="1035"/>
        <v>1</v>
      </c>
      <c r="CI886" s="1125">
        <f t="shared" si="1036"/>
        <v>0.85</v>
      </c>
      <c r="CJ886" s="1125">
        <f t="shared" si="1037"/>
        <v>0.85</v>
      </c>
      <c r="CK886" s="1125">
        <f t="shared" si="1038"/>
        <v>0.85</v>
      </c>
      <c r="CL886" s="1125">
        <f t="shared" si="1039"/>
        <v>0.85</v>
      </c>
      <c r="CM886" s="1125">
        <f t="shared" si="1040"/>
        <v>0.7</v>
      </c>
      <c r="CN886" s="1125">
        <f t="shared" si="1041"/>
        <v>0.7</v>
      </c>
      <c r="CO886" s="1125">
        <f t="shared" si="1042"/>
        <v>0.7</v>
      </c>
      <c r="CP886" s="1125">
        <f t="shared" si="1043"/>
        <v>0.7</v>
      </c>
      <c r="CQ886" s="1125">
        <f t="shared" si="1044"/>
        <v>0.7</v>
      </c>
      <c r="CR886" s="1125">
        <f t="shared" si="1045"/>
        <v>0.7</v>
      </c>
      <c r="CS886" s="1125">
        <f t="shared" si="1046"/>
        <v>0.7</v>
      </c>
      <c r="CT886" s="1125">
        <f t="shared" si="1047"/>
        <v>0.7</v>
      </c>
      <c r="CU886" s="1125">
        <v>1</v>
      </c>
      <c r="CV886" s="1125"/>
      <c r="CW886" s="1125">
        <f t="shared" si="1048"/>
        <v>337</v>
      </c>
      <c r="CX886" s="1125">
        <f t="shared" si="1049"/>
        <v>28</v>
      </c>
      <c r="CY886" s="1136" t="s">
        <v>4883</v>
      </c>
      <c r="CZ886" s="1129" t="s">
        <v>4884</v>
      </c>
      <c r="DA886" s="1129"/>
      <c r="DB886" s="1129"/>
      <c r="DC886" s="1125" t="s">
        <v>5122</v>
      </c>
      <c r="DD886" s="1125" t="s">
        <v>594</v>
      </c>
      <c r="DE886" s="1120" t="str">
        <f t="shared" si="1050"/>
        <v/>
      </c>
      <c r="DF886" s="1133">
        <v>0</v>
      </c>
      <c r="DG886" s="1120">
        <v>0</v>
      </c>
    </row>
    <row r="887" spans="1:111">
      <c r="A887" s="1125" t="s">
        <v>4452</v>
      </c>
      <c r="B887" s="1120" t="s">
        <v>3330</v>
      </c>
      <c r="C887" s="1120" t="s">
        <v>3331</v>
      </c>
      <c r="D887" s="1120" t="s">
        <v>594</v>
      </c>
      <c r="E887" s="1120">
        <v>10</v>
      </c>
      <c r="F887" s="1120">
        <v>-82.68</v>
      </c>
      <c r="G887" s="1120">
        <v>27.9</v>
      </c>
      <c r="H887" s="1120">
        <v>-5</v>
      </c>
      <c r="I887" s="1121">
        <v>45.859999656677246</v>
      </c>
      <c r="J887" s="1121">
        <v>91.579997253417972</v>
      </c>
      <c r="K887" s="1122">
        <v>78.260001373291018</v>
      </c>
      <c r="L887" s="1120">
        <v>725.4</v>
      </c>
      <c r="M887" s="1120">
        <v>3562.2000000000003</v>
      </c>
      <c r="N887" s="1123">
        <v>54.140000343322754</v>
      </c>
      <c r="O887" s="1123">
        <v>60.259999656677245</v>
      </c>
      <c r="P887" s="1123">
        <v>62.960001373291014</v>
      </c>
      <c r="Q887" s="1123">
        <v>71.780000686645508</v>
      </c>
      <c r="R887" s="1123">
        <v>78.8</v>
      </c>
      <c r="S887" s="1123">
        <v>80.780000686645508</v>
      </c>
      <c r="T887" s="1123">
        <v>83.3</v>
      </c>
      <c r="U887" s="1123">
        <v>81.680000686645513</v>
      </c>
      <c r="V887" s="1123">
        <v>81.139998626708987</v>
      </c>
      <c r="W887" s="1123">
        <v>77.180000686645513</v>
      </c>
      <c r="X887" s="1123">
        <v>69.980000686645511</v>
      </c>
      <c r="Y887" s="1123">
        <v>63.139998626708987</v>
      </c>
      <c r="Z887" s="1123">
        <v>72.150356340277682</v>
      </c>
      <c r="AA887" s="1123">
        <f t="shared" si="976"/>
        <v>68.282984977132543</v>
      </c>
      <c r="AB887" s="1123">
        <f t="shared" si="977"/>
        <v>68.992192521328292</v>
      </c>
      <c r="AC887" s="1123">
        <f t="shared" si="978"/>
        <v>72.088616596509667</v>
      </c>
      <c r="AD887" s="1123">
        <f t="shared" si="979"/>
        <v>76.765126550141233</v>
      </c>
      <c r="AE887" s="1123">
        <f t="shared" si="980"/>
        <v>81.802717995609115</v>
      </c>
      <c r="AF887" s="1123">
        <f t="shared" si="981"/>
        <v>85.888265091018027</v>
      </c>
      <c r="AG887" s="1123">
        <f t="shared" si="982"/>
        <v>87.956807025763112</v>
      </c>
      <c r="AH887" s="1123">
        <f t="shared" si="983"/>
        <v>87.469146467356921</v>
      </c>
      <c r="AI887" s="1123">
        <f t="shared" si="984"/>
        <v>84.552399655424736</v>
      </c>
      <c r="AJ887" s="1123">
        <f t="shared" si="985"/>
        <v>79.966861594925618</v>
      </c>
      <c r="AK887" s="1123">
        <f t="shared" si="986"/>
        <v>74.907823446609186</v>
      </c>
      <c r="AL887" s="1123">
        <f t="shared" si="987"/>
        <v>70.694001465971894</v>
      </c>
      <c r="AM887" s="1120">
        <f t="shared" si="988"/>
        <v>1</v>
      </c>
      <c r="AN887" s="1120">
        <f t="shared" si="989"/>
        <v>1</v>
      </c>
      <c r="AO887" s="1120">
        <f t="shared" si="990"/>
        <v>1</v>
      </c>
      <c r="AP887" s="1120">
        <f t="shared" si="991"/>
        <v>0</v>
      </c>
      <c r="AQ887" s="1120">
        <f t="shared" si="992"/>
        <v>0</v>
      </c>
      <c r="AR887" s="1120">
        <f t="shared" si="993"/>
        <v>0</v>
      </c>
      <c r="AS887" s="1120">
        <f t="shared" si="994"/>
        <v>0</v>
      </c>
      <c r="AT887" s="1120">
        <f t="shared" si="995"/>
        <v>0</v>
      </c>
      <c r="AU887" s="1120">
        <f t="shared" si="996"/>
        <v>0</v>
      </c>
      <c r="AV887" s="1120">
        <f t="shared" si="997"/>
        <v>0</v>
      </c>
      <c r="AW887" s="1120">
        <f t="shared" si="998"/>
        <v>0</v>
      </c>
      <c r="AX887" s="1120">
        <f t="shared" si="999"/>
        <v>1</v>
      </c>
      <c r="AY887" s="1120">
        <f t="shared" si="1000"/>
        <v>0</v>
      </c>
      <c r="AZ887" s="1120">
        <f t="shared" si="1001"/>
        <v>0</v>
      </c>
      <c r="BA887" s="1120">
        <f t="shared" si="1002"/>
        <v>0</v>
      </c>
      <c r="BB887" s="1120">
        <f t="shared" si="1003"/>
        <v>1</v>
      </c>
      <c r="BC887" s="1120">
        <f t="shared" si="1004"/>
        <v>1</v>
      </c>
      <c r="BD887" s="1120">
        <f t="shared" si="1005"/>
        <v>1</v>
      </c>
      <c r="BE887" s="1120">
        <f t="shared" si="1006"/>
        <v>1</v>
      </c>
      <c r="BF887" s="1120">
        <f t="shared" si="1007"/>
        <v>1</v>
      </c>
      <c r="BG887" s="1120">
        <f t="shared" si="1008"/>
        <v>1</v>
      </c>
      <c r="BH887" s="1120">
        <f t="shared" si="1009"/>
        <v>1</v>
      </c>
      <c r="BI887" s="1120">
        <f t="shared" si="1010"/>
        <v>1</v>
      </c>
      <c r="BJ887" s="1120">
        <f t="shared" si="1011"/>
        <v>0</v>
      </c>
      <c r="BK887" s="1120">
        <f t="shared" si="1012"/>
        <v>1</v>
      </c>
      <c r="BL887" s="1120">
        <f t="shared" si="1013"/>
        <v>1</v>
      </c>
      <c r="BM887" s="1120">
        <f t="shared" si="1014"/>
        <v>1</v>
      </c>
      <c r="BN887" s="1120">
        <f t="shared" si="1015"/>
        <v>1</v>
      </c>
      <c r="BO887" s="1120">
        <f t="shared" si="1016"/>
        <v>0</v>
      </c>
      <c r="BP887" s="1120">
        <f t="shared" si="1017"/>
        <v>0</v>
      </c>
      <c r="BQ887" s="1120">
        <f t="shared" si="1018"/>
        <v>0</v>
      </c>
      <c r="BR887" s="1120">
        <f t="shared" si="1019"/>
        <v>0</v>
      </c>
      <c r="BS887" s="1120">
        <f t="shared" si="1020"/>
        <v>0</v>
      </c>
      <c r="BT887" s="1120">
        <f t="shared" si="1021"/>
        <v>0</v>
      </c>
      <c r="BU887" s="1120">
        <f t="shared" si="1022"/>
        <v>0</v>
      </c>
      <c r="BV887" s="1120">
        <f t="shared" si="1023"/>
        <v>1</v>
      </c>
      <c r="BW887" s="1120">
        <f t="shared" si="1024"/>
        <v>0</v>
      </c>
      <c r="BX887" s="1120">
        <f t="shared" si="1025"/>
        <v>0</v>
      </c>
      <c r="BY887" s="1120">
        <f t="shared" si="1026"/>
        <v>1</v>
      </c>
      <c r="BZ887" s="1120">
        <f t="shared" si="1027"/>
        <v>1</v>
      </c>
      <c r="CA887" s="1120">
        <f t="shared" si="1028"/>
        <v>1</v>
      </c>
      <c r="CB887" s="1120">
        <f t="shared" si="1029"/>
        <v>1</v>
      </c>
      <c r="CC887" s="1120">
        <f t="shared" si="1030"/>
        <v>1</v>
      </c>
      <c r="CD887" s="1120">
        <f t="shared" si="1031"/>
        <v>1</v>
      </c>
      <c r="CE887" s="1120">
        <f t="shared" si="1032"/>
        <v>1</v>
      </c>
      <c r="CF887" s="1120">
        <f t="shared" si="1033"/>
        <v>1</v>
      </c>
      <c r="CG887" s="1120">
        <f t="shared" si="1034"/>
        <v>1</v>
      </c>
      <c r="CH887" s="1120">
        <f t="shared" si="1035"/>
        <v>1</v>
      </c>
      <c r="CI887" s="1120">
        <f t="shared" si="1036"/>
        <v>0.85</v>
      </c>
      <c r="CJ887" s="1120">
        <f t="shared" si="1037"/>
        <v>0.85</v>
      </c>
      <c r="CK887" s="1120">
        <f t="shared" si="1038"/>
        <v>0.85</v>
      </c>
      <c r="CL887" s="1120">
        <f t="shared" si="1039"/>
        <v>0.85</v>
      </c>
      <c r="CM887" s="1120">
        <f t="shared" si="1040"/>
        <v>0.7</v>
      </c>
      <c r="CN887" s="1120">
        <f t="shared" si="1041"/>
        <v>0.7</v>
      </c>
      <c r="CO887" s="1120">
        <f t="shared" si="1042"/>
        <v>0.7</v>
      </c>
      <c r="CP887" s="1120">
        <f t="shared" si="1043"/>
        <v>0.7</v>
      </c>
      <c r="CQ887" s="1120">
        <f t="shared" si="1044"/>
        <v>0.7</v>
      </c>
      <c r="CR887" s="1120">
        <f t="shared" si="1045"/>
        <v>0.7</v>
      </c>
      <c r="CS887" s="1120">
        <f t="shared" si="1046"/>
        <v>0.7</v>
      </c>
      <c r="CT887" s="1120">
        <f t="shared" si="1047"/>
        <v>0.85</v>
      </c>
      <c r="CU887" s="1120">
        <v>1</v>
      </c>
      <c r="CV887" s="1120"/>
      <c r="CW887" s="1120">
        <f t="shared" si="1048"/>
        <v>306</v>
      </c>
      <c r="CX887" s="1120">
        <f t="shared" si="1049"/>
        <v>59</v>
      </c>
      <c r="CY887" s="1135" t="s">
        <v>4883</v>
      </c>
      <c r="CZ887" s="1124" t="s">
        <v>4884</v>
      </c>
      <c r="DA887" s="1124"/>
      <c r="DB887" s="1124"/>
      <c r="DC887" s="1120" t="s">
        <v>5123</v>
      </c>
      <c r="DD887" s="1120" t="s">
        <v>594</v>
      </c>
      <c r="DE887" s="1120" t="str">
        <f t="shared" si="1050"/>
        <v/>
      </c>
      <c r="DF887" s="1133">
        <v>0</v>
      </c>
      <c r="DG887" s="1125">
        <v>0</v>
      </c>
    </row>
    <row r="888" spans="1:111">
      <c r="A888" s="1120" t="s">
        <v>4454</v>
      </c>
      <c r="B888" s="1125" t="s">
        <v>118</v>
      </c>
      <c r="C888" s="1125" t="s">
        <v>119</v>
      </c>
      <c r="D888" s="1125" t="s">
        <v>238</v>
      </c>
      <c r="E888" s="1125">
        <v>3956</v>
      </c>
      <c r="F888" s="1125">
        <v>-121.33</v>
      </c>
      <c r="G888" s="1125">
        <v>47.28</v>
      </c>
      <c r="H888" s="1125">
        <v>-8</v>
      </c>
      <c r="I888" s="1126">
        <v>11.119999313354493</v>
      </c>
      <c r="J888" s="1126">
        <v>75.019999313354489</v>
      </c>
      <c r="K888" s="1127">
        <v>57.2</v>
      </c>
      <c r="L888" s="1125">
        <v>8816.4</v>
      </c>
      <c r="M888" s="1125">
        <v>90</v>
      </c>
      <c r="N888" s="1128">
        <v>29.839999914169312</v>
      </c>
      <c r="O888" s="1128">
        <v>26.23999991416931</v>
      </c>
      <c r="P888" s="1128">
        <v>30.019999957084657</v>
      </c>
      <c r="Q888" s="1128">
        <v>35.779999828338624</v>
      </c>
      <c r="R888" s="1128">
        <v>44.779999828338624</v>
      </c>
      <c r="S888" s="1128">
        <v>52.159999656677243</v>
      </c>
      <c r="T888" s="1128">
        <v>58.459999656677248</v>
      </c>
      <c r="U888" s="1128">
        <v>60.980000686645511</v>
      </c>
      <c r="V888" s="1128">
        <v>46.759999656677245</v>
      </c>
      <c r="W888" s="1128">
        <v>41</v>
      </c>
      <c r="X888" s="1128">
        <v>31.81999999731779</v>
      </c>
      <c r="Y888" s="1128">
        <v>26.779999828338624</v>
      </c>
      <c r="Z888" s="1128">
        <v>40.487616350071072</v>
      </c>
      <c r="AA888" s="1128">
        <f t="shared" si="976"/>
        <v>41.491459795497818</v>
      </c>
      <c r="AB888" s="1128">
        <f t="shared" si="977"/>
        <v>40.217598447309705</v>
      </c>
      <c r="AC888" s="1128">
        <f t="shared" si="978"/>
        <v>40.578113889377001</v>
      </c>
      <c r="AD888" s="1128">
        <f t="shared" si="979"/>
        <v>42.479032216013742</v>
      </c>
      <c r="AE888" s="1128">
        <f t="shared" si="980"/>
        <v>45.424849771343915</v>
      </c>
      <c r="AF888" s="1128">
        <f t="shared" si="981"/>
        <v>48.647693813148052</v>
      </c>
      <c r="AG888" s="1128">
        <f t="shared" si="982"/>
        <v>51.307480376399852</v>
      </c>
      <c r="AH888" s="1128">
        <f t="shared" si="983"/>
        <v>52.710895104836084</v>
      </c>
      <c r="AI888" s="1128">
        <f t="shared" si="984"/>
        <v>52.49211632221423</v>
      </c>
      <c r="AJ888" s="1128">
        <f t="shared" si="985"/>
        <v>50.708172089707766</v>
      </c>
      <c r="AK888" s="1128">
        <f t="shared" si="986"/>
        <v>47.824074962932279</v>
      </c>
      <c r="AL888" s="1128">
        <f t="shared" si="987"/>
        <v>44.59160930326388</v>
      </c>
      <c r="AM888" s="1125">
        <f t="shared" si="988"/>
        <v>1</v>
      </c>
      <c r="AN888" s="1125">
        <f t="shared" si="989"/>
        <v>1</v>
      </c>
      <c r="AO888" s="1125">
        <f t="shared" si="990"/>
        <v>1</v>
      </c>
      <c r="AP888" s="1125">
        <f t="shared" si="991"/>
        <v>1</v>
      </c>
      <c r="AQ888" s="1125">
        <f t="shared" si="992"/>
        <v>1</v>
      </c>
      <c r="AR888" s="1125">
        <f t="shared" si="993"/>
        <v>1</v>
      </c>
      <c r="AS888" s="1125">
        <f t="shared" si="994"/>
        <v>1</v>
      </c>
      <c r="AT888" s="1125">
        <f t="shared" si="995"/>
        <v>1</v>
      </c>
      <c r="AU888" s="1125">
        <f t="shared" si="996"/>
        <v>1</v>
      </c>
      <c r="AV888" s="1125">
        <f t="shared" si="997"/>
        <v>1</v>
      </c>
      <c r="AW888" s="1125">
        <f t="shared" si="998"/>
        <v>1</v>
      </c>
      <c r="AX888" s="1125">
        <f t="shared" si="999"/>
        <v>1</v>
      </c>
      <c r="AY888" s="1125">
        <f t="shared" si="1000"/>
        <v>0</v>
      </c>
      <c r="AZ888" s="1125">
        <f t="shared" si="1001"/>
        <v>0</v>
      </c>
      <c r="BA888" s="1125">
        <f t="shared" si="1002"/>
        <v>0</v>
      </c>
      <c r="BB888" s="1125">
        <f t="shared" si="1003"/>
        <v>0</v>
      </c>
      <c r="BC888" s="1125">
        <f t="shared" si="1004"/>
        <v>0</v>
      </c>
      <c r="BD888" s="1125">
        <f t="shared" si="1005"/>
        <v>0</v>
      </c>
      <c r="BE888" s="1125">
        <f t="shared" si="1006"/>
        <v>1</v>
      </c>
      <c r="BF888" s="1125">
        <f t="shared" si="1007"/>
        <v>1</v>
      </c>
      <c r="BG888" s="1125">
        <f t="shared" si="1008"/>
        <v>0</v>
      </c>
      <c r="BH888" s="1125">
        <f t="shared" si="1009"/>
        <v>0</v>
      </c>
      <c r="BI888" s="1125">
        <f t="shared" si="1010"/>
        <v>0</v>
      </c>
      <c r="BJ888" s="1125">
        <f t="shared" si="1011"/>
        <v>0</v>
      </c>
      <c r="BK888" s="1125">
        <f t="shared" si="1012"/>
        <v>1</v>
      </c>
      <c r="BL888" s="1125">
        <f t="shared" si="1013"/>
        <v>1</v>
      </c>
      <c r="BM888" s="1125">
        <f t="shared" si="1014"/>
        <v>1</v>
      </c>
      <c r="BN888" s="1125">
        <f t="shared" si="1015"/>
        <v>1</v>
      </c>
      <c r="BO888" s="1125">
        <f t="shared" si="1016"/>
        <v>1</v>
      </c>
      <c r="BP888" s="1125">
        <f t="shared" si="1017"/>
        <v>1</v>
      </c>
      <c r="BQ888" s="1125">
        <f t="shared" si="1018"/>
        <v>1</v>
      </c>
      <c r="BR888" s="1125">
        <f t="shared" si="1019"/>
        <v>1</v>
      </c>
      <c r="BS888" s="1125">
        <f t="shared" si="1020"/>
        <v>1</v>
      </c>
      <c r="BT888" s="1125">
        <f t="shared" si="1021"/>
        <v>1</v>
      </c>
      <c r="BU888" s="1125">
        <f t="shared" si="1022"/>
        <v>1</v>
      </c>
      <c r="BV888" s="1125">
        <f t="shared" si="1023"/>
        <v>1</v>
      </c>
      <c r="BW888" s="1125">
        <f t="shared" si="1024"/>
        <v>0</v>
      </c>
      <c r="BX888" s="1125">
        <f t="shared" si="1025"/>
        <v>0</v>
      </c>
      <c r="BY888" s="1125">
        <f t="shared" si="1026"/>
        <v>0</v>
      </c>
      <c r="BZ888" s="1125">
        <f t="shared" si="1027"/>
        <v>0</v>
      </c>
      <c r="CA888" s="1125">
        <f t="shared" si="1028"/>
        <v>0</v>
      </c>
      <c r="CB888" s="1125">
        <f t="shared" si="1029"/>
        <v>0</v>
      </c>
      <c r="CC888" s="1125">
        <f t="shared" si="1030"/>
        <v>1</v>
      </c>
      <c r="CD888" s="1125">
        <f t="shared" si="1031"/>
        <v>1</v>
      </c>
      <c r="CE888" s="1125">
        <f t="shared" si="1032"/>
        <v>0</v>
      </c>
      <c r="CF888" s="1125">
        <f t="shared" si="1033"/>
        <v>0</v>
      </c>
      <c r="CG888" s="1125">
        <f t="shared" si="1034"/>
        <v>0</v>
      </c>
      <c r="CH888" s="1125">
        <f t="shared" si="1035"/>
        <v>0</v>
      </c>
      <c r="CI888" s="1125">
        <f t="shared" si="1036"/>
        <v>0.85</v>
      </c>
      <c r="CJ888" s="1125">
        <f t="shared" si="1037"/>
        <v>0.85</v>
      </c>
      <c r="CK888" s="1125">
        <f t="shared" si="1038"/>
        <v>0.85</v>
      </c>
      <c r="CL888" s="1125">
        <f t="shared" si="1039"/>
        <v>0.85</v>
      </c>
      <c r="CM888" s="1125">
        <f t="shared" si="1040"/>
        <v>0.85</v>
      </c>
      <c r="CN888" s="1125">
        <f t="shared" si="1041"/>
        <v>0.85</v>
      </c>
      <c r="CO888" s="1125">
        <f t="shared" si="1042"/>
        <v>0.85</v>
      </c>
      <c r="CP888" s="1125">
        <f t="shared" si="1043"/>
        <v>0.85</v>
      </c>
      <c r="CQ888" s="1125">
        <f t="shared" si="1044"/>
        <v>0.85</v>
      </c>
      <c r="CR888" s="1125">
        <f t="shared" si="1045"/>
        <v>0.85</v>
      </c>
      <c r="CS888" s="1125">
        <f t="shared" si="1046"/>
        <v>0.85</v>
      </c>
      <c r="CT888" s="1125">
        <f t="shared" si="1047"/>
        <v>0.85</v>
      </c>
      <c r="CU888" s="1125">
        <v>1</v>
      </c>
      <c r="CV888" s="1125"/>
      <c r="CW888" s="1125">
        <f t="shared" si="1048"/>
        <v>62</v>
      </c>
      <c r="CX888" s="1125">
        <f t="shared" si="1049"/>
        <v>303</v>
      </c>
      <c r="CY888" s="1136" t="s">
        <v>4889</v>
      </c>
      <c r="CZ888" s="1129" t="s">
        <v>4890</v>
      </c>
      <c r="DA888" s="1129"/>
      <c r="DB888" s="1129"/>
      <c r="DC888" s="1125" t="s">
        <v>5667</v>
      </c>
      <c r="DD888" s="1125" t="s">
        <v>238</v>
      </c>
      <c r="DE888" s="1120" t="str">
        <f t="shared" si="1050"/>
        <v/>
      </c>
      <c r="DF888" s="1133">
        <v>0</v>
      </c>
      <c r="DG888" s="1120">
        <v>0</v>
      </c>
    </row>
    <row r="889" spans="1:111">
      <c r="A889" s="1125" t="s">
        <v>4456</v>
      </c>
      <c r="B889" s="1120" t="s">
        <v>4284</v>
      </c>
      <c r="C889" s="1120" t="s">
        <v>4285</v>
      </c>
      <c r="D889" s="1120" t="s">
        <v>539</v>
      </c>
      <c r="E889" s="1120">
        <v>1233</v>
      </c>
      <c r="F889" s="1120">
        <v>-77.930000000000007</v>
      </c>
      <c r="G889" s="1120">
        <v>40.72</v>
      </c>
      <c r="H889" s="1120">
        <v>-5</v>
      </c>
      <c r="I889" s="1121">
        <v>1.7600013732910149</v>
      </c>
      <c r="J889" s="1121">
        <v>88.16000137329101</v>
      </c>
      <c r="K889" s="1122">
        <v>71.239998626708982</v>
      </c>
      <c r="L889" s="1120">
        <v>5985</v>
      </c>
      <c r="M889" s="1120">
        <v>631.80000000000007</v>
      </c>
      <c r="N889" s="1123">
        <v>27.860000085830688</v>
      </c>
      <c r="O889" s="1123">
        <v>28.039999914169311</v>
      </c>
      <c r="P889" s="1123">
        <v>34.519999957084657</v>
      </c>
      <c r="Q889" s="1123">
        <v>46.759999656677245</v>
      </c>
      <c r="R889" s="1123">
        <v>55.940000343322751</v>
      </c>
      <c r="S889" s="1123">
        <v>69.619999313354498</v>
      </c>
      <c r="T889" s="1123">
        <v>71.599999999999994</v>
      </c>
      <c r="U889" s="1123">
        <v>67.099999999999994</v>
      </c>
      <c r="V889" s="1123">
        <v>60.619999313354491</v>
      </c>
      <c r="W889" s="1123">
        <v>52.519999313354489</v>
      </c>
      <c r="X889" s="1123">
        <v>47.480000686645511</v>
      </c>
      <c r="Y889" s="1123">
        <v>33.259999978542325</v>
      </c>
      <c r="Z889" s="1123">
        <v>49.715945086903766</v>
      </c>
      <c r="AA889" s="1123">
        <f t="shared" si="976"/>
        <v>46.960798027362912</v>
      </c>
      <c r="AB889" s="1123">
        <f t="shared" si="977"/>
        <v>45.718626753869785</v>
      </c>
      <c r="AC889" s="1123">
        <f t="shared" si="978"/>
        <v>47.082410567220933</v>
      </c>
      <c r="AD889" s="1123">
        <f t="shared" si="979"/>
        <v>50.696658199921657</v>
      </c>
      <c r="AE889" s="1123">
        <f t="shared" si="980"/>
        <v>55.619260309266537</v>
      </c>
      <c r="AF889" s="1123">
        <f t="shared" si="981"/>
        <v>60.567064795860091</v>
      </c>
      <c r="AG889" s="1123">
        <f t="shared" si="982"/>
        <v>64.250350172296564</v>
      </c>
      <c r="AH889" s="1123">
        <f t="shared" si="983"/>
        <v>65.709011344061977</v>
      </c>
      <c r="AI889" s="1123">
        <f t="shared" si="984"/>
        <v>64.562825798086607</v>
      </c>
      <c r="AJ889" s="1123">
        <f t="shared" si="985"/>
        <v>61.110564460182864</v>
      </c>
      <c r="AK889" s="1123">
        <f t="shared" si="986"/>
        <v>56.252112449032943</v>
      </c>
      <c r="AL889" s="1123">
        <f t="shared" si="987"/>
        <v>51.253900152354895</v>
      </c>
      <c r="AM889" s="1120">
        <f t="shared" si="988"/>
        <v>1</v>
      </c>
      <c r="AN889" s="1120">
        <f t="shared" si="989"/>
        <v>1</v>
      </c>
      <c r="AO889" s="1120">
        <f t="shared" si="990"/>
        <v>1</v>
      </c>
      <c r="AP889" s="1120">
        <f t="shared" si="991"/>
        <v>1</v>
      </c>
      <c r="AQ889" s="1120">
        <f t="shared" si="992"/>
        <v>1</v>
      </c>
      <c r="AR889" s="1120">
        <f t="shared" si="993"/>
        <v>0</v>
      </c>
      <c r="AS889" s="1120">
        <f t="shared" si="994"/>
        <v>0</v>
      </c>
      <c r="AT889" s="1120">
        <f t="shared" si="995"/>
        <v>0</v>
      </c>
      <c r="AU889" s="1120">
        <f t="shared" si="996"/>
        <v>1</v>
      </c>
      <c r="AV889" s="1120">
        <f t="shared" si="997"/>
        <v>1</v>
      </c>
      <c r="AW889" s="1120">
        <f t="shared" si="998"/>
        <v>1</v>
      </c>
      <c r="AX889" s="1120">
        <f t="shared" si="999"/>
        <v>1</v>
      </c>
      <c r="AY889" s="1120">
        <f t="shared" si="1000"/>
        <v>0</v>
      </c>
      <c r="AZ889" s="1120">
        <f t="shared" si="1001"/>
        <v>0</v>
      </c>
      <c r="BA889" s="1120">
        <f t="shared" si="1002"/>
        <v>0</v>
      </c>
      <c r="BB889" s="1120">
        <f t="shared" si="1003"/>
        <v>0</v>
      </c>
      <c r="BC889" s="1120">
        <f t="shared" si="1004"/>
        <v>0</v>
      </c>
      <c r="BD889" s="1120">
        <f t="shared" si="1005"/>
        <v>1</v>
      </c>
      <c r="BE889" s="1120">
        <f t="shared" si="1006"/>
        <v>1</v>
      </c>
      <c r="BF889" s="1120">
        <f t="shared" si="1007"/>
        <v>1</v>
      </c>
      <c r="BG889" s="1120">
        <f t="shared" si="1008"/>
        <v>0</v>
      </c>
      <c r="BH889" s="1120">
        <f t="shared" si="1009"/>
        <v>0</v>
      </c>
      <c r="BI889" s="1120">
        <f t="shared" si="1010"/>
        <v>0</v>
      </c>
      <c r="BJ889" s="1120">
        <f t="shared" si="1011"/>
        <v>0</v>
      </c>
      <c r="BK889" s="1120">
        <f t="shared" si="1012"/>
        <v>1</v>
      </c>
      <c r="BL889" s="1120">
        <f t="shared" si="1013"/>
        <v>1</v>
      </c>
      <c r="BM889" s="1120">
        <f t="shared" si="1014"/>
        <v>1</v>
      </c>
      <c r="BN889" s="1120">
        <f t="shared" si="1015"/>
        <v>1</v>
      </c>
      <c r="BO889" s="1120">
        <f t="shared" si="1016"/>
        <v>1</v>
      </c>
      <c r="BP889" s="1120">
        <f t="shared" si="1017"/>
        <v>1</v>
      </c>
      <c r="BQ889" s="1120">
        <f t="shared" si="1018"/>
        <v>0</v>
      </c>
      <c r="BR889" s="1120">
        <f t="shared" si="1019"/>
        <v>0</v>
      </c>
      <c r="BS889" s="1120">
        <f t="shared" si="1020"/>
        <v>1</v>
      </c>
      <c r="BT889" s="1120">
        <f t="shared" si="1021"/>
        <v>1</v>
      </c>
      <c r="BU889" s="1120">
        <f t="shared" si="1022"/>
        <v>1</v>
      </c>
      <c r="BV889" s="1120">
        <f t="shared" si="1023"/>
        <v>1</v>
      </c>
      <c r="BW889" s="1120">
        <f t="shared" si="1024"/>
        <v>0</v>
      </c>
      <c r="BX889" s="1120">
        <f t="shared" si="1025"/>
        <v>0</v>
      </c>
      <c r="BY889" s="1120">
        <f t="shared" si="1026"/>
        <v>0</v>
      </c>
      <c r="BZ889" s="1120">
        <f t="shared" si="1027"/>
        <v>0</v>
      </c>
      <c r="CA889" s="1120">
        <f t="shared" si="1028"/>
        <v>1</v>
      </c>
      <c r="CB889" s="1120">
        <f t="shared" si="1029"/>
        <v>1</v>
      </c>
      <c r="CC889" s="1120">
        <f t="shared" si="1030"/>
        <v>1</v>
      </c>
      <c r="CD889" s="1120">
        <f t="shared" si="1031"/>
        <v>1</v>
      </c>
      <c r="CE889" s="1120">
        <f t="shared" si="1032"/>
        <v>1</v>
      </c>
      <c r="CF889" s="1120">
        <f t="shared" si="1033"/>
        <v>0</v>
      </c>
      <c r="CG889" s="1120">
        <f t="shared" si="1034"/>
        <v>0</v>
      </c>
      <c r="CH889" s="1120">
        <f t="shared" si="1035"/>
        <v>0</v>
      </c>
      <c r="CI889" s="1120">
        <f t="shared" si="1036"/>
        <v>0.85</v>
      </c>
      <c r="CJ889" s="1120">
        <f t="shared" si="1037"/>
        <v>0.85</v>
      </c>
      <c r="CK889" s="1120">
        <f t="shared" si="1038"/>
        <v>0.85</v>
      </c>
      <c r="CL889" s="1120">
        <f t="shared" si="1039"/>
        <v>0.85</v>
      </c>
      <c r="CM889" s="1120">
        <f t="shared" si="1040"/>
        <v>0.85</v>
      </c>
      <c r="CN889" s="1120">
        <f t="shared" si="1041"/>
        <v>0.85</v>
      </c>
      <c r="CO889" s="1120">
        <f t="shared" si="1042"/>
        <v>0.7</v>
      </c>
      <c r="CP889" s="1120">
        <f t="shared" si="1043"/>
        <v>0.7</v>
      </c>
      <c r="CQ889" s="1120">
        <f t="shared" si="1044"/>
        <v>0.85</v>
      </c>
      <c r="CR889" s="1120">
        <f t="shared" si="1045"/>
        <v>0.85</v>
      </c>
      <c r="CS889" s="1120">
        <f t="shared" si="1046"/>
        <v>0.85</v>
      </c>
      <c r="CT889" s="1120">
        <f t="shared" si="1047"/>
        <v>0.85</v>
      </c>
      <c r="CU889" s="1120">
        <v>1</v>
      </c>
      <c r="CV889" s="1120"/>
      <c r="CW889" s="1120">
        <f t="shared" si="1048"/>
        <v>153</v>
      </c>
      <c r="CX889" s="1120">
        <f t="shared" si="1049"/>
        <v>212</v>
      </c>
      <c r="CY889" s="1135" t="s">
        <v>4889</v>
      </c>
      <c r="CZ889" s="1124" t="s">
        <v>4897</v>
      </c>
      <c r="DA889" s="1124"/>
      <c r="DB889" s="1124"/>
      <c r="DC889" s="1120" t="s">
        <v>6048</v>
      </c>
      <c r="DD889" s="1120" t="s">
        <v>539</v>
      </c>
      <c r="DE889" s="1120" t="b">
        <f t="shared" si="1050"/>
        <v>0</v>
      </c>
      <c r="DF889" s="1133">
        <v>0</v>
      </c>
      <c r="DG889" s="1125">
        <v>0</v>
      </c>
    </row>
    <row r="890" spans="1:111">
      <c r="A890" s="1120" t="s">
        <v>4458</v>
      </c>
      <c r="B890" s="1120" t="s">
        <v>4536</v>
      </c>
      <c r="C890" s="1120" t="s">
        <v>4537</v>
      </c>
      <c r="D890" s="1120" t="s">
        <v>501</v>
      </c>
      <c r="E890" s="1120">
        <v>1200</v>
      </c>
      <c r="F890" s="1120">
        <v>-78.900000000000006</v>
      </c>
      <c r="G890" s="1120">
        <v>38.270000000000003</v>
      </c>
      <c r="H890" s="1120">
        <v>-5</v>
      </c>
      <c r="I890" s="1121">
        <v>16.7</v>
      </c>
      <c r="J890" s="1121">
        <v>91.039998626708993</v>
      </c>
      <c r="K890" s="1122">
        <v>73.939998626708984</v>
      </c>
      <c r="L890" s="1120">
        <v>4618.8</v>
      </c>
      <c r="M890" s="1120">
        <v>1157.4000000000001</v>
      </c>
      <c r="N890" s="1123">
        <v>37.76000008583069</v>
      </c>
      <c r="O890" s="1123">
        <v>35.6</v>
      </c>
      <c r="P890" s="1123">
        <v>40.1</v>
      </c>
      <c r="Q890" s="1123">
        <v>53.240000343322755</v>
      </c>
      <c r="R890" s="1123">
        <v>61.339998626708983</v>
      </c>
      <c r="S890" s="1123">
        <v>72.5</v>
      </c>
      <c r="T890" s="1123">
        <v>74.83999862670899</v>
      </c>
      <c r="U890" s="1123">
        <v>77</v>
      </c>
      <c r="V890" s="1123">
        <v>67.460001373291021</v>
      </c>
      <c r="W890" s="1123">
        <v>55.219999313354492</v>
      </c>
      <c r="X890" s="1123">
        <v>41</v>
      </c>
      <c r="Y890" s="1123">
        <v>41.720000171661376</v>
      </c>
      <c r="Z890" s="1123">
        <v>54.931999871371545</v>
      </c>
      <c r="AA890" s="1123">
        <f t="shared" si="976"/>
        <v>51.280536560341844</v>
      </c>
      <c r="AB890" s="1123">
        <f t="shared" si="977"/>
        <v>50.443962295614263</v>
      </c>
      <c r="AC890" s="1123">
        <f t="shared" si="978"/>
        <v>52.341256650559224</v>
      </c>
      <c r="AD890" s="1123">
        <f t="shared" si="979"/>
        <v>56.477860613369273</v>
      </c>
      <c r="AE890" s="1123">
        <f t="shared" si="980"/>
        <v>61.775504614141319</v>
      </c>
      <c r="AF890" s="1123">
        <f t="shared" si="981"/>
        <v>66.853276104908858</v>
      </c>
      <c r="AG890" s="1123">
        <f t="shared" si="982"/>
        <v>70.387575695776036</v>
      </c>
      <c r="AH890" s="1123">
        <f t="shared" si="983"/>
        <v>71.457133733177983</v>
      </c>
      <c r="AI890" s="1123">
        <f t="shared" si="984"/>
        <v>69.783153432277601</v>
      </c>
      <c r="AJ890" s="1123">
        <f t="shared" si="985"/>
        <v>65.801983555321868</v>
      </c>
      <c r="AK890" s="1123">
        <f t="shared" si="986"/>
        <v>60.551377382424214</v>
      </c>
      <c r="AL890" s="1123">
        <f t="shared" si="987"/>
        <v>55.399986326840789</v>
      </c>
      <c r="AM890" s="1120">
        <f t="shared" si="988"/>
        <v>1</v>
      </c>
      <c r="AN890" s="1120">
        <f t="shared" si="989"/>
        <v>1</v>
      </c>
      <c r="AO890" s="1120">
        <f t="shared" si="990"/>
        <v>1</v>
      </c>
      <c r="AP890" s="1120">
        <f t="shared" si="991"/>
        <v>1</v>
      </c>
      <c r="AQ890" s="1120">
        <f t="shared" si="992"/>
        <v>1</v>
      </c>
      <c r="AR890" s="1120">
        <f t="shared" si="993"/>
        <v>0</v>
      </c>
      <c r="AS890" s="1120">
        <f t="shared" si="994"/>
        <v>0</v>
      </c>
      <c r="AT890" s="1120">
        <f t="shared" si="995"/>
        <v>0</v>
      </c>
      <c r="AU890" s="1120">
        <f t="shared" si="996"/>
        <v>0</v>
      </c>
      <c r="AV890" s="1120">
        <f t="shared" si="997"/>
        <v>1</v>
      </c>
      <c r="AW890" s="1120">
        <f t="shared" si="998"/>
        <v>1</v>
      </c>
      <c r="AX890" s="1120">
        <f t="shared" si="999"/>
        <v>1</v>
      </c>
      <c r="AY890" s="1120">
        <f t="shared" si="1000"/>
        <v>0</v>
      </c>
      <c r="AZ890" s="1120">
        <f t="shared" si="1001"/>
        <v>0</v>
      </c>
      <c r="BA890" s="1120">
        <f t="shared" si="1002"/>
        <v>0</v>
      </c>
      <c r="BB890" s="1120">
        <f t="shared" si="1003"/>
        <v>0</v>
      </c>
      <c r="BC890" s="1120">
        <f t="shared" si="1004"/>
        <v>0</v>
      </c>
      <c r="BD890" s="1120">
        <f t="shared" si="1005"/>
        <v>1</v>
      </c>
      <c r="BE890" s="1120">
        <f t="shared" si="1006"/>
        <v>1</v>
      </c>
      <c r="BF890" s="1120">
        <f t="shared" si="1007"/>
        <v>1</v>
      </c>
      <c r="BG890" s="1120">
        <f t="shared" si="1008"/>
        <v>1</v>
      </c>
      <c r="BH890" s="1120">
        <f t="shared" si="1009"/>
        <v>0</v>
      </c>
      <c r="BI890" s="1120">
        <f t="shared" si="1010"/>
        <v>0</v>
      </c>
      <c r="BJ890" s="1120">
        <f t="shared" si="1011"/>
        <v>0</v>
      </c>
      <c r="BK890" s="1120">
        <f t="shared" si="1012"/>
        <v>1</v>
      </c>
      <c r="BL890" s="1120">
        <f t="shared" si="1013"/>
        <v>1</v>
      </c>
      <c r="BM890" s="1120">
        <f t="shared" si="1014"/>
        <v>1</v>
      </c>
      <c r="BN890" s="1120">
        <f t="shared" si="1015"/>
        <v>1</v>
      </c>
      <c r="BO890" s="1120">
        <f t="shared" si="1016"/>
        <v>1</v>
      </c>
      <c r="BP890" s="1120">
        <f t="shared" si="1017"/>
        <v>1</v>
      </c>
      <c r="BQ890" s="1120">
        <f t="shared" si="1018"/>
        <v>0</v>
      </c>
      <c r="BR890" s="1120">
        <f t="shared" si="1019"/>
        <v>0</v>
      </c>
      <c r="BS890" s="1120">
        <f t="shared" si="1020"/>
        <v>0</v>
      </c>
      <c r="BT890" s="1120">
        <f t="shared" si="1021"/>
        <v>1</v>
      </c>
      <c r="BU890" s="1120">
        <f t="shared" si="1022"/>
        <v>1</v>
      </c>
      <c r="BV890" s="1120">
        <f t="shared" si="1023"/>
        <v>1</v>
      </c>
      <c r="BW890" s="1120">
        <f t="shared" si="1024"/>
        <v>0</v>
      </c>
      <c r="BX890" s="1120">
        <f t="shared" si="1025"/>
        <v>0</v>
      </c>
      <c r="BY890" s="1120">
        <f t="shared" si="1026"/>
        <v>0</v>
      </c>
      <c r="BZ890" s="1120">
        <f t="shared" si="1027"/>
        <v>0</v>
      </c>
      <c r="CA890" s="1120">
        <f t="shared" si="1028"/>
        <v>1</v>
      </c>
      <c r="CB890" s="1120">
        <f t="shared" si="1029"/>
        <v>1</v>
      </c>
      <c r="CC890" s="1120">
        <f t="shared" si="1030"/>
        <v>1</v>
      </c>
      <c r="CD890" s="1120">
        <f t="shared" si="1031"/>
        <v>1</v>
      </c>
      <c r="CE890" s="1120">
        <f t="shared" si="1032"/>
        <v>1</v>
      </c>
      <c r="CF890" s="1120">
        <f t="shared" si="1033"/>
        <v>1</v>
      </c>
      <c r="CG890" s="1120">
        <f t="shared" si="1034"/>
        <v>0</v>
      </c>
      <c r="CH890" s="1120">
        <f t="shared" si="1035"/>
        <v>0</v>
      </c>
      <c r="CI890" s="1120">
        <f t="shared" si="1036"/>
        <v>0.85</v>
      </c>
      <c r="CJ890" s="1120">
        <f t="shared" si="1037"/>
        <v>0.85</v>
      </c>
      <c r="CK890" s="1120">
        <f t="shared" si="1038"/>
        <v>0.85</v>
      </c>
      <c r="CL890" s="1120">
        <f t="shared" si="1039"/>
        <v>0.85</v>
      </c>
      <c r="CM890" s="1120">
        <f t="shared" si="1040"/>
        <v>0.85</v>
      </c>
      <c r="CN890" s="1120">
        <f t="shared" si="1041"/>
        <v>0.85</v>
      </c>
      <c r="CO890" s="1120">
        <f t="shared" si="1042"/>
        <v>0.7</v>
      </c>
      <c r="CP890" s="1120">
        <f t="shared" si="1043"/>
        <v>0.7</v>
      </c>
      <c r="CQ890" s="1120">
        <f t="shared" si="1044"/>
        <v>0.7</v>
      </c>
      <c r="CR890" s="1120">
        <f t="shared" si="1045"/>
        <v>0.85</v>
      </c>
      <c r="CS890" s="1120">
        <f t="shared" si="1046"/>
        <v>0.85</v>
      </c>
      <c r="CT890" s="1120">
        <f t="shared" si="1047"/>
        <v>0.85</v>
      </c>
      <c r="CU890" s="1120">
        <v>1</v>
      </c>
      <c r="CV890" s="1120"/>
      <c r="CW890" s="1120">
        <f t="shared" si="1048"/>
        <v>184</v>
      </c>
      <c r="CX890" s="1120">
        <f t="shared" si="1049"/>
        <v>181</v>
      </c>
      <c r="CY890" s="1135" t="s">
        <v>4881</v>
      </c>
      <c r="CZ890" s="1124" t="s">
        <v>4885</v>
      </c>
      <c r="DA890" s="1124"/>
      <c r="DB890" s="1124"/>
      <c r="DC890" s="1120" t="s">
        <v>6013</v>
      </c>
      <c r="DD890" s="1120" t="s">
        <v>501</v>
      </c>
      <c r="DE890" s="1120" t="str">
        <f t="shared" si="1050"/>
        <v/>
      </c>
      <c r="DF890" s="1133">
        <v>0</v>
      </c>
      <c r="DG890" s="1120">
        <v>0</v>
      </c>
    </row>
    <row r="891" spans="1:111">
      <c r="A891" s="1125" t="s">
        <v>4460</v>
      </c>
      <c r="B891" s="1120" t="s">
        <v>3525</v>
      </c>
      <c r="C891" s="1120" t="s">
        <v>3526</v>
      </c>
      <c r="D891" s="1120" t="s">
        <v>932</v>
      </c>
      <c r="E891" s="1120">
        <v>646</v>
      </c>
      <c r="F891" s="1120">
        <v>-89.67</v>
      </c>
      <c r="G891" s="1120">
        <v>41.75</v>
      </c>
      <c r="H891" s="1120">
        <v>-6</v>
      </c>
      <c r="I891" s="1121">
        <v>0.49999999999999922</v>
      </c>
      <c r="J891" s="1121">
        <v>88.33999862670899</v>
      </c>
      <c r="K891" s="1122">
        <v>73.760001373291018</v>
      </c>
      <c r="L891" s="1120">
        <v>6021</v>
      </c>
      <c r="M891" s="1120">
        <v>864</v>
      </c>
      <c r="N891" s="1123">
        <v>13.459999656677246</v>
      </c>
      <c r="O891" s="1123">
        <v>31.81999999731779</v>
      </c>
      <c r="P891" s="1123">
        <v>40.640000343322754</v>
      </c>
      <c r="Q891" s="1123">
        <v>51.080000686645505</v>
      </c>
      <c r="R891" s="1123">
        <v>58.459999656677248</v>
      </c>
      <c r="S891" s="1123">
        <v>71.599999999999994</v>
      </c>
      <c r="T891" s="1123">
        <v>74.66000137329101</v>
      </c>
      <c r="U891" s="1123">
        <v>68.900000000000006</v>
      </c>
      <c r="V891" s="1123">
        <v>66.739998626708982</v>
      </c>
      <c r="W891" s="1123">
        <v>53.240000343322755</v>
      </c>
      <c r="X891" s="1123">
        <v>43.7</v>
      </c>
      <c r="Y891" s="1123">
        <v>28.4</v>
      </c>
      <c r="Z891" s="1123">
        <v>50.288000059993301</v>
      </c>
      <c r="AA891" s="1123">
        <f t="shared" si="976"/>
        <v>43.817981689098957</v>
      </c>
      <c r="AB891" s="1123">
        <f t="shared" si="977"/>
        <v>42.127350868505815</v>
      </c>
      <c r="AC891" s="1123">
        <f t="shared" si="978"/>
        <v>44.127911481883459</v>
      </c>
      <c r="AD891" s="1123">
        <f t="shared" si="979"/>
        <v>49.298186575782751</v>
      </c>
      <c r="AE891" s="1123">
        <f t="shared" si="980"/>
        <v>56.290464270627858</v>
      </c>
      <c r="AF891" s="1123">
        <f t="shared" si="981"/>
        <v>63.282099630996427</v>
      </c>
      <c r="AG891" s="1123">
        <f t="shared" si="982"/>
        <v>68.450615155846108</v>
      </c>
      <c r="AH891" s="1123">
        <f t="shared" si="983"/>
        <v>70.448757624389614</v>
      </c>
      <c r="AI891" s="1123">
        <f t="shared" si="984"/>
        <v>68.755680409893571</v>
      </c>
      <c r="AJ891" s="1123">
        <f t="shared" si="985"/>
        <v>63.812710179426034</v>
      </c>
      <c r="AK891" s="1123">
        <f t="shared" si="986"/>
        <v>56.908308297035347</v>
      </c>
      <c r="AL891" s="1123">
        <f t="shared" si="987"/>
        <v>49.842213513420361</v>
      </c>
      <c r="AM891" s="1120">
        <f t="shared" si="988"/>
        <v>1</v>
      </c>
      <c r="AN891" s="1120">
        <f t="shared" si="989"/>
        <v>1</v>
      </c>
      <c r="AO891" s="1120">
        <f t="shared" si="990"/>
        <v>1</v>
      </c>
      <c r="AP891" s="1120">
        <f t="shared" si="991"/>
        <v>1</v>
      </c>
      <c r="AQ891" s="1120">
        <f t="shared" si="992"/>
        <v>1</v>
      </c>
      <c r="AR891" s="1120">
        <f t="shared" si="993"/>
        <v>0</v>
      </c>
      <c r="AS891" s="1120">
        <f t="shared" si="994"/>
        <v>0</v>
      </c>
      <c r="AT891" s="1120">
        <f t="shared" si="995"/>
        <v>0</v>
      </c>
      <c r="AU891" s="1120">
        <f t="shared" si="996"/>
        <v>0</v>
      </c>
      <c r="AV891" s="1120">
        <f t="shared" si="997"/>
        <v>1</v>
      </c>
      <c r="AW891" s="1120">
        <f t="shared" si="998"/>
        <v>1</v>
      </c>
      <c r="AX891" s="1120">
        <f t="shared" si="999"/>
        <v>1</v>
      </c>
      <c r="AY891" s="1120">
        <f t="shared" si="1000"/>
        <v>0</v>
      </c>
      <c r="AZ891" s="1120">
        <f t="shared" si="1001"/>
        <v>0</v>
      </c>
      <c r="BA891" s="1120">
        <f t="shared" si="1002"/>
        <v>0</v>
      </c>
      <c r="BB891" s="1120">
        <f t="shared" si="1003"/>
        <v>0</v>
      </c>
      <c r="BC891" s="1120">
        <f t="shared" si="1004"/>
        <v>0</v>
      </c>
      <c r="BD891" s="1120">
        <f t="shared" si="1005"/>
        <v>1</v>
      </c>
      <c r="BE891" s="1120">
        <f t="shared" si="1006"/>
        <v>1</v>
      </c>
      <c r="BF891" s="1120">
        <f t="shared" si="1007"/>
        <v>1</v>
      </c>
      <c r="BG891" s="1120">
        <f t="shared" si="1008"/>
        <v>1</v>
      </c>
      <c r="BH891" s="1120">
        <f t="shared" si="1009"/>
        <v>0</v>
      </c>
      <c r="BI891" s="1120">
        <f t="shared" si="1010"/>
        <v>0</v>
      </c>
      <c r="BJ891" s="1120">
        <f t="shared" si="1011"/>
        <v>0</v>
      </c>
      <c r="BK891" s="1120">
        <f t="shared" si="1012"/>
        <v>1</v>
      </c>
      <c r="BL891" s="1120">
        <f t="shared" si="1013"/>
        <v>1</v>
      </c>
      <c r="BM891" s="1120">
        <f t="shared" si="1014"/>
        <v>1</v>
      </c>
      <c r="BN891" s="1120">
        <f t="shared" si="1015"/>
        <v>1</v>
      </c>
      <c r="BO891" s="1120">
        <f t="shared" si="1016"/>
        <v>1</v>
      </c>
      <c r="BP891" s="1120">
        <f t="shared" si="1017"/>
        <v>1</v>
      </c>
      <c r="BQ891" s="1120">
        <f t="shared" si="1018"/>
        <v>0</v>
      </c>
      <c r="BR891" s="1120">
        <f t="shared" si="1019"/>
        <v>0</v>
      </c>
      <c r="BS891" s="1120">
        <f t="shared" si="1020"/>
        <v>0</v>
      </c>
      <c r="BT891" s="1120">
        <f t="shared" si="1021"/>
        <v>1</v>
      </c>
      <c r="BU891" s="1120">
        <f t="shared" si="1022"/>
        <v>1</v>
      </c>
      <c r="BV891" s="1120">
        <f t="shared" si="1023"/>
        <v>1</v>
      </c>
      <c r="BW891" s="1120">
        <f t="shared" si="1024"/>
        <v>0</v>
      </c>
      <c r="BX891" s="1120">
        <f t="shared" si="1025"/>
        <v>0</v>
      </c>
      <c r="BY891" s="1120">
        <f t="shared" si="1026"/>
        <v>0</v>
      </c>
      <c r="BZ891" s="1120">
        <f t="shared" si="1027"/>
        <v>0</v>
      </c>
      <c r="CA891" s="1120">
        <f t="shared" si="1028"/>
        <v>1</v>
      </c>
      <c r="CB891" s="1120">
        <f t="shared" si="1029"/>
        <v>1</v>
      </c>
      <c r="CC891" s="1120">
        <f t="shared" si="1030"/>
        <v>1</v>
      </c>
      <c r="CD891" s="1120">
        <f t="shared" si="1031"/>
        <v>1</v>
      </c>
      <c r="CE891" s="1120">
        <f t="shared" si="1032"/>
        <v>1</v>
      </c>
      <c r="CF891" s="1120">
        <f t="shared" si="1033"/>
        <v>1</v>
      </c>
      <c r="CG891" s="1120">
        <f t="shared" si="1034"/>
        <v>0</v>
      </c>
      <c r="CH891" s="1120">
        <f t="shared" si="1035"/>
        <v>0</v>
      </c>
      <c r="CI891" s="1120">
        <f t="shared" si="1036"/>
        <v>0.85</v>
      </c>
      <c r="CJ891" s="1120">
        <f t="shared" si="1037"/>
        <v>0.85</v>
      </c>
      <c r="CK891" s="1120">
        <f t="shared" si="1038"/>
        <v>0.85</v>
      </c>
      <c r="CL891" s="1120">
        <f t="shared" si="1039"/>
        <v>0.85</v>
      </c>
      <c r="CM891" s="1120">
        <f t="shared" si="1040"/>
        <v>0.85</v>
      </c>
      <c r="CN891" s="1120">
        <f t="shared" si="1041"/>
        <v>0.85</v>
      </c>
      <c r="CO891" s="1120">
        <f t="shared" si="1042"/>
        <v>0.7</v>
      </c>
      <c r="CP891" s="1120">
        <f t="shared" si="1043"/>
        <v>0.7</v>
      </c>
      <c r="CQ891" s="1120">
        <f t="shared" si="1044"/>
        <v>0.7</v>
      </c>
      <c r="CR891" s="1120">
        <f t="shared" si="1045"/>
        <v>0.85</v>
      </c>
      <c r="CS891" s="1120">
        <f t="shared" si="1046"/>
        <v>0.85</v>
      </c>
      <c r="CT891" s="1120">
        <f t="shared" si="1047"/>
        <v>0.85</v>
      </c>
      <c r="CU891" s="1120">
        <v>1</v>
      </c>
      <c r="CV891" s="1120"/>
      <c r="CW891" s="1120">
        <f t="shared" si="1048"/>
        <v>184</v>
      </c>
      <c r="CX891" s="1120">
        <f t="shared" si="1049"/>
        <v>181</v>
      </c>
      <c r="CY891" s="1135" t="s">
        <v>4889</v>
      </c>
      <c r="CZ891" s="1124" t="s">
        <v>4897</v>
      </c>
      <c r="DA891" s="1124"/>
      <c r="DB891" s="1124"/>
      <c r="DC891" s="1120" t="s">
        <v>5214</v>
      </c>
      <c r="DD891" s="1120" t="s">
        <v>932</v>
      </c>
      <c r="DE891" s="1120" t="str">
        <f t="shared" si="1050"/>
        <v/>
      </c>
      <c r="DF891" s="1133">
        <v>0</v>
      </c>
      <c r="DG891" s="1125">
        <v>0</v>
      </c>
    </row>
    <row r="892" spans="1:111">
      <c r="A892" s="1120" t="s">
        <v>4462</v>
      </c>
      <c r="B892" s="1125" t="s">
        <v>4142</v>
      </c>
      <c r="C892" s="1125" t="s">
        <v>4143</v>
      </c>
      <c r="D892" s="1125" t="s">
        <v>537</v>
      </c>
      <c r="E892" s="1125">
        <v>581</v>
      </c>
      <c r="F892" s="1125">
        <v>-74.099999999999994</v>
      </c>
      <c r="G892" s="1125">
        <v>41.5</v>
      </c>
      <c r="H892" s="1125">
        <v>-5</v>
      </c>
      <c r="I892" s="1126">
        <v>8.9599996566772457</v>
      </c>
      <c r="J892" s="1126">
        <v>86.360001373291013</v>
      </c>
      <c r="K892" s="1127">
        <v>71.599999999999994</v>
      </c>
      <c r="L892" s="1125">
        <v>5922</v>
      </c>
      <c r="M892" s="1125">
        <v>799.2</v>
      </c>
      <c r="N892" s="1128">
        <v>19.759999656677245</v>
      </c>
      <c r="O892" s="1128">
        <v>30.2</v>
      </c>
      <c r="P892" s="1128">
        <v>40.459999656677248</v>
      </c>
      <c r="Q892" s="1128">
        <v>48.919999313354495</v>
      </c>
      <c r="R892" s="1128">
        <v>57.380000686645509</v>
      </c>
      <c r="S892" s="1128">
        <v>69.080000686645505</v>
      </c>
      <c r="T892" s="1128">
        <v>74.66000137329101</v>
      </c>
      <c r="U892" s="1128">
        <v>72.139998626708987</v>
      </c>
      <c r="V892" s="1128">
        <v>62.419999313354495</v>
      </c>
      <c r="W892" s="1128">
        <v>48.740000343322755</v>
      </c>
      <c r="X892" s="1128">
        <v>43.340000343322757</v>
      </c>
      <c r="Y892" s="1128">
        <v>35.960000085830686</v>
      </c>
      <c r="Z892" s="1128">
        <v>50.357534254805685</v>
      </c>
      <c r="AA892" s="1128">
        <f t="shared" si="976"/>
        <v>45.147176718772883</v>
      </c>
      <c r="AB892" s="1128">
        <f t="shared" si="977"/>
        <v>43.635863050833315</v>
      </c>
      <c r="AC892" s="1128">
        <f t="shared" si="978"/>
        <v>45.44064902909669</v>
      </c>
      <c r="AD892" s="1128">
        <f t="shared" si="979"/>
        <v>50.091089375734846</v>
      </c>
      <c r="AE892" s="1128">
        <f t="shared" si="980"/>
        <v>56.374975148941523</v>
      </c>
      <c r="AF892" s="1128">
        <f t="shared" si="981"/>
        <v>62.654314684319381</v>
      </c>
      <c r="AG892" s="1128">
        <f t="shared" si="982"/>
        <v>67.292301364420808</v>
      </c>
      <c r="AH892" s="1128">
        <f t="shared" si="983"/>
        <v>69.079972487539138</v>
      </c>
      <c r="AI892" s="1128">
        <f t="shared" si="984"/>
        <v>67.551344026587685</v>
      </c>
      <c r="AJ892" s="1128">
        <f t="shared" si="985"/>
        <v>63.104876546791083</v>
      </c>
      <c r="AK892" s="1128">
        <f t="shared" si="986"/>
        <v>56.899610318896329</v>
      </c>
      <c r="AL892" s="1128">
        <f t="shared" si="987"/>
        <v>50.55304361125134</v>
      </c>
      <c r="AM892" s="1125">
        <f t="shared" si="988"/>
        <v>1</v>
      </c>
      <c r="AN892" s="1125">
        <f t="shared" si="989"/>
        <v>1</v>
      </c>
      <c r="AO892" s="1125">
        <f t="shared" si="990"/>
        <v>1</v>
      </c>
      <c r="AP892" s="1125">
        <f t="shared" si="991"/>
        <v>1</v>
      </c>
      <c r="AQ892" s="1125">
        <f t="shared" si="992"/>
        <v>1</v>
      </c>
      <c r="AR892" s="1125">
        <f t="shared" si="993"/>
        <v>0</v>
      </c>
      <c r="AS892" s="1125">
        <f t="shared" si="994"/>
        <v>0</v>
      </c>
      <c r="AT892" s="1125">
        <f t="shared" si="995"/>
        <v>0</v>
      </c>
      <c r="AU892" s="1125">
        <f t="shared" si="996"/>
        <v>1</v>
      </c>
      <c r="AV892" s="1125">
        <f t="shared" si="997"/>
        <v>1</v>
      </c>
      <c r="AW892" s="1125">
        <f t="shared" si="998"/>
        <v>1</v>
      </c>
      <c r="AX892" s="1125">
        <f t="shared" si="999"/>
        <v>1</v>
      </c>
      <c r="AY892" s="1125">
        <f t="shared" si="1000"/>
        <v>0</v>
      </c>
      <c r="AZ892" s="1125">
        <f t="shared" si="1001"/>
        <v>0</v>
      </c>
      <c r="BA892" s="1125">
        <f t="shared" si="1002"/>
        <v>0</v>
      </c>
      <c r="BB892" s="1125">
        <f t="shared" si="1003"/>
        <v>0</v>
      </c>
      <c r="BC892" s="1125">
        <f t="shared" si="1004"/>
        <v>0</v>
      </c>
      <c r="BD892" s="1125">
        <f t="shared" si="1005"/>
        <v>1</v>
      </c>
      <c r="BE892" s="1125">
        <f t="shared" si="1006"/>
        <v>1</v>
      </c>
      <c r="BF892" s="1125">
        <f t="shared" si="1007"/>
        <v>1</v>
      </c>
      <c r="BG892" s="1125">
        <f t="shared" si="1008"/>
        <v>0</v>
      </c>
      <c r="BH892" s="1125">
        <f t="shared" si="1009"/>
        <v>0</v>
      </c>
      <c r="BI892" s="1125">
        <f t="shared" si="1010"/>
        <v>0</v>
      </c>
      <c r="BJ892" s="1125">
        <f t="shared" si="1011"/>
        <v>0</v>
      </c>
      <c r="BK892" s="1125">
        <f t="shared" si="1012"/>
        <v>1</v>
      </c>
      <c r="BL892" s="1125">
        <f t="shared" si="1013"/>
        <v>1</v>
      </c>
      <c r="BM892" s="1125">
        <f t="shared" si="1014"/>
        <v>1</v>
      </c>
      <c r="BN892" s="1125">
        <f t="shared" si="1015"/>
        <v>1</v>
      </c>
      <c r="BO892" s="1125">
        <f t="shared" si="1016"/>
        <v>1</v>
      </c>
      <c r="BP892" s="1125">
        <f t="shared" si="1017"/>
        <v>1</v>
      </c>
      <c r="BQ892" s="1125">
        <f t="shared" si="1018"/>
        <v>0</v>
      </c>
      <c r="BR892" s="1125">
        <f t="shared" si="1019"/>
        <v>0</v>
      </c>
      <c r="BS892" s="1125">
        <f t="shared" si="1020"/>
        <v>1</v>
      </c>
      <c r="BT892" s="1125">
        <f t="shared" si="1021"/>
        <v>1</v>
      </c>
      <c r="BU892" s="1125">
        <f t="shared" si="1022"/>
        <v>1</v>
      </c>
      <c r="BV892" s="1125">
        <f t="shared" si="1023"/>
        <v>1</v>
      </c>
      <c r="BW892" s="1125">
        <f t="shared" si="1024"/>
        <v>0</v>
      </c>
      <c r="BX892" s="1125">
        <f t="shared" si="1025"/>
        <v>0</v>
      </c>
      <c r="BY892" s="1125">
        <f t="shared" si="1026"/>
        <v>0</v>
      </c>
      <c r="BZ892" s="1125">
        <f t="shared" si="1027"/>
        <v>0</v>
      </c>
      <c r="CA892" s="1125">
        <f t="shared" si="1028"/>
        <v>1</v>
      </c>
      <c r="CB892" s="1125">
        <f t="shared" si="1029"/>
        <v>1</v>
      </c>
      <c r="CC892" s="1125">
        <f t="shared" si="1030"/>
        <v>1</v>
      </c>
      <c r="CD892" s="1125">
        <f t="shared" si="1031"/>
        <v>1</v>
      </c>
      <c r="CE892" s="1125">
        <f t="shared" si="1032"/>
        <v>1</v>
      </c>
      <c r="CF892" s="1125">
        <f t="shared" si="1033"/>
        <v>0</v>
      </c>
      <c r="CG892" s="1125">
        <f t="shared" si="1034"/>
        <v>0</v>
      </c>
      <c r="CH892" s="1125">
        <f t="shared" si="1035"/>
        <v>0</v>
      </c>
      <c r="CI892" s="1125">
        <f t="shared" si="1036"/>
        <v>0.85</v>
      </c>
      <c r="CJ892" s="1125">
        <f t="shared" si="1037"/>
        <v>0.85</v>
      </c>
      <c r="CK892" s="1125">
        <f t="shared" si="1038"/>
        <v>0.85</v>
      </c>
      <c r="CL892" s="1125">
        <f t="shared" si="1039"/>
        <v>0.85</v>
      </c>
      <c r="CM892" s="1125">
        <f t="shared" si="1040"/>
        <v>0.85</v>
      </c>
      <c r="CN892" s="1125">
        <f t="shared" si="1041"/>
        <v>0.85</v>
      </c>
      <c r="CO892" s="1125">
        <f t="shared" si="1042"/>
        <v>0.7</v>
      </c>
      <c r="CP892" s="1125">
        <f t="shared" si="1043"/>
        <v>0.7</v>
      </c>
      <c r="CQ892" s="1125">
        <f t="shared" si="1044"/>
        <v>0.85</v>
      </c>
      <c r="CR892" s="1125">
        <f t="shared" si="1045"/>
        <v>0.85</v>
      </c>
      <c r="CS892" s="1125">
        <f t="shared" si="1046"/>
        <v>0.85</v>
      </c>
      <c r="CT892" s="1125">
        <f t="shared" si="1047"/>
        <v>0.85</v>
      </c>
      <c r="CU892" s="1125">
        <v>1</v>
      </c>
      <c r="CV892" s="1125"/>
      <c r="CW892" s="1125">
        <f t="shared" si="1048"/>
        <v>153</v>
      </c>
      <c r="CX892" s="1125">
        <f t="shared" si="1049"/>
        <v>212</v>
      </c>
      <c r="CY892" s="1136" t="s">
        <v>4889</v>
      </c>
      <c r="CZ892" s="1129" t="s">
        <v>4897</v>
      </c>
      <c r="DA892" s="1129"/>
      <c r="DB892" s="1129"/>
      <c r="DC892" s="1125" t="s">
        <v>5988</v>
      </c>
      <c r="DD892" s="1125" t="s">
        <v>537</v>
      </c>
      <c r="DE892" s="1120" t="b">
        <f t="shared" si="1050"/>
        <v>0</v>
      </c>
      <c r="DF892" s="1133">
        <v>0</v>
      </c>
      <c r="DG892" s="1120">
        <v>0</v>
      </c>
    </row>
    <row r="893" spans="1:111">
      <c r="A893" s="1125" t="s">
        <v>4464</v>
      </c>
      <c r="B893" s="1120" t="s">
        <v>4214</v>
      </c>
      <c r="C893" s="1120" t="s">
        <v>4215</v>
      </c>
      <c r="D893" s="1120" t="s">
        <v>61</v>
      </c>
      <c r="E893" s="1120">
        <v>1010</v>
      </c>
      <c r="F893" s="1120">
        <v>-97.08</v>
      </c>
      <c r="G893" s="1120">
        <v>36.15</v>
      </c>
      <c r="H893" s="1120">
        <v>-6</v>
      </c>
      <c r="I893" s="1121">
        <v>18.140000343322754</v>
      </c>
      <c r="J893" s="1121">
        <v>99.139998626708987</v>
      </c>
      <c r="K893" s="1122">
        <v>75.2</v>
      </c>
      <c r="L893" s="1120">
        <v>3736.8</v>
      </c>
      <c r="M893" s="1120">
        <v>2255.4</v>
      </c>
      <c r="N893" s="1123">
        <v>35.779999828338624</v>
      </c>
      <c r="O893" s="1123">
        <v>36.5</v>
      </c>
      <c r="P893" s="1123">
        <v>52.159999656677243</v>
      </c>
      <c r="Q893" s="1123">
        <v>65.3</v>
      </c>
      <c r="R893" s="1123">
        <v>69.080000686645505</v>
      </c>
      <c r="S893" s="1123">
        <v>74.66000137329101</v>
      </c>
      <c r="T893" s="1123">
        <v>86.180000686645513</v>
      </c>
      <c r="U893" s="1123">
        <v>82.939998626708984</v>
      </c>
      <c r="V893" s="1123">
        <v>75.380000686645502</v>
      </c>
      <c r="W893" s="1123">
        <v>55.040000343322752</v>
      </c>
      <c r="X893" s="1123">
        <v>49.459999656677248</v>
      </c>
      <c r="Y893" s="1123">
        <v>39.920000171661378</v>
      </c>
      <c r="Z893" s="1123">
        <v>60.329041236981958</v>
      </c>
      <c r="AA893" s="1123">
        <f t="shared" si="976"/>
        <v>52.860571669523864</v>
      </c>
      <c r="AB893" s="1123">
        <f t="shared" si="977"/>
        <v>52.403041758419164</v>
      </c>
      <c r="AC893" s="1123">
        <f t="shared" si="978"/>
        <v>55.575538217549898</v>
      </c>
      <c r="AD893" s="1123">
        <f t="shared" si="979"/>
        <v>61.551100955193327</v>
      </c>
      <c r="AE893" s="1123">
        <f t="shared" si="980"/>
        <v>68.772107457573469</v>
      </c>
      <c r="AF893" s="1123">
        <f t="shared" si="981"/>
        <v>75.35629110076637</v>
      </c>
      <c r="AG893" s="1123">
        <f t="shared" si="982"/>
        <v>79.587382952832499</v>
      </c>
      <c r="AH893" s="1123">
        <f t="shared" si="983"/>
        <v>80.362483719431722</v>
      </c>
      <c r="AI893" s="1123">
        <f t="shared" si="984"/>
        <v>77.479551441085576</v>
      </c>
      <c r="AJ893" s="1123">
        <f t="shared" si="985"/>
        <v>71.690066843476174</v>
      </c>
      <c r="AK893" s="1123">
        <f t="shared" si="986"/>
        <v>64.503148305628713</v>
      </c>
      <c r="AL893" s="1123">
        <f t="shared" si="987"/>
        <v>57.792176898200267</v>
      </c>
      <c r="AM893" s="1120">
        <f t="shared" si="988"/>
        <v>1</v>
      </c>
      <c r="AN893" s="1120">
        <f t="shared" si="989"/>
        <v>1</v>
      </c>
      <c r="AO893" s="1120">
        <f t="shared" si="990"/>
        <v>1</v>
      </c>
      <c r="AP893" s="1120">
        <f t="shared" si="991"/>
        <v>1</v>
      </c>
      <c r="AQ893" s="1120">
        <f t="shared" si="992"/>
        <v>0</v>
      </c>
      <c r="AR893" s="1120">
        <f t="shared" si="993"/>
        <v>0</v>
      </c>
      <c r="AS893" s="1120">
        <f t="shared" si="994"/>
        <v>0</v>
      </c>
      <c r="AT893" s="1120">
        <f t="shared" si="995"/>
        <v>0</v>
      </c>
      <c r="AU893" s="1120">
        <f t="shared" si="996"/>
        <v>0</v>
      </c>
      <c r="AV893" s="1120">
        <f t="shared" si="997"/>
        <v>1</v>
      </c>
      <c r="AW893" s="1120">
        <f t="shared" si="998"/>
        <v>1</v>
      </c>
      <c r="AX893" s="1120">
        <f t="shared" si="999"/>
        <v>1</v>
      </c>
      <c r="AY893" s="1120">
        <f t="shared" si="1000"/>
        <v>0</v>
      </c>
      <c r="AZ893" s="1120">
        <f t="shared" si="1001"/>
        <v>0</v>
      </c>
      <c r="BA893" s="1120">
        <f t="shared" si="1002"/>
        <v>0</v>
      </c>
      <c r="BB893" s="1120">
        <f t="shared" si="1003"/>
        <v>0</v>
      </c>
      <c r="BC893" s="1120">
        <f t="shared" si="1004"/>
        <v>1</v>
      </c>
      <c r="BD893" s="1120">
        <f t="shared" si="1005"/>
        <v>1</v>
      </c>
      <c r="BE893" s="1120">
        <f t="shared" si="1006"/>
        <v>1</v>
      </c>
      <c r="BF893" s="1120">
        <f t="shared" si="1007"/>
        <v>1</v>
      </c>
      <c r="BG893" s="1120">
        <f t="shared" si="1008"/>
        <v>1</v>
      </c>
      <c r="BH893" s="1120">
        <f t="shared" si="1009"/>
        <v>0</v>
      </c>
      <c r="BI893" s="1120">
        <f t="shared" si="1010"/>
        <v>0</v>
      </c>
      <c r="BJ893" s="1120">
        <f t="shared" si="1011"/>
        <v>0</v>
      </c>
      <c r="BK893" s="1120">
        <f t="shared" si="1012"/>
        <v>1</v>
      </c>
      <c r="BL893" s="1120">
        <f t="shared" si="1013"/>
        <v>1</v>
      </c>
      <c r="BM893" s="1120">
        <f t="shared" si="1014"/>
        <v>1</v>
      </c>
      <c r="BN893" s="1120">
        <f t="shared" si="1015"/>
        <v>1</v>
      </c>
      <c r="BO893" s="1120">
        <f t="shared" si="1016"/>
        <v>1</v>
      </c>
      <c r="BP893" s="1120">
        <f t="shared" si="1017"/>
        <v>0</v>
      </c>
      <c r="BQ893" s="1120">
        <f t="shared" si="1018"/>
        <v>0</v>
      </c>
      <c r="BR893" s="1120">
        <f t="shared" si="1019"/>
        <v>0</v>
      </c>
      <c r="BS893" s="1120">
        <f t="shared" si="1020"/>
        <v>0</v>
      </c>
      <c r="BT893" s="1120">
        <f t="shared" si="1021"/>
        <v>1</v>
      </c>
      <c r="BU893" s="1120">
        <f t="shared" si="1022"/>
        <v>1</v>
      </c>
      <c r="BV893" s="1120">
        <f t="shared" si="1023"/>
        <v>1</v>
      </c>
      <c r="BW893" s="1120">
        <f t="shared" si="1024"/>
        <v>0</v>
      </c>
      <c r="BX893" s="1120">
        <f t="shared" si="1025"/>
        <v>0</v>
      </c>
      <c r="BY893" s="1120">
        <f t="shared" si="1026"/>
        <v>0</v>
      </c>
      <c r="BZ893" s="1120">
        <f t="shared" si="1027"/>
        <v>1</v>
      </c>
      <c r="CA893" s="1120">
        <f t="shared" si="1028"/>
        <v>1</v>
      </c>
      <c r="CB893" s="1120">
        <f t="shared" si="1029"/>
        <v>1</v>
      </c>
      <c r="CC893" s="1120">
        <f t="shared" si="1030"/>
        <v>1</v>
      </c>
      <c r="CD893" s="1120">
        <f t="shared" si="1031"/>
        <v>1</v>
      </c>
      <c r="CE893" s="1120">
        <f t="shared" si="1032"/>
        <v>1</v>
      </c>
      <c r="CF893" s="1120">
        <f t="shared" si="1033"/>
        <v>1</v>
      </c>
      <c r="CG893" s="1120">
        <f t="shared" si="1034"/>
        <v>0</v>
      </c>
      <c r="CH893" s="1120">
        <f t="shared" si="1035"/>
        <v>0</v>
      </c>
      <c r="CI893" s="1120">
        <f t="shared" si="1036"/>
        <v>0.85</v>
      </c>
      <c r="CJ893" s="1120">
        <f t="shared" si="1037"/>
        <v>0.85</v>
      </c>
      <c r="CK893" s="1120">
        <f t="shared" si="1038"/>
        <v>0.85</v>
      </c>
      <c r="CL893" s="1120">
        <f t="shared" si="1039"/>
        <v>0.85</v>
      </c>
      <c r="CM893" s="1120">
        <f t="shared" si="1040"/>
        <v>0.85</v>
      </c>
      <c r="CN893" s="1120">
        <f t="shared" si="1041"/>
        <v>0.7</v>
      </c>
      <c r="CO893" s="1120">
        <f t="shared" si="1042"/>
        <v>0.7</v>
      </c>
      <c r="CP893" s="1120">
        <f t="shared" si="1043"/>
        <v>0.7</v>
      </c>
      <c r="CQ893" s="1120">
        <f t="shared" si="1044"/>
        <v>0.7</v>
      </c>
      <c r="CR893" s="1120">
        <f t="shared" si="1045"/>
        <v>0.85</v>
      </c>
      <c r="CS893" s="1120">
        <f t="shared" si="1046"/>
        <v>0.85</v>
      </c>
      <c r="CT893" s="1120">
        <f t="shared" si="1047"/>
        <v>0.85</v>
      </c>
      <c r="CU893" s="1120">
        <v>1</v>
      </c>
      <c r="CV893" s="1120"/>
      <c r="CW893" s="1120">
        <f t="shared" si="1048"/>
        <v>214</v>
      </c>
      <c r="CX893" s="1120">
        <f t="shared" si="1049"/>
        <v>151</v>
      </c>
      <c r="CY893" s="1136" t="s">
        <v>4881</v>
      </c>
      <c r="CZ893" s="1129" t="s">
        <v>4882</v>
      </c>
      <c r="DA893" s="1129"/>
      <c r="DB893" s="1129"/>
      <c r="DC893" s="1125" t="s">
        <v>5509</v>
      </c>
      <c r="DD893" s="1125" t="s">
        <v>61</v>
      </c>
      <c r="DE893" s="1120" t="str">
        <f t="shared" si="1050"/>
        <v/>
      </c>
      <c r="DF893" s="1133">
        <v>0</v>
      </c>
      <c r="DG893" s="1125">
        <v>0</v>
      </c>
    </row>
    <row r="894" spans="1:111">
      <c r="A894" s="1120" t="s">
        <v>4466</v>
      </c>
      <c r="B894" s="1125" t="s">
        <v>3200</v>
      </c>
      <c r="C894" s="1125" t="s">
        <v>3201</v>
      </c>
      <c r="D894" s="1125" t="s">
        <v>954</v>
      </c>
      <c r="E894" s="1125">
        <v>23</v>
      </c>
      <c r="F894" s="1125">
        <v>-121.23</v>
      </c>
      <c r="G894" s="1125">
        <v>37.9</v>
      </c>
      <c r="H894" s="1125">
        <v>-8</v>
      </c>
      <c r="I894" s="1126">
        <v>32.720000010728839</v>
      </c>
      <c r="J894" s="1126">
        <v>97.879997253417969</v>
      </c>
      <c r="K894" s="1127">
        <v>69.260001373291018</v>
      </c>
      <c r="L894" s="1125">
        <v>2502</v>
      </c>
      <c r="M894" s="1125">
        <v>1287</v>
      </c>
      <c r="N894" s="1128">
        <v>45.859999656677246</v>
      </c>
      <c r="O894" s="1128">
        <v>48.380000686645509</v>
      </c>
      <c r="P894" s="1128">
        <v>58.280000686645508</v>
      </c>
      <c r="Q894" s="1128">
        <v>60.619999313354491</v>
      </c>
      <c r="R894" s="1128">
        <v>65.119999313354498</v>
      </c>
      <c r="S894" s="1128">
        <v>74.3</v>
      </c>
      <c r="T894" s="1128">
        <v>74.3</v>
      </c>
      <c r="U894" s="1128">
        <v>74.66000137329101</v>
      </c>
      <c r="V894" s="1128">
        <v>71.239998626708982</v>
      </c>
      <c r="W894" s="1128">
        <v>61.7</v>
      </c>
      <c r="X894" s="1128">
        <v>52.519999313354489</v>
      </c>
      <c r="Y894" s="1128">
        <v>45.140000343322754</v>
      </c>
      <c r="Z894" s="1128">
        <v>61.073698573700369</v>
      </c>
      <c r="AA894" s="1128">
        <f t="shared" si="976"/>
        <v>59.047301859211636</v>
      </c>
      <c r="AB894" s="1128">
        <f t="shared" si="977"/>
        <v>58.830803874588199</v>
      </c>
      <c r="AC894" s="1128">
        <f t="shared" si="978"/>
        <v>60.762943420140729</v>
      </c>
      <c r="AD894" s="1128">
        <f t="shared" si="979"/>
        <v>64.340078548149279</v>
      </c>
      <c r="AE894" s="1128">
        <f t="shared" si="980"/>
        <v>68.629773862177473</v>
      </c>
      <c r="AF894" s="1128">
        <f t="shared" si="981"/>
        <v>72.51385417241805</v>
      </c>
      <c r="AG894" s="1128">
        <f t="shared" si="982"/>
        <v>74.979874090517413</v>
      </c>
      <c r="AH894" s="1128">
        <f t="shared" si="983"/>
        <v>75.385027522305691</v>
      </c>
      <c r="AI894" s="1128">
        <f t="shared" si="984"/>
        <v>73.623704982183909</v>
      </c>
      <c r="AJ894" s="1128">
        <f t="shared" si="985"/>
        <v>70.155022333036754</v>
      </c>
      <c r="AK894" s="1128">
        <f t="shared" si="986"/>
        <v>65.883145161382075</v>
      </c>
      <c r="AL894" s="1128">
        <f t="shared" si="987"/>
        <v>61.921604083631621</v>
      </c>
      <c r="AM894" s="1125">
        <f t="shared" si="988"/>
        <v>1</v>
      </c>
      <c r="AN894" s="1125">
        <f t="shared" si="989"/>
        <v>1</v>
      </c>
      <c r="AO894" s="1125">
        <f t="shared" si="990"/>
        <v>1</v>
      </c>
      <c r="AP894" s="1125">
        <f t="shared" si="991"/>
        <v>1</v>
      </c>
      <c r="AQ894" s="1125">
        <f t="shared" si="992"/>
        <v>1</v>
      </c>
      <c r="AR894" s="1125">
        <f t="shared" si="993"/>
        <v>0</v>
      </c>
      <c r="AS894" s="1125">
        <f t="shared" si="994"/>
        <v>0</v>
      </c>
      <c r="AT894" s="1125">
        <f t="shared" si="995"/>
        <v>0</v>
      </c>
      <c r="AU894" s="1125">
        <f t="shared" si="996"/>
        <v>0</v>
      </c>
      <c r="AV894" s="1125">
        <f t="shared" si="997"/>
        <v>1</v>
      </c>
      <c r="AW894" s="1125">
        <f t="shared" si="998"/>
        <v>1</v>
      </c>
      <c r="AX894" s="1125">
        <f t="shared" si="999"/>
        <v>1</v>
      </c>
      <c r="AY894" s="1125">
        <f t="shared" si="1000"/>
        <v>0</v>
      </c>
      <c r="AZ894" s="1125">
        <f t="shared" si="1001"/>
        <v>0</v>
      </c>
      <c r="BA894" s="1125">
        <f t="shared" si="1002"/>
        <v>0</v>
      </c>
      <c r="BB894" s="1125">
        <f t="shared" si="1003"/>
        <v>0</v>
      </c>
      <c r="BC894" s="1125">
        <f t="shared" si="1004"/>
        <v>0</v>
      </c>
      <c r="BD894" s="1125">
        <f t="shared" si="1005"/>
        <v>1</v>
      </c>
      <c r="BE894" s="1125">
        <f t="shared" si="1006"/>
        <v>1</v>
      </c>
      <c r="BF894" s="1125">
        <f t="shared" si="1007"/>
        <v>1</v>
      </c>
      <c r="BG894" s="1125">
        <f t="shared" si="1008"/>
        <v>1</v>
      </c>
      <c r="BH894" s="1125">
        <f t="shared" si="1009"/>
        <v>0</v>
      </c>
      <c r="BI894" s="1125">
        <f t="shared" si="1010"/>
        <v>0</v>
      </c>
      <c r="BJ894" s="1125">
        <f t="shared" si="1011"/>
        <v>0</v>
      </c>
      <c r="BK894" s="1125">
        <f t="shared" si="1012"/>
        <v>1</v>
      </c>
      <c r="BL894" s="1125">
        <f t="shared" si="1013"/>
        <v>1</v>
      </c>
      <c r="BM894" s="1125">
        <f t="shared" si="1014"/>
        <v>1</v>
      </c>
      <c r="BN894" s="1125">
        <f t="shared" si="1015"/>
        <v>1</v>
      </c>
      <c r="BO894" s="1125">
        <f t="shared" si="1016"/>
        <v>1</v>
      </c>
      <c r="BP894" s="1125">
        <f t="shared" si="1017"/>
        <v>1</v>
      </c>
      <c r="BQ894" s="1125">
        <f t="shared" si="1018"/>
        <v>0</v>
      </c>
      <c r="BR894" s="1125">
        <f t="shared" si="1019"/>
        <v>0</v>
      </c>
      <c r="BS894" s="1125">
        <f t="shared" si="1020"/>
        <v>0</v>
      </c>
      <c r="BT894" s="1125">
        <f t="shared" si="1021"/>
        <v>1</v>
      </c>
      <c r="BU894" s="1125">
        <f t="shared" si="1022"/>
        <v>1</v>
      </c>
      <c r="BV894" s="1125">
        <f t="shared" si="1023"/>
        <v>1</v>
      </c>
      <c r="BW894" s="1125">
        <f t="shared" si="1024"/>
        <v>0</v>
      </c>
      <c r="BX894" s="1125">
        <f t="shared" si="1025"/>
        <v>0</v>
      </c>
      <c r="BY894" s="1125">
        <f t="shared" si="1026"/>
        <v>0</v>
      </c>
      <c r="BZ894" s="1125">
        <f t="shared" si="1027"/>
        <v>0</v>
      </c>
      <c r="CA894" s="1125">
        <f t="shared" si="1028"/>
        <v>1</v>
      </c>
      <c r="CB894" s="1125">
        <f t="shared" si="1029"/>
        <v>1</v>
      </c>
      <c r="CC894" s="1125">
        <f t="shared" si="1030"/>
        <v>1</v>
      </c>
      <c r="CD894" s="1125">
        <f t="shared" si="1031"/>
        <v>1</v>
      </c>
      <c r="CE894" s="1125">
        <f t="shared" si="1032"/>
        <v>1</v>
      </c>
      <c r="CF894" s="1125">
        <f t="shared" si="1033"/>
        <v>1</v>
      </c>
      <c r="CG894" s="1125">
        <f t="shared" si="1034"/>
        <v>0</v>
      </c>
      <c r="CH894" s="1125">
        <f t="shared" si="1035"/>
        <v>0</v>
      </c>
      <c r="CI894" s="1125">
        <f t="shared" si="1036"/>
        <v>0.85</v>
      </c>
      <c r="CJ894" s="1125">
        <f t="shared" si="1037"/>
        <v>0.85</v>
      </c>
      <c r="CK894" s="1125">
        <f t="shared" si="1038"/>
        <v>0.85</v>
      </c>
      <c r="CL894" s="1125">
        <f t="shared" si="1039"/>
        <v>0.85</v>
      </c>
      <c r="CM894" s="1125">
        <f t="shared" si="1040"/>
        <v>0.85</v>
      </c>
      <c r="CN894" s="1125">
        <f t="shared" si="1041"/>
        <v>0.85</v>
      </c>
      <c r="CO894" s="1125">
        <f t="shared" si="1042"/>
        <v>0.7</v>
      </c>
      <c r="CP894" s="1125">
        <f t="shared" si="1043"/>
        <v>0.7</v>
      </c>
      <c r="CQ894" s="1125">
        <f t="shared" si="1044"/>
        <v>0.7</v>
      </c>
      <c r="CR894" s="1125">
        <f t="shared" si="1045"/>
        <v>0.85</v>
      </c>
      <c r="CS894" s="1125">
        <f t="shared" si="1046"/>
        <v>0.85</v>
      </c>
      <c r="CT894" s="1125">
        <f t="shared" si="1047"/>
        <v>0.85</v>
      </c>
      <c r="CU894" s="1125">
        <v>1</v>
      </c>
      <c r="CV894" s="1125"/>
      <c r="CW894" s="1125">
        <f t="shared" si="1048"/>
        <v>184</v>
      </c>
      <c r="CX894" s="1125">
        <f t="shared" si="1049"/>
        <v>181</v>
      </c>
      <c r="CY894" s="1136" t="s">
        <v>4886</v>
      </c>
      <c r="CZ894" s="1129" t="s">
        <v>4888</v>
      </c>
      <c r="DA894" s="1129"/>
      <c r="DB894" s="1129"/>
      <c r="DC894" s="1125" t="s">
        <v>5065</v>
      </c>
      <c r="DD894" s="1125" t="s">
        <v>954</v>
      </c>
      <c r="DE894" s="1120" t="str">
        <f t="shared" si="1050"/>
        <v/>
      </c>
      <c r="DF894" s="1125">
        <v>0</v>
      </c>
      <c r="DG894" s="1120">
        <v>0</v>
      </c>
    </row>
    <row r="895" spans="1:111">
      <c r="A895" s="1125" t="s">
        <v>4468</v>
      </c>
      <c r="B895" s="1125" t="s">
        <v>3467</v>
      </c>
      <c r="C895" s="1125" t="s">
        <v>3468</v>
      </c>
      <c r="D895" s="1125" t="s">
        <v>566</v>
      </c>
      <c r="E895" s="1125">
        <v>1489</v>
      </c>
      <c r="F895" s="1125">
        <v>-95.23</v>
      </c>
      <c r="G895" s="1125">
        <v>42.6</v>
      </c>
      <c r="H895" s="1125">
        <v>-6</v>
      </c>
      <c r="I895" s="1126">
        <v>-3.6399986267089854</v>
      </c>
      <c r="J895" s="1126">
        <v>90.139998626708987</v>
      </c>
      <c r="K895" s="1127">
        <v>74.119999313354498</v>
      </c>
      <c r="L895" s="1125">
        <v>6859.8</v>
      </c>
      <c r="M895" s="1125">
        <v>867.6</v>
      </c>
      <c r="N895" s="1128">
        <v>22.640000343322754</v>
      </c>
      <c r="O895" s="1128">
        <v>21.740000343322755</v>
      </c>
      <c r="P895" s="1128">
        <v>35.6</v>
      </c>
      <c r="Q895" s="1128">
        <v>50.540000343322752</v>
      </c>
      <c r="R895" s="1128">
        <v>55.940000343322751</v>
      </c>
      <c r="S895" s="1128">
        <v>69.619999313354498</v>
      </c>
      <c r="T895" s="1128">
        <v>71.780000686645508</v>
      </c>
      <c r="U895" s="1128">
        <v>75.919999313354495</v>
      </c>
      <c r="V895" s="1128">
        <v>62.419999313354495</v>
      </c>
      <c r="W895" s="1128">
        <v>53.419999313354495</v>
      </c>
      <c r="X895" s="1128">
        <v>30.559999978542329</v>
      </c>
      <c r="Y895" s="1128">
        <v>23.540000343322752</v>
      </c>
      <c r="Z895" s="1128">
        <v>47.964273941680176</v>
      </c>
      <c r="AA895" s="1128">
        <f t="shared" si="976"/>
        <v>43.713033613595755</v>
      </c>
      <c r="AB895" s="1128">
        <f t="shared" si="977"/>
        <v>42.056244116162645</v>
      </c>
      <c r="AC895" s="1128">
        <f t="shared" si="978"/>
        <v>43.503466101045049</v>
      </c>
      <c r="AD895" s="1128">
        <f t="shared" si="979"/>
        <v>47.677458855517479</v>
      </c>
      <c r="AE895" s="1128">
        <f t="shared" si="980"/>
        <v>53.490206844951317</v>
      </c>
      <c r="AF895" s="1128">
        <f t="shared" si="981"/>
        <v>59.426527728742627</v>
      </c>
      <c r="AG895" s="1128">
        <f t="shared" si="982"/>
        <v>63.939027987057266</v>
      </c>
      <c r="AH895" s="1128">
        <f t="shared" si="983"/>
        <v>65.851454887831594</v>
      </c>
      <c r="AI895" s="1128">
        <f t="shared" si="984"/>
        <v>64.665304887988157</v>
      </c>
      <c r="AJ895" s="1128">
        <f t="shared" si="985"/>
        <v>60.689766264110936</v>
      </c>
      <c r="AK895" s="1128">
        <f t="shared" si="986"/>
        <v>54.961124423418205</v>
      </c>
      <c r="AL895" s="1128">
        <f t="shared" si="987"/>
        <v>48.972638142729537</v>
      </c>
      <c r="AM895" s="1125">
        <f t="shared" si="988"/>
        <v>1</v>
      </c>
      <c r="AN895" s="1125">
        <f t="shared" si="989"/>
        <v>1</v>
      </c>
      <c r="AO895" s="1125">
        <f t="shared" si="990"/>
        <v>1</v>
      </c>
      <c r="AP895" s="1125">
        <f t="shared" si="991"/>
        <v>1</v>
      </c>
      <c r="AQ895" s="1125">
        <f t="shared" si="992"/>
        <v>1</v>
      </c>
      <c r="AR895" s="1125">
        <f t="shared" si="993"/>
        <v>0</v>
      </c>
      <c r="AS895" s="1125">
        <f t="shared" si="994"/>
        <v>0</v>
      </c>
      <c r="AT895" s="1125">
        <f t="shared" si="995"/>
        <v>0</v>
      </c>
      <c r="AU895" s="1125">
        <f t="shared" si="996"/>
        <v>1</v>
      </c>
      <c r="AV895" s="1125">
        <f t="shared" si="997"/>
        <v>1</v>
      </c>
      <c r="AW895" s="1125">
        <f t="shared" si="998"/>
        <v>1</v>
      </c>
      <c r="AX895" s="1125">
        <f t="shared" si="999"/>
        <v>1</v>
      </c>
      <c r="AY895" s="1125">
        <f t="shared" si="1000"/>
        <v>0</v>
      </c>
      <c r="AZ895" s="1125">
        <f t="shared" si="1001"/>
        <v>0</v>
      </c>
      <c r="BA895" s="1125">
        <f t="shared" si="1002"/>
        <v>0</v>
      </c>
      <c r="BB895" s="1125">
        <f t="shared" si="1003"/>
        <v>0</v>
      </c>
      <c r="BC895" s="1125">
        <f t="shared" si="1004"/>
        <v>0</v>
      </c>
      <c r="BD895" s="1125">
        <f t="shared" si="1005"/>
        <v>1</v>
      </c>
      <c r="BE895" s="1125">
        <f t="shared" si="1006"/>
        <v>1</v>
      </c>
      <c r="BF895" s="1125">
        <f t="shared" si="1007"/>
        <v>1</v>
      </c>
      <c r="BG895" s="1125">
        <f t="shared" si="1008"/>
        <v>0</v>
      </c>
      <c r="BH895" s="1125">
        <f t="shared" si="1009"/>
        <v>0</v>
      </c>
      <c r="BI895" s="1125">
        <f t="shared" si="1010"/>
        <v>0</v>
      </c>
      <c r="BJ895" s="1125">
        <f t="shared" si="1011"/>
        <v>0</v>
      </c>
      <c r="BK895" s="1125">
        <f t="shared" si="1012"/>
        <v>1</v>
      </c>
      <c r="BL895" s="1125">
        <f t="shared" si="1013"/>
        <v>1</v>
      </c>
      <c r="BM895" s="1125">
        <f t="shared" si="1014"/>
        <v>1</v>
      </c>
      <c r="BN895" s="1125">
        <f t="shared" si="1015"/>
        <v>1</v>
      </c>
      <c r="BO895" s="1125">
        <f t="shared" si="1016"/>
        <v>1</v>
      </c>
      <c r="BP895" s="1125">
        <f t="shared" si="1017"/>
        <v>1</v>
      </c>
      <c r="BQ895" s="1125">
        <f t="shared" si="1018"/>
        <v>0</v>
      </c>
      <c r="BR895" s="1125">
        <f t="shared" si="1019"/>
        <v>0</v>
      </c>
      <c r="BS895" s="1125">
        <f t="shared" si="1020"/>
        <v>1</v>
      </c>
      <c r="BT895" s="1125">
        <f t="shared" si="1021"/>
        <v>1</v>
      </c>
      <c r="BU895" s="1125">
        <f t="shared" si="1022"/>
        <v>1</v>
      </c>
      <c r="BV895" s="1125">
        <f t="shared" si="1023"/>
        <v>1</v>
      </c>
      <c r="BW895" s="1125">
        <f t="shared" si="1024"/>
        <v>0</v>
      </c>
      <c r="BX895" s="1125">
        <f t="shared" si="1025"/>
        <v>0</v>
      </c>
      <c r="BY895" s="1125">
        <f t="shared" si="1026"/>
        <v>0</v>
      </c>
      <c r="BZ895" s="1125">
        <f t="shared" si="1027"/>
        <v>0</v>
      </c>
      <c r="CA895" s="1125">
        <f t="shared" si="1028"/>
        <v>1</v>
      </c>
      <c r="CB895" s="1125">
        <f t="shared" si="1029"/>
        <v>1</v>
      </c>
      <c r="CC895" s="1125">
        <f t="shared" si="1030"/>
        <v>1</v>
      </c>
      <c r="CD895" s="1125">
        <f t="shared" si="1031"/>
        <v>1</v>
      </c>
      <c r="CE895" s="1125">
        <f t="shared" si="1032"/>
        <v>1</v>
      </c>
      <c r="CF895" s="1125">
        <f t="shared" si="1033"/>
        <v>0</v>
      </c>
      <c r="CG895" s="1125">
        <f t="shared" si="1034"/>
        <v>0</v>
      </c>
      <c r="CH895" s="1125">
        <f t="shared" si="1035"/>
        <v>0</v>
      </c>
      <c r="CI895" s="1125">
        <f t="shared" si="1036"/>
        <v>0.85</v>
      </c>
      <c r="CJ895" s="1125">
        <f t="shared" si="1037"/>
        <v>0.85</v>
      </c>
      <c r="CK895" s="1125">
        <f t="shared" si="1038"/>
        <v>0.85</v>
      </c>
      <c r="CL895" s="1125">
        <f t="shared" si="1039"/>
        <v>0.85</v>
      </c>
      <c r="CM895" s="1125">
        <f t="shared" si="1040"/>
        <v>0.85</v>
      </c>
      <c r="CN895" s="1125">
        <f t="shared" si="1041"/>
        <v>0.85</v>
      </c>
      <c r="CO895" s="1125">
        <f t="shared" si="1042"/>
        <v>0.7</v>
      </c>
      <c r="CP895" s="1125">
        <f t="shared" si="1043"/>
        <v>0.7</v>
      </c>
      <c r="CQ895" s="1125">
        <f t="shared" si="1044"/>
        <v>0.85</v>
      </c>
      <c r="CR895" s="1125">
        <f t="shared" si="1045"/>
        <v>0.85</v>
      </c>
      <c r="CS895" s="1125">
        <f t="shared" si="1046"/>
        <v>0.85</v>
      </c>
      <c r="CT895" s="1125">
        <f t="shared" si="1047"/>
        <v>0.85</v>
      </c>
      <c r="CU895" s="1125">
        <v>1</v>
      </c>
      <c r="CV895" s="1125"/>
      <c r="CW895" s="1125">
        <f t="shared" si="1048"/>
        <v>153</v>
      </c>
      <c r="CX895" s="1125">
        <f t="shared" si="1049"/>
        <v>212</v>
      </c>
      <c r="CY895" s="1136" t="s">
        <v>4889</v>
      </c>
      <c r="CZ895" s="1129" t="s">
        <v>4899</v>
      </c>
      <c r="DA895" s="1129"/>
      <c r="DB895" s="1129"/>
      <c r="DC895" s="1125" t="s">
        <v>5190</v>
      </c>
      <c r="DD895" s="1125" t="s">
        <v>566</v>
      </c>
      <c r="DE895" s="1120" t="str">
        <f t="shared" si="1050"/>
        <v/>
      </c>
      <c r="DF895" s="1133">
        <v>0</v>
      </c>
      <c r="DG895" s="1125">
        <v>0</v>
      </c>
    </row>
    <row r="896" spans="1:111">
      <c r="A896" s="1120" t="s">
        <v>4470</v>
      </c>
      <c r="B896" s="1125" t="s">
        <v>4636</v>
      </c>
      <c r="C896" s="1125" t="s">
        <v>4637</v>
      </c>
      <c r="D896" s="1125" t="s">
        <v>1278</v>
      </c>
      <c r="E896" s="1125">
        <v>725</v>
      </c>
      <c r="F896" s="1125">
        <v>-87.42</v>
      </c>
      <c r="G896" s="1125">
        <v>44.85</v>
      </c>
      <c r="H896" s="1125">
        <v>-5</v>
      </c>
      <c r="I896" s="1126">
        <v>-3.9998626708985165E-2</v>
      </c>
      <c r="J896" s="1126">
        <v>81.5</v>
      </c>
      <c r="K896" s="1127">
        <v>68.900000000000006</v>
      </c>
      <c r="L896" s="1125">
        <v>7086.6</v>
      </c>
      <c r="M896" s="1125">
        <v>446.40000000000003</v>
      </c>
      <c r="N896" s="1128">
        <v>19.940000343322755</v>
      </c>
      <c r="O896" s="1128">
        <v>22.820000171661377</v>
      </c>
      <c r="P896" s="1128">
        <v>31.279999989271165</v>
      </c>
      <c r="Q896" s="1128">
        <v>45.140000343322754</v>
      </c>
      <c r="R896" s="1128">
        <v>53.419999313354495</v>
      </c>
      <c r="S896" s="1128">
        <v>62.239998626708989</v>
      </c>
      <c r="T896" s="1128">
        <v>70.7</v>
      </c>
      <c r="U896" s="1128">
        <v>66.739998626708982</v>
      </c>
      <c r="V896" s="1128">
        <v>63.319999313354494</v>
      </c>
      <c r="W896" s="1128">
        <v>51.080000686645505</v>
      </c>
      <c r="X896" s="1128">
        <v>36.139999914169309</v>
      </c>
      <c r="Y896" s="1128">
        <v>29.839999914169312</v>
      </c>
      <c r="Z896" s="1128">
        <v>46.183999769344723</v>
      </c>
      <c r="AA896" s="1128">
        <f t="shared" si="976"/>
        <v>43.140027291561204</v>
      </c>
      <c r="AB896" s="1128">
        <f t="shared" si="977"/>
        <v>41.490269630624773</v>
      </c>
      <c r="AC896" s="1128">
        <f t="shared" si="978"/>
        <v>42.627997525715443</v>
      </c>
      <c r="AD896" s="1128">
        <f t="shared" si="979"/>
        <v>46.256644668060261</v>
      </c>
      <c r="AE896" s="1128">
        <f t="shared" si="980"/>
        <v>51.430348260861919</v>
      </c>
      <c r="AF896" s="1128">
        <f t="shared" si="981"/>
        <v>56.800502733470928</v>
      </c>
      <c r="AG896" s="1128">
        <f t="shared" si="982"/>
        <v>60.967294566016292</v>
      </c>
      <c r="AH896" s="1128">
        <f t="shared" si="983"/>
        <v>62.844585255139251</v>
      </c>
      <c r="AI896" s="1128">
        <f t="shared" si="984"/>
        <v>61.943030052794676</v>
      </c>
      <c r="AJ896" s="1128">
        <f t="shared" si="985"/>
        <v>58.497633215859892</v>
      </c>
      <c r="AK896" s="1128">
        <f t="shared" si="986"/>
        <v>53.406490525054394</v>
      </c>
      <c r="AL896" s="1128">
        <f t="shared" si="987"/>
        <v>47.996686779620383</v>
      </c>
      <c r="AM896" s="1125">
        <f t="shared" si="988"/>
        <v>1</v>
      </c>
      <c r="AN896" s="1125">
        <f t="shared" si="989"/>
        <v>1</v>
      </c>
      <c r="AO896" s="1125">
        <f t="shared" si="990"/>
        <v>1</v>
      </c>
      <c r="AP896" s="1125">
        <f t="shared" si="991"/>
        <v>1</v>
      </c>
      <c r="AQ896" s="1125">
        <f t="shared" si="992"/>
        <v>1</v>
      </c>
      <c r="AR896" s="1125">
        <f t="shared" si="993"/>
        <v>1</v>
      </c>
      <c r="AS896" s="1125">
        <f t="shared" si="994"/>
        <v>0</v>
      </c>
      <c r="AT896" s="1125">
        <f t="shared" si="995"/>
        <v>0</v>
      </c>
      <c r="AU896" s="1125">
        <f t="shared" si="996"/>
        <v>1</v>
      </c>
      <c r="AV896" s="1125">
        <f t="shared" si="997"/>
        <v>1</v>
      </c>
      <c r="AW896" s="1125">
        <f t="shared" si="998"/>
        <v>1</v>
      </c>
      <c r="AX896" s="1125">
        <f t="shared" si="999"/>
        <v>1</v>
      </c>
      <c r="AY896" s="1125">
        <f t="shared" si="1000"/>
        <v>0</v>
      </c>
      <c r="AZ896" s="1125">
        <f t="shared" si="1001"/>
        <v>0</v>
      </c>
      <c r="BA896" s="1125">
        <f t="shared" si="1002"/>
        <v>0</v>
      </c>
      <c r="BB896" s="1125">
        <f t="shared" si="1003"/>
        <v>0</v>
      </c>
      <c r="BC896" s="1125">
        <f t="shared" si="1004"/>
        <v>0</v>
      </c>
      <c r="BD896" s="1125">
        <f t="shared" si="1005"/>
        <v>0</v>
      </c>
      <c r="BE896" s="1125">
        <f t="shared" si="1006"/>
        <v>1</v>
      </c>
      <c r="BF896" s="1125">
        <f t="shared" si="1007"/>
        <v>1</v>
      </c>
      <c r="BG896" s="1125">
        <f t="shared" si="1008"/>
        <v>0</v>
      </c>
      <c r="BH896" s="1125">
        <f t="shared" si="1009"/>
        <v>0</v>
      </c>
      <c r="BI896" s="1125">
        <f t="shared" si="1010"/>
        <v>0</v>
      </c>
      <c r="BJ896" s="1125">
        <f t="shared" si="1011"/>
        <v>0</v>
      </c>
      <c r="BK896" s="1125">
        <f t="shared" si="1012"/>
        <v>1</v>
      </c>
      <c r="BL896" s="1125">
        <f t="shared" si="1013"/>
        <v>1</v>
      </c>
      <c r="BM896" s="1125">
        <f t="shared" si="1014"/>
        <v>1</v>
      </c>
      <c r="BN896" s="1125">
        <f t="shared" si="1015"/>
        <v>1</v>
      </c>
      <c r="BO896" s="1125">
        <f t="shared" si="1016"/>
        <v>1</v>
      </c>
      <c r="BP896" s="1125">
        <f t="shared" si="1017"/>
        <v>1</v>
      </c>
      <c r="BQ896" s="1125">
        <f t="shared" si="1018"/>
        <v>1</v>
      </c>
      <c r="BR896" s="1125">
        <f t="shared" si="1019"/>
        <v>0</v>
      </c>
      <c r="BS896" s="1125">
        <f t="shared" si="1020"/>
        <v>1</v>
      </c>
      <c r="BT896" s="1125">
        <f t="shared" si="1021"/>
        <v>1</v>
      </c>
      <c r="BU896" s="1125">
        <f t="shared" si="1022"/>
        <v>1</v>
      </c>
      <c r="BV896" s="1125">
        <f t="shared" si="1023"/>
        <v>1</v>
      </c>
      <c r="BW896" s="1125">
        <f t="shared" si="1024"/>
        <v>0</v>
      </c>
      <c r="BX896" s="1125">
        <f t="shared" si="1025"/>
        <v>0</v>
      </c>
      <c r="BY896" s="1125">
        <f t="shared" si="1026"/>
        <v>0</v>
      </c>
      <c r="BZ896" s="1125">
        <f t="shared" si="1027"/>
        <v>0</v>
      </c>
      <c r="CA896" s="1125">
        <f t="shared" si="1028"/>
        <v>0</v>
      </c>
      <c r="CB896" s="1125">
        <f t="shared" si="1029"/>
        <v>1</v>
      </c>
      <c r="CC896" s="1125">
        <f t="shared" si="1030"/>
        <v>1</v>
      </c>
      <c r="CD896" s="1125">
        <f t="shared" si="1031"/>
        <v>1</v>
      </c>
      <c r="CE896" s="1125">
        <f t="shared" si="1032"/>
        <v>1</v>
      </c>
      <c r="CF896" s="1125">
        <f t="shared" si="1033"/>
        <v>0</v>
      </c>
      <c r="CG896" s="1125">
        <f t="shared" si="1034"/>
        <v>0</v>
      </c>
      <c r="CH896" s="1125">
        <f t="shared" si="1035"/>
        <v>0</v>
      </c>
      <c r="CI896" s="1125">
        <f t="shared" si="1036"/>
        <v>0.85</v>
      </c>
      <c r="CJ896" s="1125">
        <f t="shared" si="1037"/>
        <v>0.85</v>
      </c>
      <c r="CK896" s="1125">
        <f t="shared" si="1038"/>
        <v>0.85</v>
      </c>
      <c r="CL896" s="1125">
        <f t="shared" si="1039"/>
        <v>0.85</v>
      </c>
      <c r="CM896" s="1125">
        <f t="shared" si="1040"/>
        <v>0.85</v>
      </c>
      <c r="CN896" s="1125">
        <f t="shared" si="1041"/>
        <v>0.85</v>
      </c>
      <c r="CO896" s="1125">
        <f t="shared" si="1042"/>
        <v>0.85</v>
      </c>
      <c r="CP896" s="1125">
        <f t="shared" si="1043"/>
        <v>0.7</v>
      </c>
      <c r="CQ896" s="1125">
        <f t="shared" si="1044"/>
        <v>0.85</v>
      </c>
      <c r="CR896" s="1125">
        <f t="shared" si="1045"/>
        <v>0.85</v>
      </c>
      <c r="CS896" s="1125">
        <f t="shared" si="1046"/>
        <v>0.85</v>
      </c>
      <c r="CT896" s="1125">
        <f t="shared" si="1047"/>
        <v>0.85</v>
      </c>
      <c r="CU896" s="1125">
        <v>1</v>
      </c>
      <c r="CV896" s="1125"/>
      <c r="CW896" s="1125">
        <f t="shared" si="1048"/>
        <v>122</v>
      </c>
      <c r="CX896" s="1125">
        <f t="shared" si="1049"/>
        <v>243</v>
      </c>
      <c r="CY896" s="1135" t="s">
        <v>4889</v>
      </c>
      <c r="CZ896" s="1124" t="s">
        <v>4899</v>
      </c>
      <c r="DA896" s="1124"/>
      <c r="DB896" s="1124"/>
      <c r="DC896" s="1120" t="s">
        <v>5684</v>
      </c>
      <c r="DD896" s="1120" t="s">
        <v>1278</v>
      </c>
      <c r="DE896" s="1120" t="str">
        <f t="shared" si="1050"/>
        <v/>
      </c>
      <c r="DF896" s="1133">
        <v>0</v>
      </c>
      <c r="DG896" s="1120">
        <v>0</v>
      </c>
    </row>
    <row r="897" spans="1:111">
      <c r="A897" s="1125" t="s">
        <v>4472</v>
      </c>
      <c r="B897" s="1125" t="s">
        <v>5808</v>
      </c>
      <c r="C897" s="1125" t="s">
        <v>5809</v>
      </c>
      <c r="D897" s="1125" t="s">
        <v>1176</v>
      </c>
      <c r="E897" s="1125">
        <v>223</v>
      </c>
      <c r="F897" s="1125">
        <v>-91.57</v>
      </c>
      <c r="G897" s="1125">
        <v>34.6</v>
      </c>
      <c r="H897" s="1125">
        <v>-6</v>
      </c>
      <c r="I897" s="1126">
        <v>25.160000085830688</v>
      </c>
      <c r="J897" s="1126">
        <v>93.379997253417969</v>
      </c>
      <c r="K897" s="1127">
        <v>76.639998626708987</v>
      </c>
      <c r="L897" s="1125">
        <v>2746.8</v>
      </c>
      <c r="M897" s="1125">
        <v>2160</v>
      </c>
      <c r="N897" s="1128">
        <v>44.779999828338624</v>
      </c>
      <c r="O897" s="1128">
        <v>45.140000343322754</v>
      </c>
      <c r="P897" s="1128">
        <v>51.980000686645511</v>
      </c>
      <c r="Q897" s="1128">
        <v>60.980000686645511</v>
      </c>
      <c r="R897" s="1128">
        <v>72.5</v>
      </c>
      <c r="S897" s="1128">
        <v>78.439998626708984</v>
      </c>
      <c r="T897" s="1128">
        <v>80.960001373291021</v>
      </c>
      <c r="U897" s="1128">
        <v>78.619999313354498</v>
      </c>
      <c r="V897" s="1128">
        <v>76.280000686645508</v>
      </c>
      <c r="W897" s="1128">
        <v>66.019999313354489</v>
      </c>
      <c r="X897" s="1128">
        <v>54.859999656677246</v>
      </c>
      <c r="Y897" s="1128">
        <v>41.9</v>
      </c>
      <c r="Z897" s="1128">
        <v>62.795287713090033</v>
      </c>
      <c r="AA897" s="1128">
        <f t="shared" si="976"/>
        <v>57.756165758566183</v>
      </c>
      <c r="AB897" s="1128">
        <f t="shared" si="977"/>
        <v>57.634633101658629</v>
      </c>
      <c r="AC897" s="1128">
        <f t="shared" si="978"/>
        <v>60.422297060114346</v>
      </c>
      <c r="AD897" s="1128">
        <f t="shared" si="979"/>
        <v>65.39251006395989</v>
      </c>
      <c r="AE897" s="1128">
        <f t="shared" si="980"/>
        <v>71.24970950044208</v>
      </c>
      <c r="AF897" s="1128">
        <f t="shared" si="981"/>
        <v>76.467126074266304</v>
      </c>
      <c r="AG897" s="1128">
        <f t="shared" si="982"/>
        <v>79.684759752642094</v>
      </c>
      <c r="AH897" s="1128">
        <f t="shared" si="983"/>
        <v>80.063884732064892</v>
      </c>
      <c r="AI897" s="1128">
        <f t="shared" si="984"/>
        <v>77.505676244155353</v>
      </c>
      <c r="AJ897" s="1128">
        <f t="shared" si="985"/>
        <v>72.676970754473231</v>
      </c>
      <c r="AK897" s="1128">
        <f t="shared" si="986"/>
        <v>66.836444761508233</v>
      </c>
      <c r="AL897" s="1128">
        <f t="shared" si="987"/>
        <v>61.506521370556641</v>
      </c>
      <c r="AM897" s="1125">
        <f t="shared" si="988"/>
        <v>1</v>
      </c>
      <c r="AN897" s="1125">
        <f t="shared" si="989"/>
        <v>1</v>
      </c>
      <c r="AO897" s="1125">
        <f t="shared" si="990"/>
        <v>1</v>
      </c>
      <c r="AP897" s="1125">
        <f t="shared" si="991"/>
        <v>1</v>
      </c>
      <c r="AQ897" s="1125">
        <f t="shared" si="992"/>
        <v>0</v>
      </c>
      <c r="AR897" s="1125">
        <f t="shared" si="993"/>
        <v>0</v>
      </c>
      <c r="AS897" s="1125">
        <f t="shared" si="994"/>
        <v>0</v>
      </c>
      <c r="AT897" s="1125">
        <f t="shared" si="995"/>
        <v>0</v>
      </c>
      <c r="AU897" s="1125">
        <f t="shared" si="996"/>
        <v>0</v>
      </c>
      <c r="AV897" s="1125">
        <f t="shared" si="997"/>
        <v>0</v>
      </c>
      <c r="AW897" s="1125">
        <f t="shared" si="998"/>
        <v>1</v>
      </c>
      <c r="AX897" s="1125">
        <f t="shared" si="999"/>
        <v>1</v>
      </c>
      <c r="AY897" s="1125">
        <f t="shared" si="1000"/>
        <v>0</v>
      </c>
      <c r="AZ897" s="1125">
        <f t="shared" si="1001"/>
        <v>0</v>
      </c>
      <c r="BA897" s="1125">
        <f t="shared" si="1002"/>
        <v>0</v>
      </c>
      <c r="BB897" s="1125">
        <f t="shared" si="1003"/>
        <v>0</v>
      </c>
      <c r="BC897" s="1125">
        <f t="shared" si="1004"/>
        <v>1</v>
      </c>
      <c r="BD897" s="1125">
        <f t="shared" si="1005"/>
        <v>1</v>
      </c>
      <c r="BE897" s="1125">
        <f t="shared" si="1006"/>
        <v>1</v>
      </c>
      <c r="BF897" s="1125">
        <f t="shared" si="1007"/>
        <v>1</v>
      </c>
      <c r="BG897" s="1125">
        <f t="shared" si="1008"/>
        <v>1</v>
      </c>
      <c r="BH897" s="1125">
        <f t="shared" si="1009"/>
        <v>1</v>
      </c>
      <c r="BI897" s="1125">
        <f t="shared" si="1010"/>
        <v>0</v>
      </c>
      <c r="BJ897" s="1125">
        <f t="shared" si="1011"/>
        <v>0</v>
      </c>
      <c r="BK897" s="1125">
        <f t="shared" si="1012"/>
        <v>1</v>
      </c>
      <c r="BL897" s="1125">
        <f t="shared" si="1013"/>
        <v>1</v>
      </c>
      <c r="BM897" s="1125">
        <f t="shared" si="1014"/>
        <v>1</v>
      </c>
      <c r="BN897" s="1125">
        <f t="shared" si="1015"/>
        <v>1</v>
      </c>
      <c r="BO897" s="1125">
        <f t="shared" si="1016"/>
        <v>1</v>
      </c>
      <c r="BP897" s="1125">
        <f t="shared" si="1017"/>
        <v>0</v>
      </c>
      <c r="BQ897" s="1125">
        <f t="shared" si="1018"/>
        <v>0</v>
      </c>
      <c r="BR897" s="1125">
        <f t="shared" si="1019"/>
        <v>0</v>
      </c>
      <c r="BS897" s="1125">
        <f t="shared" si="1020"/>
        <v>0</v>
      </c>
      <c r="BT897" s="1125">
        <f t="shared" si="1021"/>
        <v>0</v>
      </c>
      <c r="BU897" s="1125">
        <f t="shared" si="1022"/>
        <v>1</v>
      </c>
      <c r="BV897" s="1125">
        <f t="shared" si="1023"/>
        <v>1</v>
      </c>
      <c r="BW897" s="1125">
        <f t="shared" si="1024"/>
        <v>0</v>
      </c>
      <c r="BX897" s="1125">
        <f t="shared" si="1025"/>
        <v>0</v>
      </c>
      <c r="BY897" s="1125">
        <f t="shared" si="1026"/>
        <v>0</v>
      </c>
      <c r="BZ897" s="1125">
        <f t="shared" si="1027"/>
        <v>1</v>
      </c>
      <c r="CA897" s="1125">
        <f t="shared" si="1028"/>
        <v>1</v>
      </c>
      <c r="CB897" s="1125">
        <f t="shared" si="1029"/>
        <v>1</v>
      </c>
      <c r="CC897" s="1125">
        <f t="shared" si="1030"/>
        <v>1</v>
      </c>
      <c r="CD897" s="1125">
        <f t="shared" si="1031"/>
        <v>1</v>
      </c>
      <c r="CE897" s="1125">
        <f t="shared" si="1032"/>
        <v>1</v>
      </c>
      <c r="CF897" s="1125">
        <f t="shared" si="1033"/>
        <v>1</v>
      </c>
      <c r="CG897" s="1125">
        <f t="shared" si="1034"/>
        <v>1</v>
      </c>
      <c r="CH897" s="1125">
        <f t="shared" si="1035"/>
        <v>0</v>
      </c>
      <c r="CI897" s="1125">
        <f t="shared" si="1036"/>
        <v>0.85</v>
      </c>
      <c r="CJ897" s="1125">
        <f t="shared" si="1037"/>
        <v>0.85</v>
      </c>
      <c r="CK897" s="1125">
        <f t="shared" si="1038"/>
        <v>0.85</v>
      </c>
      <c r="CL897" s="1125">
        <f t="shared" si="1039"/>
        <v>0.85</v>
      </c>
      <c r="CM897" s="1125">
        <f t="shared" si="1040"/>
        <v>0.85</v>
      </c>
      <c r="CN897" s="1125">
        <f t="shared" si="1041"/>
        <v>0.7</v>
      </c>
      <c r="CO897" s="1125">
        <f t="shared" si="1042"/>
        <v>0.7</v>
      </c>
      <c r="CP897" s="1125">
        <f t="shared" si="1043"/>
        <v>0.7</v>
      </c>
      <c r="CQ897" s="1125">
        <f t="shared" si="1044"/>
        <v>0.7</v>
      </c>
      <c r="CR897" s="1125">
        <f t="shared" si="1045"/>
        <v>0.7</v>
      </c>
      <c r="CS897" s="1125">
        <f t="shared" si="1046"/>
        <v>0.85</v>
      </c>
      <c r="CT897" s="1125">
        <f t="shared" si="1047"/>
        <v>0.85</v>
      </c>
      <c r="CU897" s="1125">
        <v>1</v>
      </c>
      <c r="CV897" s="1125"/>
      <c r="CW897" s="1125">
        <f t="shared" si="1048"/>
        <v>244</v>
      </c>
      <c r="CX897" s="1125">
        <f t="shared" si="1049"/>
        <v>121</v>
      </c>
      <c r="CY897" s="1136" t="s">
        <v>4881</v>
      </c>
      <c r="CZ897" s="1129" t="s">
        <v>4882</v>
      </c>
      <c r="DA897" s="1129"/>
      <c r="DB897" s="1129"/>
      <c r="DC897" s="1125" t="s">
        <v>5715</v>
      </c>
      <c r="DD897" s="1125" t="s">
        <v>1176</v>
      </c>
      <c r="DE897" s="1125" t="str">
        <f t="shared" si="1050"/>
        <v/>
      </c>
      <c r="DF897" s="1125">
        <v>0</v>
      </c>
      <c r="DG897" s="1125">
        <v>0</v>
      </c>
    </row>
    <row r="898" spans="1:111">
      <c r="A898" s="1120" t="s">
        <v>4474</v>
      </c>
      <c r="B898" s="1125" t="s">
        <v>4316</v>
      </c>
      <c r="C898" s="1125" t="s">
        <v>4317</v>
      </c>
      <c r="D898" s="1125" t="s">
        <v>512</v>
      </c>
      <c r="E898" s="1125">
        <v>243</v>
      </c>
      <c r="F898" s="1125">
        <v>-80.47</v>
      </c>
      <c r="G898" s="1125">
        <v>33.97</v>
      </c>
      <c r="H898" s="1125">
        <v>-5</v>
      </c>
      <c r="I898" s="1126">
        <v>27.5</v>
      </c>
      <c r="J898" s="1126">
        <v>92.83999862670899</v>
      </c>
      <c r="K898" s="1127">
        <v>75.019999313354489</v>
      </c>
      <c r="L898" s="1125">
        <v>2964.6</v>
      </c>
      <c r="M898" s="1125">
        <v>1683</v>
      </c>
      <c r="N898" s="1128">
        <v>41.179999828338623</v>
      </c>
      <c r="O898" s="1128">
        <v>48.559999656677249</v>
      </c>
      <c r="P898" s="1128">
        <v>50.9</v>
      </c>
      <c r="Q898" s="1128">
        <v>60.080000686645505</v>
      </c>
      <c r="R898" s="1128">
        <v>67.819999313354487</v>
      </c>
      <c r="S898" s="1128">
        <v>77.719999313354492</v>
      </c>
      <c r="T898" s="1128">
        <v>80.599999999999994</v>
      </c>
      <c r="U898" s="1128">
        <v>75.739998626708982</v>
      </c>
      <c r="V898" s="1128">
        <v>71.060001373291016</v>
      </c>
      <c r="W898" s="1128">
        <v>61.160001373291017</v>
      </c>
      <c r="X898" s="1128">
        <v>49.640000343322754</v>
      </c>
      <c r="Y898" s="1128">
        <v>45.5</v>
      </c>
      <c r="Z898" s="1128">
        <v>60.889260315829759</v>
      </c>
      <c r="AA898" s="1128">
        <f t="shared" si="976"/>
        <v>56.216580782619147</v>
      </c>
      <c r="AB898" s="1128">
        <f t="shared" si="977"/>
        <v>55.910265179526455</v>
      </c>
      <c r="AC898" s="1128">
        <f t="shared" si="978"/>
        <v>58.465793850147648</v>
      </c>
      <c r="AD898" s="1128">
        <f t="shared" si="979"/>
        <v>63.217028864596429</v>
      </c>
      <c r="AE898" s="1128">
        <f t="shared" si="980"/>
        <v>68.925487597608821</v>
      </c>
      <c r="AF898" s="1128">
        <f t="shared" si="981"/>
        <v>74.103172310413257</v>
      </c>
      <c r="AG898" s="1128">
        <f t="shared" si="982"/>
        <v>77.400439692080582</v>
      </c>
      <c r="AH898" s="1128">
        <f t="shared" si="983"/>
        <v>77.95780618715078</v>
      </c>
      <c r="AI898" s="1128">
        <f t="shared" si="984"/>
        <v>75.629985629406136</v>
      </c>
      <c r="AJ898" s="1128">
        <f t="shared" si="985"/>
        <v>71.023760320023428</v>
      </c>
      <c r="AK898" s="1128">
        <f t="shared" si="986"/>
        <v>65.339813869973938</v>
      </c>
      <c r="AL898" s="1128">
        <f t="shared" si="987"/>
        <v>60.059754513729281</v>
      </c>
      <c r="AM898" s="1125">
        <f t="shared" si="988"/>
        <v>1</v>
      </c>
      <c r="AN898" s="1125">
        <f t="shared" si="989"/>
        <v>1</v>
      </c>
      <c r="AO898" s="1125">
        <f t="shared" si="990"/>
        <v>1</v>
      </c>
      <c r="AP898" s="1125">
        <f t="shared" si="991"/>
        <v>1</v>
      </c>
      <c r="AQ898" s="1125">
        <f t="shared" si="992"/>
        <v>0</v>
      </c>
      <c r="AR898" s="1125">
        <f t="shared" si="993"/>
        <v>0</v>
      </c>
      <c r="AS898" s="1125">
        <f t="shared" si="994"/>
        <v>0</v>
      </c>
      <c r="AT898" s="1125">
        <f t="shared" si="995"/>
        <v>0</v>
      </c>
      <c r="AU898" s="1125">
        <f t="shared" si="996"/>
        <v>0</v>
      </c>
      <c r="AV898" s="1125">
        <f t="shared" si="997"/>
        <v>1</v>
      </c>
      <c r="AW898" s="1125">
        <f t="shared" si="998"/>
        <v>1</v>
      </c>
      <c r="AX898" s="1125">
        <f t="shared" si="999"/>
        <v>1</v>
      </c>
      <c r="AY898" s="1125">
        <f t="shared" si="1000"/>
        <v>0</v>
      </c>
      <c r="AZ898" s="1125">
        <f t="shared" si="1001"/>
        <v>0</v>
      </c>
      <c r="BA898" s="1125">
        <f t="shared" si="1002"/>
        <v>0</v>
      </c>
      <c r="BB898" s="1125">
        <f t="shared" si="1003"/>
        <v>0</v>
      </c>
      <c r="BC898" s="1125">
        <f t="shared" si="1004"/>
        <v>1</v>
      </c>
      <c r="BD898" s="1125">
        <f t="shared" si="1005"/>
        <v>1</v>
      </c>
      <c r="BE898" s="1125">
        <f t="shared" si="1006"/>
        <v>1</v>
      </c>
      <c r="BF898" s="1125">
        <f t="shared" si="1007"/>
        <v>1</v>
      </c>
      <c r="BG898" s="1125">
        <f t="shared" si="1008"/>
        <v>1</v>
      </c>
      <c r="BH898" s="1125">
        <f t="shared" si="1009"/>
        <v>0</v>
      </c>
      <c r="BI898" s="1125">
        <f t="shared" si="1010"/>
        <v>0</v>
      </c>
      <c r="BJ898" s="1125">
        <f t="shared" si="1011"/>
        <v>0</v>
      </c>
      <c r="BK898" s="1125">
        <f t="shared" si="1012"/>
        <v>1</v>
      </c>
      <c r="BL898" s="1125">
        <f t="shared" si="1013"/>
        <v>1</v>
      </c>
      <c r="BM898" s="1125">
        <f t="shared" si="1014"/>
        <v>1</v>
      </c>
      <c r="BN898" s="1125">
        <f t="shared" si="1015"/>
        <v>1</v>
      </c>
      <c r="BO898" s="1125">
        <f t="shared" si="1016"/>
        <v>1</v>
      </c>
      <c r="BP898" s="1125">
        <f t="shared" si="1017"/>
        <v>0</v>
      </c>
      <c r="BQ898" s="1125">
        <f t="shared" si="1018"/>
        <v>0</v>
      </c>
      <c r="BR898" s="1125">
        <f t="shared" si="1019"/>
        <v>0</v>
      </c>
      <c r="BS898" s="1125">
        <f t="shared" si="1020"/>
        <v>0</v>
      </c>
      <c r="BT898" s="1125">
        <f t="shared" si="1021"/>
        <v>1</v>
      </c>
      <c r="BU898" s="1125">
        <f t="shared" si="1022"/>
        <v>1</v>
      </c>
      <c r="BV898" s="1125">
        <f t="shared" si="1023"/>
        <v>1</v>
      </c>
      <c r="BW898" s="1125">
        <f t="shared" si="1024"/>
        <v>0</v>
      </c>
      <c r="BX898" s="1125">
        <f t="shared" si="1025"/>
        <v>0</v>
      </c>
      <c r="BY898" s="1125">
        <f t="shared" si="1026"/>
        <v>0</v>
      </c>
      <c r="BZ898" s="1125">
        <f t="shared" si="1027"/>
        <v>1</v>
      </c>
      <c r="CA898" s="1125">
        <f t="shared" si="1028"/>
        <v>1</v>
      </c>
      <c r="CB898" s="1125">
        <f t="shared" si="1029"/>
        <v>1</v>
      </c>
      <c r="CC898" s="1125">
        <f t="shared" si="1030"/>
        <v>1</v>
      </c>
      <c r="CD898" s="1125">
        <f t="shared" si="1031"/>
        <v>1</v>
      </c>
      <c r="CE898" s="1125">
        <f t="shared" si="1032"/>
        <v>1</v>
      </c>
      <c r="CF898" s="1125">
        <f t="shared" si="1033"/>
        <v>1</v>
      </c>
      <c r="CG898" s="1125">
        <f t="shared" si="1034"/>
        <v>0</v>
      </c>
      <c r="CH898" s="1125">
        <f t="shared" si="1035"/>
        <v>0</v>
      </c>
      <c r="CI898" s="1125">
        <f t="shared" si="1036"/>
        <v>0.85</v>
      </c>
      <c r="CJ898" s="1125">
        <f t="shared" si="1037"/>
        <v>0.85</v>
      </c>
      <c r="CK898" s="1125">
        <f t="shared" si="1038"/>
        <v>0.85</v>
      </c>
      <c r="CL898" s="1125">
        <f t="shared" si="1039"/>
        <v>0.85</v>
      </c>
      <c r="CM898" s="1125">
        <f t="shared" si="1040"/>
        <v>0.85</v>
      </c>
      <c r="CN898" s="1125">
        <f t="shared" si="1041"/>
        <v>0.7</v>
      </c>
      <c r="CO898" s="1125">
        <f t="shared" si="1042"/>
        <v>0.7</v>
      </c>
      <c r="CP898" s="1125">
        <f t="shared" si="1043"/>
        <v>0.7</v>
      </c>
      <c r="CQ898" s="1125">
        <f t="shared" si="1044"/>
        <v>0.7</v>
      </c>
      <c r="CR898" s="1125">
        <f t="shared" si="1045"/>
        <v>0.85</v>
      </c>
      <c r="CS898" s="1125">
        <f t="shared" si="1046"/>
        <v>0.85</v>
      </c>
      <c r="CT898" s="1125">
        <f t="shared" si="1047"/>
        <v>0.85</v>
      </c>
      <c r="CU898" s="1125">
        <v>1</v>
      </c>
      <c r="CV898" s="1125"/>
      <c r="CW898" s="1125">
        <f t="shared" si="1048"/>
        <v>214</v>
      </c>
      <c r="CX898" s="1125">
        <f t="shared" si="1049"/>
        <v>151</v>
      </c>
      <c r="CY898" s="1136" t="s">
        <v>4881</v>
      </c>
      <c r="CZ898" s="1129" t="s">
        <v>4882</v>
      </c>
      <c r="DA898" s="1129"/>
      <c r="DB898" s="1129"/>
      <c r="DC898" s="1125" t="s">
        <v>5993</v>
      </c>
      <c r="DD898" s="1125" t="s">
        <v>512</v>
      </c>
      <c r="DE898" s="1120" t="b">
        <f t="shared" si="1050"/>
        <v>0</v>
      </c>
      <c r="DF898" s="1133">
        <v>0</v>
      </c>
      <c r="DG898" s="1120">
        <v>0</v>
      </c>
    </row>
    <row r="899" spans="1:111">
      <c r="A899" s="1125" t="s">
        <v>4476</v>
      </c>
      <c r="B899" s="1120" t="s">
        <v>4154</v>
      </c>
      <c r="C899" s="1120" t="s">
        <v>4155</v>
      </c>
      <c r="D899" s="1120" t="s">
        <v>537</v>
      </c>
      <c r="E899" s="1120">
        <v>410</v>
      </c>
      <c r="F899" s="1120">
        <v>-76.099999999999994</v>
      </c>
      <c r="G899" s="1120">
        <v>43.12</v>
      </c>
      <c r="H899" s="1120">
        <v>-5</v>
      </c>
      <c r="I899" s="1121">
        <v>2.8399986267089838</v>
      </c>
      <c r="J899" s="1121">
        <v>86</v>
      </c>
      <c r="K899" s="1122">
        <v>71.239998626708982</v>
      </c>
      <c r="L899" s="1120">
        <v>6364.8</v>
      </c>
      <c r="M899" s="1120">
        <v>595.80000000000007</v>
      </c>
      <c r="N899" s="1123">
        <v>26.060000085830687</v>
      </c>
      <c r="O899" s="1123">
        <v>25.339999914169312</v>
      </c>
      <c r="P899" s="1123">
        <v>37.4</v>
      </c>
      <c r="Q899" s="1123">
        <v>48.019999313354489</v>
      </c>
      <c r="R899" s="1123">
        <v>59.9</v>
      </c>
      <c r="S899" s="1123">
        <v>66.380000686645502</v>
      </c>
      <c r="T899" s="1123">
        <v>71.780000686645508</v>
      </c>
      <c r="U899" s="1123">
        <v>68</v>
      </c>
      <c r="V899" s="1123">
        <v>60.8</v>
      </c>
      <c r="W899" s="1123">
        <v>49.459999656677248</v>
      </c>
      <c r="X899" s="1123">
        <v>41</v>
      </c>
      <c r="Y899" s="1123">
        <v>27.679999828338623</v>
      </c>
      <c r="Z899" s="1123">
        <v>48.614246590627381</v>
      </c>
      <c r="AA899" s="1123">
        <f t="shared" ref="AA899:AA962" si="1051">MAX($Z899+6+(0.4+0.01*($Z899-44))*(MAX($N899:$Y899)-MIN($N899:$Y899))/2*SIN((0.986*((1*30-15)-15-(35-1*($Z899-44)))-90)*PI()/180),32)</f>
        <v>45.639136499532377</v>
      </c>
      <c r="AB899" s="1123">
        <f t="shared" ref="AB899:AB962" si="1052">MAX($Z899+6+(0.4+0.01*($Z899-44))*(MAX($N899:$Y899)-MIN($N899:$Y899))/2*SIN((0.986*((2*30-15)-15-(35-1*($Z899-44)))-90)*PI()/180),32)</f>
        <v>44.255046621277231</v>
      </c>
      <c r="AC899" s="1123">
        <f t="shared" ref="AC899:AC962" si="1053">MAX($Z899+6+(0.4+0.01*($Z899-44))*(MAX($N899:$Y899)-MIN($N899:$Y899))/2*SIN((0.986*((3*30-15)-15-(35-1*($Z899-44)))-90)*PI()/180),32)</f>
        <v>45.571241855136996</v>
      </c>
      <c r="AD899" s="1123">
        <f t="shared" ref="AD899:AD962" si="1054">MAX($Z899+6+(0.4+0.01*($Z899-44))*(MAX($N899:$Y899)-MIN($N899:$Y899))/2*SIN((0.986*((4*30-15)-15-(35-1*($Z899-44)))-90)*PI()/180),32)</f>
        <v>49.244635630223598</v>
      </c>
      <c r="AE899" s="1123">
        <f t="shared" ref="AE899:AE962" si="1055">MAX($Z899+6+(0.4+0.01*($Z899-44))*(MAX($N899:$Y899)-MIN($N899:$Y899))/2*SIN((0.986*((5*30-15)-15-(35-1*($Z899-44)))-90)*PI()/180),32)</f>
        <v>54.317701250349117</v>
      </c>
      <c r="AF899" s="1123">
        <f t="shared" ref="AF899:AF962" si="1056">MAX($Z899+6+(0.4+0.01*($Z899-44))*(MAX($N899:$Y899)-MIN($N899:$Y899))/2*SIN((0.986*((6*30-15)-15-(35-1*($Z899-44)))-90)*PI()/180),32)</f>
        <v>59.468065983320187</v>
      </c>
      <c r="AG899" s="1123">
        <f t="shared" ref="AG899:AG962" si="1057">MAX($Z899+6+(0.4+0.01*($Z899-44))*(MAX($N899:$Y899)-MIN($N899:$Y899))/2*SIN((0.986*((7*30-15)-15-(35-1*($Z899-44)))-90)*PI()/180),32)</f>
        <v>63.353207891964871</v>
      </c>
      <c r="AH899" s="1123">
        <f t="shared" ref="AH899:AH962" si="1058">MAX($Z899+6+(0.4+0.01*($Z899-44))*(MAX($N899:$Y899)-MIN($N899:$Y899))/2*SIN((0.986*((8*30-15)-15-(35-1*($Z899-44)))-90)*PI()/180),32)</f>
        <v>64.960404865945819</v>
      </c>
      <c r="AI899" s="1123">
        <f t="shared" ref="AI899:AI962" si="1059">MAX($Z899+6+(0.4+0.01*($Z899-44))*(MAX($N899:$Y899)-MIN($N899:$Y899))/2*SIN((0.986*((9*30-15)-15-(35-1*($Z899-44)))-90)*PI()/180),32)</f>
        <v>63.870716246339803</v>
      </c>
      <c r="AJ899" s="1123">
        <f t="shared" ref="AJ899:AJ962" si="1060">MAX($Z899+6+(0.4+0.01*($Z899-44))*(MAX($N899:$Y899)-MIN($N899:$Y899))/2*SIN((0.986*((10*30-15)-15-(35-1*($Z899-44)))-90)*PI()/180),32)</f>
        <v>60.368186164457086</v>
      </c>
      <c r="AK899" s="1123">
        <f t="shared" ref="AK899:AK962" si="1061">MAX($Z899+6+(0.4+0.01*($Z899-44))*(MAX($N899:$Y899)-MIN($N899:$Y899))/2*SIN((0.986*((11*30-15)-15-(35-1*($Z899-44)))-90)*PI()/180),32)</f>
        <v>55.365803061762769</v>
      </c>
      <c r="AL899" s="1123">
        <f t="shared" ref="AL899:AL962" si="1062">MAX($Z899+6+(0.4+0.01*($Z899-44))*(MAX($N899:$Y899)-MIN($N899:$Y899))/2*SIN((0.986*((12*30-15)-15-(35-1*($Z899-44)))-90)*PI()/180),32)</f>
        <v>50.16751518303122</v>
      </c>
      <c r="AM899" s="1120">
        <f t="shared" ref="AM899:AM962" si="1063">IF(AND(OR(LEFT(AM$1,3)="Jan",LEFT(AM$1,3)="Dec"),I899&lt;59),1,IF(N899&lt;66,1,0))</f>
        <v>1</v>
      </c>
      <c r="AN899" s="1120">
        <f t="shared" ref="AN899:AN962" si="1064">IF(AND(OR(LEFT(AN$1,3)="Jan",LEFT(AN$1,3)="Dec"),J899&lt;59),1,IF(O899&lt;66,1,0))</f>
        <v>1</v>
      </c>
      <c r="AO899" s="1120">
        <f t="shared" ref="AO899:AO962" si="1065">IF(AND(OR(LEFT(AO$1,3)="Jan",LEFT(AO$1,3)="Dec"),K899&lt;59),1,IF(P899&lt;66,1,0))</f>
        <v>1</v>
      </c>
      <c r="AP899" s="1120">
        <f t="shared" ref="AP899:AP962" si="1066">IF(AND(OR(LEFT(AP$1,3)="Jan",LEFT(AP$1,3)="Dec"),L899&lt;59),1,IF(Q899&lt;66,1,0))</f>
        <v>1</v>
      </c>
      <c r="AQ899" s="1120">
        <f t="shared" ref="AQ899:AQ962" si="1067">IF(AND(OR(LEFT(AQ$1,3)="Jan",LEFT(AQ$1,3)="Dec"),M899&lt;59),1,IF(R899&lt;66,1,0))</f>
        <v>1</v>
      </c>
      <c r="AR899" s="1120">
        <f t="shared" ref="AR899:AR962" si="1068">IF(AND(OR(LEFT(AR$1,3)="Jan",LEFT(AR$1,3)="Dec"),N899&lt;59),1,IF(S899&lt;66,1,0))</f>
        <v>0</v>
      </c>
      <c r="AS899" s="1120">
        <f t="shared" ref="AS899:AS962" si="1069">IF(AND(OR(LEFT(AS$1,3)="Jan",LEFT(AS$1,3)="Dec"),O899&lt;59),1,IF(T899&lt;66,1,0))</f>
        <v>0</v>
      </c>
      <c r="AT899" s="1120">
        <f t="shared" ref="AT899:AT962" si="1070">IF(AND(OR(LEFT(AT$1,3)="Jan",LEFT(AT$1,3)="Dec"),P899&lt;59),1,IF(U899&lt;66,1,0))</f>
        <v>0</v>
      </c>
      <c r="AU899" s="1120">
        <f t="shared" ref="AU899:AU962" si="1071">IF(AND(OR(LEFT(AU$1,3)="Jan",LEFT(AU$1,3)="Dec"),Q899&lt;59),1,IF(V899&lt;66,1,0))</f>
        <v>1</v>
      </c>
      <c r="AV899" s="1120">
        <f t="shared" ref="AV899:AV962" si="1072">IF(AND(OR(LEFT(AV$1,3)="Jan",LEFT(AV$1,3)="Dec"),R899&lt;59),1,IF(W899&lt;66,1,0))</f>
        <v>1</v>
      </c>
      <c r="AW899" s="1120">
        <f t="shared" ref="AW899:AW962" si="1073">IF(AND(OR(LEFT(AW$1,3)="Jan",LEFT(AW$1,3)="Dec"),S899&lt;59),1,IF(X899&lt;66,1,0))</f>
        <v>1</v>
      </c>
      <c r="AX899" s="1120">
        <f t="shared" ref="AX899:AX962" si="1074">IF(AND(OR(LEFT(AX$1,3)="Jan",LEFT(AX$1,3)="Dec"),T899&lt;59),1,IF(Y899&lt;66,1,0))</f>
        <v>1</v>
      </c>
      <c r="AY899" s="1120">
        <f t="shared" ref="AY899:AY962" si="1075">IF(OR(LEFT(AY$1,3)="Jul", LEFT(AY$1,3)="Aug"),1,IF(N899&gt;66,1,0))</f>
        <v>0</v>
      </c>
      <c r="AZ899" s="1120">
        <f t="shared" ref="AZ899:AZ962" si="1076">IF(OR(LEFT(AZ$1,3)="Jul", LEFT(AZ$1,3)="Aug"),1,IF(O899&gt;66,1,0))</f>
        <v>0</v>
      </c>
      <c r="BA899" s="1120">
        <f t="shared" ref="BA899:BA962" si="1077">IF(OR(LEFT(BA$1,3)="Jul", LEFT(BA$1,3)="Aug"),1,IF(P899&gt;66,1,0))</f>
        <v>0</v>
      </c>
      <c r="BB899" s="1120">
        <f t="shared" ref="BB899:BB962" si="1078">IF(OR(LEFT(BB$1,3)="Jul", LEFT(BB$1,3)="Aug"),1,IF(Q899&gt;66,1,0))</f>
        <v>0</v>
      </c>
      <c r="BC899" s="1120">
        <f t="shared" ref="BC899:BC962" si="1079">IF(OR(LEFT(BC$1,3)="Jul", LEFT(BC$1,3)="Aug"),1,IF(R899&gt;66,1,0))</f>
        <v>0</v>
      </c>
      <c r="BD899" s="1120">
        <f t="shared" ref="BD899:BD962" si="1080">IF(OR(LEFT(BD$1,3)="Jul", LEFT(BD$1,3)="Aug"),1,IF(S899&gt;66,1,0))</f>
        <v>1</v>
      </c>
      <c r="BE899" s="1120">
        <f t="shared" ref="BE899:BE962" si="1081">IF(OR(LEFT(BE$1,3)="Jul", LEFT(BE$1,3)="Aug"),1,IF(T899&gt;66,1,0))</f>
        <v>1</v>
      </c>
      <c r="BF899" s="1120">
        <f t="shared" ref="BF899:BF962" si="1082">IF(OR(LEFT(BF$1,3)="Jul", LEFT(BF$1,3)="Aug"),1,IF(U899&gt;66,1,0))</f>
        <v>1</v>
      </c>
      <c r="BG899" s="1120">
        <f t="shared" ref="BG899:BG962" si="1083">IF(OR(LEFT(BG$1,3)="Jul", LEFT(BG$1,3)="Aug"),1,IF(V899&gt;66,1,0))</f>
        <v>0</v>
      </c>
      <c r="BH899" s="1120">
        <f t="shared" ref="BH899:BH962" si="1084">IF(OR(LEFT(BH$1,3)="Jul", LEFT(BH$1,3)="Aug"),1,IF(W899&gt;66,1,0))</f>
        <v>0</v>
      </c>
      <c r="BI899" s="1120">
        <f t="shared" ref="BI899:BI962" si="1085">IF(OR(LEFT(BI$1,3)="Jul", LEFT(BI$1,3)="Aug"),1,IF(X899&gt;66,1,0))</f>
        <v>0</v>
      </c>
      <c r="BJ899" s="1120">
        <f t="shared" ref="BJ899:BJ962" si="1086">IF(OR(LEFT(BJ$1,3)="Jul", LEFT(BJ$1,3)="Aug"),1,IF(Y899&gt;66,1,0))</f>
        <v>0</v>
      </c>
      <c r="BK899" s="1120">
        <f t="shared" ref="BK899:BK962" si="1087">IF(AND(AY899=1,BJ899=0),1,AM899)</f>
        <v>1</v>
      </c>
      <c r="BL899" s="1120">
        <f t="shared" ref="BL899:BL962" si="1088">IF(AND(AY899=0,AZ899=1),1,AN899)</f>
        <v>1</v>
      </c>
      <c r="BM899" s="1120">
        <f t="shared" ref="BM899:BM962" si="1089">IF(AND(AZ899=0,BA899=1),1,AO899)</f>
        <v>1</v>
      </c>
      <c r="BN899" s="1120">
        <f t="shared" ref="BN899:BN962" si="1090">IF(AND(BA899=0,BB899=1),1,AP899)</f>
        <v>1</v>
      </c>
      <c r="BO899" s="1120">
        <f t="shared" ref="BO899:BO962" si="1091">IF(AND(BB899=0,BC899=1),1,AQ899)</f>
        <v>1</v>
      </c>
      <c r="BP899" s="1120">
        <f t="shared" ref="BP899:BP962" si="1092">IF(AND(BC899=0,BD899=1),1,AR899)</f>
        <v>1</v>
      </c>
      <c r="BQ899" s="1120">
        <f t="shared" ref="BQ899:BQ962" si="1093">IF(AND(BD899=0,BE899=1),1,AS899)</f>
        <v>0</v>
      </c>
      <c r="BR899" s="1120">
        <f t="shared" ref="BR899:BR962" si="1094">IF(AND(BE899=0,BF899=1),1,AT899)</f>
        <v>0</v>
      </c>
      <c r="BS899" s="1120">
        <f t="shared" ref="BS899:BS962" si="1095">IF(AND(BF899=0,BG899=1),1,AU899)</f>
        <v>1</v>
      </c>
      <c r="BT899" s="1120">
        <f t="shared" ref="BT899:BT962" si="1096">IF(AND(BG899=0,BH899=1),1,AV899)</f>
        <v>1</v>
      </c>
      <c r="BU899" s="1120">
        <f t="shared" ref="BU899:BU962" si="1097">IF(AND(BH899=0,BI899=1),1,AW899)</f>
        <v>1</v>
      </c>
      <c r="BV899" s="1120">
        <f t="shared" ref="BV899:BV962" si="1098">IF(AND(BI899=0,BJ899=1),1,AX899)</f>
        <v>1</v>
      </c>
      <c r="BW899" s="1120">
        <f t="shared" ref="BW899:BW962" si="1099">IF(OR(AND(AX899=0,AM899=1),AND(AM899=1,AN899=0)),1,AY899)</f>
        <v>0</v>
      </c>
      <c r="BX899" s="1120">
        <f t="shared" ref="BX899:BX962" si="1100">IF(OR(AND(AM899=0,AN899=1),AND(AN899=1,AO899=0)),1,AZ899)</f>
        <v>0</v>
      </c>
      <c r="BY899" s="1120">
        <f t="shared" ref="BY899:BY962" si="1101">IF(OR(AND(AN899=0,AO899=1),AND(AO899=1,AP899=0)),1,BA899)</f>
        <v>0</v>
      </c>
      <c r="BZ899" s="1120">
        <f t="shared" ref="BZ899:BZ962" si="1102">IF(OR(AND(AO899=0,AP899=1),AND(AP899=1,AQ899=0)),1,BB899)</f>
        <v>0</v>
      </c>
      <c r="CA899" s="1120">
        <f t="shared" ref="CA899:CA962" si="1103">IF(OR(AND(AP899=0,AQ899=1),AND(AQ899=1,AR899=0)),1,BC899)</f>
        <v>1</v>
      </c>
      <c r="CB899" s="1120">
        <f t="shared" ref="CB899:CB962" si="1104">IF(OR(AND(AQ899=0,AR899=1),AND(AR899=1,AS899=0)),1,BD899)</f>
        <v>1</v>
      </c>
      <c r="CC899" s="1120">
        <f t="shared" ref="CC899:CC962" si="1105">IF(OR(AND(AR899=0,AS899=1),AND(AS899=1,AT899=0)),1,BE899)</f>
        <v>1</v>
      </c>
      <c r="CD899" s="1120">
        <f t="shared" ref="CD899:CD962" si="1106">IF(OR(AND(AS899=0,AT899=1),AND(AT899=1,AU899=0)),1,BF899)</f>
        <v>1</v>
      </c>
      <c r="CE899" s="1120">
        <f t="shared" ref="CE899:CE962" si="1107">IF(OR(AND(AT899=0,AU899=1),AND(AU899=1,AV899=0)),1,BG899)</f>
        <v>1</v>
      </c>
      <c r="CF899" s="1120">
        <f t="shared" ref="CF899:CF962" si="1108">IF(OR(AND(AU899=0,AV899=1),AND(AV899=1,AW899=0)),1,BH899)</f>
        <v>0</v>
      </c>
      <c r="CG899" s="1120">
        <f t="shared" ref="CG899:CG962" si="1109">IF(OR(AND(AV899=0,AW899=1),AND(AW899=1,AX899=0)),1,BI899)</f>
        <v>0</v>
      </c>
      <c r="CH899" s="1120">
        <f t="shared" ref="CH899:CH962" si="1110">IF(OR(AND(AW899=0,AX899=1),AND(AX899=1,AM899=0)),1,BJ899)</f>
        <v>0</v>
      </c>
      <c r="CI899" s="1120">
        <f t="shared" ref="CI899:CI962" si="1111">IF(BK899=1,0.85,0.7)</f>
        <v>0.85</v>
      </c>
      <c r="CJ899" s="1120">
        <f t="shared" ref="CJ899:CJ962" si="1112">IF(BL899=1,0.85,0.7)</f>
        <v>0.85</v>
      </c>
      <c r="CK899" s="1120">
        <f t="shared" ref="CK899:CK962" si="1113">IF(BM899=1,0.85,0.7)</f>
        <v>0.85</v>
      </c>
      <c r="CL899" s="1120">
        <f t="shared" ref="CL899:CL962" si="1114">IF(BN899=1,0.85,0.7)</f>
        <v>0.85</v>
      </c>
      <c r="CM899" s="1120">
        <f t="shared" ref="CM899:CM962" si="1115">IF(BO899=1,0.85,0.7)</f>
        <v>0.85</v>
      </c>
      <c r="CN899" s="1120">
        <f t="shared" ref="CN899:CN962" si="1116">IF(BP899=1,0.85,0.7)</f>
        <v>0.85</v>
      </c>
      <c r="CO899" s="1120">
        <f t="shared" ref="CO899:CO962" si="1117">IF(BQ899=1,0.85,0.7)</f>
        <v>0.7</v>
      </c>
      <c r="CP899" s="1120">
        <f t="shared" ref="CP899:CP962" si="1118">IF(BR899=1,0.85,0.7)</f>
        <v>0.7</v>
      </c>
      <c r="CQ899" s="1120">
        <f t="shared" ref="CQ899:CQ962" si="1119">IF(BS899=1,0.85,0.7)</f>
        <v>0.85</v>
      </c>
      <c r="CR899" s="1120">
        <f t="shared" ref="CR899:CR962" si="1120">IF(BT899=1,0.85,0.7)</f>
        <v>0.85</v>
      </c>
      <c r="CS899" s="1120">
        <f t="shared" ref="CS899:CS962" si="1121">IF(BU899=1,0.85,0.7)</f>
        <v>0.85</v>
      </c>
      <c r="CT899" s="1120">
        <f t="shared" ref="CT899:CT962" si="1122">IF(BV899=1,0.85,0.7)</f>
        <v>0.85</v>
      </c>
      <c r="CU899" s="1120">
        <v>1</v>
      </c>
      <c r="CV899" s="1120"/>
      <c r="CW899" s="1120">
        <f t="shared" ref="CW899:CW962" si="1123">BW899*31+BX899*28+BY899*31+BZ899*30+CA899*31+CB899*30+CC899*31+CD899*31+CE899*30+CF899*31+CG899*30+CH899*31</f>
        <v>153</v>
      </c>
      <c r="CX899" s="1120">
        <f t="shared" ref="CX899:CX962" si="1124">365-CW899</f>
        <v>212</v>
      </c>
      <c r="CY899" s="1135" t="s">
        <v>4889</v>
      </c>
      <c r="CZ899" s="1124" t="s">
        <v>4897</v>
      </c>
      <c r="DA899" s="1124"/>
      <c r="DB899" s="1124"/>
      <c r="DC899" s="1120" t="s">
        <v>5485</v>
      </c>
      <c r="DD899" s="1120" t="s">
        <v>537</v>
      </c>
      <c r="DE899" s="1120" t="b">
        <f t="shared" si="1050"/>
        <v>0</v>
      </c>
      <c r="DF899" s="1133">
        <v>0</v>
      </c>
      <c r="DG899" s="1125">
        <v>0</v>
      </c>
    </row>
    <row r="900" spans="1:111">
      <c r="A900" s="1120" t="s">
        <v>5931</v>
      </c>
      <c r="B900" s="1120" t="s">
        <v>4590</v>
      </c>
      <c r="C900" s="1120" t="s">
        <v>4591</v>
      </c>
      <c r="D900" s="1120" t="s">
        <v>238</v>
      </c>
      <c r="E900" s="1120">
        <v>289</v>
      </c>
      <c r="F900" s="1120">
        <v>-122.48</v>
      </c>
      <c r="G900" s="1120">
        <v>47.15</v>
      </c>
      <c r="H900" s="1120">
        <v>-8</v>
      </c>
      <c r="I900" s="1121">
        <v>24.8</v>
      </c>
      <c r="J900" s="1121">
        <v>82.219999313354492</v>
      </c>
      <c r="K900" s="1122">
        <v>63.5</v>
      </c>
      <c r="L900" s="1120">
        <v>5486.4000000000005</v>
      </c>
      <c r="M900" s="1120">
        <v>169.20000000000002</v>
      </c>
      <c r="N900" s="1123">
        <v>38.299999999999997</v>
      </c>
      <c r="O900" s="1123">
        <v>39.559999656677249</v>
      </c>
      <c r="P900" s="1123">
        <v>41.359999656677246</v>
      </c>
      <c r="Q900" s="1123">
        <v>47.480000686645511</v>
      </c>
      <c r="R900" s="1123">
        <v>51.8</v>
      </c>
      <c r="S900" s="1123">
        <v>59</v>
      </c>
      <c r="T900" s="1123">
        <v>66.019999313354489</v>
      </c>
      <c r="U900" s="1123">
        <v>66.560001373291016</v>
      </c>
      <c r="V900" s="1123">
        <v>59</v>
      </c>
      <c r="W900" s="1123">
        <v>49.640000343322754</v>
      </c>
      <c r="X900" s="1123">
        <v>39.740000343322755</v>
      </c>
      <c r="Y900" s="1123">
        <v>38.660000085830688</v>
      </c>
      <c r="Z900" s="1123">
        <v>49.826904233514448</v>
      </c>
      <c r="AA900" s="1123">
        <f t="shared" si="1051"/>
        <v>50.15059652349909</v>
      </c>
      <c r="AB900" s="1123">
        <f t="shared" si="1052"/>
        <v>49.352217958847156</v>
      </c>
      <c r="AC900" s="1123">
        <f t="shared" si="1053"/>
        <v>50.241566149622997</v>
      </c>
      <c r="AD900" s="1123">
        <f t="shared" si="1054"/>
        <v>52.58681878463041</v>
      </c>
      <c r="AE900" s="1123">
        <f t="shared" si="1055"/>
        <v>55.776649623117628</v>
      </c>
      <c r="AF900" s="1123">
        <f t="shared" si="1056"/>
        <v>58.979580100251759</v>
      </c>
      <c r="AG900" s="1123">
        <f t="shared" si="1057"/>
        <v>61.360717028515076</v>
      </c>
      <c r="AH900" s="1123">
        <f t="shared" si="1058"/>
        <v>62.299380373124947</v>
      </c>
      <c r="AI900" s="1123">
        <f t="shared" si="1059"/>
        <v>61.550893068068802</v>
      </c>
      <c r="AJ900" s="1123">
        <f t="shared" si="1060"/>
        <v>59.310359863948058</v>
      </c>
      <c r="AK900" s="1123">
        <f t="shared" si="1061"/>
        <v>56.161810268078597</v>
      </c>
      <c r="AL900" s="1123">
        <f t="shared" si="1062"/>
        <v>52.925962253241771</v>
      </c>
      <c r="AM900" s="1120">
        <f t="shared" si="1063"/>
        <v>1</v>
      </c>
      <c r="AN900" s="1120">
        <f t="shared" si="1064"/>
        <v>1</v>
      </c>
      <c r="AO900" s="1120">
        <f t="shared" si="1065"/>
        <v>1</v>
      </c>
      <c r="AP900" s="1120">
        <f t="shared" si="1066"/>
        <v>1</v>
      </c>
      <c r="AQ900" s="1120">
        <f t="shared" si="1067"/>
        <v>1</v>
      </c>
      <c r="AR900" s="1120">
        <f t="shared" si="1068"/>
        <v>1</v>
      </c>
      <c r="AS900" s="1120">
        <f t="shared" si="1069"/>
        <v>0</v>
      </c>
      <c r="AT900" s="1120">
        <f t="shared" si="1070"/>
        <v>0</v>
      </c>
      <c r="AU900" s="1120">
        <f t="shared" si="1071"/>
        <v>1</v>
      </c>
      <c r="AV900" s="1120">
        <f t="shared" si="1072"/>
        <v>1</v>
      </c>
      <c r="AW900" s="1120">
        <f t="shared" si="1073"/>
        <v>1</v>
      </c>
      <c r="AX900" s="1120">
        <f t="shared" si="1074"/>
        <v>1</v>
      </c>
      <c r="AY900" s="1120">
        <f t="shared" si="1075"/>
        <v>0</v>
      </c>
      <c r="AZ900" s="1120">
        <f t="shared" si="1076"/>
        <v>0</v>
      </c>
      <c r="BA900" s="1120">
        <f t="shared" si="1077"/>
        <v>0</v>
      </c>
      <c r="BB900" s="1120">
        <f t="shared" si="1078"/>
        <v>0</v>
      </c>
      <c r="BC900" s="1120">
        <f t="shared" si="1079"/>
        <v>0</v>
      </c>
      <c r="BD900" s="1120">
        <f t="shared" si="1080"/>
        <v>0</v>
      </c>
      <c r="BE900" s="1120">
        <f t="shared" si="1081"/>
        <v>1</v>
      </c>
      <c r="BF900" s="1120">
        <f t="shared" si="1082"/>
        <v>1</v>
      </c>
      <c r="BG900" s="1120">
        <f t="shared" si="1083"/>
        <v>0</v>
      </c>
      <c r="BH900" s="1120">
        <f t="shared" si="1084"/>
        <v>0</v>
      </c>
      <c r="BI900" s="1120">
        <f t="shared" si="1085"/>
        <v>0</v>
      </c>
      <c r="BJ900" s="1120">
        <f t="shared" si="1086"/>
        <v>0</v>
      </c>
      <c r="BK900" s="1120">
        <f t="shared" si="1087"/>
        <v>1</v>
      </c>
      <c r="BL900" s="1120">
        <f t="shared" si="1088"/>
        <v>1</v>
      </c>
      <c r="BM900" s="1120">
        <f t="shared" si="1089"/>
        <v>1</v>
      </c>
      <c r="BN900" s="1120">
        <f t="shared" si="1090"/>
        <v>1</v>
      </c>
      <c r="BO900" s="1120">
        <f t="shared" si="1091"/>
        <v>1</v>
      </c>
      <c r="BP900" s="1120">
        <f t="shared" si="1092"/>
        <v>1</v>
      </c>
      <c r="BQ900" s="1120">
        <f t="shared" si="1093"/>
        <v>1</v>
      </c>
      <c r="BR900" s="1120">
        <f t="shared" si="1094"/>
        <v>0</v>
      </c>
      <c r="BS900" s="1120">
        <f t="shared" si="1095"/>
        <v>1</v>
      </c>
      <c r="BT900" s="1120">
        <f t="shared" si="1096"/>
        <v>1</v>
      </c>
      <c r="BU900" s="1120">
        <f t="shared" si="1097"/>
        <v>1</v>
      </c>
      <c r="BV900" s="1120">
        <f t="shared" si="1098"/>
        <v>1</v>
      </c>
      <c r="BW900" s="1120">
        <f t="shared" si="1099"/>
        <v>0</v>
      </c>
      <c r="BX900" s="1120">
        <f t="shared" si="1100"/>
        <v>0</v>
      </c>
      <c r="BY900" s="1120">
        <f t="shared" si="1101"/>
        <v>0</v>
      </c>
      <c r="BZ900" s="1120">
        <f t="shared" si="1102"/>
        <v>0</v>
      </c>
      <c r="CA900" s="1120">
        <f t="shared" si="1103"/>
        <v>0</v>
      </c>
      <c r="CB900" s="1120">
        <f t="shared" si="1104"/>
        <v>1</v>
      </c>
      <c r="CC900" s="1120">
        <f t="shared" si="1105"/>
        <v>1</v>
      </c>
      <c r="CD900" s="1120">
        <f t="shared" si="1106"/>
        <v>1</v>
      </c>
      <c r="CE900" s="1120">
        <f t="shared" si="1107"/>
        <v>1</v>
      </c>
      <c r="CF900" s="1120">
        <f t="shared" si="1108"/>
        <v>0</v>
      </c>
      <c r="CG900" s="1120">
        <f t="shared" si="1109"/>
        <v>0</v>
      </c>
      <c r="CH900" s="1120">
        <f t="shared" si="1110"/>
        <v>0</v>
      </c>
      <c r="CI900" s="1120">
        <f t="shared" si="1111"/>
        <v>0.85</v>
      </c>
      <c r="CJ900" s="1120">
        <f t="shared" si="1112"/>
        <v>0.85</v>
      </c>
      <c r="CK900" s="1120">
        <f t="shared" si="1113"/>
        <v>0.85</v>
      </c>
      <c r="CL900" s="1120">
        <f t="shared" si="1114"/>
        <v>0.85</v>
      </c>
      <c r="CM900" s="1120">
        <f t="shared" si="1115"/>
        <v>0.85</v>
      </c>
      <c r="CN900" s="1120">
        <f t="shared" si="1116"/>
        <v>0.85</v>
      </c>
      <c r="CO900" s="1120">
        <f t="shared" si="1117"/>
        <v>0.85</v>
      </c>
      <c r="CP900" s="1120">
        <f t="shared" si="1118"/>
        <v>0.7</v>
      </c>
      <c r="CQ900" s="1120">
        <f t="shared" si="1119"/>
        <v>0.85</v>
      </c>
      <c r="CR900" s="1120">
        <f t="shared" si="1120"/>
        <v>0.85</v>
      </c>
      <c r="CS900" s="1120">
        <f t="shared" si="1121"/>
        <v>0.85</v>
      </c>
      <c r="CT900" s="1120">
        <f t="shared" si="1122"/>
        <v>0.85</v>
      </c>
      <c r="CU900" s="1120">
        <v>1</v>
      </c>
      <c r="CV900" s="1120"/>
      <c r="CW900" s="1120">
        <f t="shared" si="1123"/>
        <v>122</v>
      </c>
      <c r="CX900" s="1120">
        <f t="shared" si="1124"/>
        <v>243</v>
      </c>
      <c r="CY900" s="1135" t="s">
        <v>4893</v>
      </c>
      <c r="CZ900" s="1124" t="s">
        <v>4894</v>
      </c>
      <c r="DA900" s="1124"/>
      <c r="DB900" s="1124"/>
      <c r="DC900" s="1120" t="s">
        <v>6016</v>
      </c>
      <c r="DD900" s="1120" t="s">
        <v>238</v>
      </c>
      <c r="DE900" s="1120" t="b">
        <f t="shared" si="1050"/>
        <v>0</v>
      </c>
      <c r="DF900" s="1133">
        <v>0</v>
      </c>
      <c r="DG900" s="1120">
        <v>0</v>
      </c>
    </row>
    <row r="901" spans="1:111">
      <c r="A901" s="1125" t="s">
        <v>5933</v>
      </c>
      <c r="B901" s="1125" t="s">
        <v>4592</v>
      </c>
      <c r="C901" s="1125" t="s">
        <v>4593</v>
      </c>
      <c r="D901" s="1125" t="s">
        <v>238</v>
      </c>
      <c r="E901" s="1125">
        <v>298</v>
      </c>
      <c r="F901" s="1125">
        <v>-122.58</v>
      </c>
      <c r="G901" s="1125">
        <v>47.27</v>
      </c>
      <c r="H901" s="1125">
        <v>-8</v>
      </c>
      <c r="I901" s="1126">
        <v>32.540000021457672</v>
      </c>
      <c r="J901" s="1126">
        <v>80.780000686645508</v>
      </c>
      <c r="K901" s="1127">
        <v>62.960001373291014</v>
      </c>
      <c r="L901" s="1125">
        <v>4692.6000000000004</v>
      </c>
      <c r="M901" s="1125">
        <v>133.20000000000002</v>
      </c>
      <c r="N901" s="1128">
        <v>42.079999828338622</v>
      </c>
      <c r="O901" s="1128">
        <v>43.159999656677243</v>
      </c>
      <c r="P901" s="1128">
        <v>44.240000343322755</v>
      </c>
      <c r="Q901" s="1128">
        <v>51.080000686645505</v>
      </c>
      <c r="R901" s="1128">
        <v>53.059999656677249</v>
      </c>
      <c r="S901" s="1128">
        <v>62.780000686645508</v>
      </c>
      <c r="T901" s="1128">
        <v>64.219999313354492</v>
      </c>
      <c r="U901" s="1128">
        <v>63.139998626708987</v>
      </c>
      <c r="V901" s="1128">
        <v>57.919999313354495</v>
      </c>
      <c r="W901" s="1128">
        <v>52.159999656677243</v>
      </c>
      <c r="X901" s="1128">
        <v>46.4</v>
      </c>
      <c r="Y901" s="1128">
        <v>42.259999656677245</v>
      </c>
      <c r="Z901" s="1128">
        <v>51.917369645262418</v>
      </c>
      <c r="AA901" s="1128">
        <f t="shared" si="1051"/>
        <v>53.178667876300416</v>
      </c>
      <c r="AB901" s="1128">
        <f t="shared" si="1052"/>
        <v>52.619600555021897</v>
      </c>
      <c r="AC901" s="1128">
        <f t="shared" si="1053"/>
        <v>53.441478388207514</v>
      </c>
      <c r="AD901" s="1128">
        <f t="shared" si="1054"/>
        <v>55.430066253116628</v>
      </c>
      <c r="AE901" s="1128">
        <f t="shared" si="1055"/>
        <v>58.067008077694069</v>
      </c>
      <c r="AF901" s="1128">
        <f t="shared" si="1056"/>
        <v>60.66494433886016</v>
      </c>
      <c r="AG901" s="1128">
        <f t="shared" si="1057"/>
        <v>62.546682914732308</v>
      </c>
      <c r="AH901" s="1128">
        <f t="shared" si="1058"/>
        <v>63.221719647040203</v>
      </c>
      <c r="AI901" s="1128">
        <f t="shared" si="1059"/>
        <v>62.514095808876867</v>
      </c>
      <c r="AJ901" s="1128">
        <f t="shared" si="1060"/>
        <v>60.608264458473009</v>
      </c>
      <c r="AK901" s="1128">
        <f t="shared" si="1061"/>
        <v>58.001009907061515</v>
      </c>
      <c r="AL901" s="1128">
        <f t="shared" si="1062"/>
        <v>55.371953232476628</v>
      </c>
      <c r="AM901" s="1125">
        <f t="shared" si="1063"/>
        <v>1</v>
      </c>
      <c r="AN901" s="1125">
        <f t="shared" si="1064"/>
        <v>1</v>
      </c>
      <c r="AO901" s="1125">
        <f t="shared" si="1065"/>
        <v>1</v>
      </c>
      <c r="AP901" s="1125">
        <f t="shared" si="1066"/>
        <v>1</v>
      </c>
      <c r="AQ901" s="1125">
        <f t="shared" si="1067"/>
        <v>1</v>
      </c>
      <c r="AR901" s="1125">
        <f t="shared" si="1068"/>
        <v>1</v>
      </c>
      <c r="AS901" s="1125">
        <f t="shared" si="1069"/>
        <v>1</v>
      </c>
      <c r="AT901" s="1125">
        <f t="shared" si="1070"/>
        <v>1</v>
      </c>
      <c r="AU901" s="1125">
        <f t="shared" si="1071"/>
        <v>1</v>
      </c>
      <c r="AV901" s="1125">
        <f t="shared" si="1072"/>
        <v>1</v>
      </c>
      <c r="AW901" s="1125">
        <f t="shared" si="1073"/>
        <v>1</v>
      </c>
      <c r="AX901" s="1125">
        <f t="shared" si="1074"/>
        <v>1</v>
      </c>
      <c r="AY901" s="1125">
        <f t="shared" si="1075"/>
        <v>0</v>
      </c>
      <c r="AZ901" s="1125">
        <f t="shared" si="1076"/>
        <v>0</v>
      </c>
      <c r="BA901" s="1125">
        <f t="shared" si="1077"/>
        <v>0</v>
      </c>
      <c r="BB901" s="1125">
        <f t="shared" si="1078"/>
        <v>0</v>
      </c>
      <c r="BC901" s="1125">
        <f t="shared" si="1079"/>
        <v>0</v>
      </c>
      <c r="BD901" s="1125">
        <f t="shared" si="1080"/>
        <v>0</v>
      </c>
      <c r="BE901" s="1125">
        <f t="shared" si="1081"/>
        <v>1</v>
      </c>
      <c r="BF901" s="1125">
        <f t="shared" si="1082"/>
        <v>1</v>
      </c>
      <c r="BG901" s="1125">
        <f t="shared" si="1083"/>
        <v>0</v>
      </c>
      <c r="BH901" s="1125">
        <f t="shared" si="1084"/>
        <v>0</v>
      </c>
      <c r="BI901" s="1125">
        <f t="shared" si="1085"/>
        <v>0</v>
      </c>
      <c r="BJ901" s="1125">
        <f t="shared" si="1086"/>
        <v>0</v>
      </c>
      <c r="BK901" s="1125">
        <f t="shared" si="1087"/>
        <v>1</v>
      </c>
      <c r="BL901" s="1125">
        <f t="shared" si="1088"/>
        <v>1</v>
      </c>
      <c r="BM901" s="1125">
        <f t="shared" si="1089"/>
        <v>1</v>
      </c>
      <c r="BN901" s="1125">
        <f t="shared" si="1090"/>
        <v>1</v>
      </c>
      <c r="BO901" s="1125">
        <f t="shared" si="1091"/>
        <v>1</v>
      </c>
      <c r="BP901" s="1125">
        <f t="shared" si="1092"/>
        <v>1</v>
      </c>
      <c r="BQ901" s="1125">
        <f t="shared" si="1093"/>
        <v>1</v>
      </c>
      <c r="BR901" s="1125">
        <f t="shared" si="1094"/>
        <v>1</v>
      </c>
      <c r="BS901" s="1125">
        <f t="shared" si="1095"/>
        <v>1</v>
      </c>
      <c r="BT901" s="1125">
        <f t="shared" si="1096"/>
        <v>1</v>
      </c>
      <c r="BU901" s="1125">
        <f t="shared" si="1097"/>
        <v>1</v>
      </c>
      <c r="BV901" s="1125">
        <f t="shared" si="1098"/>
        <v>1</v>
      </c>
      <c r="BW901" s="1125">
        <f t="shared" si="1099"/>
        <v>0</v>
      </c>
      <c r="BX901" s="1125">
        <f t="shared" si="1100"/>
        <v>0</v>
      </c>
      <c r="BY901" s="1125">
        <f t="shared" si="1101"/>
        <v>0</v>
      </c>
      <c r="BZ901" s="1125">
        <f t="shared" si="1102"/>
        <v>0</v>
      </c>
      <c r="CA901" s="1125">
        <f t="shared" si="1103"/>
        <v>0</v>
      </c>
      <c r="CB901" s="1125">
        <f t="shared" si="1104"/>
        <v>0</v>
      </c>
      <c r="CC901" s="1125">
        <f t="shared" si="1105"/>
        <v>1</v>
      </c>
      <c r="CD901" s="1125">
        <f t="shared" si="1106"/>
        <v>1</v>
      </c>
      <c r="CE901" s="1125">
        <f t="shared" si="1107"/>
        <v>0</v>
      </c>
      <c r="CF901" s="1125">
        <f t="shared" si="1108"/>
        <v>0</v>
      </c>
      <c r="CG901" s="1125">
        <f t="shared" si="1109"/>
        <v>0</v>
      </c>
      <c r="CH901" s="1125">
        <f t="shared" si="1110"/>
        <v>0</v>
      </c>
      <c r="CI901" s="1125">
        <f t="shared" si="1111"/>
        <v>0.85</v>
      </c>
      <c r="CJ901" s="1125">
        <f t="shared" si="1112"/>
        <v>0.85</v>
      </c>
      <c r="CK901" s="1125">
        <f t="shared" si="1113"/>
        <v>0.85</v>
      </c>
      <c r="CL901" s="1125">
        <f t="shared" si="1114"/>
        <v>0.85</v>
      </c>
      <c r="CM901" s="1125">
        <f t="shared" si="1115"/>
        <v>0.85</v>
      </c>
      <c r="CN901" s="1125">
        <f t="shared" si="1116"/>
        <v>0.85</v>
      </c>
      <c r="CO901" s="1125">
        <f t="shared" si="1117"/>
        <v>0.85</v>
      </c>
      <c r="CP901" s="1125">
        <f t="shared" si="1118"/>
        <v>0.85</v>
      </c>
      <c r="CQ901" s="1125">
        <f t="shared" si="1119"/>
        <v>0.85</v>
      </c>
      <c r="CR901" s="1125">
        <f t="shared" si="1120"/>
        <v>0.85</v>
      </c>
      <c r="CS901" s="1125">
        <f t="shared" si="1121"/>
        <v>0.85</v>
      </c>
      <c r="CT901" s="1125">
        <f t="shared" si="1122"/>
        <v>0.85</v>
      </c>
      <c r="CU901" s="1125">
        <v>1</v>
      </c>
      <c r="CV901" s="1125"/>
      <c r="CW901" s="1125">
        <f t="shared" si="1123"/>
        <v>62</v>
      </c>
      <c r="CX901" s="1125">
        <f t="shared" si="1124"/>
        <v>303</v>
      </c>
      <c r="CY901" s="1135" t="s">
        <v>4893</v>
      </c>
      <c r="CZ901" s="1124" t="s">
        <v>4894</v>
      </c>
      <c r="DA901" s="1124"/>
      <c r="DB901" s="1124"/>
      <c r="DC901" s="1120" t="s">
        <v>5668</v>
      </c>
      <c r="DD901" s="1120" t="s">
        <v>238</v>
      </c>
      <c r="DE901" s="1120" t="str">
        <f t="shared" si="1050"/>
        <v/>
      </c>
      <c r="DF901" s="1133">
        <v>0</v>
      </c>
      <c r="DG901" s="1125">
        <v>0</v>
      </c>
    </row>
    <row r="902" spans="1:111">
      <c r="A902" s="1120" t="s">
        <v>4478</v>
      </c>
      <c r="B902" s="1125" t="s">
        <v>2984</v>
      </c>
      <c r="C902" s="1125" t="s">
        <v>2985</v>
      </c>
      <c r="D902" s="1125" t="s">
        <v>953</v>
      </c>
      <c r="E902" s="1125">
        <v>344</v>
      </c>
      <c r="F902" s="1125">
        <v>-150.1</v>
      </c>
      <c r="G902" s="1125">
        <v>62.32</v>
      </c>
      <c r="H902" s="1125">
        <v>-9</v>
      </c>
      <c r="I902" s="1126">
        <v>-18.580000686645509</v>
      </c>
      <c r="J902" s="1126">
        <v>73.580000686645505</v>
      </c>
      <c r="K902" s="1127">
        <v>58.459999656677248</v>
      </c>
      <c r="L902" s="1125">
        <v>10647</v>
      </c>
      <c r="M902" s="1125">
        <v>1.8</v>
      </c>
      <c r="N902" s="1128">
        <v>17.059999656677245</v>
      </c>
      <c r="O902" s="1128">
        <v>11.299999999999999</v>
      </c>
      <c r="P902" s="1128">
        <v>26.23999991416931</v>
      </c>
      <c r="Q902" s="1128">
        <v>36.5</v>
      </c>
      <c r="R902" s="1128">
        <v>47.840000343322757</v>
      </c>
      <c r="S902" s="1128">
        <v>56.659999656677243</v>
      </c>
      <c r="T902" s="1128">
        <v>58.640000343322754</v>
      </c>
      <c r="U902" s="1128">
        <v>55.940000343322751</v>
      </c>
      <c r="V902" s="1128">
        <v>47.480000686645511</v>
      </c>
      <c r="W902" s="1128">
        <v>33.799999999999997</v>
      </c>
      <c r="X902" s="1128">
        <v>16.880000686645506</v>
      </c>
      <c r="Y902" s="1128">
        <v>12.740000343322754</v>
      </c>
      <c r="Z902" s="1128">
        <v>35.238520712787157</v>
      </c>
      <c r="AA902" s="1128">
        <f t="shared" si="1051"/>
        <v>35.84389223184391</v>
      </c>
      <c r="AB902" s="1128">
        <f t="shared" si="1052"/>
        <v>34.050742439351055</v>
      </c>
      <c r="AC902" s="1128">
        <f t="shared" si="1053"/>
        <v>34.131197820845401</v>
      </c>
      <c r="AD902" s="1128">
        <f t="shared" si="1054"/>
        <v>36.064286441285489</v>
      </c>
      <c r="AE902" s="1128">
        <f t="shared" si="1055"/>
        <v>39.346118961956243</v>
      </c>
      <c r="AF902" s="1128">
        <f t="shared" si="1056"/>
        <v>43.121235161774806</v>
      </c>
      <c r="AG902" s="1128">
        <f t="shared" si="1057"/>
        <v>46.405592826956848</v>
      </c>
      <c r="AH902" s="1128">
        <f t="shared" si="1058"/>
        <v>48.343073518588987</v>
      </c>
      <c r="AI902" s="1128">
        <f t="shared" si="1059"/>
        <v>48.428643036916078</v>
      </c>
      <c r="AJ902" s="1128">
        <f t="shared" si="1060"/>
        <v>46.63999636831997</v>
      </c>
      <c r="AK902" s="1128">
        <f t="shared" si="1061"/>
        <v>43.443371830849749</v>
      </c>
      <c r="AL902" s="1128">
        <f t="shared" si="1062"/>
        <v>39.672018871672286</v>
      </c>
      <c r="AM902" s="1125">
        <f t="shared" si="1063"/>
        <v>1</v>
      </c>
      <c r="AN902" s="1125">
        <f t="shared" si="1064"/>
        <v>1</v>
      </c>
      <c r="AO902" s="1125">
        <f t="shared" si="1065"/>
        <v>1</v>
      </c>
      <c r="AP902" s="1125">
        <f t="shared" si="1066"/>
        <v>1</v>
      </c>
      <c r="AQ902" s="1125">
        <f t="shared" si="1067"/>
        <v>1</v>
      </c>
      <c r="AR902" s="1125">
        <f t="shared" si="1068"/>
        <v>1</v>
      </c>
      <c r="AS902" s="1125">
        <f t="shared" si="1069"/>
        <v>1</v>
      </c>
      <c r="AT902" s="1125">
        <f t="shared" si="1070"/>
        <v>1</v>
      </c>
      <c r="AU902" s="1125">
        <f t="shared" si="1071"/>
        <v>1</v>
      </c>
      <c r="AV902" s="1125">
        <f t="shared" si="1072"/>
        <v>1</v>
      </c>
      <c r="AW902" s="1125">
        <f t="shared" si="1073"/>
        <v>1</v>
      </c>
      <c r="AX902" s="1125">
        <f t="shared" si="1074"/>
        <v>1</v>
      </c>
      <c r="AY902" s="1125">
        <f t="shared" si="1075"/>
        <v>0</v>
      </c>
      <c r="AZ902" s="1125">
        <f t="shared" si="1076"/>
        <v>0</v>
      </c>
      <c r="BA902" s="1125">
        <f t="shared" si="1077"/>
        <v>0</v>
      </c>
      <c r="BB902" s="1125">
        <f t="shared" si="1078"/>
        <v>0</v>
      </c>
      <c r="BC902" s="1125">
        <f t="shared" si="1079"/>
        <v>0</v>
      </c>
      <c r="BD902" s="1125">
        <f t="shared" si="1080"/>
        <v>0</v>
      </c>
      <c r="BE902" s="1125">
        <f t="shared" si="1081"/>
        <v>1</v>
      </c>
      <c r="BF902" s="1125">
        <f t="shared" si="1082"/>
        <v>1</v>
      </c>
      <c r="BG902" s="1125">
        <f t="shared" si="1083"/>
        <v>0</v>
      </c>
      <c r="BH902" s="1125">
        <f t="shared" si="1084"/>
        <v>0</v>
      </c>
      <c r="BI902" s="1125">
        <f t="shared" si="1085"/>
        <v>0</v>
      </c>
      <c r="BJ902" s="1125">
        <f t="shared" si="1086"/>
        <v>0</v>
      </c>
      <c r="BK902" s="1125">
        <f t="shared" si="1087"/>
        <v>1</v>
      </c>
      <c r="BL902" s="1125">
        <f t="shared" si="1088"/>
        <v>1</v>
      </c>
      <c r="BM902" s="1125">
        <f t="shared" si="1089"/>
        <v>1</v>
      </c>
      <c r="BN902" s="1125">
        <f t="shared" si="1090"/>
        <v>1</v>
      </c>
      <c r="BO902" s="1125">
        <f t="shared" si="1091"/>
        <v>1</v>
      </c>
      <c r="BP902" s="1125">
        <f t="shared" si="1092"/>
        <v>1</v>
      </c>
      <c r="BQ902" s="1125">
        <f t="shared" si="1093"/>
        <v>1</v>
      </c>
      <c r="BR902" s="1125">
        <f t="shared" si="1094"/>
        <v>1</v>
      </c>
      <c r="BS902" s="1125">
        <f t="shared" si="1095"/>
        <v>1</v>
      </c>
      <c r="BT902" s="1125">
        <f t="shared" si="1096"/>
        <v>1</v>
      </c>
      <c r="BU902" s="1125">
        <f t="shared" si="1097"/>
        <v>1</v>
      </c>
      <c r="BV902" s="1125">
        <f t="shared" si="1098"/>
        <v>1</v>
      </c>
      <c r="BW902" s="1125">
        <f t="shared" si="1099"/>
        <v>0</v>
      </c>
      <c r="BX902" s="1125">
        <f t="shared" si="1100"/>
        <v>0</v>
      </c>
      <c r="BY902" s="1125">
        <f t="shared" si="1101"/>
        <v>0</v>
      </c>
      <c r="BZ902" s="1125">
        <f t="shared" si="1102"/>
        <v>0</v>
      </c>
      <c r="CA902" s="1125">
        <f t="shared" si="1103"/>
        <v>0</v>
      </c>
      <c r="CB902" s="1125">
        <f t="shared" si="1104"/>
        <v>0</v>
      </c>
      <c r="CC902" s="1125">
        <f t="shared" si="1105"/>
        <v>1</v>
      </c>
      <c r="CD902" s="1125">
        <f t="shared" si="1106"/>
        <v>1</v>
      </c>
      <c r="CE902" s="1125">
        <f t="shared" si="1107"/>
        <v>0</v>
      </c>
      <c r="CF902" s="1125">
        <f t="shared" si="1108"/>
        <v>0</v>
      </c>
      <c r="CG902" s="1125">
        <f t="shared" si="1109"/>
        <v>0</v>
      </c>
      <c r="CH902" s="1125">
        <f t="shared" si="1110"/>
        <v>0</v>
      </c>
      <c r="CI902" s="1125">
        <f t="shared" si="1111"/>
        <v>0.85</v>
      </c>
      <c r="CJ902" s="1125">
        <f t="shared" si="1112"/>
        <v>0.85</v>
      </c>
      <c r="CK902" s="1125">
        <f t="shared" si="1113"/>
        <v>0.85</v>
      </c>
      <c r="CL902" s="1125">
        <f t="shared" si="1114"/>
        <v>0.85</v>
      </c>
      <c r="CM902" s="1125">
        <f t="shared" si="1115"/>
        <v>0.85</v>
      </c>
      <c r="CN902" s="1125">
        <f t="shared" si="1116"/>
        <v>0.85</v>
      </c>
      <c r="CO902" s="1125">
        <f t="shared" si="1117"/>
        <v>0.85</v>
      </c>
      <c r="CP902" s="1125">
        <f t="shared" si="1118"/>
        <v>0.85</v>
      </c>
      <c r="CQ902" s="1125">
        <f t="shared" si="1119"/>
        <v>0.85</v>
      </c>
      <c r="CR902" s="1125">
        <f t="shared" si="1120"/>
        <v>0.85</v>
      </c>
      <c r="CS902" s="1125">
        <f t="shared" si="1121"/>
        <v>0.85</v>
      </c>
      <c r="CT902" s="1125">
        <f t="shared" si="1122"/>
        <v>0.85</v>
      </c>
      <c r="CU902" s="1125">
        <v>1</v>
      </c>
      <c r="CV902" s="1125"/>
      <c r="CW902" s="1125">
        <f t="shared" si="1123"/>
        <v>62</v>
      </c>
      <c r="CX902" s="1125">
        <f t="shared" si="1124"/>
        <v>303</v>
      </c>
      <c r="CY902" s="1136" t="s">
        <v>4879</v>
      </c>
      <c r="CZ902" s="1129">
        <v>7</v>
      </c>
      <c r="DA902" s="1129"/>
      <c r="DB902" s="1129"/>
      <c r="DC902" s="1125" t="s">
        <v>4965</v>
      </c>
      <c r="DD902" s="1125" t="s">
        <v>953</v>
      </c>
      <c r="DE902" s="1125" t="str">
        <f t="shared" si="1050"/>
        <v/>
      </c>
      <c r="DF902" s="1125">
        <v>0</v>
      </c>
      <c r="DG902" s="1120">
        <v>0</v>
      </c>
    </row>
    <row r="903" spans="1:111">
      <c r="A903" s="1125" t="s">
        <v>4480</v>
      </c>
      <c r="B903" s="1125" t="s">
        <v>3332</v>
      </c>
      <c r="C903" s="1125" t="s">
        <v>3333</v>
      </c>
      <c r="D903" s="1125" t="s">
        <v>594</v>
      </c>
      <c r="E903" s="1125">
        <v>69</v>
      </c>
      <c r="F903" s="1125">
        <v>-84.37</v>
      </c>
      <c r="G903" s="1125">
        <v>30.38</v>
      </c>
      <c r="H903" s="1125">
        <v>-5</v>
      </c>
      <c r="I903" s="1126">
        <v>28.939999914169313</v>
      </c>
      <c r="J903" s="1126">
        <v>93.560001373291016</v>
      </c>
      <c r="K903" s="1127">
        <v>76.099999999999994</v>
      </c>
      <c r="L903" s="1125">
        <v>1468.8</v>
      </c>
      <c r="M903" s="1125">
        <v>2356.2000000000003</v>
      </c>
      <c r="N903" s="1128">
        <v>50.359999656677246</v>
      </c>
      <c r="O903" s="1128">
        <v>54.680000686645506</v>
      </c>
      <c r="P903" s="1128">
        <v>62.419999313354495</v>
      </c>
      <c r="Q903" s="1128">
        <v>66.919999313354495</v>
      </c>
      <c r="R903" s="1128">
        <v>72.680000686645513</v>
      </c>
      <c r="S903" s="1128">
        <v>78.619999313354498</v>
      </c>
      <c r="T903" s="1128">
        <v>80.960001373291021</v>
      </c>
      <c r="U903" s="1128">
        <v>80.060001373291016</v>
      </c>
      <c r="V903" s="1128">
        <v>75.739998626708982</v>
      </c>
      <c r="W903" s="1128">
        <v>66.560001373291016</v>
      </c>
      <c r="X903" s="1128">
        <v>61.519999313354496</v>
      </c>
      <c r="Y903" s="1128">
        <v>51.080000686645505</v>
      </c>
      <c r="Z903" s="1128">
        <v>66.856876861885809</v>
      </c>
      <c r="AA903" s="1128">
        <f t="shared" si="1051"/>
        <v>63.4489938871112</v>
      </c>
      <c r="AB903" s="1128">
        <f t="shared" si="1052"/>
        <v>63.690293592858126</v>
      </c>
      <c r="AC903" s="1128">
        <f t="shared" si="1053"/>
        <v>66.32100448900124</v>
      </c>
      <c r="AD903" s="1128">
        <f t="shared" si="1054"/>
        <v>70.655391239978783</v>
      </c>
      <c r="AE903" s="1128">
        <f t="shared" si="1055"/>
        <v>75.563629144226752</v>
      </c>
      <c r="AF903" s="1128">
        <f t="shared" si="1056"/>
        <v>79.766310353767253</v>
      </c>
      <c r="AG903" s="1128">
        <f t="shared" si="1057"/>
        <v>82.167941246055705</v>
      </c>
      <c r="AH903" s="1128">
        <f t="shared" si="1058"/>
        <v>82.142499718764768</v>
      </c>
      <c r="AI903" s="1128">
        <f t="shared" si="1059"/>
        <v>79.696617498048639</v>
      </c>
      <c r="AJ903" s="1128">
        <f t="shared" si="1060"/>
        <v>75.467851476922931</v>
      </c>
      <c r="AK903" s="1128">
        <f t="shared" si="1061"/>
        <v>70.55849468605102</v>
      </c>
      <c r="AL903" s="1128">
        <f t="shared" si="1062"/>
        <v>66.248246628451923</v>
      </c>
      <c r="AM903" s="1125">
        <f t="shared" si="1063"/>
        <v>1</v>
      </c>
      <c r="AN903" s="1125">
        <f t="shared" si="1064"/>
        <v>1</v>
      </c>
      <c r="AO903" s="1125">
        <f t="shared" si="1065"/>
        <v>1</v>
      </c>
      <c r="AP903" s="1125">
        <f t="shared" si="1066"/>
        <v>0</v>
      </c>
      <c r="AQ903" s="1125">
        <f t="shared" si="1067"/>
        <v>0</v>
      </c>
      <c r="AR903" s="1125">
        <f t="shared" si="1068"/>
        <v>0</v>
      </c>
      <c r="AS903" s="1125">
        <f t="shared" si="1069"/>
        <v>0</v>
      </c>
      <c r="AT903" s="1125">
        <f t="shared" si="1070"/>
        <v>0</v>
      </c>
      <c r="AU903" s="1125">
        <f t="shared" si="1071"/>
        <v>0</v>
      </c>
      <c r="AV903" s="1125">
        <f t="shared" si="1072"/>
        <v>0</v>
      </c>
      <c r="AW903" s="1125">
        <f t="shared" si="1073"/>
        <v>1</v>
      </c>
      <c r="AX903" s="1125">
        <f t="shared" si="1074"/>
        <v>1</v>
      </c>
      <c r="AY903" s="1125">
        <f t="shared" si="1075"/>
        <v>0</v>
      </c>
      <c r="AZ903" s="1125">
        <f t="shared" si="1076"/>
        <v>0</v>
      </c>
      <c r="BA903" s="1125">
        <f t="shared" si="1077"/>
        <v>0</v>
      </c>
      <c r="BB903" s="1125">
        <f t="shared" si="1078"/>
        <v>1</v>
      </c>
      <c r="BC903" s="1125">
        <f t="shared" si="1079"/>
        <v>1</v>
      </c>
      <c r="BD903" s="1125">
        <f t="shared" si="1080"/>
        <v>1</v>
      </c>
      <c r="BE903" s="1125">
        <f t="shared" si="1081"/>
        <v>1</v>
      </c>
      <c r="BF903" s="1125">
        <f t="shared" si="1082"/>
        <v>1</v>
      </c>
      <c r="BG903" s="1125">
        <f t="shared" si="1083"/>
        <v>1</v>
      </c>
      <c r="BH903" s="1125">
        <f t="shared" si="1084"/>
        <v>1</v>
      </c>
      <c r="BI903" s="1125">
        <f t="shared" si="1085"/>
        <v>0</v>
      </c>
      <c r="BJ903" s="1125">
        <f t="shared" si="1086"/>
        <v>0</v>
      </c>
      <c r="BK903" s="1125">
        <f t="shared" si="1087"/>
        <v>1</v>
      </c>
      <c r="BL903" s="1125">
        <f t="shared" si="1088"/>
        <v>1</v>
      </c>
      <c r="BM903" s="1125">
        <f t="shared" si="1089"/>
        <v>1</v>
      </c>
      <c r="BN903" s="1125">
        <f t="shared" si="1090"/>
        <v>1</v>
      </c>
      <c r="BO903" s="1125">
        <f t="shared" si="1091"/>
        <v>0</v>
      </c>
      <c r="BP903" s="1125">
        <f t="shared" si="1092"/>
        <v>0</v>
      </c>
      <c r="BQ903" s="1125">
        <f t="shared" si="1093"/>
        <v>0</v>
      </c>
      <c r="BR903" s="1125">
        <f t="shared" si="1094"/>
        <v>0</v>
      </c>
      <c r="BS903" s="1125">
        <f t="shared" si="1095"/>
        <v>0</v>
      </c>
      <c r="BT903" s="1125">
        <f t="shared" si="1096"/>
        <v>0</v>
      </c>
      <c r="BU903" s="1125">
        <f t="shared" si="1097"/>
        <v>1</v>
      </c>
      <c r="BV903" s="1125">
        <f t="shared" si="1098"/>
        <v>1</v>
      </c>
      <c r="BW903" s="1125">
        <f t="shared" si="1099"/>
        <v>0</v>
      </c>
      <c r="BX903" s="1125">
        <f t="shared" si="1100"/>
        <v>0</v>
      </c>
      <c r="BY903" s="1125">
        <f t="shared" si="1101"/>
        <v>1</v>
      </c>
      <c r="BZ903" s="1125">
        <f t="shared" si="1102"/>
        <v>1</v>
      </c>
      <c r="CA903" s="1125">
        <f t="shared" si="1103"/>
        <v>1</v>
      </c>
      <c r="CB903" s="1125">
        <f t="shared" si="1104"/>
        <v>1</v>
      </c>
      <c r="CC903" s="1125">
        <f t="shared" si="1105"/>
        <v>1</v>
      </c>
      <c r="CD903" s="1125">
        <f t="shared" si="1106"/>
        <v>1</v>
      </c>
      <c r="CE903" s="1125">
        <f t="shared" si="1107"/>
        <v>1</v>
      </c>
      <c r="CF903" s="1125">
        <f t="shared" si="1108"/>
        <v>1</v>
      </c>
      <c r="CG903" s="1125">
        <f t="shared" si="1109"/>
        <v>1</v>
      </c>
      <c r="CH903" s="1125">
        <f t="shared" si="1110"/>
        <v>0</v>
      </c>
      <c r="CI903" s="1125">
        <f t="shared" si="1111"/>
        <v>0.85</v>
      </c>
      <c r="CJ903" s="1125">
        <f t="shared" si="1112"/>
        <v>0.85</v>
      </c>
      <c r="CK903" s="1125">
        <f t="shared" si="1113"/>
        <v>0.85</v>
      </c>
      <c r="CL903" s="1125">
        <f t="shared" si="1114"/>
        <v>0.85</v>
      </c>
      <c r="CM903" s="1125">
        <f t="shared" si="1115"/>
        <v>0.7</v>
      </c>
      <c r="CN903" s="1125">
        <f t="shared" si="1116"/>
        <v>0.7</v>
      </c>
      <c r="CO903" s="1125">
        <f t="shared" si="1117"/>
        <v>0.7</v>
      </c>
      <c r="CP903" s="1125">
        <f t="shared" si="1118"/>
        <v>0.7</v>
      </c>
      <c r="CQ903" s="1125">
        <f t="shared" si="1119"/>
        <v>0.7</v>
      </c>
      <c r="CR903" s="1125">
        <f t="shared" si="1120"/>
        <v>0.7</v>
      </c>
      <c r="CS903" s="1125">
        <f t="shared" si="1121"/>
        <v>0.85</v>
      </c>
      <c r="CT903" s="1125">
        <f t="shared" si="1122"/>
        <v>0.85</v>
      </c>
      <c r="CU903" s="1125">
        <v>1</v>
      </c>
      <c r="CV903" s="1125"/>
      <c r="CW903" s="1125">
        <f t="shared" si="1123"/>
        <v>275</v>
      </c>
      <c r="CX903" s="1125">
        <f t="shared" si="1124"/>
        <v>90</v>
      </c>
      <c r="CY903" s="1136" t="s">
        <v>4883</v>
      </c>
      <c r="CZ903" s="1129" t="s">
        <v>4884</v>
      </c>
      <c r="DA903" s="1129"/>
      <c r="DB903" s="1129"/>
      <c r="DC903" s="1125" t="s">
        <v>5124</v>
      </c>
      <c r="DD903" s="1125" t="s">
        <v>594</v>
      </c>
      <c r="DE903" s="1120" t="b">
        <f t="shared" si="1050"/>
        <v>0</v>
      </c>
      <c r="DF903" s="1133">
        <v>1</v>
      </c>
      <c r="DG903" s="1125">
        <v>0</v>
      </c>
    </row>
    <row r="904" spans="1:111">
      <c r="A904" s="1120" t="s">
        <v>4482</v>
      </c>
      <c r="B904" s="1120" t="s">
        <v>3334</v>
      </c>
      <c r="C904" s="1120" t="s">
        <v>3335</v>
      </c>
      <c r="D904" s="1120" t="s">
        <v>594</v>
      </c>
      <c r="E904" s="1120">
        <v>20</v>
      </c>
      <c r="F904" s="1120">
        <v>-82.53</v>
      </c>
      <c r="G904" s="1120">
        <v>27.97</v>
      </c>
      <c r="H904" s="1120">
        <v>-5</v>
      </c>
      <c r="I904" s="1121">
        <v>42.440000343322751</v>
      </c>
      <c r="J904" s="1121">
        <v>91.4</v>
      </c>
      <c r="K904" s="1122">
        <v>77.360001373291013</v>
      </c>
      <c r="L904" s="1120">
        <v>599.4</v>
      </c>
      <c r="M904" s="1120">
        <v>178.20000000000002</v>
      </c>
      <c r="N904" s="1123">
        <v>59</v>
      </c>
      <c r="O904" s="1123">
        <v>61.160001373291017</v>
      </c>
      <c r="P904" s="1123">
        <v>67.819999313354487</v>
      </c>
      <c r="Q904" s="1123">
        <v>72.319999313354487</v>
      </c>
      <c r="R904" s="1123">
        <v>77.719999313354492</v>
      </c>
      <c r="S904" s="1123">
        <v>80.599999999999994</v>
      </c>
      <c r="T904" s="1123">
        <v>82.219999313354492</v>
      </c>
      <c r="U904" s="1123">
        <v>81.139998626708987</v>
      </c>
      <c r="V904" s="1123">
        <v>80.599999999999994</v>
      </c>
      <c r="W904" s="1123">
        <v>73.580000686645505</v>
      </c>
      <c r="X904" s="1123">
        <v>68.180000686645513</v>
      </c>
      <c r="Y904" s="1123">
        <v>60.619999313354491</v>
      </c>
      <c r="Z904" s="1123">
        <v>72.133095704170117</v>
      </c>
      <c r="AA904" s="1123">
        <f t="shared" si="1051"/>
        <v>70.278011297027675</v>
      </c>
      <c r="AB904" s="1123">
        <f t="shared" si="1052"/>
        <v>70.841419731781173</v>
      </c>
      <c r="AC904" s="1123">
        <f t="shared" si="1053"/>
        <v>73.30551587686594</v>
      </c>
      <c r="AD904" s="1123">
        <f t="shared" si="1054"/>
        <v>77.027995099194612</v>
      </c>
      <c r="AE904" s="1123">
        <f t="shared" si="1055"/>
        <v>81.038535824325962</v>
      </c>
      <c r="AF904" s="1123">
        <f t="shared" si="1056"/>
        <v>84.291728807951145</v>
      </c>
      <c r="AG904" s="1123">
        <f t="shared" si="1057"/>
        <v>85.939579165666842</v>
      </c>
      <c r="AH904" s="1123">
        <f t="shared" si="1058"/>
        <v>85.552549307591789</v>
      </c>
      <c r="AI904" s="1123">
        <f t="shared" si="1059"/>
        <v>83.231524530543879</v>
      </c>
      <c r="AJ904" s="1123">
        <f t="shared" si="1060"/>
        <v>79.581515710735161</v>
      </c>
      <c r="AK904" s="1123">
        <f t="shared" si="1061"/>
        <v>75.553953895387338</v>
      </c>
      <c r="AL904" s="1123">
        <f t="shared" si="1062"/>
        <v>72.198685138277099</v>
      </c>
      <c r="AM904" s="1120">
        <f t="shared" si="1063"/>
        <v>1</v>
      </c>
      <c r="AN904" s="1120">
        <f t="shared" si="1064"/>
        <v>1</v>
      </c>
      <c r="AO904" s="1120">
        <f t="shared" si="1065"/>
        <v>0</v>
      </c>
      <c r="AP904" s="1120">
        <f t="shared" si="1066"/>
        <v>0</v>
      </c>
      <c r="AQ904" s="1120">
        <f t="shared" si="1067"/>
        <v>0</v>
      </c>
      <c r="AR904" s="1120">
        <f t="shared" si="1068"/>
        <v>0</v>
      </c>
      <c r="AS904" s="1120">
        <f t="shared" si="1069"/>
        <v>0</v>
      </c>
      <c r="AT904" s="1120">
        <f t="shared" si="1070"/>
        <v>0</v>
      </c>
      <c r="AU904" s="1120">
        <f t="shared" si="1071"/>
        <v>0</v>
      </c>
      <c r="AV904" s="1120">
        <f t="shared" si="1072"/>
        <v>0</v>
      </c>
      <c r="AW904" s="1120">
        <f t="shared" si="1073"/>
        <v>0</v>
      </c>
      <c r="AX904" s="1120">
        <f t="shared" si="1074"/>
        <v>1</v>
      </c>
      <c r="AY904" s="1120">
        <f t="shared" si="1075"/>
        <v>0</v>
      </c>
      <c r="AZ904" s="1120">
        <f t="shared" si="1076"/>
        <v>0</v>
      </c>
      <c r="BA904" s="1120">
        <f t="shared" si="1077"/>
        <v>1</v>
      </c>
      <c r="BB904" s="1120">
        <f t="shared" si="1078"/>
        <v>1</v>
      </c>
      <c r="BC904" s="1120">
        <f t="shared" si="1079"/>
        <v>1</v>
      </c>
      <c r="BD904" s="1120">
        <f t="shared" si="1080"/>
        <v>1</v>
      </c>
      <c r="BE904" s="1120">
        <f t="shared" si="1081"/>
        <v>1</v>
      </c>
      <c r="BF904" s="1120">
        <f t="shared" si="1082"/>
        <v>1</v>
      </c>
      <c r="BG904" s="1120">
        <f t="shared" si="1083"/>
        <v>1</v>
      </c>
      <c r="BH904" s="1120">
        <f t="shared" si="1084"/>
        <v>1</v>
      </c>
      <c r="BI904" s="1120">
        <f t="shared" si="1085"/>
        <v>1</v>
      </c>
      <c r="BJ904" s="1120">
        <f t="shared" si="1086"/>
        <v>0</v>
      </c>
      <c r="BK904" s="1120">
        <f t="shared" si="1087"/>
        <v>1</v>
      </c>
      <c r="BL904" s="1120">
        <f t="shared" si="1088"/>
        <v>1</v>
      </c>
      <c r="BM904" s="1120">
        <f t="shared" si="1089"/>
        <v>1</v>
      </c>
      <c r="BN904" s="1120">
        <f t="shared" si="1090"/>
        <v>0</v>
      </c>
      <c r="BO904" s="1120">
        <f t="shared" si="1091"/>
        <v>0</v>
      </c>
      <c r="BP904" s="1120">
        <f t="shared" si="1092"/>
        <v>0</v>
      </c>
      <c r="BQ904" s="1120">
        <f t="shared" si="1093"/>
        <v>0</v>
      </c>
      <c r="BR904" s="1120">
        <f t="shared" si="1094"/>
        <v>0</v>
      </c>
      <c r="BS904" s="1120">
        <f t="shared" si="1095"/>
        <v>0</v>
      </c>
      <c r="BT904" s="1120">
        <f t="shared" si="1096"/>
        <v>0</v>
      </c>
      <c r="BU904" s="1120">
        <f t="shared" si="1097"/>
        <v>0</v>
      </c>
      <c r="BV904" s="1120">
        <f t="shared" si="1098"/>
        <v>1</v>
      </c>
      <c r="BW904" s="1120">
        <f t="shared" si="1099"/>
        <v>0</v>
      </c>
      <c r="BX904" s="1120">
        <f t="shared" si="1100"/>
        <v>1</v>
      </c>
      <c r="BY904" s="1120">
        <f t="shared" si="1101"/>
        <v>1</v>
      </c>
      <c r="BZ904" s="1120">
        <f t="shared" si="1102"/>
        <v>1</v>
      </c>
      <c r="CA904" s="1120">
        <f t="shared" si="1103"/>
        <v>1</v>
      </c>
      <c r="CB904" s="1120">
        <f t="shared" si="1104"/>
        <v>1</v>
      </c>
      <c r="CC904" s="1120">
        <f t="shared" si="1105"/>
        <v>1</v>
      </c>
      <c r="CD904" s="1120">
        <f t="shared" si="1106"/>
        <v>1</v>
      </c>
      <c r="CE904" s="1120">
        <f t="shared" si="1107"/>
        <v>1</v>
      </c>
      <c r="CF904" s="1120">
        <f t="shared" si="1108"/>
        <v>1</v>
      </c>
      <c r="CG904" s="1120">
        <f t="shared" si="1109"/>
        <v>1</v>
      </c>
      <c r="CH904" s="1120">
        <f t="shared" si="1110"/>
        <v>1</v>
      </c>
      <c r="CI904" s="1120">
        <f t="shared" si="1111"/>
        <v>0.85</v>
      </c>
      <c r="CJ904" s="1120">
        <f t="shared" si="1112"/>
        <v>0.85</v>
      </c>
      <c r="CK904" s="1120">
        <f t="shared" si="1113"/>
        <v>0.85</v>
      </c>
      <c r="CL904" s="1120">
        <f t="shared" si="1114"/>
        <v>0.7</v>
      </c>
      <c r="CM904" s="1120">
        <f t="shared" si="1115"/>
        <v>0.7</v>
      </c>
      <c r="CN904" s="1120">
        <f t="shared" si="1116"/>
        <v>0.7</v>
      </c>
      <c r="CO904" s="1120">
        <f t="shared" si="1117"/>
        <v>0.7</v>
      </c>
      <c r="CP904" s="1120">
        <f t="shared" si="1118"/>
        <v>0.7</v>
      </c>
      <c r="CQ904" s="1120">
        <f t="shared" si="1119"/>
        <v>0.7</v>
      </c>
      <c r="CR904" s="1120">
        <f t="shared" si="1120"/>
        <v>0.7</v>
      </c>
      <c r="CS904" s="1120">
        <f t="shared" si="1121"/>
        <v>0.7</v>
      </c>
      <c r="CT904" s="1120">
        <f t="shared" si="1122"/>
        <v>0.85</v>
      </c>
      <c r="CU904" s="1120">
        <v>1</v>
      </c>
      <c r="CV904" s="1120"/>
      <c r="CW904" s="1120">
        <f t="shared" si="1123"/>
        <v>334</v>
      </c>
      <c r="CX904" s="1120">
        <f t="shared" si="1124"/>
        <v>31</v>
      </c>
      <c r="CY904" s="1135" t="s">
        <v>4883</v>
      </c>
      <c r="CZ904" s="1124" t="s">
        <v>4884</v>
      </c>
      <c r="DA904" s="1124"/>
      <c r="DB904" s="1124"/>
      <c r="DC904" s="1120" t="s">
        <v>5125</v>
      </c>
      <c r="DD904" s="1120" t="s">
        <v>594</v>
      </c>
      <c r="DE904" s="1120" t="str">
        <f t="shared" si="1050"/>
        <v/>
      </c>
      <c r="DF904" s="1133">
        <v>0</v>
      </c>
      <c r="DG904" s="1120">
        <v>0</v>
      </c>
    </row>
    <row r="905" spans="1:111">
      <c r="A905" s="1125" t="s">
        <v>4484</v>
      </c>
      <c r="B905" s="1120" t="s">
        <v>2986</v>
      </c>
      <c r="C905" s="1120" t="s">
        <v>2987</v>
      </c>
      <c r="D905" s="1120" t="s">
        <v>953</v>
      </c>
      <c r="E905" s="1120">
        <v>233</v>
      </c>
      <c r="F905" s="1120">
        <v>-152.1</v>
      </c>
      <c r="G905" s="1120">
        <v>65.17</v>
      </c>
      <c r="H905" s="1120">
        <v>-9</v>
      </c>
      <c r="I905" s="1121">
        <v>-53.5</v>
      </c>
      <c r="J905" s="1121">
        <v>74.119999313354498</v>
      </c>
      <c r="K905" s="1122">
        <v>59.180000686645506</v>
      </c>
      <c r="L905" s="1120">
        <v>13197.6</v>
      </c>
      <c r="M905" s="1120">
        <v>3.6</v>
      </c>
      <c r="N905" s="1123">
        <v>-3.8199993133544932</v>
      </c>
      <c r="O905" s="1123">
        <v>10.759999656677246</v>
      </c>
      <c r="P905" s="1123">
        <v>19.220000171661376</v>
      </c>
      <c r="Q905" s="1123">
        <v>23.179999828338623</v>
      </c>
      <c r="R905" s="1123">
        <v>40.459999656677248</v>
      </c>
      <c r="S905" s="1123">
        <v>57.740000343322755</v>
      </c>
      <c r="T905" s="1123">
        <v>57.019999313354489</v>
      </c>
      <c r="U905" s="1123">
        <v>50.540000343322752</v>
      </c>
      <c r="V905" s="1123">
        <v>38.660000085830688</v>
      </c>
      <c r="W905" s="1123">
        <v>31.639999994635581</v>
      </c>
      <c r="X905" s="1123">
        <v>7.1599996566772459</v>
      </c>
      <c r="Y905" s="1123">
        <v>4.9999999999999991</v>
      </c>
      <c r="Z905" s="1123">
        <v>28.233808199910268</v>
      </c>
      <c r="AA905" s="1123">
        <f t="shared" si="1051"/>
        <v>32</v>
      </c>
      <c r="AB905" s="1123">
        <f t="shared" si="1052"/>
        <v>32</v>
      </c>
      <c r="AC905" s="1123">
        <f t="shared" si="1053"/>
        <v>32</v>
      </c>
      <c r="AD905" s="1123">
        <f t="shared" si="1054"/>
        <v>32</v>
      </c>
      <c r="AE905" s="1123">
        <f t="shared" si="1055"/>
        <v>32</v>
      </c>
      <c r="AF905" s="1123">
        <f t="shared" si="1056"/>
        <v>35.251877114400706</v>
      </c>
      <c r="AG905" s="1123">
        <f t="shared" si="1057"/>
        <v>38.766862529887021</v>
      </c>
      <c r="AH905" s="1123">
        <f t="shared" si="1058"/>
        <v>41.100237477783139</v>
      </c>
      <c r="AI905" s="1123">
        <f t="shared" si="1059"/>
        <v>41.643771819523529</v>
      </c>
      <c r="AJ905" s="1123">
        <f t="shared" si="1060"/>
        <v>40.255784952815816</v>
      </c>
      <c r="AK905" s="1123">
        <f t="shared" si="1061"/>
        <v>37.298077043992429</v>
      </c>
      <c r="AL905" s="1123">
        <f t="shared" si="1062"/>
        <v>33.541620239146745</v>
      </c>
      <c r="AM905" s="1120">
        <f t="shared" si="1063"/>
        <v>1</v>
      </c>
      <c r="AN905" s="1120">
        <f t="shared" si="1064"/>
        <v>1</v>
      </c>
      <c r="AO905" s="1120">
        <f t="shared" si="1065"/>
        <v>1</v>
      </c>
      <c r="AP905" s="1120">
        <f t="shared" si="1066"/>
        <v>1</v>
      </c>
      <c r="AQ905" s="1120">
        <f t="shared" si="1067"/>
        <v>1</v>
      </c>
      <c r="AR905" s="1120">
        <f t="shared" si="1068"/>
        <v>1</v>
      </c>
      <c r="AS905" s="1120">
        <f t="shared" si="1069"/>
        <v>1</v>
      </c>
      <c r="AT905" s="1120">
        <f t="shared" si="1070"/>
        <v>1</v>
      </c>
      <c r="AU905" s="1120">
        <f t="shared" si="1071"/>
        <v>1</v>
      </c>
      <c r="AV905" s="1120">
        <f t="shared" si="1072"/>
        <v>1</v>
      </c>
      <c r="AW905" s="1120">
        <f t="shared" si="1073"/>
        <v>1</v>
      </c>
      <c r="AX905" s="1120">
        <f t="shared" si="1074"/>
        <v>1</v>
      </c>
      <c r="AY905" s="1120">
        <f t="shared" si="1075"/>
        <v>0</v>
      </c>
      <c r="AZ905" s="1120">
        <f t="shared" si="1076"/>
        <v>0</v>
      </c>
      <c r="BA905" s="1120">
        <f t="shared" si="1077"/>
        <v>0</v>
      </c>
      <c r="BB905" s="1120">
        <f t="shared" si="1078"/>
        <v>0</v>
      </c>
      <c r="BC905" s="1120">
        <f t="shared" si="1079"/>
        <v>0</v>
      </c>
      <c r="BD905" s="1120">
        <f t="shared" si="1080"/>
        <v>0</v>
      </c>
      <c r="BE905" s="1120">
        <f t="shared" si="1081"/>
        <v>1</v>
      </c>
      <c r="BF905" s="1120">
        <f t="shared" si="1082"/>
        <v>1</v>
      </c>
      <c r="BG905" s="1120">
        <f t="shared" si="1083"/>
        <v>0</v>
      </c>
      <c r="BH905" s="1120">
        <f t="shared" si="1084"/>
        <v>0</v>
      </c>
      <c r="BI905" s="1120">
        <f t="shared" si="1085"/>
        <v>0</v>
      </c>
      <c r="BJ905" s="1120">
        <f t="shared" si="1086"/>
        <v>0</v>
      </c>
      <c r="BK905" s="1120">
        <f t="shared" si="1087"/>
        <v>1</v>
      </c>
      <c r="BL905" s="1120">
        <f t="shared" si="1088"/>
        <v>1</v>
      </c>
      <c r="BM905" s="1120">
        <f t="shared" si="1089"/>
        <v>1</v>
      </c>
      <c r="BN905" s="1120">
        <f t="shared" si="1090"/>
        <v>1</v>
      </c>
      <c r="BO905" s="1120">
        <f t="shared" si="1091"/>
        <v>1</v>
      </c>
      <c r="BP905" s="1120">
        <f t="shared" si="1092"/>
        <v>1</v>
      </c>
      <c r="BQ905" s="1120">
        <f t="shared" si="1093"/>
        <v>1</v>
      </c>
      <c r="BR905" s="1120">
        <f t="shared" si="1094"/>
        <v>1</v>
      </c>
      <c r="BS905" s="1120">
        <f t="shared" si="1095"/>
        <v>1</v>
      </c>
      <c r="BT905" s="1120">
        <f t="shared" si="1096"/>
        <v>1</v>
      </c>
      <c r="BU905" s="1120">
        <f t="shared" si="1097"/>
        <v>1</v>
      </c>
      <c r="BV905" s="1120">
        <f t="shared" si="1098"/>
        <v>1</v>
      </c>
      <c r="BW905" s="1120">
        <f t="shared" si="1099"/>
        <v>0</v>
      </c>
      <c r="BX905" s="1120">
        <f t="shared" si="1100"/>
        <v>0</v>
      </c>
      <c r="BY905" s="1120">
        <f t="shared" si="1101"/>
        <v>0</v>
      </c>
      <c r="BZ905" s="1120">
        <f t="shared" si="1102"/>
        <v>0</v>
      </c>
      <c r="CA905" s="1120">
        <f t="shared" si="1103"/>
        <v>0</v>
      </c>
      <c r="CB905" s="1120">
        <f t="shared" si="1104"/>
        <v>0</v>
      </c>
      <c r="CC905" s="1120">
        <f t="shared" si="1105"/>
        <v>1</v>
      </c>
      <c r="CD905" s="1120">
        <f t="shared" si="1106"/>
        <v>1</v>
      </c>
      <c r="CE905" s="1120">
        <f t="shared" si="1107"/>
        <v>0</v>
      </c>
      <c r="CF905" s="1120">
        <f t="shared" si="1108"/>
        <v>0</v>
      </c>
      <c r="CG905" s="1120">
        <f t="shared" si="1109"/>
        <v>0</v>
      </c>
      <c r="CH905" s="1120">
        <f t="shared" si="1110"/>
        <v>0</v>
      </c>
      <c r="CI905" s="1120">
        <f t="shared" si="1111"/>
        <v>0.85</v>
      </c>
      <c r="CJ905" s="1120">
        <f t="shared" si="1112"/>
        <v>0.85</v>
      </c>
      <c r="CK905" s="1120">
        <f t="shared" si="1113"/>
        <v>0.85</v>
      </c>
      <c r="CL905" s="1120">
        <f t="shared" si="1114"/>
        <v>0.85</v>
      </c>
      <c r="CM905" s="1120">
        <f t="shared" si="1115"/>
        <v>0.85</v>
      </c>
      <c r="CN905" s="1120">
        <f t="shared" si="1116"/>
        <v>0.85</v>
      </c>
      <c r="CO905" s="1120">
        <f t="shared" si="1117"/>
        <v>0.85</v>
      </c>
      <c r="CP905" s="1120">
        <f t="shared" si="1118"/>
        <v>0.85</v>
      </c>
      <c r="CQ905" s="1120">
        <f t="shared" si="1119"/>
        <v>0.85</v>
      </c>
      <c r="CR905" s="1120">
        <f t="shared" si="1120"/>
        <v>0.85</v>
      </c>
      <c r="CS905" s="1120">
        <f t="shared" si="1121"/>
        <v>0.85</v>
      </c>
      <c r="CT905" s="1120">
        <f t="shared" si="1122"/>
        <v>0.85</v>
      </c>
      <c r="CU905" s="1120">
        <v>1</v>
      </c>
      <c r="CV905" s="1120"/>
      <c r="CW905" s="1120">
        <f t="shared" si="1123"/>
        <v>62</v>
      </c>
      <c r="CX905" s="1120">
        <f t="shared" si="1124"/>
        <v>303</v>
      </c>
      <c r="CY905" s="1135" t="s">
        <v>4880</v>
      </c>
      <c r="CZ905" s="1124">
        <v>8</v>
      </c>
      <c r="DA905" s="1124"/>
      <c r="DB905" s="1124"/>
      <c r="DC905" s="1120" t="s">
        <v>4966</v>
      </c>
      <c r="DD905" s="1120" t="s">
        <v>953</v>
      </c>
      <c r="DE905" s="1120" t="str">
        <f t="shared" si="1050"/>
        <v/>
      </c>
      <c r="DF905" s="1120">
        <v>0</v>
      </c>
      <c r="DG905" s="1125">
        <v>0</v>
      </c>
    </row>
    <row r="906" spans="1:111">
      <c r="A906" s="1120" t="s">
        <v>4490</v>
      </c>
      <c r="B906" s="1120" t="s">
        <v>4090</v>
      </c>
      <c r="C906" s="1120" t="s">
        <v>4091</v>
      </c>
      <c r="D906" s="1120" t="s">
        <v>538</v>
      </c>
      <c r="E906" s="1120">
        <v>7088</v>
      </c>
      <c r="F906" s="1120">
        <v>-105.67</v>
      </c>
      <c r="G906" s="1120">
        <v>36.450000000000003</v>
      </c>
      <c r="H906" s="1120">
        <v>-7</v>
      </c>
      <c r="I906" s="1121">
        <v>4.0999999999999996</v>
      </c>
      <c r="J906" s="1121">
        <v>85.639998626708987</v>
      </c>
      <c r="K906" s="1122">
        <v>54.680000686645506</v>
      </c>
      <c r="L906" s="1120">
        <v>6714</v>
      </c>
      <c r="M906" s="1120">
        <v>275.40000000000003</v>
      </c>
      <c r="N906" s="1123">
        <v>28.4</v>
      </c>
      <c r="O906" s="1123">
        <v>32.9</v>
      </c>
      <c r="P906" s="1123">
        <v>37.220000171661376</v>
      </c>
      <c r="Q906" s="1123">
        <v>46.940000343322751</v>
      </c>
      <c r="R906" s="1123">
        <v>57.559999656677249</v>
      </c>
      <c r="S906" s="1123">
        <v>66.380000686645502</v>
      </c>
      <c r="T906" s="1123">
        <v>68.360001373291013</v>
      </c>
      <c r="U906" s="1123">
        <v>64.400000000000006</v>
      </c>
      <c r="V906" s="1123">
        <v>56.480000686645511</v>
      </c>
      <c r="W906" s="1123">
        <v>44.959999656677248</v>
      </c>
      <c r="X906" s="1123">
        <v>33.080000042915344</v>
      </c>
      <c r="Y906" s="1123">
        <v>23.720000171661376</v>
      </c>
      <c r="Z906" s="1123">
        <v>46.769370095109288</v>
      </c>
      <c r="AA906" s="1123">
        <f t="shared" si="1051"/>
        <v>44.654381354243824</v>
      </c>
      <c r="AB906" s="1123">
        <f t="shared" si="1052"/>
        <v>43.230278893972809</v>
      </c>
      <c r="AC906" s="1123">
        <f t="shared" si="1053"/>
        <v>44.292687557123145</v>
      </c>
      <c r="AD906" s="1123">
        <f t="shared" si="1054"/>
        <v>47.564674153431596</v>
      </c>
      <c r="AE906" s="1123">
        <f t="shared" si="1055"/>
        <v>52.193344953730644</v>
      </c>
      <c r="AF906" s="1123">
        <f t="shared" si="1056"/>
        <v>56.972165583946158</v>
      </c>
      <c r="AG906" s="1123">
        <f t="shared" si="1057"/>
        <v>60.655462802957381</v>
      </c>
      <c r="AH906" s="1123">
        <f t="shared" si="1058"/>
        <v>62.283128429300739</v>
      </c>
      <c r="AI906" s="1123">
        <f t="shared" si="1059"/>
        <v>61.430886334383274</v>
      </c>
      <c r="AJ906" s="1123">
        <f t="shared" si="1060"/>
        <v>58.320886553693448</v>
      </c>
      <c r="AK906" s="1123">
        <f t="shared" si="1061"/>
        <v>53.763798456615412</v>
      </c>
      <c r="AL906" s="1123">
        <f t="shared" si="1062"/>
        <v>48.947497282505886</v>
      </c>
      <c r="AM906" s="1120">
        <f t="shared" si="1063"/>
        <v>1</v>
      </c>
      <c r="AN906" s="1120">
        <f t="shared" si="1064"/>
        <v>1</v>
      </c>
      <c r="AO906" s="1120">
        <f t="shared" si="1065"/>
        <v>1</v>
      </c>
      <c r="AP906" s="1120">
        <f t="shared" si="1066"/>
        <v>1</v>
      </c>
      <c r="AQ906" s="1120">
        <f t="shared" si="1067"/>
        <v>1</v>
      </c>
      <c r="AR906" s="1120">
        <f t="shared" si="1068"/>
        <v>0</v>
      </c>
      <c r="AS906" s="1120">
        <f t="shared" si="1069"/>
        <v>0</v>
      </c>
      <c r="AT906" s="1120">
        <f t="shared" si="1070"/>
        <v>1</v>
      </c>
      <c r="AU906" s="1120">
        <f t="shared" si="1071"/>
        <v>1</v>
      </c>
      <c r="AV906" s="1120">
        <f t="shared" si="1072"/>
        <v>1</v>
      </c>
      <c r="AW906" s="1120">
        <f t="shared" si="1073"/>
        <v>1</v>
      </c>
      <c r="AX906" s="1120">
        <f t="shared" si="1074"/>
        <v>1</v>
      </c>
      <c r="AY906" s="1120">
        <f t="shared" si="1075"/>
        <v>0</v>
      </c>
      <c r="AZ906" s="1120">
        <f t="shared" si="1076"/>
        <v>0</v>
      </c>
      <c r="BA906" s="1120">
        <f t="shared" si="1077"/>
        <v>0</v>
      </c>
      <c r="BB906" s="1120">
        <f t="shared" si="1078"/>
        <v>0</v>
      </c>
      <c r="BC906" s="1120">
        <f t="shared" si="1079"/>
        <v>0</v>
      </c>
      <c r="BD906" s="1120">
        <f t="shared" si="1080"/>
        <v>1</v>
      </c>
      <c r="BE906" s="1120">
        <f t="shared" si="1081"/>
        <v>1</v>
      </c>
      <c r="BF906" s="1120">
        <f t="shared" si="1082"/>
        <v>1</v>
      </c>
      <c r="BG906" s="1120">
        <f t="shared" si="1083"/>
        <v>0</v>
      </c>
      <c r="BH906" s="1120">
        <f t="shared" si="1084"/>
        <v>0</v>
      </c>
      <c r="BI906" s="1120">
        <f t="shared" si="1085"/>
        <v>0</v>
      </c>
      <c r="BJ906" s="1120">
        <f t="shared" si="1086"/>
        <v>0</v>
      </c>
      <c r="BK906" s="1120">
        <f t="shared" si="1087"/>
        <v>1</v>
      </c>
      <c r="BL906" s="1120">
        <f t="shared" si="1088"/>
        <v>1</v>
      </c>
      <c r="BM906" s="1120">
        <f t="shared" si="1089"/>
        <v>1</v>
      </c>
      <c r="BN906" s="1120">
        <f t="shared" si="1090"/>
        <v>1</v>
      </c>
      <c r="BO906" s="1120">
        <f t="shared" si="1091"/>
        <v>1</v>
      </c>
      <c r="BP906" s="1120">
        <f t="shared" si="1092"/>
        <v>1</v>
      </c>
      <c r="BQ906" s="1120">
        <f t="shared" si="1093"/>
        <v>0</v>
      </c>
      <c r="BR906" s="1120">
        <f t="shared" si="1094"/>
        <v>1</v>
      </c>
      <c r="BS906" s="1120">
        <f t="shared" si="1095"/>
        <v>1</v>
      </c>
      <c r="BT906" s="1120">
        <f t="shared" si="1096"/>
        <v>1</v>
      </c>
      <c r="BU906" s="1120">
        <f t="shared" si="1097"/>
        <v>1</v>
      </c>
      <c r="BV906" s="1120">
        <f t="shared" si="1098"/>
        <v>1</v>
      </c>
      <c r="BW906" s="1120">
        <f t="shared" si="1099"/>
        <v>0</v>
      </c>
      <c r="BX906" s="1120">
        <f t="shared" si="1100"/>
        <v>0</v>
      </c>
      <c r="BY906" s="1120">
        <f t="shared" si="1101"/>
        <v>0</v>
      </c>
      <c r="BZ906" s="1120">
        <f t="shared" si="1102"/>
        <v>0</v>
      </c>
      <c r="CA906" s="1120">
        <f t="shared" si="1103"/>
        <v>1</v>
      </c>
      <c r="CB906" s="1120">
        <f t="shared" si="1104"/>
        <v>1</v>
      </c>
      <c r="CC906" s="1120">
        <f t="shared" si="1105"/>
        <v>1</v>
      </c>
      <c r="CD906" s="1120">
        <f t="shared" si="1106"/>
        <v>1</v>
      </c>
      <c r="CE906" s="1120">
        <f t="shared" si="1107"/>
        <v>0</v>
      </c>
      <c r="CF906" s="1120">
        <f t="shared" si="1108"/>
        <v>0</v>
      </c>
      <c r="CG906" s="1120">
        <f t="shared" si="1109"/>
        <v>0</v>
      </c>
      <c r="CH906" s="1120">
        <f t="shared" si="1110"/>
        <v>0</v>
      </c>
      <c r="CI906" s="1120">
        <f t="shared" si="1111"/>
        <v>0.85</v>
      </c>
      <c r="CJ906" s="1120">
        <f t="shared" si="1112"/>
        <v>0.85</v>
      </c>
      <c r="CK906" s="1120">
        <f t="shared" si="1113"/>
        <v>0.85</v>
      </c>
      <c r="CL906" s="1120">
        <f t="shared" si="1114"/>
        <v>0.85</v>
      </c>
      <c r="CM906" s="1120">
        <f t="shared" si="1115"/>
        <v>0.85</v>
      </c>
      <c r="CN906" s="1120">
        <f t="shared" si="1116"/>
        <v>0.85</v>
      </c>
      <c r="CO906" s="1120">
        <f t="shared" si="1117"/>
        <v>0.7</v>
      </c>
      <c r="CP906" s="1120">
        <f t="shared" si="1118"/>
        <v>0.85</v>
      </c>
      <c r="CQ906" s="1120">
        <f t="shared" si="1119"/>
        <v>0.85</v>
      </c>
      <c r="CR906" s="1120">
        <f t="shared" si="1120"/>
        <v>0.85</v>
      </c>
      <c r="CS906" s="1120">
        <f t="shared" si="1121"/>
        <v>0.85</v>
      </c>
      <c r="CT906" s="1120">
        <f t="shared" si="1122"/>
        <v>0.85</v>
      </c>
      <c r="CU906" s="1120">
        <v>1</v>
      </c>
      <c r="CV906" s="1120"/>
      <c r="CW906" s="1120">
        <f t="shared" si="1123"/>
        <v>123</v>
      </c>
      <c r="CX906" s="1120">
        <f t="shared" si="1124"/>
        <v>242</v>
      </c>
      <c r="CY906" s="1135" t="s">
        <v>4889</v>
      </c>
      <c r="CZ906" s="1124" t="s">
        <v>4890</v>
      </c>
      <c r="DA906" s="1124"/>
      <c r="DB906" s="1124"/>
      <c r="DC906" s="1120" t="s">
        <v>5774</v>
      </c>
      <c r="DD906" s="1120" t="s">
        <v>538</v>
      </c>
      <c r="DE906" s="1120" t="b">
        <f t="shared" si="1050"/>
        <v>0</v>
      </c>
      <c r="DF906" s="1133">
        <v>1</v>
      </c>
      <c r="DG906" s="1120">
        <v>0</v>
      </c>
    </row>
    <row r="907" spans="1:111">
      <c r="A907" s="1125" t="s">
        <v>4492</v>
      </c>
      <c r="B907" s="1125" t="s">
        <v>4034</v>
      </c>
      <c r="C907" s="1125" t="s">
        <v>4035</v>
      </c>
      <c r="D907" s="1125" t="s">
        <v>771</v>
      </c>
      <c r="E907" s="1125">
        <v>1023</v>
      </c>
      <c r="F907" s="1125">
        <v>-96.17</v>
      </c>
      <c r="G907" s="1125">
        <v>41.77</v>
      </c>
      <c r="H907" s="1125">
        <v>-6</v>
      </c>
      <c r="I907" s="1126">
        <v>-3.9998626708985165E-2</v>
      </c>
      <c r="J907" s="1126">
        <v>91.039998626708993</v>
      </c>
      <c r="K907" s="1127">
        <v>74.83999862670899</v>
      </c>
      <c r="L907" s="1125">
        <v>6474.6</v>
      </c>
      <c r="M907" s="1125">
        <v>1047.6000000000001</v>
      </c>
      <c r="N907" s="1128">
        <v>20.3</v>
      </c>
      <c r="O907" s="1128">
        <v>31.459999978542328</v>
      </c>
      <c r="P907" s="1128">
        <v>43.52000017166138</v>
      </c>
      <c r="Q907" s="1128">
        <v>44.240000343322755</v>
      </c>
      <c r="R907" s="1128">
        <v>62.060001373291016</v>
      </c>
      <c r="S907" s="1128">
        <v>70.16000137329101</v>
      </c>
      <c r="T907" s="1128">
        <v>77.360001373291013</v>
      </c>
      <c r="U907" s="1128">
        <v>74.3</v>
      </c>
      <c r="V907" s="1128">
        <v>65.3</v>
      </c>
      <c r="W907" s="1128">
        <v>51.619999313354491</v>
      </c>
      <c r="X907" s="1128">
        <v>39.740000343322755</v>
      </c>
      <c r="Y907" s="1128">
        <v>13.459999656677246</v>
      </c>
      <c r="Z907" s="1128">
        <v>49.54876745132551</v>
      </c>
      <c r="AA907" s="1128">
        <f t="shared" si="1051"/>
        <v>42.825369077597308</v>
      </c>
      <c r="AB907" s="1128">
        <f t="shared" si="1052"/>
        <v>40.996584792192415</v>
      </c>
      <c r="AC907" s="1128">
        <f t="shared" si="1053"/>
        <v>42.961051172813505</v>
      </c>
      <c r="AD907" s="1128">
        <f t="shared" si="1054"/>
        <v>48.206699784008407</v>
      </c>
      <c r="AE907" s="1128">
        <f t="shared" si="1055"/>
        <v>55.366171477377129</v>
      </c>
      <c r="AF907" s="1128">
        <f t="shared" si="1056"/>
        <v>62.573239625244625</v>
      </c>
      <c r="AG907" s="1128">
        <f t="shared" si="1057"/>
        <v>67.949270850587197</v>
      </c>
      <c r="AH907" s="1128">
        <f t="shared" si="1058"/>
        <v>70.092919767370347</v>
      </c>
      <c r="AI907" s="1128">
        <f t="shared" si="1059"/>
        <v>68.445411250804796</v>
      </c>
      <c r="AJ907" s="1128">
        <f t="shared" si="1060"/>
        <v>63.436193784608115</v>
      </c>
      <c r="AK907" s="1128">
        <f t="shared" si="1061"/>
        <v>56.370997095722274</v>
      </c>
      <c r="AL907" s="1128">
        <f t="shared" si="1062"/>
        <v>49.091473579082049</v>
      </c>
      <c r="AM907" s="1125">
        <f t="shared" si="1063"/>
        <v>1</v>
      </c>
      <c r="AN907" s="1125">
        <f t="shared" si="1064"/>
        <v>1</v>
      </c>
      <c r="AO907" s="1125">
        <f t="shared" si="1065"/>
        <v>1</v>
      </c>
      <c r="AP907" s="1125">
        <f t="shared" si="1066"/>
        <v>1</v>
      </c>
      <c r="AQ907" s="1125">
        <f t="shared" si="1067"/>
        <v>1</v>
      </c>
      <c r="AR907" s="1125">
        <f t="shared" si="1068"/>
        <v>0</v>
      </c>
      <c r="AS907" s="1125">
        <f t="shared" si="1069"/>
        <v>0</v>
      </c>
      <c r="AT907" s="1125">
        <f t="shared" si="1070"/>
        <v>0</v>
      </c>
      <c r="AU907" s="1125">
        <f t="shared" si="1071"/>
        <v>1</v>
      </c>
      <c r="AV907" s="1125">
        <f t="shared" si="1072"/>
        <v>1</v>
      </c>
      <c r="AW907" s="1125">
        <f t="shared" si="1073"/>
        <v>1</v>
      </c>
      <c r="AX907" s="1125">
        <f t="shared" si="1074"/>
        <v>1</v>
      </c>
      <c r="AY907" s="1125">
        <f t="shared" si="1075"/>
        <v>0</v>
      </c>
      <c r="AZ907" s="1125">
        <f t="shared" si="1076"/>
        <v>0</v>
      </c>
      <c r="BA907" s="1125">
        <f t="shared" si="1077"/>
        <v>0</v>
      </c>
      <c r="BB907" s="1125">
        <f t="shared" si="1078"/>
        <v>0</v>
      </c>
      <c r="BC907" s="1125">
        <f t="shared" si="1079"/>
        <v>0</v>
      </c>
      <c r="BD907" s="1125">
        <f t="shared" si="1080"/>
        <v>1</v>
      </c>
      <c r="BE907" s="1125">
        <f t="shared" si="1081"/>
        <v>1</v>
      </c>
      <c r="BF907" s="1125">
        <f t="shared" si="1082"/>
        <v>1</v>
      </c>
      <c r="BG907" s="1125">
        <f t="shared" si="1083"/>
        <v>0</v>
      </c>
      <c r="BH907" s="1125">
        <f t="shared" si="1084"/>
        <v>0</v>
      </c>
      <c r="BI907" s="1125">
        <f t="shared" si="1085"/>
        <v>0</v>
      </c>
      <c r="BJ907" s="1125">
        <f t="shared" si="1086"/>
        <v>0</v>
      </c>
      <c r="BK907" s="1125">
        <f t="shared" si="1087"/>
        <v>1</v>
      </c>
      <c r="BL907" s="1125">
        <f t="shared" si="1088"/>
        <v>1</v>
      </c>
      <c r="BM907" s="1125">
        <f t="shared" si="1089"/>
        <v>1</v>
      </c>
      <c r="BN907" s="1125">
        <f t="shared" si="1090"/>
        <v>1</v>
      </c>
      <c r="BO907" s="1125">
        <f t="shared" si="1091"/>
        <v>1</v>
      </c>
      <c r="BP907" s="1125">
        <f t="shared" si="1092"/>
        <v>1</v>
      </c>
      <c r="BQ907" s="1125">
        <f t="shared" si="1093"/>
        <v>0</v>
      </c>
      <c r="BR907" s="1125">
        <f t="shared" si="1094"/>
        <v>0</v>
      </c>
      <c r="BS907" s="1125">
        <f t="shared" si="1095"/>
        <v>1</v>
      </c>
      <c r="BT907" s="1125">
        <f t="shared" si="1096"/>
        <v>1</v>
      </c>
      <c r="BU907" s="1125">
        <f t="shared" si="1097"/>
        <v>1</v>
      </c>
      <c r="BV907" s="1125">
        <f t="shared" si="1098"/>
        <v>1</v>
      </c>
      <c r="BW907" s="1125">
        <f t="shared" si="1099"/>
        <v>0</v>
      </c>
      <c r="BX907" s="1125">
        <f t="shared" si="1100"/>
        <v>0</v>
      </c>
      <c r="BY907" s="1125">
        <f t="shared" si="1101"/>
        <v>0</v>
      </c>
      <c r="BZ907" s="1125">
        <f t="shared" si="1102"/>
        <v>0</v>
      </c>
      <c r="CA907" s="1125">
        <f t="shared" si="1103"/>
        <v>1</v>
      </c>
      <c r="CB907" s="1125">
        <f t="shared" si="1104"/>
        <v>1</v>
      </c>
      <c r="CC907" s="1125">
        <f t="shared" si="1105"/>
        <v>1</v>
      </c>
      <c r="CD907" s="1125">
        <f t="shared" si="1106"/>
        <v>1</v>
      </c>
      <c r="CE907" s="1125">
        <f t="shared" si="1107"/>
        <v>1</v>
      </c>
      <c r="CF907" s="1125">
        <f t="shared" si="1108"/>
        <v>0</v>
      </c>
      <c r="CG907" s="1125">
        <f t="shared" si="1109"/>
        <v>0</v>
      </c>
      <c r="CH907" s="1125">
        <f t="shared" si="1110"/>
        <v>0</v>
      </c>
      <c r="CI907" s="1125">
        <f t="shared" si="1111"/>
        <v>0.85</v>
      </c>
      <c r="CJ907" s="1125">
        <f t="shared" si="1112"/>
        <v>0.85</v>
      </c>
      <c r="CK907" s="1125">
        <f t="shared" si="1113"/>
        <v>0.85</v>
      </c>
      <c r="CL907" s="1125">
        <f t="shared" si="1114"/>
        <v>0.85</v>
      </c>
      <c r="CM907" s="1125">
        <f t="shared" si="1115"/>
        <v>0.85</v>
      </c>
      <c r="CN907" s="1125">
        <f t="shared" si="1116"/>
        <v>0.85</v>
      </c>
      <c r="CO907" s="1125">
        <f t="shared" si="1117"/>
        <v>0.7</v>
      </c>
      <c r="CP907" s="1125">
        <f t="shared" si="1118"/>
        <v>0.7</v>
      </c>
      <c r="CQ907" s="1125">
        <f t="shared" si="1119"/>
        <v>0.85</v>
      </c>
      <c r="CR907" s="1125">
        <f t="shared" si="1120"/>
        <v>0.85</v>
      </c>
      <c r="CS907" s="1125">
        <f t="shared" si="1121"/>
        <v>0.85</v>
      </c>
      <c r="CT907" s="1125">
        <f t="shared" si="1122"/>
        <v>0.85</v>
      </c>
      <c r="CU907" s="1125">
        <v>1</v>
      </c>
      <c r="CV907" s="1125"/>
      <c r="CW907" s="1125">
        <f t="shared" si="1123"/>
        <v>153</v>
      </c>
      <c r="CX907" s="1125">
        <f t="shared" si="1124"/>
        <v>212</v>
      </c>
      <c r="CY907" s="1136" t="s">
        <v>4889</v>
      </c>
      <c r="CZ907" s="1129" t="s">
        <v>4897</v>
      </c>
      <c r="DA907" s="1129"/>
      <c r="DB907" s="1129"/>
      <c r="DC907" s="1125" t="s">
        <v>5430</v>
      </c>
      <c r="DD907" s="1125" t="s">
        <v>771</v>
      </c>
      <c r="DE907" s="1120" t="b">
        <f t="shared" si="1050"/>
        <v>0</v>
      </c>
      <c r="DF907" s="1133">
        <v>0</v>
      </c>
      <c r="DG907" s="1125">
        <v>0</v>
      </c>
    </row>
    <row r="908" spans="1:111">
      <c r="A908" s="1120" t="s">
        <v>4494</v>
      </c>
      <c r="B908" s="1120" t="s">
        <v>3549</v>
      </c>
      <c r="C908" s="1120" t="s">
        <v>3550</v>
      </c>
      <c r="D908" s="1120" t="s">
        <v>283</v>
      </c>
      <c r="E908" s="1120">
        <v>574</v>
      </c>
      <c r="F908" s="1120">
        <v>-87.3</v>
      </c>
      <c r="G908" s="1120">
        <v>39.450000000000003</v>
      </c>
      <c r="H908" s="1120">
        <v>-5</v>
      </c>
      <c r="I908" s="1121">
        <v>6.6199993133544917</v>
      </c>
      <c r="J908" s="1121">
        <v>90.139998626708987</v>
      </c>
      <c r="K908" s="1122">
        <v>75.919999313354495</v>
      </c>
      <c r="L908" s="1120">
        <v>4989.6000000000004</v>
      </c>
      <c r="M908" s="1120">
        <v>1297.8</v>
      </c>
      <c r="N908" s="1123">
        <v>22.459999656677248</v>
      </c>
      <c r="O908" s="1123">
        <v>32.360000005364419</v>
      </c>
      <c r="P908" s="1123">
        <v>44.420000171661378</v>
      </c>
      <c r="Q908" s="1123">
        <v>57.380000686645509</v>
      </c>
      <c r="R908" s="1123">
        <v>61.160001373291017</v>
      </c>
      <c r="S908" s="1123">
        <v>71.419999313354495</v>
      </c>
      <c r="T908" s="1123">
        <v>77.360001373291013</v>
      </c>
      <c r="U908" s="1123">
        <v>78.980000686645511</v>
      </c>
      <c r="V908" s="1123">
        <v>68.900000000000006</v>
      </c>
      <c r="W908" s="1123">
        <v>53.959999656677248</v>
      </c>
      <c r="X908" s="1123">
        <v>47.119999313354491</v>
      </c>
      <c r="Y908" s="1123">
        <v>34.519999957084657</v>
      </c>
      <c r="Z908" s="1123">
        <v>54.272164571742486</v>
      </c>
      <c r="AA908" s="1123">
        <f t="shared" si="1051"/>
        <v>47.332280745455769</v>
      </c>
      <c r="AB908" s="1123">
        <f t="shared" si="1052"/>
        <v>46.123683620919657</v>
      </c>
      <c r="AC908" s="1123">
        <f t="shared" si="1053"/>
        <v>48.603106090906813</v>
      </c>
      <c r="AD908" s="1123">
        <f t="shared" si="1054"/>
        <v>54.124248479558261</v>
      </c>
      <c r="AE908" s="1123">
        <f t="shared" si="1055"/>
        <v>61.247939939892326</v>
      </c>
      <c r="AF908" s="1123">
        <f t="shared" si="1056"/>
        <v>68.117280513364548</v>
      </c>
      <c r="AG908" s="1123">
        <f t="shared" si="1057"/>
        <v>72.941670719756786</v>
      </c>
      <c r="AH908" s="1123">
        <f t="shared" si="1058"/>
        <v>74.463558905669416</v>
      </c>
      <c r="AI908" s="1123">
        <f t="shared" si="1059"/>
        <v>72.286241462437431</v>
      </c>
      <c r="AJ908" s="1123">
        <f t="shared" si="1060"/>
        <v>66.977269735116707</v>
      </c>
      <c r="AK908" s="1123">
        <f t="shared" si="1061"/>
        <v>59.920509018164168</v>
      </c>
      <c r="AL908" s="1123">
        <f t="shared" si="1062"/>
        <v>52.955412740427953</v>
      </c>
      <c r="AM908" s="1120">
        <f t="shared" si="1063"/>
        <v>1</v>
      </c>
      <c r="AN908" s="1120">
        <f t="shared" si="1064"/>
        <v>1</v>
      </c>
      <c r="AO908" s="1120">
        <f t="shared" si="1065"/>
        <v>1</v>
      </c>
      <c r="AP908" s="1120">
        <f t="shared" si="1066"/>
        <v>1</v>
      </c>
      <c r="AQ908" s="1120">
        <f t="shared" si="1067"/>
        <v>1</v>
      </c>
      <c r="AR908" s="1120">
        <f t="shared" si="1068"/>
        <v>0</v>
      </c>
      <c r="AS908" s="1120">
        <f t="shared" si="1069"/>
        <v>0</v>
      </c>
      <c r="AT908" s="1120">
        <f t="shared" si="1070"/>
        <v>0</v>
      </c>
      <c r="AU908" s="1120">
        <f t="shared" si="1071"/>
        <v>0</v>
      </c>
      <c r="AV908" s="1120">
        <f t="shared" si="1072"/>
        <v>1</v>
      </c>
      <c r="AW908" s="1120">
        <f t="shared" si="1073"/>
        <v>1</v>
      </c>
      <c r="AX908" s="1120">
        <f t="shared" si="1074"/>
        <v>1</v>
      </c>
      <c r="AY908" s="1120">
        <f t="shared" si="1075"/>
        <v>0</v>
      </c>
      <c r="AZ908" s="1120">
        <f t="shared" si="1076"/>
        <v>0</v>
      </c>
      <c r="BA908" s="1120">
        <f t="shared" si="1077"/>
        <v>0</v>
      </c>
      <c r="BB908" s="1120">
        <f t="shared" si="1078"/>
        <v>0</v>
      </c>
      <c r="BC908" s="1120">
        <f t="shared" si="1079"/>
        <v>0</v>
      </c>
      <c r="BD908" s="1120">
        <f t="shared" si="1080"/>
        <v>1</v>
      </c>
      <c r="BE908" s="1120">
        <f t="shared" si="1081"/>
        <v>1</v>
      </c>
      <c r="BF908" s="1120">
        <f t="shared" si="1082"/>
        <v>1</v>
      </c>
      <c r="BG908" s="1120">
        <f t="shared" si="1083"/>
        <v>1</v>
      </c>
      <c r="BH908" s="1120">
        <f t="shared" si="1084"/>
        <v>0</v>
      </c>
      <c r="BI908" s="1120">
        <f t="shared" si="1085"/>
        <v>0</v>
      </c>
      <c r="BJ908" s="1120">
        <f t="shared" si="1086"/>
        <v>0</v>
      </c>
      <c r="BK908" s="1120">
        <f t="shared" si="1087"/>
        <v>1</v>
      </c>
      <c r="BL908" s="1120">
        <f t="shared" si="1088"/>
        <v>1</v>
      </c>
      <c r="BM908" s="1120">
        <f t="shared" si="1089"/>
        <v>1</v>
      </c>
      <c r="BN908" s="1120">
        <f t="shared" si="1090"/>
        <v>1</v>
      </c>
      <c r="BO908" s="1120">
        <f t="shared" si="1091"/>
        <v>1</v>
      </c>
      <c r="BP908" s="1120">
        <f t="shared" si="1092"/>
        <v>1</v>
      </c>
      <c r="BQ908" s="1120">
        <f t="shared" si="1093"/>
        <v>0</v>
      </c>
      <c r="BR908" s="1120">
        <f t="shared" si="1094"/>
        <v>0</v>
      </c>
      <c r="BS908" s="1120">
        <f t="shared" si="1095"/>
        <v>0</v>
      </c>
      <c r="BT908" s="1120">
        <f t="shared" si="1096"/>
        <v>1</v>
      </c>
      <c r="BU908" s="1120">
        <f t="shared" si="1097"/>
        <v>1</v>
      </c>
      <c r="BV908" s="1120">
        <f t="shared" si="1098"/>
        <v>1</v>
      </c>
      <c r="BW908" s="1120">
        <f t="shared" si="1099"/>
        <v>0</v>
      </c>
      <c r="BX908" s="1120">
        <f t="shared" si="1100"/>
        <v>0</v>
      </c>
      <c r="BY908" s="1120">
        <f t="shared" si="1101"/>
        <v>0</v>
      </c>
      <c r="BZ908" s="1120">
        <f t="shared" si="1102"/>
        <v>0</v>
      </c>
      <c r="CA908" s="1120">
        <f t="shared" si="1103"/>
        <v>1</v>
      </c>
      <c r="CB908" s="1120">
        <f t="shared" si="1104"/>
        <v>1</v>
      </c>
      <c r="CC908" s="1120">
        <f t="shared" si="1105"/>
        <v>1</v>
      </c>
      <c r="CD908" s="1120">
        <f t="shared" si="1106"/>
        <v>1</v>
      </c>
      <c r="CE908" s="1120">
        <f t="shared" si="1107"/>
        <v>1</v>
      </c>
      <c r="CF908" s="1120">
        <f t="shared" si="1108"/>
        <v>1</v>
      </c>
      <c r="CG908" s="1120">
        <f t="shared" si="1109"/>
        <v>0</v>
      </c>
      <c r="CH908" s="1120">
        <f t="shared" si="1110"/>
        <v>0</v>
      </c>
      <c r="CI908" s="1120">
        <f t="shared" si="1111"/>
        <v>0.85</v>
      </c>
      <c r="CJ908" s="1120">
        <f t="shared" si="1112"/>
        <v>0.85</v>
      </c>
      <c r="CK908" s="1120">
        <f t="shared" si="1113"/>
        <v>0.85</v>
      </c>
      <c r="CL908" s="1120">
        <f t="shared" si="1114"/>
        <v>0.85</v>
      </c>
      <c r="CM908" s="1120">
        <f t="shared" si="1115"/>
        <v>0.85</v>
      </c>
      <c r="CN908" s="1120">
        <f t="shared" si="1116"/>
        <v>0.85</v>
      </c>
      <c r="CO908" s="1120">
        <f t="shared" si="1117"/>
        <v>0.7</v>
      </c>
      <c r="CP908" s="1120">
        <f t="shared" si="1118"/>
        <v>0.7</v>
      </c>
      <c r="CQ908" s="1120">
        <f t="shared" si="1119"/>
        <v>0.7</v>
      </c>
      <c r="CR908" s="1120">
        <f t="shared" si="1120"/>
        <v>0.85</v>
      </c>
      <c r="CS908" s="1120">
        <f t="shared" si="1121"/>
        <v>0.85</v>
      </c>
      <c r="CT908" s="1120">
        <f t="shared" si="1122"/>
        <v>0.85</v>
      </c>
      <c r="CU908" s="1120">
        <v>1</v>
      </c>
      <c r="CV908" s="1120"/>
      <c r="CW908" s="1120">
        <f t="shared" si="1123"/>
        <v>184</v>
      </c>
      <c r="CX908" s="1120">
        <f t="shared" si="1124"/>
        <v>181</v>
      </c>
      <c r="CY908" s="1135" t="s">
        <v>4889</v>
      </c>
      <c r="CZ908" s="1124" t="s">
        <v>4897</v>
      </c>
      <c r="DA908" s="1124"/>
      <c r="DB908" s="1124"/>
      <c r="DC908" s="1120" t="s">
        <v>5968</v>
      </c>
      <c r="DD908" s="1120" t="s">
        <v>283</v>
      </c>
      <c r="DE908" s="1120" t="b">
        <f t="shared" si="1050"/>
        <v>0</v>
      </c>
      <c r="DF908" s="1133">
        <v>0</v>
      </c>
      <c r="DG908" s="1120">
        <v>0</v>
      </c>
    </row>
    <row r="909" spans="1:111">
      <c r="A909" s="1125" t="s">
        <v>4526</v>
      </c>
      <c r="B909" s="1120" t="s">
        <v>4064</v>
      </c>
      <c r="C909" s="1120" t="s">
        <v>4065</v>
      </c>
      <c r="D909" s="1120" t="s">
        <v>589</v>
      </c>
      <c r="E909" s="1120">
        <v>10</v>
      </c>
      <c r="F909" s="1120">
        <v>-74.069999999999993</v>
      </c>
      <c r="G909" s="1120">
        <v>40.85</v>
      </c>
      <c r="H909" s="1120">
        <v>-5</v>
      </c>
      <c r="I909" s="1121">
        <v>14.540000343322754</v>
      </c>
      <c r="J909" s="1121">
        <v>89.779997253417974</v>
      </c>
      <c r="K909" s="1122">
        <v>73.939998626708984</v>
      </c>
      <c r="L909" s="1120">
        <v>4649.4000000000005</v>
      </c>
      <c r="M909" s="1120">
        <v>784.80000000000007</v>
      </c>
      <c r="N909" s="1123">
        <v>29.839999914169312</v>
      </c>
      <c r="O909" s="1123">
        <v>39.02000017166138</v>
      </c>
      <c r="P909" s="1123">
        <v>43.7</v>
      </c>
      <c r="Q909" s="1123">
        <v>50.719999313354492</v>
      </c>
      <c r="R909" s="1123">
        <v>62.419999313354495</v>
      </c>
      <c r="S909" s="1123">
        <v>69.8</v>
      </c>
      <c r="T909" s="1123">
        <v>72.139998626708987</v>
      </c>
      <c r="U909" s="1123">
        <v>71.239998626708982</v>
      </c>
      <c r="V909" s="1123">
        <v>64.400000000000006</v>
      </c>
      <c r="W909" s="1123">
        <v>54.859999656677246</v>
      </c>
      <c r="X909" s="1123">
        <v>48.740000343322755</v>
      </c>
      <c r="Y909" s="1123">
        <v>38.120000171661374</v>
      </c>
      <c r="Z909" s="1123">
        <v>53.819944876971313</v>
      </c>
      <c r="AA909" s="1123">
        <f t="shared" si="1051"/>
        <v>50.256893077983605</v>
      </c>
      <c r="AB909" s="1123">
        <f t="shared" si="1052"/>
        <v>49.319253433300453</v>
      </c>
      <c r="AC909" s="1123">
        <f t="shared" si="1053"/>
        <v>51.118780833963527</v>
      </c>
      <c r="AD909" s="1123">
        <f t="shared" si="1054"/>
        <v>55.186400731433324</v>
      </c>
      <c r="AE909" s="1123">
        <f t="shared" si="1055"/>
        <v>60.46182531551429</v>
      </c>
      <c r="AF909" s="1123">
        <f t="shared" si="1056"/>
        <v>65.569933871612051</v>
      </c>
      <c r="AG909" s="1123">
        <f t="shared" si="1057"/>
        <v>69.179219186244097</v>
      </c>
      <c r="AH909" s="1123">
        <f t="shared" si="1058"/>
        <v>70.348865421381262</v>
      </c>
      <c r="AI909" s="1123">
        <f t="shared" si="1059"/>
        <v>68.773986261040946</v>
      </c>
      <c r="AJ909" s="1123">
        <f t="shared" si="1060"/>
        <v>64.865098227988341</v>
      </c>
      <c r="AK909" s="1123">
        <f t="shared" si="1061"/>
        <v>59.641113225826608</v>
      </c>
      <c r="AL909" s="1123">
        <f t="shared" si="1062"/>
        <v>54.463743449414899</v>
      </c>
      <c r="AM909" s="1120">
        <f t="shared" si="1063"/>
        <v>1</v>
      </c>
      <c r="AN909" s="1120">
        <f t="shared" si="1064"/>
        <v>1</v>
      </c>
      <c r="AO909" s="1120">
        <f t="shared" si="1065"/>
        <v>1</v>
      </c>
      <c r="AP909" s="1120">
        <f t="shared" si="1066"/>
        <v>1</v>
      </c>
      <c r="AQ909" s="1120">
        <f t="shared" si="1067"/>
        <v>1</v>
      </c>
      <c r="AR909" s="1120">
        <f t="shared" si="1068"/>
        <v>0</v>
      </c>
      <c r="AS909" s="1120">
        <f t="shared" si="1069"/>
        <v>0</v>
      </c>
      <c r="AT909" s="1120">
        <f t="shared" si="1070"/>
        <v>0</v>
      </c>
      <c r="AU909" s="1120">
        <f t="shared" si="1071"/>
        <v>1</v>
      </c>
      <c r="AV909" s="1120">
        <f t="shared" si="1072"/>
        <v>1</v>
      </c>
      <c r="AW909" s="1120">
        <f t="shared" si="1073"/>
        <v>1</v>
      </c>
      <c r="AX909" s="1120">
        <f t="shared" si="1074"/>
        <v>1</v>
      </c>
      <c r="AY909" s="1120">
        <f t="shared" si="1075"/>
        <v>0</v>
      </c>
      <c r="AZ909" s="1120">
        <f t="shared" si="1076"/>
        <v>0</v>
      </c>
      <c r="BA909" s="1120">
        <f t="shared" si="1077"/>
        <v>0</v>
      </c>
      <c r="BB909" s="1120">
        <f t="shared" si="1078"/>
        <v>0</v>
      </c>
      <c r="BC909" s="1120">
        <f t="shared" si="1079"/>
        <v>0</v>
      </c>
      <c r="BD909" s="1120">
        <f t="shared" si="1080"/>
        <v>1</v>
      </c>
      <c r="BE909" s="1120">
        <f t="shared" si="1081"/>
        <v>1</v>
      </c>
      <c r="BF909" s="1120">
        <f t="shared" si="1082"/>
        <v>1</v>
      </c>
      <c r="BG909" s="1120">
        <f t="shared" si="1083"/>
        <v>0</v>
      </c>
      <c r="BH909" s="1120">
        <f t="shared" si="1084"/>
        <v>0</v>
      </c>
      <c r="BI909" s="1120">
        <f t="shared" si="1085"/>
        <v>0</v>
      </c>
      <c r="BJ909" s="1120">
        <f t="shared" si="1086"/>
        <v>0</v>
      </c>
      <c r="BK909" s="1120">
        <f t="shared" si="1087"/>
        <v>1</v>
      </c>
      <c r="BL909" s="1120">
        <f t="shared" si="1088"/>
        <v>1</v>
      </c>
      <c r="BM909" s="1120">
        <f t="shared" si="1089"/>
        <v>1</v>
      </c>
      <c r="BN909" s="1120">
        <f t="shared" si="1090"/>
        <v>1</v>
      </c>
      <c r="BO909" s="1120">
        <f t="shared" si="1091"/>
        <v>1</v>
      </c>
      <c r="BP909" s="1120">
        <f t="shared" si="1092"/>
        <v>1</v>
      </c>
      <c r="BQ909" s="1120">
        <f t="shared" si="1093"/>
        <v>0</v>
      </c>
      <c r="BR909" s="1120">
        <f t="shared" si="1094"/>
        <v>0</v>
      </c>
      <c r="BS909" s="1120">
        <f t="shared" si="1095"/>
        <v>1</v>
      </c>
      <c r="BT909" s="1120">
        <f t="shared" si="1096"/>
        <v>1</v>
      </c>
      <c r="BU909" s="1120">
        <f t="shared" si="1097"/>
        <v>1</v>
      </c>
      <c r="BV909" s="1120">
        <f t="shared" si="1098"/>
        <v>1</v>
      </c>
      <c r="BW909" s="1120">
        <f t="shared" si="1099"/>
        <v>0</v>
      </c>
      <c r="BX909" s="1120">
        <f t="shared" si="1100"/>
        <v>0</v>
      </c>
      <c r="BY909" s="1120">
        <f t="shared" si="1101"/>
        <v>0</v>
      </c>
      <c r="BZ909" s="1120">
        <f t="shared" si="1102"/>
        <v>0</v>
      </c>
      <c r="CA909" s="1120">
        <f t="shared" si="1103"/>
        <v>1</v>
      </c>
      <c r="CB909" s="1120">
        <f t="shared" si="1104"/>
        <v>1</v>
      </c>
      <c r="CC909" s="1120">
        <f t="shared" si="1105"/>
        <v>1</v>
      </c>
      <c r="CD909" s="1120">
        <f t="shared" si="1106"/>
        <v>1</v>
      </c>
      <c r="CE909" s="1120">
        <f t="shared" si="1107"/>
        <v>1</v>
      </c>
      <c r="CF909" s="1120">
        <f t="shared" si="1108"/>
        <v>0</v>
      </c>
      <c r="CG909" s="1120">
        <f t="shared" si="1109"/>
        <v>0</v>
      </c>
      <c r="CH909" s="1120">
        <f t="shared" si="1110"/>
        <v>0</v>
      </c>
      <c r="CI909" s="1120">
        <f t="shared" si="1111"/>
        <v>0.85</v>
      </c>
      <c r="CJ909" s="1120">
        <f t="shared" si="1112"/>
        <v>0.85</v>
      </c>
      <c r="CK909" s="1120">
        <f t="shared" si="1113"/>
        <v>0.85</v>
      </c>
      <c r="CL909" s="1120">
        <f t="shared" si="1114"/>
        <v>0.85</v>
      </c>
      <c r="CM909" s="1120">
        <f t="shared" si="1115"/>
        <v>0.85</v>
      </c>
      <c r="CN909" s="1120">
        <f t="shared" si="1116"/>
        <v>0.85</v>
      </c>
      <c r="CO909" s="1120">
        <f t="shared" si="1117"/>
        <v>0.7</v>
      </c>
      <c r="CP909" s="1120">
        <f t="shared" si="1118"/>
        <v>0.7</v>
      </c>
      <c r="CQ909" s="1120">
        <f t="shared" si="1119"/>
        <v>0.85</v>
      </c>
      <c r="CR909" s="1120">
        <f t="shared" si="1120"/>
        <v>0.85</v>
      </c>
      <c r="CS909" s="1120">
        <f t="shared" si="1121"/>
        <v>0.85</v>
      </c>
      <c r="CT909" s="1120">
        <f t="shared" si="1122"/>
        <v>0.85</v>
      </c>
      <c r="CU909" s="1120">
        <v>1</v>
      </c>
      <c r="CV909" s="1120"/>
      <c r="CW909" s="1120">
        <f t="shared" si="1123"/>
        <v>153</v>
      </c>
      <c r="CX909" s="1120">
        <f t="shared" si="1124"/>
        <v>212</v>
      </c>
      <c r="CY909" s="1135" t="s">
        <v>4889</v>
      </c>
      <c r="CZ909" s="1124" t="s">
        <v>4897</v>
      </c>
      <c r="DA909" s="1124"/>
      <c r="DB909" s="1124"/>
      <c r="DC909" s="1120" t="s">
        <v>5444</v>
      </c>
      <c r="DD909" s="1120" t="s">
        <v>589</v>
      </c>
      <c r="DE909" s="1120" t="str">
        <f t="shared" si="1050"/>
        <v/>
      </c>
      <c r="DF909" s="1133">
        <v>0</v>
      </c>
      <c r="DG909" s="1125">
        <v>0</v>
      </c>
    </row>
    <row r="910" spans="1:111">
      <c r="A910" s="1120" t="s">
        <v>4496</v>
      </c>
      <c r="B910" s="1120" t="s">
        <v>3046</v>
      </c>
      <c r="C910" s="1120" t="s">
        <v>3047</v>
      </c>
      <c r="D910" s="1120" t="s">
        <v>1176</v>
      </c>
      <c r="E910" s="1120">
        <v>361</v>
      </c>
      <c r="F910" s="1120">
        <v>-94</v>
      </c>
      <c r="G910" s="1120">
        <v>33.450000000000003</v>
      </c>
      <c r="H910" s="1120">
        <v>-6</v>
      </c>
      <c r="I910" s="1121">
        <v>26.23999991416931</v>
      </c>
      <c r="J910" s="1121">
        <v>95.9</v>
      </c>
      <c r="K910" s="1122">
        <v>76.280000686645508</v>
      </c>
      <c r="L910" s="1120">
        <v>2386.8000000000002</v>
      </c>
      <c r="M910" s="1120">
        <v>2536.2000000000003</v>
      </c>
      <c r="N910" s="1123">
        <v>41.720000171661376</v>
      </c>
      <c r="O910" s="1123">
        <v>50</v>
      </c>
      <c r="P910" s="1123">
        <v>54.140000343322754</v>
      </c>
      <c r="Q910" s="1123">
        <v>67.280000686645508</v>
      </c>
      <c r="R910" s="1123">
        <v>72.860001373291013</v>
      </c>
      <c r="S910" s="1123">
        <v>77.360001373291013</v>
      </c>
      <c r="T910" s="1123">
        <v>83.83999862670899</v>
      </c>
      <c r="U910" s="1123">
        <v>80.419999313354495</v>
      </c>
      <c r="V910" s="1123">
        <v>80.060001373291016</v>
      </c>
      <c r="W910" s="1123">
        <v>66.560001373291016</v>
      </c>
      <c r="X910" s="1123">
        <v>53.780000686645508</v>
      </c>
      <c r="Y910" s="1123">
        <v>48.740000343322755</v>
      </c>
      <c r="Z910" s="1123">
        <v>64.797479921889632</v>
      </c>
      <c r="AA910" s="1123">
        <f t="shared" si="1051"/>
        <v>58.374062355136154</v>
      </c>
      <c r="AB910" s="1123">
        <f t="shared" si="1052"/>
        <v>58.463773425633086</v>
      </c>
      <c r="AC910" s="1123">
        <f t="shared" si="1053"/>
        <v>61.768455162549714</v>
      </c>
      <c r="AD910" s="1123">
        <f t="shared" si="1054"/>
        <v>67.426691344471607</v>
      </c>
      <c r="AE910" s="1123">
        <f t="shared" si="1055"/>
        <v>73.96357551452185</v>
      </c>
      <c r="AF910" s="1123">
        <f t="shared" si="1056"/>
        <v>79.675168077342548</v>
      </c>
      <c r="AG910" s="1123">
        <f t="shared" si="1057"/>
        <v>83.072654413128774</v>
      </c>
      <c r="AH910" s="1123">
        <f t="shared" si="1058"/>
        <v>83.270427351608603</v>
      </c>
      <c r="AI910" s="1123">
        <f t="shared" si="1059"/>
        <v>80.216934328594022</v>
      </c>
      <c r="AJ910" s="1123">
        <f t="shared" si="1060"/>
        <v>74.708115356285631</v>
      </c>
      <c r="AK910" s="1123">
        <f t="shared" si="1061"/>
        <v>68.179928993285685</v>
      </c>
      <c r="AL910" s="1123">
        <f t="shared" si="1062"/>
        <v>62.334047617507174</v>
      </c>
      <c r="AM910" s="1120">
        <f t="shared" si="1063"/>
        <v>1</v>
      </c>
      <c r="AN910" s="1120">
        <f t="shared" si="1064"/>
        <v>1</v>
      </c>
      <c r="AO910" s="1120">
        <f t="shared" si="1065"/>
        <v>1</v>
      </c>
      <c r="AP910" s="1120">
        <f t="shared" si="1066"/>
        <v>0</v>
      </c>
      <c r="AQ910" s="1120">
        <f t="shared" si="1067"/>
        <v>0</v>
      </c>
      <c r="AR910" s="1120">
        <f t="shared" si="1068"/>
        <v>0</v>
      </c>
      <c r="AS910" s="1120">
        <f t="shared" si="1069"/>
        <v>0</v>
      </c>
      <c r="AT910" s="1120">
        <f t="shared" si="1070"/>
        <v>0</v>
      </c>
      <c r="AU910" s="1120">
        <f t="shared" si="1071"/>
        <v>0</v>
      </c>
      <c r="AV910" s="1120">
        <f t="shared" si="1072"/>
        <v>0</v>
      </c>
      <c r="AW910" s="1120">
        <f t="shared" si="1073"/>
        <v>1</v>
      </c>
      <c r="AX910" s="1120">
        <f t="shared" si="1074"/>
        <v>1</v>
      </c>
      <c r="AY910" s="1120">
        <f t="shared" si="1075"/>
        <v>0</v>
      </c>
      <c r="AZ910" s="1120">
        <f t="shared" si="1076"/>
        <v>0</v>
      </c>
      <c r="BA910" s="1120">
        <f t="shared" si="1077"/>
        <v>0</v>
      </c>
      <c r="BB910" s="1120">
        <f t="shared" si="1078"/>
        <v>1</v>
      </c>
      <c r="BC910" s="1120">
        <f t="shared" si="1079"/>
        <v>1</v>
      </c>
      <c r="BD910" s="1120">
        <f t="shared" si="1080"/>
        <v>1</v>
      </c>
      <c r="BE910" s="1120">
        <f t="shared" si="1081"/>
        <v>1</v>
      </c>
      <c r="BF910" s="1120">
        <f t="shared" si="1082"/>
        <v>1</v>
      </c>
      <c r="BG910" s="1120">
        <f t="shared" si="1083"/>
        <v>1</v>
      </c>
      <c r="BH910" s="1120">
        <f t="shared" si="1084"/>
        <v>1</v>
      </c>
      <c r="BI910" s="1120">
        <f t="shared" si="1085"/>
        <v>0</v>
      </c>
      <c r="BJ910" s="1120">
        <f t="shared" si="1086"/>
        <v>0</v>
      </c>
      <c r="BK910" s="1120">
        <f t="shared" si="1087"/>
        <v>1</v>
      </c>
      <c r="BL910" s="1120">
        <f t="shared" si="1088"/>
        <v>1</v>
      </c>
      <c r="BM910" s="1120">
        <f t="shared" si="1089"/>
        <v>1</v>
      </c>
      <c r="BN910" s="1120">
        <f t="shared" si="1090"/>
        <v>1</v>
      </c>
      <c r="BO910" s="1120">
        <f t="shared" si="1091"/>
        <v>0</v>
      </c>
      <c r="BP910" s="1120">
        <f t="shared" si="1092"/>
        <v>0</v>
      </c>
      <c r="BQ910" s="1120">
        <f t="shared" si="1093"/>
        <v>0</v>
      </c>
      <c r="BR910" s="1120">
        <f t="shared" si="1094"/>
        <v>0</v>
      </c>
      <c r="BS910" s="1120">
        <f t="shared" si="1095"/>
        <v>0</v>
      </c>
      <c r="BT910" s="1120">
        <f t="shared" si="1096"/>
        <v>0</v>
      </c>
      <c r="BU910" s="1120">
        <f t="shared" si="1097"/>
        <v>1</v>
      </c>
      <c r="BV910" s="1120">
        <f t="shared" si="1098"/>
        <v>1</v>
      </c>
      <c r="BW910" s="1120">
        <f t="shared" si="1099"/>
        <v>0</v>
      </c>
      <c r="BX910" s="1120">
        <f t="shared" si="1100"/>
        <v>0</v>
      </c>
      <c r="BY910" s="1120">
        <f t="shared" si="1101"/>
        <v>1</v>
      </c>
      <c r="BZ910" s="1120">
        <f t="shared" si="1102"/>
        <v>1</v>
      </c>
      <c r="CA910" s="1120">
        <f t="shared" si="1103"/>
        <v>1</v>
      </c>
      <c r="CB910" s="1120">
        <f t="shared" si="1104"/>
        <v>1</v>
      </c>
      <c r="CC910" s="1120">
        <f t="shared" si="1105"/>
        <v>1</v>
      </c>
      <c r="CD910" s="1120">
        <f t="shared" si="1106"/>
        <v>1</v>
      </c>
      <c r="CE910" s="1120">
        <f t="shared" si="1107"/>
        <v>1</v>
      </c>
      <c r="CF910" s="1120">
        <f t="shared" si="1108"/>
        <v>1</v>
      </c>
      <c r="CG910" s="1120">
        <f t="shared" si="1109"/>
        <v>1</v>
      </c>
      <c r="CH910" s="1120">
        <f t="shared" si="1110"/>
        <v>0</v>
      </c>
      <c r="CI910" s="1120">
        <f t="shared" si="1111"/>
        <v>0.85</v>
      </c>
      <c r="CJ910" s="1120">
        <f t="shared" si="1112"/>
        <v>0.85</v>
      </c>
      <c r="CK910" s="1120">
        <f t="shared" si="1113"/>
        <v>0.85</v>
      </c>
      <c r="CL910" s="1120">
        <f t="shared" si="1114"/>
        <v>0.85</v>
      </c>
      <c r="CM910" s="1120">
        <f t="shared" si="1115"/>
        <v>0.7</v>
      </c>
      <c r="CN910" s="1120">
        <f t="shared" si="1116"/>
        <v>0.7</v>
      </c>
      <c r="CO910" s="1120">
        <f t="shared" si="1117"/>
        <v>0.7</v>
      </c>
      <c r="CP910" s="1120">
        <f t="shared" si="1118"/>
        <v>0.7</v>
      </c>
      <c r="CQ910" s="1120">
        <f t="shared" si="1119"/>
        <v>0.7</v>
      </c>
      <c r="CR910" s="1120">
        <f t="shared" si="1120"/>
        <v>0.7</v>
      </c>
      <c r="CS910" s="1120">
        <f t="shared" si="1121"/>
        <v>0.85</v>
      </c>
      <c r="CT910" s="1120">
        <f t="shared" si="1122"/>
        <v>0.85</v>
      </c>
      <c r="CU910" s="1120">
        <v>1</v>
      </c>
      <c r="CV910" s="1120"/>
      <c r="CW910" s="1120">
        <f t="shared" si="1123"/>
        <v>275</v>
      </c>
      <c r="CX910" s="1120">
        <f t="shared" si="1124"/>
        <v>90</v>
      </c>
      <c r="CY910" s="1135" t="s">
        <v>4883</v>
      </c>
      <c r="CZ910" s="1124" t="s">
        <v>4882</v>
      </c>
      <c r="DA910" s="1124"/>
      <c r="DB910" s="1124"/>
      <c r="DC910" s="1120" t="s">
        <v>4994</v>
      </c>
      <c r="DD910" s="1120" t="s">
        <v>1176</v>
      </c>
      <c r="DE910" s="1120" t="str">
        <f t="shared" si="1050"/>
        <v/>
      </c>
      <c r="DF910" s="1120">
        <v>1</v>
      </c>
      <c r="DG910" s="1120">
        <v>0</v>
      </c>
    </row>
    <row r="911" spans="1:111">
      <c r="A911" s="1125" t="s">
        <v>4498</v>
      </c>
      <c r="B911" s="1120" t="s">
        <v>4594</v>
      </c>
      <c r="C911" s="1120" t="s">
        <v>4595</v>
      </c>
      <c r="D911" s="1120" t="s">
        <v>238</v>
      </c>
      <c r="E911" s="1120">
        <v>239</v>
      </c>
      <c r="F911" s="1120">
        <v>-121.15</v>
      </c>
      <c r="G911" s="1120">
        <v>45.62</v>
      </c>
      <c r="H911" s="1120">
        <v>-8</v>
      </c>
      <c r="I911" s="1121">
        <v>24.8</v>
      </c>
      <c r="J911" s="1121">
        <v>97.160001373291024</v>
      </c>
      <c r="K911" s="1122">
        <v>61.160001373291017</v>
      </c>
      <c r="L911" s="1120">
        <v>4408.2</v>
      </c>
      <c r="M911" s="1120">
        <v>948.6</v>
      </c>
      <c r="N911" s="1123">
        <v>36.860000085830691</v>
      </c>
      <c r="O911" s="1123">
        <v>40.640000343322754</v>
      </c>
      <c r="P911" s="1123">
        <v>47.480000686645511</v>
      </c>
      <c r="Q911" s="1123">
        <v>54.859999656677246</v>
      </c>
      <c r="R911" s="1123">
        <v>59.9</v>
      </c>
      <c r="S911" s="1123">
        <v>68.180000686645513</v>
      </c>
      <c r="T911" s="1123">
        <v>76.280000686645508</v>
      </c>
      <c r="U911" s="1123">
        <v>74.3</v>
      </c>
      <c r="V911" s="1123">
        <v>65.119999313354498</v>
      </c>
      <c r="W911" s="1123">
        <v>53.419999313354495</v>
      </c>
      <c r="X911" s="1123">
        <v>41.9</v>
      </c>
      <c r="Y911" s="1123">
        <v>39.200000000000003</v>
      </c>
      <c r="Z911" s="1123">
        <v>54.932493214411281</v>
      </c>
      <c r="AA911" s="1123">
        <f t="shared" si="1051"/>
        <v>51.742498171597774</v>
      </c>
      <c r="AB911" s="1123">
        <f t="shared" si="1052"/>
        <v>50.945969237531436</v>
      </c>
      <c r="AC911" s="1123">
        <f t="shared" si="1053"/>
        <v>52.752581675031735</v>
      </c>
      <c r="AD911" s="1123">
        <f t="shared" si="1054"/>
        <v>56.691414111523827</v>
      </c>
      <c r="AE911" s="1123">
        <f t="shared" si="1055"/>
        <v>61.735749173190847</v>
      </c>
      <c r="AF911" s="1123">
        <f t="shared" si="1056"/>
        <v>66.570703190652949</v>
      </c>
      <c r="AG911" s="1123">
        <f t="shared" si="1057"/>
        <v>69.935970890361872</v>
      </c>
      <c r="AH911" s="1123">
        <f t="shared" si="1058"/>
        <v>70.954343386043433</v>
      </c>
      <c r="AI911" s="1123">
        <f t="shared" si="1059"/>
        <v>69.360366193103019</v>
      </c>
      <c r="AJ911" s="1123">
        <f t="shared" si="1060"/>
        <v>65.569534030812633</v>
      </c>
      <c r="AK911" s="1123">
        <f t="shared" si="1061"/>
        <v>60.569985720765224</v>
      </c>
      <c r="AL911" s="1123">
        <f t="shared" si="1062"/>
        <v>55.664930575346226</v>
      </c>
      <c r="AM911" s="1120">
        <f t="shared" si="1063"/>
        <v>1</v>
      </c>
      <c r="AN911" s="1120">
        <f t="shared" si="1064"/>
        <v>1</v>
      </c>
      <c r="AO911" s="1120">
        <f t="shared" si="1065"/>
        <v>1</v>
      </c>
      <c r="AP911" s="1120">
        <f t="shared" si="1066"/>
        <v>1</v>
      </c>
      <c r="AQ911" s="1120">
        <f t="shared" si="1067"/>
        <v>1</v>
      </c>
      <c r="AR911" s="1120">
        <f t="shared" si="1068"/>
        <v>0</v>
      </c>
      <c r="AS911" s="1120">
        <f t="shared" si="1069"/>
        <v>0</v>
      </c>
      <c r="AT911" s="1120">
        <f t="shared" si="1070"/>
        <v>0</v>
      </c>
      <c r="AU911" s="1120">
        <f t="shared" si="1071"/>
        <v>1</v>
      </c>
      <c r="AV911" s="1120">
        <f t="shared" si="1072"/>
        <v>1</v>
      </c>
      <c r="AW911" s="1120">
        <f t="shared" si="1073"/>
        <v>1</v>
      </c>
      <c r="AX911" s="1120">
        <f t="shared" si="1074"/>
        <v>1</v>
      </c>
      <c r="AY911" s="1120">
        <f t="shared" si="1075"/>
        <v>0</v>
      </c>
      <c r="AZ911" s="1120">
        <f t="shared" si="1076"/>
        <v>0</v>
      </c>
      <c r="BA911" s="1120">
        <f t="shared" si="1077"/>
        <v>0</v>
      </c>
      <c r="BB911" s="1120">
        <f t="shared" si="1078"/>
        <v>0</v>
      </c>
      <c r="BC911" s="1120">
        <f t="shared" si="1079"/>
        <v>0</v>
      </c>
      <c r="BD911" s="1120">
        <f t="shared" si="1080"/>
        <v>1</v>
      </c>
      <c r="BE911" s="1120">
        <f t="shared" si="1081"/>
        <v>1</v>
      </c>
      <c r="BF911" s="1120">
        <f t="shared" si="1082"/>
        <v>1</v>
      </c>
      <c r="BG911" s="1120">
        <f t="shared" si="1083"/>
        <v>0</v>
      </c>
      <c r="BH911" s="1120">
        <f t="shared" si="1084"/>
        <v>0</v>
      </c>
      <c r="BI911" s="1120">
        <f t="shared" si="1085"/>
        <v>0</v>
      </c>
      <c r="BJ911" s="1120">
        <f t="shared" si="1086"/>
        <v>0</v>
      </c>
      <c r="BK911" s="1120">
        <f t="shared" si="1087"/>
        <v>1</v>
      </c>
      <c r="BL911" s="1120">
        <f t="shared" si="1088"/>
        <v>1</v>
      </c>
      <c r="BM911" s="1120">
        <f t="shared" si="1089"/>
        <v>1</v>
      </c>
      <c r="BN911" s="1120">
        <f t="shared" si="1090"/>
        <v>1</v>
      </c>
      <c r="BO911" s="1120">
        <f t="shared" si="1091"/>
        <v>1</v>
      </c>
      <c r="BP911" s="1120">
        <f t="shared" si="1092"/>
        <v>1</v>
      </c>
      <c r="BQ911" s="1120">
        <f t="shared" si="1093"/>
        <v>0</v>
      </c>
      <c r="BR911" s="1120">
        <f t="shared" si="1094"/>
        <v>0</v>
      </c>
      <c r="BS911" s="1120">
        <f t="shared" si="1095"/>
        <v>1</v>
      </c>
      <c r="BT911" s="1120">
        <f t="shared" si="1096"/>
        <v>1</v>
      </c>
      <c r="BU911" s="1120">
        <f t="shared" si="1097"/>
        <v>1</v>
      </c>
      <c r="BV911" s="1120">
        <f t="shared" si="1098"/>
        <v>1</v>
      </c>
      <c r="BW911" s="1120">
        <f t="shared" si="1099"/>
        <v>0</v>
      </c>
      <c r="BX911" s="1120">
        <f t="shared" si="1100"/>
        <v>0</v>
      </c>
      <c r="BY911" s="1120">
        <f t="shared" si="1101"/>
        <v>0</v>
      </c>
      <c r="BZ911" s="1120">
        <f t="shared" si="1102"/>
        <v>0</v>
      </c>
      <c r="CA911" s="1120">
        <f t="shared" si="1103"/>
        <v>1</v>
      </c>
      <c r="CB911" s="1120">
        <f t="shared" si="1104"/>
        <v>1</v>
      </c>
      <c r="CC911" s="1120">
        <f t="shared" si="1105"/>
        <v>1</v>
      </c>
      <c r="CD911" s="1120">
        <f t="shared" si="1106"/>
        <v>1</v>
      </c>
      <c r="CE911" s="1120">
        <f t="shared" si="1107"/>
        <v>1</v>
      </c>
      <c r="CF911" s="1120">
        <f t="shared" si="1108"/>
        <v>0</v>
      </c>
      <c r="CG911" s="1120">
        <f t="shared" si="1109"/>
        <v>0</v>
      </c>
      <c r="CH911" s="1120">
        <f t="shared" si="1110"/>
        <v>0</v>
      </c>
      <c r="CI911" s="1120">
        <f t="shared" si="1111"/>
        <v>0.85</v>
      </c>
      <c r="CJ911" s="1120">
        <f t="shared" si="1112"/>
        <v>0.85</v>
      </c>
      <c r="CK911" s="1120">
        <f t="shared" si="1113"/>
        <v>0.85</v>
      </c>
      <c r="CL911" s="1120">
        <f t="shared" si="1114"/>
        <v>0.85</v>
      </c>
      <c r="CM911" s="1120">
        <f t="shared" si="1115"/>
        <v>0.85</v>
      </c>
      <c r="CN911" s="1120">
        <f t="shared" si="1116"/>
        <v>0.85</v>
      </c>
      <c r="CO911" s="1120">
        <f t="shared" si="1117"/>
        <v>0.7</v>
      </c>
      <c r="CP911" s="1120">
        <f t="shared" si="1118"/>
        <v>0.7</v>
      </c>
      <c r="CQ911" s="1120">
        <f t="shared" si="1119"/>
        <v>0.85</v>
      </c>
      <c r="CR911" s="1120">
        <f t="shared" si="1120"/>
        <v>0.85</v>
      </c>
      <c r="CS911" s="1120">
        <f t="shared" si="1121"/>
        <v>0.85</v>
      </c>
      <c r="CT911" s="1120">
        <f t="shared" si="1122"/>
        <v>0.85</v>
      </c>
      <c r="CU911" s="1120">
        <v>1</v>
      </c>
      <c r="CV911" s="1120"/>
      <c r="CW911" s="1120">
        <f t="shared" si="1123"/>
        <v>153</v>
      </c>
      <c r="CX911" s="1120">
        <f t="shared" si="1124"/>
        <v>212</v>
      </c>
      <c r="CY911" s="1136" t="s">
        <v>4889</v>
      </c>
      <c r="CZ911" s="1129" t="s">
        <v>4890</v>
      </c>
      <c r="DA911" s="1129"/>
      <c r="DB911" s="1129"/>
      <c r="DC911" s="1125" t="s">
        <v>5669</v>
      </c>
      <c r="DD911" s="1125" t="s">
        <v>238</v>
      </c>
      <c r="DE911" s="1120" t="str">
        <f t="shared" si="1050"/>
        <v/>
      </c>
      <c r="DF911" s="1133">
        <v>0</v>
      </c>
      <c r="DG911" s="1125">
        <v>0</v>
      </c>
    </row>
    <row r="912" spans="1:111">
      <c r="A912" s="1120" t="s">
        <v>4502</v>
      </c>
      <c r="B912" s="1125" t="s">
        <v>3833</v>
      </c>
      <c r="C912" s="1125" t="s">
        <v>3834</v>
      </c>
      <c r="D912" s="1125" t="s">
        <v>934</v>
      </c>
      <c r="E912" s="1125">
        <v>1115</v>
      </c>
      <c r="F912" s="1125">
        <v>-96.18</v>
      </c>
      <c r="G912" s="1125">
        <v>48.07</v>
      </c>
      <c r="H912" s="1125">
        <v>-6</v>
      </c>
      <c r="I912" s="1126">
        <v>-17.860001373291016</v>
      </c>
      <c r="J912" s="1126">
        <v>82.219999313354492</v>
      </c>
      <c r="K912" s="1127">
        <v>68.360001373291013</v>
      </c>
      <c r="L912" s="1125">
        <v>9018</v>
      </c>
      <c r="M912" s="1125">
        <v>387</v>
      </c>
      <c r="N912" s="1128">
        <v>8.6</v>
      </c>
      <c r="O912" s="1128">
        <v>22.1</v>
      </c>
      <c r="P912" s="1128">
        <v>17.419999313354491</v>
      </c>
      <c r="Q912" s="1128">
        <v>49.459999656677248</v>
      </c>
      <c r="R912" s="1128">
        <v>49.1</v>
      </c>
      <c r="S912" s="1128">
        <v>63.139998626708987</v>
      </c>
      <c r="T912" s="1128">
        <v>70.519999313354489</v>
      </c>
      <c r="U912" s="1128">
        <v>65.119999313354498</v>
      </c>
      <c r="V912" s="1128">
        <v>59</v>
      </c>
      <c r="W912" s="1128">
        <v>34.339999914169312</v>
      </c>
      <c r="X912" s="1128">
        <v>37.220000171661376</v>
      </c>
      <c r="Y912" s="1128">
        <v>12.740000343322754</v>
      </c>
      <c r="Z912" s="1128">
        <v>40.757369582946986</v>
      </c>
      <c r="AA912" s="1128">
        <f t="shared" si="1051"/>
        <v>37.754059969803023</v>
      </c>
      <c r="AB912" s="1128">
        <f t="shared" si="1052"/>
        <v>35.491583100650061</v>
      </c>
      <c r="AC912" s="1128">
        <f t="shared" si="1053"/>
        <v>36.165707089132646</v>
      </c>
      <c r="AD912" s="1128">
        <f t="shared" si="1054"/>
        <v>39.600711129087671</v>
      </c>
      <c r="AE912" s="1128">
        <f t="shared" si="1055"/>
        <v>44.901208482486268</v>
      </c>
      <c r="AF912" s="1128">
        <f t="shared" si="1056"/>
        <v>50.685542831028357</v>
      </c>
      <c r="AG912" s="1128">
        <f t="shared" si="1057"/>
        <v>55.445938287475904</v>
      </c>
      <c r="AH912" s="1128">
        <f t="shared" si="1058"/>
        <v>57.941524416191292</v>
      </c>
      <c r="AI912" s="1128">
        <f t="shared" si="1059"/>
        <v>57.52178823457848</v>
      </c>
      <c r="AJ912" s="1128">
        <f t="shared" si="1060"/>
        <v>54.296140446705209</v>
      </c>
      <c r="AK912" s="1128">
        <f t="shared" si="1061"/>
        <v>49.105395857217729</v>
      </c>
      <c r="AL912" s="1128">
        <f t="shared" si="1062"/>
        <v>43.302602035161414</v>
      </c>
      <c r="AM912" s="1125">
        <f t="shared" si="1063"/>
        <v>1</v>
      </c>
      <c r="AN912" s="1125">
        <f t="shared" si="1064"/>
        <v>1</v>
      </c>
      <c r="AO912" s="1125">
        <f t="shared" si="1065"/>
        <v>1</v>
      </c>
      <c r="AP912" s="1125">
        <f t="shared" si="1066"/>
        <v>1</v>
      </c>
      <c r="AQ912" s="1125">
        <f t="shared" si="1067"/>
        <v>1</v>
      </c>
      <c r="AR912" s="1125">
        <f t="shared" si="1068"/>
        <v>1</v>
      </c>
      <c r="AS912" s="1125">
        <f t="shared" si="1069"/>
        <v>0</v>
      </c>
      <c r="AT912" s="1125">
        <f t="shared" si="1070"/>
        <v>1</v>
      </c>
      <c r="AU912" s="1125">
        <f t="shared" si="1071"/>
        <v>1</v>
      </c>
      <c r="AV912" s="1125">
        <f t="shared" si="1072"/>
        <v>1</v>
      </c>
      <c r="AW912" s="1125">
        <f t="shared" si="1073"/>
        <v>1</v>
      </c>
      <c r="AX912" s="1125">
        <f t="shared" si="1074"/>
        <v>1</v>
      </c>
      <c r="AY912" s="1125">
        <f t="shared" si="1075"/>
        <v>0</v>
      </c>
      <c r="AZ912" s="1125">
        <f t="shared" si="1076"/>
        <v>0</v>
      </c>
      <c r="BA912" s="1125">
        <f t="shared" si="1077"/>
        <v>0</v>
      </c>
      <c r="BB912" s="1125">
        <f t="shared" si="1078"/>
        <v>0</v>
      </c>
      <c r="BC912" s="1125">
        <f t="shared" si="1079"/>
        <v>0</v>
      </c>
      <c r="BD912" s="1125">
        <f t="shared" si="1080"/>
        <v>0</v>
      </c>
      <c r="BE912" s="1125">
        <f t="shared" si="1081"/>
        <v>1</v>
      </c>
      <c r="BF912" s="1125">
        <f t="shared" si="1082"/>
        <v>1</v>
      </c>
      <c r="BG912" s="1125">
        <f t="shared" si="1083"/>
        <v>0</v>
      </c>
      <c r="BH912" s="1125">
        <f t="shared" si="1084"/>
        <v>0</v>
      </c>
      <c r="BI912" s="1125">
        <f t="shared" si="1085"/>
        <v>0</v>
      </c>
      <c r="BJ912" s="1125">
        <f t="shared" si="1086"/>
        <v>0</v>
      </c>
      <c r="BK912" s="1125">
        <f t="shared" si="1087"/>
        <v>1</v>
      </c>
      <c r="BL912" s="1125">
        <f t="shared" si="1088"/>
        <v>1</v>
      </c>
      <c r="BM912" s="1125">
        <f t="shared" si="1089"/>
        <v>1</v>
      </c>
      <c r="BN912" s="1125">
        <f t="shared" si="1090"/>
        <v>1</v>
      </c>
      <c r="BO912" s="1125">
        <f t="shared" si="1091"/>
        <v>1</v>
      </c>
      <c r="BP912" s="1125">
        <f t="shared" si="1092"/>
        <v>1</v>
      </c>
      <c r="BQ912" s="1125">
        <f t="shared" si="1093"/>
        <v>1</v>
      </c>
      <c r="BR912" s="1125">
        <f t="shared" si="1094"/>
        <v>1</v>
      </c>
      <c r="BS912" s="1125">
        <f t="shared" si="1095"/>
        <v>1</v>
      </c>
      <c r="BT912" s="1125">
        <f t="shared" si="1096"/>
        <v>1</v>
      </c>
      <c r="BU912" s="1125">
        <f t="shared" si="1097"/>
        <v>1</v>
      </c>
      <c r="BV912" s="1125">
        <f t="shared" si="1098"/>
        <v>1</v>
      </c>
      <c r="BW912" s="1125">
        <f t="shared" si="1099"/>
        <v>0</v>
      </c>
      <c r="BX912" s="1125">
        <f t="shared" si="1100"/>
        <v>0</v>
      </c>
      <c r="BY912" s="1125">
        <f t="shared" si="1101"/>
        <v>0</v>
      </c>
      <c r="BZ912" s="1125">
        <f t="shared" si="1102"/>
        <v>0</v>
      </c>
      <c r="CA912" s="1125">
        <f t="shared" si="1103"/>
        <v>0</v>
      </c>
      <c r="CB912" s="1125">
        <f t="shared" si="1104"/>
        <v>1</v>
      </c>
      <c r="CC912" s="1125">
        <f t="shared" si="1105"/>
        <v>1</v>
      </c>
      <c r="CD912" s="1125">
        <f t="shared" si="1106"/>
        <v>1</v>
      </c>
      <c r="CE912" s="1125">
        <f t="shared" si="1107"/>
        <v>0</v>
      </c>
      <c r="CF912" s="1125">
        <f t="shared" si="1108"/>
        <v>0</v>
      </c>
      <c r="CG912" s="1125">
        <f t="shared" si="1109"/>
        <v>0</v>
      </c>
      <c r="CH912" s="1125">
        <f t="shared" si="1110"/>
        <v>0</v>
      </c>
      <c r="CI912" s="1125">
        <f t="shared" si="1111"/>
        <v>0.85</v>
      </c>
      <c r="CJ912" s="1125">
        <f t="shared" si="1112"/>
        <v>0.85</v>
      </c>
      <c r="CK912" s="1125">
        <f t="shared" si="1113"/>
        <v>0.85</v>
      </c>
      <c r="CL912" s="1125">
        <f t="shared" si="1114"/>
        <v>0.85</v>
      </c>
      <c r="CM912" s="1125">
        <f t="shared" si="1115"/>
        <v>0.85</v>
      </c>
      <c r="CN912" s="1125">
        <f t="shared" si="1116"/>
        <v>0.85</v>
      </c>
      <c r="CO912" s="1125">
        <f t="shared" si="1117"/>
        <v>0.85</v>
      </c>
      <c r="CP912" s="1125">
        <f t="shared" si="1118"/>
        <v>0.85</v>
      </c>
      <c r="CQ912" s="1125">
        <f t="shared" si="1119"/>
        <v>0.85</v>
      </c>
      <c r="CR912" s="1125">
        <f t="shared" si="1120"/>
        <v>0.85</v>
      </c>
      <c r="CS912" s="1125">
        <f t="shared" si="1121"/>
        <v>0.85</v>
      </c>
      <c r="CT912" s="1125">
        <f t="shared" si="1122"/>
        <v>0.85</v>
      </c>
      <c r="CU912" s="1125">
        <v>1</v>
      </c>
      <c r="CV912" s="1125"/>
      <c r="CW912" s="1125">
        <f t="shared" si="1123"/>
        <v>92</v>
      </c>
      <c r="CX912" s="1125">
        <f t="shared" si="1124"/>
        <v>273</v>
      </c>
      <c r="CY912" s="1136" t="s">
        <v>4879</v>
      </c>
      <c r="CZ912" s="1129">
        <v>7</v>
      </c>
      <c r="DA912" s="1129"/>
      <c r="DB912" s="1129"/>
      <c r="DC912" s="1125" t="s">
        <v>5763</v>
      </c>
      <c r="DD912" s="1125" t="s">
        <v>934</v>
      </c>
      <c r="DE912" s="1120" t="b">
        <f t="shared" si="1050"/>
        <v>0</v>
      </c>
      <c r="DF912" s="1133">
        <v>0</v>
      </c>
      <c r="DG912" s="1120">
        <v>0</v>
      </c>
    </row>
    <row r="913" spans="1:111">
      <c r="A913" s="1125" t="s">
        <v>4504</v>
      </c>
      <c r="B913" s="1125" t="s">
        <v>2988</v>
      </c>
      <c r="C913" s="1125" t="s">
        <v>2989</v>
      </c>
      <c r="D913" s="1125" t="s">
        <v>953</v>
      </c>
      <c r="E913" s="1125">
        <v>20</v>
      </c>
      <c r="F913" s="1125">
        <v>-160.4</v>
      </c>
      <c r="G913" s="1125">
        <v>59.05</v>
      </c>
      <c r="H913" s="1125">
        <v>-9</v>
      </c>
      <c r="I913" s="1126">
        <v>-13.9</v>
      </c>
      <c r="J913" s="1126">
        <v>64.039998626708979</v>
      </c>
      <c r="K913" s="1127">
        <v>55.580000686645505</v>
      </c>
      <c r="L913" s="1125">
        <v>10067.4</v>
      </c>
      <c r="M913" s="1125">
        <v>9</v>
      </c>
      <c r="N913" s="1128">
        <v>27.860000085830688</v>
      </c>
      <c r="O913" s="1128">
        <v>32.9</v>
      </c>
      <c r="P913" s="1128">
        <v>26.420000171661378</v>
      </c>
      <c r="Q913" s="1128">
        <v>29.480000042915343</v>
      </c>
      <c r="R913" s="1128">
        <v>35.779999828338624</v>
      </c>
      <c r="S913" s="1128">
        <v>50.9</v>
      </c>
      <c r="T913" s="1128">
        <v>57.380000686645509</v>
      </c>
      <c r="U913" s="1128">
        <v>51.980000686645511</v>
      </c>
      <c r="V913" s="1128">
        <v>42.259999656677245</v>
      </c>
      <c r="W913" s="1128">
        <v>37.039999914169314</v>
      </c>
      <c r="X913" s="1128">
        <v>28.580000042915344</v>
      </c>
      <c r="Y913" s="1128">
        <v>21.2</v>
      </c>
      <c r="Z913" s="1128">
        <v>36.836328862595231</v>
      </c>
      <c r="AA913" s="1128">
        <f t="shared" si="1051"/>
        <v>38.392507558641441</v>
      </c>
      <c r="AB913" s="1128">
        <f t="shared" si="1052"/>
        <v>37.025899459412365</v>
      </c>
      <c r="AC913" s="1128">
        <f t="shared" si="1053"/>
        <v>37.173869325550399</v>
      </c>
      <c r="AD913" s="1128">
        <f t="shared" si="1054"/>
        <v>38.797846531162008</v>
      </c>
      <c r="AE913" s="1128">
        <f t="shared" si="1055"/>
        <v>41.47451639135825</v>
      </c>
      <c r="AF913" s="1128">
        <f t="shared" si="1056"/>
        <v>44.506163658347837</v>
      </c>
      <c r="AG913" s="1128">
        <f t="shared" si="1057"/>
        <v>47.102542752891381</v>
      </c>
      <c r="AH913" s="1128">
        <f t="shared" si="1058"/>
        <v>48.586867452583114</v>
      </c>
      <c r="AI913" s="1128">
        <f t="shared" si="1059"/>
        <v>48.572225650312376</v>
      </c>
      <c r="AJ913" s="1128">
        <f t="shared" si="1060"/>
        <v>47.062433957478035</v>
      </c>
      <c r="AK913" s="1128">
        <f t="shared" si="1061"/>
        <v>44.451042845411621</v>
      </c>
      <c r="AL913" s="1128">
        <f t="shared" si="1062"/>
        <v>41.41875165022843</v>
      </c>
      <c r="AM913" s="1125">
        <f t="shared" si="1063"/>
        <v>1</v>
      </c>
      <c r="AN913" s="1125">
        <f t="shared" si="1064"/>
        <v>1</v>
      </c>
      <c r="AO913" s="1125">
        <f t="shared" si="1065"/>
        <v>1</v>
      </c>
      <c r="AP913" s="1125">
        <f t="shared" si="1066"/>
        <v>1</v>
      </c>
      <c r="AQ913" s="1125">
        <f t="shared" si="1067"/>
        <v>1</v>
      </c>
      <c r="AR913" s="1125">
        <f t="shared" si="1068"/>
        <v>1</v>
      </c>
      <c r="AS913" s="1125">
        <f t="shared" si="1069"/>
        <v>1</v>
      </c>
      <c r="AT913" s="1125">
        <f t="shared" si="1070"/>
        <v>1</v>
      </c>
      <c r="AU913" s="1125">
        <f t="shared" si="1071"/>
        <v>1</v>
      </c>
      <c r="AV913" s="1125">
        <f t="shared" si="1072"/>
        <v>1</v>
      </c>
      <c r="AW913" s="1125">
        <f t="shared" si="1073"/>
        <v>1</v>
      </c>
      <c r="AX913" s="1125">
        <f t="shared" si="1074"/>
        <v>1</v>
      </c>
      <c r="AY913" s="1125">
        <f t="shared" si="1075"/>
        <v>0</v>
      </c>
      <c r="AZ913" s="1125">
        <f t="shared" si="1076"/>
        <v>0</v>
      </c>
      <c r="BA913" s="1125">
        <f t="shared" si="1077"/>
        <v>0</v>
      </c>
      <c r="BB913" s="1125">
        <f t="shared" si="1078"/>
        <v>0</v>
      </c>
      <c r="BC913" s="1125">
        <f t="shared" si="1079"/>
        <v>0</v>
      </c>
      <c r="BD913" s="1125">
        <f t="shared" si="1080"/>
        <v>0</v>
      </c>
      <c r="BE913" s="1125">
        <f t="shared" si="1081"/>
        <v>1</v>
      </c>
      <c r="BF913" s="1125">
        <f t="shared" si="1082"/>
        <v>1</v>
      </c>
      <c r="BG913" s="1125">
        <f t="shared" si="1083"/>
        <v>0</v>
      </c>
      <c r="BH913" s="1125">
        <f t="shared" si="1084"/>
        <v>0</v>
      </c>
      <c r="BI913" s="1125">
        <f t="shared" si="1085"/>
        <v>0</v>
      </c>
      <c r="BJ913" s="1125">
        <f t="shared" si="1086"/>
        <v>0</v>
      </c>
      <c r="BK913" s="1125">
        <f t="shared" si="1087"/>
        <v>1</v>
      </c>
      <c r="BL913" s="1125">
        <f t="shared" si="1088"/>
        <v>1</v>
      </c>
      <c r="BM913" s="1125">
        <f t="shared" si="1089"/>
        <v>1</v>
      </c>
      <c r="BN913" s="1125">
        <f t="shared" si="1090"/>
        <v>1</v>
      </c>
      <c r="BO913" s="1125">
        <f t="shared" si="1091"/>
        <v>1</v>
      </c>
      <c r="BP913" s="1125">
        <f t="shared" si="1092"/>
        <v>1</v>
      </c>
      <c r="BQ913" s="1125">
        <f t="shared" si="1093"/>
        <v>1</v>
      </c>
      <c r="BR913" s="1125">
        <f t="shared" si="1094"/>
        <v>1</v>
      </c>
      <c r="BS913" s="1125">
        <f t="shared" si="1095"/>
        <v>1</v>
      </c>
      <c r="BT913" s="1125">
        <f t="shared" si="1096"/>
        <v>1</v>
      </c>
      <c r="BU913" s="1125">
        <f t="shared" si="1097"/>
        <v>1</v>
      </c>
      <c r="BV913" s="1125">
        <f t="shared" si="1098"/>
        <v>1</v>
      </c>
      <c r="BW913" s="1125">
        <f t="shared" si="1099"/>
        <v>0</v>
      </c>
      <c r="BX913" s="1125">
        <f t="shared" si="1100"/>
        <v>0</v>
      </c>
      <c r="BY913" s="1125">
        <f t="shared" si="1101"/>
        <v>0</v>
      </c>
      <c r="BZ913" s="1125">
        <f t="shared" si="1102"/>
        <v>0</v>
      </c>
      <c r="CA913" s="1125">
        <f t="shared" si="1103"/>
        <v>0</v>
      </c>
      <c r="CB913" s="1125">
        <f t="shared" si="1104"/>
        <v>0</v>
      </c>
      <c r="CC913" s="1125">
        <f t="shared" si="1105"/>
        <v>1</v>
      </c>
      <c r="CD913" s="1125">
        <f t="shared" si="1106"/>
        <v>1</v>
      </c>
      <c r="CE913" s="1125">
        <f t="shared" si="1107"/>
        <v>0</v>
      </c>
      <c r="CF913" s="1125">
        <f t="shared" si="1108"/>
        <v>0</v>
      </c>
      <c r="CG913" s="1125">
        <f t="shared" si="1109"/>
        <v>0</v>
      </c>
      <c r="CH913" s="1125">
        <f t="shared" si="1110"/>
        <v>0</v>
      </c>
      <c r="CI913" s="1125">
        <f t="shared" si="1111"/>
        <v>0.85</v>
      </c>
      <c r="CJ913" s="1125">
        <f t="shared" si="1112"/>
        <v>0.85</v>
      </c>
      <c r="CK913" s="1125">
        <f t="shared" si="1113"/>
        <v>0.85</v>
      </c>
      <c r="CL913" s="1125">
        <f t="shared" si="1114"/>
        <v>0.85</v>
      </c>
      <c r="CM913" s="1125">
        <f t="shared" si="1115"/>
        <v>0.85</v>
      </c>
      <c r="CN913" s="1125">
        <f t="shared" si="1116"/>
        <v>0.85</v>
      </c>
      <c r="CO913" s="1125">
        <f t="shared" si="1117"/>
        <v>0.85</v>
      </c>
      <c r="CP913" s="1125">
        <f t="shared" si="1118"/>
        <v>0.85</v>
      </c>
      <c r="CQ913" s="1125">
        <f t="shared" si="1119"/>
        <v>0.85</v>
      </c>
      <c r="CR913" s="1125">
        <f t="shared" si="1120"/>
        <v>0.85</v>
      </c>
      <c r="CS913" s="1125">
        <f t="shared" si="1121"/>
        <v>0.85</v>
      </c>
      <c r="CT913" s="1125">
        <f t="shared" si="1122"/>
        <v>0.85</v>
      </c>
      <c r="CU913" s="1125">
        <v>1</v>
      </c>
      <c r="CV913" s="1125"/>
      <c r="CW913" s="1125">
        <f t="shared" si="1123"/>
        <v>62</v>
      </c>
      <c r="CX913" s="1125">
        <f t="shared" si="1124"/>
        <v>303</v>
      </c>
      <c r="CY913" s="1136" t="s">
        <v>4880</v>
      </c>
      <c r="CZ913" s="1129">
        <v>8</v>
      </c>
      <c r="DA913" s="1129"/>
      <c r="DB913" s="1129"/>
      <c r="DC913" s="1125" t="s">
        <v>4967</v>
      </c>
      <c r="DD913" s="1125" t="s">
        <v>953</v>
      </c>
      <c r="DE913" s="1125" t="str">
        <f t="shared" si="1050"/>
        <v/>
      </c>
      <c r="DF913" s="1125">
        <v>0</v>
      </c>
      <c r="DG913" s="1125">
        <v>0</v>
      </c>
    </row>
    <row r="914" spans="1:111">
      <c r="A914" s="1120" t="s">
        <v>4506</v>
      </c>
      <c r="B914" s="1125" t="s">
        <v>4184</v>
      </c>
      <c r="C914" s="1125" t="s">
        <v>4185</v>
      </c>
      <c r="D914" s="1125" t="s">
        <v>229</v>
      </c>
      <c r="E914" s="1125">
        <v>669</v>
      </c>
      <c r="F914" s="1125">
        <v>-83.8</v>
      </c>
      <c r="G914" s="1125">
        <v>41.58</v>
      </c>
      <c r="H914" s="1125">
        <v>-5</v>
      </c>
      <c r="I914" s="1126">
        <v>5.3599996566772452</v>
      </c>
      <c r="J914" s="1126">
        <v>88.33999862670899</v>
      </c>
      <c r="K914" s="1127">
        <v>72.680000686645513</v>
      </c>
      <c r="L914" s="1125">
        <v>6274.8</v>
      </c>
      <c r="M914" s="1125">
        <v>673.2</v>
      </c>
      <c r="N914" s="1128">
        <v>24.8</v>
      </c>
      <c r="O914" s="1128">
        <v>25.160000085830688</v>
      </c>
      <c r="P914" s="1128">
        <v>39.02000017166138</v>
      </c>
      <c r="Q914" s="1128">
        <v>51.259999656677245</v>
      </c>
      <c r="R914" s="1128">
        <v>60.259999656677245</v>
      </c>
      <c r="S914" s="1128">
        <v>67.639998626708987</v>
      </c>
      <c r="T914" s="1128">
        <v>73.039998626708979</v>
      </c>
      <c r="U914" s="1128">
        <v>69.439998626708984</v>
      </c>
      <c r="V914" s="1128">
        <v>62.780000686645508</v>
      </c>
      <c r="W914" s="1128">
        <v>49.459999656677248</v>
      </c>
      <c r="X914" s="1128">
        <v>39.02000017166138</v>
      </c>
      <c r="Y914" s="1128">
        <v>24.979999828338624</v>
      </c>
      <c r="Z914" s="1128">
        <v>49.031451699243831</v>
      </c>
      <c r="AA914" s="1128">
        <f t="shared" si="1051"/>
        <v>45.58258508737778</v>
      </c>
      <c r="AB914" s="1128">
        <f t="shared" si="1052"/>
        <v>44.169867449555461</v>
      </c>
      <c r="AC914" s="1128">
        <f t="shared" si="1053"/>
        <v>45.58838912849432</v>
      </c>
      <c r="AD914" s="1128">
        <f t="shared" si="1054"/>
        <v>49.468390588498167</v>
      </c>
      <c r="AE914" s="1128">
        <f t="shared" si="1055"/>
        <v>54.798489656384596</v>
      </c>
      <c r="AF914" s="1128">
        <f t="shared" si="1056"/>
        <v>60.189313870796035</v>
      </c>
      <c r="AG914" s="1128">
        <f t="shared" si="1057"/>
        <v>64.235661825130336</v>
      </c>
      <c r="AH914" s="1128">
        <f t="shared" si="1058"/>
        <v>65.882790568980781</v>
      </c>
      <c r="AI914" s="1128">
        <f t="shared" si="1059"/>
        <v>64.701350612240475</v>
      </c>
      <c r="AJ914" s="1128">
        <f t="shared" si="1060"/>
        <v>60.999302486174621</v>
      </c>
      <c r="AK914" s="1128">
        <f t="shared" si="1061"/>
        <v>55.741642085130813</v>
      </c>
      <c r="AL914" s="1128">
        <f t="shared" si="1062"/>
        <v>50.29885961564041</v>
      </c>
      <c r="AM914" s="1125">
        <f t="shared" si="1063"/>
        <v>1</v>
      </c>
      <c r="AN914" s="1125">
        <f t="shared" si="1064"/>
        <v>1</v>
      </c>
      <c r="AO914" s="1125">
        <f t="shared" si="1065"/>
        <v>1</v>
      </c>
      <c r="AP914" s="1125">
        <f t="shared" si="1066"/>
        <v>1</v>
      </c>
      <c r="AQ914" s="1125">
        <f t="shared" si="1067"/>
        <v>1</v>
      </c>
      <c r="AR914" s="1125">
        <f t="shared" si="1068"/>
        <v>0</v>
      </c>
      <c r="AS914" s="1125">
        <f t="shared" si="1069"/>
        <v>0</v>
      </c>
      <c r="AT914" s="1125">
        <f t="shared" si="1070"/>
        <v>0</v>
      </c>
      <c r="AU914" s="1125">
        <f t="shared" si="1071"/>
        <v>1</v>
      </c>
      <c r="AV914" s="1125">
        <f t="shared" si="1072"/>
        <v>1</v>
      </c>
      <c r="AW914" s="1125">
        <f t="shared" si="1073"/>
        <v>1</v>
      </c>
      <c r="AX914" s="1125">
        <f t="shared" si="1074"/>
        <v>1</v>
      </c>
      <c r="AY914" s="1125">
        <f t="shared" si="1075"/>
        <v>0</v>
      </c>
      <c r="AZ914" s="1125">
        <f t="shared" si="1076"/>
        <v>0</v>
      </c>
      <c r="BA914" s="1125">
        <f t="shared" si="1077"/>
        <v>0</v>
      </c>
      <c r="BB914" s="1125">
        <f t="shared" si="1078"/>
        <v>0</v>
      </c>
      <c r="BC914" s="1125">
        <f t="shared" si="1079"/>
        <v>0</v>
      </c>
      <c r="BD914" s="1125">
        <f t="shared" si="1080"/>
        <v>1</v>
      </c>
      <c r="BE914" s="1125">
        <f t="shared" si="1081"/>
        <v>1</v>
      </c>
      <c r="BF914" s="1125">
        <f t="shared" si="1082"/>
        <v>1</v>
      </c>
      <c r="BG914" s="1125">
        <f t="shared" si="1083"/>
        <v>0</v>
      </c>
      <c r="BH914" s="1125">
        <f t="shared" si="1084"/>
        <v>0</v>
      </c>
      <c r="BI914" s="1125">
        <f t="shared" si="1085"/>
        <v>0</v>
      </c>
      <c r="BJ914" s="1125">
        <f t="shared" si="1086"/>
        <v>0</v>
      </c>
      <c r="BK914" s="1125">
        <f t="shared" si="1087"/>
        <v>1</v>
      </c>
      <c r="BL914" s="1125">
        <f t="shared" si="1088"/>
        <v>1</v>
      </c>
      <c r="BM914" s="1125">
        <f t="shared" si="1089"/>
        <v>1</v>
      </c>
      <c r="BN914" s="1125">
        <f t="shared" si="1090"/>
        <v>1</v>
      </c>
      <c r="BO914" s="1125">
        <f t="shared" si="1091"/>
        <v>1</v>
      </c>
      <c r="BP914" s="1125">
        <f t="shared" si="1092"/>
        <v>1</v>
      </c>
      <c r="BQ914" s="1125">
        <f t="shared" si="1093"/>
        <v>0</v>
      </c>
      <c r="BR914" s="1125">
        <f t="shared" si="1094"/>
        <v>0</v>
      </c>
      <c r="BS914" s="1125">
        <f t="shared" si="1095"/>
        <v>1</v>
      </c>
      <c r="BT914" s="1125">
        <f t="shared" si="1096"/>
        <v>1</v>
      </c>
      <c r="BU914" s="1125">
        <f t="shared" si="1097"/>
        <v>1</v>
      </c>
      <c r="BV914" s="1125">
        <f t="shared" si="1098"/>
        <v>1</v>
      </c>
      <c r="BW914" s="1125">
        <f t="shared" si="1099"/>
        <v>0</v>
      </c>
      <c r="BX914" s="1125">
        <f t="shared" si="1100"/>
        <v>0</v>
      </c>
      <c r="BY914" s="1125">
        <f t="shared" si="1101"/>
        <v>0</v>
      </c>
      <c r="BZ914" s="1125">
        <f t="shared" si="1102"/>
        <v>0</v>
      </c>
      <c r="CA914" s="1125">
        <f t="shared" si="1103"/>
        <v>1</v>
      </c>
      <c r="CB914" s="1125">
        <f t="shared" si="1104"/>
        <v>1</v>
      </c>
      <c r="CC914" s="1125">
        <f t="shared" si="1105"/>
        <v>1</v>
      </c>
      <c r="CD914" s="1125">
        <f t="shared" si="1106"/>
        <v>1</v>
      </c>
      <c r="CE914" s="1125">
        <f t="shared" si="1107"/>
        <v>1</v>
      </c>
      <c r="CF914" s="1125">
        <f t="shared" si="1108"/>
        <v>0</v>
      </c>
      <c r="CG914" s="1125">
        <f t="shared" si="1109"/>
        <v>0</v>
      </c>
      <c r="CH914" s="1125">
        <f t="shared" si="1110"/>
        <v>0</v>
      </c>
      <c r="CI914" s="1125">
        <f t="shared" si="1111"/>
        <v>0.85</v>
      </c>
      <c r="CJ914" s="1125">
        <f t="shared" si="1112"/>
        <v>0.85</v>
      </c>
      <c r="CK914" s="1125">
        <f t="shared" si="1113"/>
        <v>0.85</v>
      </c>
      <c r="CL914" s="1125">
        <f t="shared" si="1114"/>
        <v>0.85</v>
      </c>
      <c r="CM914" s="1125">
        <f t="shared" si="1115"/>
        <v>0.85</v>
      </c>
      <c r="CN914" s="1125">
        <f t="shared" si="1116"/>
        <v>0.85</v>
      </c>
      <c r="CO914" s="1125">
        <f t="shared" si="1117"/>
        <v>0.7</v>
      </c>
      <c r="CP914" s="1125">
        <f t="shared" si="1118"/>
        <v>0.7</v>
      </c>
      <c r="CQ914" s="1125">
        <f t="shared" si="1119"/>
        <v>0.85</v>
      </c>
      <c r="CR914" s="1125">
        <f t="shared" si="1120"/>
        <v>0.85</v>
      </c>
      <c r="CS914" s="1125">
        <f t="shared" si="1121"/>
        <v>0.85</v>
      </c>
      <c r="CT914" s="1125">
        <f t="shared" si="1122"/>
        <v>0.85</v>
      </c>
      <c r="CU914" s="1125">
        <v>1</v>
      </c>
      <c r="CV914" s="1125"/>
      <c r="CW914" s="1125">
        <f t="shared" si="1123"/>
        <v>153</v>
      </c>
      <c r="CX914" s="1125">
        <f t="shared" si="1124"/>
        <v>212</v>
      </c>
      <c r="CY914" s="1135" t="s">
        <v>4889</v>
      </c>
      <c r="CZ914" s="1124" t="s">
        <v>4897</v>
      </c>
      <c r="DA914" s="1124"/>
      <c r="DB914" s="1124"/>
      <c r="DC914" s="1120" t="s">
        <v>5498</v>
      </c>
      <c r="DD914" s="1120" t="s">
        <v>229</v>
      </c>
      <c r="DE914" s="1120" t="str">
        <f t="shared" si="1050"/>
        <v/>
      </c>
      <c r="DF914" s="1133">
        <v>0</v>
      </c>
      <c r="DG914" s="1120">
        <v>0</v>
      </c>
    </row>
    <row r="915" spans="1:111">
      <c r="A915" s="1125" t="s">
        <v>4508</v>
      </c>
      <c r="B915" s="1125" t="s">
        <v>4596</v>
      </c>
      <c r="C915" s="1125" t="s">
        <v>4597</v>
      </c>
      <c r="D915" s="1125" t="s">
        <v>238</v>
      </c>
      <c r="E915" s="1125">
        <v>371</v>
      </c>
      <c r="F915" s="1125">
        <v>-122.8</v>
      </c>
      <c r="G915" s="1125">
        <v>46.48</v>
      </c>
      <c r="H915" s="1125">
        <v>-8</v>
      </c>
      <c r="I915" s="1126">
        <v>16.7</v>
      </c>
      <c r="J915" s="1126">
        <v>87.080000686645505</v>
      </c>
      <c r="K915" s="1127">
        <v>63.139998626708987</v>
      </c>
      <c r="L915" s="1125">
        <v>5806.8</v>
      </c>
      <c r="M915" s="1125">
        <v>93.600000000000009</v>
      </c>
      <c r="N915" s="1128">
        <v>36.679999828338623</v>
      </c>
      <c r="O915" s="1128">
        <v>37.939999914169313</v>
      </c>
      <c r="P915" s="1128">
        <v>41.359999656677246</v>
      </c>
      <c r="Q915" s="1128">
        <v>48.380000686645509</v>
      </c>
      <c r="R915" s="1128">
        <v>52.340000343322757</v>
      </c>
      <c r="S915" s="1128">
        <v>57.2</v>
      </c>
      <c r="T915" s="1128">
        <v>65.3</v>
      </c>
      <c r="U915" s="1128">
        <v>61.339998626708983</v>
      </c>
      <c r="V915" s="1128">
        <v>58.640000343322754</v>
      </c>
      <c r="W915" s="1128">
        <v>48.740000343322755</v>
      </c>
      <c r="X915" s="1128">
        <v>39.200000000000003</v>
      </c>
      <c r="Y915" s="1128">
        <v>37.039999914169314</v>
      </c>
      <c r="Z915" s="1128">
        <v>48.744438324889089</v>
      </c>
      <c r="AA915" s="1128">
        <f t="shared" si="1051"/>
        <v>49.189974777473992</v>
      </c>
      <c r="AB915" s="1128">
        <f t="shared" si="1052"/>
        <v>48.341571084626977</v>
      </c>
      <c r="AC915" s="1128">
        <f t="shared" si="1053"/>
        <v>49.162173409125202</v>
      </c>
      <c r="AD915" s="1128">
        <f t="shared" si="1054"/>
        <v>51.437879109223601</v>
      </c>
      <c r="AE915" s="1128">
        <f t="shared" si="1055"/>
        <v>54.575490424505134</v>
      </c>
      <c r="AF915" s="1128">
        <f t="shared" si="1056"/>
        <v>57.757140613587701</v>
      </c>
      <c r="AG915" s="1128">
        <f t="shared" si="1057"/>
        <v>60.153483523973371</v>
      </c>
      <c r="AH915" s="1128">
        <f t="shared" si="1058"/>
        <v>61.139875447308043</v>
      </c>
      <c r="AI915" s="1128">
        <f t="shared" si="1059"/>
        <v>60.459198128014869</v>
      </c>
      <c r="AJ915" s="1128">
        <f t="shared" si="1060"/>
        <v>58.288880598922624</v>
      </c>
      <c r="AK915" s="1128">
        <f t="shared" si="1061"/>
        <v>55.194649569594723</v>
      </c>
      <c r="AL915" s="1128">
        <f t="shared" si="1062"/>
        <v>51.983064041368998</v>
      </c>
      <c r="AM915" s="1125">
        <f t="shared" si="1063"/>
        <v>1</v>
      </c>
      <c r="AN915" s="1125">
        <f t="shared" si="1064"/>
        <v>1</v>
      </c>
      <c r="AO915" s="1125">
        <f t="shared" si="1065"/>
        <v>1</v>
      </c>
      <c r="AP915" s="1125">
        <f t="shared" si="1066"/>
        <v>1</v>
      </c>
      <c r="AQ915" s="1125">
        <f t="shared" si="1067"/>
        <v>1</v>
      </c>
      <c r="AR915" s="1125">
        <f t="shared" si="1068"/>
        <v>1</v>
      </c>
      <c r="AS915" s="1125">
        <f t="shared" si="1069"/>
        <v>1</v>
      </c>
      <c r="AT915" s="1125">
        <f t="shared" si="1070"/>
        <v>1</v>
      </c>
      <c r="AU915" s="1125">
        <f t="shared" si="1071"/>
        <v>1</v>
      </c>
      <c r="AV915" s="1125">
        <f t="shared" si="1072"/>
        <v>1</v>
      </c>
      <c r="AW915" s="1125">
        <f t="shared" si="1073"/>
        <v>1</v>
      </c>
      <c r="AX915" s="1125">
        <f t="shared" si="1074"/>
        <v>1</v>
      </c>
      <c r="AY915" s="1125">
        <f t="shared" si="1075"/>
        <v>0</v>
      </c>
      <c r="AZ915" s="1125">
        <f t="shared" si="1076"/>
        <v>0</v>
      </c>
      <c r="BA915" s="1125">
        <f t="shared" si="1077"/>
        <v>0</v>
      </c>
      <c r="BB915" s="1125">
        <f t="shared" si="1078"/>
        <v>0</v>
      </c>
      <c r="BC915" s="1125">
        <f t="shared" si="1079"/>
        <v>0</v>
      </c>
      <c r="BD915" s="1125">
        <f t="shared" si="1080"/>
        <v>0</v>
      </c>
      <c r="BE915" s="1125">
        <f t="shared" si="1081"/>
        <v>1</v>
      </c>
      <c r="BF915" s="1125">
        <f t="shared" si="1082"/>
        <v>1</v>
      </c>
      <c r="BG915" s="1125">
        <f t="shared" si="1083"/>
        <v>0</v>
      </c>
      <c r="BH915" s="1125">
        <f t="shared" si="1084"/>
        <v>0</v>
      </c>
      <c r="BI915" s="1125">
        <f t="shared" si="1085"/>
        <v>0</v>
      </c>
      <c r="BJ915" s="1125">
        <f t="shared" si="1086"/>
        <v>0</v>
      </c>
      <c r="BK915" s="1125">
        <f t="shared" si="1087"/>
        <v>1</v>
      </c>
      <c r="BL915" s="1125">
        <f t="shared" si="1088"/>
        <v>1</v>
      </c>
      <c r="BM915" s="1125">
        <f t="shared" si="1089"/>
        <v>1</v>
      </c>
      <c r="BN915" s="1125">
        <f t="shared" si="1090"/>
        <v>1</v>
      </c>
      <c r="BO915" s="1125">
        <f t="shared" si="1091"/>
        <v>1</v>
      </c>
      <c r="BP915" s="1125">
        <f t="shared" si="1092"/>
        <v>1</v>
      </c>
      <c r="BQ915" s="1125">
        <f t="shared" si="1093"/>
        <v>1</v>
      </c>
      <c r="BR915" s="1125">
        <f t="shared" si="1094"/>
        <v>1</v>
      </c>
      <c r="BS915" s="1125">
        <f t="shared" si="1095"/>
        <v>1</v>
      </c>
      <c r="BT915" s="1125">
        <f t="shared" si="1096"/>
        <v>1</v>
      </c>
      <c r="BU915" s="1125">
        <f t="shared" si="1097"/>
        <v>1</v>
      </c>
      <c r="BV915" s="1125">
        <f t="shared" si="1098"/>
        <v>1</v>
      </c>
      <c r="BW915" s="1125">
        <f t="shared" si="1099"/>
        <v>0</v>
      </c>
      <c r="BX915" s="1125">
        <f t="shared" si="1100"/>
        <v>0</v>
      </c>
      <c r="BY915" s="1125">
        <f t="shared" si="1101"/>
        <v>0</v>
      </c>
      <c r="BZ915" s="1125">
        <f t="shared" si="1102"/>
        <v>0</v>
      </c>
      <c r="CA915" s="1125">
        <f t="shared" si="1103"/>
        <v>0</v>
      </c>
      <c r="CB915" s="1125">
        <f t="shared" si="1104"/>
        <v>0</v>
      </c>
      <c r="CC915" s="1125">
        <f t="shared" si="1105"/>
        <v>1</v>
      </c>
      <c r="CD915" s="1125">
        <f t="shared" si="1106"/>
        <v>1</v>
      </c>
      <c r="CE915" s="1125">
        <f t="shared" si="1107"/>
        <v>0</v>
      </c>
      <c r="CF915" s="1125">
        <f t="shared" si="1108"/>
        <v>0</v>
      </c>
      <c r="CG915" s="1125">
        <f t="shared" si="1109"/>
        <v>0</v>
      </c>
      <c r="CH915" s="1125">
        <f t="shared" si="1110"/>
        <v>0</v>
      </c>
      <c r="CI915" s="1125">
        <f t="shared" si="1111"/>
        <v>0.85</v>
      </c>
      <c r="CJ915" s="1125">
        <f t="shared" si="1112"/>
        <v>0.85</v>
      </c>
      <c r="CK915" s="1125">
        <f t="shared" si="1113"/>
        <v>0.85</v>
      </c>
      <c r="CL915" s="1125">
        <f t="shared" si="1114"/>
        <v>0.85</v>
      </c>
      <c r="CM915" s="1125">
        <f t="shared" si="1115"/>
        <v>0.85</v>
      </c>
      <c r="CN915" s="1125">
        <f t="shared" si="1116"/>
        <v>0.85</v>
      </c>
      <c r="CO915" s="1125">
        <f t="shared" si="1117"/>
        <v>0.85</v>
      </c>
      <c r="CP915" s="1125">
        <f t="shared" si="1118"/>
        <v>0.85</v>
      </c>
      <c r="CQ915" s="1125">
        <f t="shared" si="1119"/>
        <v>0.85</v>
      </c>
      <c r="CR915" s="1125">
        <f t="shared" si="1120"/>
        <v>0.85</v>
      </c>
      <c r="CS915" s="1125">
        <f t="shared" si="1121"/>
        <v>0.85</v>
      </c>
      <c r="CT915" s="1125">
        <f t="shared" si="1122"/>
        <v>0.85</v>
      </c>
      <c r="CU915" s="1125">
        <v>1</v>
      </c>
      <c r="CV915" s="1125"/>
      <c r="CW915" s="1125">
        <f t="shared" si="1123"/>
        <v>62</v>
      </c>
      <c r="CX915" s="1125">
        <f t="shared" si="1124"/>
        <v>303</v>
      </c>
      <c r="CY915" s="1135" t="s">
        <v>4893</v>
      </c>
      <c r="CZ915" s="1124" t="s">
        <v>4894</v>
      </c>
      <c r="DA915" s="1124"/>
      <c r="DB915" s="1124"/>
      <c r="DC915" s="1120" t="s">
        <v>6054</v>
      </c>
      <c r="DD915" s="1120" t="s">
        <v>238</v>
      </c>
      <c r="DE915" s="1120" t="str">
        <f t="shared" si="1050"/>
        <v/>
      </c>
      <c r="DF915" s="1133">
        <v>0</v>
      </c>
      <c r="DG915" s="1125">
        <v>0</v>
      </c>
    </row>
    <row r="916" spans="1:111">
      <c r="A916" s="1120" t="s">
        <v>4510</v>
      </c>
      <c r="B916" s="1125" t="s">
        <v>4114</v>
      </c>
      <c r="C916" s="1125" t="s">
        <v>4115</v>
      </c>
      <c r="D916" s="1125" t="s">
        <v>450</v>
      </c>
      <c r="E916" s="1125">
        <v>5428</v>
      </c>
      <c r="F916" s="1125">
        <v>-117.08</v>
      </c>
      <c r="G916" s="1125">
        <v>38.07</v>
      </c>
      <c r="H916" s="1125">
        <v>-8</v>
      </c>
      <c r="I916" s="1126">
        <v>14</v>
      </c>
      <c r="J916" s="1126">
        <v>93.020002746582037</v>
      </c>
      <c r="K916" s="1127">
        <v>59</v>
      </c>
      <c r="L916" s="1125">
        <v>5412.6</v>
      </c>
      <c r="M916" s="1125">
        <v>927</v>
      </c>
      <c r="N916" s="1128">
        <v>35.419999957084656</v>
      </c>
      <c r="O916" s="1128">
        <v>35.060000085830687</v>
      </c>
      <c r="P916" s="1128">
        <v>39.02000017166138</v>
      </c>
      <c r="Q916" s="1128">
        <v>50.180000686645506</v>
      </c>
      <c r="R916" s="1128">
        <v>58.459999656677248</v>
      </c>
      <c r="S916" s="1128">
        <v>71.780000686645508</v>
      </c>
      <c r="T916" s="1128">
        <v>76.460001373291021</v>
      </c>
      <c r="U916" s="1128">
        <v>72.139998626708987</v>
      </c>
      <c r="V916" s="1128">
        <v>64.760001373291018</v>
      </c>
      <c r="W916" s="1128">
        <v>51.080000686645505</v>
      </c>
      <c r="X916" s="1128">
        <v>38.120000171661374</v>
      </c>
      <c r="Y916" s="1128">
        <v>31.639999994635581</v>
      </c>
      <c r="Z916" s="1128">
        <v>52.103287957310677</v>
      </c>
      <c r="AA916" s="1128">
        <f t="shared" si="1051"/>
        <v>48.457635695279592</v>
      </c>
      <c r="AB916" s="1128">
        <f t="shared" si="1052"/>
        <v>47.338709459102816</v>
      </c>
      <c r="AC916" s="1128">
        <f t="shared" si="1053"/>
        <v>49.025736495659942</v>
      </c>
      <c r="AD916" s="1128">
        <f t="shared" si="1054"/>
        <v>53.078967209998765</v>
      </c>
      <c r="AE916" s="1128">
        <f t="shared" si="1055"/>
        <v>58.441864554250856</v>
      </c>
      <c r="AF916" s="1128">
        <f t="shared" si="1056"/>
        <v>63.716506690887194</v>
      </c>
      <c r="AG916" s="1128">
        <f t="shared" si="1057"/>
        <v>67.52797686229772</v>
      </c>
      <c r="AH916" s="1128">
        <f t="shared" si="1058"/>
        <v>68.882756631771016</v>
      </c>
      <c r="AI916" s="1128">
        <f t="shared" si="1059"/>
        <v>67.427701774605637</v>
      </c>
      <c r="AJ916" s="1128">
        <f t="shared" si="1060"/>
        <v>63.542094762395834</v>
      </c>
      <c r="AK916" s="1128">
        <f t="shared" si="1061"/>
        <v>58.238778941890672</v>
      </c>
      <c r="AL916" s="1128">
        <f t="shared" si="1062"/>
        <v>52.900145308275462</v>
      </c>
      <c r="AM916" s="1125">
        <f t="shared" si="1063"/>
        <v>1</v>
      </c>
      <c r="AN916" s="1125">
        <f t="shared" si="1064"/>
        <v>1</v>
      </c>
      <c r="AO916" s="1125">
        <f t="shared" si="1065"/>
        <v>1</v>
      </c>
      <c r="AP916" s="1125">
        <f t="shared" si="1066"/>
        <v>1</v>
      </c>
      <c r="AQ916" s="1125">
        <f t="shared" si="1067"/>
        <v>1</v>
      </c>
      <c r="AR916" s="1125">
        <f t="shared" si="1068"/>
        <v>0</v>
      </c>
      <c r="AS916" s="1125">
        <f t="shared" si="1069"/>
        <v>0</v>
      </c>
      <c r="AT916" s="1125">
        <f t="shared" si="1070"/>
        <v>0</v>
      </c>
      <c r="AU916" s="1125">
        <f t="shared" si="1071"/>
        <v>1</v>
      </c>
      <c r="AV916" s="1125">
        <f t="shared" si="1072"/>
        <v>1</v>
      </c>
      <c r="AW916" s="1125">
        <f t="shared" si="1073"/>
        <v>1</v>
      </c>
      <c r="AX916" s="1125">
        <f t="shared" si="1074"/>
        <v>1</v>
      </c>
      <c r="AY916" s="1125">
        <f t="shared" si="1075"/>
        <v>0</v>
      </c>
      <c r="AZ916" s="1125">
        <f t="shared" si="1076"/>
        <v>0</v>
      </c>
      <c r="BA916" s="1125">
        <f t="shared" si="1077"/>
        <v>0</v>
      </c>
      <c r="BB916" s="1125">
        <f t="shared" si="1078"/>
        <v>0</v>
      </c>
      <c r="BC916" s="1125">
        <f t="shared" si="1079"/>
        <v>0</v>
      </c>
      <c r="BD916" s="1125">
        <f t="shared" si="1080"/>
        <v>1</v>
      </c>
      <c r="BE916" s="1125">
        <f t="shared" si="1081"/>
        <v>1</v>
      </c>
      <c r="BF916" s="1125">
        <f t="shared" si="1082"/>
        <v>1</v>
      </c>
      <c r="BG916" s="1125">
        <f t="shared" si="1083"/>
        <v>0</v>
      </c>
      <c r="BH916" s="1125">
        <f t="shared" si="1084"/>
        <v>0</v>
      </c>
      <c r="BI916" s="1125">
        <f t="shared" si="1085"/>
        <v>0</v>
      </c>
      <c r="BJ916" s="1125">
        <f t="shared" si="1086"/>
        <v>0</v>
      </c>
      <c r="BK916" s="1125">
        <f t="shared" si="1087"/>
        <v>1</v>
      </c>
      <c r="BL916" s="1125">
        <f t="shared" si="1088"/>
        <v>1</v>
      </c>
      <c r="BM916" s="1125">
        <f t="shared" si="1089"/>
        <v>1</v>
      </c>
      <c r="BN916" s="1125">
        <f t="shared" si="1090"/>
        <v>1</v>
      </c>
      <c r="BO916" s="1125">
        <f t="shared" si="1091"/>
        <v>1</v>
      </c>
      <c r="BP916" s="1125">
        <f t="shared" si="1092"/>
        <v>1</v>
      </c>
      <c r="BQ916" s="1125">
        <f t="shared" si="1093"/>
        <v>0</v>
      </c>
      <c r="BR916" s="1125">
        <f t="shared" si="1094"/>
        <v>0</v>
      </c>
      <c r="BS916" s="1125">
        <f t="shared" si="1095"/>
        <v>1</v>
      </c>
      <c r="BT916" s="1125">
        <f t="shared" si="1096"/>
        <v>1</v>
      </c>
      <c r="BU916" s="1125">
        <f t="shared" si="1097"/>
        <v>1</v>
      </c>
      <c r="BV916" s="1125">
        <f t="shared" si="1098"/>
        <v>1</v>
      </c>
      <c r="BW916" s="1125">
        <f t="shared" si="1099"/>
        <v>0</v>
      </c>
      <c r="BX916" s="1125">
        <f t="shared" si="1100"/>
        <v>0</v>
      </c>
      <c r="BY916" s="1125">
        <f t="shared" si="1101"/>
        <v>0</v>
      </c>
      <c r="BZ916" s="1125">
        <f t="shared" si="1102"/>
        <v>0</v>
      </c>
      <c r="CA916" s="1125">
        <f t="shared" si="1103"/>
        <v>1</v>
      </c>
      <c r="CB916" s="1125">
        <f t="shared" si="1104"/>
        <v>1</v>
      </c>
      <c r="CC916" s="1125">
        <f t="shared" si="1105"/>
        <v>1</v>
      </c>
      <c r="CD916" s="1125">
        <f t="shared" si="1106"/>
        <v>1</v>
      </c>
      <c r="CE916" s="1125">
        <f t="shared" si="1107"/>
        <v>1</v>
      </c>
      <c r="CF916" s="1125">
        <f t="shared" si="1108"/>
        <v>0</v>
      </c>
      <c r="CG916" s="1125">
        <f t="shared" si="1109"/>
        <v>0</v>
      </c>
      <c r="CH916" s="1125">
        <f t="shared" si="1110"/>
        <v>0</v>
      </c>
      <c r="CI916" s="1125">
        <f t="shared" si="1111"/>
        <v>0.85</v>
      </c>
      <c r="CJ916" s="1125">
        <f t="shared" si="1112"/>
        <v>0.85</v>
      </c>
      <c r="CK916" s="1125">
        <f t="shared" si="1113"/>
        <v>0.85</v>
      </c>
      <c r="CL916" s="1125">
        <f t="shared" si="1114"/>
        <v>0.85</v>
      </c>
      <c r="CM916" s="1125">
        <f t="shared" si="1115"/>
        <v>0.85</v>
      </c>
      <c r="CN916" s="1125">
        <f t="shared" si="1116"/>
        <v>0.85</v>
      </c>
      <c r="CO916" s="1125">
        <f t="shared" si="1117"/>
        <v>0.7</v>
      </c>
      <c r="CP916" s="1125">
        <f t="shared" si="1118"/>
        <v>0.7</v>
      </c>
      <c r="CQ916" s="1125">
        <f t="shared" si="1119"/>
        <v>0.85</v>
      </c>
      <c r="CR916" s="1125">
        <f t="shared" si="1120"/>
        <v>0.85</v>
      </c>
      <c r="CS916" s="1125">
        <f t="shared" si="1121"/>
        <v>0.85</v>
      </c>
      <c r="CT916" s="1125">
        <f t="shared" si="1122"/>
        <v>0.85</v>
      </c>
      <c r="CU916" s="1125">
        <v>1</v>
      </c>
      <c r="CV916" s="1125"/>
      <c r="CW916" s="1125">
        <f t="shared" si="1123"/>
        <v>153</v>
      </c>
      <c r="CX916" s="1125">
        <f t="shared" si="1124"/>
        <v>212</v>
      </c>
      <c r="CY916" s="1136" t="s">
        <v>4889</v>
      </c>
      <c r="CZ916" s="1129" t="s">
        <v>4890</v>
      </c>
      <c r="DA916" s="1129"/>
      <c r="DB916" s="1129"/>
      <c r="DC916" s="1125" t="s">
        <v>5468</v>
      </c>
      <c r="DD916" s="1125" t="s">
        <v>450</v>
      </c>
      <c r="DE916" s="1120" t="str">
        <f t="shared" ref="DE916:DE979" si="1125">IF(AND(C916=DC916,D916=DD916),"",FALSE)</f>
        <v/>
      </c>
      <c r="DF916" s="1133">
        <v>0</v>
      </c>
      <c r="DG916" s="1120">
        <v>0</v>
      </c>
    </row>
    <row r="917" spans="1:111">
      <c r="A917" s="1125" t="s">
        <v>4512</v>
      </c>
      <c r="B917" s="1120" t="s">
        <v>3581</v>
      </c>
      <c r="C917" s="1120" t="s">
        <v>3582</v>
      </c>
      <c r="D917" s="1120" t="s">
        <v>256</v>
      </c>
      <c r="E917" s="1120">
        <v>1066</v>
      </c>
      <c r="F917" s="1120">
        <v>-95.67</v>
      </c>
      <c r="G917" s="1120">
        <v>38.950000000000003</v>
      </c>
      <c r="H917" s="1120">
        <v>-6</v>
      </c>
      <c r="I917" s="1121">
        <v>6.9800006866455071</v>
      </c>
      <c r="J917" s="1121">
        <v>93.020002746582037</v>
      </c>
      <c r="K917" s="1122">
        <v>74.480000686645511</v>
      </c>
      <c r="L917" s="1120">
        <v>4748.4000000000005</v>
      </c>
      <c r="M917" s="1120">
        <v>1380.6000000000001</v>
      </c>
      <c r="N917" s="1123">
        <v>28.220000171661376</v>
      </c>
      <c r="O917" s="1123">
        <v>35.23999991416931</v>
      </c>
      <c r="P917" s="1123">
        <v>47.840000343322757</v>
      </c>
      <c r="Q917" s="1123">
        <v>56.119999313354491</v>
      </c>
      <c r="R917" s="1123">
        <v>64.219999313354492</v>
      </c>
      <c r="S917" s="1123">
        <v>75.380000686645502</v>
      </c>
      <c r="T917" s="1123">
        <v>77.539998626708979</v>
      </c>
      <c r="U917" s="1123">
        <v>71.599999999999994</v>
      </c>
      <c r="V917" s="1123">
        <v>72.860001373291013</v>
      </c>
      <c r="W917" s="1123">
        <v>53.059999656677249</v>
      </c>
      <c r="X917" s="1123">
        <v>50.180000686645506</v>
      </c>
      <c r="Y917" s="1123">
        <v>29.119999957084655</v>
      </c>
      <c r="Z917" s="1123">
        <v>55.184986300076524</v>
      </c>
      <c r="AA917" s="1123">
        <f t="shared" si="1051"/>
        <v>49.608039404744076</v>
      </c>
      <c r="AB917" s="1123">
        <f t="shared" si="1052"/>
        <v>48.634199239925167</v>
      </c>
      <c r="AC917" s="1123">
        <f t="shared" si="1053"/>
        <v>50.931915135817874</v>
      </c>
      <c r="AD917" s="1123">
        <f t="shared" si="1054"/>
        <v>55.902252035284</v>
      </c>
      <c r="AE917" s="1123">
        <f t="shared" si="1055"/>
        <v>62.249615030267563</v>
      </c>
      <c r="AF917" s="1123">
        <f t="shared" si="1056"/>
        <v>68.319466140301472</v>
      </c>
      <c r="AG917" s="1123">
        <f t="shared" si="1057"/>
        <v>72.529605134318402</v>
      </c>
      <c r="AH917" s="1123">
        <f t="shared" si="1058"/>
        <v>73.782594403321994</v>
      </c>
      <c r="AI917" s="1123">
        <f t="shared" si="1059"/>
        <v>71.751822985197379</v>
      </c>
      <c r="AJ917" s="1123">
        <f t="shared" si="1060"/>
        <v>66.966642745213562</v>
      </c>
      <c r="AK917" s="1123">
        <f t="shared" si="1061"/>
        <v>60.674384654782003</v>
      </c>
      <c r="AL917" s="1123">
        <f t="shared" si="1062"/>
        <v>54.515222751805979</v>
      </c>
      <c r="AM917" s="1120">
        <f t="shared" si="1063"/>
        <v>1</v>
      </c>
      <c r="AN917" s="1120">
        <f t="shared" si="1064"/>
        <v>1</v>
      </c>
      <c r="AO917" s="1120">
        <f t="shared" si="1065"/>
        <v>1</v>
      </c>
      <c r="AP917" s="1120">
        <f t="shared" si="1066"/>
        <v>1</v>
      </c>
      <c r="AQ917" s="1120">
        <f t="shared" si="1067"/>
        <v>1</v>
      </c>
      <c r="AR917" s="1120">
        <f t="shared" si="1068"/>
        <v>0</v>
      </c>
      <c r="AS917" s="1120">
        <f t="shared" si="1069"/>
        <v>0</v>
      </c>
      <c r="AT917" s="1120">
        <f t="shared" si="1070"/>
        <v>0</v>
      </c>
      <c r="AU917" s="1120">
        <f t="shared" si="1071"/>
        <v>0</v>
      </c>
      <c r="AV917" s="1120">
        <f t="shared" si="1072"/>
        <v>1</v>
      </c>
      <c r="AW917" s="1120">
        <f t="shared" si="1073"/>
        <v>1</v>
      </c>
      <c r="AX917" s="1120">
        <f t="shared" si="1074"/>
        <v>1</v>
      </c>
      <c r="AY917" s="1120">
        <f t="shared" si="1075"/>
        <v>0</v>
      </c>
      <c r="AZ917" s="1120">
        <f t="shared" si="1076"/>
        <v>0</v>
      </c>
      <c r="BA917" s="1120">
        <f t="shared" si="1077"/>
        <v>0</v>
      </c>
      <c r="BB917" s="1120">
        <f t="shared" si="1078"/>
        <v>0</v>
      </c>
      <c r="BC917" s="1120">
        <f t="shared" si="1079"/>
        <v>0</v>
      </c>
      <c r="BD917" s="1120">
        <f t="shared" si="1080"/>
        <v>1</v>
      </c>
      <c r="BE917" s="1120">
        <f t="shared" si="1081"/>
        <v>1</v>
      </c>
      <c r="BF917" s="1120">
        <f t="shared" si="1082"/>
        <v>1</v>
      </c>
      <c r="BG917" s="1120">
        <f t="shared" si="1083"/>
        <v>1</v>
      </c>
      <c r="BH917" s="1120">
        <f t="shared" si="1084"/>
        <v>0</v>
      </c>
      <c r="BI917" s="1120">
        <f t="shared" si="1085"/>
        <v>0</v>
      </c>
      <c r="BJ917" s="1120">
        <f t="shared" si="1086"/>
        <v>0</v>
      </c>
      <c r="BK917" s="1120">
        <f t="shared" si="1087"/>
        <v>1</v>
      </c>
      <c r="BL917" s="1120">
        <f t="shared" si="1088"/>
        <v>1</v>
      </c>
      <c r="BM917" s="1120">
        <f t="shared" si="1089"/>
        <v>1</v>
      </c>
      <c r="BN917" s="1120">
        <f t="shared" si="1090"/>
        <v>1</v>
      </c>
      <c r="BO917" s="1120">
        <f t="shared" si="1091"/>
        <v>1</v>
      </c>
      <c r="BP917" s="1120">
        <f t="shared" si="1092"/>
        <v>1</v>
      </c>
      <c r="BQ917" s="1120">
        <f t="shared" si="1093"/>
        <v>0</v>
      </c>
      <c r="BR917" s="1120">
        <f t="shared" si="1094"/>
        <v>0</v>
      </c>
      <c r="BS917" s="1120">
        <f t="shared" si="1095"/>
        <v>0</v>
      </c>
      <c r="BT917" s="1120">
        <f t="shared" si="1096"/>
        <v>1</v>
      </c>
      <c r="BU917" s="1120">
        <f t="shared" si="1097"/>
        <v>1</v>
      </c>
      <c r="BV917" s="1120">
        <f t="shared" si="1098"/>
        <v>1</v>
      </c>
      <c r="BW917" s="1120">
        <f t="shared" si="1099"/>
        <v>0</v>
      </c>
      <c r="BX917" s="1120">
        <f t="shared" si="1100"/>
        <v>0</v>
      </c>
      <c r="BY917" s="1120">
        <f t="shared" si="1101"/>
        <v>0</v>
      </c>
      <c r="BZ917" s="1120">
        <f t="shared" si="1102"/>
        <v>0</v>
      </c>
      <c r="CA917" s="1120">
        <f t="shared" si="1103"/>
        <v>1</v>
      </c>
      <c r="CB917" s="1120">
        <f t="shared" si="1104"/>
        <v>1</v>
      </c>
      <c r="CC917" s="1120">
        <f t="shared" si="1105"/>
        <v>1</v>
      </c>
      <c r="CD917" s="1120">
        <f t="shared" si="1106"/>
        <v>1</v>
      </c>
      <c r="CE917" s="1120">
        <f t="shared" si="1107"/>
        <v>1</v>
      </c>
      <c r="CF917" s="1120">
        <f t="shared" si="1108"/>
        <v>1</v>
      </c>
      <c r="CG917" s="1120">
        <f t="shared" si="1109"/>
        <v>0</v>
      </c>
      <c r="CH917" s="1120">
        <f t="shared" si="1110"/>
        <v>0</v>
      </c>
      <c r="CI917" s="1120">
        <f t="shared" si="1111"/>
        <v>0.85</v>
      </c>
      <c r="CJ917" s="1120">
        <f t="shared" si="1112"/>
        <v>0.85</v>
      </c>
      <c r="CK917" s="1120">
        <f t="shared" si="1113"/>
        <v>0.85</v>
      </c>
      <c r="CL917" s="1120">
        <f t="shared" si="1114"/>
        <v>0.85</v>
      </c>
      <c r="CM917" s="1120">
        <f t="shared" si="1115"/>
        <v>0.85</v>
      </c>
      <c r="CN917" s="1120">
        <f t="shared" si="1116"/>
        <v>0.85</v>
      </c>
      <c r="CO917" s="1120">
        <f t="shared" si="1117"/>
        <v>0.7</v>
      </c>
      <c r="CP917" s="1120">
        <f t="shared" si="1118"/>
        <v>0.7</v>
      </c>
      <c r="CQ917" s="1120">
        <f t="shared" si="1119"/>
        <v>0.7</v>
      </c>
      <c r="CR917" s="1120">
        <f t="shared" si="1120"/>
        <v>0.85</v>
      </c>
      <c r="CS917" s="1120">
        <f t="shared" si="1121"/>
        <v>0.85</v>
      </c>
      <c r="CT917" s="1120">
        <f t="shared" si="1122"/>
        <v>0.85</v>
      </c>
      <c r="CU917" s="1120">
        <v>1</v>
      </c>
      <c r="CV917" s="1120"/>
      <c r="CW917" s="1120">
        <f t="shared" si="1123"/>
        <v>184</v>
      </c>
      <c r="CX917" s="1120">
        <f t="shared" si="1124"/>
        <v>181</v>
      </c>
      <c r="CY917" s="1135" t="s">
        <v>4881</v>
      </c>
      <c r="CZ917" s="1124" t="s">
        <v>4885</v>
      </c>
      <c r="DA917" s="1124"/>
      <c r="DB917" s="1124"/>
      <c r="DC917" s="1120" t="s">
        <v>5239</v>
      </c>
      <c r="DD917" s="1120" t="s">
        <v>256</v>
      </c>
      <c r="DE917" s="1120" t="str">
        <f t="shared" si="1125"/>
        <v/>
      </c>
      <c r="DF917" s="1133">
        <v>0</v>
      </c>
      <c r="DG917" s="1125">
        <v>0</v>
      </c>
    </row>
    <row r="918" spans="1:111">
      <c r="A918" s="1120" t="s">
        <v>4514</v>
      </c>
      <c r="B918" s="1125" t="s">
        <v>3583</v>
      </c>
      <c r="C918" s="1125" t="s">
        <v>3584</v>
      </c>
      <c r="D918" s="1125" t="s">
        <v>256</v>
      </c>
      <c r="E918" s="1125">
        <v>882</v>
      </c>
      <c r="F918" s="1125">
        <v>-95.63</v>
      </c>
      <c r="G918" s="1125">
        <v>39.07</v>
      </c>
      <c r="H918" s="1125">
        <v>-6</v>
      </c>
      <c r="I918" s="1126">
        <v>6.7999999999999989</v>
      </c>
      <c r="J918" s="1126">
        <v>94.100000000000009</v>
      </c>
      <c r="K918" s="1127">
        <v>75.739998626708982</v>
      </c>
      <c r="L918" s="1125">
        <v>4842</v>
      </c>
      <c r="M918" s="1125">
        <v>1413</v>
      </c>
      <c r="N918" s="1128">
        <v>28.039999914169311</v>
      </c>
      <c r="O918" s="1128">
        <v>37.039999914169314</v>
      </c>
      <c r="P918" s="1128">
        <v>42.440000343322751</v>
      </c>
      <c r="Q918" s="1128">
        <v>57.380000686645509</v>
      </c>
      <c r="R918" s="1128">
        <v>65.83999862670899</v>
      </c>
      <c r="S918" s="1128">
        <v>74.480000686645511</v>
      </c>
      <c r="T918" s="1128">
        <v>77.719999313354492</v>
      </c>
      <c r="U918" s="1128">
        <v>75.560001373291016</v>
      </c>
      <c r="V918" s="1128">
        <v>69.439998626708984</v>
      </c>
      <c r="W918" s="1128">
        <v>56.3</v>
      </c>
      <c r="X918" s="1128">
        <v>44.959999656677248</v>
      </c>
      <c r="Y918" s="1128">
        <v>30.2</v>
      </c>
      <c r="Z918" s="1128">
        <v>55.024712257515894</v>
      </c>
      <c r="AA918" s="1128">
        <f t="shared" si="1051"/>
        <v>49.413750506125183</v>
      </c>
      <c r="AB918" s="1128">
        <f t="shared" si="1052"/>
        <v>48.418234250963053</v>
      </c>
      <c r="AC918" s="1128">
        <f t="shared" si="1053"/>
        <v>50.708790759915566</v>
      </c>
      <c r="AD918" s="1128">
        <f t="shared" si="1054"/>
        <v>55.688351180379954</v>
      </c>
      <c r="AE918" s="1128">
        <f t="shared" si="1055"/>
        <v>62.058916351413281</v>
      </c>
      <c r="AF918" s="1128">
        <f t="shared" si="1056"/>
        <v>68.159900287804746</v>
      </c>
      <c r="AG918" s="1128">
        <f t="shared" si="1057"/>
        <v>72.400987507525514</v>
      </c>
      <c r="AH918" s="1128">
        <f t="shared" si="1058"/>
        <v>73.676673269622967</v>
      </c>
      <c r="AI918" s="1128">
        <f t="shared" si="1059"/>
        <v>71.654430421293753</v>
      </c>
      <c r="AJ918" s="1128">
        <f t="shared" si="1060"/>
        <v>66.861387724660474</v>
      </c>
      <c r="AK918" s="1128">
        <f t="shared" si="1061"/>
        <v>60.546925621624375</v>
      </c>
      <c r="AL918" s="1128">
        <f t="shared" si="1062"/>
        <v>54.357005968148329</v>
      </c>
      <c r="AM918" s="1125">
        <f t="shared" si="1063"/>
        <v>1</v>
      </c>
      <c r="AN918" s="1125">
        <f t="shared" si="1064"/>
        <v>1</v>
      </c>
      <c r="AO918" s="1125">
        <f t="shared" si="1065"/>
        <v>1</v>
      </c>
      <c r="AP918" s="1125">
        <f t="shared" si="1066"/>
        <v>1</v>
      </c>
      <c r="AQ918" s="1125">
        <f t="shared" si="1067"/>
        <v>1</v>
      </c>
      <c r="AR918" s="1125">
        <f t="shared" si="1068"/>
        <v>0</v>
      </c>
      <c r="AS918" s="1125">
        <f t="shared" si="1069"/>
        <v>0</v>
      </c>
      <c r="AT918" s="1125">
        <f t="shared" si="1070"/>
        <v>0</v>
      </c>
      <c r="AU918" s="1125">
        <f t="shared" si="1071"/>
        <v>0</v>
      </c>
      <c r="AV918" s="1125">
        <f t="shared" si="1072"/>
        <v>1</v>
      </c>
      <c r="AW918" s="1125">
        <f t="shared" si="1073"/>
        <v>1</v>
      </c>
      <c r="AX918" s="1125">
        <f t="shared" si="1074"/>
        <v>1</v>
      </c>
      <c r="AY918" s="1125">
        <f t="shared" si="1075"/>
        <v>0</v>
      </c>
      <c r="AZ918" s="1125">
        <f t="shared" si="1076"/>
        <v>0</v>
      </c>
      <c r="BA918" s="1125">
        <f t="shared" si="1077"/>
        <v>0</v>
      </c>
      <c r="BB918" s="1125">
        <f t="shared" si="1078"/>
        <v>0</v>
      </c>
      <c r="BC918" s="1125">
        <f t="shared" si="1079"/>
        <v>0</v>
      </c>
      <c r="BD918" s="1125">
        <f t="shared" si="1080"/>
        <v>1</v>
      </c>
      <c r="BE918" s="1125">
        <f t="shared" si="1081"/>
        <v>1</v>
      </c>
      <c r="BF918" s="1125">
        <f t="shared" si="1082"/>
        <v>1</v>
      </c>
      <c r="BG918" s="1125">
        <f t="shared" si="1083"/>
        <v>1</v>
      </c>
      <c r="BH918" s="1125">
        <f t="shared" si="1084"/>
        <v>0</v>
      </c>
      <c r="BI918" s="1125">
        <f t="shared" si="1085"/>
        <v>0</v>
      </c>
      <c r="BJ918" s="1125">
        <f t="shared" si="1086"/>
        <v>0</v>
      </c>
      <c r="BK918" s="1125">
        <f t="shared" si="1087"/>
        <v>1</v>
      </c>
      <c r="BL918" s="1125">
        <f t="shared" si="1088"/>
        <v>1</v>
      </c>
      <c r="BM918" s="1125">
        <f t="shared" si="1089"/>
        <v>1</v>
      </c>
      <c r="BN918" s="1125">
        <f t="shared" si="1090"/>
        <v>1</v>
      </c>
      <c r="BO918" s="1125">
        <f t="shared" si="1091"/>
        <v>1</v>
      </c>
      <c r="BP918" s="1125">
        <f t="shared" si="1092"/>
        <v>1</v>
      </c>
      <c r="BQ918" s="1125">
        <f t="shared" si="1093"/>
        <v>0</v>
      </c>
      <c r="BR918" s="1125">
        <f t="shared" si="1094"/>
        <v>0</v>
      </c>
      <c r="BS918" s="1125">
        <f t="shared" si="1095"/>
        <v>0</v>
      </c>
      <c r="BT918" s="1125">
        <f t="shared" si="1096"/>
        <v>1</v>
      </c>
      <c r="BU918" s="1125">
        <f t="shared" si="1097"/>
        <v>1</v>
      </c>
      <c r="BV918" s="1125">
        <f t="shared" si="1098"/>
        <v>1</v>
      </c>
      <c r="BW918" s="1125">
        <f t="shared" si="1099"/>
        <v>0</v>
      </c>
      <c r="BX918" s="1125">
        <f t="shared" si="1100"/>
        <v>0</v>
      </c>
      <c r="BY918" s="1125">
        <f t="shared" si="1101"/>
        <v>0</v>
      </c>
      <c r="BZ918" s="1125">
        <f t="shared" si="1102"/>
        <v>0</v>
      </c>
      <c r="CA918" s="1125">
        <f t="shared" si="1103"/>
        <v>1</v>
      </c>
      <c r="CB918" s="1125">
        <f t="shared" si="1104"/>
        <v>1</v>
      </c>
      <c r="CC918" s="1125">
        <f t="shared" si="1105"/>
        <v>1</v>
      </c>
      <c r="CD918" s="1125">
        <f t="shared" si="1106"/>
        <v>1</v>
      </c>
      <c r="CE918" s="1125">
        <f t="shared" si="1107"/>
        <v>1</v>
      </c>
      <c r="CF918" s="1125">
        <f t="shared" si="1108"/>
        <v>1</v>
      </c>
      <c r="CG918" s="1125">
        <f t="shared" si="1109"/>
        <v>0</v>
      </c>
      <c r="CH918" s="1125">
        <f t="shared" si="1110"/>
        <v>0</v>
      </c>
      <c r="CI918" s="1125">
        <f t="shared" si="1111"/>
        <v>0.85</v>
      </c>
      <c r="CJ918" s="1125">
        <f t="shared" si="1112"/>
        <v>0.85</v>
      </c>
      <c r="CK918" s="1125">
        <f t="shared" si="1113"/>
        <v>0.85</v>
      </c>
      <c r="CL918" s="1125">
        <f t="shared" si="1114"/>
        <v>0.85</v>
      </c>
      <c r="CM918" s="1125">
        <f t="shared" si="1115"/>
        <v>0.85</v>
      </c>
      <c r="CN918" s="1125">
        <f t="shared" si="1116"/>
        <v>0.85</v>
      </c>
      <c r="CO918" s="1125">
        <f t="shared" si="1117"/>
        <v>0.7</v>
      </c>
      <c r="CP918" s="1125">
        <f t="shared" si="1118"/>
        <v>0.7</v>
      </c>
      <c r="CQ918" s="1125">
        <f t="shared" si="1119"/>
        <v>0.7</v>
      </c>
      <c r="CR918" s="1125">
        <f t="shared" si="1120"/>
        <v>0.85</v>
      </c>
      <c r="CS918" s="1125">
        <f t="shared" si="1121"/>
        <v>0.85</v>
      </c>
      <c r="CT918" s="1125">
        <f t="shared" si="1122"/>
        <v>0.85</v>
      </c>
      <c r="CU918" s="1125">
        <v>1</v>
      </c>
      <c r="CV918" s="1125"/>
      <c r="CW918" s="1125">
        <f t="shared" si="1123"/>
        <v>184</v>
      </c>
      <c r="CX918" s="1125">
        <f t="shared" si="1124"/>
        <v>181</v>
      </c>
      <c r="CY918" s="1136" t="s">
        <v>4881</v>
      </c>
      <c r="CZ918" s="1129" t="s">
        <v>4885</v>
      </c>
      <c r="DA918" s="1129"/>
      <c r="DB918" s="1129"/>
      <c r="DC918" s="1125" t="s">
        <v>5240</v>
      </c>
      <c r="DD918" s="1125" t="s">
        <v>256</v>
      </c>
      <c r="DE918" s="1120" t="str">
        <f t="shared" si="1125"/>
        <v/>
      </c>
      <c r="DF918" s="1133">
        <v>0</v>
      </c>
      <c r="DG918" s="1120">
        <v>0</v>
      </c>
    </row>
    <row r="919" spans="1:111">
      <c r="A919" s="1125" t="s">
        <v>4516</v>
      </c>
      <c r="B919" s="1120" t="s">
        <v>3761</v>
      </c>
      <c r="C919" s="1120" t="s">
        <v>3762</v>
      </c>
      <c r="D919" s="1120" t="s">
        <v>540</v>
      </c>
      <c r="E919" s="1120">
        <v>617</v>
      </c>
      <c r="F919" s="1120">
        <v>-85.58</v>
      </c>
      <c r="G919" s="1120">
        <v>44.73</v>
      </c>
      <c r="H919" s="1120">
        <v>-5</v>
      </c>
      <c r="I919" s="1121">
        <v>4.4599996566772457</v>
      </c>
      <c r="J919" s="1121">
        <v>85.819999313354487</v>
      </c>
      <c r="K919" s="1122">
        <v>69.980000686645511</v>
      </c>
      <c r="L919" s="1120">
        <v>7405.2</v>
      </c>
      <c r="M919" s="1120">
        <v>428.40000000000003</v>
      </c>
      <c r="N919" s="1123">
        <v>21.379999828338622</v>
      </c>
      <c r="O919" s="1123">
        <v>22.1</v>
      </c>
      <c r="P919" s="1123">
        <v>30.740000021457671</v>
      </c>
      <c r="Q919" s="1123">
        <v>42.440000343322751</v>
      </c>
      <c r="R919" s="1123">
        <v>54.680000686645506</v>
      </c>
      <c r="S919" s="1123">
        <v>63.139998626708987</v>
      </c>
      <c r="T919" s="1123">
        <v>70.33999862670899</v>
      </c>
      <c r="U919" s="1123">
        <v>66.739998626708982</v>
      </c>
      <c r="V919" s="1123">
        <v>61.160001373291017</v>
      </c>
      <c r="W919" s="1123">
        <v>48.019999313354489</v>
      </c>
      <c r="X919" s="1123">
        <v>36.679999828338623</v>
      </c>
      <c r="Y919" s="1123">
        <v>24.620000171661378</v>
      </c>
      <c r="Z919" s="1123">
        <v>45.297314851153388</v>
      </c>
      <c r="AA919" s="1123">
        <f t="shared" si="1051"/>
        <v>42.840958616533435</v>
      </c>
      <c r="AB919" s="1123">
        <f t="shared" si="1052"/>
        <v>41.208248693840936</v>
      </c>
      <c r="AC919" s="1123">
        <f t="shared" si="1053"/>
        <v>42.205409342267671</v>
      </c>
      <c r="AD919" s="1123">
        <f t="shared" si="1054"/>
        <v>45.572515272090463</v>
      </c>
      <c r="AE919" s="1123">
        <f t="shared" si="1055"/>
        <v>50.431878434027972</v>
      </c>
      <c r="AF919" s="1123">
        <f t="shared" si="1056"/>
        <v>55.516830934868111</v>
      </c>
      <c r="AG919" s="1123">
        <f t="shared" si="1057"/>
        <v>59.501901543776874</v>
      </c>
      <c r="AH919" s="1123">
        <f t="shared" si="1058"/>
        <v>61.348320194745199</v>
      </c>
      <c r="AI919" s="1123">
        <f t="shared" si="1059"/>
        <v>60.574789412225464</v>
      </c>
      <c r="AJ919" s="1123">
        <f t="shared" si="1060"/>
        <v>57.382941915151633</v>
      </c>
      <c r="AK919" s="1123">
        <f t="shared" si="1061"/>
        <v>52.604781941494842</v>
      </c>
      <c r="AL919" s="1123">
        <f t="shared" si="1062"/>
        <v>47.485810522062792</v>
      </c>
      <c r="AM919" s="1120">
        <f t="shared" si="1063"/>
        <v>1</v>
      </c>
      <c r="AN919" s="1120">
        <f t="shared" si="1064"/>
        <v>1</v>
      </c>
      <c r="AO919" s="1120">
        <f t="shared" si="1065"/>
        <v>1</v>
      </c>
      <c r="AP919" s="1120">
        <f t="shared" si="1066"/>
        <v>1</v>
      </c>
      <c r="AQ919" s="1120">
        <f t="shared" si="1067"/>
        <v>1</v>
      </c>
      <c r="AR919" s="1120">
        <f t="shared" si="1068"/>
        <v>1</v>
      </c>
      <c r="AS919" s="1120">
        <f t="shared" si="1069"/>
        <v>0</v>
      </c>
      <c r="AT919" s="1120">
        <f t="shared" si="1070"/>
        <v>0</v>
      </c>
      <c r="AU919" s="1120">
        <f t="shared" si="1071"/>
        <v>1</v>
      </c>
      <c r="AV919" s="1120">
        <f t="shared" si="1072"/>
        <v>1</v>
      </c>
      <c r="AW919" s="1120">
        <f t="shared" si="1073"/>
        <v>1</v>
      </c>
      <c r="AX919" s="1120">
        <f t="shared" si="1074"/>
        <v>1</v>
      </c>
      <c r="AY919" s="1120">
        <f t="shared" si="1075"/>
        <v>0</v>
      </c>
      <c r="AZ919" s="1120">
        <f t="shared" si="1076"/>
        <v>0</v>
      </c>
      <c r="BA919" s="1120">
        <f t="shared" si="1077"/>
        <v>0</v>
      </c>
      <c r="BB919" s="1120">
        <f t="shared" si="1078"/>
        <v>0</v>
      </c>
      <c r="BC919" s="1120">
        <f t="shared" si="1079"/>
        <v>0</v>
      </c>
      <c r="BD919" s="1120">
        <f t="shared" si="1080"/>
        <v>0</v>
      </c>
      <c r="BE919" s="1120">
        <f t="shared" si="1081"/>
        <v>1</v>
      </c>
      <c r="BF919" s="1120">
        <f t="shared" si="1082"/>
        <v>1</v>
      </c>
      <c r="BG919" s="1120">
        <f t="shared" si="1083"/>
        <v>0</v>
      </c>
      <c r="BH919" s="1120">
        <f t="shared" si="1084"/>
        <v>0</v>
      </c>
      <c r="BI919" s="1120">
        <f t="shared" si="1085"/>
        <v>0</v>
      </c>
      <c r="BJ919" s="1120">
        <f t="shared" si="1086"/>
        <v>0</v>
      </c>
      <c r="BK919" s="1120">
        <f t="shared" si="1087"/>
        <v>1</v>
      </c>
      <c r="BL919" s="1120">
        <f t="shared" si="1088"/>
        <v>1</v>
      </c>
      <c r="BM919" s="1120">
        <f t="shared" si="1089"/>
        <v>1</v>
      </c>
      <c r="BN919" s="1120">
        <f t="shared" si="1090"/>
        <v>1</v>
      </c>
      <c r="BO919" s="1120">
        <f t="shared" si="1091"/>
        <v>1</v>
      </c>
      <c r="BP919" s="1120">
        <f t="shared" si="1092"/>
        <v>1</v>
      </c>
      <c r="BQ919" s="1120">
        <f t="shared" si="1093"/>
        <v>1</v>
      </c>
      <c r="BR919" s="1120">
        <f t="shared" si="1094"/>
        <v>0</v>
      </c>
      <c r="BS919" s="1120">
        <f t="shared" si="1095"/>
        <v>1</v>
      </c>
      <c r="BT919" s="1120">
        <f t="shared" si="1096"/>
        <v>1</v>
      </c>
      <c r="BU919" s="1120">
        <f t="shared" si="1097"/>
        <v>1</v>
      </c>
      <c r="BV919" s="1120">
        <f t="shared" si="1098"/>
        <v>1</v>
      </c>
      <c r="BW919" s="1120">
        <f t="shared" si="1099"/>
        <v>0</v>
      </c>
      <c r="BX919" s="1120">
        <f t="shared" si="1100"/>
        <v>0</v>
      </c>
      <c r="BY919" s="1120">
        <f t="shared" si="1101"/>
        <v>0</v>
      </c>
      <c r="BZ919" s="1120">
        <f t="shared" si="1102"/>
        <v>0</v>
      </c>
      <c r="CA919" s="1120">
        <f t="shared" si="1103"/>
        <v>0</v>
      </c>
      <c r="CB919" s="1120">
        <f t="shared" si="1104"/>
        <v>1</v>
      </c>
      <c r="CC919" s="1120">
        <f t="shared" si="1105"/>
        <v>1</v>
      </c>
      <c r="CD919" s="1120">
        <f t="shared" si="1106"/>
        <v>1</v>
      </c>
      <c r="CE919" s="1120">
        <f t="shared" si="1107"/>
        <v>1</v>
      </c>
      <c r="CF919" s="1120">
        <f t="shared" si="1108"/>
        <v>0</v>
      </c>
      <c r="CG919" s="1120">
        <f t="shared" si="1109"/>
        <v>0</v>
      </c>
      <c r="CH919" s="1120">
        <f t="shared" si="1110"/>
        <v>0</v>
      </c>
      <c r="CI919" s="1120">
        <f t="shared" si="1111"/>
        <v>0.85</v>
      </c>
      <c r="CJ919" s="1120">
        <f t="shared" si="1112"/>
        <v>0.85</v>
      </c>
      <c r="CK919" s="1120">
        <f t="shared" si="1113"/>
        <v>0.85</v>
      </c>
      <c r="CL919" s="1120">
        <f t="shared" si="1114"/>
        <v>0.85</v>
      </c>
      <c r="CM919" s="1120">
        <f t="shared" si="1115"/>
        <v>0.85</v>
      </c>
      <c r="CN919" s="1120">
        <f t="shared" si="1116"/>
        <v>0.85</v>
      </c>
      <c r="CO919" s="1120">
        <f t="shared" si="1117"/>
        <v>0.85</v>
      </c>
      <c r="CP919" s="1120">
        <f t="shared" si="1118"/>
        <v>0.7</v>
      </c>
      <c r="CQ919" s="1120">
        <f t="shared" si="1119"/>
        <v>0.85</v>
      </c>
      <c r="CR919" s="1120">
        <f t="shared" si="1120"/>
        <v>0.85</v>
      </c>
      <c r="CS919" s="1120">
        <f t="shared" si="1121"/>
        <v>0.85</v>
      </c>
      <c r="CT919" s="1120">
        <f t="shared" si="1122"/>
        <v>0.85</v>
      </c>
      <c r="CU919" s="1120">
        <v>1</v>
      </c>
      <c r="CV919" s="1120"/>
      <c r="CW919" s="1120">
        <f t="shared" si="1123"/>
        <v>122</v>
      </c>
      <c r="CX919" s="1120">
        <f t="shared" si="1124"/>
        <v>243</v>
      </c>
      <c r="CY919" s="1135" t="s">
        <v>4889</v>
      </c>
      <c r="CZ919" s="1124" t="s">
        <v>4899</v>
      </c>
      <c r="DA919" s="1124"/>
      <c r="DB919" s="1124"/>
      <c r="DC919" s="1120" t="s">
        <v>5319</v>
      </c>
      <c r="DD919" s="1120" t="s">
        <v>540</v>
      </c>
      <c r="DE919" s="1120" t="str">
        <f t="shared" si="1125"/>
        <v/>
      </c>
      <c r="DF919" s="1133">
        <v>0</v>
      </c>
      <c r="DG919" s="1125">
        <v>0</v>
      </c>
    </row>
    <row r="920" spans="1:111">
      <c r="A920" s="1120" t="s">
        <v>4518</v>
      </c>
      <c r="B920" s="1120" t="s">
        <v>3112</v>
      </c>
      <c r="C920" s="1120" t="s">
        <v>3113</v>
      </c>
      <c r="D920" s="1120" t="s">
        <v>954</v>
      </c>
      <c r="E920" s="1120">
        <v>59</v>
      </c>
      <c r="F920" s="1120">
        <v>-121.93</v>
      </c>
      <c r="G920" s="1120">
        <v>38.270000000000003</v>
      </c>
      <c r="H920" s="1120">
        <v>-8</v>
      </c>
      <c r="I920" s="1121">
        <v>34.339999914169312</v>
      </c>
      <c r="J920" s="1121">
        <v>95</v>
      </c>
      <c r="K920" s="1122">
        <v>66.739998626708982</v>
      </c>
      <c r="L920" s="1120">
        <v>2647.8</v>
      </c>
      <c r="M920" s="1120">
        <v>1114.2</v>
      </c>
      <c r="N920" s="1123">
        <v>45.140000343322754</v>
      </c>
      <c r="O920" s="1123">
        <v>50</v>
      </c>
      <c r="P920" s="1123">
        <v>52.880000686645509</v>
      </c>
      <c r="Q920" s="1123">
        <v>60.8</v>
      </c>
      <c r="R920" s="1123">
        <v>69.619999313354498</v>
      </c>
      <c r="S920" s="1123">
        <v>68.900000000000006</v>
      </c>
      <c r="T920" s="1123">
        <v>73.400000000000006</v>
      </c>
      <c r="U920" s="1123">
        <v>70.519999313354489</v>
      </c>
      <c r="V920" s="1123">
        <v>71.960001373291021</v>
      </c>
      <c r="W920" s="1123">
        <v>64.039998626708979</v>
      </c>
      <c r="X920" s="1123">
        <v>48.380000686645509</v>
      </c>
      <c r="Y920" s="1123">
        <v>46.040000343322752</v>
      </c>
      <c r="Z920" s="1123">
        <v>60.197369915687872</v>
      </c>
      <c r="AA920" s="1123">
        <f t="shared" si="1051"/>
        <v>58.668761510985973</v>
      </c>
      <c r="AB920" s="1123">
        <f t="shared" si="1052"/>
        <v>58.403650231900151</v>
      </c>
      <c r="AC920" s="1123">
        <f t="shared" si="1053"/>
        <v>60.170092093249472</v>
      </c>
      <c r="AD920" s="1123">
        <f t="shared" si="1054"/>
        <v>63.507636802180151</v>
      </c>
      <c r="AE920" s="1123">
        <f t="shared" si="1055"/>
        <v>67.546301897188584</v>
      </c>
      <c r="AF920" s="1123">
        <f t="shared" si="1056"/>
        <v>71.233347083547784</v>
      </c>
      <c r="AG920" s="1123">
        <f t="shared" si="1057"/>
        <v>73.607687214346996</v>
      </c>
      <c r="AH920" s="1123">
        <f t="shared" si="1058"/>
        <v>74.050413944804447</v>
      </c>
      <c r="AI920" s="1123">
        <f t="shared" si="1059"/>
        <v>72.446123730000949</v>
      </c>
      <c r="AJ920" s="1123">
        <f t="shared" si="1060"/>
        <v>69.212999537285611</v>
      </c>
      <c r="AK920" s="1123">
        <f t="shared" si="1061"/>
        <v>65.193805011441654</v>
      </c>
      <c r="AL920" s="1123">
        <f t="shared" si="1062"/>
        <v>61.436205143292774</v>
      </c>
      <c r="AM920" s="1120">
        <f t="shared" si="1063"/>
        <v>1</v>
      </c>
      <c r="AN920" s="1120">
        <f t="shared" si="1064"/>
        <v>1</v>
      </c>
      <c r="AO920" s="1120">
        <f t="shared" si="1065"/>
        <v>1</v>
      </c>
      <c r="AP920" s="1120">
        <f t="shared" si="1066"/>
        <v>1</v>
      </c>
      <c r="AQ920" s="1120">
        <f t="shared" si="1067"/>
        <v>0</v>
      </c>
      <c r="AR920" s="1120">
        <f t="shared" si="1068"/>
        <v>0</v>
      </c>
      <c r="AS920" s="1120">
        <f t="shared" si="1069"/>
        <v>0</v>
      </c>
      <c r="AT920" s="1120">
        <f t="shared" si="1070"/>
        <v>0</v>
      </c>
      <c r="AU920" s="1120">
        <f t="shared" si="1071"/>
        <v>0</v>
      </c>
      <c r="AV920" s="1120">
        <f t="shared" si="1072"/>
        <v>1</v>
      </c>
      <c r="AW920" s="1120">
        <f t="shared" si="1073"/>
        <v>1</v>
      </c>
      <c r="AX920" s="1120">
        <f t="shared" si="1074"/>
        <v>1</v>
      </c>
      <c r="AY920" s="1120">
        <f t="shared" si="1075"/>
        <v>0</v>
      </c>
      <c r="AZ920" s="1120">
        <f t="shared" si="1076"/>
        <v>0</v>
      </c>
      <c r="BA920" s="1120">
        <f t="shared" si="1077"/>
        <v>0</v>
      </c>
      <c r="BB920" s="1120">
        <f t="shared" si="1078"/>
        <v>0</v>
      </c>
      <c r="BC920" s="1120">
        <f t="shared" si="1079"/>
        <v>1</v>
      </c>
      <c r="BD920" s="1120">
        <f t="shared" si="1080"/>
        <v>1</v>
      </c>
      <c r="BE920" s="1120">
        <f t="shared" si="1081"/>
        <v>1</v>
      </c>
      <c r="BF920" s="1120">
        <f t="shared" si="1082"/>
        <v>1</v>
      </c>
      <c r="BG920" s="1120">
        <f t="shared" si="1083"/>
        <v>1</v>
      </c>
      <c r="BH920" s="1120">
        <f t="shared" si="1084"/>
        <v>0</v>
      </c>
      <c r="BI920" s="1120">
        <f t="shared" si="1085"/>
        <v>0</v>
      </c>
      <c r="BJ920" s="1120">
        <f t="shared" si="1086"/>
        <v>0</v>
      </c>
      <c r="BK920" s="1120">
        <f t="shared" si="1087"/>
        <v>1</v>
      </c>
      <c r="BL920" s="1120">
        <f t="shared" si="1088"/>
        <v>1</v>
      </c>
      <c r="BM920" s="1120">
        <f t="shared" si="1089"/>
        <v>1</v>
      </c>
      <c r="BN920" s="1120">
        <f t="shared" si="1090"/>
        <v>1</v>
      </c>
      <c r="BO920" s="1120">
        <f t="shared" si="1091"/>
        <v>1</v>
      </c>
      <c r="BP920" s="1120">
        <f t="shared" si="1092"/>
        <v>0</v>
      </c>
      <c r="BQ920" s="1120">
        <f t="shared" si="1093"/>
        <v>0</v>
      </c>
      <c r="BR920" s="1120">
        <f t="shared" si="1094"/>
        <v>0</v>
      </c>
      <c r="BS920" s="1120">
        <f t="shared" si="1095"/>
        <v>0</v>
      </c>
      <c r="BT920" s="1120">
        <f t="shared" si="1096"/>
        <v>1</v>
      </c>
      <c r="BU920" s="1120">
        <f t="shared" si="1097"/>
        <v>1</v>
      </c>
      <c r="BV920" s="1120">
        <f t="shared" si="1098"/>
        <v>1</v>
      </c>
      <c r="BW920" s="1120">
        <f t="shared" si="1099"/>
        <v>0</v>
      </c>
      <c r="BX920" s="1120">
        <f t="shared" si="1100"/>
        <v>0</v>
      </c>
      <c r="BY920" s="1120">
        <f t="shared" si="1101"/>
        <v>0</v>
      </c>
      <c r="BZ920" s="1120">
        <f t="shared" si="1102"/>
        <v>1</v>
      </c>
      <c r="CA920" s="1120">
        <f t="shared" si="1103"/>
        <v>1</v>
      </c>
      <c r="CB920" s="1120">
        <f t="shared" si="1104"/>
        <v>1</v>
      </c>
      <c r="CC920" s="1120">
        <f t="shared" si="1105"/>
        <v>1</v>
      </c>
      <c r="CD920" s="1120">
        <f t="shared" si="1106"/>
        <v>1</v>
      </c>
      <c r="CE920" s="1120">
        <f t="shared" si="1107"/>
        <v>1</v>
      </c>
      <c r="CF920" s="1120">
        <f t="shared" si="1108"/>
        <v>1</v>
      </c>
      <c r="CG920" s="1120">
        <f t="shared" si="1109"/>
        <v>0</v>
      </c>
      <c r="CH920" s="1120">
        <f t="shared" si="1110"/>
        <v>0</v>
      </c>
      <c r="CI920" s="1120">
        <f t="shared" si="1111"/>
        <v>0.85</v>
      </c>
      <c r="CJ920" s="1120">
        <f t="shared" si="1112"/>
        <v>0.85</v>
      </c>
      <c r="CK920" s="1120">
        <f t="shared" si="1113"/>
        <v>0.85</v>
      </c>
      <c r="CL920" s="1120">
        <f t="shared" si="1114"/>
        <v>0.85</v>
      </c>
      <c r="CM920" s="1120">
        <f t="shared" si="1115"/>
        <v>0.85</v>
      </c>
      <c r="CN920" s="1120">
        <f t="shared" si="1116"/>
        <v>0.7</v>
      </c>
      <c r="CO920" s="1120">
        <f t="shared" si="1117"/>
        <v>0.7</v>
      </c>
      <c r="CP920" s="1120">
        <f t="shared" si="1118"/>
        <v>0.7</v>
      </c>
      <c r="CQ920" s="1120">
        <f t="shared" si="1119"/>
        <v>0.7</v>
      </c>
      <c r="CR920" s="1120">
        <f t="shared" si="1120"/>
        <v>0.85</v>
      </c>
      <c r="CS920" s="1120">
        <f t="shared" si="1121"/>
        <v>0.85</v>
      </c>
      <c r="CT920" s="1120">
        <f t="shared" si="1122"/>
        <v>0.85</v>
      </c>
      <c r="CU920" s="1120">
        <v>1</v>
      </c>
      <c r="CV920" s="1120"/>
      <c r="CW920" s="1120">
        <f t="shared" si="1123"/>
        <v>214</v>
      </c>
      <c r="CX920" s="1120">
        <f t="shared" si="1124"/>
        <v>151</v>
      </c>
      <c r="CY920" s="1135" t="s">
        <v>4886</v>
      </c>
      <c r="CZ920" s="1124" t="s">
        <v>4888</v>
      </c>
      <c r="DA920" s="1124"/>
      <c r="DB920" s="1124"/>
      <c r="DC920" s="1120" t="s">
        <v>5946</v>
      </c>
      <c r="DD920" s="1120" t="s">
        <v>954</v>
      </c>
      <c r="DE920" s="1120" t="b">
        <f t="shared" si="1125"/>
        <v>0</v>
      </c>
      <c r="DF920" s="1133">
        <v>0</v>
      </c>
      <c r="DG920" s="1120">
        <v>0</v>
      </c>
    </row>
    <row r="921" spans="1:111">
      <c r="A921" s="1125" t="s">
        <v>1074</v>
      </c>
      <c r="B921" s="1125" t="s">
        <v>4066</v>
      </c>
      <c r="C921" s="1125" t="s">
        <v>4067</v>
      </c>
      <c r="D921" s="1125" t="s">
        <v>589</v>
      </c>
      <c r="E921" s="1125">
        <v>213</v>
      </c>
      <c r="F921" s="1125">
        <v>-74.819999999999993</v>
      </c>
      <c r="G921" s="1125">
        <v>40.28</v>
      </c>
      <c r="H921" s="1125">
        <v>-5</v>
      </c>
      <c r="I921" s="1126">
        <v>14.180000686645508</v>
      </c>
      <c r="J921" s="1126">
        <v>89.779997253417974</v>
      </c>
      <c r="K921" s="1127">
        <v>73.760001373291018</v>
      </c>
      <c r="L921" s="1125">
        <v>4806</v>
      </c>
      <c r="M921" s="1125">
        <v>1240.2</v>
      </c>
      <c r="N921" s="1128">
        <v>30.019999957084657</v>
      </c>
      <c r="O921" s="1128">
        <v>33.080000042915344</v>
      </c>
      <c r="P921" s="1128">
        <v>44.240000343322755</v>
      </c>
      <c r="Q921" s="1128">
        <v>55.040000343322752</v>
      </c>
      <c r="R921" s="1128">
        <v>59.9</v>
      </c>
      <c r="S921" s="1128">
        <v>71.239998626708982</v>
      </c>
      <c r="T921" s="1128">
        <v>77.539998626708979</v>
      </c>
      <c r="U921" s="1128">
        <v>77</v>
      </c>
      <c r="V921" s="1128">
        <v>65.66000137329101</v>
      </c>
      <c r="W921" s="1128">
        <v>56.119999313354491</v>
      </c>
      <c r="X921" s="1128">
        <v>48.019999313354489</v>
      </c>
      <c r="Y921" s="1128">
        <v>36.139999914169309</v>
      </c>
      <c r="Z921" s="1128">
        <v>54.615890229303545</v>
      </c>
      <c r="AA921" s="1128">
        <f t="shared" si="1051"/>
        <v>49.632937614978111</v>
      </c>
      <c r="AB921" s="1128">
        <f t="shared" si="1052"/>
        <v>48.645674192079611</v>
      </c>
      <c r="AC921" s="1128">
        <f t="shared" si="1053"/>
        <v>50.778632045896423</v>
      </c>
      <c r="AD921" s="1128">
        <f t="shared" si="1054"/>
        <v>55.475822841955697</v>
      </c>
      <c r="AE921" s="1128">
        <f t="shared" si="1055"/>
        <v>61.512851413363322</v>
      </c>
      <c r="AF921" s="1128">
        <f t="shared" si="1056"/>
        <v>67.316073229555514</v>
      </c>
      <c r="AG921" s="1128">
        <f t="shared" si="1057"/>
        <v>71.372789093786551</v>
      </c>
      <c r="AH921" s="1128">
        <f t="shared" si="1058"/>
        <v>72.625553500160819</v>
      </c>
      <c r="AI921" s="1128">
        <f t="shared" si="1059"/>
        <v>70.747814100472965</v>
      </c>
      <c r="AJ921" s="1128">
        <f t="shared" si="1060"/>
        <v>66.229032606091721</v>
      </c>
      <c r="AK921" s="1128">
        <f t="shared" si="1061"/>
        <v>60.247099050058232</v>
      </c>
      <c r="AL921" s="1128">
        <f t="shared" si="1062"/>
        <v>54.36129659813912</v>
      </c>
      <c r="AM921" s="1125">
        <f t="shared" si="1063"/>
        <v>1</v>
      </c>
      <c r="AN921" s="1125">
        <f t="shared" si="1064"/>
        <v>1</v>
      </c>
      <c r="AO921" s="1125">
        <f t="shared" si="1065"/>
        <v>1</v>
      </c>
      <c r="AP921" s="1125">
        <f t="shared" si="1066"/>
        <v>1</v>
      </c>
      <c r="AQ921" s="1125">
        <f t="shared" si="1067"/>
        <v>1</v>
      </c>
      <c r="AR921" s="1125">
        <f t="shared" si="1068"/>
        <v>0</v>
      </c>
      <c r="AS921" s="1125">
        <f t="shared" si="1069"/>
        <v>0</v>
      </c>
      <c r="AT921" s="1125">
        <f t="shared" si="1070"/>
        <v>0</v>
      </c>
      <c r="AU921" s="1125">
        <f t="shared" si="1071"/>
        <v>1</v>
      </c>
      <c r="AV921" s="1125">
        <f t="shared" si="1072"/>
        <v>1</v>
      </c>
      <c r="AW921" s="1125">
        <f t="shared" si="1073"/>
        <v>1</v>
      </c>
      <c r="AX921" s="1125">
        <f t="shared" si="1074"/>
        <v>1</v>
      </c>
      <c r="AY921" s="1125">
        <f t="shared" si="1075"/>
        <v>0</v>
      </c>
      <c r="AZ921" s="1125">
        <f t="shared" si="1076"/>
        <v>0</v>
      </c>
      <c r="BA921" s="1125">
        <f t="shared" si="1077"/>
        <v>0</v>
      </c>
      <c r="BB921" s="1125">
        <f t="shared" si="1078"/>
        <v>0</v>
      </c>
      <c r="BC921" s="1125">
        <f t="shared" si="1079"/>
        <v>0</v>
      </c>
      <c r="BD921" s="1125">
        <f t="shared" si="1080"/>
        <v>1</v>
      </c>
      <c r="BE921" s="1125">
        <f t="shared" si="1081"/>
        <v>1</v>
      </c>
      <c r="BF921" s="1125">
        <f t="shared" si="1082"/>
        <v>1</v>
      </c>
      <c r="BG921" s="1125">
        <f t="shared" si="1083"/>
        <v>0</v>
      </c>
      <c r="BH921" s="1125">
        <f t="shared" si="1084"/>
        <v>0</v>
      </c>
      <c r="BI921" s="1125">
        <f t="shared" si="1085"/>
        <v>0</v>
      </c>
      <c r="BJ921" s="1125">
        <f t="shared" si="1086"/>
        <v>0</v>
      </c>
      <c r="BK921" s="1125">
        <f t="shared" si="1087"/>
        <v>1</v>
      </c>
      <c r="BL921" s="1125">
        <f t="shared" si="1088"/>
        <v>1</v>
      </c>
      <c r="BM921" s="1125">
        <f t="shared" si="1089"/>
        <v>1</v>
      </c>
      <c r="BN921" s="1125">
        <f t="shared" si="1090"/>
        <v>1</v>
      </c>
      <c r="BO921" s="1125">
        <f t="shared" si="1091"/>
        <v>1</v>
      </c>
      <c r="BP921" s="1125">
        <f t="shared" si="1092"/>
        <v>1</v>
      </c>
      <c r="BQ921" s="1125">
        <f t="shared" si="1093"/>
        <v>0</v>
      </c>
      <c r="BR921" s="1125">
        <f t="shared" si="1094"/>
        <v>0</v>
      </c>
      <c r="BS921" s="1125">
        <f t="shared" si="1095"/>
        <v>1</v>
      </c>
      <c r="BT921" s="1125">
        <f t="shared" si="1096"/>
        <v>1</v>
      </c>
      <c r="BU921" s="1125">
        <f t="shared" si="1097"/>
        <v>1</v>
      </c>
      <c r="BV921" s="1125">
        <f t="shared" si="1098"/>
        <v>1</v>
      </c>
      <c r="BW921" s="1125">
        <f t="shared" si="1099"/>
        <v>0</v>
      </c>
      <c r="BX921" s="1125">
        <f t="shared" si="1100"/>
        <v>0</v>
      </c>
      <c r="BY921" s="1125">
        <f t="shared" si="1101"/>
        <v>0</v>
      </c>
      <c r="BZ921" s="1125">
        <f t="shared" si="1102"/>
        <v>0</v>
      </c>
      <c r="CA921" s="1125">
        <f t="shared" si="1103"/>
        <v>1</v>
      </c>
      <c r="CB921" s="1125">
        <f t="shared" si="1104"/>
        <v>1</v>
      </c>
      <c r="CC921" s="1125">
        <f t="shared" si="1105"/>
        <v>1</v>
      </c>
      <c r="CD921" s="1125">
        <f t="shared" si="1106"/>
        <v>1</v>
      </c>
      <c r="CE921" s="1125">
        <f t="shared" si="1107"/>
        <v>1</v>
      </c>
      <c r="CF921" s="1125">
        <f t="shared" si="1108"/>
        <v>0</v>
      </c>
      <c r="CG921" s="1125">
        <f t="shared" si="1109"/>
        <v>0</v>
      </c>
      <c r="CH921" s="1125">
        <f t="shared" si="1110"/>
        <v>0</v>
      </c>
      <c r="CI921" s="1125">
        <f t="shared" si="1111"/>
        <v>0.85</v>
      </c>
      <c r="CJ921" s="1125">
        <f t="shared" si="1112"/>
        <v>0.85</v>
      </c>
      <c r="CK921" s="1125">
        <f t="shared" si="1113"/>
        <v>0.85</v>
      </c>
      <c r="CL921" s="1125">
        <f t="shared" si="1114"/>
        <v>0.85</v>
      </c>
      <c r="CM921" s="1125">
        <f t="shared" si="1115"/>
        <v>0.85</v>
      </c>
      <c r="CN921" s="1125">
        <f t="shared" si="1116"/>
        <v>0.85</v>
      </c>
      <c r="CO921" s="1125">
        <f t="shared" si="1117"/>
        <v>0.7</v>
      </c>
      <c r="CP921" s="1125">
        <f t="shared" si="1118"/>
        <v>0.7</v>
      </c>
      <c r="CQ921" s="1125">
        <f t="shared" si="1119"/>
        <v>0.85</v>
      </c>
      <c r="CR921" s="1125">
        <f t="shared" si="1120"/>
        <v>0.85</v>
      </c>
      <c r="CS921" s="1125">
        <f t="shared" si="1121"/>
        <v>0.85</v>
      </c>
      <c r="CT921" s="1125">
        <f t="shared" si="1122"/>
        <v>0.85</v>
      </c>
      <c r="CU921" s="1125">
        <v>1</v>
      </c>
      <c r="CV921" s="1125"/>
      <c r="CW921" s="1125">
        <f t="shared" si="1123"/>
        <v>153</v>
      </c>
      <c r="CX921" s="1125">
        <f t="shared" si="1124"/>
        <v>212</v>
      </c>
      <c r="CY921" s="1136" t="s">
        <v>4889</v>
      </c>
      <c r="CZ921" s="1129" t="s">
        <v>4897</v>
      </c>
      <c r="DA921" s="1129"/>
      <c r="DB921" s="1129"/>
      <c r="DC921" s="1125" t="s">
        <v>5445</v>
      </c>
      <c r="DD921" s="1125" t="s">
        <v>589</v>
      </c>
      <c r="DE921" s="1120" t="str">
        <f t="shared" si="1125"/>
        <v/>
      </c>
      <c r="DF921" s="1133">
        <v>0</v>
      </c>
      <c r="DG921" s="1125">
        <v>0</v>
      </c>
    </row>
    <row r="922" spans="1:111">
      <c r="A922" s="1120" t="s">
        <v>4520</v>
      </c>
      <c r="B922" s="1125" t="s">
        <v>3246</v>
      </c>
      <c r="C922" s="1125" t="s">
        <v>3247</v>
      </c>
      <c r="D922" s="1125" t="s">
        <v>536</v>
      </c>
      <c r="E922" s="1125">
        <v>5743</v>
      </c>
      <c r="F922" s="1125">
        <v>-104.33</v>
      </c>
      <c r="G922" s="1125">
        <v>37.270000000000003</v>
      </c>
      <c r="H922" s="1125">
        <v>-7</v>
      </c>
      <c r="I922" s="1126">
        <v>7.8800006866455075</v>
      </c>
      <c r="J922" s="1126">
        <v>90.5</v>
      </c>
      <c r="K922" s="1127">
        <v>60.080000686645505</v>
      </c>
      <c r="L922" s="1125">
        <v>5277.6</v>
      </c>
      <c r="M922" s="1125">
        <v>817.2</v>
      </c>
      <c r="N922" s="1128">
        <v>32.360000005364419</v>
      </c>
      <c r="O922" s="1128">
        <v>36.139999914169309</v>
      </c>
      <c r="P922" s="1128">
        <v>42.079999828338622</v>
      </c>
      <c r="Q922" s="1128">
        <v>47.3</v>
      </c>
      <c r="R922" s="1128">
        <v>62.419999313354495</v>
      </c>
      <c r="S922" s="1128">
        <v>67.639998626708987</v>
      </c>
      <c r="T922" s="1128">
        <v>73.400000000000006</v>
      </c>
      <c r="U922" s="1128">
        <v>71.599999999999994</v>
      </c>
      <c r="V922" s="1128">
        <v>64.939998626708984</v>
      </c>
      <c r="W922" s="1128">
        <v>52.7</v>
      </c>
      <c r="X922" s="1128">
        <v>43.159999656677243</v>
      </c>
      <c r="Y922" s="1128">
        <v>31.279999989271165</v>
      </c>
      <c r="Z922" s="1128">
        <v>52.175780488015853</v>
      </c>
      <c r="AA922" s="1128">
        <f t="shared" si="1051"/>
        <v>49.091886896297154</v>
      </c>
      <c r="AB922" s="1128">
        <f t="shared" si="1052"/>
        <v>48.045109228082787</v>
      </c>
      <c r="AC922" s="1128">
        <f t="shared" si="1053"/>
        <v>49.639047142139745</v>
      </c>
      <c r="AD922" s="1128">
        <f t="shared" si="1054"/>
        <v>53.458216157842315</v>
      </c>
      <c r="AE922" s="1128">
        <f t="shared" si="1055"/>
        <v>58.507091016071548</v>
      </c>
      <c r="AF922" s="1128">
        <f t="shared" si="1056"/>
        <v>63.469604679513282</v>
      </c>
      <c r="AG922" s="1128">
        <f t="shared" si="1057"/>
        <v>67.052201487141005</v>
      </c>
      <c r="AH922" s="1128">
        <f t="shared" si="1058"/>
        <v>68.32102237155857</v>
      </c>
      <c r="AI922" s="1128">
        <f t="shared" si="1059"/>
        <v>66.94532961612083</v>
      </c>
      <c r="AJ922" s="1128">
        <f t="shared" si="1060"/>
        <v>63.283718737599742</v>
      </c>
      <c r="AK922" s="1128">
        <f t="shared" si="1061"/>
        <v>58.290645038613469</v>
      </c>
      <c r="AL922" s="1128">
        <f t="shared" si="1062"/>
        <v>53.267630124397627</v>
      </c>
      <c r="AM922" s="1125">
        <f t="shared" si="1063"/>
        <v>1</v>
      </c>
      <c r="AN922" s="1125">
        <f t="shared" si="1064"/>
        <v>1</v>
      </c>
      <c r="AO922" s="1125">
        <f t="shared" si="1065"/>
        <v>1</v>
      </c>
      <c r="AP922" s="1125">
        <f t="shared" si="1066"/>
        <v>1</v>
      </c>
      <c r="AQ922" s="1125">
        <f t="shared" si="1067"/>
        <v>1</v>
      </c>
      <c r="AR922" s="1125">
        <f t="shared" si="1068"/>
        <v>0</v>
      </c>
      <c r="AS922" s="1125">
        <f t="shared" si="1069"/>
        <v>0</v>
      </c>
      <c r="AT922" s="1125">
        <f t="shared" si="1070"/>
        <v>0</v>
      </c>
      <c r="AU922" s="1125">
        <f t="shared" si="1071"/>
        <v>1</v>
      </c>
      <c r="AV922" s="1125">
        <f t="shared" si="1072"/>
        <v>1</v>
      </c>
      <c r="AW922" s="1125">
        <f t="shared" si="1073"/>
        <v>1</v>
      </c>
      <c r="AX922" s="1125">
        <f t="shared" si="1074"/>
        <v>1</v>
      </c>
      <c r="AY922" s="1125">
        <f t="shared" si="1075"/>
        <v>0</v>
      </c>
      <c r="AZ922" s="1125">
        <f t="shared" si="1076"/>
        <v>0</v>
      </c>
      <c r="BA922" s="1125">
        <f t="shared" si="1077"/>
        <v>0</v>
      </c>
      <c r="BB922" s="1125">
        <f t="shared" si="1078"/>
        <v>0</v>
      </c>
      <c r="BC922" s="1125">
        <f t="shared" si="1079"/>
        <v>0</v>
      </c>
      <c r="BD922" s="1125">
        <f t="shared" si="1080"/>
        <v>1</v>
      </c>
      <c r="BE922" s="1125">
        <f t="shared" si="1081"/>
        <v>1</v>
      </c>
      <c r="BF922" s="1125">
        <f t="shared" si="1082"/>
        <v>1</v>
      </c>
      <c r="BG922" s="1125">
        <f t="shared" si="1083"/>
        <v>0</v>
      </c>
      <c r="BH922" s="1125">
        <f t="shared" si="1084"/>
        <v>0</v>
      </c>
      <c r="BI922" s="1125">
        <f t="shared" si="1085"/>
        <v>0</v>
      </c>
      <c r="BJ922" s="1125">
        <f t="shared" si="1086"/>
        <v>0</v>
      </c>
      <c r="BK922" s="1125">
        <f t="shared" si="1087"/>
        <v>1</v>
      </c>
      <c r="BL922" s="1125">
        <f t="shared" si="1088"/>
        <v>1</v>
      </c>
      <c r="BM922" s="1125">
        <f t="shared" si="1089"/>
        <v>1</v>
      </c>
      <c r="BN922" s="1125">
        <f t="shared" si="1090"/>
        <v>1</v>
      </c>
      <c r="BO922" s="1125">
        <f t="shared" si="1091"/>
        <v>1</v>
      </c>
      <c r="BP922" s="1125">
        <f t="shared" si="1092"/>
        <v>1</v>
      </c>
      <c r="BQ922" s="1125">
        <f t="shared" si="1093"/>
        <v>0</v>
      </c>
      <c r="BR922" s="1125">
        <f t="shared" si="1094"/>
        <v>0</v>
      </c>
      <c r="BS922" s="1125">
        <f t="shared" si="1095"/>
        <v>1</v>
      </c>
      <c r="BT922" s="1125">
        <f t="shared" si="1096"/>
        <v>1</v>
      </c>
      <c r="BU922" s="1125">
        <f t="shared" si="1097"/>
        <v>1</v>
      </c>
      <c r="BV922" s="1125">
        <f t="shared" si="1098"/>
        <v>1</v>
      </c>
      <c r="BW922" s="1125">
        <f t="shared" si="1099"/>
        <v>0</v>
      </c>
      <c r="BX922" s="1125">
        <f t="shared" si="1100"/>
        <v>0</v>
      </c>
      <c r="BY922" s="1125">
        <f t="shared" si="1101"/>
        <v>0</v>
      </c>
      <c r="BZ922" s="1125">
        <f t="shared" si="1102"/>
        <v>0</v>
      </c>
      <c r="CA922" s="1125">
        <f t="shared" si="1103"/>
        <v>1</v>
      </c>
      <c r="CB922" s="1125">
        <f t="shared" si="1104"/>
        <v>1</v>
      </c>
      <c r="CC922" s="1125">
        <f t="shared" si="1105"/>
        <v>1</v>
      </c>
      <c r="CD922" s="1125">
        <f t="shared" si="1106"/>
        <v>1</v>
      </c>
      <c r="CE922" s="1125">
        <f t="shared" si="1107"/>
        <v>1</v>
      </c>
      <c r="CF922" s="1125">
        <f t="shared" si="1108"/>
        <v>0</v>
      </c>
      <c r="CG922" s="1125">
        <f t="shared" si="1109"/>
        <v>0</v>
      </c>
      <c r="CH922" s="1125">
        <f t="shared" si="1110"/>
        <v>0</v>
      </c>
      <c r="CI922" s="1125">
        <f t="shared" si="1111"/>
        <v>0.85</v>
      </c>
      <c r="CJ922" s="1125">
        <f t="shared" si="1112"/>
        <v>0.85</v>
      </c>
      <c r="CK922" s="1125">
        <f t="shared" si="1113"/>
        <v>0.85</v>
      </c>
      <c r="CL922" s="1125">
        <f t="shared" si="1114"/>
        <v>0.85</v>
      </c>
      <c r="CM922" s="1125">
        <f t="shared" si="1115"/>
        <v>0.85</v>
      </c>
      <c r="CN922" s="1125">
        <f t="shared" si="1116"/>
        <v>0.85</v>
      </c>
      <c r="CO922" s="1125">
        <f t="shared" si="1117"/>
        <v>0.7</v>
      </c>
      <c r="CP922" s="1125">
        <f t="shared" si="1118"/>
        <v>0.7</v>
      </c>
      <c r="CQ922" s="1125">
        <f t="shared" si="1119"/>
        <v>0.85</v>
      </c>
      <c r="CR922" s="1125">
        <f t="shared" si="1120"/>
        <v>0.85</v>
      </c>
      <c r="CS922" s="1125">
        <f t="shared" si="1121"/>
        <v>0.85</v>
      </c>
      <c r="CT922" s="1125">
        <f t="shared" si="1122"/>
        <v>0.85</v>
      </c>
      <c r="CU922" s="1125">
        <v>1</v>
      </c>
      <c r="CV922" s="1125"/>
      <c r="CW922" s="1125">
        <f t="shared" si="1123"/>
        <v>153</v>
      </c>
      <c r="CX922" s="1125">
        <f t="shared" si="1124"/>
        <v>212</v>
      </c>
      <c r="CY922" s="1136" t="s">
        <v>4891</v>
      </c>
      <c r="CZ922" s="1129" t="s">
        <v>4892</v>
      </c>
      <c r="DA922" s="1129"/>
      <c r="DB922" s="1129"/>
      <c r="DC922" s="1125" t="s">
        <v>5082</v>
      </c>
      <c r="DD922" s="1125" t="s">
        <v>536</v>
      </c>
      <c r="DE922" s="1120" t="str">
        <f t="shared" si="1125"/>
        <v/>
      </c>
      <c r="DF922" s="1133">
        <v>0</v>
      </c>
      <c r="DG922" s="1120">
        <v>0</v>
      </c>
    </row>
    <row r="923" spans="1:111">
      <c r="A923" s="1125" t="s">
        <v>4522</v>
      </c>
      <c r="B923" s="1120" t="s">
        <v>3020</v>
      </c>
      <c r="C923" s="1120" t="s">
        <v>3021</v>
      </c>
      <c r="D923" s="1120" t="s">
        <v>247</v>
      </c>
      <c r="E923" s="1120">
        <v>394</v>
      </c>
      <c r="F923" s="1120">
        <v>-86.02</v>
      </c>
      <c r="G923" s="1120">
        <v>31.87</v>
      </c>
      <c r="H923" s="1120">
        <v>-6</v>
      </c>
      <c r="I923" s="1121">
        <v>22.820000171661377</v>
      </c>
      <c r="J923" s="1121">
        <v>93.379997253417969</v>
      </c>
      <c r="K923" s="1122">
        <v>75.380000686645502</v>
      </c>
      <c r="L923" s="1120">
        <v>2109.6</v>
      </c>
      <c r="M923" s="1120">
        <v>2169</v>
      </c>
      <c r="N923" s="1123">
        <v>47.840000343322757</v>
      </c>
      <c r="O923" s="1123">
        <v>52.159999656677243</v>
      </c>
      <c r="P923" s="1123">
        <v>60.440000343322751</v>
      </c>
      <c r="Q923" s="1123">
        <v>61.880000686645509</v>
      </c>
      <c r="R923" s="1123">
        <v>73.400000000000006</v>
      </c>
      <c r="S923" s="1123">
        <v>76.280000686645508</v>
      </c>
      <c r="T923" s="1123">
        <v>78.980000686645511</v>
      </c>
      <c r="U923" s="1123">
        <v>78.260001373291018</v>
      </c>
      <c r="V923" s="1123">
        <v>77</v>
      </c>
      <c r="W923" s="1123">
        <v>68.539998626708979</v>
      </c>
      <c r="X923" s="1123">
        <v>54.140000343322754</v>
      </c>
      <c r="Y923" s="1123">
        <v>45.140000343322754</v>
      </c>
      <c r="Z923" s="1123">
        <v>64.575561904384671</v>
      </c>
      <c r="AA923" s="1123">
        <f t="shared" si="1051"/>
        <v>60.640331036370434</v>
      </c>
      <c r="AB923" s="1123">
        <f t="shared" si="1052"/>
        <v>60.692160741670932</v>
      </c>
      <c r="AC923" s="1123">
        <f t="shared" si="1053"/>
        <v>63.320251267854999</v>
      </c>
      <c r="AD923" s="1123">
        <f t="shared" si="1054"/>
        <v>67.839550319171835</v>
      </c>
      <c r="AE923" s="1123">
        <f t="shared" si="1055"/>
        <v>73.072032953389183</v>
      </c>
      <c r="AF923" s="1123">
        <f t="shared" si="1056"/>
        <v>77.653771936900114</v>
      </c>
      <c r="AG923" s="1123">
        <f t="shared" si="1057"/>
        <v>80.390466396917517</v>
      </c>
      <c r="AH923" s="1123">
        <f t="shared" si="1058"/>
        <v>80.568754748699632</v>
      </c>
      <c r="AI923" s="1123">
        <f t="shared" si="1059"/>
        <v>78.142163385847795</v>
      </c>
      <c r="AJ923" s="1123">
        <f t="shared" si="1060"/>
        <v>73.743220741994165</v>
      </c>
      <c r="AK923" s="1123">
        <f t="shared" si="1061"/>
        <v>68.518579007017294</v>
      </c>
      <c r="AL923" s="1123">
        <f t="shared" si="1062"/>
        <v>63.830121563305219</v>
      </c>
      <c r="AM923" s="1120">
        <f t="shared" si="1063"/>
        <v>1</v>
      </c>
      <c r="AN923" s="1120">
        <f t="shared" si="1064"/>
        <v>1</v>
      </c>
      <c r="AO923" s="1120">
        <f t="shared" si="1065"/>
        <v>1</v>
      </c>
      <c r="AP923" s="1120">
        <f t="shared" si="1066"/>
        <v>1</v>
      </c>
      <c r="AQ923" s="1120">
        <f t="shared" si="1067"/>
        <v>0</v>
      </c>
      <c r="AR923" s="1120">
        <f t="shared" si="1068"/>
        <v>0</v>
      </c>
      <c r="AS923" s="1120">
        <f t="shared" si="1069"/>
        <v>0</v>
      </c>
      <c r="AT923" s="1120">
        <f t="shared" si="1070"/>
        <v>0</v>
      </c>
      <c r="AU923" s="1120">
        <f t="shared" si="1071"/>
        <v>0</v>
      </c>
      <c r="AV923" s="1120">
        <f t="shared" si="1072"/>
        <v>0</v>
      </c>
      <c r="AW923" s="1120">
        <f t="shared" si="1073"/>
        <v>1</v>
      </c>
      <c r="AX923" s="1120">
        <f t="shared" si="1074"/>
        <v>1</v>
      </c>
      <c r="AY923" s="1120">
        <f t="shared" si="1075"/>
        <v>0</v>
      </c>
      <c r="AZ923" s="1120">
        <f t="shared" si="1076"/>
        <v>0</v>
      </c>
      <c r="BA923" s="1120">
        <f t="shared" si="1077"/>
        <v>0</v>
      </c>
      <c r="BB923" s="1120">
        <f t="shared" si="1078"/>
        <v>0</v>
      </c>
      <c r="BC923" s="1120">
        <f t="shared" si="1079"/>
        <v>1</v>
      </c>
      <c r="BD923" s="1120">
        <f t="shared" si="1080"/>
        <v>1</v>
      </c>
      <c r="BE923" s="1120">
        <f t="shared" si="1081"/>
        <v>1</v>
      </c>
      <c r="BF923" s="1120">
        <f t="shared" si="1082"/>
        <v>1</v>
      </c>
      <c r="BG923" s="1120">
        <f t="shared" si="1083"/>
        <v>1</v>
      </c>
      <c r="BH923" s="1120">
        <f t="shared" si="1084"/>
        <v>1</v>
      </c>
      <c r="BI923" s="1120">
        <f t="shared" si="1085"/>
        <v>0</v>
      </c>
      <c r="BJ923" s="1120">
        <f t="shared" si="1086"/>
        <v>0</v>
      </c>
      <c r="BK923" s="1120">
        <f t="shared" si="1087"/>
        <v>1</v>
      </c>
      <c r="BL923" s="1120">
        <f t="shared" si="1088"/>
        <v>1</v>
      </c>
      <c r="BM923" s="1120">
        <f t="shared" si="1089"/>
        <v>1</v>
      </c>
      <c r="BN923" s="1120">
        <f t="shared" si="1090"/>
        <v>1</v>
      </c>
      <c r="BO923" s="1120">
        <f t="shared" si="1091"/>
        <v>1</v>
      </c>
      <c r="BP923" s="1120">
        <f t="shared" si="1092"/>
        <v>0</v>
      </c>
      <c r="BQ923" s="1120">
        <f t="shared" si="1093"/>
        <v>0</v>
      </c>
      <c r="BR923" s="1120">
        <f t="shared" si="1094"/>
        <v>0</v>
      </c>
      <c r="BS923" s="1120">
        <f t="shared" si="1095"/>
        <v>0</v>
      </c>
      <c r="BT923" s="1120">
        <f t="shared" si="1096"/>
        <v>0</v>
      </c>
      <c r="BU923" s="1120">
        <f t="shared" si="1097"/>
        <v>1</v>
      </c>
      <c r="BV923" s="1120">
        <f t="shared" si="1098"/>
        <v>1</v>
      </c>
      <c r="BW923" s="1120">
        <f t="shared" si="1099"/>
        <v>0</v>
      </c>
      <c r="BX923" s="1120">
        <f t="shared" si="1100"/>
        <v>0</v>
      </c>
      <c r="BY923" s="1120">
        <f t="shared" si="1101"/>
        <v>0</v>
      </c>
      <c r="BZ923" s="1120">
        <f t="shared" si="1102"/>
        <v>1</v>
      </c>
      <c r="CA923" s="1120">
        <f t="shared" si="1103"/>
        <v>1</v>
      </c>
      <c r="CB923" s="1120">
        <f t="shared" si="1104"/>
        <v>1</v>
      </c>
      <c r="CC923" s="1120">
        <f t="shared" si="1105"/>
        <v>1</v>
      </c>
      <c r="CD923" s="1120">
        <f t="shared" si="1106"/>
        <v>1</v>
      </c>
      <c r="CE923" s="1120">
        <f t="shared" si="1107"/>
        <v>1</v>
      </c>
      <c r="CF923" s="1120">
        <f t="shared" si="1108"/>
        <v>1</v>
      </c>
      <c r="CG923" s="1120">
        <f t="shared" si="1109"/>
        <v>1</v>
      </c>
      <c r="CH923" s="1120">
        <f t="shared" si="1110"/>
        <v>0</v>
      </c>
      <c r="CI923" s="1120">
        <f t="shared" si="1111"/>
        <v>0.85</v>
      </c>
      <c r="CJ923" s="1120">
        <f t="shared" si="1112"/>
        <v>0.85</v>
      </c>
      <c r="CK923" s="1120">
        <f t="shared" si="1113"/>
        <v>0.85</v>
      </c>
      <c r="CL923" s="1120">
        <f t="shared" si="1114"/>
        <v>0.85</v>
      </c>
      <c r="CM923" s="1120">
        <f t="shared" si="1115"/>
        <v>0.85</v>
      </c>
      <c r="CN923" s="1120">
        <f t="shared" si="1116"/>
        <v>0.7</v>
      </c>
      <c r="CO923" s="1120">
        <f t="shared" si="1117"/>
        <v>0.7</v>
      </c>
      <c r="CP923" s="1120">
        <f t="shared" si="1118"/>
        <v>0.7</v>
      </c>
      <c r="CQ923" s="1120">
        <f t="shared" si="1119"/>
        <v>0.7</v>
      </c>
      <c r="CR923" s="1120">
        <f t="shared" si="1120"/>
        <v>0.7</v>
      </c>
      <c r="CS923" s="1120">
        <f t="shared" si="1121"/>
        <v>0.85</v>
      </c>
      <c r="CT923" s="1120">
        <f t="shared" si="1122"/>
        <v>0.85</v>
      </c>
      <c r="CU923" s="1120">
        <v>1</v>
      </c>
      <c r="CV923" s="1120"/>
      <c r="CW923" s="1120">
        <f t="shared" si="1123"/>
        <v>244</v>
      </c>
      <c r="CX923" s="1120">
        <f t="shared" si="1124"/>
        <v>121</v>
      </c>
      <c r="CY923" s="1135" t="s">
        <v>4883</v>
      </c>
      <c r="CZ923" s="1124" t="s">
        <v>4882</v>
      </c>
      <c r="DA923" s="1124"/>
      <c r="DB923" s="1124"/>
      <c r="DC923" s="1120" t="s">
        <v>4982</v>
      </c>
      <c r="DD923" s="1120" t="s">
        <v>247</v>
      </c>
      <c r="DE923" s="1120" t="str">
        <f t="shared" si="1125"/>
        <v/>
      </c>
      <c r="DF923" s="1120">
        <v>0</v>
      </c>
      <c r="DG923" s="1125">
        <v>0</v>
      </c>
    </row>
    <row r="924" spans="1:111">
      <c r="A924" s="1120" t="s">
        <v>4524</v>
      </c>
      <c r="B924" s="1125" t="s">
        <v>3202</v>
      </c>
      <c r="C924" s="1125" t="s">
        <v>3203</v>
      </c>
      <c r="D924" s="1125" t="s">
        <v>954</v>
      </c>
      <c r="E924" s="1125">
        <v>5897</v>
      </c>
      <c r="F924" s="1125">
        <v>-120.13</v>
      </c>
      <c r="G924" s="1125">
        <v>39.32</v>
      </c>
      <c r="H924" s="1125">
        <v>-8</v>
      </c>
      <c r="I924" s="1126">
        <v>6.9800006866455071</v>
      </c>
      <c r="J924" s="1126">
        <v>85.819999313354487</v>
      </c>
      <c r="K924" s="1127">
        <v>57.2</v>
      </c>
      <c r="L924" s="1125">
        <v>7765.2</v>
      </c>
      <c r="M924" s="1125">
        <v>95.4</v>
      </c>
      <c r="N924" s="1128">
        <v>29.119999957084655</v>
      </c>
      <c r="O924" s="1128">
        <v>32</v>
      </c>
      <c r="P924" s="1128">
        <v>32.720000010728839</v>
      </c>
      <c r="Q924" s="1128">
        <v>37.039999914169314</v>
      </c>
      <c r="R924" s="1128">
        <v>48.559999656677249</v>
      </c>
      <c r="S924" s="1128">
        <v>52.880000686645509</v>
      </c>
      <c r="T924" s="1128">
        <v>65.3</v>
      </c>
      <c r="U924" s="1128">
        <v>60.259999656677245</v>
      </c>
      <c r="V924" s="1128">
        <v>56.119999313354491</v>
      </c>
      <c r="W924" s="1128">
        <v>42.440000343322751</v>
      </c>
      <c r="X924" s="1128">
        <v>34.880000042915341</v>
      </c>
      <c r="Y924" s="1128">
        <v>28.4</v>
      </c>
      <c r="Z924" s="1128">
        <v>43.381917772799319</v>
      </c>
      <c r="AA924" s="1128">
        <f t="shared" si="1051"/>
        <v>43.438688615336503</v>
      </c>
      <c r="AB924" s="1128">
        <f t="shared" si="1052"/>
        <v>42.149885960122418</v>
      </c>
      <c r="AC924" s="1128">
        <f t="shared" si="1053"/>
        <v>42.746223845866339</v>
      </c>
      <c r="AD924" s="1128">
        <f t="shared" si="1054"/>
        <v>45.072257612804108</v>
      </c>
      <c r="AE924" s="1128">
        <f t="shared" si="1055"/>
        <v>48.521670714318027</v>
      </c>
      <c r="AF924" s="1128">
        <f t="shared" si="1056"/>
        <v>52.19532046843355</v>
      </c>
      <c r="AG924" s="1128">
        <f t="shared" si="1057"/>
        <v>55.135613454084094</v>
      </c>
      <c r="AH924" s="1128">
        <f t="shared" si="1058"/>
        <v>56.576116993273388</v>
      </c>
      <c r="AI924" s="1128">
        <f t="shared" si="1059"/>
        <v>56.141341639680242</v>
      </c>
      <c r="AJ924" s="1128">
        <f t="shared" si="1060"/>
        <v>53.944618289309716</v>
      </c>
      <c r="AK924" s="1128">
        <f t="shared" si="1061"/>
        <v>50.558556735967429</v>
      </c>
      <c r="AL924" s="1128">
        <f t="shared" si="1062"/>
        <v>46.865786104320094</v>
      </c>
      <c r="AM924" s="1125">
        <f t="shared" si="1063"/>
        <v>1</v>
      </c>
      <c r="AN924" s="1125">
        <f t="shared" si="1064"/>
        <v>1</v>
      </c>
      <c r="AO924" s="1125">
        <f t="shared" si="1065"/>
        <v>1</v>
      </c>
      <c r="AP924" s="1125">
        <f t="shared" si="1066"/>
        <v>1</v>
      </c>
      <c r="AQ924" s="1125">
        <f t="shared" si="1067"/>
        <v>1</v>
      </c>
      <c r="AR924" s="1125">
        <f t="shared" si="1068"/>
        <v>1</v>
      </c>
      <c r="AS924" s="1125">
        <f t="shared" si="1069"/>
        <v>1</v>
      </c>
      <c r="AT924" s="1125">
        <f t="shared" si="1070"/>
        <v>1</v>
      </c>
      <c r="AU924" s="1125">
        <f t="shared" si="1071"/>
        <v>1</v>
      </c>
      <c r="AV924" s="1125">
        <f t="shared" si="1072"/>
        <v>1</v>
      </c>
      <c r="AW924" s="1125">
        <f t="shared" si="1073"/>
        <v>1</v>
      </c>
      <c r="AX924" s="1125">
        <f t="shared" si="1074"/>
        <v>1</v>
      </c>
      <c r="AY924" s="1125">
        <f t="shared" si="1075"/>
        <v>0</v>
      </c>
      <c r="AZ924" s="1125">
        <f t="shared" si="1076"/>
        <v>0</v>
      </c>
      <c r="BA924" s="1125">
        <f t="shared" si="1077"/>
        <v>0</v>
      </c>
      <c r="BB924" s="1125">
        <f t="shared" si="1078"/>
        <v>0</v>
      </c>
      <c r="BC924" s="1125">
        <f t="shared" si="1079"/>
        <v>0</v>
      </c>
      <c r="BD924" s="1125">
        <f t="shared" si="1080"/>
        <v>0</v>
      </c>
      <c r="BE924" s="1125">
        <f t="shared" si="1081"/>
        <v>1</v>
      </c>
      <c r="BF924" s="1125">
        <f t="shared" si="1082"/>
        <v>1</v>
      </c>
      <c r="BG924" s="1125">
        <f t="shared" si="1083"/>
        <v>0</v>
      </c>
      <c r="BH924" s="1125">
        <f t="shared" si="1084"/>
        <v>0</v>
      </c>
      <c r="BI924" s="1125">
        <f t="shared" si="1085"/>
        <v>0</v>
      </c>
      <c r="BJ924" s="1125">
        <f t="shared" si="1086"/>
        <v>0</v>
      </c>
      <c r="BK924" s="1125">
        <f t="shared" si="1087"/>
        <v>1</v>
      </c>
      <c r="BL924" s="1125">
        <f t="shared" si="1088"/>
        <v>1</v>
      </c>
      <c r="BM924" s="1125">
        <f t="shared" si="1089"/>
        <v>1</v>
      </c>
      <c r="BN924" s="1125">
        <f t="shared" si="1090"/>
        <v>1</v>
      </c>
      <c r="BO924" s="1125">
        <f t="shared" si="1091"/>
        <v>1</v>
      </c>
      <c r="BP924" s="1125">
        <f t="shared" si="1092"/>
        <v>1</v>
      </c>
      <c r="BQ924" s="1125">
        <f t="shared" si="1093"/>
        <v>1</v>
      </c>
      <c r="BR924" s="1125">
        <f t="shared" si="1094"/>
        <v>1</v>
      </c>
      <c r="BS924" s="1125">
        <f t="shared" si="1095"/>
        <v>1</v>
      </c>
      <c r="BT924" s="1125">
        <f t="shared" si="1096"/>
        <v>1</v>
      </c>
      <c r="BU924" s="1125">
        <f t="shared" si="1097"/>
        <v>1</v>
      </c>
      <c r="BV924" s="1125">
        <f t="shared" si="1098"/>
        <v>1</v>
      </c>
      <c r="BW924" s="1125">
        <f t="shared" si="1099"/>
        <v>0</v>
      </c>
      <c r="BX924" s="1125">
        <f t="shared" si="1100"/>
        <v>0</v>
      </c>
      <c r="BY924" s="1125">
        <f t="shared" si="1101"/>
        <v>0</v>
      </c>
      <c r="BZ924" s="1125">
        <f t="shared" si="1102"/>
        <v>0</v>
      </c>
      <c r="CA924" s="1125">
        <f t="shared" si="1103"/>
        <v>0</v>
      </c>
      <c r="CB924" s="1125">
        <f t="shared" si="1104"/>
        <v>0</v>
      </c>
      <c r="CC924" s="1125">
        <f t="shared" si="1105"/>
        <v>1</v>
      </c>
      <c r="CD924" s="1125">
        <f t="shared" si="1106"/>
        <v>1</v>
      </c>
      <c r="CE924" s="1125">
        <f t="shared" si="1107"/>
        <v>0</v>
      </c>
      <c r="CF924" s="1125">
        <f t="shared" si="1108"/>
        <v>0</v>
      </c>
      <c r="CG924" s="1125">
        <f t="shared" si="1109"/>
        <v>0</v>
      </c>
      <c r="CH924" s="1125">
        <f t="shared" si="1110"/>
        <v>0</v>
      </c>
      <c r="CI924" s="1125">
        <f t="shared" si="1111"/>
        <v>0.85</v>
      </c>
      <c r="CJ924" s="1125">
        <f t="shared" si="1112"/>
        <v>0.85</v>
      </c>
      <c r="CK924" s="1125">
        <f t="shared" si="1113"/>
        <v>0.85</v>
      </c>
      <c r="CL924" s="1125">
        <f t="shared" si="1114"/>
        <v>0.85</v>
      </c>
      <c r="CM924" s="1125">
        <f t="shared" si="1115"/>
        <v>0.85</v>
      </c>
      <c r="CN924" s="1125">
        <f t="shared" si="1116"/>
        <v>0.85</v>
      </c>
      <c r="CO924" s="1125">
        <f t="shared" si="1117"/>
        <v>0.85</v>
      </c>
      <c r="CP924" s="1125">
        <f t="shared" si="1118"/>
        <v>0.85</v>
      </c>
      <c r="CQ924" s="1125">
        <f t="shared" si="1119"/>
        <v>0.85</v>
      </c>
      <c r="CR924" s="1125">
        <f t="shared" si="1120"/>
        <v>0.85</v>
      </c>
      <c r="CS924" s="1125">
        <f t="shared" si="1121"/>
        <v>0.85</v>
      </c>
      <c r="CT924" s="1125">
        <f t="shared" si="1122"/>
        <v>0.85</v>
      </c>
      <c r="CU924" s="1125">
        <v>1</v>
      </c>
      <c r="CV924" s="1125"/>
      <c r="CW924" s="1125">
        <f t="shared" si="1123"/>
        <v>62</v>
      </c>
      <c r="CX924" s="1125">
        <f t="shared" si="1124"/>
        <v>303</v>
      </c>
      <c r="CY924" s="1136" t="s">
        <v>4889</v>
      </c>
      <c r="CZ924" s="1129" t="s">
        <v>4890</v>
      </c>
      <c r="DA924" s="1129"/>
      <c r="DB924" s="1129"/>
      <c r="DC924" s="1125" t="s">
        <v>6027</v>
      </c>
      <c r="DD924" s="1125" t="s">
        <v>954</v>
      </c>
      <c r="DE924" s="1120" t="str">
        <f t="shared" si="1125"/>
        <v/>
      </c>
      <c r="DF924" s="1125">
        <v>0</v>
      </c>
      <c r="DG924" s="1120">
        <v>0</v>
      </c>
    </row>
    <row r="925" spans="1:111">
      <c r="A925" s="1125" t="s">
        <v>4528</v>
      </c>
      <c r="B925" s="1125" t="s">
        <v>4092</v>
      </c>
      <c r="C925" s="1125" t="s">
        <v>4093</v>
      </c>
      <c r="D925" s="1125" t="s">
        <v>538</v>
      </c>
      <c r="E925" s="1125">
        <v>4848</v>
      </c>
      <c r="F925" s="1125">
        <v>-107.27</v>
      </c>
      <c r="G925" s="1125">
        <v>33.229999999999997</v>
      </c>
      <c r="H925" s="1125">
        <v>-7</v>
      </c>
      <c r="I925" s="1126">
        <v>25.339999914169312</v>
      </c>
      <c r="J925" s="1126">
        <v>95.539998626708993</v>
      </c>
      <c r="K925" s="1127">
        <v>61.160001373291017</v>
      </c>
      <c r="L925" s="1125">
        <v>3058.2000000000003</v>
      </c>
      <c r="M925" s="1125">
        <v>1877.4</v>
      </c>
      <c r="N925" s="1128">
        <v>45.320000171661377</v>
      </c>
      <c r="O925" s="1128">
        <v>45.5</v>
      </c>
      <c r="P925" s="1128">
        <v>50.719999313354492</v>
      </c>
      <c r="Q925" s="1128">
        <v>63.86000137329102</v>
      </c>
      <c r="R925" s="1128">
        <v>71.419999313354495</v>
      </c>
      <c r="S925" s="1128">
        <v>78.980000686645511</v>
      </c>
      <c r="T925" s="1128">
        <v>79.33999862670899</v>
      </c>
      <c r="U925" s="1128">
        <v>78.080000686645505</v>
      </c>
      <c r="V925" s="1128">
        <v>72.139998626708987</v>
      </c>
      <c r="W925" s="1128">
        <v>59.180000686645506</v>
      </c>
      <c r="X925" s="1128">
        <v>48.2</v>
      </c>
      <c r="Y925" s="1128">
        <v>40.1</v>
      </c>
      <c r="Z925" s="1128">
        <v>61.146191735202322</v>
      </c>
      <c r="AA925" s="1128">
        <f t="shared" si="1051"/>
        <v>56.459167522015818</v>
      </c>
      <c r="AB925" s="1128">
        <f t="shared" si="1052"/>
        <v>56.178150604482596</v>
      </c>
      <c r="AC925" s="1128">
        <f t="shared" si="1053"/>
        <v>58.756122630301569</v>
      </c>
      <c r="AD925" s="1128">
        <f t="shared" si="1054"/>
        <v>63.52109546319155</v>
      </c>
      <c r="AE925" s="1128">
        <f t="shared" si="1055"/>
        <v>69.23100550380569</v>
      </c>
      <c r="AF925" s="1128">
        <f t="shared" si="1056"/>
        <v>74.397476707680696</v>
      </c>
      <c r="AG925" s="1128">
        <f t="shared" si="1057"/>
        <v>77.673788737795263</v>
      </c>
      <c r="AH925" s="1128">
        <f t="shared" si="1058"/>
        <v>78.205920374003355</v>
      </c>
      <c r="AI925" s="1128">
        <f t="shared" si="1059"/>
        <v>75.855163304930585</v>
      </c>
      <c r="AJ925" s="1128">
        <f t="shared" si="1060"/>
        <v>71.234278586893794</v>
      </c>
      <c r="AK925" s="1128">
        <f t="shared" si="1061"/>
        <v>65.547771031638248</v>
      </c>
      <c r="AL925" s="1128">
        <f t="shared" si="1062"/>
        <v>60.277916465175338</v>
      </c>
      <c r="AM925" s="1125">
        <f t="shared" si="1063"/>
        <v>1</v>
      </c>
      <c r="AN925" s="1125">
        <f t="shared" si="1064"/>
        <v>1</v>
      </c>
      <c r="AO925" s="1125">
        <f t="shared" si="1065"/>
        <v>1</v>
      </c>
      <c r="AP925" s="1125">
        <f t="shared" si="1066"/>
        <v>1</v>
      </c>
      <c r="AQ925" s="1125">
        <f t="shared" si="1067"/>
        <v>0</v>
      </c>
      <c r="AR925" s="1125">
        <f t="shared" si="1068"/>
        <v>0</v>
      </c>
      <c r="AS925" s="1125">
        <f t="shared" si="1069"/>
        <v>0</v>
      </c>
      <c r="AT925" s="1125">
        <f t="shared" si="1070"/>
        <v>0</v>
      </c>
      <c r="AU925" s="1125">
        <f t="shared" si="1071"/>
        <v>0</v>
      </c>
      <c r="AV925" s="1125">
        <f t="shared" si="1072"/>
        <v>1</v>
      </c>
      <c r="AW925" s="1125">
        <f t="shared" si="1073"/>
        <v>1</v>
      </c>
      <c r="AX925" s="1125">
        <f t="shared" si="1074"/>
        <v>1</v>
      </c>
      <c r="AY925" s="1125">
        <f t="shared" si="1075"/>
        <v>0</v>
      </c>
      <c r="AZ925" s="1125">
        <f t="shared" si="1076"/>
        <v>0</v>
      </c>
      <c r="BA925" s="1125">
        <f t="shared" si="1077"/>
        <v>0</v>
      </c>
      <c r="BB925" s="1125">
        <f t="shared" si="1078"/>
        <v>0</v>
      </c>
      <c r="BC925" s="1125">
        <f t="shared" si="1079"/>
        <v>1</v>
      </c>
      <c r="BD925" s="1125">
        <f t="shared" si="1080"/>
        <v>1</v>
      </c>
      <c r="BE925" s="1125">
        <f t="shared" si="1081"/>
        <v>1</v>
      </c>
      <c r="BF925" s="1125">
        <f t="shared" si="1082"/>
        <v>1</v>
      </c>
      <c r="BG925" s="1125">
        <f t="shared" si="1083"/>
        <v>1</v>
      </c>
      <c r="BH925" s="1125">
        <f t="shared" si="1084"/>
        <v>0</v>
      </c>
      <c r="BI925" s="1125">
        <f t="shared" si="1085"/>
        <v>0</v>
      </c>
      <c r="BJ925" s="1125">
        <f t="shared" si="1086"/>
        <v>0</v>
      </c>
      <c r="BK925" s="1125">
        <f t="shared" si="1087"/>
        <v>1</v>
      </c>
      <c r="BL925" s="1125">
        <f t="shared" si="1088"/>
        <v>1</v>
      </c>
      <c r="BM925" s="1125">
        <f t="shared" si="1089"/>
        <v>1</v>
      </c>
      <c r="BN925" s="1125">
        <f t="shared" si="1090"/>
        <v>1</v>
      </c>
      <c r="BO925" s="1125">
        <f t="shared" si="1091"/>
        <v>1</v>
      </c>
      <c r="BP925" s="1125">
        <f t="shared" si="1092"/>
        <v>0</v>
      </c>
      <c r="BQ925" s="1125">
        <f t="shared" si="1093"/>
        <v>0</v>
      </c>
      <c r="BR925" s="1125">
        <f t="shared" si="1094"/>
        <v>0</v>
      </c>
      <c r="BS925" s="1125">
        <f t="shared" si="1095"/>
        <v>0</v>
      </c>
      <c r="BT925" s="1125">
        <f t="shared" si="1096"/>
        <v>1</v>
      </c>
      <c r="BU925" s="1125">
        <f t="shared" si="1097"/>
        <v>1</v>
      </c>
      <c r="BV925" s="1125">
        <f t="shared" si="1098"/>
        <v>1</v>
      </c>
      <c r="BW925" s="1125">
        <f t="shared" si="1099"/>
        <v>0</v>
      </c>
      <c r="BX925" s="1125">
        <f t="shared" si="1100"/>
        <v>0</v>
      </c>
      <c r="BY925" s="1125">
        <f t="shared" si="1101"/>
        <v>0</v>
      </c>
      <c r="BZ925" s="1125">
        <f t="shared" si="1102"/>
        <v>1</v>
      </c>
      <c r="CA925" s="1125">
        <f t="shared" si="1103"/>
        <v>1</v>
      </c>
      <c r="CB925" s="1125">
        <f t="shared" si="1104"/>
        <v>1</v>
      </c>
      <c r="CC925" s="1125">
        <f t="shared" si="1105"/>
        <v>1</v>
      </c>
      <c r="CD925" s="1125">
        <f t="shared" si="1106"/>
        <v>1</v>
      </c>
      <c r="CE925" s="1125">
        <f t="shared" si="1107"/>
        <v>1</v>
      </c>
      <c r="CF925" s="1125">
        <f t="shared" si="1108"/>
        <v>1</v>
      </c>
      <c r="CG925" s="1125">
        <f t="shared" si="1109"/>
        <v>0</v>
      </c>
      <c r="CH925" s="1125">
        <f t="shared" si="1110"/>
        <v>0</v>
      </c>
      <c r="CI925" s="1125">
        <f t="shared" si="1111"/>
        <v>0.85</v>
      </c>
      <c r="CJ925" s="1125">
        <f t="shared" si="1112"/>
        <v>0.85</v>
      </c>
      <c r="CK925" s="1125">
        <f t="shared" si="1113"/>
        <v>0.85</v>
      </c>
      <c r="CL925" s="1125">
        <f t="shared" si="1114"/>
        <v>0.85</v>
      </c>
      <c r="CM925" s="1125">
        <f t="shared" si="1115"/>
        <v>0.85</v>
      </c>
      <c r="CN925" s="1125">
        <f t="shared" si="1116"/>
        <v>0.7</v>
      </c>
      <c r="CO925" s="1125">
        <f t="shared" si="1117"/>
        <v>0.7</v>
      </c>
      <c r="CP925" s="1125">
        <f t="shared" si="1118"/>
        <v>0.7</v>
      </c>
      <c r="CQ925" s="1125">
        <f t="shared" si="1119"/>
        <v>0.7</v>
      </c>
      <c r="CR925" s="1125">
        <f t="shared" si="1120"/>
        <v>0.85</v>
      </c>
      <c r="CS925" s="1125">
        <f t="shared" si="1121"/>
        <v>0.85</v>
      </c>
      <c r="CT925" s="1125">
        <f t="shared" si="1122"/>
        <v>0.85</v>
      </c>
      <c r="CU925" s="1125">
        <v>1</v>
      </c>
      <c r="CV925" s="1125"/>
      <c r="CW925" s="1125">
        <f t="shared" si="1123"/>
        <v>214</v>
      </c>
      <c r="CX925" s="1125">
        <f t="shared" si="1124"/>
        <v>151</v>
      </c>
      <c r="CY925" s="1136" t="s">
        <v>4891</v>
      </c>
      <c r="CZ925" s="1129" t="s">
        <v>4892</v>
      </c>
      <c r="DA925" s="1129"/>
      <c r="DB925" s="1129"/>
      <c r="DC925" s="1125" t="s">
        <v>5458</v>
      </c>
      <c r="DD925" s="1125" t="s">
        <v>538</v>
      </c>
      <c r="DE925" s="1120" t="str">
        <f t="shared" si="1125"/>
        <v/>
      </c>
      <c r="DF925" s="1133">
        <v>0</v>
      </c>
      <c r="DG925" s="1125">
        <v>0</v>
      </c>
    </row>
    <row r="926" spans="1:111">
      <c r="A926" s="1120" t="s">
        <v>4530</v>
      </c>
      <c r="B926" s="1120" t="s">
        <v>3074</v>
      </c>
      <c r="C926" s="1120" t="s">
        <v>3075</v>
      </c>
      <c r="D926" s="1120" t="s">
        <v>1250</v>
      </c>
      <c r="E926" s="1120">
        <v>2549</v>
      </c>
      <c r="F926" s="1120">
        <v>-110.95</v>
      </c>
      <c r="G926" s="1120">
        <v>32.130000000000003</v>
      </c>
      <c r="H926" s="1120">
        <v>-7</v>
      </c>
      <c r="I926" s="1121">
        <v>34.339999914169312</v>
      </c>
      <c r="J926" s="1121">
        <v>103.63999862670899</v>
      </c>
      <c r="K926" s="1122">
        <v>66.019999313354489</v>
      </c>
      <c r="L926" s="1120">
        <v>1593</v>
      </c>
      <c r="M926" s="1120">
        <v>3178.8</v>
      </c>
      <c r="N926" s="1123">
        <v>51.080000686645505</v>
      </c>
      <c r="O926" s="1123">
        <v>55.940000343322751</v>
      </c>
      <c r="P926" s="1123">
        <v>57.559999656677249</v>
      </c>
      <c r="Q926" s="1123">
        <v>65.83999862670899</v>
      </c>
      <c r="R926" s="1123">
        <v>76.460001373291021</v>
      </c>
      <c r="S926" s="1123">
        <v>86.539998626708979</v>
      </c>
      <c r="T926" s="1123">
        <v>87.260001373291018</v>
      </c>
      <c r="U926" s="1123">
        <v>84.2</v>
      </c>
      <c r="V926" s="1123">
        <v>80.060001373291016</v>
      </c>
      <c r="W926" s="1123">
        <v>69.8</v>
      </c>
      <c r="X926" s="1123">
        <v>57.559999656677249</v>
      </c>
      <c r="Y926" s="1123">
        <v>52.159999656677243</v>
      </c>
      <c r="Z926" s="1123">
        <v>68.768328885640187</v>
      </c>
      <c r="AA926" s="1123">
        <f t="shared" si="1051"/>
        <v>63.23289310705222</v>
      </c>
      <c r="AB926" s="1123">
        <f t="shared" si="1052"/>
        <v>63.723208985712361</v>
      </c>
      <c r="AC926" s="1123">
        <f t="shared" si="1053"/>
        <v>67.092605576738578</v>
      </c>
      <c r="AD926" s="1123">
        <f t="shared" si="1054"/>
        <v>72.462797734706683</v>
      </c>
      <c r="AE926" s="1123">
        <f t="shared" si="1055"/>
        <v>78.43396211647611</v>
      </c>
      <c r="AF926" s="1123">
        <f t="shared" si="1056"/>
        <v>83.449622707510159</v>
      </c>
      <c r="AG926" s="1123">
        <f t="shared" si="1057"/>
        <v>86.202370281086431</v>
      </c>
      <c r="AH926" s="1123">
        <f t="shared" si="1058"/>
        <v>85.974658761028081</v>
      </c>
      <c r="AI926" s="1123">
        <f t="shared" si="1059"/>
        <v>82.825844664179087</v>
      </c>
      <c r="AJ926" s="1123">
        <f t="shared" si="1060"/>
        <v>77.576714909577163</v>
      </c>
      <c r="AK926" s="1123">
        <f t="shared" si="1061"/>
        <v>71.59553605929743</v>
      </c>
      <c r="AL926" s="1123">
        <f t="shared" si="1062"/>
        <v>66.441394553421404</v>
      </c>
      <c r="AM926" s="1120">
        <f t="shared" si="1063"/>
        <v>1</v>
      </c>
      <c r="AN926" s="1120">
        <f t="shared" si="1064"/>
        <v>1</v>
      </c>
      <c r="AO926" s="1120">
        <f t="shared" si="1065"/>
        <v>1</v>
      </c>
      <c r="AP926" s="1120">
        <f t="shared" si="1066"/>
        <v>1</v>
      </c>
      <c r="AQ926" s="1120">
        <f t="shared" si="1067"/>
        <v>0</v>
      </c>
      <c r="AR926" s="1120">
        <f t="shared" si="1068"/>
        <v>0</v>
      </c>
      <c r="AS926" s="1120">
        <f t="shared" si="1069"/>
        <v>0</v>
      </c>
      <c r="AT926" s="1120">
        <f t="shared" si="1070"/>
        <v>0</v>
      </c>
      <c r="AU926" s="1120">
        <f t="shared" si="1071"/>
        <v>0</v>
      </c>
      <c r="AV926" s="1120">
        <f t="shared" si="1072"/>
        <v>0</v>
      </c>
      <c r="AW926" s="1120">
        <f t="shared" si="1073"/>
        <v>1</v>
      </c>
      <c r="AX926" s="1120">
        <f t="shared" si="1074"/>
        <v>1</v>
      </c>
      <c r="AY926" s="1120">
        <f t="shared" si="1075"/>
        <v>0</v>
      </c>
      <c r="AZ926" s="1120">
        <f t="shared" si="1076"/>
        <v>0</v>
      </c>
      <c r="BA926" s="1120">
        <f t="shared" si="1077"/>
        <v>0</v>
      </c>
      <c r="BB926" s="1120">
        <f t="shared" si="1078"/>
        <v>0</v>
      </c>
      <c r="BC926" s="1120">
        <f t="shared" si="1079"/>
        <v>1</v>
      </c>
      <c r="BD926" s="1120">
        <f t="shared" si="1080"/>
        <v>1</v>
      </c>
      <c r="BE926" s="1120">
        <f t="shared" si="1081"/>
        <v>1</v>
      </c>
      <c r="BF926" s="1120">
        <f t="shared" si="1082"/>
        <v>1</v>
      </c>
      <c r="BG926" s="1120">
        <f t="shared" si="1083"/>
        <v>1</v>
      </c>
      <c r="BH926" s="1120">
        <f t="shared" si="1084"/>
        <v>1</v>
      </c>
      <c r="BI926" s="1120">
        <f t="shared" si="1085"/>
        <v>0</v>
      </c>
      <c r="BJ926" s="1120">
        <f t="shared" si="1086"/>
        <v>0</v>
      </c>
      <c r="BK926" s="1120">
        <f t="shared" si="1087"/>
        <v>1</v>
      </c>
      <c r="BL926" s="1120">
        <f t="shared" si="1088"/>
        <v>1</v>
      </c>
      <c r="BM926" s="1120">
        <f t="shared" si="1089"/>
        <v>1</v>
      </c>
      <c r="BN926" s="1120">
        <f t="shared" si="1090"/>
        <v>1</v>
      </c>
      <c r="BO926" s="1120">
        <f t="shared" si="1091"/>
        <v>1</v>
      </c>
      <c r="BP926" s="1120">
        <f t="shared" si="1092"/>
        <v>0</v>
      </c>
      <c r="BQ926" s="1120">
        <f t="shared" si="1093"/>
        <v>0</v>
      </c>
      <c r="BR926" s="1120">
        <f t="shared" si="1094"/>
        <v>0</v>
      </c>
      <c r="BS926" s="1120">
        <f t="shared" si="1095"/>
        <v>0</v>
      </c>
      <c r="BT926" s="1120">
        <f t="shared" si="1096"/>
        <v>0</v>
      </c>
      <c r="BU926" s="1120">
        <f t="shared" si="1097"/>
        <v>1</v>
      </c>
      <c r="BV926" s="1120">
        <f t="shared" si="1098"/>
        <v>1</v>
      </c>
      <c r="BW926" s="1120">
        <f t="shared" si="1099"/>
        <v>0</v>
      </c>
      <c r="BX926" s="1120">
        <f t="shared" si="1100"/>
        <v>0</v>
      </c>
      <c r="BY926" s="1120">
        <f t="shared" si="1101"/>
        <v>0</v>
      </c>
      <c r="BZ926" s="1120">
        <f t="shared" si="1102"/>
        <v>1</v>
      </c>
      <c r="CA926" s="1120">
        <f t="shared" si="1103"/>
        <v>1</v>
      </c>
      <c r="CB926" s="1120">
        <f t="shared" si="1104"/>
        <v>1</v>
      </c>
      <c r="CC926" s="1120">
        <f t="shared" si="1105"/>
        <v>1</v>
      </c>
      <c r="CD926" s="1120">
        <f t="shared" si="1106"/>
        <v>1</v>
      </c>
      <c r="CE926" s="1120">
        <f t="shared" si="1107"/>
        <v>1</v>
      </c>
      <c r="CF926" s="1120">
        <f t="shared" si="1108"/>
        <v>1</v>
      </c>
      <c r="CG926" s="1120">
        <f t="shared" si="1109"/>
        <v>1</v>
      </c>
      <c r="CH926" s="1120">
        <f t="shared" si="1110"/>
        <v>0</v>
      </c>
      <c r="CI926" s="1120">
        <f t="shared" si="1111"/>
        <v>0.85</v>
      </c>
      <c r="CJ926" s="1120">
        <f t="shared" si="1112"/>
        <v>0.85</v>
      </c>
      <c r="CK926" s="1120">
        <f t="shared" si="1113"/>
        <v>0.85</v>
      </c>
      <c r="CL926" s="1120">
        <f t="shared" si="1114"/>
        <v>0.85</v>
      </c>
      <c r="CM926" s="1120">
        <f t="shared" si="1115"/>
        <v>0.85</v>
      </c>
      <c r="CN926" s="1120">
        <f t="shared" si="1116"/>
        <v>0.7</v>
      </c>
      <c r="CO926" s="1120">
        <f t="shared" si="1117"/>
        <v>0.7</v>
      </c>
      <c r="CP926" s="1120">
        <f t="shared" si="1118"/>
        <v>0.7</v>
      </c>
      <c r="CQ926" s="1120">
        <f t="shared" si="1119"/>
        <v>0.7</v>
      </c>
      <c r="CR926" s="1120">
        <f t="shared" si="1120"/>
        <v>0.7</v>
      </c>
      <c r="CS926" s="1120">
        <f t="shared" si="1121"/>
        <v>0.85</v>
      </c>
      <c r="CT926" s="1120">
        <f t="shared" si="1122"/>
        <v>0.85</v>
      </c>
      <c r="CU926" s="1120">
        <v>1</v>
      </c>
      <c r="CV926" s="1120"/>
      <c r="CW926" s="1120">
        <f t="shared" si="1123"/>
        <v>244</v>
      </c>
      <c r="CX926" s="1120">
        <f t="shared" si="1124"/>
        <v>121</v>
      </c>
      <c r="CY926" s="1135" t="s">
        <v>4886</v>
      </c>
      <c r="CZ926" s="1124" t="s">
        <v>4887</v>
      </c>
      <c r="DA926" s="1124"/>
      <c r="DB926" s="1124"/>
      <c r="DC926" s="1120" t="s">
        <v>5006</v>
      </c>
      <c r="DD926" s="1120" t="s">
        <v>1250</v>
      </c>
      <c r="DE926" s="1120" t="str">
        <f t="shared" si="1125"/>
        <v/>
      </c>
      <c r="DF926" s="1120">
        <v>0</v>
      </c>
      <c r="DG926" s="1120">
        <v>0</v>
      </c>
    </row>
    <row r="927" spans="1:111">
      <c r="A927" s="1125" t="s">
        <v>4532</v>
      </c>
      <c r="B927" s="1120" t="s">
        <v>4094</v>
      </c>
      <c r="C927" s="1120" t="s">
        <v>4095</v>
      </c>
      <c r="D927" s="1120" t="s">
        <v>538</v>
      </c>
      <c r="E927" s="1120">
        <v>4051</v>
      </c>
      <c r="F927" s="1120">
        <v>-103.6</v>
      </c>
      <c r="G927" s="1120">
        <v>35.18</v>
      </c>
      <c r="H927" s="1120">
        <v>-7</v>
      </c>
      <c r="I927" s="1121">
        <v>6.7999999999999989</v>
      </c>
      <c r="J927" s="1121">
        <v>98.779997253417974</v>
      </c>
      <c r="K927" s="1122">
        <v>66.2</v>
      </c>
      <c r="L927" s="1120">
        <v>4167</v>
      </c>
      <c r="M927" s="1120">
        <v>1411.2</v>
      </c>
      <c r="N927" s="1123">
        <v>32.540000021457672</v>
      </c>
      <c r="O927" s="1123">
        <v>40.820000171661377</v>
      </c>
      <c r="P927" s="1123">
        <v>46.580000686645505</v>
      </c>
      <c r="Q927" s="1123">
        <v>54.319999313354494</v>
      </c>
      <c r="R927" s="1123">
        <v>65.3</v>
      </c>
      <c r="S927" s="1123">
        <v>75.560001373291016</v>
      </c>
      <c r="T927" s="1123">
        <v>78.980000686645511</v>
      </c>
      <c r="U927" s="1123">
        <v>75.560001373291016</v>
      </c>
      <c r="V927" s="1123">
        <v>69.080000686645505</v>
      </c>
      <c r="W927" s="1123">
        <v>57.919999313354495</v>
      </c>
      <c r="X927" s="1123">
        <v>46.040000343322752</v>
      </c>
      <c r="Y927" s="1123">
        <v>38.660000085830688</v>
      </c>
      <c r="Z927" s="1123">
        <v>56.862192119147679</v>
      </c>
      <c r="AA927" s="1123">
        <f t="shared" si="1051"/>
        <v>51.467618226272265</v>
      </c>
      <c r="AB927" s="1123">
        <f t="shared" si="1052"/>
        <v>50.699769695219558</v>
      </c>
      <c r="AC927" s="1123">
        <f t="shared" si="1053"/>
        <v>53.102243997566688</v>
      </c>
      <c r="AD927" s="1123">
        <f t="shared" si="1054"/>
        <v>58.048799183157179</v>
      </c>
      <c r="AE927" s="1123">
        <f t="shared" si="1055"/>
        <v>64.250039414144055</v>
      </c>
      <c r="AF927" s="1123">
        <f t="shared" si="1056"/>
        <v>70.089515860315913</v>
      </c>
      <c r="AG927" s="1123">
        <f t="shared" si="1057"/>
        <v>74.045078996922086</v>
      </c>
      <c r="AH927" s="1123">
        <f t="shared" si="1058"/>
        <v>75.085650335333085</v>
      </c>
      <c r="AI927" s="1123">
        <f t="shared" si="1059"/>
        <v>72.939988920502358</v>
      </c>
      <c r="AJ927" s="1123">
        <f t="shared" si="1060"/>
        <v>68.16739446584883</v>
      </c>
      <c r="AK927" s="1123">
        <f t="shared" si="1061"/>
        <v>62.011917263884747</v>
      </c>
      <c r="AL927" s="1123">
        <f t="shared" si="1062"/>
        <v>56.078077306077105</v>
      </c>
      <c r="AM927" s="1120">
        <f t="shared" si="1063"/>
        <v>1</v>
      </c>
      <c r="AN927" s="1120">
        <f t="shared" si="1064"/>
        <v>1</v>
      </c>
      <c r="AO927" s="1120">
        <f t="shared" si="1065"/>
        <v>1</v>
      </c>
      <c r="AP927" s="1120">
        <f t="shared" si="1066"/>
        <v>1</v>
      </c>
      <c r="AQ927" s="1120">
        <f t="shared" si="1067"/>
        <v>1</v>
      </c>
      <c r="AR927" s="1120">
        <f t="shared" si="1068"/>
        <v>0</v>
      </c>
      <c r="AS927" s="1120">
        <f t="shared" si="1069"/>
        <v>0</v>
      </c>
      <c r="AT927" s="1120">
        <f t="shared" si="1070"/>
        <v>0</v>
      </c>
      <c r="AU927" s="1120">
        <f t="shared" si="1071"/>
        <v>0</v>
      </c>
      <c r="AV927" s="1120">
        <f t="shared" si="1072"/>
        <v>1</v>
      </c>
      <c r="AW927" s="1120">
        <f t="shared" si="1073"/>
        <v>1</v>
      </c>
      <c r="AX927" s="1120">
        <f t="shared" si="1074"/>
        <v>1</v>
      </c>
      <c r="AY927" s="1120">
        <f t="shared" si="1075"/>
        <v>0</v>
      </c>
      <c r="AZ927" s="1120">
        <f t="shared" si="1076"/>
        <v>0</v>
      </c>
      <c r="BA927" s="1120">
        <f t="shared" si="1077"/>
        <v>0</v>
      </c>
      <c r="BB927" s="1120">
        <f t="shared" si="1078"/>
        <v>0</v>
      </c>
      <c r="BC927" s="1120">
        <f t="shared" si="1079"/>
        <v>0</v>
      </c>
      <c r="BD927" s="1120">
        <f t="shared" si="1080"/>
        <v>1</v>
      </c>
      <c r="BE927" s="1120">
        <f t="shared" si="1081"/>
        <v>1</v>
      </c>
      <c r="BF927" s="1120">
        <f t="shared" si="1082"/>
        <v>1</v>
      </c>
      <c r="BG927" s="1120">
        <f t="shared" si="1083"/>
        <v>1</v>
      </c>
      <c r="BH927" s="1120">
        <f t="shared" si="1084"/>
        <v>0</v>
      </c>
      <c r="BI927" s="1120">
        <f t="shared" si="1085"/>
        <v>0</v>
      </c>
      <c r="BJ927" s="1120">
        <f t="shared" si="1086"/>
        <v>0</v>
      </c>
      <c r="BK927" s="1120">
        <f t="shared" si="1087"/>
        <v>1</v>
      </c>
      <c r="BL927" s="1120">
        <f t="shared" si="1088"/>
        <v>1</v>
      </c>
      <c r="BM927" s="1120">
        <f t="shared" si="1089"/>
        <v>1</v>
      </c>
      <c r="BN927" s="1120">
        <f t="shared" si="1090"/>
        <v>1</v>
      </c>
      <c r="BO927" s="1120">
        <f t="shared" si="1091"/>
        <v>1</v>
      </c>
      <c r="BP927" s="1120">
        <f t="shared" si="1092"/>
        <v>1</v>
      </c>
      <c r="BQ927" s="1120">
        <f t="shared" si="1093"/>
        <v>0</v>
      </c>
      <c r="BR927" s="1120">
        <f t="shared" si="1094"/>
        <v>0</v>
      </c>
      <c r="BS927" s="1120">
        <f t="shared" si="1095"/>
        <v>0</v>
      </c>
      <c r="BT927" s="1120">
        <f t="shared" si="1096"/>
        <v>1</v>
      </c>
      <c r="BU927" s="1120">
        <f t="shared" si="1097"/>
        <v>1</v>
      </c>
      <c r="BV927" s="1120">
        <f t="shared" si="1098"/>
        <v>1</v>
      </c>
      <c r="BW927" s="1120">
        <f t="shared" si="1099"/>
        <v>0</v>
      </c>
      <c r="BX927" s="1120">
        <f t="shared" si="1100"/>
        <v>0</v>
      </c>
      <c r="BY927" s="1120">
        <f t="shared" si="1101"/>
        <v>0</v>
      </c>
      <c r="BZ927" s="1120">
        <f t="shared" si="1102"/>
        <v>0</v>
      </c>
      <c r="CA927" s="1120">
        <f t="shared" si="1103"/>
        <v>1</v>
      </c>
      <c r="CB927" s="1120">
        <f t="shared" si="1104"/>
        <v>1</v>
      </c>
      <c r="CC927" s="1120">
        <f t="shared" si="1105"/>
        <v>1</v>
      </c>
      <c r="CD927" s="1120">
        <f t="shared" si="1106"/>
        <v>1</v>
      </c>
      <c r="CE927" s="1120">
        <f t="shared" si="1107"/>
        <v>1</v>
      </c>
      <c r="CF927" s="1120">
        <f t="shared" si="1108"/>
        <v>1</v>
      </c>
      <c r="CG927" s="1120">
        <f t="shared" si="1109"/>
        <v>0</v>
      </c>
      <c r="CH927" s="1120">
        <f t="shared" si="1110"/>
        <v>0</v>
      </c>
      <c r="CI927" s="1120">
        <f t="shared" si="1111"/>
        <v>0.85</v>
      </c>
      <c r="CJ927" s="1120">
        <f t="shared" si="1112"/>
        <v>0.85</v>
      </c>
      <c r="CK927" s="1120">
        <f t="shared" si="1113"/>
        <v>0.85</v>
      </c>
      <c r="CL927" s="1120">
        <f t="shared" si="1114"/>
        <v>0.85</v>
      </c>
      <c r="CM927" s="1120">
        <f t="shared" si="1115"/>
        <v>0.85</v>
      </c>
      <c r="CN927" s="1120">
        <f t="shared" si="1116"/>
        <v>0.85</v>
      </c>
      <c r="CO927" s="1120">
        <f t="shared" si="1117"/>
        <v>0.7</v>
      </c>
      <c r="CP927" s="1120">
        <f t="shared" si="1118"/>
        <v>0.7</v>
      </c>
      <c r="CQ927" s="1120">
        <f t="shared" si="1119"/>
        <v>0.7</v>
      </c>
      <c r="CR927" s="1120">
        <f t="shared" si="1120"/>
        <v>0.85</v>
      </c>
      <c r="CS927" s="1120">
        <f t="shared" si="1121"/>
        <v>0.85</v>
      </c>
      <c r="CT927" s="1120">
        <f t="shared" si="1122"/>
        <v>0.85</v>
      </c>
      <c r="CU927" s="1120">
        <v>1</v>
      </c>
      <c r="CV927" s="1120"/>
      <c r="CW927" s="1120">
        <f t="shared" si="1123"/>
        <v>184</v>
      </c>
      <c r="CX927" s="1120">
        <f t="shared" si="1124"/>
        <v>181</v>
      </c>
      <c r="CY927" s="1135" t="s">
        <v>4891</v>
      </c>
      <c r="CZ927" s="1124" t="s">
        <v>4892</v>
      </c>
      <c r="DA927" s="1124"/>
      <c r="DB927" s="1124"/>
      <c r="DC927" s="1120" t="s">
        <v>5459</v>
      </c>
      <c r="DD927" s="1120" t="s">
        <v>538</v>
      </c>
      <c r="DE927" s="1120" t="str">
        <f t="shared" si="1125"/>
        <v/>
      </c>
      <c r="DF927" s="1133">
        <v>0</v>
      </c>
      <c r="DG927" s="1125">
        <v>0</v>
      </c>
    </row>
    <row r="928" spans="1:111">
      <c r="A928" s="1120" t="s">
        <v>4534</v>
      </c>
      <c r="B928" s="1125" t="s">
        <v>4216</v>
      </c>
      <c r="C928" s="1125" t="s">
        <v>4217</v>
      </c>
      <c r="D928" s="1125" t="s">
        <v>61</v>
      </c>
      <c r="E928" s="1125">
        <v>649</v>
      </c>
      <c r="F928" s="1125">
        <v>-95.88</v>
      </c>
      <c r="G928" s="1125">
        <v>36.200000000000003</v>
      </c>
      <c r="H928" s="1125">
        <v>-6</v>
      </c>
      <c r="I928" s="1126">
        <v>16.880000686645506</v>
      </c>
      <c r="J928" s="1126">
        <v>96.8</v>
      </c>
      <c r="K928" s="1127">
        <v>75.919999313354495</v>
      </c>
      <c r="L928" s="1125">
        <v>3720.6</v>
      </c>
      <c r="M928" s="1125">
        <v>2149.2000000000003</v>
      </c>
      <c r="N928" s="1128">
        <v>34.519999957084657</v>
      </c>
      <c r="O928" s="1128">
        <v>37.579999828338622</v>
      </c>
      <c r="P928" s="1128">
        <v>52.880000686645509</v>
      </c>
      <c r="Q928" s="1128">
        <v>60.8</v>
      </c>
      <c r="R928" s="1128">
        <v>69.619999313354498</v>
      </c>
      <c r="S928" s="1128">
        <v>79.880000686645502</v>
      </c>
      <c r="T928" s="1128">
        <v>84.2</v>
      </c>
      <c r="U928" s="1128">
        <v>81.319999313354487</v>
      </c>
      <c r="V928" s="1128">
        <v>70.7</v>
      </c>
      <c r="W928" s="1128">
        <v>61.7</v>
      </c>
      <c r="X928" s="1128">
        <v>47.480000686645511</v>
      </c>
      <c r="Y928" s="1128">
        <v>39.02000017166138</v>
      </c>
      <c r="Z928" s="1128">
        <v>60.107123339992683</v>
      </c>
      <c r="AA928" s="1128">
        <f t="shared" si="1051"/>
        <v>52.900269278139369</v>
      </c>
      <c r="AB928" s="1128">
        <f t="shared" si="1052"/>
        <v>52.423935559849525</v>
      </c>
      <c r="AC928" s="1128">
        <f t="shared" si="1053"/>
        <v>55.514335600760489</v>
      </c>
      <c r="AD928" s="1128">
        <f t="shared" si="1054"/>
        <v>61.365909005702619</v>
      </c>
      <c r="AE928" s="1128">
        <f t="shared" si="1055"/>
        <v>68.453352991201982</v>
      </c>
      <c r="AF928" s="1128">
        <f t="shared" si="1056"/>
        <v>74.929216061620266</v>
      </c>
      <c r="AG928" s="1128">
        <f t="shared" si="1057"/>
        <v>79.105464711582229</v>
      </c>
      <c r="AH928" s="1128">
        <f t="shared" si="1058"/>
        <v>79.893495372535497</v>
      </c>
      <c r="AI928" s="1128">
        <f t="shared" si="1059"/>
        <v>77.087895708782511</v>
      </c>
      <c r="AJ928" s="1128">
        <f t="shared" si="1060"/>
        <v>71.419988508280056</v>
      </c>
      <c r="AK928" s="1128">
        <f t="shared" si="1061"/>
        <v>64.367201127932944</v>
      </c>
      <c r="AL928" s="1128">
        <f t="shared" si="1062"/>
        <v>57.76795128517211</v>
      </c>
      <c r="AM928" s="1125">
        <f t="shared" si="1063"/>
        <v>1</v>
      </c>
      <c r="AN928" s="1125">
        <f t="shared" si="1064"/>
        <v>1</v>
      </c>
      <c r="AO928" s="1125">
        <f t="shared" si="1065"/>
        <v>1</v>
      </c>
      <c r="AP928" s="1125">
        <f t="shared" si="1066"/>
        <v>1</v>
      </c>
      <c r="AQ928" s="1125">
        <f t="shared" si="1067"/>
        <v>0</v>
      </c>
      <c r="AR928" s="1125">
        <f t="shared" si="1068"/>
        <v>0</v>
      </c>
      <c r="AS928" s="1125">
        <f t="shared" si="1069"/>
        <v>0</v>
      </c>
      <c r="AT928" s="1125">
        <f t="shared" si="1070"/>
        <v>0</v>
      </c>
      <c r="AU928" s="1125">
        <f t="shared" si="1071"/>
        <v>0</v>
      </c>
      <c r="AV928" s="1125">
        <f t="shared" si="1072"/>
        <v>1</v>
      </c>
      <c r="AW928" s="1125">
        <f t="shared" si="1073"/>
        <v>1</v>
      </c>
      <c r="AX928" s="1125">
        <f t="shared" si="1074"/>
        <v>1</v>
      </c>
      <c r="AY928" s="1125">
        <f t="shared" si="1075"/>
        <v>0</v>
      </c>
      <c r="AZ928" s="1125">
        <f t="shared" si="1076"/>
        <v>0</v>
      </c>
      <c r="BA928" s="1125">
        <f t="shared" si="1077"/>
        <v>0</v>
      </c>
      <c r="BB928" s="1125">
        <f t="shared" si="1078"/>
        <v>0</v>
      </c>
      <c r="BC928" s="1125">
        <f t="shared" si="1079"/>
        <v>1</v>
      </c>
      <c r="BD928" s="1125">
        <f t="shared" si="1080"/>
        <v>1</v>
      </c>
      <c r="BE928" s="1125">
        <f t="shared" si="1081"/>
        <v>1</v>
      </c>
      <c r="BF928" s="1125">
        <f t="shared" si="1082"/>
        <v>1</v>
      </c>
      <c r="BG928" s="1125">
        <f t="shared" si="1083"/>
        <v>1</v>
      </c>
      <c r="BH928" s="1125">
        <f t="shared" si="1084"/>
        <v>0</v>
      </c>
      <c r="BI928" s="1125">
        <f t="shared" si="1085"/>
        <v>0</v>
      </c>
      <c r="BJ928" s="1125">
        <f t="shared" si="1086"/>
        <v>0</v>
      </c>
      <c r="BK928" s="1125">
        <f t="shared" si="1087"/>
        <v>1</v>
      </c>
      <c r="BL928" s="1125">
        <f t="shared" si="1088"/>
        <v>1</v>
      </c>
      <c r="BM928" s="1125">
        <f t="shared" si="1089"/>
        <v>1</v>
      </c>
      <c r="BN928" s="1125">
        <f t="shared" si="1090"/>
        <v>1</v>
      </c>
      <c r="BO928" s="1125">
        <f t="shared" si="1091"/>
        <v>1</v>
      </c>
      <c r="BP928" s="1125">
        <f t="shared" si="1092"/>
        <v>0</v>
      </c>
      <c r="BQ928" s="1125">
        <f t="shared" si="1093"/>
        <v>0</v>
      </c>
      <c r="BR928" s="1125">
        <f t="shared" si="1094"/>
        <v>0</v>
      </c>
      <c r="BS928" s="1125">
        <f t="shared" si="1095"/>
        <v>0</v>
      </c>
      <c r="BT928" s="1125">
        <f t="shared" si="1096"/>
        <v>1</v>
      </c>
      <c r="BU928" s="1125">
        <f t="shared" si="1097"/>
        <v>1</v>
      </c>
      <c r="BV928" s="1125">
        <f t="shared" si="1098"/>
        <v>1</v>
      </c>
      <c r="BW928" s="1125">
        <f t="shared" si="1099"/>
        <v>0</v>
      </c>
      <c r="BX928" s="1125">
        <f t="shared" si="1100"/>
        <v>0</v>
      </c>
      <c r="BY928" s="1125">
        <f t="shared" si="1101"/>
        <v>0</v>
      </c>
      <c r="BZ928" s="1125">
        <f t="shared" si="1102"/>
        <v>1</v>
      </c>
      <c r="CA928" s="1125">
        <f t="shared" si="1103"/>
        <v>1</v>
      </c>
      <c r="CB928" s="1125">
        <f t="shared" si="1104"/>
        <v>1</v>
      </c>
      <c r="CC928" s="1125">
        <f t="shared" si="1105"/>
        <v>1</v>
      </c>
      <c r="CD928" s="1125">
        <f t="shared" si="1106"/>
        <v>1</v>
      </c>
      <c r="CE928" s="1125">
        <f t="shared" si="1107"/>
        <v>1</v>
      </c>
      <c r="CF928" s="1125">
        <f t="shared" si="1108"/>
        <v>1</v>
      </c>
      <c r="CG928" s="1125">
        <f t="shared" si="1109"/>
        <v>0</v>
      </c>
      <c r="CH928" s="1125">
        <f t="shared" si="1110"/>
        <v>0</v>
      </c>
      <c r="CI928" s="1125">
        <f t="shared" si="1111"/>
        <v>0.85</v>
      </c>
      <c r="CJ928" s="1125">
        <f t="shared" si="1112"/>
        <v>0.85</v>
      </c>
      <c r="CK928" s="1125">
        <f t="shared" si="1113"/>
        <v>0.85</v>
      </c>
      <c r="CL928" s="1125">
        <f t="shared" si="1114"/>
        <v>0.85</v>
      </c>
      <c r="CM928" s="1125">
        <f t="shared" si="1115"/>
        <v>0.85</v>
      </c>
      <c r="CN928" s="1125">
        <f t="shared" si="1116"/>
        <v>0.7</v>
      </c>
      <c r="CO928" s="1125">
        <f t="shared" si="1117"/>
        <v>0.7</v>
      </c>
      <c r="CP928" s="1125">
        <f t="shared" si="1118"/>
        <v>0.7</v>
      </c>
      <c r="CQ928" s="1125">
        <f t="shared" si="1119"/>
        <v>0.7</v>
      </c>
      <c r="CR928" s="1125">
        <f t="shared" si="1120"/>
        <v>0.85</v>
      </c>
      <c r="CS928" s="1125">
        <f t="shared" si="1121"/>
        <v>0.85</v>
      </c>
      <c r="CT928" s="1125">
        <f t="shared" si="1122"/>
        <v>0.85</v>
      </c>
      <c r="CU928" s="1125">
        <v>1</v>
      </c>
      <c r="CV928" s="1125"/>
      <c r="CW928" s="1125">
        <f t="shared" si="1123"/>
        <v>214</v>
      </c>
      <c r="CX928" s="1125">
        <f t="shared" si="1124"/>
        <v>151</v>
      </c>
      <c r="CY928" s="1136" t="s">
        <v>4881</v>
      </c>
      <c r="CZ928" s="1129" t="s">
        <v>4882</v>
      </c>
      <c r="DA928" s="1129"/>
      <c r="DB928" s="1129"/>
      <c r="DC928" s="1125" t="s">
        <v>5511</v>
      </c>
      <c r="DD928" s="1125" t="s">
        <v>61</v>
      </c>
      <c r="DE928" s="1120" t="str">
        <f t="shared" si="1125"/>
        <v/>
      </c>
      <c r="DF928" s="1133">
        <v>0</v>
      </c>
      <c r="DG928" s="1120">
        <v>0</v>
      </c>
    </row>
    <row r="929" spans="1:111">
      <c r="A929" s="1125" t="s">
        <v>4500</v>
      </c>
      <c r="B929" s="1120" t="s">
        <v>3894</v>
      </c>
      <c r="C929" s="1120" t="s">
        <v>3895</v>
      </c>
      <c r="D929" s="1120" t="s">
        <v>460</v>
      </c>
      <c r="E929" s="1120">
        <v>361</v>
      </c>
      <c r="F929" s="1120">
        <v>-88.77</v>
      </c>
      <c r="G929" s="1120">
        <v>34.270000000000003</v>
      </c>
      <c r="H929" s="1120">
        <v>-6</v>
      </c>
      <c r="I929" s="1121">
        <v>22.820000171661377</v>
      </c>
      <c r="J929" s="1121">
        <v>93.560001373291016</v>
      </c>
      <c r="K929" s="1122">
        <v>75.560001373291016</v>
      </c>
      <c r="L929" s="1120">
        <v>2905.2000000000003</v>
      </c>
      <c r="M929" s="1120">
        <v>1954.8</v>
      </c>
      <c r="N929" s="1123">
        <v>40.459999656677248</v>
      </c>
      <c r="O929" s="1123">
        <v>47.659999656677243</v>
      </c>
      <c r="P929" s="1123">
        <v>57.2</v>
      </c>
      <c r="Q929" s="1123">
        <v>63.680000686645506</v>
      </c>
      <c r="R929" s="1123">
        <v>66.919999313354495</v>
      </c>
      <c r="S929" s="1123">
        <v>77.719999313354492</v>
      </c>
      <c r="T929" s="1123">
        <v>80.780000686645508</v>
      </c>
      <c r="U929" s="1123">
        <v>82.219999313354492</v>
      </c>
      <c r="V929" s="1123">
        <v>72.860001373291013</v>
      </c>
      <c r="W929" s="1123">
        <v>59.180000686645506</v>
      </c>
      <c r="X929" s="1123">
        <v>50.359999656677246</v>
      </c>
      <c r="Y929" s="1123">
        <v>41.540000343322752</v>
      </c>
      <c r="Z929" s="1123">
        <v>61.781863072016471</v>
      </c>
      <c r="AA929" s="1123">
        <f t="shared" si="1051"/>
        <v>56.242776889690219</v>
      </c>
      <c r="AB929" s="1123">
        <f t="shared" si="1052"/>
        <v>56.007704892939529</v>
      </c>
      <c r="AC929" s="1123">
        <f t="shared" si="1053"/>
        <v>58.841748670835095</v>
      </c>
      <c r="AD929" s="1123">
        <f t="shared" si="1054"/>
        <v>64.006171038731807</v>
      </c>
      <c r="AE929" s="1123">
        <f t="shared" si="1055"/>
        <v>70.154785720279648</v>
      </c>
      <c r="AF929" s="1123">
        <f t="shared" si="1056"/>
        <v>75.684861545712792</v>
      </c>
      <c r="AG929" s="1123">
        <f t="shared" si="1057"/>
        <v>79.154899030083982</v>
      </c>
      <c r="AH929" s="1123">
        <f t="shared" si="1058"/>
        <v>79.660379428195583</v>
      </c>
      <c r="AI929" s="1123">
        <f t="shared" si="1059"/>
        <v>77.06954148459107</v>
      </c>
      <c r="AJ929" s="1123">
        <f t="shared" si="1060"/>
        <v>72.057727035292203</v>
      </c>
      <c r="AK929" s="1123">
        <f t="shared" si="1061"/>
        <v>65.931342750907305</v>
      </c>
      <c r="AL929" s="1123">
        <f t="shared" si="1062"/>
        <v>60.287325105600864</v>
      </c>
      <c r="AM929" s="1120">
        <f t="shared" si="1063"/>
        <v>1</v>
      </c>
      <c r="AN929" s="1120">
        <f t="shared" si="1064"/>
        <v>1</v>
      </c>
      <c r="AO929" s="1120">
        <f t="shared" si="1065"/>
        <v>1</v>
      </c>
      <c r="AP929" s="1120">
        <f t="shared" si="1066"/>
        <v>1</v>
      </c>
      <c r="AQ929" s="1120">
        <f t="shared" si="1067"/>
        <v>0</v>
      </c>
      <c r="AR929" s="1120">
        <f t="shared" si="1068"/>
        <v>0</v>
      </c>
      <c r="AS929" s="1120">
        <f t="shared" si="1069"/>
        <v>0</v>
      </c>
      <c r="AT929" s="1120">
        <f t="shared" si="1070"/>
        <v>0</v>
      </c>
      <c r="AU929" s="1120">
        <f t="shared" si="1071"/>
        <v>0</v>
      </c>
      <c r="AV929" s="1120">
        <f t="shared" si="1072"/>
        <v>1</v>
      </c>
      <c r="AW929" s="1120">
        <f t="shared" si="1073"/>
        <v>1</v>
      </c>
      <c r="AX929" s="1120">
        <f t="shared" si="1074"/>
        <v>1</v>
      </c>
      <c r="AY929" s="1120">
        <f t="shared" si="1075"/>
        <v>0</v>
      </c>
      <c r="AZ929" s="1120">
        <f t="shared" si="1076"/>
        <v>0</v>
      </c>
      <c r="BA929" s="1120">
        <f t="shared" si="1077"/>
        <v>0</v>
      </c>
      <c r="BB929" s="1120">
        <f t="shared" si="1078"/>
        <v>0</v>
      </c>
      <c r="BC929" s="1120">
        <f t="shared" si="1079"/>
        <v>1</v>
      </c>
      <c r="BD929" s="1120">
        <f t="shared" si="1080"/>
        <v>1</v>
      </c>
      <c r="BE929" s="1120">
        <f t="shared" si="1081"/>
        <v>1</v>
      </c>
      <c r="BF929" s="1120">
        <f t="shared" si="1082"/>
        <v>1</v>
      </c>
      <c r="BG929" s="1120">
        <f t="shared" si="1083"/>
        <v>1</v>
      </c>
      <c r="BH929" s="1120">
        <f t="shared" si="1084"/>
        <v>0</v>
      </c>
      <c r="BI929" s="1120">
        <f t="shared" si="1085"/>
        <v>0</v>
      </c>
      <c r="BJ929" s="1120">
        <f t="shared" si="1086"/>
        <v>0</v>
      </c>
      <c r="BK929" s="1120">
        <f t="shared" si="1087"/>
        <v>1</v>
      </c>
      <c r="BL929" s="1120">
        <f t="shared" si="1088"/>
        <v>1</v>
      </c>
      <c r="BM929" s="1120">
        <f t="shared" si="1089"/>
        <v>1</v>
      </c>
      <c r="BN929" s="1120">
        <f t="shared" si="1090"/>
        <v>1</v>
      </c>
      <c r="BO929" s="1120">
        <f t="shared" si="1091"/>
        <v>1</v>
      </c>
      <c r="BP929" s="1120">
        <f t="shared" si="1092"/>
        <v>0</v>
      </c>
      <c r="BQ929" s="1120">
        <f t="shared" si="1093"/>
        <v>0</v>
      </c>
      <c r="BR929" s="1120">
        <f t="shared" si="1094"/>
        <v>0</v>
      </c>
      <c r="BS929" s="1120">
        <f t="shared" si="1095"/>
        <v>0</v>
      </c>
      <c r="BT929" s="1120">
        <f t="shared" si="1096"/>
        <v>1</v>
      </c>
      <c r="BU929" s="1120">
        <f t="shared" si="1097"/>
        <v>1</v>
      </c>
      <c r="BV929" s="1120">
        <f t="shared" si="1098"/>
        <v>1</v>
      </c>
      <c r="BW929" s="1120">
        <f t="shared" si="1099"/>
        <v>0</v>
      </c>
      <c r="BX929" s="1120">
        <f t="shared" si="1100"/>
        <v>0</v>
      </c>
      <c r="BY929" s="1120">
        <f t="shared" si="1101"/>
        <v>0</v>
      </c>
      <c r="BZ929" s="1120">
        <f t="shared" si="1102"/>
        <v>1</v>
      </c>
      <c r="CA929" s="1120">
        <f t="shared" si="1103"/>
        <v>1</v>
      </c>
      <c r="CB929" s="1120">
        <f t="shared" si="1104"/>
        <v>1</v>
      </c>
      <c r="CC929" s="1120">
        <f t="shared" si="1105"/>
        <v>1</v>
      </c>
      <c r="CD929" s="1120">
        <f t="shared" si="1106"/>
        <v>1</v>
      </c>
      <c r="CE929" s="1120">
        <f t="shared" si="1107"/>
        <v>1</v>
      </c>
      <c r="CF929" s="1120">
        <f t="shared" si="1108"/>
        <v>1</v>
      </c>
      <c r="CG929" s="1120">
        <f t="shared" si="1109"/>
        <v>0</v>
      </c>
      <c r="CH929" s="1120">
        <f t="shared" si="1110"/>
        <v>0</v>
      </c>
      <c r="CI929" s="1120">
        <f t="shared" si="1111"/>
        <v>0.85</v>
      </c>
      <c r="CJ929" s="1120">
        <f t="shared" si="1112"/>
        <v>0.85</v>
      </c>
      <c r="CK929" s="1120">
        <f t="shared" si="1113"/>
        <v>0.85</v>
      </c>
      <c r="CL929" s="1120">
        <f t="shared" si="1114"/>
        <v>0.85</v>
      </c>
      <c r="CM929" s="1120">
        <f t="shared" si="1115"/>
        <v>0.85</v>
      </c>
      <c r="CN929" s="1120">
        <f t="shared" si="1116"/>
        <v>0.7</v>
      </c>
      <c r="CO929" s="1120">
        <f t="shared" si="1117"/>
        <v>0.7</v>
      </c>
      <c r="CP929" s="1120">
        <f t="shared" si="1118"/>
        <v>0.7</v>
      </c>
      <c r="CQ929" s="1120">
        <f t="shared" si="1119"/>
        <v>0.7</v>
      </c>
      <c r="CR929" s="1120">
        <f t="shared" si="1120"/>
        <v>0.85</v>
      </c>
      <c r="CS929" s="1120">
        <f t="shared" si="1121"/>
        <v>0.85</v>
      </c>
      <c r="CT929" s="1120">
        <f t="shared" si="1122"/>
        <v>0.85</v>
      </c>
      <c r="CU929" s="1120">
        <v>1</v>
      </c>
      <c r="CV929" s="1120"/>
      <c r="CW929" s="1120">
        <f t="shared" si="1123"/>
        <v>214</v>
      </c>
      <c r="CX929" s="1120">
        <f t="shared" si="1124"/>
        <v>151</v>
      </c>
      <c r="CY929" s="1135" t="s">
        <v>4881</v>
      </c>
      <c r="CZ929" s="1124" t="s">
        <v>4882</v>
      </c>
      <c r="DA929" s="1124"/>
      <c r="DB929" s="1124"/>
      <c r="DC929" s="1120" t="s">
        <v>5371</v>
      </c>
      <c r="DD929" s="1120" t="s">
        <v>460</v>
      </c>
      <c r="DE929" s="1120" t="str">
        <f t="shared" si="1125"/>
        <v/>
      </c>
      <c r="DF929" s="1133">
        <v>0</v>
      </c>
      <c r="DG929" s="1125">
        <v>0</v>
      </c>
    </row>
    <row r="930" spans="1:111">
      <c r="A930" s="1120" t="s">
        <v>4536</v>
      </c>
      <c r="B930" s="1125" t="s">
        <v>3022</v>
      </c>
      <c r="C930" s="1125" t="s">
        <v>3023</v>
      </c>
      <c r="D930" s="1125" t="s">
        <v>247</v>
      </c>
      <c r="E930" s="1125">
        <v>167</v>
      </c>
      <c r="F930" s="1125">
        <v>-87.62</v>
      </c>
      <c r="G930" s="1125">
        <v>33.22</v>
      </c>
      <c r="H930" s="1125">
        <v>-6</v>
      </c>
      <c r="I930" s="1126">
        <v>24.979999828338624</v>
      </c>
      <c r="J930" s="1126">
        <v>93.379997253417969</v>
      </c>
      <c r="K930" s="1127">
        <v>76.280000686645508</v>
      </c>
      <c r="L930" s="1125">
        <v>2570.4</v>
      </c>
      <c r="M930" s="1125">
        <v>2082.6</v>
      </c>
      <c r="N930" s="1128">
        <v>45.859999656677246</v>
      </c>
      <c r="O930" s="1128">
        <v>49.819999313354494</v>
      </c>
      <c r="P930" s="1128">
        <v>52.519999313354489</v>
      </c>
      <c r="Q930" s="1128">
        <v>66.2</v>
      </c>
      <c r="R930" s="1128">
        <v>73.580000686645505</v>
      </c>
      <c r="S930" s="1128">
        <v>76.099999999999994</v>
      </c>
      <c r="T930" s="1128">
        <v>79.880000686645502</v>
      </c>
      <c r="U930" s="1128">
        <v>76.819999313354487</v>
      </c>
      <c r="V930" s="1128">
        <v>78.080000686645505</v>
      </c>
      <c r="W930" s="1128">
        <v>60.440000343322751</v>
      </c>
      <c r="X930" s="1128">
        <v>58.1</v>
      </c>
      <c r="Y930" s="1128">
        <v>38.839999914169312</v>
      </c>
      <c r="Z930" s="1128">
        <v>63.056164380034353</v>
      </c>
      <c r="AA930" s="1128">
        <f t="shared" si="1051"/>
        <v>57.391133784442125</v>
      </c>
      <c r="AB930" s="1128">
        <f t="shared" si="1052"/>
        <v>57.290645402307575</v>
      </c>
      <c r="AC930" s="1128">
        <f t="shared" si="1053"/>
        <v>60.25702085385322</v>
      </c>
      <c r="AD930" s="1128">
        <f t="shared" si="1054"/>
        <v>65.517028664404265</v>
      </c>
      <c r="AE930" s="1128">
        <f t="shared" si="1055"/>
        <v>71.699566738966567</v>
      </c>
      <c r="AF930" s="1128">
        <f t="shared" si="1056"/>
        <v>77.193061252609766</v>
      </c>
      <c r="AG930" s="1128">
        <f t="shared" si="1057"/>
        <v>80.565548203039754</v>
      </c>
      <c r="AH930" s="1128">
        <f t="shared" si="1058"/>
        <v>80.937936895029878</v>
      </c>
      <c r="AI930" s="1128">
        <f t="shared" si="1059"/>
        <v>78.213158477329443</v>
      </c>
      <c r="AJ930" s="1128">
        <f t="shared" si="1060"/>
        <v>73.101468434618539</v>
      </c>
      <c r="AK930" s="1128">
        <f t="shared" si="1061"/>
        <v>66.935307550057772</v>
      </c>
      <c r="AL930" s="1128">
        <f t="shared" si="1062"/>
        <v>61.321980681623472</v>
      </c>
      <c r="AM930" s="1125">
        <f t="shared" si="1063"/>
        <v>1</v>
      </c>
      <c r="AN930" s="1125">
        <f t="shared" si="1064"/>
        <v>1</v>
      </c>
      <c r="AO930" s="1125">
        <f t="shared" si="1065"/>
        <v>1</v>
      </c>
      <c r="AP930" s="1125">
        <f t="shared" si="1066"/>
        <v>0</v>
      </c>
      <c r="AQ930" s="1125">
        <f t="shared" si="1067"/>
        <v>0</v>
      </c>
      <c r="AR930" s="1125">
        <f t="shared" si="1068"/>
        <v>0</v>
      </c>
      <c r="AS930" s="1125">
        <f t="shared" si="1069"/>
        <v>0</v>
      </c>
      <c r="AT930" s="1125">
        <f t="shared" si="1070"/>
        <v>0</v>
      </c>
      <c r="AU930" s="1125">
        <f t="shared" si="1071"/>
        <v>0</v>
      </c>
      <c r="AV930" s="1125">
        <f t="shared" si="1072"/>
        <v>1</v>
      </c>
      <c r="AW930" s="1125">
        <f t="shared" si="1073"/>
        <v>1</v>
      </c>
      <c r="AX930" s="1125">
        <f t="shared" si="1074"/>
        <v>1</v>
      </c>
      <c r="AY930" s="1125">
        <f t="shared" si="1075"/>
        <v>0</v>
      </c>
      <c r="AZ930" s="1125">
        <f t="shared" si="1076"/>
        <v>0</v>
      </c>
      <c r="BA930" s="1125">
        <f t="shared" si="1077"/>
        <v>0</v>
      </c>
      <c r="BB930" s="1125">
        <f t="shared" si="1078"/>
        <v>1</v>
      </c>
      <c r="BC930" s="1125">
        <f t="shared" si="1079"/>
        <v>1</v>
      </c>
      <c r="BD930" s="1125">
        <f t="shared" si="1080"/>
        <v>1</v>
      </c>
      <c r="BE930" s="1125">
        <f t="shared" si="1081"/>
        <v>1</v>
      </c>
      <c r="BF930" s="1125">
        <f t="shared" si="1082"/>
        <v>1</v>
      </c>
      <c r="BG930" s="1125">
        <f t="shared" si="1083"/>
        <v>1</v>
      </c>
      <c r="BH930" s="1125">
        <f t="shared" si="1084"/>
        <v>0</v>
      </c>
      <c r="BI930" s="1125">
        <f t="shared" si="1085"/>
        <v>0</v>
      </c>
      <c r="BJ930" s="1125">
        <f t="shared" si="1086"/>
        <v>0</v>
      </c>
      <c r="BK930" s="1125">
        <f t="shared" si="1087"/>
        <v>1</v>
      </c>
      <c r="BL930" s="1125">
        <f t="shared" si="1088"/>
        <v>1</v>
      </c>
      <c r="BM930" s="1125">
        <f t="shared" si="1089"/>
        <v>1</v>
      </c>
      <c r="BN930" s="1125">
        <f t="shared" si="1090"/>
        <v>1</v>
      </c>
      <c r="BO930" s="1125">
        <f t="shared" si="1091"/>
        <v>0</v>
      </c>
      <c r="BP930" s="1125">
        <f t="shared" si="1092"/>
        <v>0</v>
      </c>
      <c r="BQ930" s="1125">
        <f t="shared" si="1093"/>
        <v>0</v>
      </c>
      <c r="BR930" s="1125">
        <f t="shared" si="1094"/>
        <v>0</v>
      </c>
      <c r="BS930" s="1125">
        <f t="shared" si="1095"/>
        <v>0</v>
      </c>
      <c r="BT930" s="1125">
        <f t="shared" si="1096"/>
        <v>1</v>
      </c>
      <c r="BU930" s="1125">
        <f t="shared" si="1097"/>
        <v>1</v>
      </c>
      <c r="BV930" s="1125">
        <f t="shared" si="1098"/>
        <v>1</v>
      </c>
      <c r="BW930" s="1125">
        <f t="shared" si="1099"/>
        <v>0</v>
      </c>
      <c r="BX930" s="1125">
        <f t="shared" si="1100"/>
        <v>0</v>
      </c>
      <c r="BY930" s="1125">
        <f t="shared" si="1101"/>
        <v>1</v>
      </c>
      <c r="BZ930" s="1125">
        <f t="shared" si="1102"/>
        <v>1</v>
      </c>
      <c r="CA930" s="1125">
        <f t="shared" si="1103"/>
        <v>1</v>
      </c>
      <c r="CB930" s="1125">
        <f t="shared" si="1104"/>
        <v>1</v>
      </c>
      <c r="CC930" s="1125">
        <f t="shared" si="1105"/>
        <v>1</v>
      </c>
      <c r="CD930" s="1125">
        <f t="shared" si="1106"/>
        <v>1</v>
      </c>
      <c r="CE930" s="1125">
        <f t="shared" si="1107"/>
        <v>1</v>
      </c>
      <c r="CF930" s="1125">
        <f t="shared" si="1108"/>
        <v>1</v>
      </c>
      <c r="CG930" s="1125">
        <f t="shared" si="1109"/>
        <v>0</v>
      </c>
      <c r="CH930" s="1125">
        <f t="shared" si="1110"/>
        <v>0</v>
      </c>
      <c r="CI930" s="1125">
        <f t="shared" si="1111"/>
        <v>0.85</v>
      </c>
      <c r="CJ930" s="1125">
        <f t="shared" si="1112"/>
        <v>0.85</v>
      </c>
      <c r="CK930" s="1125">
        <f t="shared" si="1113"/>
        <v>0.85</v>
      </c>
      <c r="CL930" s="1125">
        <f t="shared" si="1114"/>
        <v>0.85</v>
      </c>
      <c r="CM930" s="1125">
        <f t="shared" si="1115"/>
        <v>0.7</v>
      </c>
      <c r="CN930" s="1125">
        <f t="shared" si="1116"/>
        <v>0.7</v>
      </c>
      <c r="CO930" s="1125">
        <f t="shared" si="1117"/>
        <v>0.7</v>
      </c>
      <c r="CP930" s="1125">
        <f t="shared" si="1118"/>
        <v>0.7</v>
      </c>
      <c r="CQ930" s="1125">
        <f t="shared" si="1119"/>
        <v>0.7</v>
      </c>
      <c r="CR930" s="1125">
        <f t="shared" si="1120"/>
        <v>0.85</v>
      </c>
      <c r="CS930" s="1125">
        <f t="shared" si="1121"/>
        <v>0.85</v>
      </c>
      <c r="CT930" s="1125">
        <f t="shared" si="1122"/>
        <v>0.85</v>
      </c>
      <c r="CU930" s="1125">
        <v>1</v>
      </c>
      <c r="CV930" s="1125"/>
      <c r="CW930" s="1125">
        <f t="shared" si="1123"/>
        <v>245</v>
      </c>
      <c r="CX930" s="1125">
        <f t="shared" si="1124"/>
        <v>120</v>
      </c>
      <c r="CY930" s="1136" t="s">
        <v>4881</v>
      </c>
      <c r="CZ930" s="1129" t="s">
        <v>4882</v>
      </c>
      <c r="DA930" s="1129"/>
      <c r="DB930" s="1129"/>
      <c r="DC930" s="1125" t="s">
        <v>4983</v>
      </c>
      <c r="DD930" s="1125" t="s">
        <v>247</v>
      </c>
      <c r="DE930" s="1125" t="str">
        <f t="shared" si="1125"/>
        <v/>
      </c>
      <c r="DF930" s="1125">
        <v>1</v>
      </c>
      <c r="DG930" s="1120">
        <v>0</v>
      </c>
    </row>
    <row r="931" spans="1:111">
      <c r="A931" s="1125" t="s">
        <v>4488</v>
      </c>
      <c r="B931" s="1120" t="s">
        <v>655</v>
      </c>
      <c r="C931" s="1120" t="s">
        <v>656</v>
      </c>
      <c r="D931" s="1120" t="s">
        <v>954</v>
      </c>
      <c r="E931" s="1120">
        <v>2053</v>
      </c>
      <c r="F931" s="1120">
        <v>-116.17</v>
      </c>
      <c r="G931" s="1120">
        <v>34.299999999999997</v>
      </c>
      <c r="H931" s="1120">
        <v>-8</v>
      </c>
      <c r="I931" s="1121">
        <v>31.81999999731779</v>
      </c>
      <c r="J931" s="1121">
        <v>108.13999862670899</v>
      </c>
      <c r="K931" s="1122">
        <v>68.180000686645513</v>
      </c>
      <c r="L931" s="1120">
        <v>1823.4</v>
      </c>
      <c r="M931" s="1120">
        <v>3438</v>
      </c>
      <c r="N931" s="1123">
        <v>49.640000343322754</v>
      </c>
      <c r="O931" s="1123">
        <v>51.440000343322751</v>
      </c>
      <c r="P931" s="1123">
        <v>61.339998626708983</v>
      </c>
      <c r="Q931" s="1123">
        <v>66.739998626708982</v>
      </c>
      <c r="R931" s="1123">
        <v>75.019999313354489</v>
      </c>
      <c r="S931" s="1123">
        <v>85.460001373291021</v>
      </c>
      <c r="T931" s="1123">
        <v>89.6</v>
      </c>
      <c r="U931" s="1123">
        <v>91.22000274658204</v>
      </c>
      <c r="V931" s="1123">
        <v>81.860001373291013</v>
      </c>
      <c r="W931" s="1123">
        <v>67.639998626708987</v>
      </c>
      <c r="X931" s="1123">
        <v>54.140000343322754</v>
      </c>
      <c r="Y931" s="1123">
        <v>50.359999656677246</v>
      </c>
      <c r="Z931" s="1123">
        <v>68.810246684453261</v>
      </c>
      <c r="AA931" s="1123">
        <f t="shared" si="1051"/>
        <v>61.54282446947196</v>
      </c>
      <c r="AB931" s="1123">
        <f t="shared" si="1052"/>
        <v>62.111632102677902</v>
      </c>
      <c r="AC931" s="1123">
        <f t="shared" si="1053"/>
        <v>65.990529318197829</v>
      </c>
      <c r="AD931" s="1123">
        <f t="shared" si="1054"/>
        <v>72.168421781191</v>
      </c>
      <c r="AE931" s="1123">
        <f t="shared" si="1055"/>
        <v>79.034946616973556</v>
      </c>
      <c r="AF931" s="1123">
        <f t="shared" si="1056"/>
        <v>84.800238310748057</v>
      </c>
      <c r="AG931" s="1123">
        <f t="shared" si="1057"/>
        <v>87.961484736697798</v>
      </c>
      <c r="AH931" s="1123">
        <f t="shared" si="1058"/>
        <v>87.694658297616968</v>
      </c>
      <c r="AI931" s="1123">
        <f t="shared" si="1059"/>
        <v>84.069311416771839</v>
      </c>
      <c r="AJ931" s="1123">
        <f t="shared" si="1060"/>
        <v>78.030446626941256</v>
      </c>
      <c r="AK931" s="1123">
        <f t="shared" si="1061"/>
        <v>71.152187097317949</v>
      </c>
      <c r="AL931" s="1123">
        <f t="shared" si="1062"/>
        <v>65.22745717148608</v>
      </c>
      <c r="AM931" s="1120">
        <f t="shared" si="1063"/>
        <v>1</v>
      </c>
      <c r="AN931" s="1120">
        <f t="shared" si="1064"/>
        <v>1</v>
      </c>
      <c r="AO931" s="1120">
        <f t="shared" si="1065"/>
        <v>1</v>
      </c>
      <c r="AP931" s="1120">
        <f t="shared" si="1066"/>
        <v>0</v>
      </c>
      <c r="AQ931" s="1120">
        <f t="shared" si="1067"/>
        <v>0</v>
      </c>
      <c r="AR931" s="1120">
        <f t="shared" si="1068"/>
        <v>0</v>
      </c>
      <c r="AS931" s="1120">
        <f t="shared" si="1069"/>
        <v>0</v>
      </c>
      <c r="AT931" s="1120">
        <f t="shared" si="1070"/>
        <v>0</v>
      </c>
      <c r="AU931" s="1120">
        <f t="shared" si="1071"/>
        <v>0</v>
      </c>
      <c r="AV931" s="1120">
        <f t="shared" si="1072"/>
        <v>0</v>
      </c>
      <c r="AW931" s="1120">
        <f t="shared" si="1073"/>
        <v>1</v>
      </c>
      <c r="AX931" s="1120">
        <f t="shared" si="1074"/>
        <v>1</v>
      </c>
      <c r="AY931" s="1120">
        <f t="shared" si="1075"/>
        <v>0</v>
      </c>
      <c r="AZ931" s="1120">
        <f t="shared" si="1076"/>
        <v>0</v>
      </c>
      <c r="BA931" s="1120">
        <f t="shared" si="1077"/>
        <v>0</v>
      </c>
      <c r="BB931" s="1120">
        <f t="shared" si="1078"/>
        <v>1</v>
      </c>
      <c r="BC931" s="1120">
        <f t="shared" si="1079"/>
        <v>1</v>
      </c>
      <c r="BD931" s="1120">
        <f t="shared" si="1080"/>
        <v>1</v>
      </c>
      <c r="BE931" s="1120">
        <f t="shared" si="1081"/>
        <v>1</v>
      </c>
      <c r="BF931" s="1120">
        <f t="shared" si="1082"/>
        <v>1</v>
      </c>
      <c r="BG931" s="1120">
        <f t="shared" si="1083"/>
        <v>1</v>
      </c>
      <c r="BH931" s="1120">
        <f t="shared" si="1084"/>
        <v>1</v>
      </c>
      <c r="BI931" s="1120">
        <f t="shared" si="1085"/>
        <v>0</v>
      </c>
      <c r="BJ931" s="1120">
        <f t="shared" si="1086"/>
        <v>0</v>
      </c>
      <c r="BK931" s="1120">
        <f t="shared" si="1087"/>
        <v>1</v>
      </c>
      <c r="BL931" s="1120">
        <f t="shared" si="1088"/>
        <v>1</v>
      </c>
      <c r="BM931" s="1120">
        <f t="shared" si="1089"/>
        <v>1</v>
      </c>
      <c r="BN931" s="1120">
        <f t="shared" si="1090"/>
        <v>1</v>
      </c>
      <c r="BO931" s="1120">
        <f t="shared" si="1091"/>
        <v>0</v>
      </c>
      <c r="BP931" s="1120">
        <f t="shared" si="1092"/>
        <v>0</v>
      </c>
      <c r="BQ931" s="1120">
        <f t="shared" si="1093"/>
        <v>0</v>
      </c>
      <c r="BR931" s="1120">
        <f t="shared" si="1094"/>
        <v>0</v>
      </c>
      <c r="BS931" s="1120">
        <f t="shared" si="1095"/>
        <v>0</v>
      </c>
      <c r="BT931" s="1120">
        <f t="shared" si="1096"/>
        <v>0</v>
      </c>
      <c r="BU931" s="1120">
        <f t="shared" si="1097"/>
        <v>1</v>
      </c>
      <c r="BV931" s="1120">
        <f t="shared" si="1098"/>
        <v>1</v>
      </c>
      <c r="BW931" s="1120">
        <f t="shared" si="1099"/>
        <v>0</v>
      </c>
      <c r="BX931" s="1120">
        <f t="shared" si="1100"/>
        <v>0</v>
      </c>
      <c r="BY931" s="1120">
        <f t="shared" si="1101"/>
        <v>1</v>
      </c>
      <c r="BZ931" s="1120">
        <f t="shared" si="1102"/>
        <v>1</v>
      </c>
      <c r="CA931" s="1120">
        <f t="shared" si="1103"/>
        <v>1</v>
      </c>
      <c r="CB931" s="1120">
        <f t="shared" si="1104"/>
        <v>1</v>
      </c>
      <c r="CC931" s="1120">
        <f t="shared" si="1105"/>
        <v>1</v>
      </c>
      <c r="CD931" s="1120">
        <f t="shared" si="1106"/>
        <v>1</v>
      </c>
      <c r="CE931" s="1120">
        <f t="shared" si="1107"/>
        <v>1</v>
      </c>
      <c r="CF931" s="1120">
        <f t="shared" si="1108"/>
        <v>1</v>
      </c>
      <c r="CG931" s="1120">
        <f t="shared" si="1109"/>
        <v>1</v>
      </c>
      <c r="CH931" s="1120">
        <f t="shared" si="1110"/>
        <v>0</v>
      </c>
      <c r="CI931" s="1120">
        <f t="shared" si="1111"/>
        <v>0.85</v>
      </c>
      <c r="CJ931" s="1120">
        <f t="shared" si="1112"/>
        <v>0.85</v>
      </c>
      <c r="CK931" s="1120">
        <f t="shared" si="1113"/>
        <v>0.85</v>
      </c>
      <c r="CL931" s="1120">
        <f t="shared" si="1114"/>
        <v>0.85</v>
      </c>
      <c r="CM931" s="1120">
        <f t="shared" si="1115"/>
        <v>0.7</v>
      </c>
      <c r="CN931" s="1120">
        <f t="shared" si="1116"/>
        <v>0.7</v>
      </c>
      <c r="CO931" s="1120">
        <f t="shared" si="1117"/>
        <v>0.7</v>
      </c>
      <c r="CP931" s="1120">
        <f t="shared" si="1118"/>
        <v>0.7</v>
      </c>
      <c r="CQ931" s="1120">
        <f t="shared" si="1119"/>
        <v>0.7</v>
      </c>
      <c r="CR931" s="1120">
        <f t="shared" si="1120"/>
        <v>0.7</v>
      </c>
      <c r="CS931" s="1120">
        <f t="shared" si="1121"/>
        <v>0.85</v>
      </c>
      <c r="CT931" s="1120">
        <f t="shared" si="1122"/>
        <v>0.85</v>
      </c>
      <c r="CU931" s="1120">
        <v>1</v>
      </c>
      <c r="CV931" s="1120"/>
      <c r="CW931" s="1120">
        <f t="shared" si="1123"/>
        <v>275</v>
      </c>
      <c r="CX931" s="1120">
        <f t="shared" si="1124"/>
        <v>90</v>
      </c>
      <c r="CY931" s="1135" t="s">
        <v>4886</v>
      </c>
      <c r="CZ931" s="1124" t="s">
        <v>4888</v>
      </c>
      <c r="DA931" s="1124"/>
      <c r="DB931" s="1124"/>
      <c r="DC931" s="1120" t="s">
        <v>5066</v>
      </c>
      <c r="DD931" s="1120" t="s">
        <v>954</v>
      </c>
      <c r="DE931" s="1120" t="str">
        <f t="shared" si="1125"/>
        <v/>
      </c>
      <c r="DF931" s="1120">
        <v>0</v>
      </c>
      <c r="DG931" s="1125">
        <v>0</v>
      </c>
    </row>
    <row r="932" spans="1:111">
      <c r="A932" s="1120" t="s">
        <v>4538</v>
      </c>
      <c r="B932" s="1120" t="s">
        <v>3835</v>
      </c>
      <c r="C932" s="1120" t="s">
        <v>3836</v>
      </c>
      <c r="D932" s="1120" t="s">
        <v>934</v>
      </c>
      <c r="E932" s="1120">
        <v>1076</v>
      </c>
      <c r="F932" s="1120">
        <v>-91.75</v>
      </c>
      <c r="G932" s="1120">
        <v>47.05</v>
      </c>
      <c r="H932" s="1120">
        <v>-6</v>
      </c>
      <c r="I932" s="1121">
        <v>-10.660001373291017</v>
      </c>
      <c r="J932" s="1121">
        <v>81.139998626708987</v>
      </c>
      <c r="K932" s="1122">
        <v>68.900000000000006</v>
      </c>
      <c r="L932" s="1120">
        <v>8982</v>
      </c>
      <c r="M932" s="1120">
        <v>221.4</v>
      </c>
      <c r="N932" s="1123">
        <v>12.380000686645507</v>
      </c>
      <c r="O932" s="1123">
        <v>11.299999999999999</v>
      </c>
      <c r="P932" s="1123">
        <v>33.619999957084659</v>
      </c>
      <c r="Q932" s="1123">
        <v>42.440000343322751</v>
      </c>
      <c r="R932" s="1123">
        <v>52.159999656677243</v>
      </c>
      <c r="S932" s="1123">
        <v>61.880000686645509</v>
      </c>
      <c r="T932" s="1123">
        <v>64.219999313354492</v>
      </c>
      <c r="U932" s="1123">
        <v>64.760001373291018</v>
      </c>
      <c r="V932" s="1123">
        <v>53.780000686645508</v>
      </c>
      <c r="W932" s="1123">
        <v>37.220000171661376</v>
      </c>
      <c r="X932" s="1123">
        <v>29.480000042915343</v>
      </c>
      <c r="Y932" s="1123">
        <v>19.579999828338622</v>
      </c>
      <c r="Z932" s="1123">
        <v>40.399835844889083</v>
      </c>
      <c r="AA932" s="1123">
        <f t="shared" si="1051"/>
        <v>38.738998416290109</v>
      </c>
      <c r="AB932" s="1123">
        <f t="shared" si="1052"/>
        <v>36.776524186409446</v>
      </c>
      <c r="AC932" s="1123">
        <f t="shared" si="1053"/>
        <v>37.322514440033146</v>
      </c>
      <c r="AD932" s="1123">
        <f t="shared" si="1054"/>
        <v>40.234648403589709</v>
      </c>
      <c r="AE932" s="1123">
        <f t="shared" si="1055"/>
        <v>44.753833482135299</v>
      </c>
      <c r="AF932" s="1123">
        <f t="shared" si="1056"/>
        <v>49.702074442196889</v>
      </c>
      <c r="AG932" s="1123">
        <f t="shared" si="1057"/>
        <v>53.789536022833012</v>
      </c>
      <c r="AH932" s="1123">
        <f t="shared" si="1058"/>
        <v>55.950758373361225</v>
      </c>
      <c r="AI932" s="1123">
        <f t="shared" si="1059"/>
        <v>55.622385582671789</v>
      </c>
      <c r="AJ932" s="1123">
        <f t="shared" si="1060"/>
        <v>52.890013079035782</v>
      </c>
      <c r="AK932" s="1123">
        <f t="shared" si="1061"/>
        <v>48.465875862660766</v>
      </c>
      <c r="AL932" s="1123">
        <f t="shared" si="1062"/>
        <v>43.503193477013156</v>
      </c>
      <c r="AM932" s="1120">
        <f t="shared" si="1063"/>
        <v>1</v>
      </c>
      <c r="AN932" s="1120">
        <f t="shared" si="1064"/>
        <v>1</v>
      </c>
      <c r="AO932" s="1120">
        <f t="shared" si="1065"/>
        <v>1</v>
      </c>
      <c r="AP932" s="1120">
        <f t="shared" si="1066"/>
        <v>1</v>
      </c>
      <c r="AQ932" s="1120">
        <f t="shared" si="1067"/>
        <v>1</v>
      </c>
      <c r="AR932" s="1120">
        <f t="shared" si="1068"/>
        <v>1</v>
      </c>
      <c r="AS932" s="1120">
        <f t="shared" si="1069"/>
        <v>1</v>
      </c>
      <c r="AT932" s="1120">
        <f t="shared" si="1070"/>
        <v>1</v>
      </c>
      <c r="AU932" s="1120">
        <f t="shared" si="1071"/>
        <v>1</v>
      </c>
      <c r="AV932" s="1120">
        <f t="shared" si="1072"/>
        <v>1</v>
      </c>
      <c r="AW932" s="1120">
        <f t="shared" si="1073"/>
        <v>1</v>
      </c>
      <c r="AX932" s="1120">
        <f t="shared" si="1074"/>
        <v>1</v>
      </c>
      <c r="AY932" s="1120">
        <f t="shared" si="1075"/>
        <v>0</v>
      </c>
      <c r="AZ932" s="1120">
        <f t="shared" si="1076"/>
        <v>0</v>
      </c>
      <c r="BA932" s="1120">
        <f t="shared" si="1077"/>
        <v>0</v>
      </c>
      <c r="BB932" s="1120">
        <f t="shared" si="1078"/>
        <v>0</v>
      </c>
      <c r="BC932" s="1120">
        <f t="shared" si="1079"/>
        <v>0</v>
      </c>
      <c r="BD932" s="1120">
        <f t="shared" si="1080"/>
        <v>0</v>
      </c>
      <c r="BE932" s="1120">
        <f t="shared" si="1081"/>
        <v>1</v>
      </c>
      <c r="BF932" s="1120">
        <f t="shared" si="1082"/>
        <v>1</v>
      </c>
      <c r="BG932" s="1120">
        <f t="shared" si="1083"/>
        <v>0</v>
      </c>
      <c r="BH932" s="1120">
        <f t="shared" si="1084"/>
        <v>0</v>
      </c>
      <c r="BI932" s="1120">
        <f t="shared" si="1085"/>
        <v>0</v>
      </c>
      <c r="BJ932" s="1120">
        <f t="shared" si="1086"/>
        <v>0</v>
      </c>
      <c r="BK932" s="1120">
        <f t="shared" si="1087"/>
        <v>1</v>
      </c>
      <c r="BL932" s="1120">
        <f t="shared" si="1088"/>
        <v>1</v>
      </c>
      <c r="BM932" s="1120">
        <f t="shared" si="1089"/>
        <v>1</v>
      </c>
      <c r="BN932" s="1120">
        <f t="shared" si="1090"/>
        <v>1</v>
      </c>
      <c r="BO932" s="1120">
        <f t="shared" si="1091"/>
        <v>1</v>
      </c>
      <c r="BP932" s="1120">
        <f t="shared" si="1092"/>
        <v>1</v>
      </c>
      <c r="BQ932" s="1120">
        <f t="shared" si="1093"/>
        <v>1</v>
      </c>
      <c r="BR932" s="1120">
        <f t="shared" si="1094"/>
        <v>1</v>
      </c>
      <c r="BS932" s="1120">
        <f t="shared" si="1095"/>
        <v>1</v>
      </c>
      <c r="BT932" s="1120">
        <f t="shared" si="1096"/>
        <v>1</v>
      </c>
      <c r="BU932" s="1120">
        <f t="shared" si="1097"/>
        <v>1</v>
      </c>
      <c r="BV932" s="1120">
        <f t="shared" si="1098"/>
        <v>1</v>
      </c>
      <c r="BW932" s="1120">
        <f t="shared" si="1099"/>
        <v>0</v>
      </c>
      <c r="BX932" s="1120">
        <f t="shared" si="1100"/>
        <v>0</v>
      </c>
      <c r="BY932" s="1120">
        <f t="shared" si="1101"/>
        <v>0</v>
      </c>
      <c r="BZ932" s="1120">
        <f t="shared" si="1102"/>
        <v>0</v>
      </c>
      <c r="CA932" s="1120">
        <f t="shared" si="1103"/>
        <v>0</v>
      </c>
      <c r="CB932" s="1120">
        <f t="shared" si="1104"/>
        <v>0</v>
      </c>
      <c r="CC932" s="1120">
        <f t="shared" si="1105"/>
        <v>1</v>
      </c>
      <c r="CD932" s="1120">
        <f t="shared" si="1106"/>
        <v>1</v>
      </c>
      <c r="CE932" s="1120">
        <f t="shared" si="1107"/>
        <v>0</v>
      </c>
      <c r="CF932" s="1120">
        <f t="shared" si="1108"/>
        <v>0</v>
      </c>
      <c r="CG932" s="1120">
        <f t="shared" si="1109"/>
        <v>0</v>
      </c>
      <c r="CH932" s="1120">
        <f t="shared" si="1110"/>
        <v>0</v>
      </c>
      <c r="CI932" s="1120">
        <f t="shared" si="1111"/>
        <v>0.85</v>
      </c>
      <c r="CJ932" s="1120">
        <f t="shared" si="1112"/>
        <v>0.85</v>
      </c>
      <c r="CK932" s="1120">
        <f t="shared" si="1113"/>
        <v>0.85</v>
      </c>
      <c r="CL932" s="1120">
        <f t="shared" si="1114"/>
        <v>0.85</v>
      </c>
      <c r="CM932" s="1120">
        <f t="shared" si="1115"/>
        <v>0.85</v>
      </c>
      <c r="CN932" s="1120">
        <f t="shared" si="1116"/>
        <v>0.85</v>
      </c>
      <c r="CO932" s="1120">
        <f t="shared" si="1117"/>
        <v>0.85</v>
      </c>
      <c r="CP932" s="1120">
        <f t="shared" si="1118"/>
        <v>0.85</v>
      </c>
      <c r="CQ932" s="1120">
        <f t="shared" si="1119"/>
        <v>0.85</v>
      </c>
      <c r="CR932" s="1120">
        <f t="shared" si="1120"/>
        <v>0.85</v>
      </c>
      <c r="CS932" s="1120">
        <f t="shared" si="1121"/>
        <v>0.85</v>
      </c>
      <c r="CT932" s="1120">
        <f t="shared" si="1122"/>
        <v>0.85</v>
      </c>
      <c r="CU932" s="1120">
        <v>1</v>
      </c>
      <c r="CV932" s="1120"/>
      <c r="CW932" s="1120">
        <f t="shared" si="1123"/>
        <v>62</v>
      </c>
      <c r="CX932" s="1120">
        <f t="shared" si="1124"/>
        <v>303</v>
      </c>
      <c r="CY932" s="1135" t="s">
        <v>4879</v>
      </c>
      <c r="CZ932" s="1124">
        <v>7</v>
      </c>
      <c r="DA932" s="1124"/>
      <c r="DB932" s="1124"/>
      <c r="DC932" s="1120" t="s">
        <v>5344</v>
      </c>
      <c r="DD932" s="1120" t="s">
        <v>934</v>
      </c>
      <c r="DE932" s="1120" t="str">
        <f t="shared" si="1125"/>
        <v/>
      </c>
      <c r="DF932" s="1133">
        <v>0</v>
      </c>
      <c r="DG932" s="1120">
        <v>0</v>
      </c>
    </row>
    <row r="933" spans="1:111">
      <c r="A933" s="1125" t="s">
        <v>4486</v>
      </c>
      <c r="B933" s="1125" t="s">
        <v>4452</v>
      </c>
      <c r="C933" s="1125" t="s">
        <v>4453</v>
      </c>
      <c r="D933" s="1125" t="s">
        <v>228</v>
      </c>
      <c r="E933" s="1125">
        <v>544</v>
      </c>
      <c r="F933" s="1125">
        <v>-95.4</v>
      </c>
      <c r="G933" s="1125">
        <v>32.35</v>
      </c>
      <c r="H933" s="1125">
        <v>-6</v>
      </c>
      <c r="I933" s="1126">
        <v>22.820000171661377</v>
      </c>
      <c r="J933" s="1126">
        <v>100.57999725341797</v>
      </c>
      <c r="K933" s="1127">
        <v>77.180000686645513</v>
      </c>
      <c r="L933" s="1125">
        <v>2282.4</v>
      </c>
      <c r="M933" s="1125">
        <v>2367</v>
      </c>
      <c r="N933" s="1128">
        <v>47.119999313354491</v>
      </c>
      <c r="O933" s="1128">
        <v>49.280000686645508</v>
      </c>
      <c r="P933" s="1128">
        <v>55.580000686645505</v>
      </c>
      <c r="Q933" s="1128">
        <v>63.319999313354494</v>
      </c>
      <c r="R933" s="1128">
        <v>71.780000686645508</v>
      </c>
      <c r="S933" s="1128">
        <v>77.360001373291013</v>
      </c>
      <c r="T933" s="1128">
        <v>82.939998626708984</v>
      </c>
      <c r="U933" s="1128">
        <v>79.33999862670899</v>
      </c>
      <c r="V933" s="1128">
        <v>77.539998626708979</v>
      </c>
      <c r="W933" s="1128">
        <v>67.819999313354487</v>
      </c>
      <c r="X933" s="1128">
        <v>53.780000686645508</v>
      </c>
      <c r="Y933" s="1128">
        <v>48.919999313354495</v>
      </c>
      <c r="Z933" s="1128">
        <v>64.652986062454858</v>
      </c>
      <c r="AA933" s="1128">
        <f t="shared" si="1051"/>
        <v>60.119450506108791</v>
      </c>
      <c r="AB933" s="1128">
        <f t="shared" si="1052"/>
        <v>60.181772095575994</v>
      </c>
      <c r="AC933" s="1128">
        <f t="shared" si="1053"/>
        <v>62.973576971801926</v>
      </c>
      <c r="AD933" s="1128">
        <f t="shared" si="1054"/>
        <v>67.767138170782857</v>
      </c>
      <c r="AE933" s="1128">
        <f t="shared" si="1055"/>
        <v>73.312940094990253</v>
      </c>
      <c r="AF933" s="1128">
        <f t="shared" si="1056"/>
        <v>78.165384009484882</v>
      </c>
      <c r="AG933" s="1128">
        <f t="shared" si="1057"/>
        <v>81.059605629529443</v>
      </c>
      <c r="AH933" s="1128">
        <f t="shared" si="1058"/>
        <v>81.241181488554105</v>
      </c>
      <c r="AI933" s="1128">
        <f t="shared" si="1059"/>
        <v>78.662781040735396</v>
      </c>
      <c r="AJ933" s="1128">
        <f t="shared" si="1060"/>
        <v>73.996504097150918</v>
      </c>
      <c r="AK933" s="1128">
        <f t="shared" si="1061"/>
        <v>68.45868765265034</v>
      </c>
      <c r="AL933" s="1128">
        <f t="shared" si="1062"/>
        <v>63.49284890382738</v>
      </c>
      <c r="AM933" s="1125">
        <f t="shared" si="1063"/>
        <v>1</v>
      </c>
      <c r="AN933" s="1125">
        <f t="shared" si="1064"/>
        <v>1</v>
      </c>
      <c r="AO933" s="1125">
        <f t="shared" si="1065"/>
        <v>1</v>
      </c>
      <c r="AP933" s="1125">
        <f t="shared" si="1066"/>
        <v>1</v>
      </c>
      <c r="AQ933" s="1125">
        <f t="shared" si="1067"/>
        <v>0</v>
      </c>
      <c r="AR933" s="1125">
        <f t="shared" si="1068"/>
        <v>0</v>
      </c>
      <c r="AS933" s="1125">
        <f t="shared" si="1069"/>
        <v>0</v>
      </c>
      <c r="AT933" s="1125">
        <f t="shared" si="1070"/>
        <v>0</v>
      </c>
      <c r="AU933" s="1125">
        <f t="shared" si="1071"/>
        <v>0</v>
      </c>
      <c r="AV933" s="1125">
        <f t="shared" si="1072"/>
        <v>0</v>
      </c>
      <c r="AW933" s="1125">
        <f t="shared" si="1073"/>
        <v>1</v>
      </c>
      <c r="AX933" s="1125">
        <f t="shared" si="1074"/>
        <v>1</v>
      </c>
      <c r="AY933" s="1125">
        <f t="shared" si="1075"/>
        <v>0</v>
      </c>
      <c r="AZ933" s="1125">
        <f t="shared" si="1076"/>
        <v>0</v>
      </c>
      <c r="BA933" s="1125">
        <f t="shared" si="1077"/>
        <v>0</v>
      </c>
      <c r="BB933" s="1125">
        <f t="shared" si="1078"/>
        <v>0</v>
      </c>
      <c r="BC933" s="1125">
        <f t="shared" si="1079"/>
        <v>1</v>
      </c>
      <c r="BD933" s="1125">
        <f t="shared" si="1080"/>
        <v>1</v>
      </c>
      <c r="BE933" s="1125">
        <f t="shared" si="1081"/>
        <v>1</v>
      </c>
      <c r="BF933" s="1125">
        <f t="shared" si="1082"/>
        <v>1</v>
      </c>
      <c r="BG933" s="1125">
        <f t="shared" si="1083"/>
        <v>1</v>
      </c>
      <c r="BH933" s="1125">
        <f t="shared" si="1084"/>
        <v>1</v>
      </c>
      <c r="BI933" s="1125">
        <f t="shared" si="1085"/>
        <v>0</v>
      </c>
      <c r="BJ933" s="1125">
        <f t="shared" si="1086"/>
        <v>0</v>
      </c>
      <c r="BK933" s="1125">
        <f t="shared" si="1087"/>
        <v>1</v>
      </c>
      <c r="BL933" s="1125">
        <f t="shared" si="1088"/>
        <v>1</v>
      </c>
      <c r="BM933" s="1125">
        <f t="shared" si="1089"/>
        <v>1</v>
      </c>
      <c r="BN933" s="1125">
        <f t="shared" si="1090"/>
        <v>1</v>
      </c>
      <c r="BO933" s="1125">
        <f t="shared" si="1091"/>
        <v>1</v>
      </c>
      <c r="BP933" s="1125">
        <f t="shared" si="1092"/>
        <v>0</v>
      </c>
      <c r="BQ933" s="1125">
        <f t="shared" si="1093"/>
        <v>0</v>
      </c>
      <c r="BR933" s="1125">
        <f t="shared" si="1094"/>
        <v>0</v>
      </c>
      <c r="BS933" s="1125">
        <f t="shared" si="1095"/>
        <v>0</v>
      </c>
      <c r="BT933" s="1125">
        <f t="shared" si="1096"/>
        <v>0</v>
      </c>
      <c r="BU933" s="1125">
        <f t="shared" si="1097"/>
        <v>1</v>
      </c>
      <c r="BV933" s="1125">
        <f t="shared" si="1098"/>
        <v>1</v>
      </c>
      <c r="BW933" s="1125">
        <f t="shared" si="1099"/>
        <v>0</v>
      </c>
      <c r="BX933" s="1125">
        <f t="shared" si="1100"/>
        <v>0</v>
      </c>
      <c r="BY933" s="1125">
        <f t="shared" si="1101"/>
        <v>0</v>
      </c>
      <c r="BZ933" s="1125">
        <f t="shared" si="1102"/>
        <v>1</v>
      </c>
      <c r="CA933" s="1125">
        <f t="shared" si="1103"/>
        <v>1</v>
      </c>
      <c r="CB933" s="1125">
        <f t="shared" si="1104"/>
        <v>1</v>
      </c>
      <c r="CC933" s="1125">
        <f t="shared" si="1105"/>
        <v>1</v>
      </c>
      <c r="CD933" s="1125">
        <f t="shared" si="1106"/>
        <v>1</v>
      </c>
      <c r="CE933" s="1125">
        <f t="shared" si="1107"/>
        <v>1</v>
      </c>
      <c r="CF933" s="1125">
        <f t="shared" si="1108"/>
        <v>1</v>
      </c>
      <c r="CG933" s="1125">
        <f t="shared" si="1109"/>
        <v>1</v>
      </c>
      <c r="CH933" s="1125">
        <f t="shared" si="1110"/>
        <v>0</v>
      </c>
      <c r="CI933" s="1125">
        <f t="shared" si="1111"/>
        <v>0.85</v>
      </c>
      <c r="CJ933" s="1125">
        <f t="shared" si="1112"/>
        <v>0.85</v>
      </c>
      <c r="CK933" s="1125">
        <f t="shared" si="1113"/>
        <v>0.85</v>
      </c>
      <c r="CL933" s="1125">
        <f t="shared" si="1114"/>
        <v>0.85</v>
      </c>
      <c r="CM933" s="1125">
        <f t="shared" si="1115"/>
        <v>0.85</v>
      </c>
      <c r="CN933" s="1125">
        <f t="shared" si="1116"/>
        <v>0.7</v>
      </c>
      <c r="CO933" s="1125">
        <f t="shared" si="1117"/>
        <v>0.7</v>
      </c>
      <c r="CP933" s="1125">
        <f t="shared" si="1118"/>
        <v>0.7</v>
      </c>
      <c r="CQ933" s="1125">
        <f t="shared" si="1119"/>
        <v>0.7</v>
      </c>
      <c r="CR933" s="1125">
        <f t="shared" si="1120"/>
        <v>0.7</v>
      </c>
      <c r="CS933" s="1125">
        <f t="shared" si="1121"/>
        <v>0.85</v>
      </c>
      <c r="CT933" s="1125">
        <f t="shared" si="1122"/>
        <v>0.85</v>
      </c>
      <c r="CU933" s="1125">
        <v>1</v>
      </c>
      <c r="CV933" s="1125"/>
      <c r="CW933" s="1125">
        <f t="shared" si="1123"/>
        <v>244</v>
      </c>
      <c r="CX933" s="1125">
        <f t="shared" si="1124"/>
        <v>121</v>
      </c>
      <c r="CY933" s="1136" t="s">
        <v>4883</v>
      </c>
      <c r="CZ933" s="1129" t="s">
        <v>4882</v>
      </c>
      <c r="DA933" s="1129"/>
      <c r="DB933" s="1129"/>
      <c r="DC933" s="1125" t="s">
        <v>6004</v>
      </c>
      <c r="DD933" s="1125" t="s">
        <v>228</v>
      </c>
      <c r="DE933" s="1120" t="str">
        <f t="shared" si="1125"/>
        <v/>
      </c>
      <c r="DF933" s="1133">
        <v>0</v>
      </c>
      <c r="DG933" s="1125">
        <v>0</v>
      </c>
    </row>
    <row r="934" spans="1:111">
      <c r="A934" s="1120" t="s">
        <v>4540</v>
      </c>
      <c r="B934" s="1125" t="s">
        <v>3336</v>
      </c>
      <c r="C934" s="1125" t="s">
        <v>3337</v>
      </c>
      <c r="D934" s="1125" t="s">
        <v>594</v>
      </c>
      <c r="E934" s="1125">
        <v>23</v>
      </c>
      <c r="F934" s="1125">
        <v>-85.58</v>
      </c>
      <c r="G934" s="1125">
        <v>30.07</v>
      </c>
      <c r="H934" s="1125">
        <v>-6</v>
      </c>
      <c r="I934" s="1126">
        <v>36.139999914169309</v>
      </c>
      <c r="J934" s="1126">
        <v>90.139998626708987</v>
      </c>
      <c r="K934" s="1127">
        <v>78.439998626708984</v>
      </c>
      <c r="L934" s="1125">
        <v>1801.8</v>
      </c>
      <c r="M934" s="1125">
        <v>2302.2000000000003</v>
      </c>
      <c r="N934" s="1128">
        <v>49.640000343322754</v>
      </c>
      <c r="O934" s="1128">
        <v>53.780000686645508</v>
      </c>
      <c r="P934" s="1128">
        <v>55.940000343322751</v>
      </c>
      <c r="Q934" s="1128">
        <v>63.86000137329102</v>
      </c>
      <c r="R934" s="1128">
        <v>72.860001373291013</v>
      </c>
      <c r="S934" s="1128">
        <v>78.619999313354498</v>
      </c>
      <c r="T934" s="1128">
        <v>80.239998626708982</v>
      </c>
      <c r="U934" s="1128">
        <v>78.980000686645511</v>
      </c>
      <c r="V934" s="1128">
        <v>76.460001373291021</v>
      </c>
      <c r="W934" s="1128">
        <v>69.080000686645505</v>
      </c>
      <c r="X934" s="1128">
        <v>57.740000343322755</v>
      </c>
      <c r="Y934" s="1128">
        <v>51.440000343322751</v>
      </c>
      <c r="Z934" s="1128">
        <v>65.780329221438052</v>
      </c>
      <c r="AA934" s="1128">
        <f t="shared" si="1051"/>
        <v>62.571489081236884</v>
      </c>
      <c r="AB934" s="1128">
        <f t="shared" si="1052"/>
        <v>62.719321603051178</v>
      </c>
      <c r="AC934" s="1128">
        <f t="shared" si="1053"/>
        <v>65.229045394952109</v>
      </c>
      <c r="AD934" s="1128">
        <f t="shared" si="1054"/>
        <v>69.446462274566343</v>
      </c>
      <c r="AE934" s="1128">
        <f t="shared" si="1055"/>
        <v>74.272237539861024</v>
      </c>
      <c r="AF934" s="1128">
        <f t="shared" si="1056"/>
        <v>78.448458500489167</v>
      </c>
      <c r="AG934" s="1128">
        <f t="shared" si="1057"/>
        <v>80.886528805549958</v>
      </c>
      <c r="AH934" s="1128">
        <f t="shared" si="1058"/>
        <v>80.950927858228624</v>
      </c>
      <c r="AI934" s="1128">
        <f t="shared" si="1059"/>
        <v>78.624869053025009</v>
      </c>
      <c r="AJ934" s="1128">
        <f t="shared" si="1060"/>
        <v>74.514675463166668</v>
      </c>
      <c r="AK934" s="1128">
        <f t="shared" si="1061"/>
        <v>69.691732387850692</v>
      </c>
      <c r="AL934" s="1128">
        <f t="shared" si="1062"/>
        <v>65.413214263460731</v>
      </c>
      <c r="AM934" s="1125">
        <f t="shared" si="1063"/>
        <v>1</v>
      </c>
      <c r="AN934" s="1125">
        <f t="shared" si="1064"/>
        <v>1</v>
      </c>
      <c r="AO934" s="1125">
        <f t="shared" si="1065"/>
        <v>1</v>
      </c>
      <c r="AP934" s="1125">
        <f t="shared" si="1066"/>
        <v>1</v>
      </c>
      <c r="AQ934" s="1125">
        <f t="shared" si="1067"/>
        <v>0</v>
      </c>
      <c r="AR934" s="1125">
        <f t="shared" si="1068"/>
        <v>0</v>
      </c>
      <c r="AS934" s="1125">
        <f t="shared" si="1069"/>
        <v>0</v>
      </c>
      <c r="AT934" s="1125">
        <f t="shared" si="1070"/>
        <v>0</v>
      </c>
      <c r="AU934" s="1125">
        <f t="shared" si="1071"/>
        <v>0</v>
      </c>
      <c r="AV934" s="1125">
        <f t="shared" si="1072"/>
        <v>0</v>
      </c>
      <c r="AW934" s="1125">
        <f t="shared" si="1073"/>
        <v>1</v>
      </c>
      <c r="AX934" s="1125">
        <f t="shared" si="1074"/>
        <v>1</v>
      </c>
      <c r="AY934" s="1125">
        <f t="shared" si="1075"/>
        <v>0</v>
      </c>
      <c r="AZ934" s="1125">
        <f t="shared" si="1076"/>
        <v>0</v>
      </c>
      <c r="BA934" s="1125">
        <f t="shared" si="1077"/>
        <v>0</v>
      </c>
      <c r="BB934" s="1125">
        <f t="shared" si="1078"/>
        <v>0</v>
      </c>
      <c r="BC934" s="1125">
        <f t="shared" si="1079"/>
        <v>1</v>
      </c>
      <c r="BD934" s="1125">
        <f t="shared" si="1080"/>
        <v>1</v>
      </c>
      <c r="BE934" s="1125">
        <f t="shared" si="1081"/>
        <v>1</v>
      </c>
      <c r="BF934" s="1125">
        <f t="shared" si="1082"/>
        <v>1</v>
      </c>
      <c r="BG934" s="1125">
        <f t="shared" si="1083"/>
        <v>1</v>
      </c>
      <c r="BH934" s="1125">
        <f t="shared" si="1084"/>
        <v>1</v>
      </c>
      <c r="BI934" s="1125">
        <f t="shared" si="1085"/>
        <v>0</v>
      </c>
      <c r="BJ934" s="1125">
        <f t="shared" si="1086"/>
        <v>0</v>
      </c>
      <c r="BK934" s="1125">
        <f t="shared" si="1087"/>
        <v>1</v>
      </c>
      <c r="BL934" s="1125">
        <f t="shared" si="1088"/>
        <v>1</v>
      </c>
      <c r="BM934" s="1125">
        <f t="shared" si="1089"/>
        <v>1</v>
      </c>
      <c r="BN934" s="1125">
        <f t="shared" si="1090"/>
        <v>1</v>
      </c>
      <c r="BO934" s="1125">
        <f t="shared" si="1091"/>
        <v>1</v>
      </c>
      <c r="BP934" s="1125">
        <f t="shared" si="1092"/>
        <v>0</v>
      </c>
      <c r="BQ934" s="1125">
        <f t="shared" si="1093"/>
        <v>0</v>
      </c>
      <c r="BR934" s="1125">
        <f t="shared" si="1094"/>
        <v>0</v>
      </c>
      <c r="BS934" s="1125">
        <f t="shared" si="1095"/>
        <v>0</v>
      </c>
      <c r="BT934" s="1125">
        <f t="shared" si="1096"/>
        <v>0</v>
      </c>
      <c r="BU934" s="1125">
        <f t="shared" si="1097"/>
        <v>1</v>
      </c>
      <c r="BV934" s="1125">
        <f t="shared" si="1098"/>
        <v>1</v>
      </c>
      <c r="BW934" s="1125">
        <f t="shared" si="1099"/>
        <v>0</v>
      </c>
      <c r="BX934" s="1125">
        <f t="shared" si="1100"/>
        <v>0</v>
      </c>
      <c r="BY934" s="1125">
        <f t="shared" si="1101"/>
        <v>0</v>
      </c>
      <c r="BZ934" s="1125">
        <f t="shared" si="1102"/>
        <v>1</v>
      </c>
      <c r="CA934" s="1125">
        <f t="shared" si="1103"/>
        <v>1</v>
      </c>
      <c r="CB934" s="1125">
        <f t="shared" si="1104"/>
        <v>1</v>
      </c>
      <c r="CC934" s="1125">
        <f t="shared" si="1105"/>
        <v>1</v>
      </c>
      <c r="CD934" s="1125">
        <f t="shared" si="1106"/>
        <v>1</v>
      </c>
      <c r="CE934" s="1125">
        <f t="shared" si="1107"/>
        <v>1</v>
      </c>
      <c r="CF934" s="1125">
        <f t="shared" si="1108"/>
        <v>1</v>
      </c>
      <c r="CG934" s="1125">
        <f t="shared" si="1109"/>
        <v>1</v>
      </c>
      <c r="CH934" s="1125">
        <f t="shared" si="1110"/>
        <v>0</v>
      </c>
      <c r="CI934" s="1125">
        <f t="shared" si="1111"/>
        <v>0.85</v>
      </c>
      <c r="CJ934" s="1125">
        <f t="shared" si="1112"/>
        <v>0.85</v>
      </c>
      <c r="CK934" s="1125">
        <f t="shared" si="1113"/>
        <v>0.85</v>
      </c>
      <c r="CL934" s="1125">
        <f t="shared" si="1114"/>
        <v>0.85</v>
      </c>
      <c r="CM934" s="1125">
        <f t="shared" si="1115"/>
        <v>0.85</v>
      </c>
      <c r="CN934" s="1125">
        <f t="shared" si="1116"/>
        <v>0.7</v>
      </c>
      <c r="CO934" s="1125">
        <f t="shared" si="1117"/>
        <v>0.7</v>
      </c>
      <c r="CP934" s="1125">
        <f t="shared" si="1118"/>
        <v>0.7</v>
      </c>
      <c r="CQ934" s="1125">
        <f t="shared" si="1119"/>
        <v>0.7</v>
      </c>
      <c r="CR934" s="1125">
        <f t="shared" si="1120"/>
        <v>0.7</v>
      </c>
      <c r="CS934" s="1125">
        <f t="shared" si="1121"/>
        <v>0.85</v>
      </c>
      <c r="CT934" s="1125">
        <f t="shared" si="1122"/>
        <v>0.85</v>
      </c>
      <c r="CU934" s="1125">
        <v>1</v>
      </c>
      <c r="CV934" s="1125"/>
      <c r="CW934" s="1125">
        <f t="shared" si="1123"/>
        <v>244</v>
      </c>
      <c r="CX934" s="1125">
        <f t="shared" si="1124"/>
        <v>121</v>
      </c>
      <c r="CY934" s="1136" t="s">
        <v>4883</v>
      </c>
      <c r="CZ934" s="1129" t="s">
        <v>4884</v>
      </c>
      <c r="DA934" s="1129"/>
      <c r="DB934" s="1129"/>
      <c r="DC934" s="1125" t="s">
        <v>5126</v>
      </c>
      <c r="DD934" s="1125" t="s">
        <v>594</v>
      </c>
      <c r="DE934" s="1120" t="str">
        <f t="shared" si="1125"/>
        <v/>
      </c>
      <c r="DF934" s="1133">
        <v>0</v>
      </c>
      <c r="DG934" s="1120">
        <v>0</v>
      </c>
    </row>
    <row r="935" spans="1:111">
      <c r="A935" s="1125" t="s">
        <v>4542</v>
      </c>
      <c r="B935" s="1125" t="s">
        <v>3204</v>
      </c>
      <c r="C935" s="1125" t="s">
        <v>3205</v>
      </c>
      <c r="D935" s="1125" t="s">
        <v>954</v>
      </c>
      <c r="E935" s="1125">
        <v>620</v>
      </c>
      <c r="F935" s="1125">
        <v>-123.2</v>
      </c>
      <c r="G935" s="1125">
        <v>39.130000000000003</v>
      </c>
      <c r="H935" s="1125">
        <v>-8</v>
      </c>
      <c r="I935" s="1126">
        <v>31.639999994635581</v>
      </c>
      <c r="J935" s="1126">
        <v>96.979997253417977</v>
      </c>
      <c r="K935" s="1127">
        <v>67.819999313354487</v>
      </c>
      <c r="L935" s="1125">
        <v>3162.6</v>
      </c>
      <c r="M935" s="1125">
        <v>779.4</v>
      </c>
      <c r="N935" s="1128">
        <v>44.959999656677248</v>
      </c>
      <c r="O935" s="1128">
        <v>49.459999656677248</v>
      </c>
      <c r="P935" s="1128">
        <v>49.819999313354494</v>
      </c>
      <c r="Q935" s="1128">
        <v>56.480000686645511</v>
      </c>
      <c r="R935" s="1128">
        <v>60.259999656677245</v>
      </c>
      <c r="S935" s="1128">
        <v>67.099999999999994</v>
      </c>
      <c r="T935" s="1128">
        <v>72.319999313354487</v>
      </c>
      <c r="U935" s="1128">
        <v>71.780000686645508</v>
      </c>
      <c r="V935" s="1128">
        <v>67.639998626708987</v>
      </c>
      <c r="W935" s="1128">
        <v>57.919999313354495</v>
      </c>
      <c r="X935" s="1128">
        <v>50.9</v>
      </c>
      <c r="Y935" s="1128">
        <v>45.320000171661377</v>
      </c>
      <c r="Z935" s="1128">
        <v>57.869205236304296</v>
      </c>
      <c r="AA935" s="1128">
        <f t="shared" si="1051"/>
        <v>56.981785853870242</v>
      </c>
      <c r="AB935" s="1128">
        <f t="shared" si="1052"/>
        <v>56.585568566235487</v>
      </c>
      <c r="AC935" s="1128">
        <f t="shared" si="1053"/>
        <v>58.087943420892863</v>
      </c>
      <c r="AD935" s="1128">
        <f t="shared" si="1054"/>
        <v>61.097293259678594</v>
      </c>
      <c r="AE935" s="1128">
        <f t="shared" si="1055"/>
        <v>64.829184671628383</v>
      </c>
      <c r="AF935" s="1128">
        <f t="shared" si="1056"/>
        <v>68.310842650030054</v>
      </c>
      <c r="AG935" s="1128">
        <f t="shared" si="1057"/>
        <v>70.63471938883967</v>
      </c>
      <c r="AH935" s="1128">
        <f t="shared" si="1058"/>
        <v>71.195060604061922</v>
      </c>
      <c r="AI935" s="1128">
        <f t="shared" si="1059"/>
        <v>69.845804722829641</v>
      </c>
      <c r="AJ935" s="1128">
        <f t="shared" si="1060"/>
        <v>66.938656083248532</v>
      </c>
      <c r="AK935" s="1128">
        <f t="shared" si="1061"/>
        <v>63.231407778742046</v>
      </c>
      <c r="AL935" s="1128">
        <f t="shared" si="1062"/>
        <v>59.690411210305491</v>
      </c>
      <c r="AM935" s="1125">
        <f t="shared" si="1063"/>
        <v>1</v>
      </c>
      <c r="AN935" s="1125">
        <f t="shared" si="1064"/>
        <v>1</v>
      </c>
      <c r="AO935" s="1125">
        <f t="shared" si="1065"/>
        <v>1</v>
      </c>
      <c r="AP935" s="1125">
        <f t="shared" si="1066"/>
        <v>1</v>
      </c>
      <c r="AQ935" s="1125">
        <f t="shared" si="1067"/>
        <v>1</v>
      </c>
      <c r="AR935" s="1125">
        <f t="shared" si="1068"/>
        <v>0</v>
      </c>
      <c r="AS935" s="1125">
        <f t="shared" si="1069"/>
        <v>0</v>
      </c>
      <c r="AT935" s="1125">
        <f t="shared" si="1070"/>
        <v>0</v>
      </c>
      <c r="AU935" s="1125">
        <f t="shared" si="1071"/>
        <v>0</v>
      </c>
      <c r="AV935" s="1125">
        <f t="shared" si="1072"/>
        <v>1</v>
      </c>
      <c r="AW935" s="1125">
        <f t="shared" si="1073"/>
        <v>1</v>
      </c>
      <c r="AX935" s="1125">
        <f t="shared" si="1074"/>
        <v>1</v>
      </c>
      <c r="AY935" s="1125">
        <f t="shared" si="1075"/>
        <v>0</v>
      </c>
      <c r="AZ935" s="1125">
        <f t="shared" si="1076"/>
        <v>0</v>
      </c>
      <c r="BA935" s="1125">
        <f t="shared" si="1077"/>
        <v>0</v>
      </c>
      <c r="BB935" s="1125">
        <f t="shared" si="1078"/>
        <v>0</v>
      </c>
      <c r="BC935" s="1125">
        <f t="shared" si="1079"/>
        <v>0</v>
      </c>
      <c r="BD935" s="1125">
        <f t="shared" si="1080"/>
        <v>1</v>
      </c>
      <c r="BE935" s="1125">
        <f t="shared" si="1081"/>
        <v>1</v>
      </c>
      <c r="BF935" s="1125">
        <f t="shared" si="1082"/>
        <v>1</v>
      </c>
      <c r="BG935" s="1125">
        <f t="shared" si="1083"/>
        <v>1</v>
      </c>
      <c r="BH935" s="1125">
        <f t="shared" si="1084"/>
        <v>0</v>
      </c>
      <c r="BI935" s="1125">
        <f t="shared" si="1085"/>
        <v>0</v>
      </c>
      <c r="BJ935" s="1125">
        <f t="shared" si="1086"/>
        <v>0</v>
      </c>
      <c r="BK935" s="1125">
        <f t="shared" si="1087"/>
        <v>1</v>
      </c>
      <c r="BL935" s="1125">
        <f t="shared" si="1088"/>
        <v>1</v>
      </c>
      <c r="BM935" s="1125">
        <f t="shared" si="1089"/>
        <v>1</v>
      </c>
      <c r="BN935" s="1125">
        <f t="shared" si="1090"/>
        <v>1</v>
      </c>
      <c r="BO935" s="1125">
        <f t="shared" si="1091"/>
        <v>1</v>
      </c>
      <c r="BP935" s="1125">
        <f t="shared" si="1092"/>
        <v>1</v>
      </c>
      <c r="BQ935" s="1125">
        <f t="shared" si="1093"/>
        <v>0</v>
      </c>
      <c r="BR935" s="1125">
        <f t="shared" si="1094"/>
        <v>0</v>
      </c>
      <c r="BS935" s="1125">
        <f t="shared" si="1095"/>
        <v>0</v>
      </c>
      <c r="BT935" s="1125">
        <f t="shared" si="1096"/>
        <v>1</v>
      </c>
      <c r="BU935" s="1125">
        <f t="shared" si="1097"/>
        <v>1</v>
      </c>
      <c r="BV935" s="1125">
        <f t="shared" si="1098"/>
        <v>1</v>
      </c>
      <c r="BW935" s="1125">
        <f t="shared" si="1099"/>
        <v>0</v>
      </c>
      <c r="BX935" s="1125">
        <f t="shared" si="1100"/>
        <v>0</v>
      </c>
      <c r="BY935" s="1125">
        <f t="shared" si="1101"/>
        <v>0</v>
      </c>
      <c r="BZ935" s="1125">
        <f t="shared" si="1102"/>
        <v>0</v>
      </c>
      <c r="CA935" s="1125">
        <f t="shared" si="1103"/>
        <v>1</v>
      </c>
      <c r="CB935" s="1125">
        <f t="shared" si="1104"/>
        <v>1</v>
      </c>
      <c r="CC935" s="1125">
        <f t="shared" si="1105"/>
        <v>1</v>
      </c>
      <c r="CD935" s="1125">
        <f t="shared" si="1106"/>
        <v>1</v>
      </c>
      <c r="CE935" s="1125">
        <f t="shared" si="1107"/>
        <v>1</v>
      </c>
      <c r="CF935" s="1125">
        <f t="shared" si="1108"/>
        <v>1</v>
      </c>
      <c r="CG935" s="1125">
        <f t="shared" si="1109"/>
        <v>0</v>
      </c>
      <c r="CH935" s="1125">
        <f t="shared" si="1110"/>
        <v>0</v>
      </c>
      <c r="CI935" s="1125">
        <f t="shared" si="1111"/>
        <v>0.85</v>
      </c>
      <c r="CJ935" s="1125">
        <f t="shared" si="1112"/>
        <v>0.85</v>
      </c>
      <c r="CK935" s="1125">
        <f t="shared" si="1113"/>
        <v>0.85</v>
      </c>
      <c r="CL935" s="1125">
        <f t="shared" si="1114"/>
        <v>0.85</v>
      </c>
      <c r="CM935" s="1125">
        <f t="shared" si="1115"/>
        <v>0.85</v>
      </c>
      <c r="CN935" s="1125">
        <f t="shared" si="1116"/>
        <v>0.85</v>
      </c>
      <c r="CO935" s="1125">
        <f t="shared" si="1117"/>
        <v>0.7</v>
      </c>
      <c r="CP935" s="1125">
        <f t="shared" si="1118"/>
        <v>0.7</v>
      </c>
      <c r="CQ935" s="1125">
        <f t="shared" si="1119"/>
        <v>0.7</v>
      </c>
      <c r="CR935" s="1125">
        <f t="shared" si="1120"/>
        <v>0.85</v>
      </c>
      <c r="CS935" s="1125">
        <f t="shared" si="1121"/>
        <v>0.85</v>
      </c>
      <c r="CT935" s="1125">
        <f t="shared" si="1122"/>
        <v>0.85</v>
      </c>
      <c r="CU935" s="1125">
        <v>1</v>
      </c>
      <c r="CV935" s="1125"/>
      <c r="CW935" s="1125">
        <f t="shared" si="1123"/>
        <v>184</v>
      </c>
      <c r="CX935" s="1125">
        <f t="shared" si="1124"/>
        <v>181</v>
      </c>
      <c r="CY935" s="1136" t="s">
        <v>4893</v>
      </c>
      <c r="CZ935" s="1129" t="s">
        <v>4895</v>
      </c>
      <c r="DA935" s="1129"/>
      <c r="DB935" s="1129"/>
      <c r="DC935" s="1125" t="s">
        <v>5067</v>
      </c>
      <c r="DD935" s="1125" t="s">
        <v>954</v>
      </c>
      <c r="DE935" s="1120" t="str">
        <f t="shared" si="1125"/>
        <v/>
      </c>
      <c r="DF935" s="1125">
        <v>0</v>
      </c>
      <c r="DG935" s="1125">
        <v>0</v>
      </c>
    </row>
    <row r="936" spans="1:111">
      <c r="A936" s="1120" t="s">
        <v>4544</v>
      </c>
      <c r="B936" s="1120" t="s">
        <v>1258</v>
      </c>
      <c r="C936" s="1120" t="s">
        <v>1259</v>
      </c>
      <c r="D936" s="1120" t="s">
        <v>953</v>
      </c>
      <c r="E936" s="1120">
        <v>16</v>
      </c>
      <c r="F936" s="1120">
        <v>-160.80000000000001</v>
      </c>
      <c r="G936" s="1120">
        <v>63.88</v>
      </c>
      <c r="H936" s="1120">
        <v>-9</v>
      </c>
      <c r="I936" s="1121">
        <v>-27.220002746582033</v>
      </c>
      <c r="J936" s="1121">
        <v>65.83999862670899</v>
      </c>
      <c r="K936" s="1122">
        <v>57.2</v>
      </c>
      <c r="L936" s="1120">
        <v>12058.2</v>
      </c>
      <c r="M936" s="1120">
        <v>0</v>
      </c>
      <c r="N936" s="1123">
        <v>7.6999999999999993</v>
      </c>
      <c r="O936" s="1123">
        <v>16.519999313354493</v>
      </c>
      <c r="P936" s="1123">
        <v>24.259999656677245</v>
      </c>
      <c r="Q936" s="1123">
        <v>30.019999957084657</v>
      </c>
      <c r="R936" s="1123">
        <v>39.559999656677249</v>
      </c>
      <c r="S936" s="1123">
        <v>44.420000171661378</v>
      </c>
      <c r="T936" s="1123">
        <v>53.780000686645508</v>
      </c>
      <c r="U936" s="1123">
        <v>49.459999656677248</v>
      </c>
      <c r="V936" s="1123">
        <v>39.379999828338626</v>
      </c>
      <c r="W936" s="1123">
        <v>34.519999957084657</v>
      </c>
      <c r="X936" s="1123">
        <v>21.559999656677245</v>
      </c>
      <c r="Y936" s="1123">
        <v>14.180000686645508</v>
      </c>
      <c r="Z936" s="1123">
        <v>31.373205420546334</v>
      </c>
      <c r="AA936" s="1123">
        <f t="shared" si="1051"/>
        <v>33.068769773417721</v>
      </c>
      <c r="AB936" s="1123">
        <f t="shared" si="1052"/>
        <v>32</v>
      </c>
      <c r="AC936" s="1123">
        <f t="shared" si="1053"/>
        <v>32</v>
      </c>
      <c r="AD936" s="1123">
        <f t="shared" si="1054"/>
        <v>32.670178857237595</v>
      </c>
      <c r="AE936" s="1123">
        <f t="shared" si="1055"/>
        <v>35.357422583113021</v>
      </c>
      <c r="AF936" s="1123">
        <f t="shared" si="1056"/>
        <v>38.570111169719262</v>
      </c>
      <c r="AG936" s="1123">
        <f t="shared" si="1057"/>
        <v>41.470807827927672</v>
      </c>
      <c r="AH936" s="1123">
        <f t="shared" si="1058"/>
        <v>43.303401272687623</v>
      </c>
      <c r="AI936" s="1123">
        <f t="shared" si="1059"/>
        <v>43.590197781502596</v>
      </c>
      <c r="AJ936" s="1123">
        <f t="shared" si="1060"/>
        <v>42.256439424682</v>
      </c>
      <c r="AK936" s="1123">
        <f t="shared" si="1061"/>
        <v>39.649790871769547</v>
      </c>
      <c r="AL936" s="1123">
        <f t="shared" si="1062"/>
        <v>36.449715237752002</v>
      </c>
      <c r="AM936" s="1120">
        <f t="shared" si="1063"/>
        <v>1</v>
      </c>
      <c r="AN936" s="1120">
        <f t="shared" si="1064"/>
        <v>1</v>
      </c>
      <c r="AO936" s="1120">
        <f t="shared" si="1065"/>
        <v>1</v>
      </c>
      <c r="AP936" s="1120">
        <f t="shared" si="1066"/>
        <v>1</v>
      </c>
      <c r="AQ936" s="1120">
        <f t="shared" si="1067"/>
        <v>1</v>
      </c>
      <c r="AR936" s="1120">
        <f t="shared" si="1068"/>
        <v>1</v>
      </c>
      <c r="AS936" s="1120">
        <f t="shared" si="1069"/>
        <v>1</v>
      </c>
      <c r="AT936" s="1120">
        <f t="shared" si="1070"/>
        <v>1</v>
      </c>
      <c r="AU936" s="1120">
        <f t="shared" si="1071"/>
        <v>1</v>
      </c>
      <c r="AV936" s="1120">
        <f t="shared" si="1072"/>
        <v>1</v>
      </c>
      <c r="AW936" s="1120">
        <f t="shared" si="1073"/>
        <v>1</v>
      </c>
      <c r="AX936" s="1120">
        <f t="shared" si="1074"/>
        <v>1</v>
      </c>
      <c r="AY936" s="1120">
        <f t="shared" si="1075"/>
        <v>0</v>
      </c>
      <c r="AZ936" s="1120">
        <f t="shared" si="1076"/>
        <v>0</v>
      </c>
      <c r="BA936" s="1120">
        <f t="shared" si="1077"/>
        <v>0</v>
      </c>
      <c r="BB936" s="1120">
        <f t="shared" si="1078"/>
        <v>0</v>
      </c>
      <c r="BC936" s="1120">
        <f t="shared" si="1079"/>
        <v>0</v>
      </c>
      <c r="BD936" s="1120">
        <f t="shared" si="1080"/>
        <v>0</v>
      </c>
      <c r="BE936" s="1120">
        <f t="shared" si="1081"/>
        <v>1</v>
      </c>
      <c r="BF936" s="1120">
        <f t="shared" si="1082"/>
        <v>1</v>
      </c>
      <c r="BG936" s="1120">
        <f t="shared" si="1083"/>
        <v>0</v>
      </c>
      <c r="BH936" s="1120">
        <f t="shared" si="1084"/>
        <v>0</v>
      </c>
      <c r="BI936" s="1120">
        <f t="shared" si="1085"/>
        <v>0</v>
      </c>
      <c r="BJ936" s="1120">
        <f t="shared" si="1086"/>
        <v>0</v>
      </c>
      <c r="BK936" s="1120">
        <f t="shared" si="1087"/>
        <v>1</v>
      </c>
      <c r="BL936" s="1120">
        <f t="shared" si="1088"/>
        <v>1</v>
      </c>
      <c r="BM936" s="1120">
        <f t="shared" si="1089"/>
        <v>1</v>
      </c>
      <c r="BN936" s="1120">
        <f t="shared" si="1090"/>
        <v>1</v>
      </c>
      <c r="BO936" s="1120">
        <f t="shared" si="1091"/>
        <v>1</v>
      </c>
      <c r="BP936" s="1120">
        <f t="shared" si="1092"/>
        <v>1</v>
      </c>
      <c r="BQ936" s="1120">
        <f t="shared" si="1093"/>
        <v>1</v>
      </c>
      <c r="BR936" s="1120">
        <f t="shared" si="1094"/>
        <v>1</v>
      </c>
      <c r="BS936" s="1120">
        <f t="shared" si="1095"/>
        <v>1</v>
      </c>
      <c r="BT936" s="1120">
        <f t="shared" si="1096"/>
        <v>1</v>
      </c>
      <c r="BU936" s="1120">
        <f t="shared" si="1097"/>
        <v>1</v>
      </c>
      <c r="BV936" s="1120">
        <f t="shared" si="1098"/>
        <v>1</v>
      </c>
      <c r="BW936" s="1120">
        <f t="shared" si="1099"/>
        <v>0</v>
      </c>
      <c r="BX936" s="1120">
        <f t="shared" si="1100"/>
        <v>0</v>
      </c>
      <c r="BY936" s="1120">
        <f t="shared" si="1101"/>
        <v>0</v>
      </c>
      <c r="BZ936" s="1120">
        <f t="shared" si="1102"/>
        <v>0</v>
      </c>
      <c r="CA936" s="1120">
        <f t="shared" si="1103"/>
        <v>0</v>
      </c>
      <c r="CB936" s="1120">
        <f t="shared" si="1104"/>
        <v>0</v>
      </c>
      <c r="CC936" s="1120">
        <f t="shared" si="1105"/>
        <v>1</v>
      </c>
      <c r="CD936" s="1120">
        <f t="shared" si="1106"/>
        <v>1</v>
      </c>
      <c r="CE936" s="1120">
        <f t="shared" si="1107"/>
        <v>0</v>
      </c>
      <c r="CF936" s="1120">
        <f t="shared" si="1108"/>
        <v>0</v>
      </c>
      <c r="CG936" s="1120">
        <f t="shared" si="1109"/>
        <v>0</v>
      </c>
      <c r="CH936" s="1120">
        <f t="shared" si="1110"/>
        <v>0</v>
      </c>
      <c r="CI936" s="1120">
        <f t="shared" si="1111"/>
        <v>0.85</v>
      </c>
      <c r="CJ936" s="1120">
        <f t="shared" si="1112"/>
        <v>0.85</v>
      </c>
      <c r="CK936" s="1120">
        <f t="shared" si="1113"/>
        <v>0.85</v>
      </c>
      <c r="CL936" s="1120">
        <f t="shared" si="1114"/>
        <v>0.85</v>
      </c>
      <c r="CM936" s="1120">
        <f t="shared" si="1115"/>
        <v>0.85</v>
      </c>
      <c r="CN936" s="1120">
        <f t="shared" si="1116"/>
        <v>0.85</v>
      </c>
      <c r="CO936" s="1120">
        <f t="shared" si="1117"/>
        <v>0.85</v>
      </c>
      <c r="CP936" s="1120">
        <f t="shared" si="1118"/>
        <v>0.85</v>
      </c>
      <c r="CQ936" s="1120">
        <f t="shared" si="1119"/>
        <v>0.85</v>
      </c>
      <c r="CR936" s="1120">
        <f t="shared" si="1120"/>
        <v>0.85</v>
      </c>
      <c r="CS936" s="1120">
        <f t="shared" si="1121"/>
        <v>0.85</v>
      </c>
      <c r="CT936" s="1120">
        <f t="shared" si="1122"/>
        <v>0.85</v>
      </c>
      <c r="CU936" s="1120">
        <v>1</v>
      </c>
      <c r="CV936" s="1120"/>
      <c r="CW936" s="1120">
        <f t="shared" si="1123"/>
        <v>62</v>
      </c>
      <c r="CX936" s="1120">
        <f t="shared" si="1124"/>
        <v>303</v>
      </c>
      <c r="CY936" s="1135" t="s">
        <v>4880</v>
      </c>
      <c r="CZ936" s="1124">
        <v>8</v>
      </c>
      <c r="DA936" s="1124"/>
      <c r="DB936" s="1124"/>
      <c r="DC936" s="1120" t="s">
        <v>4968</v>
      </c>
      <c r="DD936" s="1120" t="s">
        <v>953</v>
      </c>
      <c r="DE936" s="1120" t="str">
        <f t="shared" si="1125"/>
        <v/>
      </c>
      <c r="DF936" s="1120">
        <v>1</v>
      </c>
      <c r="DG936" s="1120">
        <v>0</v>
      </c>
    </row>
    <row r="937" spans="1:111">
      <c r="A937" s="1125" t="s">
        <v>4546</v>
      </c>
      <c r="B937" s="1125" t="s">
        <v>3527</v>
      </c>
      <c r="C937" s="1125" t="s">
        <v>3528</v>
      </c>
      <c r="D937" s="1125" t="s">
        <v>932</v>
      </c>
      <c r="E937" s="1125">
        <v>699</v>
      </c>
      <c r="F937" s="1125">
        <v>-88.37</v>
      </c>
      <c r="G937" s="1125">
        <v>40.06</v>
      </c>
      <c r="H937" s="1125">
        <v>-6</v>
      </c>
      <c r="I937" s="1126">
        <v>4.2800006866455069</v>
      </c>
      <c r="J937" s="1126">
        <v>90.139998626708987</v>
      </c>
      <c r="K937" s="1127">
        <v>75.380000686645502</v>
      </c>
      <c r="L937" s="1125">
        <v>5592.6</v>
      </c>
      <c r="M937" s="1125">
        <v>1063.8</v>
      </c>
      <c r="N937" s="1128">
        <v>23.359999656677246</v>
      </c>
      <c r="O937" s="1128">
        <v>29.660000085830688</v>
      </c>
      <c r="P937" s="1128">
        <v>42.8</v>
      </c>
      <c r="Q937" s="1128">
        <v>53.959999656677248</v>
      </c>
      <c r="R937" s="1128">
        <v>60.259999656677245</v>
      </c>
      <c r="S937" s="1128">
        <v>72.139998626708987</v>
      </c>
      <c r="T937" s="1128">
        <v>77.180000686645513</v>
      </c>
      <c r="U937" s="1128">
        <v>73.039998626708979</v>
      </c>
      <c r="V937" s="1128">
        <v>65.3</v>
      </c>
      <c r="W937" s="1128">
        <v>52.7</v>
      </c>
      <c r="X937" s="1128">
        <v>44.779999828338624</v>
      </c>
      <c r="Y937" s="1128">
        <v>27.320000171661377</v>
      </c>
      <c r="Z937" s="1128">
        <v>51.979013447957499</v>
      </c>
      <c r="AA937" s="1128">
        <f t="shared" si="1051"/>
        <v>46.438762358446667</v>
      </c>
      <c r="AB937" s="1128">
        <f t="shared" si="1052"/>
        <v>45.084823320183489</v>
      </c>
      <c r="AC937" s="1128">
        <f t="shared" si="1053"/>
        <v>47.091953644209248</v>
      </c>
      <c r="AD937" s="1128">
        <f t="shared" si="1054"/>
        <v>51.936963880752053</v>
      </c>
      <c r="AE937" s="1128">
        <f t="shared" si="1055"/>
        <v>58.356927447789232</v>
      </c>
      <c r="AF937" s="1128">
        <f t="shared" si="1056"/>
        <v>64.678381906939251</v>
      </c>
      <c r="AG937" s="1128">
        <f t="shared" si="1057"/>
        <v>69.253542736862656</v>
      </c>
      <c r="AH937" s="1128">
        <f t="shared" si="1058"/>
        <v>70.889823761877352</v>
      </c>
      <c r="AI937" s="1128">
        <f t="shared" si="1059"/>
        <v>69.160703116959382</v>
      </c>
      <c r="AJ937" s="1128">
        <f t="shared" si="1060"/>
        <v>64.516902744762348</v>
      </c>
      <c r="AK937" s="1128">
        <f t="shared" si="1061"/>
        <v>58.168900775429321</v>
      </c>
      <c r="AL937" s="1128">
        <f t="shared" si="1062"/>
        <v>51.771401747938462</v>
      </c>
      <c r="AM937" s="1125">
        <f t="shared" si="1063"/>
        <v>1</v>
      </c>
      <c r="AN937" s="1125">
        <f t="shared" si="1064"/>
        <v>1</v>
      </c>
      <c r="AO937" s="1125">
        <f t="shared" si="1065"/>
        <v>1</v>
      </c>
      <c r="AP937" s="1125">
        <f t="shared" si="1066"/>
        <v>1</v>
      </c>
      <c r="AQ937" s="1125">
        <f t="shared" si="1067"/>
        <v>1</v>
      </c>
      <c r="AR937" s="1125">
        <f t="shared" si="1068"/>
        <v>0</v>
      </c>
      <c r="AS937" s="1125">
        <f t="shared" si="1069"/>
        <v>0</v>
      </c>
      <c r="AT937" s="1125">
        <f t="shared" si="1070"/>
        <v>0</v>
      </c>
      <c r="AU937" s="1125">
        <f t="shared" si="1071"/>
        <v>1</v>
      </c>
      <c r="AV937" s="1125">
        <f t="shared" si="1072"/>
        <v>1</v>
      </c>
      <c r="AW937" s="1125">
        <f t="shared" si="1073"/>
        <v>1</v>
      </c>
      <c r="AX937" s="1125">
        <f t="shared" si="1074"/>
        <v>1</v>
      </c>
      <c r="AY937" s="1125">
        <f t="shared" si="1075"/>
        <v>0</v>
      </c>
      <c r="AZ937" s="1125">
        <f t="shared" si="1076"/>
        <v>0</v>
      </c>
      <c r="BA937" s="1125">
        <f t="shared" si="1077"/>
        <v>0</v>
      </c>
      <c r="BB937" s="1125">
        <f t="shared" si="1078"/>
        <v>0</v>
      </c>
      <c r="BC937" s="1125">
        <f t="shared" si="1079"/>
        <v>0</v>
      </c>
      <c r="BD937" s="1125">
        <f t="shared" si="1080"/>
        <v>1</v>
      </c>
      <c r="BE937" s="1125">
        <f t="shared" si="1081"/>
        <v>1</v>
      </c>
      <c r="BF937" s="1125">
        <f t="shared" si="1082"/>
        <v>1</v>
      </c>
      <c r="BG937" s="1125">
        <f t="shared" si="1083"/>
        <v>0</v>
      </c>
      <c r="BH937" s="1125">
        <f t="shared" si="1084"/>
        <v>0</v>
      </c>
      <c r="BI937" s="1125">
        <f t="shared" si="1085"/>
        <v>0</v>
      </c>
      <c r="BJ937" s="1125">
        <f t="shared" si="1086"/>
        <v>0</v>
      </c>
      <c r="BK937" s="1125">
        <f t="shared" si="1087"/>
        <v>1</v>
      </c>
      <c r="BL937" s="1125">
        <f t="shared" si="1088"/>
        <v>1</v>
      </c>
      <c r="BM937" s="1125">
        <f t="shared" si="1089"/>
        <v>1</v>
      </c>
      <c r="BN937" s="1125">
        <f t="shared" si="1090"/>
        <v>1</v>
      </c>
      <c r="BO937" s="1125">
        <f t="shared" si="1091"/>
        <v>1</v>
      </c>
      <c r="BP937" s="1125">
        <f t="shared" si="1092"/>
        <v>1</v>
      </c>
      <c r="BQ937" s="1125">
        <f t="shared" si="1093"/>
        <v>0</v>
      </c>
      <c r="BR937" s="1125">
        <f t="shared" si="1094"/>
        <v>0</v>
      </c>
      <c r="BS937" s="1125">
        <f t="shared" si="1095"/>
        <v>1</v>
      </c>
      <c r="BT937" s="1125">
        <f t="shared" si="1096"/>
        <v>1</v>
      </c>
      <c r="BU937" s="1125">
        <f t="shared" si="1097"/>
        <v>1</v>
      </c>
      <c r="BV937" s="1125">
        <f t="shared" si="1098"/>
        <v>1</v>
      </c>
      <c r="BW937" s="1125">
        <f t="shared" si="1099"/>
        <v>0</v>
      </c>
      <c r="BX937" s="1125">
        <f t="shared" si="1100"/>
        <v>0</v>
      </c>
      <c r="BY937" s="1125">
        <f t="shared" si="1101"/>
        <v>0</v>
      </c>
      <c r="BZ937" s="1125">
        <f t="shared" si="1102"/>
        <v>0</v>
      </c>
      <c r="CA937" s="1125">
        <f t="shared" si="1103"/>
        <v>1</v>
      </c>
      <c r="CB937" s="1125">
        <f t="shared" si="1104"/>
        <v>1</v>
      </c>
      <c r="CC937" s="1125">
        <f t="shared" si="1105"/>
        <v>1</v>
      </c>
      <c r="CD937" s="1125">
        <f t="shared" si="1106"/>
        <v>1</v>
      </c>
      <c r="CE937" s="1125">
        <f t="shared" si="1107"/>
        <v>1</v>
      </c>
      <c r="CF937" s="1125">
        <f t="shared" si="1108"/>
        <v>0</v>
      </c>
      <c r="CG937" s="1125">
        <f t="shared" si="1109"/>
        <v>0</v>
      </c>
      <c r="CH937" s="1125">
        <f t="shared" si="1110"/>
        <v>0</v>
      </c>
      <c r="CI937" s="1125">
        <f t="shared" si="1111"/>
        <v>0.85</v>
      </c>
      <c r="CJ937" s="1125">
        <f t="shared" si="1112"/>
        <v>0.85</v>
      </c>
      <c r="CK937" s="1125">
        <f t="shared" si="1113"/>
        <v>0.85</v>
      </c>
      <c r="CL937" s="1125">
        <f t="shared" si="1114"/>
        <v>0.85</v>
      </c>
      <c r="CM937" s="1125">
        <f t="shared" si="1115"/>
        <v>0.85</v>
      </c>
      <c r="CN937" s="1125">
        <f t="shared" si="1116"/>
        <v>0.85</v>
      </c>
      <c r="CO937" s="1125">
        <f t="shared" si="1117"/>
        <v>0.7</v>
      </c>
      <c r="CP937" s="1125">
        <f t="shared" si="1118"/>
        <v>0.7</v>
      </c>
      <c r="CQ937" s="1125">
        <f t="shared" si="1119"/>
        <v>0.85</v>
      </c>
      <c r="CR937" s="1125">
        <f t="shared" si="1120"/>
        <v>0.85</v>
      </c>
      <c r="CS937" s="1125">
        <f t="shared" si="1121"/>
        <v>0.85</v>
      </c>
      <c r="CT937" s="1125">
        <f t="shared" si="1122"/>
        <v>0.85</v>
      </c>
      <c r="CU937" s="1125">
        <v>1</v>
      </c>
      <c r="CV937" s="1125"/>
      <c r="CW937" s="1125">
        <f t="shared" si="1123"/>
        <v>153</v>
      </c>
      <c r="CX937" s="1125">
        <f t="shared" si="1124"/>
        <v>212</v>
      </c>
      <c r="CY937" s="1136" t="s">
        <v>4889</v>
      </c>
      <c r="CZ937" s="1129" t="s">
        <v>4897</v>
      </c>
      <c r="DA937" s="1129"/>
      <c r="DB937" s="1129"/>
      <c r="DC937" s="1125" t="s">
        <v>5215</v>
      </c>
      <c r="DD937" s="1125" t="s">
        <v>932</v>
      </c>
      <c r="DE937" s="1120" t="b">
        <f t="shared" si="1125"/>
        <v>0</v>
      </c>
      <c r="DF937" s="1133">
        <v>1</v>
      </c>
      <c r="DG937" s="1125">
        <v>0</v>
      </c>
    </row>
    <row r="938" spans="1:111">
      <c r="A938" s="1120" t="s">
        <v>4548</v>
      </c>
      <c r="B938" s="1125" t="s">
        <v>4156</v>
      </c>
      <c r="C938" s="1125" t="s">
        <v>4157</v>
      </c>
      <c r="D938" s="1125" t="s">
        <v>537</v>
      </c>
      <c r="E938" s="1125">
        <v>712</v>
      </c>
      <c r="F938" s="1125">
        <v>-75.38</v>
      </c>
      <c r="G938" s="1125">
        <v>43.15</v>
      </c>
      <c r="H938" s="1125">
        <v>-5</v>
      </c>
      <c r="I938" s="1126">
        <v>0.86000137329101489</v>
      </c>
      <c r="J938" s="1126">
        <v>84.380000686645502</v>
      </c>
      <c r="K938" s="1127">
        <v>70.519999313354489</v>
      </c>
      <c r="L938" s="1125">
        <v>6730.2</v>
      </c>
      <c r="M938" s="1125">
        <v>439.2</v>
      </c>
      <c r="N938" s="1128">
        <v>24.620000171661378</v>
      </c>
      <c r="O938" s="1128">
        <v>28.939999914169313</v>
      </c>
      <c r="P938" s="1128">
        <v>32.180000002682206</v>
      </c>
      <c r="Q938" s="1128">
        <v>43.7</v>
      </c>
      <c r="R938" s="1128">
        <v>58.640000343322754</v>
      </c>
      <c r="S938" s="1128">
        <v>66.019999313354489</v>
      </c>
      <c r="T938" s="1128">
        <v>69.080000686645505</v>
      </c>
      <c r="U938" s="1128">
        <v>66.019999313354489</v>
      </c>
      <c r="V938" s="1128">
        <v>61.880000686645509</v>
      </c>
      <c r="W938" s="1128">
        <v>50.180000686645506</v>
      </c>
      <c r="X938" s="1128">
        <v>39.559999656677249</v>
      </c>
      <c r="Y938" s="1128">
        <v>24.259999656677245</v>
      </c>
      <c r="Z938" s="1128">
        <v>47.176712367089642</v>
      </c>
      <c r="AA938" s="1128">
        <f t="shared" si="1051"/>
        <v>44.915882908672145</v>
      </c>
      <c r="AB938" s="1128">
        <f t="shared" si="1052"/>
        <v>43.505573510294695</v>
      </c>
      <c r="AC938" s="1128">
        <f t="shared" si="1053"/>
        <v>44.61619549170193</v>
      </c>
      <c r="AD938" s="1128">
        <f t="shared" si="1054"/>
        <v>47.958248118237265</v>
      </c>
      <c r="AE938" s="1128">
        <f t="shared" si="1055"/>
        <v>52.660573870204296</v>
      </c>
      <c r="AF938" s="1128">
        <f t="shared" si="1056"/>
        <v>57.497439075319505</v>
      </c>
      <c r="AG938" s="1128">
        <f t="shared" si="1057"/>
        <v>61.208040279520532</v>
      </c>
      <c r="AH938" s="1128">
        <f t="shared" si="1058"/>
        <v>62.825152096836931</v>
      </c>
      <c r="AI938" s="1128">
        <f t="shared" si="1059"/>
        <v>61.927249411637746</v>
      </c>
      <c r="AJ938" s="1128">
        <f t="shared" si="1060"/>
        <v>58.748384395919381</v>
      </c>
      <c r="AK938" s="1128">
        <f t="shared" si="1061"/>
        <v>54.117177203821555</v>
      </c>
      <c r="AL938" s="1128">
        <f t="shared" si="1062"/>
        <v>49.240823359027715</v>
      </c>
      <c r="AM938" s="1125">
        <f t="shared" si="1063"/>
        <v>1</v>
      </c>
      <c r="AN938" s="1125">
        <f t="shared" si="1064"/>
        <v>1</v>
      </c>
      <c r="AO938" s="1125">
        <f t="shared" si="1065"/>
        <v>1</v>
      </c>
      <c r="AP938" s="1125">
        <f t="shared" si="1066"/>
        <v>1</v>
      </c>
      <c r="AQ938" s="1125">
        <f t="shared" si="1067"/>
        <v>1</v>
      </c>
      <c r="AR938" s="1125">
        <f t="shared" si="1068"/>
        <v>0</v>
      </c>
      <c r="AS938" s="1125">
        <f t="shared" si="1069"/>
        <v>0</v>
      </c>
      <c r="AT938" s="1125">
        <f t="shared" si="1070"/>
        <v>0</v>
      </c>
      <c r="AU938" s="1125">
        <f t="shared" si="1071"/>
        <v>1</v>
      </c>
      <c r="AV938" s="1125">
        <f t="shared" si="1072"/>
        <v>1</v>
      </c>
      <c r="AW938" s="1125">
        <f t="shared" si="1073"/>
        <v>1</v>
      </c>
      <c r="AX938" s="1125">
        <f t="shared" si="1074"/>
        <v>1</v>
      </c>
      <c r="AY938" s="1125">
        <f t="shared" si="1075"/>
        <v>0</v>
      </c>
      <c r="AZ938" s="1125">
        <f t="shared" si="1076"/>
        <v>0</v>
      </c>
      <c r="BA938" s="1125">
        <f t="shared" si="1077"/>
        <v>0</v>
      </c>
      <c r="BB938" s="1125">
        <f t="shared" si="1078"/>
        <v>0</v>
      </c>
      <c r="BC938" s="1125">
        <f t="shared" si="1079"/>
        <v>0</v>
      </c>
      <c r="BD938" s="1125">
        <f t="shared" si="1080"/>
        <v>1</v>
      </c>
      <c r="BE938" s="1125">
        <f t="shared" si="1081"/>
        <v>1</v>
      </c>
      <c r="BF938" s="1125">
        <f t="shared" si="1082"/>
        <v>1</v>
      </c>
      <c r="BG938" s="1125">
        <f t="shared" si="1083"/>
        <v>0</v>
      </c>
      <c r="BH938" s="1125">
        <f t="shared" si="1084"/>
        <v>0</v>
      </c>
      <c r="BI938" s="1125">
        <f t="shared" si="1085"/>
        <v>0</v>
      </c>
      <c r="BJ938" s="1125">
        <f t="shared" si="1086"/>
        <v>0</v>
      </c>
      <c r="BK938" s="1125">
        <f t="shared" si="1087"/>
        <v>1</v>
      </c>
      <c r="BL938" s="1125">
        <f t="shared" si="1088"/>
        <v>1</v>
      </c>
      <c r="BM938" s="1125">
        <f t="shared" si="1089"/>
        <v>1</v>
      </c>
      <c r="BN938" s="1125">
        <f t="shared" si="1090"/>
        <v>1</v>
      </c>
      <c r="BO938" s="1125">
        <f t="shared" si="1091"/>
        <v>1</v>
      </c>
      <c r="BP938" s="1125">
        <f t="shared" si="1092"/>
        <v>1</v>
      </c>
      <c r="BQ938" s="1125">
        <f t="shared" si="1093"/>
        <v>0</v>
      </c>
      <c r="BR938" s="1125">
        <f t="shared" si="1094"/>
        <v>0</v>
      </c>
      <c r="BS938" s="1125">
        <f t="shared" si="1095"/>
        <v>1</v>
      </c>
      <c r="BT938" s="1125">
        <f t="shared" si="1096"/>
        <v>1</v>
      </c>
      <c r="BU938" s="1125">
        <f t="shared" si="1097"/>
        <v>1</v>
      </c>
      <c r="BV938" s="1125">
        <f t="shared" si="1098"/>
        <v>1</v>
      </c>
      <c r="BW938" s="1125">
        <f t="shared" si="1099"/>
        <v>0</v>
      </c>
      <c r="BX938" s="1125">
        <f t="shared" si="1100"/>
        <v>0</v>
      </c>
      <c r="BY938" s="1125">
        <f t="shared" si="1101"/>
        <v>0</v>
      </c>
      <c r="BZ938" s="1125">
        <f t="shared" si="1102"/>
        <v>0</v>
      </c>
      <c r="CA938" s="1125">
        <f t="shared" si="1103"/>
        <v>1</v>
      </c>
      <c r="CB938" s="1125">
        <f t="shared" si="1104"/>
        <v>1</v>
      </c>
      <c r="CC938" s="1125">
        <f t="shared" si="1105"/>
        <v>1</v>
      </c>
      <c r="CD938" s="1125">
        <f t="shared" si="1106"/>
        <v>1</v>
      </c>
      <c r="CE938" s="1125">
        <f t="shared" si="1107"/>
        <v>1</v>
      </c>
      <c r="CF938" s="1125">
        <f t="shared" si="1108"/>
        <v>0</v>
      </c>
      <c r="CG938" s="1125">
        <f t="shared" si="1109"/>
        <v>0</v>
      </c>
      <c r="CH938" s="1125">
        <f t="shared" si="1110"/>
        <v>0</v>
      </c>
      <c r="CI938" s="1125">
        <f t="shared" si="1111"/>
        <v>0.85</v>
      </c>
      <c r="CJ938" s="1125">
        <f t="shared" si="1112"/>
        <v>0.85</v>
      </c>
      <c r="CK938" s="1125">
        <f t="shared" si="1113"/>
        <v>0.85</v>
      </c>
      <c r="CL938" s="1125">
        <f t="shared" si="1114"/>
        <v>0.85</v>
      </c>
      <c r="CM938" s="1125">
        <f t="shared" si="1115"/>
        <v>0.85</v>
      </c>
      <c r="CN938" s="1125">
        <f t="shared" si="1116"/>
        <v>0.85</v>
      </c>
      <c r="CO938" s="1125">
        <f t="shared" si="1117"/>
        <v>0.7</v>
      </c>
      <c r="CP938" s="1125">
        <f t="shared" si="1118"/>
        <v>0.7</v>
      </c>
      <c r="CQ938" s="1125">
        <f t="shared" si="1119"/>
        <v>0.85</v>
      </c>
      <c r="CR938" s="1125">
        <f t="shared" si="1120"/>
        <v>0.85</v>
      </c>
      <c r="CS938" s="1125">
        <f t="shared" si="1121"/>
        <v>0.85</v>
      </c>
      <c r="CT938" s="1125">
        <f t="shared" si="1122"/>
        <v>0.85</v>
      </c>
      <c r="CU938" s="1125">
        <v>1</v>
      </c>
      <c r="CV938" s="1125"/>
      <c r="CW938" s="1125">
        <f t="shared" si="1123"/>
        <v>153</v>
      </c>
      <c r="CX938" s="1125">
        <f t="shared" si="1124"/>
        <v>212</v>
      </c>
      <c r="CY938" s="1136" t="s">
        <v>4889</v>
      </c>
      <c r="CZ938" s="1129" t="s">
        <v>4899</v>
      </c>
      <c r="DA938" s="1129"/>
      <c r="DB938" s="1129"/>
      <c r="DC938" s="1125" t="s">
        <v>5486</v>
      </c>
      <c r="DD938" s="1125" t="s">
        <v>537</v>
      </c>
      <c r="DE938" s="1120" t="str">
        <f t="shared" si="1125"/>
        <v/>
      </c>
      <c r="DF938" s="1133">
        <v>1</v>
      </c>
      <c r="DG938" s="1120">
        <v>0</v>
      </c>
    </row>
    <row r="939" spans="1:111">
      <c r="A939" s="1125" t="s">
        <v>4550</v>
      </c>
      <c r="B939" s="1125" t="s">
        <v>2992</v>
      </c>
      <c r="C939" s="1125" t="s">
        <v>2993</v>
      </c>
      <c r="D939" s="1125" t="s">
        <v>953</v>
      </c>
      <c r="E939" s="1125">
        <v>125</v>
      </c>
      <c r="F939" s="1125">
        <v>-146.27000000000001</v>
      </c>
      <c r="G939" s="1125">
        <v>61.13</v>
      </c>
      <c r="H939" s="1125">
        <v>-9</v>
      </c>
      <c r="I939" s="1126">
        <v>4.8199993133544918</v>
      </c>
      <c r="J939" s="1126">
        <v>66.019999313354489</v>
      </c>
      <c r="K939" s="1127">
        <v>54.680000686645506</v>
      </c>
      <c r="L939" s="1125">
        <v>8928</v>
      </c>
      <c r="M939" s="1125">
        <v>0</v>
      </c>
      <c r="N939" s="1128">
        <v>30.559999978542329</v>
      </c>
      <c r="O939" s="1128">
        <v>30.380000042915345</v>
      </c>
      <c r="P939" s="1128">
        <v>33.619999957084659</v>
      </c>
      <c r="Q939" s="1128">
        <v>36.320000171661377</v>
      </c>
      <c r="R939" s="1128">
        <v>44.240000343322755</v>
      </c>
      <c r="S939" s="1128">
        <v>53.6</v>
      </c>
      <c r="T939" s="1128">
        <v>53.059999656677249</v>
      </c>
      <c r="U939" s="1128">
        <v>53.059999656677249</v>
      </c>
      <c r="V939" s="1128">
        <v>48.2</v>
      </c>
      <c r="W939" s="1128">
        <v>37.039999914169314</v>
      </c>
      <c r="X939" s="1128">
        <v>30.559999978542329</v>
      </c>
      <c r="Y939" s="1128">
        <v>28.039999914169311</v>
      </c>
      <c r="Z939" s="1128">
        <v>39.94317804862375</v>
      </c>
      <c r="AA939" s="1128">
        <f t="shared" si="1051"/>
        <v>42.348738067471103</v>
      </c>
      <c r="AB939" s="1128">
        <f t="shared" si="1052"/>
        <v>41.405319750843645</v>
      </c>
      <c r="AC939" s="1128">
        <f t="shared" si="1053"/>
        <v>41.644764130045722</v>
      </c>
      <c r="AD939" s="1128">
        <f t="shared" si="1054"/>
        <v>43.004656337688729</v>
      </c>
      <c r="AE939" s="1128">
        <f t="shared" si="1055"/>
        <v>45.13051951327725</v>
      </c>
      <c r="AF939" s="1128">
        <f t="shared" si="1056"/>
        <v>47.468214659550945</v>
      </c>
      <c r="AG939" s="1128">
        <f t="shared" si="1057"/>
        <v>49.40838551166091</v>
      </c>
      <c r="AH939" s="1128">
        <f t="shared" si="1058"/>
        <v>50.445296638066814</v>
      </c>
      <c r="AI939" s="1128">
        <f t="shared" si="1059"/>
        <v>50.308661174386813</v>
      </c>
      <c r="AJ939" s="1128">
        <f t="shared" si="1060"/>
        <v>49.03409525984533</v>
      </c>
      <c r="AK939" s="1128">
        <f t="shared" si="1061"/>
        <v>46.953834141722901</v>
      </c>
      <c r="AL939" s="1128">
        <f t="shared" si="1062"/>
        <v>44.610129938252335</v>
      </c>
      <c r="AM939" s="1125">
        <f t="shared" si="1063"/>
        <v>1</v>
      </c>
      <c r="AN939" s="1125">
        <f t="shared" si="1064"/>
        <v>1</v>
      </c>
      <c r="AO939" s="1125">
        <f t="shared" si="1065"/>
        <v>1</v>
      </c>
      <c r="AP939" s="1125">
        <f t="shared" si="1066"/>
        <v>1</v>
      </c>
      <c r="AQ939" s="1125">
        <f t="shared" si="1067"/>
        <v>1</v>
      </c>
      <c r="AR939" s="1125">
        <f t="shared" si="1068"/>
        <v>1</v>
      </c>
      <c r="AS939" s="1125">
        <f t="shared" si="1069"/>
        <v>1</v>
      </c>
      <c r="AT939" s="1125">
        <f t="shared" si="1070"/>
        <v>1</v>
      </c>
      <c r="AU939" s="1125">
        <f t="shared" si="1071"/>
        <v>1</v>
      </c>
      <c r="AV939" s="1125">
        <f t="shared" si="1072"/>
        <v>1</v>
      </c>
      <c r="AW939" s="1125">
        <f t="shared" si="1073"/>
        <v>1</v>
      </c>
      <c r="AX939" s="1125">
        <f t="shared" si="1074"/>
        <v>1</v>
      </c>
      <c r="AY939" s="1125">
        <f t="shared" si="1075"/>
        <v>0</v>
      </c>
      <c r="AZ939" s="1125">
        <f t="shared" si="1076"/>
        <v>0</v>
      </c>
      <c r="BA939" s="1125">
        <f t="shared" si="1077"/>
        <v>0</v>
      </c>
      <c r="BB939" s="1125">
        <f t="shared" si="1078"/>
        <v>0</v>
      </c>
      <c r="BC939" s="1125">
        <f t="shared" si="1079"/>
        <v>0</v>
      </c>
      <c r="BD939" s="1125">
        <f t="shared" si="1080"/>
        <v>0</v>
      </c>
      <c r="BE939" s="1125">
        <f t="shared" si="1081"/>
        <v>1</v>
      </c>
      <c r="BF939" s="1125">
        <f t="shared" si="1082"/>
        <v>1</v>
      </c>
      <c r="BG939" s="1125">
        <f t="shared" si="1083"/>
        <v>0</v>
      </c>
      <c r="BH939" s="1125">
        <f t="shared" si="1084"/>
        <v>0</v>
      </c>
      <c r="BI939" s="1125">
        <f t="shared" si="1085"/>
        <v>0</v>
      </c>
      <c r="BJ939" s="1125">
        <f t="shared" si="1086"/>
        <v>0</v>
      </c>
      <c r="BK939" s="1125">
        <f t="shared" si="1087"/>
        <v>1</v>
      </c>
      <c r="BL939" s="1125">
        <f t="shared" si="1088"/>
        <v>1</v>
      </c>
      <c r="BM939" s="1125">
        <f t="shared" si="1089"/>
        <v>1</v>
      </c>
      <c r="BN939" s="1125">
        <f t="shared" si="1090"/>
        <v>1</v>
      </c>
      <c r="BO939" s="1125">
        <f t="shared" si="1091"/>
        <v>1</v>
      </c>
      <c r="BP939" s="1125">
        <f t="shared" si="1092"/>
        <v>1</v>
      </c>
      <c r="BQ939" s="1125">
        <f t="shared" si="1093"/>
        <v>1</v>
      </c>
      <c r="BR939" s="1125">
        <f t="shared" si="1094"/>
        <v>1</v>
      </c>
      <c r="BS939" s="1125">
        <f t="shared" si="1095"/>
        <v>1</v>
      </c>
      <c r="BT939" s="1125">
        <f t="shared" si="1096"/>
        <v>1</v>
      </c>
      <c r="BU939" s="1125">
        <f t="shared" si="1097"/>
        <v>1</v>
      </c>
      <c r="BV939" s="1125">
        <f t="shared" si="1098"/>
        <v>1</v>
      </c>
      <c r="BW939" s="1125">
        <f t="shared" si="1099"/>
        <v>0</v>
      </c>
      <c r="BX939" s="1125">
        <f t="shared" si="1100"/>
        <v>0</v>
      </c>
      <c r="BY939" s="1125">
        <f t="shared" si="1101"/>
        <v>0</v>
      </c>
      <c r="BZ939" s="1125">
        <f t="shared" si="1102"/>
        <v>0</v>
      </c>
      <c r="CA939" s="1125">
        <f t="shared" si="1103"/>
        <v>0</v>
      </c>
      <c r="CB939" s="1125">
        <f t="shared" si="1104"/>
        <v>0</v>
      </c>
      <c r="CC939" s="1125">
        <f t="shared" si="1105"/>
        <v>1</v>
      </c>
      <c r="CD939" s="1125">
        <f t="shared" si="1106"/>
        <v>1</v>
      </c>
      <c r="CE939" s="1125">
        <f t="shared" si="1107"/>
        <v>0</v>
      </c>
      <c r="CF939" s="1125">
        <f t="shared" si="1108"/>
        <v>0</v>
      </c>
      <c r="CG939" s="1125">
        <f t="shared" si="1109"/>
        <v>0</v>
      </c>
      <c r="CH939" s="1125">
        <f t="shared" si="1110"/>
        <v>0</v>
      </c>
      <c r="CI939" s="1125">
        <f t="shared" si="1111"/>
        <v>0.85</v>
      </c>
      <c r="CJ939" s="1125">
        <f t="shared" si="1112"/>
        <v>0.85</v>
      </c>
      <c r="CK939" s="1125">
        <f t="shared" si="1113"/>
        <v>0.85</v>
      </c>
      <c r="CL939" s="1125">
        <f t="shared" si="1114"/>
        <v>0.85</v>
      </c>
      <c r="CM939" s="1125">
        <f t="shared" si="1115"/>
        <v>0.85</v>
      </c>
      <c r="CN939" s="1125">
        <f t="shared" si="1116"/>
        <v>0.85</v>
      </c>
      <c r="CO939" s="1125">
        <f t="shared" si="1117"/>
        <v>0.85</v>
      </c>
      <c r="CP939" s="1125">
        <f t="shared" si="1118"/>
        <v>0.85</v>
      </c>
      <c r="CQ939" s="1125">
        <f t="shared" si="1119"/>
        <v>0.85</v>
      </c>
      <c r="CR939" s="1125">
        <f t="shared" si="1120"/>
        <v>0.85</v>
      </c>
      <c r="CS939" s="1125">
        <f t="shared" si="1121"/>
        <v>0.85</v>
      </c>
      <c r="CT939" s="1125">
        <f t="shared" si="1122"/>
        <v>0.85</v>
      </c>
      <c r="CU939" s="1125">
        <v>1</v>
      </c>
      <c r="CV939" s="1125"/>
      <c r="CW939" s="1125">
        <f t="shared" si="1123"/>
        <v>62</v>
      </c>
      <c r="CX939" s="1125">
        <f t="shared" si="1124"/>
        <v>303</v>
      </c>
      <c r="CY939" s="1136" t="s">
        <v>4879</v>
      </c>
      <c r="CZ939" s="1129">
        <v>7</v>
      </c>
      <c r="DA939" s="1129"/>
      <c r="DB939" s="1129"/>
      <c r="DC939" s="1125" t="s">
        <v>4969</v>
      </c>
      <c r="DD939" s="1125" t="s">
        <v>953</v>
      </c>
      <c r="DE939" s="1125" t="str">
        <f t="shared" si="1125"/>
        <v/>
      </c>
      <c r="DF939" s="1125">
        <v>1</v>
      </c>
      <c r="DG939" s="1125">
        <v>0</v>
      </c>
    </row>
    <row r="940" spans="1:111">
      <c r="A940" s="1120" t="s">
        <v>4552</v>
      </c>
      <c r="B940" s="1120" t="s">
        <v>2994</v>
      </c>
      <c r="C940" s="1120" t="s">
        <v>2995</v>
      </c>
      <c r="D940" s="1120" t="s">
        <v>953</v>
      </c>
      <c r="E940" s="1120">
        <v>23</v>
      </c>
      <c r="F940" s="1120">
        <v>-146.35</v>
      </c>
      <c r="G940" s="1120">
        <v>61.13</v>
      </c>
      <c r="H940" s="1120">
        <v>-9</v>
      </c>
      <c r="I940" s="1121">
        <v>7.3400003433227532</v>
      </c>
      <c r="J940" s="1121">
        <v>66.739998626708982</v>
      </c>
      <c r="K940" s="1122">
        <v>55.759999656677245</v>
      </c>
      <c r="L940" s="1120">
        <v>9149.4</v>
      </c>
      <c r="M940" s="1120">
        <v>1.8</v>
      </c>
      <c r="N940" s="1123">
        <v>23.9</v>
      </c>
      <c r="O940" s="1123">
        <v>26.23999991416931</v>
      </c>
      <c r="P940" s="1123">
        <v>30.380000042915345</v>
      </c>
      <c r="Q940" s="1123">
        <v>38.839999914169312</v>
      </c>
      <c r="R940" s="1123">
        <v>46.940000343322751</v>
      </c>
      <c r="S940" s="1123">
        <v>53.959999656677248</v>
      </c>
      <c r="T940" s="1123">
        <v>55.580000686645505</v>
      </c>
      <c r="U940" s="1123">
        <v>53.240000343322755</v>
      </c>
      <c r="V940" s="1123">
        <v>48.2</v>
      </c>
      <c r="W940" s="1123">
        <v>39.02000017166138</v>
      </c>
      <c r="X940" s="1123">
        <v>29.839999914169312</v>
      </c>
      <c r="Y940" s="1123">
        <v>25.160000085830688</v>
      </c>
      <c r="Z940" s="1123">
        <v>39.344493243922926</v>
      </c>
      <c r="AA940" s="1123">
        <f t="shared" si="1051"/>
        <v>40.999765093921596</v>
      </c>
      <c r="AB940" s="1123">
        <f t="shared" si="1052"/>
        <v>39.823034594620189</v>
      </c>
      <c r="AC940" s="1123">
        <f t="shared" si="1053"/>
        <v>40.085557380512924</v>
      </c>
      <c r="AD940" s="1123">
        <f t="shared" si="1054"/>
        <v>41.718902841858281</v>
      </c>
      <c r="AE940" s="1123">
        <f t="shared" si="1055"/>
        <v>44.297314313541108</v>
      </c>
      <c r="AF940" s="1123">
        <f t="shared" si="1056"/>
        <v>47.148689110943756</v>
      </c>
      <c r="AG940" s="1123">
        <f t="shared" si="1057"/>
        <v>49.529772452107501</v>
      </c>
      <c r="AH940" s="1123">
        <f t="shared" si="1058"/>
        <v>50.81989827055304</v>
      </c>
      <c r="AI940" s="1123">
        <f t="shared" si="1059"/>
        <v>50.682775390261853</v>
      </c>
      <c r="AJ940" s="1123">
        <f t="shared" si="1060"/>
        <v>49.154147003109401</v>
      </c>
      <c r="AK940" s="1123">
        <f t="shared" si="1061"/>
        <v>46.632473655083473</v>
      </c>
      <c r="AL940" s="1123">
        <f t="shared" si="1062"/>
        <v>43.775068364509607</v>
      </c>
      <c r="AM940" s="1120">
        <f t="shared" si="1063"/>
        <v>1</v>
      </c>
      <c r="AN940" s="1120">
        <f t="shared" si="1064"/>
        <v>1</v>
      </c>
      <c r="AO940" s="1120">
        <f t="shared" si="1065"/>
        <v>1</v>
      </c>
      <c r="AP940" s="1120">
        <f t="shared" si="1066"/>
        <v>1</v>
      </c>
      <c r="AQ940" s="1120">
        <f t="shared" si="1067"/>
        <v>1</v>
      </c>
      <c r="AR940" s="1120">
        <f t="shared" si="1068"/>
        <v>1</v>
      </c>
      <c r="AS940" s="1120">
        <f t="shared" si="1069"/>
        <v>1</v>
      </c>
      <c r="AT940" s="1120">
        <f t="shared" si="1070"/>
        <v>1</v>
      </c>
      <c r="AU940" s="1120">
        <f t="shared" si="1071"/>
        <v>1</v>
      </c>
      <c r="AV940" s="1120">
        <f t="shared" si="1072"/>
        <v>1</v>
      </c>
      <c r="AW940" s="1120">
        <f t="shared" si="1073"/>
        <v>1</v>
      </c>
      <c r="AX940" s="1120">
        <f t="shared" si="1074"/>
        <v>1</v>
      </c>
      <c r="AY940" s="1120">
        <f t="shared" si="1075"/>
        <v>0</v>
      </c>
      <c r="AZ940" s="1120">
        <f t="shared" si="1076"/>
        <v>0</v>
      </c>
      <c r="BA940" s="1120">
        <f t="shared" si="1077"/>
        <v>0</v>
      </c>
      <c r="BB940" s="1120">
        <f t="shared" si="1078"/>
        <v>0</v>
      </c>
      <c r="BC940" s="1120">
        <f t="shared" si="1079"/>
        <v>0</v>
      </c>
      <c r="BD940" s="1120">
        <f t="shared" si="1080"/>
        <v>0</v>
      </c>
      <c r="BE940" s="1120">
        <f t="shared" si="1081"/>
        <v>1</v>
      </c>
      <c r="BF940" s="1120">
        <f t="shared" si="1082"/>
        <v>1</v>
      </c>
      <c r="BG940" s="1120">
        <f t="shared" si="1083"/>
        <v>0</v>
      </c>
      <c r="BH940" s="1120">
        <f t="shared" si="1084"/>
        <v>0</v>
      </c>
      <c r="BI940" s="1120">
        <f t="shared" si="1085"/>
        <v>0</v>
      </c>
      <c r="BJ940" s="1120">
        <f t="shared" si="1086"/>
        <v>0</v>
      </c>
      <c r="BK940" s="1120">
        <f t="shared" si="1087"/>
        <v>1</v>
      </c>
      <c r="BL940" s="1120">
        <f t="shared" si="1088"/>
        <v>1</v>
      </c>
      <c r="BM940" s="1120">
        <f t="shared" si="1089"/>
        <v>1</v>
      </c>
      <c r="BN940" s="1120">
        <f t="shared" si="1090"/>
        <v>1</v>
      </c>
      <c r="BO940" s="1120">
        <f t="shared" si="1091"/>
        <v>1</v>
      </c>
      <c r="BP940" s="1120">
        <f t="shared" si="1092"/>
        <v>1</v>
      </c>
      <c r="BQ940" s="1120">
        <f t="shared" si="1093"/>
        <v>1</v>
      </c>
      <c r="BR940" s="1120">
        <f t="shared" si="1094"/>
        <v>1</v>
      </c>
      <c r="BS940" s="1120">
        <f t="shared" si="1095"/>
        <v>1</v>
      </c>
      <c r="BT940" s="1120">
        <f t="shared" si="1096"/>
        <v>1</v>
      </c>
      <c r="BU940" s="1120">
        <f t="shared" si="1097"/>
        <v>1</v>
      </c>
      <c r="BV940" s="1120">
        <f t="shared" si="1098"/>
        <v>1</v>
      </c>
      <c r="BW940" s="1120">
        <f t="shared" si="1099"/>
        <v>0</v>
      </c>
      <c r="BX940" s="1120">
        <f t="shared" si="1100"/>
        <v>0</v>
      </c>
      <c r="BY940" s="1120">
        <f t="shared" si="1101"/>
        <v>0</v>
      </c>
      <c r="BZ940" s="1120">
        <f t="shared" si="1102"/>
        <v>0</v>
      </c>
      <c r="CA940" s="1120">
        <f t="shared" si="1103"/>
        <v>0</v>
      </c>
      <c r="CB940" s="1120">
        <f t="shared" si="1104"/>
        <v>0</v>
      </c>
      <c r="CC940" s="1120">
        <f t="shared" si="1105"/>
        <v>1</v>
      </c>
      <c r="CD940" s="1120">
        <f t="shared" si="1106"/>
        <v>1</v>
      </c>
      <c r="CE940" s="1120">
        <f t="shared" si="1107"/>
        <v>0</v>
      </c>
      <c r="CF940" s="1120">
        <f t="shared" si="1108"/>
        <v>0</v>
      </c>
      <c r="CG940" s="1120">
        <f t="shared" si="1109"/>
        <v>0</v>
      </c>
      <c r="CH940" s="1120">
        <f t="shared" si="1110"/>
        <v>0</v>
      </c>
      <c r="CI940" s="1120">
        <f t="shared" si="1111"/>
        <v>0.85</v>
      </c>
      <c r="CJ940" s="1120">
        <f t="shared" si="1112"/>
        <v>0.85</v>
      </c>
      <c r="CK940" s="1120">
        <f t="shared" si="1113"/>
        <v>0.85</v>
      </c>
      <c r="CL940" s="1120">
        <f t="shared" si="1114"/>
        <v>0.85</v>
      </c>
      <c r="CM940" s="1120">
        <f t="shared" si="1115"/>
        <v>0.85</v>
      </c>
      <c r="CN940" s="1120">
        <f t="shared" si="1116"/>
        <v>0.85</v>
      </c>
      <c r="CO940" s="1120">
        <f t="shared" si="1117"/>
        <v>0.85</v>
      </c>
      <c r="CP940" s="1120">
        <f t="shared" si="1118"/>
        <v>0.85</v>
      </c>
      <c r="CQ940" s="1120">
        <f t="shared" si="1119"/>
        <v>0.85</v>
      </c>
      <c r="CR940" s="1120">
        <f t="shared" si="1120"/>
        <v>0.85</v>
      </c>
      <c r="CS940" s="1120">
        <f t="shared" si="1121"/>
        <v>0.85</v>
      </c>
      <c r="CT940" s="1120">
        <f t="shared" si="1122"/>
        <v>0.85</v>
      </c>
      <c r="CU940" s="1120">
        <v>1</v>
      </c>
      <c r="CV940" s="1120"/>
      <c r="CW940" s="1120">
        <f t="shared" si="1123"/>
        <v>62</v>
      </c>
      <c r="CX940" s="1120">
        <f t="shared" si="1124"/>
        <v>303</v>
      </c>
      <c r="CY940" s="1135" t="s">
        <v>4879</v>
      </c>
      <c r="CZ940" s="1124">
        <v>7</v>
      </c>
      <c r="DA940" s="1124"/>
      <c r="DB940" s="1124"/>
      <c r="DC940" s="1120" t="s">
        <v>4970</v>
      </c>
      <c r="DD940" s="1120" t="s">
        <v>953</v>
      </c>
      <c r="DE940" s="1120" t="str">
        <f t="shared" si="1125"/>
        <v/>
      </c>
      <c r="DF940" s="1120">
        <v>0</v>
      </c>
      <c r="DG940" s="1120">
        <v>0</v>
      </c>
    </row>
    <row r="941" spans="1:111">
      <c r="A941" s="1125" t="s">
        <v>4554</v>
      </c>
      <c r="B941" s="1120" t="s">
        <v>3380</v>
      </c>
      <c r="C941" s="1120" t="s">
        <v>3381</v>
      </c>
      <c r="D941" s="1120" t="s">
        <v>428</v>
      </c>
      <c r="E941" s="1120">
        <v>200</v>
      </c>
      <c r="F941" s="1120">
        <v>-83.28</v>
      </c>
      <c r="G941" s="1120">
        <v>30.78</v>
      </c>
      <c r="H941" s="1120">
        <v>-5</v>
      </c>
      <c r="I941" s="1121">
        <v>30.919999957084656</v>
      </c>
      <c r="J941" s="1121">
        <v>93.379997253417969</v>
      </c>
      <c r="K941" s="1122">
        <v>76.639998626708987</v>
      </c>
      <c r="L941" s="1120">
        <v>1494</v>
      </c>
      <c r="M941" s="1120">
        <v>2710.8</v>
      </c>
      <c r="N941" s="1123">
        <v>55.040000343322752</v>
      </c>
      <c r="O941" s="1123">
        <v>52.519999313354489</v>
      </c>
      <c r="P941" s="1123">
        <v>62.239998626708989</v>
      </c>
      <c r="Q941" s="1123">
        <v>70.33999862670899</v>
      </c>
      <c r="R941" s="1123">
        <v>76.639998626708987</v>
      </c>
      <c r="S941" s="1123">
        <v>78.439998626708984</v>
      </c>
      <c r="T941" s="1123">
        <v>79.880000686645502</v>
      </c>
      <c r="U941" s="1123">
        <v>82.4</v>
      </c>
      <c r="V941" s="1123">
        <v>76.460001373291021</v>
      </c>
      <c r="W941" s="1123">
        <v>70.519999313354489</v>
      </c>
      <c r="X941" s="1123">
        <v>58.1</v>
      </c>
      <c r="Y941" s="1123">
        <v>48.919999313354495</v>
      </c>
      <c r="Z941" s="1123">
        <v>67.713972174762048</v>
      </c>
      <c r="AA941" s="1123">
        <f t="shared" si="1051"/>
        <v>63.248785771109553</v>
      </c>
      <c r="AB941" s="1123">
        <f t="shared" si="1052"/>
        <v>63.596585353952996</v>
      </c>
      <c r="AC941" s="1123">
        <f t="shared" si="1053"/>
        <v>66.58163772529069</v>
      </c>
      <c r="AD941" s="1123">
        <f t="shared" si="1054"/>
        <v>71.425842983483989</v>
      </c>
      <c r="AE941" s="1123">
        <f t="shared" si="1055"/>
        <v>76.866484376522095</v>
      </c>
      <c r="AF941" s="1123">
        <f t="shared" si="1056"/>
        <v>81.485374882487861</v>
      </c>
      <c r="AG941" s="1123">
        <f t="shared" si="1057"/>
        <v>84.078529511744037</v>
      </c>
      <c r="AH941" s="1123">
        <f t="shared" si="1058"/>
        <v>83.970002548452527</v>
      </c>
      <c r="AI941" s="1123">
        <f t="shared" si="1059"/>
        <v>81.188083218046387</v>
      </c>
      <c r="AJ941" s="1123">
        <f t="shared" si="1060"/>
        <v>76.457921664670579</v>
      </c>
      <c r="AK941" s="1123">
        <f t="shared" si="1061"/>
        <v>71.012507391208473</v>
      </c>
      <c r="AL941" s="1123">
        <f t="shared" si="1062"/>
        <v>66.271271544412087</v>
      </c>
      <c r="AM941" s="1120">
        <f t="shared" si="1063"/>
        <v>1</v>
      </c>
      <c r="AN941" s="1120">
        <f t="shared" si="1064"/>
        <v>1</v>
      </c>
      <c r="AO941" s="1120">
        <f t="shared" si="1065"/>
        <v>1</v>
      </c>
      <c r="AP941" s="1120">
        <f t="shared" si="1066"/>
        <v>0</v>
      </c>
      <c r="AQ941" s="1120">
        <f t="shared" si="1067"/>
        <v>0</v>
      </c>
      <c r="AR941" s="1120">
        <f t="shared" si="1068"/>
        <v>0</v>
      </c>
      <c r="AS941" s="1120">
        <f t="shared" si="1069"/>
        <v>0</v>
      </c>
      <c r="AT941" s="1120">
        <f t="shared" si="1070"/>
        <v>0</v>
      </c>
      <c r="AU941" s="1120">
        <f t="shared" si="1071"/>
        <v>0</v>
      </c>
      <c r="AV941" s="1120">
        <f t="shared" si="1072"/>
        <v>0</v>
      </c>
      <c r="AW941" s="1120">
        <f t="shared" si="1073"/>
        <v>1</v>
      </c>
      <c r="AX941" s="1120">
        <f t="shared" si="1074"/>
        <v>1</v>
      </c>
      <c r="AY941" s="1120">
        <f t="shared" si="1075"/>
        <v>0</v>
      </c>
      <c r="AZ941" s="1120">
        <f t="shared" si="1076"/>
        <v>0</v>
      </c>
      <c r="BA941" s="1120">
        <f t="shared" si="1077"/>
        <v>0</v>
      </c>
      <c r="BB941" s="1120">
        <f t="shared" si="1078"/>
        <v>1</v>
      </c>
      <c r="BC941" s="1120">
        <f t="shared" si="1079"/>
        <v>1</v>
      </c>
      <c r="BD941" s="1120">
        <f t="shared" si="1080"/>
        <v>1</v>
      </c>
      <c r="BE941" s="1120">
        <f t="shared" si="1081"/>
        <v>1</v>
      </c>
      <c r="BF941" s="1120">
        <f t="shared" si="1082"/>
        <v>1</v>
      </c>
      <c r="BG941" s="1120">
        <f t="shared" si="1083"/>
        <v>1</v>
      </c>
      <c r="BH941" s="1120">
        <f t="shared" si="1084"/>
        <v>1</v>
      </c>
      <c r="BI941" s="1120">
        <f t="shared" si="1085"/>
        <v>0</v>
      </c>
      <c r="BJ941" s="1120">
        <f t="shared" si="1086"/>
        <v>0</v>
      </c>
      <c r="BK941" s="1120">
        <f t="shared" si="1087"/>
        <v>1</v>
      </c>
      <c r="BL941" s="1120">
        <f t="shared" si="1088"/>
        <v>1</v>
      </c>
      <c r="BM941" s="1120">
        <f t="shared" si="1089"/>
        <v>1</v>
      </c>
      <c r="BN941" s="1120">
        <f t="shared" si="1090"/>
        <v>1</v>
      </c>
      <c r="BO941" s="1120">
        <f t="shared" si="1091"/>
        <v>0</v>
      </c>
      <c r="BP941" s="1120">
        <f t="shared" si="1092"/>
        <v>0</v>
      </c>
      <c r="BQ941" s="1120">
        <f t="shared" si="1093"/>
        <v>0</v>
      </c>
      <c r="BR941" s="1120">
        <f t="shared" si="1094"/>
        <v>0</v>
      </c>
      <c r="BS941" s="1120">
        <f t="shared" si="1095"/>
        <v>0</v>
      </c>
      <c r="BT941" s="1120">
        <f t="shared" si="1096"/>
        <v>0</v>
      </c>
      <c r="BU941" s="1120">
        <f t="shared" si="1097"/>
        <v>1</v>
      </c>
      <c r="BV941" s="1120">
        <f t="shared" si="1098"/>
        <v>1</v>
      </c>
      <c r="BW941" s="1120">
        <f t="shared" si="1099"/>
        <v>0</v>
      </c>
      <c r="BX941" s="1120">
        <f t="shared" si="1100"/>
        <v>0</v>
      </c>
      <c r="BY941" s="1120">
        <f t="shared" si="1101"/>
        <v>1</v>
      </c>
      <c r="BZ941" s="1120">
        <f t="shared" si="1102"/>
        <v>1</v>
      </c>
      <c r="CA941" s="1120">
        <f t="shared" si="1103"/>
        <v>1</v>
      </c>
      <c r="CB941" s="1120">
        <f t="shared" si="1104"/>
        <v>1</v>
      </c>
      <c r="CC941" s="1120">
        <f t="shared" si="1105"/>
        <v>1</v>
      </c>
      <c r="CD941" s="1120">
        <f t="shared" si="1106"/>
        <v>1</v>
      </c>
      <c r="CE941" s="1120">
        <f t="shared" si="1107"/>
        <v>1</v>
      </c>
      <c r="CF941" s="1120">
        <f t="shared" si="1108"/>
        <v>1</v>
      </c>
      <c r="CG941" s="1120">
        <f t="shared" si="1109"/>
        <v>1</v>
      </c>
      <c r="CH941" s="1120">
        <f t="shared" si="1110"/>
        <v>0</v>
      </c>
      <c r="CI941" s="1120">
        <f t="shared" si="1111"/>
        <v>0.85</v>
      </c>
      <c r="CJ941" s="1120">
        <f t="shared" si="1112"/>
        <v>0.85</v>
      </c>
      <c r="CK941" s="1120">
        <f t="shared" si="1113"/>
        <v>0.85</v>
      </c>
      <c r="CL941" s="1120">
        <f t="shared" si="1114"/>
        <v>0.85</v>
      </c>
      <c r="CM941" s="1120">
        <f t="shared" si="1115"/>
        <v>0.7</v>
      </c>
      <c r="CN941" s="1120">
        <f t="shared" si="1116"/>
        <v>0.7</v>
      </c>
      <c r="CO941" s="1120">
        <f t="shared" si="1117"/>
        <v>0.7</v>
      </c>
      <c r="CP941" s="1120">
        <f t="shared" si="1118"/>
        <v>0.7</v>
      </c>
      <c r="CQ941" s="1120">
        <f t="shared" si="1119"/>
        <v>0.7</v>
      </c>
      <c r="CR941" s="1120">
        <f t="shared" si="1120"/>
        <v>0.7</v>
      </c>
      <c r="CS941" s="1120">
        <f t="shared" si="1121"/>
        <v>0.85</v>
      </c>
      <c r="CT941" s="1120">
        <f t="shared" si="1122"/>
        <v>0.85</v>
      </c>
      <c r="CU941" s="1120">
        <v>1</v>
      </c>
      <c r="CV941" s="1120"/>
      <c r="CW941" s="1120">
        <f t="shared" si="1123"/>
        <v>275</v>
      </c>
      <c r="CX941" s="1120">
        <f t="shared" si="1124"/>
        <v>90</v>
      </c>
      <c r="CY941" s="1135" t="s">
        <v>4883</v>
      </c>
      <c r="CZ941" s="1124" t="s">
        <v>4884</v>
      </c>
      <c r="DA941" s="1124"/>
      <c r="DB941" s="1124"/>
      <c r="DC941" s="1120" t="s">
        <v>5145</v>
      </c>
      <c r="DD941" s="1120" t="s">
        <v>428</v>
      </c>
      <c r="DE941" s="1120" t="str">
        <f t="shared" si="1125"/>
        <v/>
      </c>
      <c r="DF941" s="1133">
        <v>0</v>
      </c>
      <c r="DG941" s="1125">
        <v>0</v>
      </c>
    </row>
    <row r="942" spans="1:111">
      <c r="A942" s="1120" t="s">
        <v>4556</v>
      </c>
      <c r="B942" s="1120" t="s">
        <v>4036</v>
      </c>
      <c r="C942" s="1120" t="s">
        <v>4037</v>
      </c>
      <c r="D942" s="1120" t="s">
        <v>771</v>
      </c>
      <c r="E942" s="1120">
        <v>2588</v>
      </c>
      <c r="F942" s="1120">
        <v>-100.55</v>
      </c>
      <c r="G942" s="1120">
        <v>42.87</v>
      </c>
      <c r="H942" s="1120">
        <v>-6</v>
      </c>
      <c r="I942" s="1121">
        <v>-5.8000000000000007</v>
      </c>
      <c r="J942" s="1121">
        <v>93.920002746582028</v>
      </c>
      <c r="K942" s="1122">
        <v>68.360001373291013</v>
      </c>
      <c r="L942" s="1120">
        <v>6361.2</v>
      </c>
      <c r="M942" s="1120">
        <v>891</v>
      </c>
      <c r="N942" s="1123">
        <v>24.079999828338622</v>
      </c>
      <c r="O942" s="1123">
        <v>32.540000021457672</v>
      </c>
      <c r="P942" s="1123">
        <v>35.960000085830686</v>
      </c>
      <c r="Q942" s="1123">
        <v>46.220000171661376</v>
      </c>
      <c r="R942" s="1123">
        <v>59.359999656677246</v>
      </c>
      <c r="S942" s="1123">
        <v>69.260001373291018</v>
      </c>
      <c r="T942" s="1123">
        <v>74.66000137329101</v>
      </c>
      <c r="U942" s="1123">
        <v>72.5</v>
      </c>
      <c r="V942" s="1123">
        <v>63.680000686645506</v>
      </c>
      <c r="W942" s="1123">
        <v>50.359999656677246</v>
      </c>
      <c r="X942" s="1123">
        <v>37.039999914169314</v>
      </c>
      <c r="Y942" s="1123">
        <v>26.420000171661378</v>
      </c>
      <c r="Z942" s="1123">
        <v>49.426465997042719</v>
      </c>
      <c r="AA942" s="1123">
        <f t="shared" si="1051"/>
        <v>45.394069722703691</v>
      </c>
      <c r="AB942" s="1123">
        <f t="shared" si="1052"/>
        <v>43.938421783317317</v>
      </c>
      <c r="AC942" s="1123">
        <f t="shared" si="1053"/>
        <v>45.477309604358638</v>
      </c>
      <c r="AD942" s="1123">
        <f t="shared" si="1054"/>
        <v>49.609598360294065</v>
      </c>
      <c r="AE942" s="1123">
        <f t="shared" si="1055"/>
        <v>55.258143306391716</v>
      </c>
      <c r="AF942" s="1123">
        <f t="shared" si="1056"/>
        <v>60.950564155738725</v>
      </c>
      <c r="AG942" s="1123">
        <f t="shared" si="1057"/>
        <v>65.203043691092162</v>
      </c>
      <c r="AH942" s="1123">
        <f t="shared" si="1058"/>
        <v>66.907107588868868</v>
      </c>
      <c r="AI942" s="1123">
        <f t="shared" si="1059"/>
        <v>65.618565333693766</v>
      </c>
      <c r="AJ942" s="1123">
        <f t="shared" si="1060"/>
        <v>61.673295321415473</v>
      </c>
      <c r="AK942" s="1123">
        <f t="shared" si="1061"/>
        <v>56.099692979185569</v>
      </c>
      <c r="AL942" s="1123">
        <f t="shared" si="1062"/>
        <v>50.350603649318295</v>
      </c>
      <c r="AM942" s="1120">
        <f t="shared" si="1063"/>
        <v>1</v>
      </c>
      <c r="AN942" s="1120">
        <f t="shared" si="1064"/>
        <v>1</v>
      </c>
      <c r="AO942" s="1120">
        <f t="shared" si="1065"/>
        <v>1</v>
      </c>
      <c r="AP942" s="1120">
        <f t="shared" si="1066"/>
        <v>1</v>
      </c>
      <c r="AQ942" s="1120">
        <f t="shared" si="1067"/>
        <v>1</v>
      </c>
      <c r="AR942" s="1120">
        <f t="shared" si="1068"/>
        <v>0</v>
      </c>
      <c r="AS942" s="1120">
        <f t="shared" si="1069"/>
        <v>0</v>
      </c>
      <c r="AT942" s="1120">
        <f t="shared" si="1070"/>
        <v>0</v>
      </c>
      <c r="AU942" s="1120">
        <f t="shared" si="1071"/>
        <v>1</v>
      </c>
      <c r="AV942" s="1120">
        <f t="shared" si="1072"/>
        <v>1</v>
      </c>
      <c r="AW942" s="1120">
        <f t="shared" si="1073"/>
        <v>1</v>
      </c>
      <c r="AX942" s="1120">
        <f t="shared" si="1074"/>
        <v>1</v>
      </c>
      <c r="AY942" s="1120">
        <f t="shared" si="1075"/>
        <v>0</v>
      </c>
      <c r="AZ942" s="1120">
        <f t="shared" si="1076"/>
        <v>0</v>
      </c>
      <c r="BA942" s="1120">
        <f t="shared" si="1077"/>
        <v>0</v>
      </c>
      <c r="BB942" s="1120">
        <f t="shared" si="1078"/>
        <v>0</v>
      </c>
      <c r="BC942" s="1120">
        <f t="shared" si="1079"/>
        <v>0</v>
      </c>
      <c r="BD942" s="1120">
        <f t="shared" si="1080"/>
        <v>1</v>
      </c>
      <c r="BE942" s="1120">
        <f t="shared" si="1081"/>
        <v>1</v>
      </c>
      <c r="BF942" s="1120">
        <f t="shared" si="1082"/>
        <v>1</v>
      </c>
      <c r="BG942" s="1120">
        <f t="shared" si="1083"/>
        <v>0</v>
      </c>
      <c r="BH942" s="1120">
        <f t="shared" si="1084"/>
        <v>0</v>
      </c>
      <c r="BI942" s="1120">
        <f t="shared" si="1085"/>
        <v>0</v>
      </c>
      <c r="BJ942" s="1120">
        <f t="shared" si="1086"/>
        <v>0</v>
      </c>
      <c r="BK942" s="1120">
        <f t="shared" si="1087"/>
        <v>1</v>
      </c>
      <c r="BL942" s="1120">
        <f t="shared" si="1088"/>
        <v>1</v>
      </c>
      <c r="BM942" s="1120">
        <f t="shared" si="1089"/>
        <v>1</v>
      </c>
      <c r="BN942" s="1120">
        <f t="shared" si="1090"/>
        <v>1</v>
      </c>
      <c r="BO942" s="1120">
        <f t="shared" si="1091"/>
        <v>1</v>
      </c>
      <c r="BP942" s="1120">
        <f t="shared" si="1092"/>
        <v>1</v>
      </c>
      <c r="BQ942" s="1120">
        <f t="shared" si="1093"/>
        <v>0</v>
      </c>
      <c r="BR942" s="1120">
        <f t="shared" si="1094"/>
        <v>0</v>
      </c>
      <c r="BS942" s="1120">
        <f t="shared" si="1095"/>
        <v>1</v>
      </c>
      <c r="BT942" s="1120">
        <f t="shared" si="1096"/>
        <v>1</v>
      </c>
      <c r="BU942" s="1120">
        <f t="shared" si="1097"/>
        <v>1</v>
      </c>
      <c r="BV942" s="1120">
        <f t="shared" si="1098"/>
        <v>1</v>
      </c>
      <c r="BW942" s="1120">
        <f t="shared" si="1099"/>
        <v>0</v>
      </c>
      <c r="BX942" s="1120">
        <f t="shared" si="1100"/>
        <v>0</v>
      </c>
      <c r="BY942" s="1120">
        <f t="shared" si="1101"/>
        <v>0</v>
      </c>
      <c r="BZ942" s="1120">
        <f t="shared" si="1102"/>
        <v>0</v>
      </c>
      <c r="CA942" s="1120">
        <f t="shared" si="1103"/>
        <v>1</v>
      </c>
      <c r="CB942" s="1120">
        <f t="shared" si="1104"/>
        <v>1</v>
      </c>
      <c r="CC942" s="1120">
        <f t="shared" si="1105"/>
        <v>1</v>
      </c>
      <c r="CD942" s="1120">
        <f t="shared" si="1106"/>
        <v>1</v>
      </c>
      <c r="CE942" s="1120">
        <f t="shared" si="1107"/>
        <v>1</v>
      </c>
      <c r="CF942" s="1120">
        <f t="shared" si="1108"/>
        <v>0</v>
      </c>
      <c r="CG942" s="1120">
        <f t="shared" si="1109"/>
        <v>0</v>
      </c>
      <c r="CH942" s="1120">
        <f t="shared" si="1110"/>
        <v>0</v>
      </c>
      <c r="CI942" s="1120">
        <f t="shared" si="1111"/>
        <v>0.85</v>
      </c>
      <c r="CJ942" s="1120">
        <f t="shared" si="1112"/>
        <v>0.85</v>
      </c>
      <c r="CK942" s="1120">
        <f t="shared" si="1113"/>
        <v>0.85</v>
      </c>
      <c r="CL942" s="1120">
        <f t="shared" si="1114"/>
        <v>0.85</v>
      </c>
      <c r="CM942" s="1120">
        <f t="shared" si="1115"/>
        <v>0.85</v>
      </c>
      <c r="CN942" s="1120">
        <f t="shared" si="1116"/>
        <v>0.85</v>
      </c>
      <c r="CO942" s="1120">
        <f t="shared" si="1117"/>
        <v>0.7</v>
      </c>
      <c r="CP942" s="1120">
        <f t="shared" si="1118"/>
        <v>0.7</v>
      </c>
      <c r="CQ942" s="1120">
        <f t="shared" si="1119"/>
        <v>0.85</v>
      </c>
      <c r="CR942" s="1120">
        <f t="shared" si="1120"/>
        <v>0.85</v>
      </c>
      <c r="CS942" s="1120">
        <f t="shared" si="1121"/>
        <v>0.85</v>
      </c>
      <c r="CT942" s="1120">
        <f t="shared" si="1122"/>
        <v>0.85</v>
      </c>
      <c r="CU942" s="1120">
        <v>1</v>
      </c>
      <c r="CV942" s="1120"/>
      <c r="CW942" s="1120">
        <f t="shared" si="1123"/>
        <v>153</v>
      </c>
      <c r="CX942" s="1120">
        <f t="shared" si="1124"/>
        <v>212</v>
      </c>
      <c r="CY942" s="1135" t="s">
        <v>4889</v>
      </c>
      <c r="CZ942" s="1124" t="s">
        <v>4897</v>
      </c>
      <c r="DA942" s="1124"/>
      <c r="DB942" s="1124"/>
      <c r="DC942" s="1120" t="s">
        <v>5431</v>
      </c>
      <c r="DD942" s="1120" t="s">
        <v>771</v>
      </c>
      <c r="DE942" s="1120" t="str">
        <f t="shared" si="1125"/>
        <v/>
      </c>
      <c r="DF942" s="1133">
        <v>0</v>
      </c>
      <c r="DG942" s="1120">
        <v>0</v>
      </c>
    </row>
    <row r="943" spans="1:111">
      <c r="A943" s="1125" t="s">
        <v>4558</v>
      </c>
      <c r="B943" s="1120" t="s">
        <v>3338</v>
      </c>
      <c r="C943" s="1120" t="s">
        <v>3339</v>
      </c>
      <c r="D943" s="1120" t="s">
        <v>594</v>
      </c>
      <c r="E943" s="1120">
        <v>66</v>
      </c>
      <c r="F943" s="1120">
        <v>-86.52</v>
      </c>
      <c r="G943" s="1120">
        <v>30.48</v>
      </c>
      <c r="H943" s="1120">
        <v>-6</v>
      </c>
      <c r="I943" s="1121">
        <v>32.540000021457672</v>
      </c>
      <c r="J943" s="1121">
        <v>90.679997253417966</v>
      </c>
      <c r="K943" s="1122">
        <v>76.819999313354487</v>
      </c>
      <c r="L943" s="1120">
        <v>1945.8</v>
      </c>
      <c r="M943" s="1120">
        <v>2412</v>
      </c>
      <c r="N943" s="1123">
        <v>47.840000343322757</v>
      </c>
      <c r="O943" s="1123">
        <v>53.240000343322755</v>
      </c>
      <c r="P943" s="1123">
        <v>55.040000343322752</v>
      </c>
      <c r="Q943" s="1123">
        <v>63.139998626708987</v>
      </c>
      <c r="R943" s="1123">
        <v>75.560001373291016</v>
      </c>
      <c r="S943" s="1123">
        <v>79.7</v>
      </c>
      <c r="T943" s="1123">
        <v>81.139998626708987</v>
      </c>
      <c r="U943" s="1123">
        <v>79.33999862670899</v>
      </c>
      <c r="V943" s="1123">
        <v>76.280000686645508</v>
      </c>
      <c r="W943" s="1123">
        <v>67.639998626708987</v>
      </c>
      <c r="X943" s="1123">
        <v>60.080000686645505</v>
      </c>
      <c r="Y943" s="1123">
        <v>48.380000686645509</v>
      </c>
      <c r="Z943" s="1123">
        <v>65.67084922476991</v>
      </c>
      <c r="AA943" s="1123">
        <f t="shared" si="1051"/>
        <v>61.671604022627086</v>
      </c>
      <c r="AB943" s="1123">
        <f t="shared" si="1052"/>
        <v>61.822322863680625</v>
      </c>
      <c r="AC943" s="1123">
        <f t="shared" si="1053"/>
        <v>64.540211871137359</v>
      </c>
      <c r="AD943" s="1123">
        <f t="shared" si="1054"/>
        <v>69.116811391266282</v>
      </c>
      <c r="AE943" s="1123">
        <f t="shared" si="1055"/>
        <v>74.359160231612321</v>
      </c>
      <c r="AF943" s="1123">
        <f t="shared" si="1056"/>
        <v>78.900759379898247</v>
      </c>
      <c r="AG943" s="1123">
        <f t="shared" si="1057"/>
        <v>81.557771029961941</v>
      </c>
      <c r="AH943" s="1123">
        <f t="shared" si="1058"/>
        <v>81.637604149425357</v>
      </c>
      <c r="AI943" s="1123">
        <f t="shared" si="1059"/>
        <v>79.119449005434731</v>
      </c>
      <c r="AJ943" s="1123">
        <f t="shared" si="1060"/>
        <v>74.659701542216652</v>
      </c>
      <c r="AK943" s="1123">
        <f t="shared" si="1061"/>
        <v>69.420863662847665</v>
      </c>
      <c r="AL943" s="1123">
        <f t="shared" si="1062"/>
        <v>64.76851919352076</v>
      </c>
      <c r="AM943" s="1120">
        <f t="shared" si="1063"/>
        <v>1</v>
      </c>
      <c r="AN943" s="1120">
        <f t="shared" si="1064"/>
        <v>1</v>
      </c>
      <c r="AO943" s="1120">
        <f t="shared" si="1065"/>
        <v>1</v>
      </c>
      <c r="AP943" s="1120">
        <f t="shared" si="1066"/>
        <v>1</v>
      </c>
      <c r="AQ943" s="1120">
        <f t="shared" si="1067"/>
        <v>0</v>
      </c>
      <c r="AR943" s="1120">
        <f t="shared" si="1068"/>
        <v>0</v>
      </c>
      <c r="AS943" s="1120">
        <f t="shared" si="1069"/>
        <v>0</v>
      </c>
      <c r="AT943" s="1120">
        <f t="shared" si="1070"/>
        <v>0</v>
      </c>
      <c r="AU943" s="1120">
        <f t="shared" si="1071"/>
        <v>0</v>
      </c>
      <c r="AV943" s="1120">
        <f t="shared" si="1072"/>
        <v>0</v>
      </c>
      <c r="AW943" s="1120">
        <f t="shared" si="1073"/>
        <v>1</v>
      </c>
      <c r="AX943" s="1120">
        <f t="shared" si="1074"/>
        <v>1</v>
      </c>
      <c r="AY943" s="1120">
        <f t="shared" si="1075"/>
        <v>0</v>
      </c>
      <c r="AZ943" s="1120">
        <f t="shared" si="1076"/>
        <v>0</v>
      </c>
      <c r="BA943" s="1120">
        <f t="shared" si="1077"/>
        <v>0</v>
      </c>
      <c r="BB943" s="1120">
        <f t="shared" si="1078"/>
        <v>0</v>
      </c>
      <c r="BC943" s="1120">
        <f t="shared" si="1079"/>
        <v>1</v>
      </c>
      <c r="BD943" s="1120">
        <f t="shared" si="1080"/>
        <v>1</v>
      </c>
      <c r="BE943" s="1120">
        <f t="shared" si="1081"/>
        <v>1</v>
      </c>
      <c r="BF943" s="1120">
        <f t="shared" si="1082"/>
        <v>1</v>
      </c>
      <c r="BG943" s="1120">
        <f t="shared" si="1083"/>
        <v>1</v>
      </c>
      <c r="BH943" s="1120">
        <f t="shared" si="1084"/>
        <v>1</v>
      </c>
      <c r="BI943" s="1120">
        <f t="shared" si="1085"/>
        <v>0</v>
      </c>
      <c r="BJ943" s="1120">
        <f t="shared" si="1086"/>
        <v>0</v>
      </c>
      <c r="BK943" s="1120">
        <f t="shared" si="1087"/>
        <v>1</v>
      </c>
      <c r="BL943" s="1120">
        <f t="shared" si="1088"/>
        <v>1</v>
      </c>
      <c r="BM943" s="1120">
        <f t="shared" si="1089"/>
        <v>1</v>
      </c>
      <c r="BN943" s="1120">
        <f t="shared" si="1090"/>
        <v>1</v>
      </c>
      <c r="BO943" s="1120">
        <f t="shared" si="1091"/>
        <v>1</v>
      </c>
      <c r="BP943" s="1120">
        <f t="shared" si="1092"/>
        <v>0</v>
      </c>
      <c r="BQ943" s="1120">
        <f t="shared" si="1093"/>
        <v>0</v>
      </c>
      <c r="BR943" s="1120">
        <f t="shared" si="1094"/>
        <v>0</v>
      </c>
      <c r="BS943" s="1120">
        <f t="shared" si="1095"/>
        <v>0</v>
      </c>
      <c r="BT943" s="1120">
        <f t="shared" si="1096"/>
        <v>0</v>
      </c>
      <c r="BU943" s="1120">
        <f t="shared" si="1097"/>
        <v>1</v>
      </c>
      <c r="BV943" s="1120">
        <f t="shared" si="1098"/>
        <v>1</v>
      </c>
      <c r="BW943" s="1120">
        <f t="shared" si="1099"/>
        <v>0</v>
      </c>
      <c r="BX943" s="1120">
        <f t="shared" si="1100"/>
        <v>0</v>
      </c>
      <c r="BY943" s="1120">
        <f t="shared" si="1101"/>
        <v>0</v>
      </c>
      <c r="BZ943" s="1120">
        <f t="shared" si="1102"/>
        <v>1</v>
      </c>
      <c r="CA943" s="1120">
        <f t="shared" si="1103"/>
        <v>1</v>
      </c>
      <c r="CB943" s="1120">
        <f t="shared" si="1104"/>
        <v>1</v>
      </c>
      <c r="CC943" s="1120">
        <f t="shared" si="1105"/>
        <v>1</v>
      </c>
      <c r="CD943" s="1120">
        <f t="shared" si="1106"/>
        <v>1</v>
      </c>
      <c r="CE943" s="1120">
        <f t="shared" si="1107"/>
        <v>1</v>
      </c>
      <c r="CF943" s="1120">
        <f t="shared" si="1108"/>
        <v>1</v>
      </c>
      <c r="CG943" s="1120">
        <f t="shared" si="1109"/>
        <v>1</v>
      </c>
      <c r="CH943" s="1120">
        <f t="shared" si="1110"/>
        <v>0</v>
      </c>
      <c r="CI943" s="1120">
        <f t="shared" si="1111"/>
        <v>0.85</v>
      </c>
      <c r="CJ943" s="1120">
        <f t="shared" si="1112"/>
        <v>0.85</v>
      </c>
      <c r="CK943" s="1120">
        <f t="shared" si="1113"/>
        <v>0.85</v>
      </c>
      <c r="CL943" s="1120">
        <f t="shared" si="1114"/>
        <v>0.85</v>
      </c>
      <c r="CM943" s="1120">
        <f t="shared" si="1115"/>
        <v>0.85</v>
      </c>
      <c r="CN943" s="1120">
        <f t="shared" si="1116"/>
        <v>0.7</v>
      </c>
      <c r="CO943" s="1120">
        <f t="shared" si="1117"/>
        <v>0.7</v>
      </c>
      <c r="CP943" s="1120">
        <f t="shared" si="1118"/>
        <v>0.7</v>
      </c>
      <c r="CQ943" s="1120">
        <f t="shared" si="1119"/>
        <v>0.7</v>
      </c>
      <c r="CR943" s="1120">
        <f t="shared" si="1120"/>
        <v>0.7</v>
      </c>
      <c r="CS943" s="1120">
        <f t="shared" si="1121"/>
        <v>0.85</v>
      </c>
      <c r="CT943" s="1120">
        <f t="shared" si="1122"/>
        <v>0.85</v>
      </c>
      <c r="CU943" s="1120">
        <v>1</v>
      </c>
      <c r="CV943" s="1120"/>
      <c r="CW943" s="1120">
        <f t="shared" si="1123"/>
        <v>244</v>
      </c>
      <c r="CX943" s="1120">
        <f t="shared" si="1124"/>
        <v>121</v>
      </c>
      <c r="CY943" s="1135" t="s">
        <v>4883</v>
      </c>
      <c r="CZ943" s="1124" t="s">
        <v>4884</v>
      </c>
      <c r="DA943" s="1124"/>
      <c r="DB943" s="1124"/>
      <c r="DC943" s="1120" t="s">
        <v>5955</v>
      </c>
      <c r="DD943" s="1120" t="s">
        <v>594</v>
      </c>
      <c r="DE943" s="1120" t="b">
        <f t="shared" si="1125"/>
        <v>0</v>
      </c>
      <c r="DF943" s="1133">
        <v>1</v>
      </c>
      <c r="DG943" s="1125">
        <v>0</v>
      </c>
    </row>
    <row r="944" spans="1:111">
      <c r="A944" s="1120" t="s">
        <v>4586</v>
      </c>
      <c r="B944" s="1125" t="s">
        <v>3276</v>
      </c>
      <c r="C944" s="1125" t="s">
        <v>3277</v>
      </c>
      <c r="D944" s="1125" t="s">
        <v>594</v>
      </c>
      <c r="E944" s="1125">
        <v>39</v>
      </c>
      <c r="F944" s="1125">
        <v>-86.68</v>
      </c>
      <c r="G944" s="1125">
        <v>30.42</v>
      </c>
      <c r="H944" s="1125">
        <v>-6</v>
      </c>
      <c r="I944" s="1126">
        <v>32.720000010728839</v>
      </c>
      <c r="J944" s="1126">
        <v>90.679997253417966</v>
      </c>
      <c r="K944" s="1127">
        <v>77.900000000000006</v>
      </c>
      <c r="L944" s="1125">
        <v>1776.6000000000001</v>
      </c>
      <c r="M944" s="1125">
        <v>2606.4</v>
      </c>
      <c r="N944" s="1128">
        <v>49.1</v>
      </c>
      <c r="O944" s="1128">
        <v>53.959999656677248</v>
      </c>
      <c r="P944" s="1128">
        <v>55.940000343322751</v>
      </c>
      <c r="Q944" s="1128">
        <v>68.180000686645513</v>
      </c>
      <c r="R944" s="1128">
        <v>77</v>
      </c>
      <c r="S944" s="1128">
        <v>79.33999862670899</v>
      </c>
      <c r="T944" s="1128">
        <v>81.860001373291013</v>
      </c>
      <c r="U944" s="1128">
        <v>80.060001373291016</v>
      </c>
      <c r="V944" s="1128">
        <v>77.180000686645513</v>
      </c>
      <c r="W944" s="1128">
        <v>66.919999313354495</v>
      </c>
      <c r="X944" s="1128">
        <v>58.640000343322754</v>
      </c>
      <c r="Y944" s="1128">
        <v>51.080000686645505</v>
      </c>
      <c r="Z944" s="1128">
        <v>66.662575606777239</v>
      </c>
      <c r="AA944" s="1128">
        <f t="shared" si="1051"/>
        <v>62.628917053620498</v>
      </c>
      <c r="AB944" s="1128">
        <f t="shared" si="1052"/>
        <v>62.868948485052698</v>
      </c>
      <c r="AC944" s="1128">
        <f t="shared" si="1053"/>
        <v>65.661839750124784</v>
      </c>
      <c r="AD944" s="1128">
        <f t="shared" si="1054"/>
        <v>70.279580700838522</v>
      </c>
      <c r="AE944" s="1128">
        <f t="shared" si="1055"/>
        <v>75.518485996848284</v>
      </c>
      <c r="AF944" s="1128">
        <f t="shared" si="1056"/>
        <v>80.012954238774725</v>
      </c>
      <c r="AG944" s="1128">
        <f t="shared" si="1057"/>
        <v>82.591433017507555</v>
      </c>
      <c r="AH944" s="1128">
        <f t="shared" si="1058"/>
        <v>82.581802103809309</v>
      </c>
      <c r="AI944" s="1128">
        <f t="shared" si="1059"/>
        <v>79.98657194375231</v>
      </c>
      <c r="AJ944" s="1128">
        <f t="shared" si="1060"/>
        <v>75.482229272262771</v>
      </c>
      <c r="AK944" s="1128">
        <f t="shared" si="1061"/>
        <v>70.242900420686155</v>
      </c>
      <c r="AL944" s="1128">
        <f t="shared" si="1062"/>
        <v>65.634297194687505</v>
      </c>
      <c r="AM944" s="1125">
        <f t="shared" si="1063"/>
        <v>1</v>
      </c>
      <c r="AN944" s="1125">
        <f t="shared" si="1064"/>
        <v>1</v>
      </c>
      <c r="AO944" s="1125">
        <f t="shared" si="1065"/>
        <v>1</v>
      </c>
      <c r="AP944" s="1125">
        <f t="shared" si="1066"/>
        <v>0</v>
      </c>
      <c r="AQ944" s="1125">
        <f t="shared" si="1067"/>
        <v>0</v>
      </c>
      <c r="AR944" s="1125">
        <f t="shared" si="1068"/>
        <v>0</v>
      </c>
      <c r="AS944" s="1125">
        <f t="shared" si="1069"/>
        <v>0</v>
      </c>
      <c r="AT944" s="1125">
        <f t="shared" si="1070"/>
        <v>0</v>
      </c>
      <c r="AU944" s="1125">
        <f t="shared" si="1071"/>
        <v>0</v>
      </c>
      <c r="AV944" s="1125">
        <f t="shared" si="1072"/>
        <v>0</v>
      </c>
      <c r="AW944" s="1125">
        <f t="shared" si="1073"/>
        <v>1</v>
      </c>
      <c r="AX944" s="1125">
        <f t="shared" si="1074"/>
        <v>1</v>
      </c>
      <c r="AY944" s="1125">
        <f t="shared" si="1075"/>
        <v>0</v>
      </c>
      <c r="AZ944" s="1125">
        <f t="shared" si="1076"/>
        <v>0</v>
      </c>
      <c r="BA944" s="1125">
        <f t="shared" si="1077"/>
        <v>0</v>
      </c>
      <c r="BB944" s="1125">
        <f t="shared" si="1078"/>
        <v>1</v>
      </c>
      <c r="BC944" s="1125">
        <f t="shared" si="1079"/>
        <v>1</v>
      </c>
      <c r="BD944" s="1125">
        <f t="shared" si="1080"/>
        <v>1</v>
      </c>
      <c r="BE944" s="1125">
        <f t="shared" si="1081"/>
        <v>1</v>
      </c>
      <c r="BF944" s="1125">
        <f t="shared" si="1082"/>
        <v>1</v>
      </c>
      <c r="BG944" s="1125">
        <f t="shared" si="1083"/>
        <v>1</v>
      </c>
      <c r="BH944" s="1125">
        <f t="shared" si="1084"/>
        <v>1</v>
      </c>
      <c r="BI944" s="1125">
        <f t="shared" si="1085"/>
        <v>0</v>
      </c>
      <c r="BJ944" s="1125">
        <f t="shared" si="1086"/>
        <v>0</v>
      </c>
      <c r="BK944" s="1125">
        <f t="shared" si="1087"/>
        <v>1</v>
      </c>
      <c r="BL944" s="1125">
        <f t="shared" si="1088"/>
        <v>1</v>
      </c>
      <c r="BM944" s="1125">
        <f t="shared" si="1089"/>
        <v>1</v>
      </c>
      <c r="BN944" s="1125">
        <f t="shared" si="1090"/>
        <v>1</v>
      </c>
      <c r="BO944" s="1125">
        <f t="shared" si="1091"/>
        <v>0</v>
      </c>
      <c r="BP944" s="1125">
        <f t="shared" si="1092"/>
        <v>0</v>
      </c>
      <c r="BQ944" s="1125">
        <f t="shared" si="1093"/>
        <v>0</v>
      </c>
      <c r="BR944" s="1125">
        <f t="shared" si="1094"/>
        <v>0</v>
      </c>
      <c r="BS944" s="1125">
        <f t="shared" si="1095"/>
        <v>0</v>
      </c>
      <c r="BT944" s="1125">
        <f t="shared" si="1096"/>
        <v>0</v>
      </c>
      <c r="BU944" s="1125">
        <f t="shared" si="1097"/>
        <v>1</v>
      </c>
      <c r="BV944" s="1125">
        <f t="shared" si="1098"/>
        <v>1</v>
      </c>
      <c r="BW944" s="1125">
        <f t="shared" si="1099"/>
        <v>0</v>
      </c>
      <c r="BX944" s="1125">
        <f t="shared" si="1100"/>
        <v>0</v>
      </c>
      <c r="BY944" s="1125">
        <f t="shared" si="1101"/>
        <v>1</v>
      </c>
      <c r="BZ944" s="1125">
        <f t="shared" si="1102"/>
        <v>1</v>
      </c>
      <c r="CA944" s="1125">
        <f t="shared" si="1103"/>
        <v>1</v>
      </c>
      <c r="CB944" s="1125">
        <f t="shared" si="1104"/>
        <v>1</v>
      </c>
      <c r="CC944" s="1125">
        <f t="shared" si="1105"/>
        <v>1</v>
      </c>
      <c r="CD944" s="1125">
        <f t="shared" si="1106"/>
        <v>1</v>
      </c>
      <c r="CE944" s="1125">
        <f t="shared" si="1107"/>
        <v>1</v>
      </c>
      <c r="CF944" s="1125">
        <f t="shared" si="1108"/>
        <v>1</v>
      </c>
      <c r="CG944" s="1125">
        <f t="shared" si="1109"/>
        <v>1</v>
      </c>
      <c r="CH944" s="1125">
        <f t="shared" si="1110"/>
        <v>0</v>
      </c>
      <c r="CI944" s="1125">
        <f t="shared" si="1111"/>
        <v>0.85</v>
      </c>
      <c r="CJ944" s="1125">
        <f t="shared" si="1112"/>
        <v>0.85</v>
      </c>
      <c r="CK944" s="1125">
        <f t="shared" si="1113"/>
        <v>0.85</v>
      </c>
      <c r="CL944" s="1125">
        <f t="shared" si="1114"/>
        <v>0.85</v>
      </c>
      <c r="CM944" s="1125">
        <f t="shared" si="1115"/>
        <v>0.7</v>
      </c>
      <c r="CN944" s="1125">
        <f t="shared" si="1116"/>
        <v>0.7</v>
      </c>
      <c r="CO944" s="1125">
        <f t="shared" si="1117"/>
        <v>0.7</v>
      </c>
      <c r="CP944" s="1125">
        <f t="shared" si="1118"/>
        <v>0.7</v>
      </c>
      <c r="CQ944" s="1125">
        <f t="shared" si="1119"/>
        <v>0.7</v>
      </c>
      <c r="CR944" s="1125">
        <f t="shared" si="1120"/>
        <v>0.7</v>
      </c>
      <c r="CS944" s="1125">
        <f t="shared" si="1121"/>
        <v>0.85</v>
      </c>
      <c r="CT944" s="1125">
        <f t="shared" si="1122"/>
        <v>0.85</v>
      </c>
      <c r="CU944" s="1125">
        <v>1</v>
      </c>
      <c r="CV944" s="1125"/>
      <c r="CW944" s="1125">
        <f t="shared" si="1123"/>
        <v>275</v>
      </c>
      <c r="CX944" s="1125">
        <f t="shared" si="1124"/>
        <v>90</v>
      </c>
      <c r="CY944" s="1136" t="s">
        <v>4883</v>
      </c>
      <c r="CZ944" s="1129" t="s">
        <v>4884</v>
      </c>
      <c r="DA944" s="1129"/>
      <c r="DB944" s="1129"/>
      <c r="DC944" s="1125" t="s">
        <v>5099</v>
      </c>
      <c r="DD944" s="1125" t="s">
        <v>594</v>
      </c>
      <c r="DE944" s="1120" t="b">
        <f t="shared" si="1125"/>
        <v>0</v>
      </c>
      <c r="DF944" s="1133">
        <v>1</v>
      </c>
      <c r="DG944" s="1120">
        <v>0</v>
      </c>
    </row>
    <row r="945" spans="1:111">
      <c r="A945" s="1125" t="s">
        <v>4560</v>
      </c>
      <c r="B945" s="1120" t="s">
        <v>551</v>
      </c>
      <c r="C945" s="1120" t="s">
        <v>552</v>
      </c>
      <c r="D945" s="1120" t="s">
        <v>954</v>
      </c>
      <c r="E945" s="1120">
        <v>771</v>
      </c>
      <c r="F945" s="1120">
        <v>-118.48</v>
      </c>
      <c r="G945" s="1120">
        <v>34.22</v>
      </c>
      <c r="H945" s="1120">
        <v>-8</v>
      </c>
      <c r="I945" s="1121">
        <v>40.820000171661377</v>
      </c>
      <c r="J945" s="1121">
        <v>100.57999725341797</v>
      </c>
      <c r="K945" s="1122">
        <v>64.580000686645505</v>
      </c>
      <c r="L945" s="1120">
        <v>1278</v>
      </c>
      <c r="M945" s="1120">
        <v>1333.8</v>
      </c>
      <c r="N945" s="1123">
        <v>55.940000343322751</v>
      </c>
      <c r="O945" s="1123">
        <v>55.940000343322751</v>
      </c>
      <c r="P945" s="1123">
        <v>57.919999313354495</v>
      </c>
      <c r="Q945" s="1123">
        <v>64.039998626708979</v>
      </c>
      <c r="R945" s="1123">
        <v>66.739998626708982</v>
      </c>
      <c r="S945" s="1123">
        <v>69.080000686645505</v>
      </c>
      <c r="T945" s="1123">
        <v>73.760001373291018</v>
      </c>
      <c r="U945" s="1123">
        <v>75.019999313354489</v>
      </c>
      <c r="V945" s="1123">
        <v>75.380000686645502</v>
      </c>
      <c r="W945" s="1123">
        <v>62.960001373291014</v>
      </c>
      <c r="X945" s="1123">
        <v>59.9</v>
      </c>
      <c r="Y945" s="1123">
        <v>57.380000686645509</v>
      </c>
      <c r="Z945" s="1123">
        <v>64.546959017923427</v>
      </c>
      <c r="AA945" s="1123">
        <f t="shared" si="1051"/>
        <v>64.842893314777655</v>
      </c>
      <c r="AB945" s="1123">
        <f t="shared" si="1052"/>
        <v>64.87117484913739</v>
      </c>
      <c r="AC945" s="1123">
        <f t="shared" si="1053"/>
        <v>66.378936993572822</v>
      </c>
      <c r="AD945" s="1123">
        <f t="shared" si="1054"/>
        <v>68.973158309818899</v>
      </c>
      <c r="AE945" s="1123">
        <f t="shared" si="1055"/>
        <v>71.977615033635473</v>
      </c>
      <c r="AF945" s="1123">
        <f t="shared" si="1056"/>
        <v>74.609149219880123</v>
      </c>
      <c r="AG945" s="1123">
        <f t="shared" si="1057"/>
        <v>76.181810929738873</v>
      </c>
      <c r="AH945" s="1123">
        <f t="shared" si="1058"/>
        <v>76.285661653086464</v>
      </c>
      <c r="AI945" s="1123">
        <f t="shared" si="1059"/>
        <v>74.893631098494268</v>
      </c>
      <c r="AJ945" s="1123">
        <f t="shared" si="1060"/>
        <v>72.368573481856913</v>
      </c>
      <c r="AK945" s="1123">
        <f t="shared" si="1061"/>
        <v>69.368683983266692</v>
      </c>
      <c r="AL945" s="1123">
        <f t="shared" si="1062"/>
        <v>66.675930030227647</v>
      </c>
      <c r="AM945" s="1120">
        <f t="shared" si="1063"/>
        <v>1</v>
      </c>
      <c r="AN945" s="1120">
        <f t="shared" si="1064"/>
        <v>1</v>
      </c>
      <c r="AO945" s="1120">
        <f t="shared" si="1065"/>
        <v>1</v>
      </c>
      <c r="AP945" s="1120">
        <f t="shared" si="1066"/>
        <v>1</v>
      </c>
      <c r="AQ945" s="1120">
        <f t="shared" si="1067"/>
        <v>0</v>
      </c>
      <c r="AR945" s="1120">
        <f t="shared" si="1068"/>
        <v>0</v>
      </c>
      <c r="AS945" s="1120">
        <f t="shared" si="1069"/>
        <v>0</v>
      </c>
      <c r="AT945" s="1120">
        <f t="shared" si="1070"/>
        <v>0</v>
      </c>
      <c r="AU945" s="1120">
        <f t="shared" si="1071"/>
        <v>0</v>
      </c>
      <c r="AV945" s="1120">
        <f t="shared" si="1072"/>
        <v>1</v>
      </c>
      <c r="AW945" s="1120">
        <f t="shared" si="1073"/>
        <v>1</v>
      </c>
      <c r="AX945" s="1120">
        <f t="shared" si="1074"/>
        <v>1</v>
      </c>
      <c r="AY945" s="1120">
        <f t="shared" si="1075"/>
        <v>0</v>
      </c>
      <c r="AZ945" s="1120">
        <f t="shared" si="1076"/>
        <v>0</v>
      </c>
      <c r="BA945" s="1120">
        <f t="shared" si="1077"/>
        <v>0</v>
      </c>
      <c r="BB945" s="1120">
        <f t="shared" si="1078"/>
        <v>0</v>
      </c>
      <c r="BC945" s="1120">
        <f t="shared" si="1079"/>
        <v>1</v>
      </c>
      <c r="BD945" s="1120">
        <f t="shared" si="1080"/>
        <v>1</v>
      </c>
      <c r="BE945" s="1120">
        <f t="shared" si="1081"/>
        <v>1</v>
      </c>
      <c r="BF945" s="1120">
        <f t="shared" si="1082"/>
        <v>1</v>
      </c>
      <c r="BG945" s="1120">
        <f t="shared" si="1083"/>
        <v>1</v>
      </c>
      <c r="BH945" s="1120">
        <f t="shared" si="1084"/>
        <v>0</v>
      </c>
      <c r="BI945" s="1120">
        <f t="shared" si="1085"/>
        <v>0</v>
      </c>
      <c r="BJ945" s="1120">
        <f t="shared" si="1086"/>
        <v>0</v>
      </c>
      <c r="BK945" s="1120">
        <f t="shared" si="1087"/>
        <v>1</v>
      </c>
      <c r="BL945" s="1120">
        <f t="shared" si="1088"/>
        <v>1</v>
      </c>
      <c r="BM945" s="1120">
        <f t="shared" si="1089"/>
        <v>1</v>
      </c>
      <c r="BN945" s="1120">
        <f t="shared" si="1090"/>
        <v>1</v>
      </c>
      <c r="BO945" s="1120">
        <f t="shared" si="1091"/>
        <v>1</v>
      </c>
      <c r="BP945" s="1120">
        <f t="shared" si="1092"/>
        <v>0</v>
      </c>
      <c r="BQ945" s="1120">
        <f t="shared" si="1093"/>
        <v>0</v>
      </c>
      <c r="BR945" s="1120">
        <f t="shared" si="1094"/>
        <v>0</v>
      </c>
      <c r="BS945" s="1120">
        <f t="shared" si="1095"/>
        <v>0</v>
      </c>
      <c r="BT945" s="1120">
        <f t="shared" si="1096"/>
        <v>1</v>
      </c>
      <c r="BU945" s="1120">
        <f t="shared" si="1097"/>
        <v>1</v>
      </c>
      <c r="BV945" s="1120">
        <f t="shared" si="1098"/>
        <v>1</v>
      </c>
      <c r="BW945" s="1120">
        <f t="shared" si="1099"/>
        <v>0</v>
      </c>
      <c r="BX945" s="1120">
        <f t="shared" si="1100"/>
        <v>0</v>
      </c>
      <c r="BY945" s="1120">
        <f t="shared" si="1101"/>
        <v>0</v>
      </c>
      <c r="BZ945" s="1120">
        <f t="shared" si="1102"/>
        <v>1</v>
      </c>
      <c r="CA945" s="1120">
        <f t="shared" si="1103"/>
        <v>1</v>
      </c>
      <c r="CB945" s="1120">
        <f t="shared" si="1104"/>
        <v>1</v>
      </c>
      <c r="CC945" s="1120">
        <f t="shared" si="1105"/>
        <v>1</v>
      </c>
      <c r="CD945" s="1120">
        <f t="shared" si="1106"/>
        <v>1</v>
      </c>
      <c r="CE945" s="1120">
        <f t="shared" si="1107"/>
        <v>1</v>
      </c>
      <c r="CF945" s="1120">
        <f t="shared" si="1108"/>
        <v>1</v>
      </c>
      <c r="CG945" s="1120">
        <f t="shared" si="1109"/>
        <v>0</v>
      </c>
      <c r="CH945" s="1120">
        <f t="shared" si="1110"/>
        <v>0</v>
      </c>
      <c r="CI945" s="1120">
        <f t="shared" si="1111"/>
        <v>0.85</v>
      </c>
      <c r="CJ945" s="1120">
        <f t="shared" si="1112"/>
        <v>0.85</v>
      </c>
      <c r="CK945" s="1120">
        <f t="shared" si="1113"/>
        <v>0.85</v>
      </c>
      <c r="CL945" s="1120">
        <f t="shared" si="1114"/>
        <v>0.85</v>
      </c>
      <c r="CM945" s="1120">
        <f t="shared" si="1115"/>
        <v>0.85</v>
      </c>
      <c r="CN945" s="1120">
        <f t="shared" si="1116"/>
        <v>0.7</v>
      </c>
      <c r="CO945" s="1120">
        <f t="shared" si="1117"/>
        <v>0.7</v>
      </c>
      <c r="CP945" s="1120">
        <f t="shared" si="1118"/>
        <v>0.7</v>
      </c>
      <c r="CQ945" s="1120">
        <f t="shared" si="1119"/>
        <v>0.7</v>
      </c>
      <c r="CR945" s="1120">
        <f t="shared" si="1120"/>
        <v>0.85</v>
      </c>
      <c r="CS945" s="1120">
        <f t="shared" si="1121"/>
        <v>0.85</v>
      </c>
      <c r="CT945" s="1120">
        <f t="shared" si="1122"/>
        <v>0.85</v>
      </c>
      <c r="CU945" s="1120">
        <v>1</v>
      </c>
      <c r="CV945" s="1120"/>
      <c r="CW945" s="1120">
        <f t="shared" si="1123"/>
        <v>214</v>
      </c>
      <c r="CX945" s="1120">
        <f t="shared" si="1124"/>
        <v>151</v>
      </c>
      <c r="CY945" s="1135" t="s">
        <v>4886</v>
      </c>
      <c r="CZ945" s="1124" t="s">
        <v>4888</v>
      </c>
      <c r="DA945" s="1124"/>
      <c r="DB945" s="1124"/>
      <c r="DC945" s="1120" t="s">
        <v>5068</v>
      </c>
      <c r="DD945" s="1120" t="s">
        <v>954</v>
      </c>
      <c r="DE945" s="1120" t="str">
        <f t="shared" si="1125"/>
        <v/>
      </c>
      <c r="DF945" s="1120">
        <v>0</v>
      </c>
      <c r="DG945" s="1125">
        <v>0</v>
      </c>
    </row>
    <row r="946" spans="1:111">
      <c r="A946" s="1120" t="s">
        <v>116</v>
      </c>
      <c r="B946" s="1120" t="s">
        <v>4218</v>
      </c>
      <c r="C946" s="1120" t="s">
        <v>4219</v>
      </c>
      <c r="D946" s="1120" t="s">
        <v>61</v>
      </c>
      <c r="E946" s="1120">
        <v>1338</v>
      </c>
      <c r="F946" s="1120">
        <v>-97.92</v>
      </c>
      <c r="G946" s="1120">
        <v>36.33</v>
      </c>
      <c r="H946" s="1120">
        <v>-6</v>
      </c>
      <c r="I946" s="1121">
        <v>13.1</v>
      </c>
      <c r="J946" s="1121">
        <v>98.600000000000009</v>
      </c>
      <c r="K946" s="1122">
        <v>73.400000000000006</v>
      </c>
      <c r="L946" s="1120">
        <v>4406.4000000000005</v>
      </c>
      <c r="M946" s="1120">
        <v>2104.2000000000003</v>
      </c>
      <c r="N946" s="1123">
        <v>35.960000085830686</v>
      </c>
      <c r="O946" s="1123">
        <v>35.419999957084656</v>
      </c>
      <c r="P946" s="1123">
        <v>43.340000343322757</v>
      </c>
      <c r="Q946" s="1123">
        <v>58.280000686645508</v>
      </c>
      <c r="R946" s="1123">
        <v>65.83999862670899</v>
      </c>
      <c r="S946" s="1123">
        <v>78.439998626708984</v>
      </c>
      <c r="T946" s="1123">
        <v>82.4</v>
      </c>
      <c r="U946" s="1123">
        <v>80.780000686645508</v>
      </c>
      <c r="V946" s="1123">
        <v>76.280000686645508</v>
      </c>
      <c r="W946" s="1123">
        <v>60.8</v>
      </c>
      <c r="X946" s="1123">
        <v>43.159999656677243</v>
      </c>
      <c r="Y946" s="1123">
        <v>34.700000000000003</v>
      </c>
      <c r="Z946" s="1123">
        <v>58.068438302784749</v>
      </c>
      <c r="AA946" s="1123">
        <f t="shared" si="1051"/>
        <v>52.0007016955973</v>
      </c>
      <c r="AB946" s="1123">
        <f t="shared" si="1052"/>
        <v>51.329824860745781</v>
      </c>
      <c r="AC946" s="1123">
        <f t="shared" si="1053"/>
        <v>53.979463927537054</v>
      </c>
      <c r="AD946" s="1123">
        <f t="shared" si="1054"/>
        <v>59.258949641037979</v>
      </c>
      <c r="AE946" s="1123">
        <f t="shared" si="1055"/>
        <v>65.79210269068696</v>
      </c>
      <c r="AF946" s="1123">
        <f t="shared" si="1056"/>
        <v>71.875956055156976</v>
      </c>
      <c r="AG946" s="1123">
        <f t="shared" si="1057"/>
        <v>75.924659599980629</v>
      </c>
      <c r="AH946" s="1123">
        <f t="shared" si="1058"/>
        <v>76.882856353789407</v>
      </c>
      <c r="AI946" s="1123">
        <f t="shared" si="1059"/>
        <v>74.5007775664441</v>
      </c>
      <c r="AJ946" s="1123">
        <f t="shared" si="1060"/>
        <v>69.399348782811543</v>
      </c>
      <c r="AK946" s="1123">
        <f t="shared" si="1061"/>
        <v>62.908336030742809</v>
      </c>
      <c r="AL946" s="1123">
        <f t="shared" si="1062"/>
        <v>56.719721813598966</v>
      </c>
      <c r="AM946" s="1120">
        <f t="shared" si="1063"/>
        <v>1</v>
      </c>
      <c r="AN946" s="1120">
        <f t="shared" si="1064"/>
        <v>1</v>
      </c>
      <c r="AO946" s="1120">
        <f t="shared" si="1065"/>
        <v>1</v>
      </c>
      <c r="AP946" s="1120">
        <f t="shared" si="1066"/>
        <v>1</v>
      </c>
      <c r="AQ946" s="1120">
        <f t="shared" si="1067"/>
        <v>1</v>
      </c>
      <c r="AR946" s="1120">
        <f t="shared" si="1068"/>
        <v>0</v>
      </c>
      <c r="AS946" s="1120">
        <f t="shared" si="1069"/>
        <v>0</v>
      </c>
      <c r="AT946" s="1120">
        <f t="shared" si="1070"/>
        <v>0</v>
      </c>
      <c r="AU946" s="1120">
        <f t="shared" si="1071"/>
        <v>0</v>
      </c>
      <c r="AV946" s="1120">
        <f t="shared" si="1072"/>
        <v>1</v>
      </c>
      <c r="AW946" s="1120">
        <f t="shared" si="1073"/>
        <v>1</v>
      </c>
      <c r="AX946" s="1120">
        <f t="shared" si="1074"/>
        <v>1</v>
      </c>
      <c r="AY946" s="1120">
        <f t="shared" si="1075"/>
        <v>0</v>
      </c>
      <c r="AZ946" s="1120">
        <f t="shared" si="1076"/>
        <v>0</v>
      </c>
      <c r="BA946" s="1120">
        <f t="shared" si="1077"/>
        <v>0</v>
      </c>
      <c r="BB946" s="1120">
        <f t="shared" si="1078"/>
        <v>0</v>
      </c>
      <c r="BC946" s="1120">
        <f t="shared" si="1079"/>
        <v>0</v>
      </c>
      <c r="BD946" s="1120">
        <f t="shared" si="1080"/>
        <v>1</v>
      </c>
      <c r="BE946" s="1120">
        <f t="shared" si="1081"/>
        <v>1</v>
      </c>
      <c r="BF946" s="1120">
        <f t="shared" si="1082"/>
        <v>1</v>
      </c>
      <c r="BG946" s="1120">
        <f t="shared" si="1083"/>
        <v>1</v>
      </c>
      <c r="BH946" s="1120">
        <f t="shared" si="1084"/>
        <v>0</v>
      </c>
      <c r="BI946" s="1120">
        <f t="shared" si="1085"/>
        <v>0</v>
      </c>
      <c r="BJ946" s="1120">
        <f t="shared" si="1086"/>
        <v>0</v>
      </c>
      <c r="BK946" s="1120">
        <f t="shared" si="1087"/>
        <v>1</v>
      </c>
      <c r="BL946" s="1120">
        <f t="shared" si="1088"/>
        <v>1</v>
      </c>
      <c r="BM946" s="1120">
        <f t="shared" si="1089"/>
        <v>1</v>
      </c>
      <c r="BN946" s="1120">
        <f t="shared" si="1090"/>
        <v>1</v>
      </c>
      <c r="BO946" s="1120">
        <f t="shared" si="1091"/>
        <v>1</v>
      </c>
      <c r="BP946" s="1120">
        <f t="shared" si="1092"/>
        <v>1</v>
      </c>
      <c r="BQ946" s="1120">
        <f t="shared" si="1093"/>
        <v>0</v>
      </c>
      <c r="BR946" s="1120">
        <f t="shared" si="1094"/>
        <v>0</v>
      </c>
      <c r="BS946" s="1120">
        <f t="shared" si="1095"/>
        <v>0</v>
      </c>
      <c r="BT946" s="1120">
        <f t="shared" si="1096"/>
        <v>1</v>
      </c>
      <c r="BU946" s="1120">
        <f t="shared" si="1097"/>
        <v>1</v>
      </c>
      <c r="BV946" s="1120">
        <f t="shared" si="1098"/>
        <v>1</v>
      </c>
      <c r="BW946" s="1120">
        <f t="shared" si="1099"/>
        <v>0</v>
      </c>
      <c r="BX946" s="1120">
        <f t="shared" si="1100"/>
        <v>0</v>
      </c>
      <c r="BY946" s="1120">
        <f t="shared" si="1101"/>
        <v>0</v>
      </c>
      <c r="BZ946" s="1120">
        <f t="shared" si="1102"/>
        <v>0</v>
      </c>
      <c r="CA946" s="1120">
        <f t="shared" si="1103"/>
        <v>1</v>
      </c>
      <c r="CB946" s="1120">
        <f t="shared" si="1104"/>
        <v>1</v>
      </c>
      <c r="CC946" s="1120">
        <f t="shared" si="1105"/>
        <v>1</v>
      </c>
      <c r="CD946" s="1120">
        <f t="shared" si="1106"/>
        <v>1</v>
      </c>
      <c r="CE946" s="1120">
        <f t="shared" si="1107"/>
        <v>1</v>
      </c>
      <c r="CF946" s="1120">
        <f t="shared" si="1108"/>
        <v>1</v>
      </c>
      <c r="CG946" s="1120">
        <f t="shared" si="1109"/>
        <v>0</v>
      </c>
      <c r="CH946" s="1120">
        <f t="shared" si="1110"/>
        <v>0</v>
      </c>
      <c r="CI946" s="1120">
        <f t="shared" si="1111"/>
        <v>0.85</v>
      </c>
      <c r="CJ946" s="1120">
        <f t="shared" si="1112"/>
        <v>0.85</v>
      </c>
      <c r="CK946" s="1120">
        <f t="shared" si="1113"/>
        <v>0.85</v>
      </c>
      <c r="CL946" s="1120">
        <f t="shared" si="1114"/>
        <v>0.85</v>
      </c>
      <c r="CM946" s="1120">
        <f t="shared" si="1115"/>
        <v>0.85</v>
      </c>
      <c r="CN946" s="1120">
        <f t="shared" si="1116"/>
        <v>0.85</v>
      </c>
      <c r="CO946" s="1120">
        <f t="shared" si="1117"/>
        <v>0.7</v>
      </c>
      <c r="CP946" s="1120">
        <f t="shared" si="1118"/>
        <v>0.7</v>
      </c>
      <c r="CQ946" s="1120">
        <f t="shared" si="1119"/>
        <v>0.7</v>
      </c>
      <c r="CR946" s="1120">
        <f t="shared" si="1120"/>
        <v>0.85</v>
      </c>
      <c r="CS946" s="1120">
        <f t="shared" si="1121"/>
        <v>0.85</v>
      </c>
      <c r="CT946" s="1120">
        <f t="shared" si="1122"/>
        <v>0.85</v>
      </c>
      <c r="CU946" s="1120">
        <v>1</v>
      </c>
      <c r="CV946" s="1120"/>
      <c r="CW946" s="1120">
        <f t="shared" si="1123"/>
        <v>184</v>
      </c>
      <c r="CX946" s="1120">
        <f t="shared" si="1124"/>
        <v>181</v>
      </c>
      <c r="CY946" s="1135" t="s">
        <v>4881</v>
      </c>
      <c r="CZ946" s="1124" t="s">
        <v>4882</v>
      </c>
      <c r="DA946" s="1124"/>
      <c r="DB946" s="1124"/>
      <c r="DC946" s="1120" t="s">
        <v>5512</v>
      </c>
      <c r="DD946" s="1120" t="s">
        <v>61</v>
      </c>
      <c r="DE946" s="1120" t="str">
        <f t="shared" si="1125"/>
        <v/>
      </c>
      <c r="DF946" s="1133">
        <v>0</v>
      </c>
      <c r="DG946" s="1120">
        <v>0</v>
      </c>
    </row>
    <row r="947" spans="1:111">
      <c r="A947" s="1125" t="s">
        <v>4562</v>
      </c>
      <c r="B947" s="1125" t="s">
        <v>4480</v>
      </c>
      <c r="C947" s="1125" t="s">
        <v>4481</v>
      </c>
      <c r="D947" s="1125" t="s">
        <v>905</v>
      </c>
      <c r="E947" s="1125">
        <v>5274</v>
      </c>
      <c r="F947" s="1125">
        <v>-109.52</v>
      </c>
      <c r="G947" s="1125">
        <v>40.43</v>
      </c>
      <c r="H947" s="1125">
        <v>-7</v>
      </c>
      <c r="I947" s="1126">
        <v>5.3599996566772452</v>
      </c>
      <c r="J947" s="1126">
        <v>90.679997253417966</v>
      </c>
      <c r="K947" s="1127">
        <v>60.619999313354491</v>
      </c>
      <c r="L947" s="1125">
        <v>6555.6</v>
      </c>
      <c r="M947" s="1125">
        <v>649.80000000000007</v>
      </c>
      <c r="N947" s="1128">
        <v>25.520000171661376</v>
      </c>
      <c r="O947" s="1128">
        <v>29.3</v>
      </c>
      <c r="P947" s="1128">
        <v>41.359999656677246</v>
      </c>
      <c r="Q947" s="1128">
        <v>49.459999656677248</v>
      </c>
      <c r="R947" s="1128">
        <v>59.719999313354492</v>
      </c>
      <c r="S947" s="1128">
        <v>67.280000686645508</v>
      </c>
      <c r="T947" s="1128">
        <v>73.219999313354492</v>
      </c>
      <c r="U947" s="1128">
        <v>70.880000686645502</v>
      </c>
      <c r="V947" s="1128">
        <v>59.540000343322752</v>
      </c>
      <c r="W947" s="1128">
        <v>45.5</v>
      </c>
      <c r="X947" s="1128">
        <v>31.639999994635581</v>
      </c>
      <c r="Y947" s="1128">
        <v>23.720000171661376</v>
      </c>
      <c r="Z947" s="1128">
        <v>48.206904107266908</v>
      </c>
      <c r="AA947" s="1128">
        <f t="shared" si="1051"/>
        <v>44.766291482721208</v>
      </c>
      <c r="AB947" s="1128">
        <f t="shared" si="1052"/>
        <v>43.266714564086818</v>
      </c>
      <c r="AC947" s="1128">
        <f t="shared" si="1053"/>
        <v>44.618866643306461</v>
      </c>
      <c r="AD947" s="1128">
        <f t="shared" si="1054"/>
        <v>48.470288443637251</v>
      </c>
      <c r="AE947" s="1128">
        <f t="shared" si="1055"/>
        <v>53.817047520616455</v>
      </c>
      <c r="AF947" s="1128">
        <f t="shared" si="1056"/>
        <v>59.265428724777955</v>
      </c>
      <c r="AG947" s="1128">
        <f t="shared" si="1057"/>
        <v>63.39522753316119</v>
      </c>
      <c r="AH947" s="1128">
        <f t="shared" si="1058"/>
        <v>65.12994824423501</v>
      </c>
      <c r="AI947" s="1128">
        <f t="shared" si="1059"/>
        <v>64.017409171802655</v>
      </c>
      <c r="AJ947" s="1128">
        <f t="shared" si="1060"/>
        <v>60.347610769839697</v>
      </c>
      <c r="AK947" s="1128">
        <f t="shared" si="1061"/>
        <v>55.077142545123017</v>
      </c>
      <c r="AL947" s="1128">
        <f t="shared" si="1062"/>
        <v>49.579833260798878</v>
      </c>
      <c r="AM947" s="1125">
        <f t="shared" si="1063"/>
        <v>1</v>
      </c>
      <c r="AN947" s="1125">
        <f t="shared" si="1064"/>
        <v>1</v>
      </c>
      <c r="AO947" s="1125">
        <f t="shared" si="1065"/>
        <v>1</v>
      </c>
      <c r="AP947" s="1125">
        <f t="shared" si="1066"/>
        <v>1</v>
      </c>
      <c r="AQ947" s="1125">
        <f t="shared" si="1067"/>
        <v>1</v>
      </c>
      <c r="AR947" s="1125">
        <f t="shared" si="1068"/>
        <v>0</v>
      </c>
      <c r="AS947" s="1125">
        <f t="shared" si="1069"/>
        <v>0</v>
      </c>
      <c r="AT947" s="1125">
        <f t="shared" si="1070"/>
        <v>0</v>
      </c>
      <c r="AU947" s="1125">
        <f t="shared" si="1071"/>
        <v>1</v>
      </c>
      <c r="AV947" s="1125">
        <f t="shared" si="1072"/>
        <v>1</v>
      </c>
      <c r="AW947" s="1125">
        <f t="shared" si="1073"/>
        <v>1</v>
      </c>
      <c r="AX947" s="1125">
        <f t="shared" si="1074"/>
        <v>1</v>
      </c>
      <c r="AY947" s="1125">
        <f t="shared" si="1075"/>
        <v>0</v>
      </c>
      <c r="AZ947" s="1125">
        <f t="shared" si="1076"/>
        <v>0</v>
      </c>
      <c r="BA947" s="1125">
        <f t="shared" si="1077"/>
        <v>0</v>
      </c>
      <c r="BB947" s="1125">
        <f t="shared" si="1078"/>
        <v>0</v>
      </c>
      <c r="BC947" s="1125">
        <f t="shared" si="1079"/>
        <v>0</v>
      </c>
      <c r="BD947" s="1125">
        <f t="shared" si="1080"/>
        <v>1</v>
      </c>
      <c r="BE947" s="1125">
        <f t="shared" si="1081"/>
        <v>1</v>
      </c>
      <c r="BF947" s="1125">
        <f t="shared" si="1082"/>
        <v>1</v>
      </c>
      <c r="BG947" s="1125">
        <f t="shared" si="1083"/>
        <v>0</v>
      </c>
      <c r="BH947" s="1125">
        <f t="shared" si="1084"/>
        <v>0</v>
      </c>
      <c r="BI947" s="1125">
        <f t="shared" si="1085"/>
        <v>0</v>
      </c>
      <c r="BJ947" s="1125">
        <f t="shared" si="1086"/>
        <v>0</v>
      </c>
      <c r="BK947" s="1125">
        <f t="shared" si="1087"/>
        <v>1</v>
      </c>
      <c r="BL947" s="1125">
        <f t="shared" si="1088"/>
        <v>1</v>
      </c>
      <c r="BM947" s="1125">
        <f t="shared" si="1089"/>
        <v>1</v>
      </c>
      <c r="BN947" s="1125">
        <f t="shared" si="1090"/>
        <v>1</v>
      </c>
      <c r="BO947" s="1125">
        <f t="shared" si="1091"/>
        <v>1</v>
      </c>
      <c r="BP947" s="1125">
        <f t="shared" si="1092"/>
        <v>1</v>
      </c>
      <c r="BQ947" s="1125">
        <f t="shared" si="1093"/>
        <v>0</v>
      </c>
      <c r="BR947" s="1125">
        <f t="shared" si="1094"/>
        <v>0</v>
      </c>
      <c r="BS947" s="1125">
        <f t="shared" si="1095"/>
        <v>1</v>
      </c>
      <c r="BT947" s="1125">
        <f t="shared" si="1096"/>
        <v>1</v>
      </c>
      <c r="BU947" s="1125">
        <f t="shared" si="1097"/>
        <v>1</v>
      </c>
      <c r="BV947" s="1125">
        <f t="shared" si="1098"/>
        <v>1</v>
      </c>
      <c r="BW947" s="1125">
        <f t="shared" si="1099"/>
        <v>0</v>
      </c>
      <c r="BX947" s="1125">
        <f t="shared" si="1100"/>
        <v>0</v>
      </c>
      <c r="BY947" s="1125">
        <f t="shared" si="1101"/>
        <v>0</v>
      </c>
      <c r="BZ947" s="1125">
        <f t="shared" si="1102"/>
        <v>0</v>
      </c>
      <c r="CA947" s="1125">
        <f t="shared" si="1103"/>
        <v>1</v>
      </c>
      <c r="CB947" s="1125">
        <f t="shared" si="1104"/>
        <v>1</v>
      </c>
      <c r="CC947" s="1125">
        <f t="shared" si="1105"/>
        <v>1</v>
      </c>
      <c r="CD947" s="1125">
        <f t="shared" si="1106"/>
        <v>1</v>
      </c>
      <c r="CE947" s="1125">
        <f t="shared" si="1107"/>
        <v>1</v>
      </c>
      <c r="CF947" s="1125">
        <f t="shared" si="1108"/>
        <v>0</v>
      </c>
      <c r="CG947" s="1125">
        <f t="shared" si="1109"/>
        <v>0</v>
      </c>
      <c r="CH947" s="1125">
        <f t="shared" si="1110"/>
        <v>0</v>
      </c>
      <c r="CI947" s="1125">
        <f t="shared" si="1111"/>
        <v>0.85</v>
      </c>
      <c r="CJ947" s="1125">
        <f t="shared" si="1112"/>
        <v>0.85</v>
      </c>
      <c r="CK947" s="1125">
        <f t="shared" si="1113"/>
        <v>0.85</v>
      </c>
      <c r="CL947" s="1125">
        <f t="shared" si="1114"/>
        <v>0.85</v>
      </c>
      <c r="CM947" s="1125">
        <f t="shared" si="1115"/>
        <v>0.85</v>
      </c>
      <c r="CN947" s="1125">
        <f t="shared" si="1116"/>
        <v>0.85</v>
      </c>
      <c r="CO947" s="1125">
        <f t="shared" si="1117"/>
        <v>0.7</v>
      </c>
      <c r="CP947" s="1125">
        <f t="shared" si="1118"/>
        <v>0.7</v>
      </c>
      <c r="CQ947" s="1125">
        <f t="shared" si="1119"/>
        <v>0.85</v>
      </c>
      <c r="CR947" s="1125">
        <f t="shared" si="1120"/>
        <v>0.85</v>
      </c>
      <c r="CS947" s="1125">
        <f t="shared" si="1121"/>
        <v>0.85</v>
      </c>
      <c r="CT947" s="1125">
        <f t="shared" si="1122"/>
        <v>0.85</v>
      </c>
      <c r="CU947" s="1125">
        <v>1</v>
      </c>
      <c r="CV947" s="1125"/>
      <c r="CW947" s="1125">
        <f t="shared" si="1123"/>
        <v>153</v>
      </c>
      <c r="CX947" s="1125">
        <f t="shared" si="1124"/>
        <v>212</v>
      </c>
      <c r="CY947" s="1136" t="s">
        <v>4889</v>
      </c>
      <c r="CZ947" s="1129" t="s">
        <v>4896</v>
      </c>
      <c r="DA947" s="1129"/>
      <c r="DB947" s="1129"/>
      <c r="DC947" s="1125" t="s">
        <v>5624</v>
      </c>
      <c r="DD947" s="1125" t="s">
        <v>905</v>
      </c>
      <c r="DE947" s="1120" t="str">
        <f t="shared" si="1125"/>
        <v/>
      </c>
      <c r="DF947" s="1133">
        <v>0</v>
      </c>
      <c r="DG947" s="1125">
        <v>0</v>
      </c>
    </row>
    <row r="948" spans="1:111">
      <c r="A948" s="1120" t="s">
        <v>4564</v>
      </c>
      <c r="B948" s="1120" t="s">
        <v>3340</v>
      </c>
      <c r="C948" s="1120" t="s">
        <v>3341</v>
      </c>
      <c r="D948" s="1120" t="s">
        <v>594</v>
      </c>
      <c r="E948" s="1120">
        <v>23</v>
      </c>
      <c r="F948" s="1120">
        <v>-80.42</v>
      </c>
      <c r="G948" s="1120">
        <v>27.65</v>
      </c>
      <c r="H948" s="1120">
        <v>-5</v>
      </c>
      <c r="I948" s="1121">
        <v>43.159999656677243</v>
      </c>
      <c r="J948" s="1121">
        <v>90.5</v>
      </c>
      <c r="K948" s="1122">
        <v>77.719999313354492</v>
      </c>
      <c r="L948" s="1120">
        <v>257.40000000000003</v>
      </c>
      <c r="M948" s="1120">
        <v>3580.2000000000003</v>
      </c>
      <c r="N948" s="1123">
        <v>64.939998626708984</v>
      </c>
      <c r="O948" s="1123">
        <v>65.119999313354498</v>
      </c>
      <c r="P948" s="1123">
        <v>69.080000686645505</v>
      </c>
      <c r="Q948" s="1123">
        <v>75.2</v>
      </c>
      <c r="R948" s="1123">
        <v>77.719999313354492</v>
      </c>
      <c r="S948" s="1123">
        <v>78.439998626708984</v>
      </c>
      <c r="T948" s="1123">
        <v>80.780000686645508</v>
      </c>
      <c r="U948" s="1123">
        <v>79.880000686645502</v>
      </c>
      <c r="V948" s="1123">
        <v>79.33999862670899</v>
      </c>
      <c r="W948" s="1123">
        <v>76.639998626708987</v>
      </c>
      <c r="X948" s="1123">
        <v>68.900000000000006</v>
      </c>
      <c r="Y948" s="1123">
        <v>65.480000686645511</v>
      </c>
      <c r="Z948" s="1123">
        <v>73.50652021120672</v>
      </c>
      <c r="AA948" s="1123">
        <f t="shared" si="1051"/>
        <v>74.0261841735649</v>
      </c>
      <c r="AB948" s="1123">
        <f t="shared" si="1052"/>
        <v>74.483935243784828</v>
      </c>
      <c r="AC948" s="1123">
        <f t="shared" si="1053"/>
        <v>76.250900486140509</v>
      </c>
      <c r="AD948" s="1123">
        <f t="shared" si="1054"/>
        <v>78.866493180453304</v>
      </c>
      <c r="AE948" s="1123">
        <f t="shared" si="1055"/>
        <v>81.648918783447087</v>
      </c>
      <c r="AF948" s="1123">
        <f t="shared" si="1056"/>
        <v>83.87289518322504</v>
      </c>
      <c r="AG948" s="1123">
        <f t="shared" si="1057"/>
        <v>84.958708658671327</v>
      </c>
      <c r="AH948" s="1123">
        <f t="shared" si="1058"/>
        <v>84.623325194518685</v>
      </c>
      <c r="AI948" s="1123">
        <f t="shared" si="1059"/>
        <v>82.954167659114162</v>
      </c>
      <c r="AJ948" s="1123">
        <f t="shared" si="1060"/>
        <v>80.386327686557152</v>
      </c>
      <c r="AK948" s="1123">
        <f t="shared" si="1061"/>
        <v>77.589152337306459</v>
      </c>
      <c r="AL948" s="1123">
        <f t="shared" si="1062"/>
        <v>75.291768471921188</v>
      </c>
      <c r="AM948" s="1120">
        <f t="shared" si="1063"/>
        <v>1</v>
      </c>
      <c r="AN948" s="1120">
        <f t="shared" si="1064"/>
        <v>1</v>
      </c>
      <c r="AO948" s="1120">
        <f t="shared" si="1065"/>
        <v>0</v>
      </c>
      <c r="AP948" s="1120">
        <f t="shared" si="1066"/>
        <v>0</v>
      </c>
      <c r="AQ948" s="1120">
        <f t="shared" si="1067"/>
        <v>0</v>
      </c>
      <c r="AR948" s="1120">
        <f t="shared" si="1068"/>
        <v>0</v>
      </c>
      <c r="AS948" s="1120">
        <f t="shared" si="1069"/>
        <v>0</v>
      </c>
      <c r="AT948" s="1120">
        <f t="shared" si="1070"/>
        <v>0</v>
      </c>
      <c r="AU948" s="1120">
        <f t="shared" si="1071"/>
        <v>0</v>
      </c>
      <c r="AV948" s="1120">
        <f t="shared" si="1072"/>
        <v>0</v>
      </c>
      <c r="AW948" s="1120">
        <f t="shared" si="1073"/>
        <v>0</v>
      </c>
      <c r="AX948" s="1120">
        <f t="shared" si="1074"/>
        <v>1</v>
      </c>
      <c r="AY948" s="1120">
        <f t="shared" si="1075"/>
        <v>0</v>
      </c>
      <c r="AZ948" s="1120">
        <f t="shared" si="1076"/>
        <v>0</v>
      </c>
      <c r="BA948" s="1120">
        <f t="shared" si="1077"/>
        <v>1</v>
      </c>
      <c r="BB948" s="1120">
        <f t="shared" si="1078"/>
        <v>1</v>
      </c>
      <c r="BC948" s="1120">
        <f t="shared" si="1079"/>
        <v>1</v>
      </c>
      <c r="BD948" s="1120">
        <f t="shared" si="1080"/>
        <v>1</v>
      </c>
      <c r="BE948" s="1120">
        <f t="shared" si="1081"/>
        <v>1</v>
      </c>
      <c r="BF948" s="1120">
        <f t="shared" si="1082"/>
        <v>1</v>
      </c>
      <c r="BG948" s="1120">
        <f t="shared" si="1083"/>
        <v>1</v>
      </c>
      <c r="BH948" s="1120">
        <f t="shared" si="1084"/>
        <v>1</v>
      </c>
      <c r="BI948" s="1120">
        <f t="shared" si="1085"/>
        <v>1</v>
      </c>
      <c r="BJ948" s="1120">
        <f t="shared" si="1086"/>
        <v>0</v>
      </c>
      <c r="BK948" s="1120">
        <f t="shared" si="1087"/>
        <v>1</v>
      </c>
      <c r="BL948" s="1120">
        <f t="shared" si="1088"/>
        <v>1</v>
      </c>
      <c r="BM948" s="1120">
        <f t="shared" si="1089"/>
        <v>1</v>
      </c>
      <c r="BN948" s="1120">
        <f t="shared" si="1090"/>
        <v>0</v>
      </c>
      <c r="BO948" s="1120">
        <f t="shared" si="1091"/>
        <v>0</v>
      </c>
      <c r="BP948" s="1120">
        <f t="shared" si="1092"/>
        <v>0</v>
      </c>
      <c r="BQ948" s="1120">
        <f t="shared" si="1093"/>
        <v>0</v>
      </c>
      <c r="BR948" s="1120">
        <f t="shared" si="1094"/>
        <v>0</v>
      </c>
      <c r="BS948" s="1120">
        <f t="shared" si="1095"/>
        <v>0</v>
      </c>
      <c r="BT948" s="1120">
        <f t="shared" si="1096"/>
        <v>0</v>
      </c>
      <c r="BU948" s="1120">
        <f t="shared" si="1097"/>
        <v>0</v>
      </c>
      <c r="BV948" s="1120">
        <f t="shared" si="1098"/>
        <v>1</v>
      </c>
      <c r="BW948" s="1120">
        <f t="shared" si="1099"/>
        <v>0</v>
      </c>
      <c r="BX948" s="1120">
        <f t="shared" si="1100"/>
        <v>1</v>
      </c>
      <c r="BY948" s="1120">
        <f t="shared" si="1101"/>
        <v>1</v>
      </c>
      <c r="BZ948" s="1120">
        <f t="shared" si="1102"/>
        <v>1</v>
      </c>
      <c r="CA948" s="1120">
        <f t="shared" si="1103"/>
        <v>1</v>
      </c>
      <c r="CB948" s="1120">
        <f t="shared" si="1104"/>
        <v>1</v>
      </c>
      <c r="CC948" s="1120">
        <f t="shared" si="1105"/>
        <v>1</v>
      </c>
      <c r="CD948" s="1120">
        <f t="shared" si="1106"/>
        <v>1</v>
      </c>
      <c r="CE948" s="1120">
        <f t="shared" si="1107"/>
        <v>1</v>
      </c>
      <c r="CF948" s="1120">
        <f t="shared" si="1108"/>
        <v>1</v>
      </c>
      <c r="CG948" s="1120">
        <f t="shared" si="1109"/>
        <v>1</v>
      </c>
      <c r="CH948" s="1120">
        <f t="shared" si="1110"/>
        <v>1</v>
      </c>
      <c r="CI948" s="1120">
        <f t="shared" si="1111"/>
        <v>0.85</v>
      </c>
      <c r="CJ948" s="1120">
        <f t="shared" si="1112"/>
        <v>0.85</v>
      </c>
      <c r="CK948" s="1120">
        <f t="shared" si="1113"/>
        <v>0.85</v>
      </c>
      <c r="CL948" s="1120">
        <f t="shared" si="1114"/>
        <v>0.7</v>
      </c>
      <c r="CM948" s="1120">
        <f t="shared" si="1115"/>
        <v>0.7</v>
      </c>
      <c r="CN948" s="1120">
        <f t="shared" si="1116"/>
        <v>0.7</v>
      </c>
      <c r="CO948" s="1120">
        <f t="shared" si="1117"/>
        <v>0.7</v>
      </c>
      <c r="CP948" s="1120">
        <f t="shared" si="1118"/>
        <v>0.7</v>
      </c>
      <c r="CQ948" s="1120">
        <f t="shared" si="1119"/>
        <v>0.7</v>
      </c>
      <c r="CR948" s="1120">
        <f t="shared" si="1120"/>
        <v>0.7</v>
      </c>
      <c r="CS948" s="1120">
        <f t="shared" si="1121"/>
        <v>0.7</v>
      </c>
      <c r="CT948" s="1120">
        <f t="shared" si="1122"/>
        <v>0.85</v>
      </c>
      <c r="CU948" s="1120">
        <v>1</v>
      </c>
      <c r="CV948" s="1120"/>
      <c r="CW948" s="1120">
        <f t="shared" si="1123"/>
        <v>334</v>
      </c>
      <c r="CX948" s="1120">
        <f t="shared" si="1124"/>
        <v>31</v>
      </c>
      <c r="CY948" s="1135" t="s">
        <v>4883</v>
      </c>
      <c r="CZ948" s="1124" t="s">
        <v>4884</v>
      </c>
      <c r="DA948" s="1124"/>
      <c r="DB948" s="1124"/>
      <c r="DC948" s="1120" t="s">
        <v>5127</v>
      </c>
      <c r="DD948" s="1120" t="s">
        <v>594</v>
      </c>
      <c r="DE948" s="1120" t="str">
        <f t="shared" si="1125"/>
        <v/>
      </c>
      <c r="DF948" s="1133">
        <v>0</v>
      </c>
      <c r="DG948" s="1120">
        <v>0</v>
      </c>
    </row>
    <row r="949" spans="1:111">
      <c r="A949" s="1125" t="s">
        <v>4566</v>
      </c>
      <c r="B949" s="1120" t="s">
        <v>3858</v>
      </c>
      <c r="C949" s="1120" t="s">
        <v>3859</v>
      </c>
      <c r="D949" s="1120" t="s">
        <v>1248</v>
      </c>
      <c r="E949" s="1120">
        <v>1102</v>
      </c>
      <c r="F949" s="1120">
        <v>-91.77</v>
      </c>
      <c r="G949" s="1120">
        <v>38.130000000000003</v>
      </c>
      <c r="H949" s="1120">
        <v>-6</v>
      </c>
      <c r="I949" s="1121">
        <v>10.399999999999999</v>
      </c>
      <c r="J949" s="1121">
        <v>92.120002746582031</v>
      </c>
      <c r="K949" s="1122">
        <v>74.83999862670899</v>
      </c>
      <c r="L949" s="1120">
        <v>4618.8</v>
      </c>
      <c r="M949" s="1120">
        <v>943.2</v>
      </c>
      <c r="N949" s="1123">
        <v>27.860000085830688</v>
      </c>
      <c r="O949" s="1123">
        <v>40.1</v>
      </c>
      <c r="P949" s="1123">
        <v>47.3</v>
      </c>
      <c r="Q949" s="1123">
        <v>56.659999656677243</v>
      </c>
      <c r="R949" s="1123">
        <v>61.339998626708983</v>
      </c>
      <c r="S949" s="1123">
        <v>71.599999999999994</v>
      </c>
      <c r="T949" s="1123">
        <v>75.919999313354495</v>
      </c>
      <c r="U949" s="1123">
        <v>69.980000686645511</v>
      </c>
      <c r="V949" s="1123">
        <v>64.939998626708984</v>
      </c>
      <c r="W949" s="1123">
        <v>55.580000686645505</v>
      </c>
      <c r="X949" s="1123">
        <v>48.380000686645509</v>
      </c>
      <c r="Y949" s="1123">
        <v>31.81999999731779</v>
      </c>
      <c r="Z949" s="1123">
        <v>54.339725891486424</v>
      </c>
      <c r="AA949" s="1123">
        <f t="shared" si="1051"/>
        <v>49.316118492770102</v>
      </c>
      <c r="AB949" s="1123">
        <f t="shared" si="1052"/>
        <v>48.294125820138476</v>
      </c>
      <c r="AC949" s="1123">
        <f t="shared" si="1053"/>
        <v>50.412004434419721</v>
      </c>
      <c r="AD949" s="1123">
        <f t="shared" si="1054"/>
        <v>55.117696637304043</v>
      </c>
      <c r="AE949" s="1123">
        <f t="shared" si="1055"/>
        <v>61.184591239197736</v>
      </c>
      <c r="AF949" s="1123">
        <f t="shared" si="1056"/>
        <v>67.031258668441367</v>
      </c>
      <c r="AG949" s="1123">
        <f t="shared" si="1057"/>
        <v>71.133674959730186</v>
      </c>
      <c r="AH949" s="1123">
        <f t="shared" si="1058"/>
        <v>72.422482086591074</v>
      </c>
      <c r="AI949" s="1123">
        <f t="shared" si="1059"/>
        <v>70.561732610288701</v>
      </c>
      <c r="AJ949" s="1123">
        <f t="shared" si="1060"/>
        <v>66.036459556838722</v>
      </c>
      <c r="AK949" s="1123">
        <f t="shared" si="1061"/>
        <v>60.02624508419153</v>
      </c>
      <c r="AL949" s="1123">
        <f t="shared" si="1062"/>
        <v>54.097744214851204</v>
      </c>
      <c r="AM949" s="1120">
        <f t="shared" si="1063"/>
        <v>1</v>
      </c>
      <c r="AN949" s="1120">
        <f t="shared" si="1064"/>
        <v>1</v>
      </c>
      <c r="AO949" s="1120">
        <f t="shared" si="1065"/>
        <v>1</v>
      </c>
      <c r="AP949" s="1120">
        <f t="shared" si="1066"/>
        <v>1</v>
      </c>
      <c r="AQ949" s="1120">
        <f t="shared" si="1067"/>
        <v>1</v>
      </c>
      <c r="AR949" s="1120">
        <f t="shared" si="1068"/>
        <v>0</v>
      </c>
      <c r="AS949" s="1120">
        <f t="shared" si="1069"/>
        <v>0</v>
      </c>
      <c r="AT949" s="1120">
        <f t="shared" si="1070"/>
        <v>0</v>
      </c>
      <c r="AU949" s="1120">
        <f t="shared" si="1071"/>
        <v>1</v>
      </c>
      <c r="AV949" s="1120">
        <f t="shared" si="1072"/>
        <v>1</v>
      </c>
      <c r="AW949" s="1120">
        <f t="shared" si="1073"/>
        <v>1</v>
      </c>
      <c r="AX949" s="1120">
        <f t="shared" si="1074"/>
        <v>1</v>
      </c>
      <c r="AY949" s="1120">
        <f t="shared" si="1075"/>
        <v>0</v>
      </c>
      <c r="AZ949" s="1120">
        <f t="shared" si="1076"/>
        <v>0</v>
      </c>
      <c r="BA949" s="1120">
        <f t="shared" si="1077"/>
        <v>0</v>
      </c>
      <c r="BB949" s="1120">
        <f t="shared" si="1078"/>
        <v>0</v>
      </c>
      <c r="BC949" s="1120">
        <f t="shared" si="1079"/>
        <v>0</v>
      </c>
      <c r="BD949" s="1120">
        <f t="shared" si="1080"/>
        <v>1</v>
      </c>
      <c r="BE949" s="1120">
        <f t="shared" si="1081"/>
        <v>1</v>
      </c>
      <c r="BF949" s="1120">
        <f t="shared" si="1082"/>
        <v>1</v>
      </c>
      <c r="BG949" s="1120">
        <f t="shared" si="1083"/>
        <v>0</v>
      </c>
      <c r="BH949" s="1120">
        <f t="shared" si="1084"/>
        <v>0</v>
      </c>
      <c r="BI949" s="1120">
        <f t="shared" si="1085"/>
        <v>0</v>
      </c>
      <c r="BJ949" s="1120">
        <f t="shared" si="1086"/>
        <v>0</v>
      </c>
      <c r="BK949" s="1120">
        <f t="shared" si="1087"/>
        <v>1</v>
      </c>
      <c r="BL949" s="1120">
        <f t="shared" si="1088"/>
        <v>1</v>
      </c>
      <c r="BM949" s="1120">
        <f t="shared" si="1089"/>
        <v>1</v>
      </c>
      <c r="BN949" s="1120">
        <f t="shared" si="1090"/>
        <v>1</v>
      </c>
      <c r="BO949" s="1120">
        <f t="shared" si="1091"/>
        <v>1</v>
      </c>
      <c r="BP949" s="1120">
        <f t="shared" si="1092"/>
        <v>1</v>
      </c>
      <c r="BQ949" s="1120">
        <f t="shared" si="1093"/>
        <v>0</v>
      </c>
      <c r="BR949" s="1120">
        <f t="shared" si="1094"/>
        <v>0</v>
      </c>
      <c r="BS949" s="1120">
        <f t="shared" si="1095"/>
        <v>1</v>
      </c>
      <c r="BT949" s="1120">
        <f t="shared" si="1096"/>
        <v>1</v>
      </c>
      <c r="BU949" s="1120">
        <f t="shared" si="1097"/>
        <v>1</v>
      </c>
      <c r="BV949" s="1120">
        <f t="shared" si="1098"/>
        <v>1</v>
      </c>
      <c r="BW949" s="1120">
        <f t="shared" si="1099"/>
        <v>0</v>
      </c>
      <c r="BX949" s="1120">
        <f t="shared" si="1100"/>
        <v>0</v>
      </c>
      <c r="BY949" s="1120">
        <f t="shared" si="1101"/>
        <v>0</v>
      </c>
      <c r="BZ949" s="1120">
        <f t="shared" si="1102"/>
        <v>0</v>
      </c>
      <c r="CA949" s="1120">
        <f t="shared" si="1103"/>
        <v>1</v>
      </c>
      <c r="CB949" s="1120">
        <f t="shared" si="1104"/>
        <v>1</v>
      </c>
      <c r="CC949" s="1120">
        <f t="shared" si="1105"/>
        <v>1</v>
      </c>
      <c r="CD949" s="1120">
        <f t="shared" si="1106"/>
        <v>1</v>
      </c>
      <c r="CE949" s="1120">
        <f t="shared" si="1107"/>
        <v>1</v>
      </c>
      <c r="CF949" s="1120">
        <f t="shared" si="1108"/>
        <v>0</v>
      </c>
      <c r="CG949" s="1120">
        <f t="shared" si="1109"/>
        <v>0</v>
      </c>
      <c r="CH949" s="1120">
        <f t="shared" si="1110"/>
        <v>0</v>
      </c>
      <c r="CI949" s="1120">
        <f t="shared" si="1111"/>
        <v>0.85</v>
      </c>
      <c r="CJ949" s="1120">
        <f t="shared" si="1112"/>
        <v>0.85</v>
      </c>
      <c r="CK949" s="1120">
        <f t="shared" si="1113"/>
        <v>0.85</v>
      </c>
      <c r="CL949" s="1120">
        <f t="shared" si="1114"/>
        <v>0.85</v>
      </c>
      <c r="CM949" s="1120">
        <f t="shared" si="1115"/>
        <v>0.85</v>
      </c>
      <c r="CN949" s="1120">
        <f t="shared" si="1116"/>
        <v>0.85</v>
      </c>
      <c r="CO949" s="1120">
        <f t="shared" si="1117"/>
        <v>0.7</v>
      </c>
      <c r="CP949" s="1120">
        <f t="shared" si="1118"/>
        <v>0.7</v>
      </c>
      <c r="CQ949" s="1120">
        <f t="shared" si="1119"/>
        <v>0.85</v>
      </c>
      <c r="CR949" s="1120">
        <f t="shared" si="1120"/>
        <v>0.85</v>
      </c>
      <c r="CS949" s="1120">
        <f t="shared" si="1121"/>
        <v>0.85</v>
      </c>
      <c r="CT949" s="1120">
        <f t="shared" si="1122"/>
        <v>0.85</v>
      </c>
      <c r="CU949" s="1120">
        <v>1</v>
      </c>
      <c r="CV949" s="1120"/>
      <c r="CW949" s="1120">
        <f t="shared" si="1123"/>
        <v>153</v>
      </c>
      <c r="CX949" s="1120">
        <f t="shared" si="1124"/>
        <v>212</v>
      </c>
      <c r="CY949" s="1135" t="s">
        <v>4881</v>
      </c>
      <c r="CZ949" s="1124" t="s">
        <v>4885</v>
      </c>
      <c r="DA949" s="1124"/>
      <c r="DB949" s="1124"/>
      <c r="DC949" s="1120" t="s">
        <v>5360</v>
      </c>
      <c r="DD949" s="1120" t="s">
        <v>1248</v>
      </c>
      <c r="DE949" s="1120" t="str">
        <f t="shared" si="1125"/>
        <v/>
      </c>
      <c r="DF949" s="1133">
        <v>0</v>
      </c>
      <c r="DG949" s="1125">
        <v>0</v>
      </c>
    </row>
    <row r="950" spans="1:111">
      <c r="A950" s="1120" t="s">
        <v>4568</v>
      </c>
      <c r="B950" s="1120" t="s">
        <v>4454</v>
      </c>
      <c r="C950" s="1120" t="s">
        <v>4455</v>
      </c>
      <c r="D950" s="1120" t="s">
        <v>228</v>
      </c>
      <c r="E950" s="1120">
        <v>115</v>
      </c>
      <c r="F950" s="1120">
        <v>-96.93</v>
      </c>
      <c r="G950" s="1120">
        <v>28.87</v>
      </c>
      <c r="H950" s="1120">
        <v>-6</v>
      </c>
      <c r="I950" s="1121">
        <v>33.980000042915343</v>
      </c>
      <c r="J950" s="1121">
        <v>94.820002746582034</v>
      </c>
      <c r="K950" s="1122">
        <v>76.639998626708987</v>
      </c>
      <c r="L950" s="1120">
        <v>1249.2</v>
      </c>
      <c r="M950" s="1120">
        <v>3036.6</v>
      </c>
      <c r="N950" s="1123">
        <v>55.580000686645505</v>
      </c>
      <c r="O950" s="1123">
        <v>54.5</v>
      </c>
      <c r="P950" s="1123">
        <v>61.880000686645509</v>
      </c>
      <c r="Q950" s="1123">
        <v>69.260001373291018</v>
      </c>
      <c r="R950" s="1123">
        <v>74.83999862670899</v>
      </c>
      <c r="S950" s="1123">
        <v>81.139998626708987</v>
      </c>
      <c r="T950" s="1123">
        <v>82.760001373291018</v>
      </c>
      <c r="U950" s="1123">
        <v>83.3</v>
      </c>
      <c r="V950" s="1123">
        <v>79.7</v>
      </c>
      <c r="W950" s="1123">
        <v>71.960001373291021</v>
      </c>
      <c r="X950" s="1123">
        <v>61.880000686645509</v>
      </c>
      <c r="Y950" s="1123">
        <v>53.959999656677248</v>
      </c>
      <c r="Z950" s="1123">
        <v>69.309808479727138</v>
      </c>
      <c r="AA950" s="1123">
        <f t="shared" si="1051"/>
        <v>65.861765642917646</v>
      </c>
      <c r="AB950" s="1123">
        <f t="shared" si="1052"/>
        <v>66.30811903312653</v>
      </c>
      <c r="AC950" s="1123">
        <f t="shared" si="1053"/>
        <v>69.100901497825276</v>
      </c>
      <c r="AD950" s="1123">
        <f t="shared" si="1054"/>
        <v>73.512131249509594</v>
      </c>
      <c r="AE950" s="1123">
        <f t="shared" si="1055"/>
        <v>78.391953274294792</v>
      </c>
      <c r="AF950" s="1123">
        <f t="shared" si="1056"/>
        <v>82.468366761086926</v>
      </c>
      <c r="AG950" s="1123">
        <f t="shared" si="1057"/>
        <v>84.678791715120255</v>
      </c>
      <c r="AH950" s="1123">
        <f t="shared" si="1058"/>
        <v>84.447046808446345</v>
      </c>
      <c r="AI950" s="1123">
        <f t="shared" si="1059"/>
        <v>81.833539922286874</v>
      </c>
      <c r="AJ950" s="1123">
        <f t="shared" si="1060"/>
        <v>77.519521901879543</v>
      </c>
      <c r="AK950" s="1123">
        <f t="shared" si="1061"/>
        <v>72.629508025273594</v>
      </c>
      <c r="AL950" s="1123">
        <f t="shared" si="1062"/>
        <v>68.438155766801245</v>
      </c>
      <c r="AM950" s="1120">
        <f t="shared" si="1063"/>
        <v>1</v>
      </c>
      <c r="AN950" s="1120">
        <f t="shared" si="1064"/>
        <v>1</v>
      </c>
      <c r="AO950" s="1120">
        <f t="shared" si="1065"/>
        <v>1</v>
      </c>
      <c r="AP950" s="1120">
        <f t="shared" si="1066"/>
        <v>0</v>
      </c>
      <c r="AQ950" s="1120">
        <f t="shared" si="1067"/>
        <v>0</v>
      </c>
      <c r="AR950" s="1120">
        <f t="shared" si="1068"/>
        <v>0</v>
      </c>
      <c r="AS950" s="1120">
        <f t="shared" si="1069"/>
        <v>0</v>
      </c>
      <c r="AT950" s="1120">
        <f t="shared" si="1070"/>
        <v>0</v>
      </c>
      <c r="AU950" s="1120">
        <f t="shared" si="1071"/>
        <v>0</v>
      </c>
      <c r="AV950" s="1120">
        <f t="shared" si="1072"/>
        <v>0</v>
      </c>
      <c r="AW950" s="1120">
        <f t="shared" si="1073"/>
        <v>1</v>
      </c>
      <c r="AX950" s="1120">
        <f t="shared" si="1074"/>
        <v>1</v>
      </c>
      <c r="AY950" s="1120">
        <f t="shared" si="1075"/>
        <v>0</v>
      </c>
      <c r="AZ950" s="1120">
        <f t="shared" si="1076"/>
        <v>0</v>
      </c>
      <c r="BA950" s="1120">
        <f t="shared" si="1077"/>
        <v>0</v>
      </c>
      <c r="BB950" s="1120">
        <f t="shared" si="1078"/>
        <v>1</v>
      </c>
      <c r="BC950" s="1120">
        <f t="shared" si="1079"/>
        <v>1</v>
      </c>
      <c r="BD950" s="1120">
        <f t="shared" si="1080"/>
        <v>1</v>
      </c>
      <c r="BE950" s="1120">
        <f t="shared" si="1081"/>
        <v>1</v>
      </c>
      <c r="BF950" s="1120">
        <f t="shared" si="1082"/>
        <v>1</v>
      </c>
      <c r="BG950" s="1120">
        <f t="shared" si="1083"/>
        <v>1</v>
      </c>
      <c r="BH950" s="1120">
        <f t="shared" si="1084"/>
        <v>1</v>
      </c>
      <c r="BI950" s="1120">
        <f t="shared" si="1085"/>
        <v>0</v>
      </c>
      <c r="BJ950" s="1120">
        <f t="shared" si="1086"/>
        <v>0</v>
      </c>
      <c r="BK950" s="1120">
        <f t="shared" si="1087"/>
        <v>1</v>
      </c>
      <c r="BL950" s="1120">
        <f t="shared" si="1088"/>
        <v>1</v>
      </c>
      <c r="BM950" s="1120">
        <f t="shared" si="1089"/>
        <v>1</v>
      </c>
      <c r="BN950" s="1120">
        <f t="shared" si="1090"/>
        <v>1</v>
      </c>
      <c r="BO950" s="1120">
        <f t="shared" si="1091"/>
        <v>0</v>
      </c>
      <c r="BP950" s="1120">
        <f t="shared" si="1092"/>
        <v>0</v>
      </c>
      <c r="BQ950" s="1120">
        <f t="shared" si="1093"/>
        <v>0</v>
      </c>
      <c r="BR950" s="1120">
        <f t="shared" si="1094"/>
        <v>0</v>
      </c>
      <c r="BS950" s="1120">
        <f t="shared" si="1095"/>
        <v>0</v>
      </c>
      <c r="BT950" s="1120">
        <f t="shared" si="1096"/>
        <v>0</v>
      </c>
      <c r="BU950" s="1120">
        <f t="shared" si="1097"/>
        <v>1</v>
      </c>
      <c r="BV950" s="1120">
        <f t="shared" si="1098"/>
        <v>1</v>
      </c>
      <c r="BW950" s="1120">
        <f t="shared" si="1099"/>
        <v>0</v>
      </c>
      <c r="BX950" s="1120">
        <f t="shared" si="1100"/>
        <v>0</v>
      </c>
      <c r="BY950" s="1120">
        <f t="shared" si="1101"/>
        <v>1</v>
      </c>
      <c r="BZ950" s="1120">
        <f t="shared" si="1102"/>
        <v>1</v>
      </c>
      <c r="CA950" s="1120">
        <f t="shared" si="1103"/>
        <v>1</v>
      </c>
      <c r="CB950" s="1120">
        <f t="shared" si="1104"/>
        <v>1</v>
      </c>
      <c r="CC950" s="1120">
        <f t="shared" si="1105"/>
        <v>1</v>
      </c>
      <c r="CD950" s="1120">
        <f t="shared" si="1106"/>
        <v>1</v>
      </c>
      <c r="CE950" s="1120">
        <f t="shared" si="1107"/>
        <v>1</v>
      </c>
      <c r="CF950" s="1120">
        <f t="shared" si="1108"/>
        <v>1</v>
      </c>
      <c r="CG950" s="1120">
        <f t="shared" si="1109"/>
        <v>1</v>
      </c>
      <c r="CH950" s="1120">
        <f t="shared" si="1110"/>
        <v>0</v>
      </c>
      <c r="CI950" s="1120">
        <f t="shared" si="1111"/>
        <v>0.85</v>
      </c>
      <c r="CJ950" s="1120">
        <f t="shared" si="1112"/>
        <v>0.85</v>
      </c>
      <c r="CK950" s="1120">
        <f t="shared" si="1113"/>
        <v>0.85</v>
      </c>
      <c r="CL950" s="1120">
        <f t="shared" si="1114"/>
        <v>0.85</v>
      </c>
      <c r="CM950" s="1120">
        <f t="shared" si="1115"/>
        <v>0.7</v>
      </c>
      <c r="CN950" s="1120">
        <f t="shared" si="1116"/>
        <v>0.7</v>
      </c>
      <c r="CO950" s="1120">
        <f t="shared" si="1117"/>
        <v>0.7</v>
      </c>
      <c r="CP950" s="1120">
        <f t="shared" si="1118"/>
        <v>0.7</v>
      </c>
      <c r="CQ950" s="1120">
        <f t="shared" si="1119"/>
        <v>0.7</v>
      </c>
      <c r="CR950" s="1120">
        <f t="shared" si="1120"/>
        <v>0.7</v>
      </c>
      <c r="CS950" s="1120">
        <f t="shared" si="1121"/>
        <v>0.85</v>
      </c>
      <c r="CT950" s="1120">
        <f t="shared" si="1122"/>
        <v>0.85</v>
      </c>
      <c r="CU950" s="1120">
        <v>1</v>
      </c>
      <c r="CV950" s="1120"/>
      <c r="CW950" s="1120">
        <f t="shared" si="1123"/>
        <v>275</v>
      </c>
      <c r="CX950" s="1120">
        <f t="shared" si="1124"/>
        <v>90</v>
      </c>
      <c r="CY950" s="1135" t="s">
        <v>4883</v>
      </c>
      <c r="CZ950" s="1124" t="s">
        <v>4884</v>
      </c>
      <c r="DA950" s="1124"/>
      <c r="DB950" s="1124"/>
      <c r="DC950" s="1120" t="s">
        <v>5613</v>
      </c>
      <c r="DD950" s="1120" t="s">
        <v>228</v>
      </c>
      <c r="DE950" s="1120" t="str">
        <f t="shared" si="1125"/>
        <v/>
      </c>
      <c r="DF950" s="1133">
        <v>0</v>
      </c>
      <c r="DG950" s="1120">
        <v>0</v>
      </c>
    </row>
    <row r="951" spans="1:111">
      <c r="A951" s="1125" t="s">
        <v>4570</v>
      </c>
      <c r="B951" s="1125" t="s">
        <v>4488</v>
      </c>
      <c r="C951" s="1125" t="s">
        <v>4489</v>
      </c>
      <c r="D951" s="1125" t="s">
        <v>501</v>
      </c>
      <c r="E951" s="1125">
        <v>2132</v>
      </c>
      <c r="F951" s="1125">
        <v>-80.42</v>
      </c>
      <c r="G951" s="1125">
        <v>37.22</v>
      </c>
      <c r="H951" s="1125">
        <v>-5</v>
      </c>
      <c r="I951" s="1126">
        <v>15.799999999999999</v>
      </c>
      <c r="J951" s="1126">
        <v>86</v>
      </c>
      <c r="K951" s="1127">
        <v>70.7</v>
      </c>
      <c r="L951" s="1125">
        <v>4955.4000000000005</v>
      </c>
      <c r="M951" s="1125">
        <v>756</v>
      </c>
      <c r="N951" s="1128">
        <v>30.019999957084657</v>
      </c>
      <c r="O951" s="1128">
        <v>37.939999914169313</v>
      </c>
      <c r="P951" s="1128">
        <v>37.76000008583069</v>
      </c>
      <c r="Q951" s="1128">
        <v>53.419999313354495</v>
      </c>
      <c r="R951" s="1128">
        <v>60.259999656677245</v>
      </c>
      <c r="S951" s="1128">
        <v>69.260001373291018</v>
      </c>
      <c r="T951" s="1128">
        <v>71.419999313354495</v>
      </c>
      <c r="U951" s="1128">
        <v>71.780000686645508</v>
      </c>
      <c r="V951" s="1128">
        <v>62.6</v>
      </c>
      <c r="W951" s="1128">
        <v>57.380000686645509</v>
      </c>
      <c r="X951" s="1128">
        <v>48.019999313354489</v>
      </c>
      <c r="Y951" s="1128">
        <v>33.980000042915343</v>
      </c>
      <c r="Z951" s="1128">
        <v>52.881972632604104</v>
      </c>
      <c r="AA951" s="1128">
        <f t="shared" si="1051"/>
        <v>49.689129367022247</v>
      </c>
      <c r="AB951" s="1128">
        <f t="shared" si="1052"/>
        <v>48.698183327650014</v>
      </c>
      <c r="AC951" s="1128">
        <f t="shared" si="1053"/>
        <v>50.361798907557692</v>
      </c>
      <c r="AD951" s="1128">
        <f t="shared" si="1054"/>
        <v>54.246329068750235</v>
      </c>
      <c r="AE951" s="1128">
        <f t="shared" si="1055"/>
        <v>59.339211162291001</v>
      </c>
      <c r="AF951" s="1128">
        <f t="shared" si="1056"/>
        <v>64.31290698680985</v>
      </c>
      <c r="AG951" s="1128">
        <f t="shared" si="1057"/>
        <v>67.8709460786732</v>
      </c>
      <c r="AH951" s="1128">
        <f t="shared" si="1058"/>
        <v>69.085870717544736</v>
      </c>
      <c r="AI951" s="1128">
        <f t="shared" si="1059"/>
        <v>67.640992073747185</v>
      </c>
      <c r="AJ951" s="1128">
        <f t="shared" si="1060"/>
        <v>63.912940032040289</v>
      </c>
      <c r="AK951" s="1128">
        <f t="shared" si="1061"/>
        <v>58.873488808115916</v>
      </c>
      <c r="AL951" s="1128">
        <f t="shared" si="1062"/>
        <v>53.836249023784084</v>
      </c>
      <c r="AM951" s="1125">
        <f t="shared" si="1063"/>
        <v>1</v>
      </c>
      <c r="AN951" s="1125">
        <f t="shared" si="1064"/>
        <v>1</v>
      </c>
      <c r="AO951" s="1125">
        <f t="shared" si="1065"/>
        <v>1</v>
      </c>
      <c r="AP951" s="1125">
        <f t="shared" si="1066"/>
        <v>1</v>
      </c>
      <c r="AQ951" s="1125">
        <f t="shared" si="1067"/>
        <v>1</v>
      </c>
      <c r="AR951" s="1125">
        <f t="shared" si="1068"/>
        <v>0</v>
      </c>
      <c r="AS951" s="1125">
        <f t="shared" si="1069"/>
        <v>0</v>
      </c>
      <c r="AT951" s="1125">
        <f t="shared" si="1070"/>
        <v>0</v>
      </c>
      <c r="AU951" s="1125">
        <f t="shared" si="1071"/>
        <v>1</v>
      </c>
      <c r="AV951" s="1125">
        <f t="shared" si="1072"/>
        <v>1</v>
      </c>
      <c r="AW951" s="1125">
        <f t="shared" si="1073"/>
        <v>1</v>
      </c>
      <c r="AX951" s="1125">
        <f t="shared" si="1074"/>
        <v>1</v>
      </c>
      <c r="AY951" s="1125">
        <f t="shared" si="1075"/>
        <v>0</v>
      </c>
      <c r="AZ951" s="1125">
        <f t="shared" si="1076"/>
        <v>0</v>
      </c>
      <c r="BA951" s="1125">
        <f t="shared" si="1077"/>
        <v>0</v>
      </c>
      <c r="BB951" s="1125">
        <f t="shared" si="1078"/>
        <v>0</v>
      </c>
      <c r="BC951" s="1125">
        <f t="shared" si="1079"/>
        <v>0</v>
      </c>
      <c r="BD951" s="1125">
        <f t="shared" si="1080"/>
        <v>1</v>
      </c>
      <c r="BE951" s="1125">
        <f t="shared" si="1081"/>
        <v>1</v>
      </c>
      <c r="BF951" s="1125">
        <f t="shared" si="1082"/>
        <v>1</v>
      </c>
      <c r="BG951" s="1125">
        <f t="shared" si="1083"/>
        <v>0</v>
      </c>
      <c r="BH951" s="1125">
        <f t="shared" si="1084"/>
        <v>0</v>
      </c>
      <c r="BI951" s="1125">
        <f t="shared" si="1085"/>
        <v>0</v>
      </c>
      <c r="BJ951" s="1125">
        <f t="shared" si="1086"/>
        <v>0</v>
      </c>
      <c r="BK951" s="1125">
        <f t="shared" si="1087"/>
        <v>1</v>
      </c>
      <c r="BL951" s="1125">
        <f t="shared" si="1088"/>
        <v>1</v>
      </c>
      <c r="BM951" s="1125">
        <f t="shared" si="1089"/>
        <v>1</v>
      </c>
      <c r="BN951" s="1125">
        <f t="shared" si="1090"/>
        <v>1</v>
      </c>
      <c r="BO951" s="1125">
        <f t="shared" si="1091"/>
        <v>1</v>
      </c>
      <c r="BP951" s="1125">
        <f t="shared" si="1092"/>
        <v>1</v>
      </c>
      <c r="BQ951" s="1125">
        <f t="shared" si="1093"/>
        <v>0</v>
      </c>
      <c r="BR951" s="1125">
        <f t="shared" si="1094"/>
        <v>0</v>
      </c>
      <c r="BS951" s="1125">
        <f t="shared" si="1095"/>
        <v>1</v>
      </c>
      <c r="BT951" s="1125">
        <f t="shared" si="1096"/>
        <v>1</v>
      </c>
      <c r="BU951" s="1125">
        <f t="shared" si="1097"/>
        <v>1</v>
      </c>
      <c r="BV951" s="1125">
        <f t="shared" si="1098"/>
        <v>1</v>
      </c>
      <c r="BW951" s="1125">
        <f t="shared" si="1099"/>
        <v>0</v>
      </c>
      <c r="BX951" s="1125">
        <f t="shared" si="1100"/>
        <v>0</v>
      </c>
      <c r="BY951" s="1125">
        <f t="shared" si="1101"/>
        <v>0</v>
      </c>
      <c r="BZ951" s="1125">
        <f t="shared" si="1102"/>
        <v>0</v>
      </c>
      <c r="CA951" s="1125">
        <f t="shared" si="1103"/>
        <v>1</v>
      </c>
      <c r="CB951" s="1125">
        <f t="shared" si="1104"/>
        <v>1</v>
      </c>
      <c r="CC951" s="1125">
        <f t="shared" si="1105"/>
        <v>1</v>
      </c>
      <c r="CD951" s="1125">
        <f t="shared" si="1106"/>
        <v>1</v>
      </c>
      <c r="CE951" s="1125">
        <f t="shared" si="1107"/>
        <v>1</v>
      </c>
      <c r="CF951" s="1125">
        <f t="shared" si="1108"/>
        <v>0</v>
      </c>
      <c r="CG951" s="1125">
        <f t="shared" si="1109"/>
        <v>0</v>
      </c>
      <c r="CH951" s="1125">
        <f t="shared" si="1110"/>
        <v>0</v>
      </c>
      <c r="CI951" s="1125">
        <f t="shared" si="1111"/>
        <v>0.85</v>
      </c>
      <c r="CJ951" s="1125">
        <f t="shared" si="1112"/>
        <v>0.85</v>
      </c>
      <c r="CK951" s="1125">
        <f t="shared" si="1113"/>
        <v>0.85</v>
      </c>
      <c r="CL951" s="1125">
        <f t="shared" si="1114"/>
        <v>0.85</v>
      </c>
      <c r="CM951" s="1125">
        <f t="shared" si="1115"/>
        <v>0.85</v>
      </c>
      <c r="CN951" s="1125">
        <f t="shared" si="1116"/>
        <v>0.85</v>
      </c>
      <c r="CO951" s="1125">
        <f t="shared" si="1117"/>
        <v>0.7</v>
      </c>
      <c r="CP951" s="1125">
        <f t="shared" si="1118"/>
        <v>0.7</v>
      </c>
      <c r="CQ951" s="1125">
        <f t="shared" si="1119"/>
        <v>0.85</v>
      </c>
      <c r="CR951" s="1125">
        <f t="shared" si="1120"/>
        <v>0.85</v>
      </c>
      <c r="CS951" s="1125">
        <f t="shared" si="1121"/>
        <v>0.85</v>
      </c>
      <c r="CT951" s="1125">
        <f t="shared" si="1122"/>
        <v>0.85</v>
      </c>
      <c r="CU951" s="1125">
        <v>1</v>
      </c>
      <c r="CV951" s="1125"/>
      <c r="CW951" s="1125">
        <f t="shared" si="1123"/>
        <v>153</v>
      </c>
      <c r="CX951" s="1125">
        <f t="shared" si="1124"/>
        <v>212</v>
      </c>
      <c r="CY951" s="1136" t="s">
        <v>4881</v>
      </c>
      <c r="CZ951" s="1129" t="s">
        <v>4885</v>
      </c>
      <c r="DA951" s="1129"/>
      <c r="DB951" s="1129"/>
      <c r="DC951" s="1125" t="s">
        <v>5644</v>
      </c>
      <c r="DD951" s="1125" t="s">
        <v>501</v>
      </c>
      <c r="DE951" s="1120" t="str">
        <f t="shared" si="1125"/>
        <v/>
      </c>
      <c r="DF951" s="1133">
        <v>0</v>
      </c>
      <c r="DG951" s="1125">
        <v>0</v>
      </c>
    </row>
    <row r="952" spans="1:111">
      <c r="A952" s="1120" t="s">
        <v>4574</v>
      </c>
      <c r="B952" s="1125" t="s">
        <v>5822</v>
      </c>
      <c r="C952" s="1125" t="s">
        <v>5823</v>
      </c>
      <c r="D952" s="1125" t="s">
        <v>954</v>
      </c>
      <c r="E952" s="1125">
        <v>292</v>
      </c>
      <c r="F952" s="1125">
        <v>-119.4</v>
      </c>
      <c r="G952" s="1125">
        <v>36.32</v>
      </c>
      <c r="H952" s="1125">
        <v>-8</v>
      </c>
      <c r="I952" s="1126">
        <v>32.720000010728839</v>
      </c>
      <c r="J952" s="1126">
        <v>97.879997253417969</v>
      </c>
      <c r="K952" s="1127">
        <v>71.060001373291016</v>
      </c>
      <c r="L952" s="1125">
        <v>2979</v>
      </c>
      <c r="M952" s="1125">
        <v>1686.6000000000001</v>
      </c>
      <c r="N952" s="1128">
        <v>43.52000017166138</v>
      </c>
      <c r="O952" s="1128">
        <v>48.2</v>
      </c>
      <c r="P952" s="1128">
        <v>55.219999313354492</v>
      </c>
      <c r="Q952" s="1128">
        <v>62.419999313354495</v>
      </c>
      <c r="R952" s="1128">
        <v>68.900000000000006</v>
      </c>
      <c r="S952" s="1128">
        <v>73.580000686645505</v>
      </c>
      <c r="T952" s="1128">
        <v>81.860001373291013</v>
      </c>
      <c r="U952" s="1128">
        <v>77.180000686645513</v>
      </c>
      <c r="V952" s="1128">
        <v>71.060001373291016</v>
      </c>
      <c r="W952" s="1128">
        <v>60.8</v>
      </c>
      <c r="X952" s="1128">
        <v>46.040000343322752</v>
      </c>
      <c r="Y952" s="1128">
        <v>40.459999656677248</v>
      </c>
      <c r="Z952" s="1128">
        <v>60.845863256846393</v>
      </c>
      <c r="AA952" s="1128">
        <f t="shared" si="1051"/>
        <v>55.64836094686077</v>
      </c>
      <c r="AB952" s="1128">
        <f t="shared" si="1052"/>
        <v>55.322424854337683</v>
      </c>
      <c r="AC952" s="1128">
        <f t="shared" si="1053"/>
        <v>58.000250562989628</v>
      </c>
      <c r="AD952" s="1128">
        <f t="shared" si="1054"/>
        <v>62.983821535313169</v>
      </c>
      <c r="AE952" s="1128">
        <f t="shared" si="1055"/>
        <v>68.97409319821881</v>
      </c>
      <c r="AF952" s="1128">
        <f t="shared" si="1056"/>
        <v>74.409608929889572</v>
      </c>
      <c r="AG952" s="1128">
        <f t="shared" si="1057"/>
        <v>77.873517791032555</v>
      </c>
      <c r="AH952" s="1128">
        <f t="shared" si="1058"/>
        <v>78.462898556539457</v>
      </c>
      <c r="AI952" s="1128">
        <f t="shared" si="1059"/>
        <v>76.024120047248374</v>
      </c>
      <c r="AJ952" s="1128">
        <f t="shared" si="1060"/>
        <v>71.192887464320506</v>
      </c>
      <c r="AK952" s="1128">
        <f t="shared" si="1061"/>
        <v>65.228536032043721</v>
      </c>
      <c r="AL952" s="1128">
        <f t="shared" si="1062"/>
        <v>59.685765864678707</v>
      </c>
      <c r="AM952" s="1125">
        <f t="shared" si="1063"/>
        <v>1</v>
      </c>
      <c r="AN952" s="1125">
        <f t="shared" si="1064"/>
        <v>1</v>
      </c>
      <c r="AO952" s="1125">
        <f t="shared" si="1065"/>
        <v>1</v>
      </c>
      <c r="AP952" s="1125">
        <f t="shared" si="1066"/>
        <v>1</v>
      </c>
      <c r="AQ952" s="1125">
        <f t="shared" si="1067"/>
        <v>0</v>
      </c>
      <c r="AR952" s="1125">
        <f t="shared" si="1068"/>
        <v>0</v>
      </c>
      <c r="AS952" s="1125">
        <f t="shared" si="1069"/>
        <v>0</v>
      </c>
      <c r="AT952" s="1125">
        <f t="shared" si="1070"/>
        <v>0</v>
      </c>
      <c r="AU952" s="1125">
        <f t="shared" si="1071"/>
        <v>0</v>
      </c>
      <c r="AV952" s="1125">
        <f t="shared" si="1072"/>
        <v>1</v>
      </c>
      <c r="AW952" s="1125">
        <f t="shared" si="1073"/>
        <v>1</v>
      </c>
      <c r="AX952" s="1125">
        <f t="shared" si="1074"/>
        <v>1</v>
      </c>
      <c r="AY952" s="1125">
        <f t="shared" si="1075"/>
        <v>0</v>
      </c>
      <c r="AZ952" s="1125">
        <f t="shared" si="1076"/>
        <v>0</v>
      </c>
      <c r="BA952" s="1125">
        <f t="shared" si="1077"/>
        <v>0</v>
      </c>
      <c r="BB952" s="1125">
        <f t="shared" si="1078"/>
        <v>0</v>
      </c>
      <c r="BC952" s="1125">
        <f t="shared" si="1079"/>
        <v>1</v>
      </c>
      <c r="BD952" s="1125">
        <f t="shared" si="1080"/>
        <v>1</v>
      </c>
      <c r="BE952" s="1125">
        <f t="shared" si="1081"/>
        <v>1</v>
      </c>
      <c r="BF952" s="1125">
        <f t="shared" si="1082"/>
        <v>1</v>
      </c>
      <c r="BG952" s="1125">
        <f t="shared" si="1083"/>
        <v>1</v>
      </c>
      <c r="BH952" s="1125">
        <f t="shared" si="1084"/>
        <v>0</v>
      </c>
      <c r="BI952" s="1125">
        <f t="shared" si="1085"/>
        <v>0</v>
      </c>
      <c r="BJ952" s="1125">
        <f t="shared" si="1086"/>
        <v>0</v>
      </c>
      <c r="BK952" s="1125">
        <f t="shared" si="1087"/>
        <v>1</v>
      </c>
      <c r="BL952" s="1125">
        <f t="shared" si="1088"/>
        <v>1</v>
      </c>
      <c r="BM952" s="1125">
        <f t="shared" si="1089"/>
        <v>1</v>
      </c>
      <c r="BN952" s="1125">
        <f t="shared" si="1090"/>
        <v>1</v>
      </c>
      <c r="BO952" s="1125">
        <f t="shared" si="1091"/>
        <v>1</v>
      </c>
      <c r="BP952" s="1125">
        <f t="shared" si="1092"/>
        <v>0</v>
      </c>
      <c r="BQ952" s="1125">
        <f t="shared" si="1093"/>
        <v>0</v>
      </c>
      <c r="BR952" s="1125">
        <f t="shared" si="1094"/>
        <v>0</v>
      </c>
      <c r="BS952" s="1125">
        <f t="shared" si="1095"/>
        <v>0</v>
      </c>
      <c r="BT952" s="1125">
        <f t="shared" si="1096"/>
        <v>1</v>
      </c>
      <c r="BU952" s="1125">
        <f t="shared" si="1097"/>
        <v>1</v>
      </c>
      <c r="BV952" s="1125">
        <f t="shared" si="1098"/>
        <v>1</v>
      </c>
      <c r="BW952" s="1125">
        <f t="shared" si="1099"/>
        <v>0</v>
      </c>
      <c r="BX952" s="1125">
        <f t="shared" si="1100"/>
        <v>0</v>
      </c>
      <c r="BY952" s="1125">
        <f t="shared" si="1101"/>
        <v>0</v>
      </c>
      <c r="BZ952" s="1125">
        <f t="shared" si="1102"/>
        <v>1</v>
      </c>
      <c r="CA952" s="1125">
        <f t="shared" si="1103"/>
        <v>1</v>
      </c>
      <c r="CB952" s="1125">
        <f t="shared" si="1104"/>
        <v>1</v>
      </c>
      <c r="CC952" s="1125">
        <f t="shared" si="1105"/>
        <v>1</v>
      </c>
      <c r="CD952" s="1125">
        <f t="shared" si="1106"/>
        <v>1</v>
      </c>
      <c r="CE952" s="1125">
        <f t="shared" si="1107"/>
        <v>1</v>
      </c>
      <c r="CF952" s="1125">
        <f t="shared" si="1108"/>
        <v>1</v>
      </c>
      <c r="CG952" s="1125">
        <f t="shared" si="1109"/>
        <v>0</v>
      </c>
      <c r="CH952" s="1125">
        <f t="shared" si="1110"/>
        <v>0</v>
      </c>
      <c r="CI952" s="1125">
        <f t="shared" si="1111"/>
        <v>0.85</v>
      </c>
      <c r="CJ952" s="1125">
        <f t="shared" si="1112"/>
        <v>0.85</v>
      </c>
      <c r="CK952" s="1125">
        <f t="shared" si="1113"/>
        <v>0.85</v>
      </c>
      <c r="CL952" s="1125">
        <f t="shared" si="1114"/>
        <v>0.85</v>
      </c>
      <c r="CM952" s="1125">
        <f t="shared" si="1115"/>
        <v>0.85</v>
      </c>
      <c r="CN952" s="1125">
        <f t="shared" si="1116"/>
        <v>0.7</v>
      </c>
      <c r="CO952" s="1125">
        <f t="shared" si="1117"/>
        <v>0.7</v>
      </c>
      <c r="CP952" s="1125">
        <f t="shared" si="1118"/>
        <v>0.7</v>
      </c>
      <c r="CQ952" s="1125">
        <f t="shared" si="1119"/>
        <v>0.7</v>
      </c>
      <c r="CR952" s="1125">
        <f t="shared" si="1120"/>
        <v>0.85</v>
      </c>
      <c r="CS952" s="1125">
        <f t="shared" si="1121"/>
        <v>0.85</v>
      </c>
      <c r="CT952" s="1125">
        <f t="shared" si="1122"/>
        <v>0.85</v>
      </c>
      <c r="CU952" s="1125">
        <v>1</v>
      </c>
      <c r="CV952" s="1125"/>
      <c r="CW952" s="1125">
        <f t="shared" si="1123"/>
        <v>214</v>
      </c>
      <c r="CX952" s="1125">
        <f t="shared" si="1124"/>
        <v>151</v>
      </c>
      <c r="CY952" s="1136" t="s">
        <v>4886</v>
      </c>
      <c r="CZ952" s="1129" t="s">
        <v>4888</v>
      </c>
      <c r="DA952" s="1129"/>
      <c r="DB952" s="1129"/>
      <c r="DC952" s="1125" t="s">
        <v>5722</v>
      </c>
      <c r="DD952" s="1125" t="s">
        <v>954</v>
      </c>
      <c r="DE952" s="1120" t="str">
        <f t="shared" si="1125"/>
        <v/>
      </c>
      <c r="DF952" s="1125">
        <v>1</v>
      </c>
      <c r="DG952" s="1120">
        <v>0</v>
      </c>
    </row>
    <row r="953" spans="1:111">
      <c r="A953" s="1125" t="s">
        <v>4576</v>
      </c>
      <c r="B953" s="1120" t="s">
        <v>3511</v>
      </c>
      <c r="C953" s="1120" t="s">
        <v>3512</v>
      </c>
      <c r="D953" s="1120" t="s">
        <v>932</v>
      </c>
      <c r="E953" s="1120">
        <v>758</v>
      </c>
      <c r="F953" s="1120">
        <v>-88.25</v>
      </c>
      <c r="G953" s="1120">
        <v>41.92</v>
      </c>
      <c r="H953" s="1120">
        <v>-6</v>
      </c>
      <c r="I953" s="1121">
        <v>0.68000068664550706</v>
      </c>
      <c r="J953" s="1121">
        <v>88.16000137329101</v>
      </c>
      <c r="K953" s="1122">
        <v>73.760001373291018</v>
      </c>
      <c r="L953" s="1120">
        <v>5940</v>
      </c>
      <c r="M953" s="1120">
        <v>941.4</v>
      </c>
      <c r="N953" s="1123">
        <v>30.019999957084657</v>
      </c>
      <c r="O953" s="1123">
        <v>32.540000021457672</v>
      </c>
      <c r="P953" s="1123">
        <v>38.839999914169312</v>
      </c>
      <c r="Q953" s="1123">
        <v>48.740000343322755</v>
      </c>
      <c r="R953" s="1123">
        <v>58.459999656677248</v>
      </c>
      <c r="S953" s="1123">
        <v>75.019999313354489</v>
      </c>
      <c r="T953" s="1123">
        <v>72.319999313354487</v>
      </c>
      <c r="U953" s="1123">
        <v>71.960001373291021</v>
      </c>
      <c r="V953" s="1123">
        <v>62.780000686645508</v>
      </c>
      <c r="W953" s="1123">
        <v>51.619999313354491</v>
      </c>
      <c r="X953" s="1123">
        <v>43.52000017166138</v>
      </c>
      <c r="Y953" s="1123">
        <v>21.920000171661378</v>
      </c>
      <c r="Z953" s="1123">
        <v>50.718520566404685</v>
      </c>
      <c r="AA953" s="1123">
        <f t="shared" si="1051"/>
        <v>45.755033013554851</v>
      </c>
      <c r="AB953" s="1123">
        <f t="shared" si="1052"/>
        <v>44.320177435407281</v>
      </c>
      <c r="AC953" s="1123">
        <f t="shared" si="1053"/>
        <v>46.117141058605299</v>
      </c>
      <c r="AD953" s="1123">
        <f t="shared" si="1054"/>
        <v>50.677517622714674</v>
      </c>
      <c r="AE953" s="1123">
        <f t="shared" si="1055"/>
        <v>56.812574698770163</v>
      </c>
      <c r="AF953" s="1123">
        <f t="shared" si="1056"/>
        <v>62.923115115806539</v>
      </c>
      <c r="AG953" s="1123">
        <f t="shared" si="1057"/>
        <v>67.416332347845056</v>
      </c>
      <c r="AH953" s="1123">
        <f t="shared" si="1058"/>
        <v>69.121000080781371</v>
      </c>
      <c r="AI953" s="1123">
        <f t="shared" si="1059"/>
        <v>67.59277040030068</v>
      </c>
      <c r="AJ953" s="1123">
        <f t="shared" si="1060"/>
        <v>63.229999923352544</v>
      </c>
      <c r="AK953" s="1123">
        <f t="shared" si="1061"/>
        <v>57.169912007081642</v>
      </c>
      <c r="AL953" s="1123">
        <f t="shared" si="1062"/>
        <v>50.992161955645628</v>
      </c>
      <c r="AM953" s="1120">
        <f t="shared" si="1063"/>
        <v>1</v>
      </c>
      <c r="AN953" s="1120">
        <f t="shared" si="1064"/>
        <v>1</v>
      </c>
      <c r="AO953" s="1120">
        <f t="shared" si="1065"/>
        <v>1</v>
      </c>
      <c r="AP953" s="1120">
        <f t="shared" si="1066"/>
        <v>1</v>
      </c>
      <c r="AQ953" s="1120">
        <f t="shared" si="1067"/>
        <v>1</v>
      </c>
      <c r="AR953" s="1120">
        <f t="shared" si="1068"/>
        <v>0</v>
      </c>
      <c r="AS953" s="1120">
        <f t="shared" si="1069"/>
        <v>0</v>
      </c>
      <c r="AT953" s="1120">
        <f t="shared" si="1070"/>
        <v>0</v>
      </c>
      <c r="AU953" s="1120">
        <f t="shared" si="1071"/>
        <v>1</v>
      </c>
      <c r="AV953" s="1120">
        <f t="shared" si="1072"/>
        <v>1</v>
      </c>
      <c r="AW953" s="1120">
        <f t="shared" si="1073"/>
        <v>1</v>
      </c>
      <c r="AX953" s="1120">
        <f t="shared" si="1074"/>
        <v>1</v>
      </c>
      <c r="AY953" s="1120">
        <f t="shared" si="1075"/>
        <v>0</v>
      </c>
      <c r="AZ953" s="1120">
        <f t="shared" si="1076"/>
        <v>0</v>
      </c>
      <c r="BA953" s="1120">
        <f t="shared" si="1077"/>
        <v>0</v>
      </c>
      <c r="BB953" s="1120">
        <f t="shared" si="1078"/>
        <v>0</v>
      </c>
      <c r="BC953" s="1120">
        <f t="shared" si="1079"/>
        <v>0</v>
      </c>
      <c r="BD953" s="1120">
        <f t="shared" si="1080"/>
        <v>1</v>
      </c>
      <c r="BE953" s="1120">
        <f t="shared" si="1081"/>
        <v>1</v>
      </c>
      <c r="BF953" s="1120">
        <f t="shared" si="1082"/>
        <v>1</v>
      </c>
      <c r="BG953" s="1120">
        <f t="shared" si="1083"/>
        <v>0</v>
      </c>
      <c r="BH953" s="1120">
        <f t="shared" si="1084"/>
        <v>0</v>
      </c>
      <c r="BI953" s="1120">
        <f t="shared" si="1085"/>
        <v>0</v>
      </c>
      <c r="BJ953" s="1120">
        <f t="shared" si="1086"/>
        <v>0</v>
      </c>
      <c r="BK953" s="1120">
        <f t="shared" si="1087"/>
        <v>1</v>
      </c>
      <c r="BL953" s="1120">
        <f t="shared" si="1088"/>
        <v>1</v>
      </c>
      <c r="BM953" s="1120">
        <f t="shared" si="1089"/>
        <v>1</v>
      </c>
      <c r="BN953" s="1120">
        <f t="shared" si="1090"/>
        <v>1</v>
      </c>
      <c r="BO953" s="1120">
        <f t="shared" si="1091"/>
        <v>1</v>
      </c>
      <c r="BP953" s="1120">
        <f t="shared" si="1092"/>
        <v>1</v>
      </c>
      <c r="BQ953" s="1120">
        <f t="shared" si="1093"/>
        <v>0</v>
      </c>
      <c r="BR953" s="1120">
        <f t="shared" si="1094"/>
        <v>0</v>
      </c>
      <c r="BS953" s="1120">
        <f t="shared" si="1095"/>
        <v>1</v>
      </c>
      <c r="BT953" s="1120">
        <f t="shared" si="1096"/>
        <v>1</v>
      </c>
      <c r="BU953" s="1120">
        <f t="shared" si="1097"/>
        <v>1</v>
      </c>
      <c r="BV953" s="1120">
        <f t="shared" si="1098"/>
        <v>1</v>
      </c>
      <c r="BW953" s="1120">
        <f t="shared" si="1099"/>
        <v>0</v>
      </c>
      <c r="BX953" s="1120">
        <f t="shared" si="1100"/>
        <v>0</v>
      </c>
      <c r="BY953" s="1120">
        <f t="shared" si="1101"/>
        <v>0</v>
      </c>
      <c r="BZ953" s="1120">
        <f t="shared" si="1102"/>
        <v>0</v>
      </c>
      <c r="CA953" s="1120">
        <f t="shared" si="1103"/>
        <v>1</v>
      </c>
      <c r="CB953" s="1120">
        <f t="shared" si="1104"/>
        <v>1</v>
      </c>
      <c r="CC953" s="1120">
        <f t="shared" si="1105"/>
        <v>1</v>
      </c>
      <c r="CD953" s="1120">
        <f t="shared" si="1106"/>
        <v>1</v>
      </c>
      <c r="CE953" s="1120">
        <f t="shared" si="1107"/>
        <v>1</v>
      </c>
      <c r="CF953" s="1120">
        <f t="shared" si="1108"/>
        <v>0</v>
      </c>
      <c r="CG953" s="1120">
        <f t="shared" si="1109"/>
        <v>0</v>
      </c>
      <c r="CH953" s="1120">
        <f t="shared" si="1110"/>
        <v>0</v>
      </c>
      <c r="CI953" s="1120">
        <f t="shared" si="1111"/>
        <v>0.85</v>
      </c>
      <c r="CJ953" s="1120">
        <f t="shared" si="1112"/>
        <v>0.85</v>
      </c>
      <c r="CK953" s="1120">
        <f t="shared" si="1113"/>
        <v>0.85</v>
      </c>
      <c r="CL953" s="1120">
        <f t="shared" si="1114"/>
        <v>0.85</v>
      </c>
      <c r="CM953" s="1120">
        <f t="shared" si="1115"/>
        <v>0.85</v>
      </c>
      <c r="CN953" s="1120">
        <f t="shared" si="1116"/>
        <v>0.85</v>
      </c>
      <c r="CO953" s="1120">
        <f t="shared" si="1117"/>
        <v>0.7</v>
      </c>
      <c r="CP953" s="1120">
        <f t="shared" si="1118"/>
        <v>0.7</v>
      </c>
      <c r="CQ953" s="1120">
        <f t="shared" si="1119"/>
        <v>0.85</v>
      </c>
      <c r="CR953" s="1120">
        <f t="shared" si="1120"/>
        <v>0.85</v>
      </c>
      <c r="CS953" s="1120">
        <f t="shared" si="1121"/>
        <v>0.85</v>
      </c>
      <c r="CT953" s="1120">
        <f t="shared" si="1122"/>
        <v>0.85</v>
      </c>
      <c r="CU953" s="1120">
        <v>1</v>
      </c>
      <c r="CV953" s="1120"/>
      <c r="CW953" s="1120">
        <f t="shared" si="1123"/>
        <v>153</v>
      </c>
      <c r="CX953" s="1120">
        <f t="shared" si="1124"/>
        <v>212</v>
      </c>
      <c r="CY953" s="1135" t="s">
        <v>4889</v>
      </c>
      <c r="CZ953" s="1124" t="s">
        <v>4897</v>
      </c>
      <c r="DA953" s="1124"/>
      <c r="DB953" s="1124"/>
      <c r="DC953" s="1120" t="s">
        <v>5967</v>
      </c>
      <c r="DD953" s="1120" t="s">
        <v>932</v>
      </c>
      <c r="DE953" s="1120" t="b">
        <f t="shared" si="1125"/>
        <v>0</v>
      </c>
      <c r="DF953" s="1133">
        <v>0</v>
      </c>
      <c r="DG953" s="1125">
        <v>0</v>
      </c>
    </row>
    <row r="954" spans="1:111">
      <c r="A954" s="1120" t="s">
        <v>4578</v>
      </c>
      <c r="B954" s="1125" t="s">
        <v>4456</v>
      </c>
      <c r="C954" s="1125" t="s">
        <v>4457</v>
      </c>
      <c r="D954" s="1125" t="s">
        <v>228</v>
      </c>
      <c r="E954" s="1125">
        <v>499</v>
      </c>
      <c r="F954" s="1125">
        <v>-97.23</v>
      </c>
      <c r="G954" s="1125">
        <v>31.62</v>
      </c>
      <c r="H954" s="1125">
        <v>-6</v>
      </c>
      <c r="I954" s="1126">
        <v>27.5</v>
      </c>
      <c r="J954" s="1126">
        <v>98.960001373291021</v>
      </c>
      <c r="K954" s="1127">
        <v>75.2</v>
      </c>
      <c r="L954" s="1125">
        <v>2181.6</v>
      </c>
      <c r="M954" s="1125">
        <v>2721.6</v>
      </c>
      <c r="N954" s="1128">
        <v>45.5</v>
      </c>
      <c r="O954" s="1128">
        <v>50.180000686645506</v>
      </c>
      <c r="P954" s="1128">
        <v>58.1</v>
      </c>
      <c r="Q954" s="1128">
        <v>68.180000686645513</v>
      </c>
      <c r="R954" s="1128">
        <v>72.5</v>
      </c>
      <c r="S954" s="1128">
        <v>80.780000686645508</v>
      </c>
      <c r="T954" s="1128">
        <v>84.2</v>
      </c>
      <c r="U954" s="1128">
        <v>86.9</v>
      </c>
      <c r="V954" s="1128">
        <v>75.739998626708982</v>
      </c>
      <c r="W954" s="1128">
        <v>65.83999862670899</v>
      </c>
      <c r="X954" s="1128">
        <v>56.3</v>
      </c>
      <c r="Y954" s="1128">
        <v>45.5</v>
      </c>
      <c r="Z954" s="1128">
        <v>65.889808155216585</v>
      </c>
      <c r="AA954" s="1128">
        <f t="shared" si="1051"/>
        <v>59.403288638565265</v>
      </c>
      <c r="AB954" s="1128">
        <f t="shared" si="1052"/>
        <v>59.615968626812617</v>
      </c>
      <c r="AC954" s="1128">
        <f t="shared" si="1053"/>
        <v>63.028014033730983</v>
      </c>
      <c r="AD954" s="1128">
        <f t="shared" si="1054"/>
        <v>68.750022642795756</v>
      </c>
      <c r="AE954" s="1128">
        <f t="shared" si="1055"/>
        <v>75.290464731232376</v>
      </c>
      <c r="AF954" s="1128">
        <f t="shared" si="1056"/>
        <v>80.94447327742634</v>
      </c>
      <c r="AG954" s="1128">
        <f t="shared" si="1057"/>
        <v>84.238243822903058</v>
      </c>
      <c r="AH954" s="1128">
        <f t="shared" si="1058"/>
        <v>84.313204316443475</v>
      </c>
      <c r="AI954" s="1128">
        <f t="shared" si="1059"/>
        <v>81.149815150230097</v>
      </c>
      <c r="AJ954" s="1128">
        <f t="shared" si="1060"/>
        <v>75.572662459739135</v>
      </c>
      <c r="AK954" s="1128">
        <f t="shared" si="1061"/>
        <v>69.0355170402716</v>
      </c>
      <c r="AL954" s="1128">
        <f t="shared" si="1062"/>
        <v>63.242386585871984</v>
      </c>
      <c r="AM954" s="1125">
        <f t="shared" si="1063"/>
        <v>1</v>
      </c>
      <c r="AN954" s="1125">
        <f t="shared" si="1064"/>
        <v>1</v>
      </c>
      <c r="AO954" s="1125">
        <f t="shared" si="1065"/>
        <v>1</v>
      </c>
      <c r="AP954" s="1125">
        <f t="shared" si="1066"/>
        <v>0</v>
      </c>
      <c r="AQ954" s="1125">
        <f t="shared" si="1067"/>
        <v>0</v>
      </c>
      <c r="AR954" s="1125">
        <f t="shared" si="1068"/>
        <v>0</v>
      </c>
      <c r="AS954" s="1125">
        <f t="shared" si="1069"/>
        <v>0</v>
      </c>
      <c r="AT954" s="1125">
        <f t="shared" si="1070"/>
        <v>0</v>
      </c>
      <c r="AU954" s="1125">
        <f t="shared" si="1071"/>
        <v>0</v>
      </c>
      <c r="AV954" s="1125">
        <f t="shared" si="1072"/>
        <v>1</v>
      </c>
      <c r="AW954" s="1125">
        <f t="shared" si="1073"/>
        <v>1</v>
      </c>
      <c r="AX954" s="1125">
        <f t="shared" si="1074"/>
        <v>1</v>
      </c>
      <c r="AY954" s="1125">
        <f t="shared" si="1075"/>
        <v>0</v>
      </c>
      <c r="AZ954" s="1125">
        <f t="shared" si="1076"/>
        <v>0</v>
      </c>
      <c r="BA954" s="1125">
        <f t="shared" si="1077"/>
        <v>0</v>
      </c>
      <c r="BB954" s="1125">
        <f t="shared" si="1078"/>
        <v>1</v>
      </c>
      <c r="BC954" s="1125">
        <f t="shared" si="1079"/>
        <v>1</v>
      </c>
      <c r="BD954" s="1125">
        <f t="shared" si="1080"/>
        <v>1</v>
      </c>
      <c r="BE954" s="1125">
        <f t="shared" si="1081"/>
        <v>1</v>
      </c>
      <c r="BF954" s="1125">
        <f t="shared" si="1082"/>
        <v>1</v>
      </c>
      <c r="BG954" s="1125">
        <f t="shared" si="1083"/>
        <v>1</v>
      </c>
      <c r="BH954" s="1125">
        <f t="shared" si="1084"/>
        <v>0</v>
      </c>
      <c r="BI954" s="1125">
        <f t="shared" si="1085"/>
        <v>0</v>
      </c>
      <c r="BJ954" s="1125">
        <f t="shared" si="1086"/>
        <v>0</v>
      </c>
      <c r="BK954" s="1125">
        <f t="shared" si="1087"/>
        <v>1</v>
      </c>
      <c r="BL954" s="1125">
        <f t="shared" si="1088"/>
        <v>1</v>
      </c>
      <c r="BM954" s="1125">
        <f t="shared" si="1089"/>
        <v>1</v>
      </c>
      <c r="BN954" s="1125">
        <f t="shared" si="1090"/>
        <v>1</v>
      </c>
      <c r="BO954" s="1125">
        <f t="shared" si="1091"/>
        <v>0</v>
      </c>
      <c r="BP954" s="1125">
        <f t="shared" si="1092"/>
        <v>0</v>
      </c>
      <c r="BQ954" s="1125">
        <f t="shared" si="1093"/>
        <v>0</v>
      </c>
      <c r="BR954" s="1125">
        <f t="shared" si="1094"/>
        <v>0</v>
      </c>
      <c r="BS954" s="1125">
        <f t="shared" si="1095"/>
        <v>0</v>
      </c>
      <c r="BT954" s="1125">
        <f t="shared" si="1096"/>
        <v>1</v>
      </c>
      <c r="BU954" s="1125">
        <f t="shared" si="1097"/>
        <v>1</v>
      </c>
      <c r="BV954" s="1125">
        <f t="shared" si="1098"/>
        <v>1</v>
      </c>
      <c r="BW954" s="1125">
        <f t="shared" si="1099"/>
        <v>0</v>
      </c>
      <c r="BX954" s="1125">
        <f t="shared" si="1100"/>
        <v>0</v>
      </c>
      <c r="BY954" s="1125">
        <f t="shared" si="1101"/>
        <v>1</v>
      </c>
      <c r="BZ954" s="1125">
        <f t="shared" si="1102"/>
        <v>1</v>
      </c>
      <c r="CA954" s="1125">
        <f t="shared" si="1103"/>
        <v>1</v>
      </c>
      <c r="CB954" s="1125">
        <f t="shared" si="1104"/>
        <v>1</v>
      </c>
      <c r="CC954" s="1125">
        <f t="shared" si="1105"/>
        <v>1</v>
      </c>
      <c r="CD954" s="1125">
        <f t="shared" si="1106"/>
        <v>1</v>
      </c>
      <c r="CE954" s="1125">
        <f t="shared" si="1107"/>
        <v>1</v>
      </c>
      <c r="CF954" s="1125">
        <f t="shared" si="1108"/>
        <v>1</v>
      </c>
      <c r="CG954" s="1125">
        <f t="shared" si="1109"/>
        <v>0</v>
      </c>
      <c r="CH954" s="1125">
        <f t="shared" si="1110"/>
        <v>0</v>
      </c>
      <c r="CI954" s="1125">
        <f t="shared" si="1111"/>
        <v>0.85</v>
      </c>
      <c r="CJ954" s="1125">
        <f t="shared" si="1112"/>
        <v>0.85</v>
      </c>
      <c r="CK954" s="1125">
        <f t="shared" si="1113"/>
        <v>0.85</v>
      </c>
      <c r="CL954" s="1125">
        <f t="shared" si="1114"/>
        <v>0.85</v>
      </c>
      <c r="CM954" s="1125">
        <f t="shared" si="1115"/>
        <v>0.7</v>
      </c>
      <c r="CN954" s="1125">
        <f t="shared" si="1116"/>
        <v>0.7</v>
      </c>
      <c r="CO954" s="1125">
        <f t="shared" si="1117"/>
        <v>0.7</v>
      </c>
      <c r="CP954" s="1125">
        <f t="shared" si="1118"/>
        <v>0.7</v>
      </c>
      <c r="CQ954" s="1125">
        <f t="shared" si="1119"/>
        <v>0.7</v>
      </c>
      <c r="CR954" s="1125">
        <f t="shared" si="1120"/>
        <v>0.85</v>
      </c>
      <c r="CS954" s="1125">
        <f t="shared" si="1121"/>
        <v>0.85</v>
      </c>
      <c r="CT954" s="1125">
        <f t="shared" si="1122"/>
        <v>0.85</v>
      </c>
      <c r="CU954" s="1125">
        <v>1</v>
      </c>
      <c r="CV954" s="1125"/>
      <c r="CW954" s="1125">
        <f t="shared" si="1123"/>
        <v>245</v>
      </c>
      <c r="CX954" s="1125">
        <f t="shared" si="1124"/>
        <v>120</v>
      </c>
      <c r="CY954" s="1136" t="s">
        <v>4883</v>
      </c>
      <c r="CZ954" s="1129" t="s">
        <v>4884</v>
      </c>
      <c r="DA954" s="1129"/>
      <c r="DB954" s="1129"/>
      <c r="DC954" s="1125" t="s">
        <v>5614</v>
      </c>
      <c r="DD954" s="1125" t="s">
        <v>228</v>
      </c>
      <c r="DE954" s="1120" t="str">
        <f t="shared" si="1125"/>
        <v/>
      </c>
      <c r="DF954" s="1133">
        <v>0</v>
      </c>
      <c r="DG954" s="1120">
        <v>0</v>
      </c>
    </row>
    <row r="955" spans="1:111">
      <c r="A955" s="1125" t="s">
        <v>4580</v>
      </c>
      <c r="B955" s="1120" t="s">
        <v>4598</v>
      </c>
      <c r="C955" s="1120" t="s">
        <v>4599</v>
      </c>
      <c r="D955" s="1120" t="s">
        <v>238</v>
      </c>
      <c r="E955" s="1120">
        <v>1164</v>
      </c>
      <c r="F955" s="1120">
        <v>-118.28</v>
      </c>
      <c r="G955" s="1120">
        <v>46.1</v>
      </c>
      <c r="H955" s="1120">
        <v>-8</v>
      </c>
      <c r="I955" s="1121">
        <v>16.159999656677247</v>
      </c>
      <c r="J955" s="1121">
        <v>94.820002746582034</v>
      </c>
      <c r="K955" s="1122">
        <v>65.480000686645511</v>
      </c>
      <c r="L955" s="1120">
        <v>4766.4000000000005</v>
      </c>
      <c r="M955" s="1120">
        <v>898.2</v>
      </c>
      <c r="N955" s="1123">
        <v>35.6</v>
      </c>
      <c r="O955" s="1123">
        <v>39.559999656677249</v>
      </c>
      <c r="P955" s="1123">
        <v>48.380000686645509</v>
      </c>
      <c r="Q955" s="1123">
        <v>50.9</v>
      </c>
      <c r="R955" s="1123">
        <v>56.659999656677243</v>
      </c>
      <c r="S955" s="1123">
        <v>67.639998626708987</v>
      </c>
      <c r="T955" s="1123">
        <v>77.180000686645513</v>
      </c>
      <c r="U955" s="1123">
        <v>75.380000686645502</v>
      </c>
      <c r="V955" s="1123">
        <v>63.319999313354494</v>
      </c>
      <c r="W955" s="1123">
        <v>52.159999656677243</v>
      </c>
      <c r="X955" s="1123">
        <v>42.259999656677245</v>
      </c>
      <c r="Y955" s="1123">
        <v>35.779999828338624</v>
      </c>
      <c r="Z955" s="1123">
        <v>53.826356042574531</v>
      </c>
      <c r="AA955" s="1123">
        <f t="shared" si="1051"/>
        <v>50.42438963174061</v>
      </c>
      <c r="AB955" s="1123">
        <f t="shared" si="1052"/>
        <v>49.503165741590692</v>
      </c>
      <c r="AC955" s="1123">
        <f t="shared" si="1053"/>
        <v>51.272840488570218</v>
      </c>
      <c r="AD955" s="1123">
        <f t="shared" si="1054"/>
        <v>55.272120878365627</v>
      </c>
      <c r="AE955" s="1123">
        <f t="shared" si="1055"/>
        <v>60.458532846600377</v>
      </c>
      <c r="AF955" s="1123">
        <f t="shared" si="1056"/>
        <v>65.48015818872635</v>
      </c>
      <c r="AG955" s="1123">
        <f t="shared" si="1057"/>
        <v>69.028032873729444</v>
      </c>
      <c r="AH955" s="1123">
        <f t="shared" si="1058"/>
        <v>70.177348690559739</v>
      </c>
      <c r="AI955" s="1123">
        <f t="shared" si="1059"/>
        <v>68.628518760067536</v>
      </c>
      <c r="AJ955" s="1123">
        <f t="shared" si="1060"/>
        <v>64.785269471827348</v>
      </c>
      <c r="AK955" s="1123">
        <f t="shared" si="1061"/>
        <v>59.649402979083291</v>
      </c>
      <c r="AL955" s="1123">
        <f t="shared" si="1062"/>
        <v>54.559662029267471</v>
      </c>
      <c r="AM955" s="1120">
        <f t="shared" si="1063"/>
        <v>1</v>
      </c>
      <c r="AN955" s="1120">
        <f t="shared" si="1064"/>
        <v>1</v>
      </c>
      <c r="AO955" s="1120">
        <f t="shared" si="1065"/>
        <v>1</v>
      </c>
      <c r="AP955" s="1120">
        <f t="shared" si="1066"/>
        <v>1</v>
      </c>
      <c r="AQ955" s="1120">
        <f t="shared" si="1067"/>
        <v>1</v>
      </c>
      <c r="AR955" s="1120">
        <f t="shared" si="1068"/>
        <v>0</v>
      </c>
      <c r="AS955" s="1120">
        <f t="shared" si="1069"/>
        <v>0</v>
      </c>
      <c r="AT955" s="1120">
        <f t="shared" si="1070"/>
        <v>0</v>
      </c>
      <c r="AU955" s="1120">
        <f t="shared" si="1071"/>
        <v>1</v>
      </c>
      <c r="AV955" s="1120">
        <f t="shared" si="1072"/>
        <v>1</v>
      </c>
      <c r="AW955" s="1120">
        <f t="shared" si="1073"/>
        <v>1</v>
      </c>
      <c r="AX955" s="1120">
        <f t="shared" si="1074"/>
        <v>1</v>
      </c>
      <c r="AY955" s="1120">
        <f t="shared" si="1075"/>
        <v>0</v>
      </c>
      <c r="AZ955" s="1120">
        <f t="shared" si="1076"/>
        <v>0</v>
      </c>
      <c r="BA955" s="1120">
        <f t="shared" si="1077"/>
        <v>0</v>
      </c>
      <c r="BB955" s="1120">
        <f t="shared" si="1078"/>
        <v>0</v>
      </c>
      <c r="BC955" s="1120">
        <f t="shared" si="1079"/>
        <v>0</v>
      </c>
      <c r="BD955" s="1120">
        <f t="shared" si="1080"/>
        <v>1</v>
      </c>
      <c r="BE955" s="1120">
        <f t="shared" si="1081"/>
        <v>1</v>
      </c>
      <c r="BF955" s="1120">
        <f t="shared" si="1082"/>
        <v>1</v>
      </c>
      <c r="BG955" s="1120">
        <f t="shared" si="1083"/>
        <v>0</v>
      </c>
      <c r="BH955" s="1120">
        <f t="shared" si="1084"/>
        <v>0</v>
      </c>
      <c r="BI955" s="1120">
        <f t="shared" si="1085"/>
        <v>0</v>
      </c>
      <c r="BJ955" s="1120">
        <f t="shared" si="1086"/>
        <v>0</v>
      </c>
      <c r="BK955" s="1120">
        <f t="shared" si="1087"/>
        <v>1</v>
      </c>
      <c r="BL955" s="1120">
        <f t="shared" si="1088"/>
        <v>1</v>
      </c>
      <c r="BM955" s="1120">
        <f t="shared" si="1089"/>
        <v>1</v>
      </c>
      <c r="BN955" s="1120">
        <f t="shared" si="1090"/>
        <v>1</v>
      </c>
      <c r="BO955" s="1120">
        <f t="shared" si="1091"/>
        <v>1</v>
      </c>
      <c r="BP955" s="1120">
        <f t="shared" si="1092"/>
        <v>1</v>
      </c>
      <c r="BQ955" s="1120">
        <f t="shared" si="1093"/>
        <v>0</v>
      </c>
      <c r="BR955" s="1120">
        <f t="shared" si="1094"/>
        <v>0</v>
      </c>
      <c r="BS955" s="1120">
        <f t="shared" si="1095"/>
        <v>1</v>
      </c>
      <c r="BT955" s="1120">
        <f t="shared" si="1096"/>
        <v>1</v>
      </c>
      <c r="BU955" s="1120">
        <f t="shared" si="1097"/>
        <v>1</v>
      </c>
      <c r="BV955" s="1120">
        <f t="shared" si="1098"/>
        <v>1</v>
      </c>
      <c r="BW955" s="1120">
        <f t="shared" si="1099"/>
        <v>0</v>
      </c>
      <c r="BX955" s="1120">
        <f t="shared" si="1100"/>
        <v>0</v>
      </c>
      <c r="BY955" s="1120">
        <f t="shared" si="1101"/>
        <v>0</v>
      </c>
      <c r="BZ955" s="1120">
        <f t="shared" si="1102"/>
        <v>0</v>
      </c>
      <c r="CA955" s="1120">
        <f t="shared" si="1103"/>
        <v>1</v>
      </c>
      <c r="CB955" s="1120">
        <f t="shared" si="1104"/>
        <v>1</v>
      </c>
      <c r="CC955" s="1120">
        <f t="shared" si="1105"/>
        <v>1</v>
      </c>
      <c r="CD955" s="1120">
        <f t="shared" si="1106"/>
        <v>1</v>
      </c>
      <c r="CE955" s="1120">
        <f t="shared" si="1107"/>
        <v>1</v>
      </c>
      <c r="CF955" s="1120">
        <f t="shared" si="1108"/>
        <v>0</v>
      </c>
      <c r="CG955" s="1120">
        <f t="shared" si="1109"/>
        <v>0</v>
      </c>
      <c r="CH955" s="1120">
        <f t="shared" si="1110"/>
        <v>0</v>
      </c>
      <c r="CI955" s="1120">
        <f t="shared" si="1111"/>
        <v>0.85</v>
      </c>
      <c r="CJ955" s="1120">
        <f t="shared" si="1112"/>
        <v>0.85</v>
      </c>
      <c r="CK955" s="1120">
        <f t="shared" si="1113"/>
        <v>0.85</v>
      </c>
      <c r="CL955" s="1120">
        <f t="shared" si="1114"/>
        <v>0.85</v>
      </c>
      <c r="CM955" s="1120">
        <f t="shared" si="1115"/>
        <v>0.85</v>
      </c>
      <c r="CN955" s="1120">
        <f t="shared" si="1116"/>
        <v>0.85</v>
      </c>
      <c r="CO955" s="1120">
        <f t="shared" si="1117"/>
        <v>0.7</v>
      </c>
      <c r="CP955" s="1120">
        <f t="shared" si="1118"/>
        <v>0.7</v>
      </c>
      <c r="CQ955" s="1120">
        <f t="shared" si="1119"/>
        <v>0.85</v>
      </c>
      <c r="CR955" s="1120">
        <f t="shared" si="1120"/>
        <v>0.85</v>
      </c>
      <c r="CS955" s="1120">
        <f t="shared" si="1121"/>
        <v>0.85</v>
      </c>
      <c r="CT955" s="1120">
        <f t="shared" si="1122"/>
        <v>0.85</v>
      </c>
      <c r="CU955" s="1120">
        <v>1</v>
      </c>
      <c r="CV955" s="1120"/>
      <c r="CW955" s="1120">
        <f t="shared" si="1123"/>
        <v>153</v>
      </c>
      <c r="CX955" s="1120">
        <f t="shared" si="1124"/>
        <v>212</v>
      </c>
      <c r="CY955" s="1136" t="s">
        <v>4889</v>
      </c>
      <c r="CZ955" s="1129" t="s">
        <v>4890</v>
      </c>
      <c r="DA955" s="1129"/>
      <c r="DB955" s="1129"/>
      <c r="DC955" s="1125" t="s">
        <v>5670</v>
      </c>
      <c r="DD955" s="1125" t="s">
        <v>238</v>
      </c>
      <c r="DE955" s="1120" t="str">
        <f t="shared" si="1125"/>
        <v/>
      </c>
      <c r="DF955" s="1133">
        <v>0</v>
      </c>
      <c r="DG955" s="1125">
        <v>0</v>
      </c>
    </row>
    <row r="956" spans="1:111">
      <c r="A956" s="1120" t="s">
        <v>4582</v>
      </c>
      <c r="B956" s="1125" t="s">
        <v>5810</v>
      </c>
      <c r="C956" s="1125" t="s">
        <v>5811</v>
      </c>
      <c r="D956" s="1125" t="s">
        <v>1176</v>
      </c>
      <c r="E956" s="1125">
        <v>272</v>
      </c>
      <c r="F956" s="1125">
        <v>-90.92</v>
      </c>
      <c r="G956" s="1125">
        <v>36.130000000000003</v>
      </c>
      <c r="H956" s="1125">
        <v>-6</v>
      </c>
      <c r="I956" s="1126">
        <v>19.040000343322752</v>
      </c>
      <c r="J956" s="1126">
        <v>92.83999862670899</v>
      </c>
      <c r="K956" s="1127">
        <v>76.099999999999994</v>
      </c>
      <c r="L956" s="1125">
        <v>3627</v>
      </c>
      <c r="M956" s="1125">
        <v>1796.4</v>
      </c>
      <c r="N956" s="1128">
        <v>37.039999914169314</v>
      </c>
      <c r="O956" s="1128">
        <v>43.52000017166138</v>
      </c>
      <c r="P956" s="1128">
        <v>45.859999656677246</v>
      </c>
      <c r="Q956" s="1128">
        <v>62.419999313354495</v>
      </c>
      <c r="R956" s="1128">
        <v>68.900000000000006</v>
      </c>
      <c r="S956" s="1128">
        <v>76.639998626708987</v>
      </c>
      <c r="T956" s="1128">
        <v>79.7</v>
      </c>
      <c r="U956" s="1128">
        <v>76.280000686645508</v>
      </c>
      <c r="V956" s="1128">
        <v>73.039998626708979</v>
      </c>
      <c r="W956" s="1128">
        <v>63.86000137329102</v>
      </c>
      <c r="X956" s="1128">
        <v>46.759999656677245</v>
      </c>
      <c r="Y956" s="1128">
        <v>37.579999828338622</v>
      </c>
      <c r="Z956" s="1128">
        <v>59.370355991076117</v>
      </c>
      <c r="AA956" s="1128">
        <f t="shared" si="1051"/>
        <v>54.227338305950028</v>
      </c>
      <c r="AB956" s="1128">
        <f t="shared" si="1052"/>
        <v>53.747436693364385</v>
      </c>
      <c r="AC956" s="1128">
        <f t="shared" si="1053"/>
        <v>56.297228110335439</v>
      </c>
      <c r="AD956" s="1128">
        <f t="shared" si="1054"/>
        <v>61.212070130554537</v>
      </c>
      <c r="AE956" s="1128">
        <f t="shared" si="1055"/>
        <v>67.210833441443413</v>
      </c>
      <c r="AF956" s="1128">
        <f t="shared" si="1056"/>
        <v>72.729847942278013</v>
      </c>
      <c r="AG956" s="1128">
        <f t="shared" si="1057"/>
        <v>76.330497452827885</v>
      </c>
      <c r="AH956" s="1128">
        <f t="shared" si="1058"/>
        <v>77.074217190479644</v>
      </c>
      <c r="AI956" s="1128">
        <f t="shared" si="1059"/>
        <v>74.767145144546276</v>
      </c>
      <c r="AJ956" s="1128">
        <f t="shared" si="1060"/>
        <v>70.010655196856732</v>
      </c>
      <c r="AK956" s="1128">
        <f t="shared" si="1061"/>
        <v>64.044599752005126</v>
      </c>
      <c r="AL956" s="1128">
        <f t="shared" si="1062"/>
        <v>58.424123101389469</v>
      </c>
      <c r="AM956" s="1125">
        <f t="shared" si="1063"/>
        <v>1</v>
      </c>
      <c r="AN956" s="1125">
        <f t="shared" si="1064"/>
        <v>1</v>
      </c>
      <c r="AO956" s="1125">
        <f t="shared" si="1065"/>
        <v>1</v>
      </c>
      <c r="AP956" s="1125">
        <f t="shared" si="1066"/>
        <v>1</v>
      </c>
      <c r="AQ956" s="1125">
        <f t="shared" si="1067"/>
        <v>0</v>
      </c>
      <c r="AR956" s="1125">
        <f t="shared" si="1068"/>
        <v>0</v>
      </c>
      <c r="AS956" s="1125">
        <f t="shared" si="1069"/>
        <v>0</v>
      </c>
      <c r="AT956" s="1125">
        <f t="shared" si="1070"/>
        <v>0</v>
      </c>
      <c r="AU956" s="1125">
        <f t="shared" si="1071"/>
        <v>0</v>
      </c>
      <c r="AV956" s="1125">
        <f t="shared" si="1072"/>
        <v>1</v>
      </c>
      <c r="AW956" s="1125">
        <f t="shared" si="1073"/>
        <v>1</v>
      </c>
      <c r="AX956" s="1125">
        <f t="shared" si="1074"/>
        <v>1</v>
      </c>
      <c r="AY956" s="1125">
        <f t="shared" si="1075"/>
        <v>0</v>
      </c>
      <c r="AZ956" s="1125">
        <f t="shared" si="1076"/>
        <v>0</v>
      </c>
      <c r="BA956" s="1125">
        <f t="shared" si="1077"/>
        <v>0</v>
      </c>
      <c r="BB956" s="1125">
        <f t="shared" si="1078"/>
        <v>0</v>
      </c>
      <c r="BC956" s="1125">
        <f t="shared" si="1079"/>
        <v>1</v>
      </c>
      <c r="BD956" s="1125">
        <f t="shared" si="1080"/>
        <v>1</v>
      </c>
      <c r="BE956" s="1125">
        <f t="shared" si="1081"/>
        <v>1</v>
      </c>
      <c r="BF956" s="1125">
        <f t="shared" si="1082"/>
        <v>1</v>
      </c>
      <c r="BG956" s="1125">
        <f t="shared" si="1083"/>
        <v>1</v>
      </c>
      <c r="BH956" s="1125">
        <f t="shared" si="1084"/>
        <v>0</v>
      </c>
      <c r="BI956" s="1125">
        <f t="shared" si="1085"/>
        <v>0</v>
      </c>
      <c r="BJ956" s="1125">
        <f t="shared" si="1086"/>
        <v>0</v>
      </c>
      <c r="BK956" s="1125">
        <f t="shared" si="1087"/>
        <v>1</v>
      </c>
      <c r="BL956" s="1125">
        <f t="shared" si="1088"/>
        <v>1</v>
      </c>
      <c r="BM956" s="1125">
        <f t="shared" si="1089"/>
        <v>1</v>
      </c>
      <c r="BN956" s="1125">
        <f t="shared" si="1090"/>
        <v>1</v>
      </c>
      <c r="BO956" s="1125">
        <f t="shared" si="1091"/>
        <v>1</v>
      </c>
      <c r="BP956" s="1125">
        <f t="shared" si="1092"/>
        <v>0</v>
      </c>
      <c r="BQ956" s="1125">
        <f t="shared" si="1093"/>
        <v>0</v>
      </c>
      <c r="BR956" s="1125">
        <f t="shared" si="1094"/>
        <v>0</v>
      </c>
      <c r="BS956" s="1125">
        <f t="shared" si="1095"/>
        <v>0</v>
      </c>
      <c r="BT956" s="1125">
        <f t="shared" si="1096"/>
        <v>1</v>
      </c>
      <c r="BU956" s="1125">
        <f t="shared" si="1097"/>
        <v>1</v>
      </c>
      <c r="BV956" s="1125">
        <f t="shared" si="1098"/>
        <v>1</v>
      </c>
      <c r="BW956" s="1125">
        <f t="shared" si="1099"/>
        <v>0</v>
      </c>
      <c r="BX956" s="1125">
        <f t="shared" si="1100"/>
        <v>0</v>
      </c>
      <c r="BY956" s="1125">
        <f t="shared" si="1101"/>
        <v>0</v>
      </c>
      <c r="BZ956" s="1125">
        <f t="shared" si="1102"/>
        <v>1</v>
      </c>
      <c r="CA956" s="1125">
        <f t="shared" si="1103"/>
        <v>1</v>
      </c>
      <c r="CB956" s="1125">
        <f t="shared" si="1104"/>
        <v>1</v>
      </c>
      <c r="CC956" s="1125">
        <f t="shared" si="1105"/>
        <v>1</v>
      </c>
      <c r="CD956" s="1125">
        <f t="shared" si="1106"/>
        <v>1</v>
      </c>
      <c r="CE956" s="1125">
        <f t="shared" si="1107"/>
        <v>1</v>
      </c>
      <c r="CF956" s="1125">
        <f t="shared" si="1108"/>
        <v>1</v>
      </c>
      <c r="CG956" s="1125">
        <f t="shared" si="1109"/>
        <v>0</v>
      </c>
      <c r="CH956" s="1125">
        <f t="shared" si="1110"/>
        <v>0</v>
      </c>
      <c r="CI956" s="1125">
        <f t="shared" si="1111"/>
        <v>0.85</v>
      </c>
      <c r="CJ956" s="1125">
        <f t="shared" si="1112"/>
        <v>0.85</v>
      </c>
      <c r="CK956" s="1125">
        <f t="shared" si="1113"/>
        <v>0.85</v>
      </c>
      <c r="CL956" s="1125">
        <f t="shared" si="1114"/>
        <v>0.85</v>
      </c>
      <c r="CM956" s="1125">
        <f t="shared" si="1115"/>
        <v>0.85</v>
      </c>
      <c r="CN956" s="1125">
        <f t="shared" si="1116"/>
        <v>0.7</v>
      </c>
      <c r="CO956" s="1125">
        <f t="shared" si="1117"/>
        <v>0.7</v>
      </c>
      <c r="CP956" s="1125">
        <f t="shared" si="1118"/>
        <v>0.7</v>
      </c>
      <c r="CQ956" s="1125">
        <f t="shared" si="1119"/>
        <v>0.7</v>
      </c>
      <c r="CR956" s="1125">
        <f t="shared" si="1120"/>
        <v>0.85</v>
      </c>
      <c r="CS956" s="1125">
        <f t="shared" si="1121"/>
        <v>0.85</v>
      </c>
      <c r="CT956" s="1125">
        <f t="shared" si="1122"/>
        <v>0.85</v>
      </c>
      <c r="CU956" s="1125">
        <v>1</v>
      </c>
      <c r="CV956" s="1125"/>
      <c r="CW956" s="1125">
        <f t="shared" si="1123"/>
        <v>214</v>
      </c>
      <c r="CX956" s="1125">
        <f t="shared" si="1124"/>
        <v>151</v>
      </c>
      <c r="CY956" s="1136" t="s">
        <v>4881</v>
      </c>
      <c r="CZ956" s="1129" t="s">
        <v>4882</v>
      </c>
      <c r="DA956" s="1129"/>
      <c r="DB956" s="1129"/>
      <c r="DC956" s="1125" t="s">
        <v>5716</v>
      </c>
      <c r="DD956" s="1125" t="s">
        <v>1176</v>
      </c>
      <c r="DE956" s="1125" t="str">
        <f t="shared" si="1125"/>
        <v/>
      </c>
      <c r="DF956" s="1125">
        <v>0</v>
      </c>
      <c r="DG956" s="1120">
        <v>0</v>
      </c>
    </row>
    <row r="957" spans="1:111">
      <c r="A957" s="1125" t="s">
        <v>4584</v>
      </c>
      <c r="B957" s="1125" t="s">
        <v>3382</v>
      </c>
      <c r="C957" s="1125" t="s">
        <v>3383</v>
      </c>
      <c r="D957" s="1125" t="s">
        <v>428</v>
      </c>
      <c r="E957" s="1125">
        <v>302</v>
      </c>
      <c r="F957" s="1125">
        <v>-83.6</v>
      </c>
      <c r="G957" s="1125">
        <v>32.630000000000003</v>
      </c>
      <c r="H957" s="1125">
        <v>-5</v>
      </c>
      <c r="I957" s="1126">
        <v>28.220000171661376</v>
      </c>
      <c r="J957" s="1126">
        <v>95</v>
      </c>
      <c r="K957" s="1127">
        <v>75.919999313354495</v>
      </c>
      <c r="L957" s="1125">
        <v>2901.6</v>
      </c>
      <c r="M957" s="1125">
        <v>2005.2</v>
      </c>
      <c r="N957" s="1128">
        <v>42.440000343322751</v>
      </c>
      <c r="O957" s="1128">
        <v>50.359999656677246</v>
      </c>
      <c r="P957" s="1128">
        <v>52.7</v>
      </c>
      <c r="Q957" s="1128">
        <v>62.780000686645508</v>
      </c>
      <c r="R957" s="1128">
        <v>74.83999862670899</v>
      </c>
      <c r="S957" s="1128">
        <v>77.180000686645513</v>
      </c>
      <c r="T957" s="1128">
        <v>81.139998626708987</v>
      </c>
      <c r="U957" s="1128">
        <v>77.539998626708979</v>
      </c>
      <c r="V957" s="1128">
        <v>71.960001373291021</v>
      </c>
      <c r="W957" s="1128">
        <v>60.980000686645511</v>
      </c>
      <c r="X957" s="1128">
        <v>52.7</v>
      </c>
      <c r="Y957" s="1128">
        <v>38.299999999999997</v>
      </c>
      <c r="Z957" s="1128">
        <v>61.958410895883219</v>
      </c>
      <c r="AA957" s="1128">
        <f t="shared" si="1051"/>
        <v>56.073773264643002</v>
      </c>
      <c r="AB957" s="1128">
        <f t="shared" si="1052"/>
        <v>55.851129315760865</v>
      </c>
      <c r="AC957" s="1128">
        <f t="shared" si="1053"/>
        <v>58.784434889594465</v>
      </c>
      <c r="AD957" s="1128">
        <f t="shared" si="1054"/>
        <v>64.109078684716877</v>
      </c>
      <c r="AE957" s="1128">
        <f t="shared" si="1055"/>
        <v>70.437110240684774</v>
      </c>
      <c r="AF957" s="1128">
        <f t="shared" si="1056"/>
        <v>76.119030614517001</v>
      </c>
      <c r="AG957" s="1128">
        <f t="shared" si="1057"/>
        <v>79.67375969973078</v>
      </c>
      <c r="AH957" s="1128">
        <f t="shared" si="1058"/>
        <v>80.174702580231752</v>
      </c>
      <c r="AI957" s="1128">
        <f t="shared" si="1059"/>
        <v>77.491280774453884</v>
      </c>
      <c r="AJ957" s="1128">
        <f t="shared" si="1060"/>
        <v>72.322969528854927</v>
      </c>
      <c r="AK957" s="1128">
        <f t="shared" si="1061"/>
        <v>66.016968815687434</v>
      </c>
      <c r="AL957" s="1128">
        <f t="shared" si="1062"/>
        <v>60.217034899251047</v>
      </c>
      <c r="AM957" s="1125">
        <f t="shared" si="1063"/>
        <v>1</v>
      </c>
      <c r="AN957" s="1125">
        <f t="shared" si="1064"/>
        <v>1</v>
      </c>
      <c r="AO957" s="1125">
        <f t="shared" si="1065"/>
        <v>1</v>
      </c>
      <c r="AP957" s="1125">
        <f t="shared" si="1066"/>
        <v>1</v>
      </c>
      <c r="AQ957" s="1125">
        <f t="shared" si="1067"/>
        <v>0</v>
      </c>
      <c r="AR957" s="1125">
        <f t="shared" si="1068"/>
        <v>0</v>
      </c>
      <c r="AS957" s="1125">
        <f t="shared" si="1069"/>
        <v>0</v>
      </c>
      <c r="AT957" s="1125">
        <f t="shared" si="1070"/>
        <v>0</v>
      </c>
      <c r="AU957" s="1125">
        <f t="shared" si="1071"/>
        <v>0</v>
      </c>
      <c r="AV957" s="1125">
        <f t="shared" si="1072"/>
        <v>1</v>
      </c>
      <c r="AW957" s="1125">
        <f t="shared" si="1073"/>
        <v>1</v>
      </c>
      <c r="AX957" s="1125">
        <f t="shared" si="1074"/>
        <v>1</v>
      </c>
      <c r="AY957" s="1125">
        <f t="shared" si="1075"/>
        <v>0</v>
      </c>
      <c r="AZ957" s="1125">
        <f t="shared" si="1076"/>
        <v>0</v>
      </c>
      <c r="BA957" s="1125">
        <f t="shared" si="1077"/>
        <v>0</v>
      </c>
      <c r="BB957" s="1125">
        <f t="shared" si="1078"/>
        <v>0</v>
      </c>
      <c r="BC957" s="1125">
        <f t="shared" si="1079"/>
        <v>1</v>
      </c>
      <c r="BD957" s="1125">
        <f t="shared" si="1080"/>
        <v>1</v>
      </c>
      <c r="BE957" s="1125">
        <f t="shared" si="1081"/>
        <v>1</v>
      </c>
      <c r="BF957" s="1125">
        <f t="shared" si="1082"/>
        <v>1</v>
      </c>
      <c r="BG957" s="1125">
        <f t="shared" si="1083"/>
        <v>1</v>
      </c>
      <c r="BH957" s="1125">
        <f t="shared" si="1084"/>
        <v>0</v>
      </c>
      <c r="BI957" s="1125">
        <f t="shared" si="1085"/>
        <v>0</v>
      </c>
      <c r="BJ957" s="1125">
        <f t="shared" si="1086"/>
        <v>0</v>
      </c>
      <c r="BK957" s="1125">
        <f t="shared" si="1087"/>
        <v>1</v>
      </c>
      <c r="BL957" s="1125">
        <f t="shared" si="1088"/>
        <v>1</v>
      </c>
      <c r="BM957" s="1125">
        <f t="shared" si="1089"/>
        <v>1</v>
      </c>
      <c r="BN957" s="1125">
        <f t="shared" si="1090"/>
        <v>1</v>
      </c>
      <c r="BO957" s="1125">
        <f t="shared" si="1091"/>
        <v>1</v>
      </c>
      <c r="BP957" s="1125">
        <f t="shared" si="1092"/>
        <v>0</v>
      </c>
      <c r="BQ957" s="1125">
        <f t="shared" si="1093"/>
        <v>0</v>
      </c>
      <c r="BR957" s="1125">
        <f t="shared" si="1094"/>
        <v>0</v>
      </c>
      <c r="BS957" s="1125">
        <f t="shared" si="1095"/>
        <v>0</v>
      </c>
      <c r="BT957" s="1125">
        <f t="shared" si="1096"/>
        <v>1</v>
      </c>
      <c r="BU957" s="1125">
        <f t="shared" si="1097"/>
        <v>1</v>
      </c>
      <c r="BV957" s="1125">
        <f t="shared" si="1098"/>
        <v>1</v>
      </c>
      <c r="BW957" s="1125">
        <f t="shared" si="1099"/>
        <v>0</v>
      </c>
      <c r="BX957" s="1125">
        <f t="shared" si="1100"/>
        <v>0</v>
      </c>
      <c r="BY957" s="1125">
        <f t="shared" si="1101"/>
        <v>0</v>
      </c>
      <c r="BZ957" s="1125">
        <f t="shared" si="1102"/>
        <v>1</v>
      </c>
      <c r="CA957" s="1125">
        <f t="shared" si="1103"/>
        <v>1</v>
      </c>
      <c r="CB957" s="1125">
        <f t="shared" si="1104"/>
        <v>1</v>
      </c>
      <c r="CC957" s="1125">
        <f t="shared" si="1105"/>
        <v>1</v>
      </c>
      <c r="CD957" s="1125">
        <f t="shared" si="1106"/>
        <v>1</v>
      </c>
      <c r="CE957" s="1125">
        <f t="shared" si="1107"/>
        <v>1</v>
      </c>
      <c r="CF957" s="1125">
        <f t="shared" si="1108"/>
        <v>1</v>
      </c>
      <c r="CG957" s="1125">
        <f t="shared" si="1109"/>
        <v>0</v>
      </c>
      <c r="CH957" s="1125">
        <f t="shared" si="1110"/>
        <v>0</v>
      </c>
      <c r="CI957" s="1125">
        <f t="shared" si="1111"/>
        <v>0.85</v>
      </c>
      <c r="CJ957" s="1125">
        <f t="shared" si="1112"/>
        <v>0.85</v>
      </c>
      <c r="CK957" s="1125">
        <f t="shared" si="1113"/>
        <v>0.85</v>
      </c>
      <c r="CL957" s="1125">
        <f t="shared" si="1114"/>
        <v>0.85</v>
      </c>
      <c r="CM957" s="1125">
        <f t="shared" si="1115"/>
        <v>0.85</v>
      </c>
      <c r="CN957" s="1125">
        <f t="shared" si="1116"/>
        <v>0.7</v>
      </c>
      <c r="CO957" s="1125">
        <f t="shared" si="1117"/>
        <v>0.7</v>
      </c>
      <c r="CP957" s="1125">
        <f t="shared" si="1118"/>
        <v>0.7</v>
      </c>
      <c r="CQ957" s="1125">
        <f t="shared" si="1119"/>
        <v>0.7</v>
      </c>
      <c r="CR957" s="1125">
        <f t="shared" si="1120"/>
        <v>0.85</v>
      </c>
      <c r="CS957" s="1125">
        <f t="shared" si="1121"/>
        <v>0.85</v>
      </c>
      <c r="CT957" s="1125">
        <f t="shared" si="1122"/>
        <v>0.85</v>
      </c>
      <c r="CU957" s="1125">
        <v>1</v>
      </c>
      <c r="CV957" s="1125"/>
      <c r="CW957" s="1125">
        <f t="shared" si="1123"/>
        <v>214</v>
      </c>
      <c r="CX957" s="1125">
        <f t="shared" si="1124"/>
        <v>151</v>
      </c>
      <c r="CY957" s="1136" t="s">
        <v>4883</v>
      </c>
      <c r="CZ957" s="1129" t="s">
        <v>4882</v>
      </c>
      <c r="DA957" s="1129"/>
      <c r="DB957" s="1129"/>
      <c r="DC957" s="1125" t="s">
        <v>5146</v>
      </c>
      <c r="DD957" s="1125" t="s">
        <v>428</v>
      </c>
      <c r="DE957" s="1120" t="str">
        <f t="shared" si="1125"/>
        <v/>
      </c>
      <c r="DF957" s="1133">
        <v>0</v>
      </c>
      <c r="DG957" s="1125">
        <v>0</v>
      </c>
    </row>
    <row r="958" spans="1:111">
      <c r="A958" s="1120" t="s">
        <v>4588</v>
      </c>
      <c r="B958" s="1125" t="s">
        <v>5915</v>
      </c>
      <c r="C958" s="1125" t="s">
        <v>5916</v>
      </c>
      <c r="D958" s="1125" t="s">
        <v>539</v>
      </c>
      <c r="E958" s="1125">
        <v>1184</v>
      </c>
      <c r="F958" s="1125">
        <v>-80.28</v>
      </c>
      <c r="G958" s="1125">
        <v>40.130000000000003</v>
      </c>
      <c r="H958" s="1125">
        <v>-5</v>
      </c>
      <c r="I958" s="1126">
        <v>8.7800006866455078</v>
      </c>
      <c r="J958" s="1126">
        <v>85.460001373291021</v>
      </c>
      <c r="K958" s="1127">
        <v>69.8</v>
      </c>
      <c r="L958" s="1125">
        <v>5509.8</v>
      </c>
      <c r="M958" s="1125">
        <v>613.80000000000007</v>
      </c>
      <c r="N958" s="1128">
        <v>37.220000171661376</v>
      </c>
      <c r="O958" s="1128">
        <v>33.440000021457671</v>
      </c>
      <c r="P958" s="1128">
        <v>33.080000042915344</v>
      </c>
      <c r="Q958" s="1128">
        <v>52.880000686645509</v>
      </c>
      <c r="R958" s="1128">
        <v>60.080000686645505</v>
      </c>
      <c r="S958" s="1128">
        <v>65.3</v>
      </c>
      <c r="T958" s="1128">
        <v>72.5</v>
      </c>
      <c r="U958" s="1128">
        <v>67.639998626708987</v>
      </c>
      <c r="V958" s="1128">
        <v>64.219999313354492</v>
      </c>
      <c r="W958" s="1128">
        <v>49.1</v>
      </c>
      <c r="X958" s="1128">
        <v>41</v>
      </c>
      <c r="Y958" s="1128">
        <v>34.160000085830688</v>
      </c>
      <c r="Z958" s="1128">
        <v>50.97397257158201</v>
      </c>
      <c r="AA958" s="1128">
        <f t="shared" si="1051"/>
        <v>48.771516319229633</v>
      </c>
      <c r="AB958" s="1128">
        <f t="shared" si="1052"/>
        <v>47.720744084290104</v>
      </c>
      <c r="AC958" s="1128">
        <f t="shared" si="1053"/>
        <v>49.081968451130564</v>
      </c>
      <c r="AD958" s="1128">
        <f t="shared" si="1054"/>
        <v>52.500365311431572</v>
      </c>
      <c r="AE958" s="1128">
        <f t="shared" si="1055"/>
        <v>57.084876844465484</v>
      </c>
      <c r="AF958" s="1128">
        <f t="shared" si="1056"/>
        <v>61.640479469685737</v>
      </c>
      <c r="AG958" s="1128">
        <f t="shared" si="1057"/>
        <v>64.97968515886717</v>
      </c>
      <c r="AH958" s="1128">
        <f t="shared" si="1058"/>
        <v>66.232078490407318</v>
      </c>
      <c r="AI958" s="1128">
        <f t="shared" si="1059"/>
        <v>65.071203842474802</v>
      </c>
      <c r="AJ958" s="1128">
        <f t="shared" si="1060"/>
        <v>61.799661081673079</v>
      </c>
      <c r="AK958" s="1128">
        <f t="shared" si="1061"/>
        <v>57.270228244605129</v>
      </c>
      <c r="AL958" s="1128">
        <f t="shared" si="1062"/>
        <v>52.663571800925595</v>
      </c>
      <c r="AM958" s="1125">
        <f t="shared" si="1063"/>
        <v>1</v>
      </c>
      <c r="AN958" s="1125">
        <f t="shared" si="1064"/>
        <v>1</v>
      </c>
      <c r="AO958" s="1125">
        <f t="shared" si="1065"/>
        <v>1</v>
      </c>
      <c r="AP958" s="1125">
        <f t="shared" si="1066"/>
        <v>1</v>
      </c>
      <c r="AQ958" s="1125">
        <f t="shared" si="1067"/>
        <v>1</v>
      </c>
      <c r="AR958" s="1125">
        <f t="shared" si="1068"/>
        <v>1</v>
      </c>
      <c r="AS958" s="1125">
        <f t="shared" si="1069"/>
        <v>0</v>
      </c>
      <c r="AT958" s="1125">
        <f t="shared" si="1070"/>
        <v>0</v>
      </c>
      <c r="AU958" s="1125">
        <f t="shared" si="1071"/>
        <v>1</v>
      </c>
      <c r="AV958" s="1125">
        <f t="shared" si="1072"/>
        <v>1</v>
      </c>
      <c r="AW958" s="1125">
        <f t="shared" si="1073"/>
        <v>1</v>
      </c>
      <c r="AX958" s="1125">
        <f t="shared" si="1074"/>
        <v>1</v>
      </c>
      <c r="AY958" s="1125">
        <f t="shared" si="1075"/>
        <v>0</v>
      </c>
      <c r="AZ958" s="1125">
        <f t="shared" si="1076"/>
        <v>0</v>
      </c>
      <c r="BA958" s="1125">
        <f t="shared" si="1077"/>
        <v>0</v>
      </c>
      <c r="BB958" s="1125">
        <f t="shared" si="1078"/>
        <v>0</v>
      </c>
      <c r="BC958" s="1125">
        <f t="shared" si="1079"/>
        <v>0</v>
      </c>
      <c r="BD958" s="1125">
        <f t="shared" si="1080"/>
        <v>0</v>
      </c>
      <c r="BE958" s="1125">
        <f t="shared" si="1081"/>
        <v>1</v>
      </c>
      <c r="BF958" s="1125">
        <f t="shared" si="1082"/>
        <v>1</v>
      </c>
      <c r="BG958" s="1125">
        <f t="shared" si="1083"/>
        <v>0</v>
      </c>
      <c r="BH958" s="1125">
        <f t="shared" si="1084"/>
        <v>0</v>
      </c>
      <c r="BI958" s="1125">
        <f t="shared" si="1085"/>
        <v>0</v>
      </c>
      <c r="BJ958" s="1125">
        <f t="shared" si="1086"/>
        <v>0</v>
      </c>
      <c r="BK958" s="1125">
        <f t="shared" si="1087"/>
        <v>1</v>
      </c>
      <c r="BL958" s="1125">
        <f t="shared" si="1088"/>
        <v>1</v>
      </c>
      <c r="BM958" s="1125">
        <f t="shared" si="1089"/>
        <v>1</v>
      </c>
      <c r="BN958" s="1125">
        <f t="shared" si="1090"/>
        <v>1</v>
      </c>
      <c r="BO958" s="1125">
        <f t="shared" si="1091"/>
        <v>1</v>
      </c>
      <c r="BP958" s="1125">
        <f t="shared" si="1092"/>
        <v>1</v>
      </c>
      <c r="BQ958" s="1125">
        <f t="shared" si="1093"/>
        <v>1</v>
      </c>
      <c r="BR958" s="1125">
        <f t="shared" si="1094"/>
        <v>0</v>
      </c>
      <c r="BS958" s="1125">
        <f t="shared" si="1095"/>
        <v>1</v>
      </c>
      <c r="BT958" s="1125">
        <f t="shared" si="1096"/>
        <v>1</v>
      </c>
      <c r="BU958" s="1125">
        <f t="shared" si="1097"/>
        <v>1</v>
      </c>
      <c r="BV958" s="1125">
        <f t="shared" si="1098"/>
        <v>1</v>
      </c>
      <c r="BW958" s="1125">
        <f t="shared" si="1099"/>
        <v>0</v>
      </c>
      <c r="BX958" s="1125">
        <f t="shared" si="1100"/>
        <v>0</v>
      </c>
      <c r="BY958" s="1125">
        <f t="shared" si="1101"/>
        <v>0</v>
      </c>
      <c r="BZ958" s="1125">
        <f t="shared" si="1102"/>
        <v>0</v>
      </c>
      <c r="CA958" s="1125">
        <f t="shared" si="1103"/>
        <v>0</v>
      </c>
      <c r="CB958" s="1125">
        <f t="shared" si="1104"/>
        <v>1</v>
      </c>
      <c r="CC958" s="1125">
        <f t="shared" si="1105"/>
        <v>1</v>
      </c>
      <c r="CD958" s="1125">
        <f t="shared" si="1106"/>
        <v>1</v>
      </c>
      <c r="CE958" s="1125">
        <f t="shared" si="1107"/>
        <v>1</v>
      </c>
      <c r="CF958" s="1125">
        <f t="shared" si="1108"/>
        <v>0</v>
      </c>
      <c r="CG958" s="1125">
        <f t="shared" si="1109"/>
        <v>0</v>
      </c>
      <c r="CH958" s="1125">
        <f t="shared" si="1110"/>
        <v>0</v>
      </c>
      <c r="CI958" s="1125">
        <f t="shared" si="1111"/>
        <v>0.85</v>
      </c>
      <c r="CJ958" s="1125">
        <f t="shared" si="1112"/>
        <v>0.85</v>
      </c>
      <c r="CK958" s="1125">
        <f t="shared" si="1113"/>
        <v>0.85</v>
      </c>
      <c r="CL958" s="1125">
        <f t="shared" si="1114"/>
        <v>0.85</v>
      </c>
      <c r="CM958" s="1125">
        <f t="shared" si="1115"/>
        <v>0.85</v>
      </c>
      <c r="CN958" s="1125">
        <f t="shared" si="1116"/>
        <v>0.85</v>
      </c>
      <c r="CO958" s="1125">
        <f t="shared" si="1117"/>
        <v>0.85</v>
      </c>
      <c r="CP958" s="1125">
        <f t="shared" si="1118"/>
        <v>0.7</v>
      </c>
      <c r="CQ958" s="1125">
        <f t="shared" si="1119"/>
        <v>0.85</v>
      </c>
      <c r="CR958" s="1125">
        <f t="shared" si="1120"/>
        <v>0.85</v>
      </c>
      <c r="CS958" s="1125">
        <f t="shared" si="1121"/>
        <v>0.85</v>
      </c>
      <c r="CT958" s="1125">
        <f t="shared" si="1122"/>
        <v>0.85</v>
      </c>
      <c r="CU958" s="1125">
        <v>1</v>
      </c>
      <c r="CV958" s="1125"/>
      <c r="CW958" s="1125">
        <f t="shared" si="1123"/>
        <v>122</v>
      </c>
      <c r="CX958" s="1125">
        <f t="shared" si="1124"/>
        <v>243</v>
      </c>
      <c r="CY958" s="1136" t="s">
        <v>4889</v>
      </c>
      <c r="CZ958" s="1129" t="s">
        <v>4897</v>
      </c>
      <c r="DA958" s="1129"/>
      <c r="DB958" s="1129"/>
      <c r="DC958" s="1125" t="s">
        <v>5779</v>
      </c>
      <c r="DD958" s="1125" t="s">
        <v>539</v>
      </c>
      <c r="DE958" s="1120" t="str">
        <f t="shared" si="1125"/>
        <v/>
      </c>
      <c r="DF958" s="1133">
        <v>1</v>
      </c>
      <c r="DG958" s="1120">
        <v>0</v>
      </c>
    </row>
    <row r="959" spans="1:111">
      <c r="A959" s="1125" t="s">
        <v>118</v>
      </c>
      <c r="B959" s="1120" t="s">
        <v>4538</v>
      </c>
      <c r="C959" s="1120" t="s">
        <v>4539</v>
      </c>
      <c r="D959" s="1120" t="s">
        <v>501</v>
      </c>
      <c r="E959" s="1120">
        <v>269</v>
      </c>
      <c r="F959" s="1120">
        <v>-77.47</v>
      </c>
      <c r="G959" s="1120">
        <v>38.979999999999997</v>
      </c>
      <c r="H959" s="1120">
        <v>-5</v>
      </c>
      <c r="I959" s="1121">
        <v>15.799999999999999</v>
      </c>
      <c r="J959" s="1121">
        <v>90.860001373291013</v>
      </c>
      <c r="K959" s="1122">
        <v>74.3</v>
      </c>
      <c r="L959" s="1120">
        <v>4665.6000000000004</v>
      </c>
      <c r="M959" s="1120">
        <v>1164.6000000000001</v>
      </c>
      <c r="N959" s="1123">
        <v>33.080000042915344</v>
      </c>
      <c r="O959" s="1123">
        <v>34.880000042915341</v>
      </c>
      <c r="P959" s="1123">
        <v>45.859999656677246</v>
      </c>
      <c r="Q959" s="1123">
        <v>54.5</v>
      </c>
      <c r="R959" s="1123">
        <v>64.760001373291018</v>
      </c>
      <c r="S959" s="1123">
        <v>72.5</v>
      </c>
      <c r="T959" s="1123">
        <v>76.099999999999994</v>
      </c>
      <c r="U959" s="1123">
        <v>73.400000000000006</v>
      </c>
      <c r="V959" s="1123">
        <v>68.180000686645513</v>
      </c>
      <c r="W959" s="1123">
        <v>53.419999313354495</v>
      </c>
      <c r="X959" s="1123">
        <v>46.040000343322752</v>
      </c>
      <c r="Y959" s="1123">
        <v>33.799999999999997</v>
      </c>
      <c r="Z959" s="1123">
        <v>54.81167135362756</v>
      </c>
      <c r="AA959" s="1123">
        <f t="shared" si="1051"/>
        <v>50.815365878300128</v>
      </c>
      <c r="AB959" s="1123">
        <f t="shared" si="1052"/>
        <v>49.936697187103903</v>
      </c>
      <c r="AC959" s="1123">
        <f t="shared" si="1053"/>
        <v>51.892758100836836</v>
      </c>
      <c r="AD959" s="1123">
        <f t="shared" si="1054"/>
        <v>56.173671198523316</v>
      </c>
      <c r="AE959" s="1123">
        <f t="shared" si="1055"/>
        <v>61.663550510383594</v>
      </c>
      <c r="AF959" s="1123">
        <f t="shared" si="1056"/>
        <v>66.931374392180231</v>
      </c>
      <c r="AG959" s="1123">
        <f t="shared" si="1057"/>
        <v>70.604003369499623</v>
      </c>
      <c r="AH959" s="1123">
        <f t="shared" si="1058"/>
        <v>71.724110102477766</v>
      </c>
      <c r="AI959" s="1123">
        <f t="shared" si="1059"/>
        <v>69.999721509796643</v>
      </c>
      <c r="AJ959" s="1123">
        <f t="shared" si="1060"/>
        <v>65.880326051771192</v>
      </c>
      <c r="AK959" s="1123">
        <f t="shared" si="1061"/>
        <v>60.439707636341318</v>
      </c>
      <c r="AL959" s="1123">
        <f t="shared" si="1062"/>
        <v>55.096047295956502</v>
      </c>
      <c r="AM959" s="1120">
        <f t="shared" si="1063"/>
        <v>1</v>
      </c>
      <c r="AN959" s="1120">
        <f t="shared" si="1064"/>
        <v>1</v>
      </c>
      <c r="AO959" s="1120">
        <f t="shared" si="1065"/>
        <v>1</v>
      </c>
      <c r="AP959" s="1120">
        <f t="shared" si="1066"/>
        <v>1</v>
      </c>
      <c r="AQ959" s="1120">
        <f t="shared" si="1067"/>
        <v>1</v>
      </c>
      <c r="AR959" s="1120">
        <f t="shared" si="1068"/>
        <v>0</v>
      </c>
      <c r="AS959" s="1120">
        <f t="shared" si="1069"/>
        <v>0</v>
      </c>
      <c r="AT959" s="1120">
        <f t="shared" si="1070"/>
        <v>0</v>
      </c>
      <c r="AU959" s="1120">
        <f t="shared" si="1071"/>
        <v>0</v>
      </c>
      <c r="AV959" s="1120">
        <f t="shared" si="1072"/>
        <v>1</v>
      </c>
      <c r="AW959" s="1120">
        <f t="shared" si="1073"/>
        <v>1</v>
      </c>
      <c r="AX959" s="1120">
        <f t="shared" si="1074"/>
        <v>1</v>
      </c>
      <c r="AY959" s="1120">
        <f t="shared" si="1075"/>
        <v>0</v>
      </c>
      <c r="AZ959" s="1120">
        <f t="shared" si="1076"/>
        <v>0</v>
      </c>
      <c r="BA959" s="1120">
        <f t="shared" si="1077"/>
        <v>0</v>
      </c>
      <c r="BB959" s="1120">
        <f t="shared" si="1078"/>
        <v>0</v>
      </c>
      <c r="BC959" s="1120">
        <f t="shared" si="1079"/>
        <v>0</v>
      </c>
      <c r="BD959" s="1120">
        <f t="shared" si="1080"/>
        <v>1</v>
      </c>
      <c r="BE959" s="1120">
        <f t="shared" si="1081"/>
        <v>1</v>
      </c>
      <c r="BF959" s="1120">
        <f t="shared" si="1082"/>
        <v>1</v>
      </c>
      <c r="BG959" s="1120">
        <f t="shared" si="1083"/>
        <v>1</v>
      </c>
      <c r="BH959" s="1120">
        <f t="shared" si="1084"/>
        <v>0</v>
      </c>
      <c r="BI959" s="1120">
        <f t="shared" si="1085"/>
        <v>0</v>
      </c>
      <c r="BJ959" s="1120">
        <f t="shared" si="1086"/>
        <v>0</v>
      </c>
      <c r="BK959" s="1120">
        <f t="shared" si="1087"/>
        <v>1</v>
      </c>
      <c r="BL959" s="1120">
        <f t="shared" si="1088"/>
        <v>1</v>
      </c>
      <c r="BM959" s="1120">
        <f t="shared" si="1089"/>
        <v>1</v>
      </c>
      <c r="BN959" s="1120">
        <f t="shared" si="1090"/>
        <v>1</v>
      </c>
      <c r="BO959" s="1120">
        <f t="shared" si="1091"/>
        <v>1</v>
      </c>
      <c r="BP959" s="1120">
        <f t="shared" si="1092"/>
        <v>1</v>
      </c>
      <c r="BQ959" s="1120">
        <f t="shared" si="1093"/>
        <v>0</v>
      </c>
      <c r="BR959" s="1120">
        <f t="shared" si="1094"/>
        <v>0</v>
      </c>
      <c r="BS959" s="1120">
        <f t="shared" si="1095"/>
        <v>0</v>
      </c>
      <c r="BT959" s="1120">
        <f t="shared" si="1096"/>
        <v>1</v>
      </c>
      <c r="BU959" s="1120">
        <f t="shared" si="1097"/>
        <v>1</v>
      </c>
      <c r="BV959" s="1120">
        <f t="shared" si="1098"/>
        <v>1</v>
      </c>
      <c r="BW959" s="1120">
        <f t="shared" si="1099"/>
        <v>0</v>
      </c>
      <c r="BX959" s="1120">
        <f t="shared" si="1100"/>
        <v>0</v>
      </c>
      <c r="BY959" s="1120">
        <f t="shared" si="1101"/>
        <v>0</v>
      </c>
      <c r="BZ959" s="1120">
        <f t="shared" si="1102"/>
        <v>0</v>
      </c>
      <c r="CA959" s="1120">
        <f t="shared" si="1103"/>
        <v>1</v>
      </c>
      <c r="CB959" s="1120">
        <f t="shared" si="1104"/>
        <v>1</v>
      </c>
      <c r="CC959" s="1120">
        <f t="shared" si="1105"/>
        <v>1</v>
      </c>
      <c r="CD959" s="1120">
        <f t="shared" si="1106"/>
        <v>1</v>
      </c>
      <c r="CE959" s="1120">
        <f t="shared" si="1107"/>
        <v>1</v>
      </c>
      <c r="CF959" s="1120">
        <f t="shared" si="1108"/>
        <v>1</v>
      </c>
      <c r="CG959" s="1120">
        <f t="shared" si="1109"/>
        <v>0</v>
      </c>
      <c r="CH959" s="1120">
        <f t="shared" si="1110"/>
        <v>0</v>
      </c>
      <c r="CI959" s="1120">
        <f t="shared" si="1111"/>
        <v>0.85</v>
      </c>
      <c r="CJ959" s="1120">
        <f t="shared" si="1112"/>
        <v>0.85</v>
      </c>
      <c r="CK959" s="1120">
        <f t="shared" si="1113"/>
        <v>0.85</v>
      </c>
      <c r="CL959" s="1120">
        <f t="shared" si="1114"/>
        <v>0.85</v>
      </c>
      <c r="CM959" s="1120">
        <f t="shared" si="1115"/>
        <v>0.85</v>
      </c>
      <c r="CN959" s="1120">
        <f t="shared" si="1116"/>
        <v>0.85</v>
      </c>
      <c r="CO959" s="1120">
        <f t="shared" si="1117"/>
        <v>0.7</v>
      </c>
      <c r="CP959" s="1120">
        <f t="shared" si="1118"/>
        <v>0.7</v>
      </c>
      <c r="CQ959" s="1120">
        <f t="shared" si="1119"/>
        <v>0.7</v>
      </c>
      <c r="CR959" s="1120">
        <f t="shared" si="1120"/>
        <v>0.85</v>
      </c>
      <c r="CS959" s="1120">
        <f t="shared" si="1121"/>
        <v>0.85</v>
      </c>
      <c r="CT959" s="1120">
        <f t="shared" si="1122"/>
        <v>0.85</v>
      </c>
      <c r="CU959" s="1120">
        <v>1</v>
      </c>
      <c r="CV959" s="1120"/>
      <c r="CW959" s="1120">
        <f t="shared" si="1123"/>
        <v>184</v>
      </c>
      <c r="CX959" s="1120">
        <f t="shared" si="1124"/>
        <v>181</v>
      </c>
      <c r="CY959" s="1135" t="s">
        <v>4881</v>
      </c>
      <c r="CZ959" s="1124" t="s">
        <v>4885</v>
      </c>
      <c r="DA959" s="1124"/>
      <c r="DB959" s="1124"/>
      <c r="DC959" s="1120" t="s">
        <v>5645</v>
      </c>
      <c r="DD959" s="1120" t="s">
        <v>501</v>
      </c>
      <c r="DE959" s="1120" t="b">
        <f t="shared" si="1125"/>
        <v>0</v>
      </c>
      <c r="DF959" s="1133">
        <v>0</v>
      </c>
      <c r="DG959" s="1125">
        <v>0</v>
      </c>
    </row>
    <row r="960" spans="1:111">
      <c r="A960" s="1120" t="s">
        <v>4590</v>
      </c>
      <c r="B960" s="1125" t="s">
        <v>4486</v>
      </c>
      <c r="C960" s="1125" t="s">
        <v>4487</v>
      </c>
      <c r="D960" s="1125" t="s">
        <v>501</v>
      </c>
      <c r="E960" s="1125">
        <v>10</v>
      </c>
      <c r="F960" s="1125">
        <v>-77.03</v>
      </c>
      <c r="G960" s="1125">
        <v>38.869999999999997</v>
      </c>
      <c r="H960" s="1125">
        <v>-5</v>
      </c>
      <c r="I960" s="1126">
        <v>20.3</v>
      </c>
      <c r="J960" s="1126">
        <v>91.760001373291018</v>
      </c>
      <c r="K960" s="1127">
        <v>75.2</v>
      </c>
      <c r="L960" s="1125">
        <v>4127.4000000000005</v>
      </c>
      <c r="M960" s="1125">
        <v>1584</v>
      </c>
      <c r="N960" s="1128">
        <v>36.320000171661377</v>
      </c>
      <c r="O960" s="1128">
        <v>34.339999914169312</v>
      </c>
      <c r="P960" s="1128">
        <v>43.159999656677243</v>
      </c>
      <c r="Q960" s="1128">
        <v>57.380000686645509</v>
      </c>
      <c r="R960" s="1128">
        <v>63.680000686645506</v>
      </c>
      <c r="S960" s="1128">
        <v>75.560001373291016</v>
      </c>
      <c r="T960" s="1128">
        <v>80.960001373291021</v>
      </c>
      <c r="U960" s="1128">
        <v>78.619999313354498</v>
      </c>
      <c r="V960" s="1128">
        <v>67.280000686645508</v>
      </c>
      <c r="W960" s="1128">
        <v>59.719999313354492</v>
      </c>
      <c r="X960" s="1128">
        <v>46.940000343322751</v>
      </c>
      <c r="Y960" s="1128">
        <v>43.52000017166138</v>
      </c>
      <c r="Z960" s="1128">
        <v>57.429315374191496</v>
      </c>
      <c r="AA960" s="1128">
        <f t="shared" si="1051"/>
        <v>51.823214453377943</v>
      </c>
      <c r="AB960" s="1128">
        <f t="shared" si="1052"/>
        <v>51.105746283508019</v>
      </c>
      <c r="AC960" s="1128">
        <f t="shared" si="1053"/>
        <v>53.600606309073015</v>
      </c>
      <c r="AD960" s="1128">
        <f t="shared" si="1054"/>
        <v>58.657470817452655</v>
      </c>
      <c r="AE960" s="1128">
        <f t="shared" si="1055"/>
        <v>64.958190145896808</v>
      </c>
      <c r="AF960" s="1128">
        <f t="shared" si="1056"/>
        <v>70.860384704422572</v>
      </c>
      <c r="AG960" s="1128">
        <f t="shared" si="1057"/>
        <v>74.825556525778836</v>
      </c>
      <c r="AH960" s="1128">
        <f t="shared" si="1058"/>
        <v>75.820122469581719</v>
      </c>
      <c r="AI960" s="1128">
        <f t="shared" si="1059"/>
        <v>73.584833595853837</v>
      </c>
      <c r="AJ960" s="1128">
        <f t="shared" si="1060"/>
        <v>68.702352396376611</v>
      </c>
      <c r="AK960" s="1128">
        <f t="shared" si="1061"/>
        <v>62.445372837106618</v>
      </c>
      <c r="AL960" s="1128">
        <f t="shared" si="1062"/>
        <v>56.444873063141273</v>
      </c>
      <c r="AM960" s="1125">
        <f t="shared" si="1063"/>
        <v>1</v>
      </c>
      <c r="AN960" s="1125">
        <f t="shared" si="1064"/>
        <v>1</v>
      </c>
      <c r="AO960" s="1125">
        <f t="shared" si="1065"/>
        <v>1</v>
      </c>
      <c r="AP960" s="1125">
        <f t="shared" si="1066"/>
        <v>1</v>
      </c>
      <c r="AQ960" s="1125">
        <f t="shared" si="1067"/>
        <v>1</v>
      </c>
      <c r="AR960" s="1125">
        <f t="shared" si="1068"/>
        <v>0</v>
      </c>
      <c r="AS960" s="1125">
        <f t="shared" si="1069"/>
        <v>0</v>
      </c>
      <c r="AT960" s="1125">
        <f t="shared" si="1070"/>
        <v>0</v>
      </c>
      <c r="AU960" s="1125">
        <f t="shared" si="1071"/>
        <v>0</v>
      </c>
      <c r="AV960" s="1125">
        <f t="shared" si="1072"/>
        <v>1</v>
      </c>
      <c r="AW960" s="1125">
        <f t="shared" si="1073"/>
        <v>1</v>
      </c>
      <c r="AX960" s="1125">
        <f t="shared" si="1074"/>
        <v>1</v>
      </c>
      <c r="AY960" s="1125">
        <f t="shared" si="1075"/>
        <v>0</v>
      </c>
      <c r="AZ960" s="1125">
        <f t="shared" si="1076"/>
        <v>0</v>
      </c>
      <c r="BA960" s="1125">
        <f t="shared" si="1077"/>
        <v>0</v>
      </c>
      <c r="BB960" s="1125">
        <f t="shared" si="1078"/>
        <v>0</v>
      </c>
      <c r="BC960" s="1125">
        <f t="shared" si="1079"/>
        <v>0</v>
      </c>
      <c r="BD960" s="1125">
        <f t="shared" si="1080"/>
        <v>1</v>
      </c>
      <c r="BE960" s="1125">
        <f t="shared" si="1081"/>
        <v>1</v>
      </c>
      <c r="BF960" s="1125">
        <f t="shared" si="1082"/>
        <v>1</v>
      </c>
      <c r="BG960" s="1125">
        <f t="shared" si="1083"/>
        <v>1</v>
      </c>
      <c r="BH960" s="1125">
        <f t="shared" si="1084"/>
        <v>0</v>
      </c>
      <c r="BI960" s="1125">
        <f t="shared" si="1085"/>
        <v>0</v>
      </c>
      <c r="BJ960" s="1125">
        <f t="shared" si="1086"/>
        <v>0</v>
      </c>
      <c r="BK960" s="1125">
        <f t="shared" si="1087"/>
        <v>1</v>
      </c>
      <c r="BL960" s="1125">
        <f t="shared" si="1088"/>
        <v>1</v>
      </c>
      <c r="BM960" s="1125">
        <f t="shared" si="1089"/>
        <v>1</v>
      </c>
      <c r="BN960" s="1125">
        <f t="shared" si="1090"/>
        <v>1</v>
      </c>
      <c r="BO960" s="1125">
        <f t="shared" si="1091"/>
        <v>1</v>
      </c>
      <c r="BP960" s="1125">
        <f t="shared" si="1092"/>
        <v>1</v>
      </c>
      <c r="BQ960" s="1125">
        <f t="shared" si="1093"/>
        <v>0</v>
      </c>
      <c r="BR960" s="1125">
        <f t="shared" si="1094"/>
        <v>0</v>
      </c>
      <c r="BS960" s="1125">
        <f t="shared" si="1095"/>
        <v>0</v>
      </c>
      <c r="BT960" s="1125">
        <f t="shared" si="1096"/>
        <v>1</v>
      </c>
      <c r="BU960" s="1125">
        <f t="shared" si="1097"/>
        <v>1</v>
      </c>
      <c r="BV960" s="1125">
        <f t="shared" si="1098"/>
        <v>1</v>
      </c>
      <c r="BW960" s="1125">
        <f t="shared" si="1099"/>
        <v>0</v>
      </c>
      <c r="BX960" s="1125">
        <f t="shared" si="1100"/>
        <v>0</v>
      </c>
      <c r="BY960" s="1125">
        <f t="shared" si="1101"/>
        <v>0</v>
      </c>
      <c r="BZ960" s="1125">
        <f t="shared" si="1102"/>
        <v>0</v>
      </c>
      <c r="CA960" s="1125">
        <f t="shared" si="1103"/>
        <v>1</v>
      </c>
      <c r="CB960" s="1125">
        <f t="shared" si="1104"/>
        <v>1</v>
      </c>
      <c r="CC960" s="1125">
        <f t="shared" si="1105"/>
        <v>1</v>
      </c>
      <c r="CD960" s="1125">
        <f t="shared" si="1106"/>
        <v>1</v>
      </c>
      <c r="CE960" s="1125">
        <f t="shared" si="1107"/>
        <v>1</v>
      </c>
      <c r="CF960" s="1125">
        <f t="shared" si="1108"/>
        <v>1</v>
      </c>
      <c r="CG960" s="1125">
        <f t="shared" si="1109"/>
        <v>0</v>
      </c>
      <c r="CH960" s="1125">
        <f t="shared" si="1110"/>
        <v>0</v>
      </c>
      <c r="CI960" s="1125">
        <f t="shared" si="1111"/>
        <v>0.85</v>
      </c>
      <c r="CJ960" s="1125">
        <f t="shared" si="1112"/>
        <v>0.85</v>
      </c>
      <c r="CK960" s="1125">
        <f t="shared" si="1113"/>
        <v>0.85</v>
      </c>
      <c r="CL960" s="1125">
        <f t="shared" si="1114"/>
        <v>0.85</v>
      </c>
      <c r="CM960" s="1125">
        <f t="shared" si="1115"/>
        <v>0.85</v>
      </c>
      <c r="CN960" s="1125">
        <f t="shared" si="1116"/>
        <v>0.85</v>
      </c>
      <c r="CO960" s="1125">
        <f t="shared" si="1117"/>
        <v>0.7</v>
      </c>
      <c r="CP960" s="1125">
        <f t="shared" si="1118"/>
        <v>0.7</v>
      </c>
      <c r="CQ960" s="1125">
        <f t="shared" si="1119"/>
        <v>0.7</v>
      </c>
      <c r="CR960" s="1125">
        <f t="shared" si="1120"/>
        <v>0.85</v>
      </c>
      <c r="CS960" s="1125">
        <f t="shared" si="1121"/>
        <v>0.85</v>
      </c>
      <c r="CT960" s="1125">
        <f t="shared" si="1122"/>
        <v>0.85</v>
      </c>
      <c r="CU960" s="1125">
        <v>1</v>
      </c>
      <c r="CV960" s="1125"/>
      <c r="CW960" s="1125">
        <f t="shared" si="1123"/>
        <v>184</v>
      </c>
      <c r="CX960" s="1125">
        <f t="shared" si="1124"/>
        <v>181</v>
      </c>
      <c r="CY960" s="1136" t="s">
        <v>4881</v>
      </c>
      <c r="CZ960" s="1129" t="s">
        <v>4885</v>
      </c>
      <c r="DA960" s="1129"/>
      <c r="DB960" s="1129"/>
      <c r="DC960" s="1125" t="s">
        <v>5089</v>
      </c>
      <c r="DD960" s="1125" t="s">
        <v>501</v>
      </c>
      <c r="DE960" s="1120" t="str">
        <f t="shared" si="1125"/>
        <v/>
      </c>
      <c r="DF960" s="1133">
        <v>0</v>
      </c>
      <c r="DG960" s="1120">
        <v>0</v>
      </c>
    </row>
    <row r="961" spans="1:111">
      <c r="A961" s="1125" t="s">
        <v>4592</v>
      </c>
      <c r="B961" s="1120" t="s">
        <v>3469</v>
      </c>
      <c r="C961" s="1120" t="s">
        <v>3470</v>
      </c>
      <c r="D961" s="1120" t="s">
        <v>566</v>
      </c>
      <c r="E961" s="1120">
        <v>754</v>
      </c>
      <c r="F961" s="1120">
        <v>-91.67</v>
      </c>
      <c r="G961" s="1120">
        <v>41.28</v>
      </c>
      <c r="H961" s="1120">
        <v>-6</v>
      </c>
      <c r="I961" s="1121">
        <v>3.1999999999999993</v>
      </c>
      <c r="J961" s="1121">
        <v>90.860001373291013</v>
      </c>
      <c r="K961" s="1122">
        <v>78.080000686645505</v>
      </c>
      <c r="L961" s="1120">
        <v>6064.2</v>
      </c>
      <c r="M961" s="1120">
        <v>1062</v>
      </c>
      <c r="N961" s="1123">
        <v>25.879999828338622</v>
      </c>
      <c r="O961" s="1123">
        <v>22.820000171661377</v>
      </c>
      <c r="P961" s="1123">
        <v>37.039999914169314</v>
      </c>
      <c r="Q961" s="1123">
        <v>53.240000343322755</v>
      </c>
      <c r="R961" s="1123">
        <v>58.819999313354494</v>
      </c>
      <c r="S961" s="1123">
        <v>71.780000686645508</v>
      </c>
      <c r="T961" s="1123">
        <v>73.580000686645505</v>
      </c>
      <c r="U961" s="1123">
        <v>72.680000686645513</v>
      </c>
      <c r="V961" s="1123">
        <v>70.880000686645502</v>
      </c>
      <c r="W961" s="1123">
        <v>50.180000686645506</v>
      </c>
      <c r="X961" s="1123">
        <v>38.299999999999997</v>
      </c>
      <c r="Y961" s="1123">
        <v>31.279999989271165</v>
      </c>
      <c r="Z961" s="1123">
        <v>50.680055042635907</v>
      </c>
      <c r="AA961" s="1123">
        <f t="shared" si="1051"/>
        <v>46.212003149251849</v>
      </c>
      <c r="AB961" s="1123">
        <f t="shared" si="1052"/>
        <v>44.837608242110392</v>
      </c>
      <c r="AC961" s="1123">
        <f t="shared" si="1053"/>
        <v>46.550129591155255</v>
      </c>
      <c r="AD961" s="1123">
        <f t="shared" si="1054"/>
        <v>50.903172116005081</v>
      </c>
      <c r="AE961" s="1123">
        <f t="shared" si="1055"/>
        <v>56.762048200141869</v>
      </c>
      <c r="AF961" s="1123">
        <f t="shared" si="1056"/>
        <v>62.599551504221928</v>
      </c>
      <c r="AG961" s="1123">
        <f t="shared" si="1057"/>
        <v>66.894046833387847</v>
      </c>
      <c r="AH961" s="1123">
        <f t="shared" si="1058"/>
        <v>68.526107799916247</v>
      </c>
      <c r="AI961" s="1123">
        <f t="shared" si="1059"/>
        <v>67.070312562060693</v>
      </c>
      <c r="AJ961" s="1123">
        <f t="shared" si="1060"/>
        <v>62.906136583051946</v>
      </c>
      <c r="AK961" s="1123">
        <f t="shared" si="1061"/>
        <v>57.119036503712934</v>
      </c>
      <c r="AL961" s="1123">
        <f t="shared" si="1062"/>
        <v>51.217509141635105</v>
      </c>
      <c r="AM961" s="1120">
        <f t="shared" si="1063"/>
        <v>1</v>
      </c>
      <c r="AN961" s="1120">
        <f t="shared" si="1064"/>
        <v>1</v>
      </c>
      <c r="AO961" s="1120">
        <f t="shared" si="1065"/>
        <v>1</v>
      </c>
      <c r="AP961" s="1120">
        <f t="shared" si="1066"/>
        <v>1</v>
      </c>
      <c r="AQ961" s="1120">
        <f t="shared" si="1067"/>
        <v>1</v>
      </c>
      <c r="AR961" s="1120">
        <f t="shared" si="1068"/>
        <v>0</v>
      </c>
      <c r="AS961" s="1120">
        <f t="shared" si="1069"/>
        <v>0</v>
      </c>
      <c r="AT961" s="1120">
        <f t="shared" si="1070"/>
        <v>0</v>
      </c>
      <c r="AU961" s="1120">
        <f t="shared" si="1071"/>
        <v>0</v>
      </c>
      <c r="AV961" s="1120">
        <f t="shared" si="1072"/>
        <v>1</v>
      </c>
      <c r="AW961" s="1120">
        <f t="shared" si="1073"/>
        <v>1</v>
      </c>
      <c r="AX961" s="1120">
        <f t="shared" si="1074"/>
        <v>1</v>
      </c>
      <c r="AY961" s="1120">
        <f t="shared" si="1075"/>
        <v>0</v>
      </c>
      <c r="AZ961" s="1120">
        <f t="shared" si="1076"/>
        <v>0</v>
      </c>
      <c r="BA961" s="1120">
        <f t="shared" si="1077"/>
        <v>0</v>
      </c>
      <c r="BB961" s="1120">
        <f t="shared" si="1078"/>
        <v>0</v>
      </c>
      <c r="BC961" s="1120">
        <f t="shared" si="1079"/>
        <v>0</v>
      </c>
      <c r="BD961" s="1120">
        <f t="shared" si="1080"/>
        <v>1</v>
      </c>
      <c r="BE961" s="1120">
        <f t="shared" si="1081"/>
        <v>1</v>
      </c>
      <c r="BF961" s="1120">
        <f t="shared" si="1082"/>
        <v>1</v>
      </c>
      <c r="BG961" s="1120">
        <f t="shared" si="1083"/>
        <v>1</v>
      </c>
      <c r="BH961" s="1120">
        <f t="shared" si="1084"/>
        <v>0</v>
      </c>
      <c r="BI961" s="1120">
        <f t="shared" si="1085"/>
        <v>0</v>
      </c>
      <c r="BJ961" s="1120">
        <f t="shared" si="1086"/>
        <v>0</v>
      </c>
      <c r="BK961" s="1120">
        <f t="shared" si="1087"/>
        <v>1</v>
      </c>
      <c r="BL961" s="1120">
        <f t="shared" si="1088"/>
        <v>1</v>
      </c>
      <c r="BM961" s="1120">
        <f t="shared" si="1089"/>
        <v>1</v>
      </c>
      <c r="BN961" s="1120">
        <f t="shared" si="1090"/>
        <v>1</v>
      </c>
      <c r="BO961" s="1120">
        <f t="shared" si="1091"/>
        <v>1</v>
      </c>
      <c r="BP961" s="1120">
        <f t="shared" si="1092"/>
        <v>1</v>
      </c>
      <c r="BQ961" s="1120">
        <f t="shared" si="1093"/>
        <v>0</v>
      </c>
      <c r="BR961" s="1120">
        <f t="shared" si="1094"/>
        <v>0</v>
      </c>
      <c r="BS961" s="1120">
        <f t="shared" si="1095"/>
        <v>0</v>
      </c>
      <c r="BT961" s="1120">
        <f t="shared" si="1096"/>
        <v>1</v>
      </c>
      <c r="BU961" s="1120">
        <f t="shared" si="1097"/>
        <v>1</v>
      </c>
      <c r="BV961" s="1120">
        <f t="shared" si="1098"/>
        <v>1</v>
      </c>
      <c r="BW961" s="1120">
        <f t="shared" si="1099"/>
        <v>0</v>
      </c>
      <c r="BX961" s="1120">
        <f t="shared" si="1100"/>
        <v>0</v>
      </c>
      <c r="BY961" s="1120">
        <f t="shared" si="1101"/>
        <v>0</v>
      </c>
      <c r="BZ961" s="1120">
        <f t="shared" si="1102"/>
        <v>0</v>
      </c>
      <c r="CA961" s="1120">
        <f t="shared" si="1103"/>
        <v>1</v>
      </c>
      <c r="CB961" s="1120">
        <f t="shared" si="1104"/>
        <v>1</v>
      </c>
      <c r="CC961" s="1120">
        <f t="shared" si="1105"/>
        <v>1</v>
      </c>
      <c r="CD961" s="1120">
        <f t="shared" si="1106"/>
        <v>1</v>
      </c>
      <c r="CE961" s="1120">
        <f t="shared" si="1107"/>
        <v>1</v>
      </c>
      <c r="CF961" s="1120">
        <f t="shared" si="1108"/>
        <v>1</v>
      </c>
      <c r="CG961" s="1120">
        <f t="shared" si="1109"/>
        <v>0</v>
      </c>
      <c r="CH961" s="1120">
        <f t="shared" si="1110"/>
        <v>0</v>
      </c>
      <c r="CI961" s="1120">
        <f t="shared" si="1111"/>
        <v>0.85</v>
      </c>
      <c r="CJ961" s="1120">
        <f t="shared" si="1112"/>
        <v>0.85</v>
      </c>
      <c r="CK961" s="1120">
        <f t="shared" si="1113"/>
        <v>0.85</v>
      </c>
      <c r="CL961" s="1120">
        <f t="shared" si="1114"/>
        <v>0.85</v>
      </c>
      <c r="CM961" s="1120">
        <f t="shared" si="1115"/>
        <v>0.85</v>
      </c>
      <c r="CN961" s="1120">
        <f t="shared" si="1116"/>
        <v>0.85</v>
      </c>
      <c r="CO961" s="1120">
        <f t="shared" si="1117"/>
        <v>0.7</v>
      </c>
      <c r="CP961" s="1120">
        <f t="shared" si="1118"/>
        <v>0.7</v>
      </c>
      <c r="CQ961" s="1120">
        <f t="shared" si="1119"/>
        <v>0.7</v>
      </c>
      <c r="CR961" s="1120">
        <f t="shared" si="1120"/>
        <v>0.85</v>
      </c>
      <c r="CS961" s="1120">
        <f t="shared" si="1121"/>
        <v>0.85</v>
      </c>
      <c r="CT961" s="1120">
        <f t="shared" si="1122"/>
        <v>0.85</v>
      </c>
      <c r="CU961" s="1120">
        <v>1</v>
      </c>
      <c r="CV961" s="1120"/>
      <c r="CW961" s="1120">
        <f t="shared" si="1123"/>
        <v>184</v>
      </c>
      <c r="CX961" s="1120">
        <f t="shared" si="1124"/>
        <v>181</v>
      </c>
      <c r="CY961" s="1135" t="s">
        <v>4889</v>
      </c>
      <c r="CZ961" s="1124" t="s">
        <v>4897</v>
      </c>
      <c r="DA961" s="1124"/>
      <c r="DB961" s="1124"/>
      <c r="DC961" s="1120" t="s">
        <v>5191</v>
      </c>
      <c r="DD961" s="1120" t="s">
        <v>566</v>
      </c>
      <c r="DE961" s="1120" t="str">
        <f t="shared" si="1125"/>
        <v/>
      </c>
      <c r="DF961" s="1133">
        <v>0</v>
      </c>
      <c r="DG961" s="1125">
        <v>0</v>
      </c>
    </row>
    <row r="962" spans="1:111">
      <c r="A962" s="1120" t="s">
        <v>4594</v>
      </c>
      <c r="B962" s="1125" t="s">
        <v>3471</v>
      </c>
      <c r="C962" s="1125" t="s">
        <v>3472</v>
      </c>
      <c r="D962" s="1125" t="s">
        <v>566</v>
      </c>
      <c r="E962" s="1125">
        <v>866</v>
      </c>
      <c r="F962" s="1125">
        <v>-92.4</v>
      </c>
      <c r="G962" s="1125">
        <v>42.55</v>
      </c>
      <c r="H962" s="1125">
        <v>-6</v>
      </c>
      <c r="I962" s="1126">
        <v>-6.3399986267089856</v>
      </c>
      <c r="J962" s="1126">
        <v>88.880000686645502</v>
      </c>
      <c r="K962" s="1127">
        <v>73.760001373291018</v>
      </c>
      <c r="L962" s="1125">
        <v>7057.8</v>
      </c>
      <c r="M962" s="1125">
        <v>941.4</v>
      </c>
      <c r="N962" s="1128">
        <v>15.259999656677246</v>
      </c>
      <c r="O962" s="1128">
        <v>18.320000171661377</v>
      </c>
      <c r="P962" s="1128">
        <v>35.779999828338624</v>
      </c>
      <c r="Q962" s="1128">
        <v>49.459999656677248</v>
      </c>
      <c r="R962" s="1128">
        <v>59.540000343322752</v>
      </c>
      <c r="S962" s="1128">
        <v>69.980000686645511</v>
      </c>
      <c r="T962" s="1128">
        <v>74.480000686645511</v>
      </c>
      <c r="U962" s="1128">
        <v>71.599999999999994</v>
      </c>
      <c r="V962" s="1128">
        <v>64.400000000000006</v>
      </c>
      <c r="W962" s="1128">
        <v>51.259999656677245</v>
      </c>
      <c r="X962" s="1128">
        <v>36.139999914169309</v>
      </c>
      <c r="Y962" s="1128">
        <v>23.720000171661376</v>
      </c>
      <c r="Z962" s="1128">
        <v>47.652602803217221</v>
      </c>
      <c r="AA962" s="1128">
        <f t="shared" si="1051"/>
        <v>42.562642803663024</v>
      </c>
      <c r="AB962" s="1128">
        <f t="shared" si="1052"/>
        <v>40.730541441445482</v>
      </c>
      <c r="AC962" s="1128">
        <f t="shared" si="1053"/>
        <v>42.266774508167089</v>
      </c>
      <c r="AD962" s="1128">
        <f t="shared" si="1054"/>
        <v>46.770899180918697</v>
      </c>
      <c r="AE962" s="1128">
        <f t="shared" si="1055"/>
        <v>53.068845953085351</v>
      </c>
      <c r="AF962" s="1128">
        <f t="shared" si="1056"/>
        <v>59.518957944204239</v>
      </c>
      <c r="AG962" s="1128">
        <f t="shared" si="1057"/>
        <v>64.439914064555666</v>
      </c>
      <c r="AH962" s="1128">
        <f t="shared" si="1058"/>
        <v>66.548991267140707</v>
      </c>
      <c r="AI962" s="1128">
        <f t="shared" si="1059"/>
        <v>65.296426077242074</v>
      </c>
      <c r="AJ962" s="1128">
        <f t="shared" si="1060"/>
        <v>61.008718914220715</v>
      </c>
      <c r="AK962" s="1128">
        <f t="shared" si="1061"/>
        <v>54.803526725685607</v>
      </c>
      <c r="AL962" s="1128">
        <f t="shared" si="1062"/>
        <v>48.298328480484592</v>
      </c>
      <c r="AM962" s="1125">
        <f t="shared" si="1063"/>
        <v>1</v>
      </c>
      <c r="AN962" s="1125">
        <f t="shared" si="1064"/>
        <v>1</v>
      </c>
      <c r="AO962" s="1125">
        <f t="shared" si="1065"/>
        <v>1</v>
      </c>
      <c r="AP962" s="1125">
        <f t="shared" si="1066"/>
        <v>1</v>
      </c>
      <c r="AQ962" s="1125">
        <f t="shared" si="1067"/>
        <v>1</v>
      </c>
      <c r="AR962" s="1125">
        <f t="shared" si="1068"/>
        <v>0</v>
      </c>
      <c r="AS962" s="1125">
        <f t="shared" si="1069"/>
        <v>0</v>
      </c>
      <c r="AT962" s="1125">
        <f t="shared" si="1070"/>
        <v>0</v>
      </c>
      <c r="AU962" s="1125">
        <f t="shared" si="1071"/>
        <v>1</v>
      </c>
      <c r="AV962" s="1125">
        <f t="shared" si="1072"/>
        <v>1</v>
      </c>
      <c r="AW962" s="1125">
        <f t="shared" si="1073"/>
        <v>1</v>
      </c>
      <c r="AX962" s="1125">
        <f t="shared" si="1074"/>
        <v>1</v>
      </c>
      <c r="AY962" s="1125">
        <f t="shared" si="1075"/>
        <v>0</v>
      </c>
      <c r="AZ962" s="1125">
        <f t="shared" si="1076"/>
        <v>0</v>
      </c>
      <c r="BA962" s="1125">
        <f t="shared" si="1077"/>
        <v>0</v>
      </c>
      <c r="BB962" s="1125">
        <f t="shared" si="1078"/>
        <v>0</v>
      </c>
      <c r="BC962" s="1125">
        <f t="shared" si="1079"/>
        <v>0</v>
      </c>
      <c r="BD962" s="1125">
        <f t="shared" si="1080"/>
        <v>1</v>
      </c>
      <c r="BE962" s="1125">
        <f t="shared" si="1081"/>
        <v>1</v>
      </c>
      <c r="BF962" s="1125">
        <f t="shared" si="1082"/>
        <v>1</v>
      </c>
      <c r="BG962" s="1125">
        <f t="shared" si="1083"/>
        <v>0</v>
      </c>
      <c r="BH962" s="1125">
        <f t="shared" si="1084"/>
        <v>0</v>
      </c>
      <c r="BI962" s="1125">
        <f t="shared" si="1085"/>
        <v>0</v>
      </c>
      <c r="BJ962" s="1125">
        <f t="shared" si="1086"/>
        <v>0</v>
      </c>
      <c r="BK962" s="1125">
        <f t="shared" si="1087"/>
        <v>1</v>
      </c>
      <c r="BL962" s="1125">
        <f t="shared" si="1088"/>
        <v>1</v>
      </c>
      <c r="BM962" s="1125">
        <f t="shared" si="1089"/>
        <v>1</v>
      </c>
      <c r="BN962" s="1125">
        <f t="shared" si="1090"/>
        <v>1</v>
      </c>
      <c r="BO962" s="1125">
        <f t="shared" si="1091"/>
        <v>1</v>
      </c>
      <c r="BP962" s="1125">
        <f t="shared" si="1092"/>
        <v>1</v>
      </c>
      <c r="BQ962" s="1125">
        <f t="shared" si="1093"/>
        <v>0</v>
      </c>
      <c r="BR962" s="1125">
        <f t="shared" si="1094"/>
        <v>0</v>
      </c>
      <c r="BS962" s="1125">
        <f t="shared" si="1095"/>
        <v>1</v>
      </c>
      <c r="BT962" s="1125">
        <f t="shared" si="1096"/>
        <v>1</v>
      </c>
      <c r="BU962" s="1125">
        <f t="shared" si="1097"/>
        <v>1</v>
      </c>
      <c r="BV962" s="1125">
        <f t="shared" si="1098"/>
        <v>1</v>
      </c>
      <c r="BW962" s="1125">
        <f t="shared" si="1099"/>
        <v>0</v>
      </c>
      <c r="BX962" s="1125">
        <f t="shared" si="1100"/>
        <v>0</v>
      </c>
      <c r="BY962" s="1125">
        <f t="shared" si="1101"/>
        <v>0</v>
      </c>
      <c r="BZ962" s="1125">
        <f t="shared" si="1102"/>
        <v>0</v>
      </c>
      <c r="CA962" s="1125">
        <f t="shared" si="1103"/>
        <v>1</v>
      </c>
      <c r="CB962" s="1125">
        <f t="shared" si="1104"/>
        <v>1</v>
      </c>
      <c r="CC962" s="1125">
        <f t="shared" si="1105"/>
        <v>1</v>
      </c>
      <c r="CD962" s="1125">
        <f t="shared" si="1106"/>
        <v>1</v>
      </c>
      <c r="CE962" s="1125">
        <f t="shared" si="1107"/>
        <v>1</v>
      </c>
      <c r="CF962" s="1125">
        <f t="shared" si="1108"/>
        <v>0</v>
      </c>
      <c r="CG962" s="1125">
        <f t="shared" si="1109"/>
        <v>0</v>
      </c>
      <c r="CH962" s="1125">
        <f t="shared" si="1110"/>
        <v>0</v>
      </c>
      <c r="CI962" s="1125">
        <f t="shared" si="1111"/>
        <v>0.85</v>
      </c>
      <c r="CJ962" s="1125">
        <f t="shared" si="1112"/>
        <v>0.85</v>
      </c>
      <c r="CK962" s="1125">
        <f t="shared" si="1113"/>
        <v>0.85</v>
      </c>
      <c r="CL962" s="1125">
        <f t="shared" si="1114"/>
        <v>0.85</v>
      </c>
      <c r="CM962" s="1125">
        <f t="shared" si="1115"/>
        <v>0.85</v>
      </c>
      <c r="CN962" s="1125">
        <f t="shared" si="1116"/>
        <v>0.85</v>
      </c>
      <c r="CO962" s="1125">
        <f t="shared" si="1117"/>
        <v>0.7</v>
      </c>
      <c r="CP962" s="1125">
        <f t="shared" si="1118"/>
        <v>0.7</v>
      </c>
      <c r="CQ962" s="1125">
        <f t="shared" si="1119"/>
        <v>0.85</v>
      </c>
      <c r="CR962" s="1125">
        <f t="shared" si="1120"/>
        <v>0.85</v>
      </c>
      <c r="CS962" s="1125">
        <f t="shared" si="1121"/>
        <v>0.85</v>
      </c>
      <c r="CT962" s="1125">
        <f t="shared" si="1122"/>
        <v>0.85</v>
      </c>
      <c r="CU962" s="1125">
        <v>1</v>
      </c>
      <c r="CV962" s="1125"/>
      <c r="CW962" s="1125">
        <f t="shared" si="1123"/>
        <v>153</v>
      </c>
      <c r="CX962" s="1125">
        <f t="shared" si="1124"/>
        <v>212</v>
      </c>
      <c r="CY962" s="1136" t="s">
        <v>4889</v>
      </c>
      <c r="CZ962" s="1129" t="s">
        <v>4899</v>
      </c>
      <c r="DA962" s="1129"/>
      <c r="DB962" s="1129"/>
      <c r="DC962" s="1125" t="s">
        <v>5192</v>
      </c>
      <c r="DD962" s="1125" t="s">
        <v>566</v>
      </c>
      <c r="DE962" s="1120" t="str">
        <f t="shared" si="1125"/>
        <v/>
      </c>
      <c r="DF962" s="1133">
        <v>0</v>
      </c>
      <c r="DG962" s="1120">
        <v>0</v>
      </c>
    </row>
    <row r="963" spans="1:111">
      <c r="A963" s="1125" t="s">
        <v>4596</v>
      </c>
      <c r="B963" s="1120" t="s">
        <v>4158</v>
      </c>
      <c r="C963" s="1120" t="s">
        <v>4159</v>
      </c>
      <c r="D963" s="1120" t="s">
        <v>537</v>
      </c>
      <c r="E963" s="1120">
        <v>318</v>
      </c>
      <c r="F963" s="1120">
        <v>-76.02</v>
      </c>
      <c r="G963" s="1120">
        <v>44</v>
      </c>
      <c r="H963" s="1120">
        <v>-5</v>
      </c>
      <c r="I963" s="1121">
        <v>-5.9800006866455089</v>
      </c>
      <c r="J963" s="1121">
        <v>82.580000686645505</v>
      </c>
      <c r="K963" s="1122">
        <v>70.33999862670899</v>
      </c>
      <c r="L963" s="1120">
        <v>7018.2</v>
      </c>
      <c r="M963" s="1120">
        <v>399.6</v>
      </c>
      <c r="N963" s="1123">
        <v>22.279999828338624</v>
      </c>
      <c r="O963" s="1123">
        <v>24.979999828338624</v>
      </c>
      <c r="P963" s="1123">
        <v>29.3</v>
      </c>
      <c r="Q963" s="1123">
        <v>45.320000171661377</v>
      </c>
      <c r="R963" s="1123">
        <v>54.859999656677246</v>
      </c>
      <c r="S963" s="1123">
        <v>63.139998626708987</v>
      </c>
      <c r="T963" s="1123">
        <v>67.819999313354487</v>
      </c>
      <c r="U963" s="1123">
        <v>68.360001373291013</v>
      </c>
      <c r="V963" s="1123">
        <v>63.139998626708987</v>
      </c>
      <c r="W963" s="1123">
        <v>49.819999313354494</v>
      </c>
      <c r="X963" s="1123">
        <v>35.779999828338624</v>
      </c>
      <c r="Y963" s="1123">
        <v>28.76000008583069</v>
      </c>
      <c r="Z963" s="1123">
        <v>46.241205204088395</v>
      </c>
      <c r="AA963" s="1123">
        <f t="shared" ref="AA963:AA1012" si="1126">MAX($Z963+6+(0.4+0.01*($Z963-44))*(MAX($N963:$Y963)-MIN($N963:$Y963))/2*SIN((0.986*((1*30-15)-15-(35-1*($Z963-44)))-90)*PI()/180),32)</f>
        <v>44.014816492495399</v>
      </c>
      <c r="AB963" s="1123">
        <f t="shared" ref="AB963:AB1012" si="1127">MAX($Z963+6+(0.4+0.01*($Z963-44))*(MAX($N963:$Y963)-MIN($N963:$Y963))/2*SIN((0.986*((2*30-15)-15-(35-1*($Z963-44)))-90)*PI()/180),32)</f>
        <v>42.519797358820249</v>
      </c>
      <c r="AC963" s="1123">
        <f t="shared" ref="AC963:AC1012" si="1128">MAX($Z963+6+(0.4+0.01*($Z963-44))*(MAX($N963:$Y963)-MIN($N963:$Y963))/2*SIN((0.986*((3*30-15)-15-(35-1*($Z963-44)))-90)*PI()/180),32)</f>
        <v>43.558812991443887</v>
      </c>
      <c r="AD963" s="1123">
        <f t="shared" ref="AD963:AD1012" si="1129">MAX($Z963+6+(0.4+0.01*($Z963-44))*(MAX($N963:$Y963)-MIN($N963:$Y963))/2*SIN((0.986*((4*30-15)-15-(35-1*($Z963-44)))-90)*PI()/180),32)</f>
        <v>46.861027954007398</v>
      </c>
      <c r="AE963" s="1123">
        <f t="shared" ref="AE963:AE1012" si="1130">MAX($Z963+6+(0.4+0.01*($Z963-44))*(MAX($N963:$Y963)-MIN($N963:$Y963))/2*SIN((0.986*((5*30-15)-15-(35-1*($Z963-44)))-90)*PI()/180),32)</f>
        <v>51.565669027845644</v>
      </c>
      <c r="AF963" s="1123">
        <f t="shared" ref="AF963:AF1012" si="1131">MAX($Z963+6+(0.4+0.01*($Z963-44))*(MAX($N963:$Y963)-MIN($N963:$Y963))/2*SIN((0.986*((6*30-15)-15-(35-1*($Z963-44)))-90)*PI()/180),32)</f>
        <v>56.446399016349154</v>
      </c>
      <c r="AG963" s="1123">
        <f t="shared" ref="AG963:AG1012" si="1132">MAX($Z963+6+(0.4+0.01*($Z963-44))*(MAX($N963:$Y963)-MIN($N963:$Y963))/2*SIN((0.986*((7*30-15)-15-(35-1*($Z963-44)))-90)*PI()/180),32)</f>
        <v>60.23098043368865</v>
      </c>
      <c r="AH963" s="1123">
        <f t="shared" ref="AH963:AH1012" si="1133">MAX($Z963+6+(0.4+0.01*($Z963-44))*(MAX($N963:$Y963)-MIN($N963:$Y963))/2*SIN((0.986*((8*30-15)-15-(35-1*($Z963-44)))-90)*PI()/180),32)</f>
        <v>61.932903811269554</v>
      </c>
      <c r="AI963" s="1123">
        <f t="shared" ref="AI963:AI1012" si="1134">MAX($Z963+6+(0.4+0.01*($Z963-44))*(MAX($N963:$Y963)-MIN($N963:$Y963))/2*SIN((0.986*((9*30-15)-15-(35-1*($Z963-44)))-90)*PI()/180),32)</f>
        <v>61.108536593292257</v>
      </c>
      <c r="AJ963" s="1123">
        <f t="shared" ref="AJ963:AJ1012" si="1135">MAX($Z963+6+(0.4+0.01*($Z963-44))*(MAX($N963:$Y963)-MIN($N963:$Y963))/2*SIN((0.986*((10*30-15)-15-(35-1*($Z963-44)))-90)*PI()/180),32)</f>
        <v>57.972762799005913</v>
      </c>
      <c r="AK963" s="1123">
        <f t="shared" ref="AK963:AK1012" si="1136">MAX($Z963+6+(0.4+0.01*($Z963-44))*(MAX($N963:$Y963)-MIN($N963:$Y963))/2*SIN((0.986*((11*30-15)-15-(35-1*($Z963-44)))-90)*PI()/180),32)</f>
        <v>53.342970191628183</v>
      </c>
      <c r="AL963" s="1123">
        <f t="shared" ref="AL963:AL1012" si="1137">MAX($Z963+6+(0.4+0.01*($Z963-44))*(MAX($N963:$Y963)-MIN($N963:$Y963))/2*SIN((0.986*((12*30-15)-15-(35-1*($Z963-44)))-90)*PI()/180),32)</f>
        <v>48.425985561535811</v>
      </c>
      <c r="AM963" s="1120">
        <f t="shared" ref="AM963:AM1012" si="1138">IF(AND(OR(LEFT(AM$1,3)="Jan",LEFT(AM$1,3)="Dec"),I963&lt;59),1,IF(N963&lt;66,1,0))</f>
        <v>1</v>
      </c>
      <c r="AN963" s="1120">
        <f t="shared" ref="AN963:AN1012" si="1139">IF(AND(OR(LEFT(AN$1,3)="Jan",LEFT(AN$1,3)="Dec"),J963&lt;59),1,IF(O963&lt;66,1,0))</f>
        <v>1</v>
      </c>
      <c r="AO963" s="1120">
        <f t="shared" ref="AO963:AO1012" si="1140">IF(AND(OR(LEFT(AO$1,3)="Jan",LEFT(AO$1,3)="Dec"),K963&lt;59),1,IF(P963&lt;66,1,0))</f>
        <v>1</v>
      </c>
      <c r="AP963" s="1120">
        <f t="shared" ref="AP963:AP1012" si="1141">IF(AND(OR(LEFT(AP$1,3)="Jan",LEFT(AP$1,3)="Dec"),L963&lt;59),1,IF(Q963&lt;66,1,0))</f>
        <v>1</v>
      </c>
      <c r="AQ963" s="1120">
        <f t="shared" ref="AQ963:AQ1012" si="1142">IF(AND(OR(LEFT(AQ$1,3)="Jan",LEFT(AQ$1,3)="Dec"),M963&lt;59),1,IF(R963&lt;66,1,0))</f>
        <v>1</v>
      </c>
      <c r="AR963" s="1120">
        <f t="shared" ref="AR963:AR1012" si="1143">IF(AND(OR(LEFT(AR$1,3)="Jan",LEFT(AR$1,3)="Dec"),N963&lt;59),1,IF(S963&lt;66,1,0))</f>
        <v>1</v>
      </c>
      <c r="AS963" s="1120">
        <f t="shared" ref="AS963:AS1012" si="1144">IF(AND(OR(LEFT(AS$1,3)="Jan",LEFT(AS$1,3)="Dec"),O963&lt;59),1,IF(T963&lt;66,1,0))</f>
        <v>0</v>
      </c>
      <c r="AT963" s="1120">
        <f t="shared" ref="AT963:AT1012" si="1145">IF(AND(OR(LEFT(AT$1,3)="Jan",LEFT(AT$1,3)="Dec"),P963&lt;59),1,IF(U963&lt;66,1,0))</f>
        <v>0</v>
      </c>
      <c r="AU963" s="1120">
        <f t="shared" ref="AU963:AU1012" si="1146">IF(AND(OR(LEFT(AU$1,3)="Jan",LEFT(AU$1,3)="Dec"),Q963&lt;59),1,IF(V963&lt;66,1,0))</f>
        <v>1</v>
      </c>
      <c r="AV963" s="1120">
        <f t="shared" ref="AV963:AV1012" si="1147">IF(AND(OR(LEFT(AV$1,3)="Jan",LEFT(AV$1,3)="Dec"),R963&lt;59),1,IF(W963&lt;66,1,0))</f>
        <v>1</v>
      </c>
      <c r="AW963" s="1120">
        <f t="shared" ref="AW963:AW1012" si="1148">IF(AND(OR(LEFT(AW$1,3)="Jan",LEFT(AW$1,3)="Dec"),S963&lt;59),1,IF(X963&lt;66,1,0))</f>
        <v>1</v>
      </c>
      <c r="AX963" s="1120">
        <f t="shared" ref="AX963:AX1012" si="1149">IF(AND(OR(LEFT(AX$1,3)="Jan",LEFT(AX$1,3)="Dec"),T963&lt;59),1,IF(Y963&lt;66,1,0))</f>
        <v>1</v>
      </c>
      <c r="AY963" s="1120">
        <f t="shared" ref="AY963:AY1012" si="1150">IF(OR(LEFT(AY$1,3)="Jul", LEFT(AY$1,3)="Aug"),1,IF(N963&gt;66,1,0))</f>
        <v>0</v>
      </c>
      <c r="AZ963" s="1120">
        <f t="shared" ref="AZ963:AZ1012" si="1151">IF(OR(LEFT(AZ$1,3)="Jul", LEFT(AZ$1,3)="Aug"),1,IF(O963&gt;66,1,0))</f>
        <v>0</v>
      </c>
      <c r="BA963" s="1120">
        <f t="shared" ref="BA963:BA1012" si="1152">IF(OR(LEFT(BA$1,3)="Jul", LEFT(BA$1,3)="Aug"),1,IF(P963&gt;66,1,0))</f>
        <v>0</v>
      </c>
      <c r="BB963" s="1120">
        <f t="shared" ref="BB963:BB1012" si="1153">IF(OR(LEFT(BB$1,3)="Jul", LEFT(BB$1,3)="Aug"),1,IF(Q963&gt;66,1,0))</f>
        <v>0</v>
      </c>
      <c r="BC963" s="1120">
        <f t="shared" ref="BC963:BC1012" si="1154">IF(OR(LEFT(BC$1,3)="Jul", LEFT(BC$1,3)="Aug"),1,IF(R963&gt;66,1,0))</f>
        <v>0</v>
      </c>
      <c r="BD963" s="1120">
        <f t="shared" ref="BD963:BD1012" si="1155">IF(OR(LEFT(BD$1,3)="Jul", LEFT(BD$1,3)="Aug"),1,IF(S963&gt;66,1,0))</f>
        <v>0</v>
      </c>
      <c r="BE963" s="1120">
        <f t="shared" ref="BE963:BE1012" si="1156">IF(OR(LEFT(BE$1,3)="Jul", LEFT(BE$1,3)="Aug"),1,IF(T963&gt;66,1,0))</f>
        <v>1</v>
      </c>
      <c r="BF963" s="1120">
        <f t="shared" ref="BF963:BF1012" si="1157">IF(OR(LEFT(BF$1,3)="Jul", LEFT(BF$1,3)="Aug"),1,IF(U963&gt;66,1,0))</f>
        <v>1</v>
      </c>
      <c r="BG963" s="1120">
        <f t="shared" ref="BG963:BG1012" si="1158">IF(OR(LEFT(BG$1,3)="Jul", LEFT(BG$1,3)="Aug"),1,IF(V963&gt;66,1,0))</f>
        <v>0</v>
      </c>
      <c r="BH963" s="1120">
        <f t="shared" ref="BH963:BH1012" si="1159">IF(OR(LEFT(BH$1,3)="Jul", LEFT(BH$1,3)="Aug"),1,IF(W963&gt;66,1,0))</f>
        <v>0</v>
      </c>
      <c r="BI963" s="1120">
        <f t="shared" ref="BI963:BI1012" si="1160">IF(OR(LEFT(BI$1,3)="Jul", LEFT(BI$1,3)="Aug"),1,IF(X963&gt;66,1,0))</f>
        <v>0</v>
      </c>
      <c r="BJ963" s="1120">
        <f t="shared" ref="BJ963:BJ1012" si="1161">IF(OR(LEFT(BJ$1,3)="Jul", LEFT(BJ$1,3)="Aug"),1,IF(Y963&gt;66,1,0))</f>
        <v>0</v>
      </c>
      <c r="BK963" s="1120">
        <f t="shared" ref="BK963:BK1012" si="1162">IF(AND(AY963=1,BJ963=0),1,AM963)</f>
        <v>1</v>
      </c>
      <c r="BL963" s="1120">
        <f t="shared" ref="BL963:BL1012" si="1163">IF(AND(AY963=0,AZ963=1),1,AN963)</f>
        <v>1</v>
      </c>
      <c r="BM963" s="1120">
        <f t="shared" ref="BM963:BM1012" si="1164">IF(AND(AZ963=0,BA963=1),1,AO963)</f>
        <v>1</v>
      </c>
      <c r="BN963" s="1120">
        <f t="shared" ref="BN963:BN1012" si="1165">IF(AND(BA963=0,BB963=1),1,AP963)</f>
        <v>1</v>
      </c>
      <c r="BO963" s="1120">
        <f t="shared" ref="BO963:BO1012" si="1166">IF(AND(BB963=0,BC963=1),1,AQ963)</f>
        <v>1</v>
      </c>
      <c r="BP963" s="1120">
        <f t="shared" ref="BP963:BP1012" si="1167">IF(AND(BC963=0,BD963=1),1,AR963)</f>
        <v>1</v>
      </c>
      <c r="BQ963" s="1120">
        <f t="shared" ref="BQ963:BQ1012" si="1168">IF(AND(BD963=0,BE963=1),1,AS963)</f>
        <v>1</v>
      </c>
      <c r="BR963" s="1120">
        <f t="shared" ref="BR963:BR1012" si="1169">IF(AND(BE963=0,BF963=1),1,AT963)</f>
        <v>0</v>
      </c>
      <c r="BS963" s="1120">
        <f t="shared" ref="BS963:BS1012" si="1170">IF(AND(BF963=0,BG963=1),1,AU963)</f>
        <v>1</v>
      </c>
      <c r="BT963" s="1120">
        <f t="shared" ref="BT963:BT1012" si="1171">IF(AND(BG963=0,BH963=1),1,AV963)</f>
        <v>1</v>
      </c>
      <c r="BU963" s="1120">
        <f t="shared" ref="BU963:BU1012" si="1172">IF(AND(BH963=0,BI963=1),1,AW963)</f>
        <v>1</v>
      </c>
      <c r="BV963" s="1120">
        <f t="shared" ref="BV963:BV1012" si="1173">IF(AND(BI963=0,BJ963=1),1,AX963)</f>
        <v>1</v>
      </c>
      <c r="BW963" s="1120">
        <f t="shared" ref="BW963:BW1012" si="1174">IF(OR(AND(AX963=0,AM963=1),AND(AM963=1,AN963=0)),1,AY963)</f>
        <v>0</v>
      </c>
      <c r="BX963" s="1120">
        <f t="shared" ref="BX963:BX1012" si="1175">IF(OR(AND(AM963=0,AN963=1),AND(AN963=1,AO963=0)),1,AZ963)</f>
        <v>0</v>
      </c>
      <c r="BY963" s="1120">
        <f t="shared" ref="BY963:BY1012" si="1176">IF(OR(AND(AN963=0,AO963=1),AND(AO963=1,AP963=0)),1,BA963)</f>
        <v>0</v>
      </c>
      <c r="BZ963" s="1120">
        <f t="shared" ref="BZ963:BZ1012" si="1177">IF(OR(AND(AO963=0,AP963=1),AND(AP963=1,AQ963=0)),1,BB963)</f>
        <v>0</v>
      </c>
      <c r="CA963" s="1120">
        <f t="shared" ref="CA963:CA1012" si="1178">IF(OR(AND(AP963=0,AQ963=1),AND(AQ963=1,AR963=0)),1,BC963)</f>
        <v>0</v>
      </c>
      <c r="CB963" s="1120">
        <f t="shared" ref="CB963:CB1012" si="1179">IF(OR(AND(AQ963=0,AR963=1),AND(AR963=1,AS963=0)),1,BD963)</f>
        <v>1</v>
      </c>
      <c r="CC963" s="1120">
        <f t="shared" ref="CC963:CC1012" si="1180">IF(OR(AND(AR963=0,AS963=1),AND(AS963=1,AT963=0)),1,BE963)</f>
        <v>1</v>
      </c>
      <c r="CD963" s="1120">
        <f t="shared" ref="CD963:CD1012" si="1181">IF(OR(AND(AS963=0,AT963=1),AND(AT963=1,AU963=0)),1,BF963)</f>
        <v>1</v>
      </c>
      <c r="CE963" s="1120">
        <f t="shared" ref="CE963:CE1012" si="1182">IF(OR(AND(AT963=0,AU963=1),AND(AU963=1,AV963=0)),1,BG963)</f>
        <v>1</v>
      </c>
      <c r="CF963" s="1120">
        <f t="shared" ref="CF963:CF1012" si="1183">IF(OR(AND(AU963=0,AV963=1),AND(AV963=1,AW963=0)),1,BH963)</f>
        <v>0</v>
      </c>
      <c r="CG963" s="1120">
        <f t="shared" ref="CG963:CG1012" si="1184">IF(OR(AND(AV963=0,AW963=1),AND(AW963=1,AX963=0)),1,BI963)</f>
        <v>0</v>
      </c>
      <c r="CH963" s="1120">
        <f t="shared" ref="CH963:CH1012" si="1185">IF(OR(AND(AW963=0,AX963=1),AND(AX963=1,AM963=0)),1,BJ963)</f>
        <v>0</v>
      </c>
      <c r="CI963" s="1120">
        <f t="shared" ref="CI963:CI1012" si="1186">IF(BK963=1,0.85,0.7)</f>
        <v>0.85</v>
      </c>
      <c r="CJ963" s="1120">
        <f t="shared" ref="CJ963:CJ1012" si="1187">IF(BL963=1,0.85,0.7)</f>
        <v>0.85</v>
      </c>
      <c r="CK963" s="1120">
        <f t="shared" ref="CK963:CK1012" si="1188">IF(BM963=1,0.85,0.7)</f>
        <v>0.85</v>
      </c>
      <c r="CL963" s="1120">
        <f t="shared" ref="CL963:CL1012" si="1189">IF(BN963=1,0.85,0.7)</f>
        <v>0.85</v>
      </c>
      <c r="CM963" s="1120">
        <f t="shared" ref="CM963:CM1012" si="1190">IF(BO963=1,0.85,0.7)</f>
        <v>0.85</v>
      </c>
      <c r="CN963" s="1120">
        <f t="shared" ref="CN963:CN1012" si="1191">IF(BP963=1,0.85,0.7)</f>
        <v>0.85</v>
      </c>
      <c r="CO963" s="1120">
        <f t="shared" ref="CO963:CO1012" si="1192">IF(BQ963=1,0.85,0.7)</f>
        <v>0.85</v>
      </c>
      <c r="CP963" s="1120">
        <f t="shared" ref="CP963:CP1012" si="1193">IF(BR963=1,0.85,0.7)</f>
        <v>0.7</v>
      </c>
      <c r="CQ963" s="1120">
        <f t="shared" ref="CQ963:CQ1012" si="1194">IF(BS963=1,0.85,0.7)</f>
        <v>0.85</v>
      </c>
      <c r="CR963" s="1120">
        <f t="shared" ref="CR963:CR1012" si="1195">IF(BT963=1,0.85,0.7)</f>
        <v>0.85</v>
      </c>
      <c r="CS963" s="1120">
        <f t="shared" ref="CS963:CS1012" si="1196">IF(BU963=1,0.85,0.7)</f>
        <v>0.85</v>
      </c>
      <c r="CT963" s="1120">
        <f t="shared" ref="CT963:CT1012" si="1197">IF(BV963=1,0.85,0.7)</f>
        <v>0.85</v>
      </c>
      <c r="CU963" s="1120">
        <v>1</v>
      </c>
      <c r="CV963" s="1120"/>
      <c r="CW963" s="1120">
        <f t="shared" ref="CW963:CW1012" si="1198">BW963*31+BX963*28+BY963*31+BZ963*30+CA963*31+CB963*30+CC963*31+CD963*31+CE963*30+CF963*31+CG963*30+CH963*31</f>
        <v>122</v>
      </c>
      <c r="CX963" s="1120">
        <f t="shared" ref="CX963:CX1012" si="1199">365-CW963</f>
        <v>243</v>
      </c>
      <c r="CY963" s="1135" t="s">
        <v>4889</v>
      </c>
      <c r="CZ963" s="1124" t="s">
        <v>4899</v>
      </c>
      <c r="DA963" s="1124"/>
      <c r="DB963" s="1124"/>
      <c r="DC963" s="1120" t="s">
        <v>5487</v>
      </c>
      <c r="DD963" s="1120" t="s">
        <v>537</v>
      </c>
      <c r="DE963" s="1120" t="str">
        <f t="shared" si="1125"/>
        <v/>
      </c>
      <c r="DF963" s="1133">
        <v>0</v>
      </c>
      <c r="DG963" s="1125">
        <v>0</v>
      </c>
    </row>
    <row r="964" spans="1:111">
      <c r="A964" s="1120" t="s">
        <v>4598</v>
      </c>
      <c r="B964" s="1120" t="s">
        <v>4332</v>
      </c>
      <c r="C964" s="1120" t="s">
        <v>4333</v>
      </c>
      <c r="D964" s="1120" t="s">
        <v>1147</v>
      </c>
      <c r="E964" s="1120">
        <v>1745</v>
      </c>
      <c r="F964" s="1120">
        <v>-97.15</v>
      </c>
      <c r="G964" s="1120">
        <v>44.93</v>
      </c>
      <c r="H964" s="1120">
        <v>-6</v>
      </c>
      <c r="I964" s="1121">
        <v>-11.739998626708985</v>
      </c>
      <c r="J964" s="1121">
        <v>86.9</v>
      </c>
      <c r="K964" s="1122">
        <v>71.419999313354495</v>
      </c>
      <c r="L964" s="1120">
        <v>8568</v>
      </c>
      <c r="M964" s="1120">
        <v>475.2</v>
      </c>
      <c r="N964" s="1123">
        <v>16.519999313354493</v>
      </c>
      <c r="O964" s="1123">
        <v>7.519999313354492</v>
      </c>
      <c r="P964" s="1123">
        <v>28.939999914169313</v>
      </c>
      <c r="Q964" s="1123">
        <v>46.040000343322752</v>
      </c>
      <c r="R964" s="1123">
        <v>57.380000686645509</v>
      </c>
      <c r="S964" s="1123">
        <v>62.419999313354495</v>
      </c>
      <c r="T964" s="1123">
        <v>69.439998626708984</v>
      </c>
      <c r="U964" s="1123">
        <v>69.260001373291018</v>
      </c>
      <c r="V964" s="1123">
        <v>61.160001373291017</v>
      </c>
      <c r="W964" s="1123">
        <v>45.5</v>
      </c>
      <c r="X964" s="1123">
        <v>32.540000021457672</v>
      </c>
      <c r="Y964" s="1123">
        <v>8.0599996566772454</v>
      </c>
      <c r="Z964" s="1123">
        <v>42.256054791816297</v>
      </c>
      <c r="AA964" s="1123">
        <f t="shared" si="1126"/>
        <v>38.701963341782154</v>
      </c>
      <c r="AB964" s="1123">
        <f t="shared" si="1127"/>
        <v>36.491655024991374</v>
      </c>
      <c r="AC964" s="1123">
        <f t="shared" si="1128"/>
        <v>37.347918802311675</v>
      </c>
      <c r="AD964" s="1123">
        <f t="shared" si="1129"/>
        <v>41.047556324760279</v>
      </c>
      <c r="AE964" s="1123">
        <f t="shared" si="1130"/>
        <v>46.626200058970959</v>
      </c>
      <c r="AF964" s="1123">
        <f t="shared" si="1131"/>
        <v>52.629690546119498</v>
      </c>
      <c r="AG964" s="1123">
        <f t="shared" si="1132"/>
        <v>57.493125474141756</v>
      </c>
      <c r="AH964" s="1123">
        <f t="shared" si="1133"/>
        <v>59.948775581247844</v>
      </c>
      <c r="AI964" s="1123">
        <f t="shared" si="1134"/>
        <v>59.356537824306926</v>
      </c>
      <c r="AJ964" s="1123">
        <f t="shared" si="1135"/>
        <v>55.870788101325736</v>
      </c>
      <c r="AK964" s="1123">
        <f t="shared" si="1136"/>
        <v>50.400140794628577</v>
      </c>
      <c r="AL964" s="1123">
        <f t="shared" si="1137"/>
        <v>44.370604429932918</v>
      </c>
      <c r="AM964" s="1120">
        <f t="shared" si="1138"/>
        <v>1</v>
      </c>
      <c r="AN964" s="1120">
        <f t="shared" si="1139"/>
        <v>1</v>
      </c>
      <c r="AO964" s="1120">
        <f t="shared" si="1140"/>
        <v>1</v>
      </c>
      <c r="AP964" s="1120">
        <f t="shared" si="1141"/>
        <v>1</v>
      </c>
      <c r="AQ964" s="1120">
        <f t="shared" si="1142"/>
        <v>1</v>
      </c>
      <c r="AR964" s="1120">
        <f t="shared" si="1143"/>
        <v>1</v>
      </c>
      <c r="AS964" s="1120">
        <f t="shared" si="1144"/>
        <v>0</v>
      </c>
      <c r="AT964" s="1120">
        <f t="shared" si="1145"/>
        <v>0</v>
      </c>
      <c r="AU964" s="1120">
        <f t="shared" si="1146"/>
        <v>1</v>
      </c>
      <c r="AV964" s="1120">
        <f t="shared" si="1147"/>
        <v>1</v>
      </c>
      <c r="AW964" s="1120">
        <f t="shared" si="1148"/>
        <v>1</v>
      </c>
      <c r="AX964" s="1120">
        <f t="shared" si="1149"/>
        <v>1</v>
      </c>
      <c r="AY964" s="1120">
        <f t="shared" si="1150"/>
        <v>0</v>
      </c>
      <c r="AZ964" s="1120">
        <f t="shared" si="1151"/>
        <v>0</v>
      </c>
      <c r="BA964" s="1120">
        <f t="shared" si="1152"/>
        <v>0</v>
      </c>
      <c r="BB964" s="1120">
        <f t="shared" si="1153"/>
        <v>0</v>
      </c>
      <c r="BC964" s="1120">
        <f t="shared" si="1154"/>
        <v>0</v>
      </c>
      <c r="BD964" s="1120">
        <f t="shared" si="1155"/>
        <v>0</v>
      </c>
      <c r="BE964" s="1120">
        <f t="shared" si="1156"/>
        <v>1</v>
      </c>
      <c r="BF964" s="1120">
        <f t="shared" si="1157"/>
        <v>1</v>
      </c>
      <c r="BG964" s="1120">
        <f t="shared" si="1158"/>
        <v>0</v>
      </c>
      <c r="BH964" s="1120">
        <f t="shared" si="1159"/>
        <v>0</v>
      </c>
      <c r="BI964" s="1120">
        <f t="shared" si="1160"/>
        <v>0</v>
      </c>
      <c r="BJ964" s="1120">
        <f t="shared" si="1161"/>
        <v>0</v>
      </c>
      <c r="BK964" s="1120">
        <f t="shared" si="1162"/>
        <v>1</v>
      </c>
      <c r="BL964" s="1120">
        <f t="shared" si="1163"/>
        <v>1</v>
      </c>
      <c r="BM964" s="1120">
        <f t="shared" si="1164"/>
        <v>1</v>
      </c>
      <c r="BN964" s="1120">
        <f t="shared" si="1165"/>
        <v>1</v>
      </c>
      <c r="BO964" s="1120">
        <f t="shared" si="1166"/>
        <v>1</v>
      </c>
      <c r="BP964" s="1120">
        <f t="shared" si="1167"/>
        <v>1</v>
      </c>
      <c r="BQ964" s="1120">
        <f t="shared" si="1168"/>
        <v>1</v>
      </c>
      <c r="BR964" s="1120">
        <f t="shared" si="1169"/>
        <v>0</v>
      </c>
      <c r="BS964" s="1120">
        <f t="shared" si="1170"/>
        <v>1</v>
      </c>
      <c r="BT964" s="1120">
        <f t="shared" si="1171"/>
        <v>1</v>
      </c>
      <c r="BU964" s="1120">
        <f t="shared" si="1172"/>
        <v>1</v>
      </c>
      <c r="BV964" s="1120">
        <f t="shared" si="1173"/>
        <v>1</v>
      </c>
      <c r="BW964" s="1120">
        <f t="shared" si="1174"/>
        <v>0</v>
      </c>
      <c r="BX964" s="1120">
        <f t="shared" si="1175"/>
        <v>0</v>
      </c>
      <c r="BY964" s="1120">
        <f t="shared" si="1176"/>
        <v>0</v>
      </c>
      <c r="BZ964" s="1120">
        <f t="shared" si="1177"/>
        <v>0</v>
      </c>
      <c r="CA964" s="1120">
        <f t="shared" si="1178"/>
        <v>0</v>
      </c>
      <c r="CB964" s="1120">
        <f t="shared" si="1179"/>
        <v>1</v>
      </c>
      <c r="CC964" s="1120">
        <f t="shared" si="1180"/>
        <v>1</v>
      </c>
      <c r="CD964" s="1120">
        <f t="shared" si="1181"/>
        <v>1</v>
      </c>
      <c r="CE964" s="1120">
        <f t="shared" si="1182"/>
        <v>1</v>
      </c>
      <c r="CF964" s="1120">
        <f t="shared" si="1183"/>
        <v>0</v>
      </c>
      <c r="CG964" s="1120">
        <f t="shared" si="1184"/>
        <v>0</v>
      </c>
      <c r="CH964" s="1120">
        <f t="shared" si="1185"/>
        <v>0</v>
      </c>
      <c r="CI964" s="1120">
        <f t="shared" si="1186"/>
        <v>0.85</v>
      </c>
      <c r="CJ964" s="1120">
        <f t="shared" si="1187"/>
        <v>0.85</v>
      </c>
      <c r="CK964" s="1120">
        <f t="shared" si="1188"/>
        <v>0.85</v>
      </c>
      <c r="CL964" s="1120">
        <f t="shared" si="1189"/>
        <v>0.85</v>
      </c>
      <c r="CM964" s="1120">
        <f t="shared" si="1190"/>
        <v>0.85</v>
      </c>
      <c r="CN964" s="1120">
        <f t="shared" si="1191"/>
        <v>0.85</v>
      </c>
      <c r="CO964" s="1120">
        <f t="shared" si="1192"/>
        <v>0.85</v>
      </c>
      <c r="CP964" s="1120">
        <f t="shared" si="1193"/>
        <v>0.7</v>
      </c>
      <c r="CQ964" s="1120">
        <f t="shared" si="1194"/>
        <v>0.85</v>
      </c>
      <c r="CR964" s="1120">
        <f t="shared" si="1195"/>
        <v>0.85</v>
      </c>
      <c r="CS964" s="1120">
        <f t="shared" si="1196"/>
        <v>0.85</v>
      </c>
      <c r="CT964" s="1120">
        <f t="shared" si="1197"/>
        <v>0.85</v>
      </c>
      <c r="CU964" s="1120">
        <v>1</v>
      </c>
      <c r="CV964" s="1120"/>
      <c r="CW964" s="1120">
        <f t="shared" si="1198"/>
        <v>122</v>
      </c>
      <c r="CX964" s="1120">
        <f t="shared" si="1199"/>
        <v>243</v>
      </c>
      <c r="CY964" s="1135" t="s">
        <v>4889</v>
      </c>
      <c r="CZ964" s="1124" t="s">
        <v>4899</v>
      </c>
      <c r="DA964" s="1124"/>
      <c r="DB964" s="1124"/>
      <c r="DC964" s="1120" t="s">
        <v>5564</v>
      </c>
      <c r="DD964" s="1120" t="s">
        <v>1147</v>
      </c>
      <c r="DE964" s="1120" t="str">
        <f t="shared" si="1125"/>
        <v/>
      </c>
      <c r="DF964" s="1133">
        <v>1</v>
      </c>
      <c r="DG964" s="1120">
        <v>0</v>
      </c>
    </row>
    <row r="965" spans="1:111">
      <c r="A965" s="1125" t="s">
        <v>4600</v>
      </c>
      <c r="B965" s="1120" t="s">
        <v>4638</v>
      </c>
      <c r="C965" s="1120" t="s">
        <v>2792</v>
      </c>
      <c r="D965" s="1120" t="s">
        <v>1278</v>
      </c>
      <c r="E965" s="1120">
        <v>833</v>
      </c>
      <c r="F965" s="1120">
        <v>-88.72</v>
      </c>
      <c r="G965" s="1120">
        <v>43.17</v>
      </c>
      <c r="H965" s="1120">
        <v>-6</v>
      </c>
      <c r="I965" s="1121">
        <v>0.49999999999999922</v>
      </c>
      <c r="J965" s="1121">
        <v>86.360001373291013</v>
      </c>
      <c r="K965" s="1122">
        <v>74.480000686645511</v>
      </c>
      <c r="L965" s="1120">
        <v>6606</v>
      </c>
      <c r="M965" s="1120">
        <v>736.2</v>
      </c>
      <c r="N965" s="1123">
        <v>21.920000171661378</v>
      </c>
      <c r="O965" s="1123">
        <v>21.379999828338622</v>
      </c>
      <c r="P965" s="1123">
        <v>30.740000021457671</v>
      </c>
      <c r="Q965" s="1123">
        <v>48.919999313354495</v>
      </c>
      <c r="R965" s="1123">
        <v>59.9</v>
      </c>
      <c r="S965" s="1123">
        <v>69.439998626708984</v>
      </c>
      <c r="T965" s="1123">
        <v>70.16000137329101</v>
      </c>
      <c r="U965" s="1123">
        <v>70.7</v>
      </c>
      <c r="V965" s="1123">
        <v>63.86000137329102</v>
      </c>
      <c r="W965" s="1123">
        <v>49.280000686645508</v>
      </c>
      <c r="X965" s="1123">
        <v>38.299999999999997</v>
      </c>
      <c r="Y965" s="1123">
        <v>33.259999978542325</v>
      </c>
      <c r="Z965" s="1123">
        <v>48.298630256914116</v>
      </c>
      <c r="AA965" s="1123">
        <f t="shared" si="1126"/>
        <v>44.864125288009525</v>
      </c>
      <c r="AB965" s="1123">
        <f t="shared" si="1127"/>
        <v>43.375383700035776</v>
      </c>
      <c r="AC965" s="1123">
        <f t="shared" si="1128"/>
        <v>44.733954659437181</v>
      </c>
      <c r="AD965" s="1123">
        <f t="shared" si="1129"/>
        <v>48.585705709433547</v>
      </c>
      <c r="AE965" s="1123">
        <f t="shared" si="1130"/>
        <v>53.92661858156292</v>
      </c>
      <c r="AF965" s="1123">
        <f t="shared" si="1131"/>
        <v>59.364502029746028</v>
      </c>
      <c r="AG965" s="1123">
        <f t="shared" si="1132"/>
        <v>63.481887932893393</v>
      </c>
      <c r="AH965" s="1123">
        <f t="shared" si="1133"/>
        <v>65.20551620451225</v>
      </c>
      <c r="AI965" s="1123">
        <f t="shared" si="1134"/>
        <v>64.08609657368946</v>
      </c>
      <c r="AJ965" s="1123">
        <f t="shared" si="1135"/>
        <v>60.415423017977666</v>
      </c>
      <c r="AK965" s="1123">
        <f t="shared" si="1136"/>
        <v>55.150313166464898</v>
      </c>
      <c r="AL965" s="1123">
        <f t="shared" si="1137"/>
        <v>49.6631990397468</v>
      </c>
      <c r="AM965" s="1120">
        <f t="shared" si="1138"/>
        <v>1</v>
      </c>
      <c r="AN965" s="1120">
        <f t="shared" si="1139"/>
        <v>1</v>
      </c>
      <c r="AO965" s="1120">
        <f t="shared" si="1140"/>
        <v>1</v>
      </c>
      <c r="AP965" s="1120">
        <f t="shared" si="1141"/>
        <v>1</v>
      </c>
      <c r="AQ965" s="1120">
        <f t="shared" si="1142"/>
        <v>1</v>
      </c>
      <c r="AR965" s="1120">
        <f t="shared" si="1143"/>
        <v>0</v>
      </c>
      <c r="AS965" s="1120">
        <f t="shared" si="1144"/>
        <v>0</v>
      </c>
      <c r="AT965" s="1120">
        <f t="shared" si="1145"/>
        <v>0</v>
      </c>
      <c r="AU965" s="1120">
        <f t="shared" si="1146"/>
        <v>1</v>
      </c>
      <c r="AV965" s="1120">
        <f t="shared" si="1147"/>
        <v>1</v>
      </c>
      <c r="AW965" s="1120">
        <f t="shared" si="1148"/>
        <v>1</v>
      </c>
      <c r="AX965" s="1120">
        <f t="shared" si="1149"/>
        <v>1</v>
      </c>
      <c r="AY965" s="1120">
        <f t="shared" si="1150"/>
        <v>0</v>
      </c>
      <c r="AZ965" s="1120">
        <f t="shared" si="1151"/>
        <v>0</v>
      </c>
      <c r="BA965" s="1120">
        <f t="shared" si="1152"/>
        <v>0</v>
      </c>
      <c r="BB965" s="1120">
        <f t="shared" si="1153"/>
        <v>0</v>
      </c>
      <c r="BC965" s="1120">
        <f t="shared" si="1154"/>
        <v>0</v>
      </c>
      <c r="BD965" s="1120">
        <f t="shared" si="1155"/>
        <v>1</v>
      </c>
      <c r="BE965" s="1120">
        <f t="shared" si="1156"/>
        <v>1</v>
      </c>
      <c r="BF965" s="1120">
        <f t="shared" si="1157"/>
        <v>1</v>
      </c>
      <c r="BG965" s="1120">
        <f t="shared" si="1158"/>
        <v>0</v>
      </c>
      <c r="BH965" s="1120">
        <f t="shared" si="1159"/>
        <v>0</v>
      </c>
      <c r="BI965" s="1120">
        <f t="shared" si="1160"/>
        <v>0</v>
      </c>
      <c r="BJ965" s="1120">
        <f t="shared" si="1161"/>
        <v>0</v>
      </c>
      <c r="BK965" s="1120">
        <f t="shared" si="1162"/>
        <v>1</v>
      </c>
      <c r="BL965" s="1120">
        <f t="shared" si="1163"/>
        <v>1</v>
      </c>
      <c r="BM965" s="1120">
        <f t="shared" si="1164"/>
        <v>1</v>
      </c>
      <c r="BN965" s="1120">
        <f t="shared" si="1165"/>
        <v>1</v>
      </c>
      <c r="BO965" s="1120">
        <f t="shared" si="1166"/>
        <v>1</v>
      </c>
      <c r="BP965" s="1120">
        <f t="shared" si="1167"/>
        <v>1</v>
      </c>
      <c r="BQ965" s="1120">
        <f t="shared" si="1168"/>
        <v>0</v>
      </c>
      <c r="BR965" s="1120">
        <f t="shared" si="1169"/>
        <v>0</v>
      </c>
      <c r="BS965" s="1120">
        <f t="shared" si="1170"/>
        <v>1</v>
      </c>
      <c r="BT965" s="1120">
        <f t="shared" si="1171"/>
        <v>1</v>
      </c>
      <c r="BU965" s="1120">
        <f t="shared" si="1172"/>
        <v>1</v>
      </c>
      <c r="BV965" s="1120">
        <f t="shared" si="1173"/>
        <v>1</v>
      </c>
      <c r="BW965" s="1120">
        <f t="shared" si="1174"/>
        <v>0</v>
      </c>
      <c r="BX965" s="1120">
        <f t="shared" si="1175"/>
        <v>0</v>
      </c>
      <c r="BY965" s="1120">
        <f t="shared" si="1176"/>
        <v>0</v>
      </c>
      <c r="BZ965" s="1120">
        <f t="shared" si="1177"/>
        <v>0</v>
      </c>
      <c r="CA965" s="1120">
        <f t="shared" si="1178"/>
        <v>1</v>
      </c>
      <c r="CB965" s="1120">
        <f t="shared" si="1179"/>
        <v>1</v>
      </c>
      <c r="CC965" s="1120">
        <f t="shared" si="1180"/>
        <v>1</v>
      </c>
      <c r="CD965" s="1120">
        <f t="shared" si="1181"/>
        <v>1</v>
      </c>
      <c r="CE965" s="1120">
        <f t="shared" si="1182"/>
        <v>1</v>
      </c>
      <c r="CF965" s="1120">
        <f t="shared" si="1183"/>
        <v>0</v>
      </c>
      <c r="CG965" s="1120">
        <f t="shared" si="1184"/>
        <v>0</v>
      </c>
      <c r="CH965" s="1120">
        <f t="shared" si="1185"/>
        <v>0</v>
      </c>
      <c r="CI965" s="1120">
        <f t="shared" si="1186"/>
        <v>0.85</v>
      </c>
      <c r="CJ965" s="1120">
        <f t="shared" si="1187"/>
        <v>0.85</v>
      </c>
      <c r="CK965" s="1120">
        <f t="shared" si="1188"/>
        <v>0.85</v>
      </c>
      <c r="CL965" s="1120">
        <f t="shared" si="1189"/>
        <v>0.85</v>
      </c>
      <c r="CM965" s="1120">
        <f t="shared" si="1190"/>
        <v>0.85</v>
      </c>
      <c r="CN965" s="1120">
        <f t="shared" si="1191"/>
        <v>0.85</v>
      </c>
      <c r="CO965" s="1120">
        <f t="shared" si="1192"/>
        <v>0.7</v>
      </c>
      <c r="CP965" s="1120">
        <f t="shared" si="1193"/>
        <v>0.7</v>
      </c>
      <c r="CQ965" s="1120">
        <f t="shared" si="1194"/>
        <v>0.85</v>
      </c>
      <c r="CR965" s="1120">
        <f t="shared" si="1195"/>
        <v>0.85</v>
      </c>
      <c r="CS965" s="1120">
        <f t="shared" si="1196"/>
        <v>0.85</v>
      </c>
      <c r="CT965" s="1120">
        <f t="shared" si="1197"/>
        <v>0.85</v>
      </c>
      <c r="CU965" s="1120">
        <v>1</v>
      </c>
      <c r="CV965" s="1120"/>
      <c r="CW965" s="1120">
        <f t="shared" si="1198"/>
        <v>153</v>
      </c>
      <c r="CX965" s="1120">
        <f t="shared" si="1199"/>
        <v>212</v>
      </c>
      <c r="CY965" s="1136" t="s">
        <v>4889</v>
      </c>
      <c r="CZ965" s="1129" t="s">
        <v>4899</v>
      </c>
      <c r="DA965" s="1129"/>
      <c r="DB965" s="1129"/>
      <c r="DC965" s="1125" t="s">
        <v>5685</v>
      </c>
      <c r="DD965" s="1125" t="s">
        <v>1278</v>
      </c>
      <c r="DE965" s="1120" t="str">
        <f t="shared" si="1125"/>
        <v/>
      </c>
      <c r="DF965" s="1133">
        <v>0</v>
      </c>
      <c r="DG965" s="1125">
        <v>0</v>
      </c>
    </row>
    <row r="966" spans="1:111">
      <c r="A966" s="1120" t="s">
        <v>4602</v>
      </c>
      <c r="B966" s="1120" t="s">
        <v>5858</v>
      </c>
      <c r="C966" s="1120" t="s">
        <v>5859</v>
      </c>
      <c r="D966" s="1120" t="s">
        <v>903</v>
      </c>
      <c r="E966" s="1120">
        <v>331</v>
      </c>
      <c r="F966" s="1120">
        <v>-69.680000000000007</v>
      </c>
      <c r="G966" s="1120">
        <v>44.53</v>
      </c>
      <c r="H966" s="1120">
        <v>-5</v>
      </c>
      <c r="I966" s="1121">
        <v>-0.93999862670898515</v>
      </c>
      <c r="J966" s="1121">
        <v>82.219999313354492</v>
      </c>
      <c r="K966" s="1122">
        <v>68.719999313354492</v>
      </c>
      <c r="L966" s="1120">
        <v>7673.4000000000005</v>
      </c>
      <c r="M966" s="1120">
        <v>396</v>
      </c>
      <c r="N966" s="1123">
        <v>24.079999828338622</v>
      </c>
      <c r="O966" s="1123">
        <v>21.559999656677245</v>
      </c>
      <c r="P966" s="1123">
        <v>29.119999957084655</v>
      </c>
      <c r="Q966" s="1123">
        <v>40.279999828338624</v>
      </c>
      <c r="R966" s="1123">
        <v>51.980000686645511</v>
      </c>
      <c r="S966" s="1123">
        <v>65.83999862670899</v>
      </c>
      <c r="T966" s="1123">
        <v>69.439998626708984</v>
      </c>
      <c r="U966" s="1123">
        <v>66.739998626708982</v>
      </c>
      <c r="V966" s="1123">
        <v>54.859999656677246</v>
      </c>
      <c r="W966" s="1123">
        <v>44.420000171661378</v>
      </c>
      <c r="X966" s="1123">
        <v>35.23999991416931</v>
      </c>
      <c r="Y966" s="1123">
        <v>28.220000171661376</v>
      </c>
      <c r="Z966" s="1123">
        <v>44.450081839169542</v>
      </c>
      <c r="AA966" s="1123">
        <f t="shared" si="1126"/>
        <v>42.428153572851905</v>
      </c>
      <c r="AB966" s="1123">
        <f t="shared" si="1127"/>
        <v>40.796001761285709</v>
      </c>
      <c r="AC966" s="1123">
        <f t="shared" si="1128"/>
        <v>41.680334695897272</v>
      </c>
      <c r="AD966" s="1123">
        <f t="shared" si="1129"/>
        <v>44.850637369297068</v>
      </c>
      <c r="AE966" s="1123">
        <f t="shared" si="1130"/>
        <v>49.480521533820387</v>
      </c>
      <c r="AF966" s="1123">
        <f t="shared" si="1131"/>
        <v>54.363136533309536</v>
      </c>
      <c r="AG966" s="1123">
        <f t="shared" si="1132"/>
        <v>58.225753524772927</v>
      </c>
      <c r="AH966" s="1123">
        <f t="shared" si="1133"/>
        <v>60.061521864656001</v>
      </c>
      <c r="AI966" s="1123">
        <f t="shared" si="1134"/>
        <v>59.391920245121781</v>
      </c>
      <c r="AJ966" s="1123">
        <f t="shared" si="1135"/>
        <v>56.391490647175168</v>
      </c>
      <c r="AK966" s="1123">
        <f t="shared" si="1136"/>
        <v>51.842341283540655</v>
      </c>
      <c r="AL966" s="1123">
        <f t="shared" si="1137"/>
        <v>46.930278040363334</v>
      </c>
      <c r="AM966" s="1120">
        <f t="shared" si="1138"/>
        <v>1</v>
      </c>
      <c r="AN966" s="1120">
        <f t="shared" si="1139"/>
        <v>1</v>
      </c>
      <c r="AO966" s="1120">
        <f t="shared" si="1140"/>
        <v>1</v>
      </c>
      <c r="AP966" s="1120">
        <f t="shared" si="1141"/>
        <v>1</v>
      </c>
      <c r="AQ966" s="1120">
        <f t="shared" si="1142"/>
        <v>1</v>
      </c>
      <c r="AR966" s="1120">
        <f t="shared" si="1143"/>
        <v>1</v>
      </c>
      <c r="AS966" s="1120">
        <f t="shared" si="1144"/>
        <v>0</v>
      </c>
      <c r="AT966" s="1120">
        <f t="shared" si="1145"/>
        <v>0</v>
      </c>
      <c r="AU966" s="1120">
        <f t="shared" si="1146"/>
        <v>1</v>
      </c>
      <c r="AV966" s="1120">
        <f t="shared" si="1147"/>
        <v>1</v>
      </c>
      <c r="AW966" s="1120">
        <f t="shared" si="1148"/>
        <v>1</v>
      </c>
      <c r="AX966" s="1120">
        <f t="shared" si="1149"/>
        <v>1</v>
      </c>
      <c r="AY966" s="1120">
        <f t="shared" si="1150"/>
        <v>0</v>
      </c>
      <c r="AZ966" s="1120">
        <f t="shared" si="1151"/>
        <v>0</v>
      </c>
      <c r="BA966" s="1120">
        <f t="shared" si="1152"/>
        <v>0</v>
      </c>
      <c r="BB966" s="1120">
        <f t="shared" si="1153"/>
        <v>0</v>
      </c>
      <c r="BC966" s="1120">
        <f t="shared" si="1154"/>
        <v>0</v>
      </c>
      <c r="BD966" s="1120">
        <f t="shared" si="1155"/>
        <v>0</v>
      </c>
      <c r="BE966" s="1120">
        <f t="shared" si="1156"/>
        <v>1</v>
      </c>
      <c r="BF966" s="1120">
        <f t="shared" si="1157"/>
        <v>1</v>
      </c>
      <c r="BG966" s="1120">
        <f t="shared" si="1158"/>
        <v>0</v>
      </c>
      <c r="BH966" s="1120">
        <f t="shared" si="1159"/>
        <v>0</v>
      </c>
      <c r="BI966" s="1120">
        <f t="shared" si="1160"/>
        <v>0</v>
      </c>
      <c r="BJ966" s="1120">
        <f t="shared" si="1161"/>
        <v>0</v>
      </c>
      <c r="BK966" s="1120">
        <f t="shared" si="1162"/>
        <v>1</v>
      </c>
      <c r="BL966" s="1120">
        <f t="shared" si="1163"/>
        <v>1</v>
      </c>
      <c r="BM966" s="1120">
        <f t="shared" si="1164"/>
        <v>1</v>
      </c>
      <c r="BN966" s="1120">
        <f t="shared" si="1165"/>
        <v>1</v>
      </c>
      <c r="BO966" s="1120">
        <f t="shared" si="1166"/>
        <v>1</v>
      </c>
      <c r="BP966" s="1120">
        <f t="shared" si="1167"/>
        <v>1</v>
      </c>
      <c r="BQ966" s="1120">
        <f t="shared" si="1168"/>
        <v>1</v>
      </c>
      <c r="BR966" s="1120">
        <f t="shared" si="1169"/>
        <v>0</v>
      </c>
      <c r="BS966" s="1120">
        <f t="shared" si="1170"/>
        <v>1</v>
      </c>
      <c r="BT966" s="1120">
        <f t="shared" si="1171"/>
        <v>1</v>
      </c>
      <c r="BU966" s="1120">
        <f t="shared" si="1172"/>
        <v>1</v>
      </c>
      <c r="BV966" s="1120">
        <f t="shared" si="1173"/>
        <v>1</v>
      </c>
      <c r="BW966" s="1120">
        <f t="shared" si="1174"/>
        <v>0</v>
      </c>
      <c r="BX966" s="1120">
        <f t="shared" si="1175"/>
        <v>0</v>
      </c>
      <c r="BY966" s="1120">
        <f t="shared" si="1176"/>
        <v>0</v>
      </c>
      <c r="BZ966" s="1120">
        <f t="shared" si="1177"/>
        <v>0</v>
      </c>
      <c r="CA966" s="1120">
        <f t="shared" si="1178"/>
        <v>0</v>
      </c>
      <c r="CB966" s="1120">
        <f t="shared" si="1179"/>
        <v>1</v>
      </c>
      <c r="CC966" s="1120">
        <f t="shared" si="1180"/>
        <v>1</v>
      </c>
      <c r="CD966" s="1120">
        <f t="shared" si="1181"/>
        <v>1</v>
      </c>
      <c r="CE966" s="1120">
        <f t="shared" si="1182"/>
        <v>1</v>
      </c>
      <c r="CF966" s="1120">
        <f t="shared" si="1183"/>
        <v>0</v>
      </c>
      <c r="CG966" s="1120">
        <f t="shared" si="1184"/>
        <v>0</v>
      </c>
      <c r="CH966" s="1120">
        <f t="shared" si="1185"/>
        <v>0</v>
      </c>
      <c r="CI966" s="1120">
        <f t="shared" si="1186"/>
        <v>0.85</v>
      </c>
      <c r="CJ966" s="1120">
        <f t="shared" si="1187"/>
        <v>0.85</v>
      </c>
      <c r="CK966" s="1120">
        <f t="shared" si="1188"/>
        <v>0.85</v>
      </c>
      <c r="CL966" s="1120">
        <f t="shared" si="1189"/>
        <v>0.85</v>
      </c>
      <c r="CM966" s="1120">
        <f t="shared" si="1190"/>
        <v>0.85</v>
      </c>
      <c r="CN966" s="1120">
        <f t="shared" si="1191"/>
        <v>0.85</v>
      </c>
      <c r="CO966" s="1120">
        <f t="shared" si="1192"/>
        <v>0.85</v>
      </c>
      <c r="CP966" s="1120">
        <f t="shared" si="1193"/>
        <v>0.7</v>
      </c>
      <c r="CQ966" s="1120">
        <f t="shared" si="1194"/>
        <v>0.85</v>
      </c>
      <c r="CR966" s="1120">
        <f t="shared" si="1195"/>
        <v>0.85</v>
      </c>
      <c r="CS966" s="1120">
        <f t="shared" si="1196"/>
        <v>0.85</v>
      </c>
      <c r="CT966" s="1120">
        <f t="shared" si="1197"/>
        <v>0.85</v>
      </c>
      <c r="CU966" s="1120">
        <v>1</v>
      </c>
      <c r="CV966" s="1120"/>
      <c r="CW966" s="1120">
        <f t="shared" si="1198"/>
        <v>122</v>
      </c>
      <c r="CX966" s="1120">
        <f t="shared" si="1199"/>
        <v>243</v>
      </c>
      <c r="CY966" s="1135" t="s">
        <v>4889</v>
      </c>
      <c r="CZ966" s="1124" t="s">
        <v>4899</v>
      </c>
      <c r="DA966" s="1124"/>
      <c r="DB966" s="1124"/>
      <c r="DC966" s="1120" t="s">
        <v>5739</v>
      </c>
      <c r="DD966" s="1120" t="s">
        <v>903</v>
      </c>
      <c r="DE966" s="1120" t="str">
        <f t="shared" si="1125"/>
        <v/>
      </c>
      <c r="DF966" s="1133">
        <v>0</v>
      </c>
      <c r="DG966" s="1120">
        <v>0</v>
      </c>
    </row>
    <row r="967" spans="1:111">
      <c r="A967" s="1125" t="s">
        <v>4572</v>
      </c>
      <c r="B967" s="1125" t="s">
        <v>4639</v>
      </c>
      <c r="C967" s="1125" t="s">
        <v>4640</v>
      </c>
      <c r="D967" s="1125" t="s">
        <v>1278</v>
      </c>
      <c r="E967" s="1125">
        <v>1200</v>
      </c>
      <c r="F967" s="1125">
        <v>-89.63</v>
      </c>
      <c r="G967" s="1125">
        <v>44.92</v>
      </c>
      <c r="H967" s="1125">
        <v>-6</v>
      </c>
      <c r="I967" s="1126">
        <v>-7.9600013732910169</v>
      </c>
      <c r="J967" s="1126">
        <v>84.919999313354495</v>
      </c>
      <c r="K967" s="1127">
        <v>69.980000686645511</v>
      </c>
      <c r="L967" s="1125">
        <v>7644.6</v>
      </c>
      <c r="M967" s="1125">
        <v>712.80000000000007</v>
      </c>
      <c r="N967" s="1128">
        <v>18.5</v>
      </c>
      <c r="O967" s="1128">
        <v>18.140000343322754</v>
      </c>
      <c r="P967" s="1128">
        <v>23.720000171661376</v>
      </c>
      <c r="Q967" s="1128">
        <v>47.119999313354491</v>
      </c>
      <c r="R967" s="1128">
        <v>51.080000686645505</v>
      </c>
      <c r="S967" s="1128">
        <v>70.519999313354489</v>
      </c>
      <c r="T967" s="1128">
        <v>71.419999313354495</v>
      </c>
      <c r="U967" s="1128">
        <v>70.519999313354489</v>
      </c>
      <c r="V967" s="1128">
        <v>64.039998626708979</v>
      </c>
      <c r="W967" s="1128">
        <v>47.119999313354491</v>
      </c>
      <c r="X967" s="1128">
        <v>36.860000085830691</v>
      </c>
      <c r="Y967" s="1128">
        <v>24.259999656677245</v>
      </c>
      <c r="Z967" s="1128">
        <v>45.395451731224583</v>
      </c>
      <c r="AA967" s="1128">
        <f t="shared" si="1126"/>
        <v>42.160884937950748</v>
      </c>
      <c r="AB967" s="1128">
        <f t="shared" si="1127"/>
        <v>40.388912976630017</v>
      </c>
      <c r="AC967" s="1128">
        <f t="shared" si="1128"/>
        <v>41.485964957590795</v>
      </c>
      <c r="AD967" s="1128">
        <f t="shared" si="1129"/>
        <v>45.166077375912892</v>
      </c>
      <c r="AE967" s="1128">
        <f t="shared" si="1130"/>
        <v>50.469972217511618</v>
      </c>
      <c r="AF967" s="1128">
        <f t="shared" si="1131"/>
        <v>56.015107556430642</v>
      </c>
      <c r="AG967" s="1128">
        <f t="shared" si="1132"/>
        <v>60.356058413458506</v>
      </c>
      <c r="AH967" s="1128">
        <f t="shared" si="1133"/>
        <v>62.361289051633264</v>
      </c>
      <c r="AI967" s="1128">
        <f t="shared" si="1134"/>
        <v>61.508105203575148</v>
      </c>
      <c r="AJ967" s="1128">
        <f t="shared" si="1135"/>
        <v>58.018902387241589</v>
      </c>
      <c r="AK967" s="1128">
        <f t="shared" si="1136"/>
        <v>52.803195086952933</v>
      </c>
      <c r="AL967" s="1128">
        <f t="shared" si="1137"/>
        <v>47.220537787011914</v>
      </c>
      <c r="AM967" s="1125">
        <f t="shared" si="1138"/>
        <v>1</v>
      </c>
      <c r="AN967" s="1125">
        <f t="shared" si="1139"/>
        <v>1</v>
      </c>
      <c r="AO967" s="1125">
        <f t="shared" si="1140"/>
        <v>1</v>
      </c>
      <c r="AP967" s="1125">
        <f t="shared" si="1141"/>
        <v>1</v>
      </c>
      <c r="AQ967" s="1125">
        <f t="shared" si="1142"/>
        <v>1</v>
      </c>
      <c r="AR967" s="1125">
        <f t="shared" si="1143"/>
        <v>0</v>
      </c>
      <c r="AS967" s="1125">
        <f t="shared" si="1144"/>
        <v>0</v>
      </c>
      <c r="AT967" s="1125">
        <f t="shared" si="1145"/>
        <v>0</v>
      </c>
      <c r="AU967" s="1125">
        <f t="shared" si="1146"/>
        <v>1</v>
      </c>
      <c r="AV967" s="1125">
        <f t="shared" si="1147"/>
        <v>1</v>
      </c>
      <c r="AW967" s="1125">
        <f t="shared" si="1148"/>
        <v>1</v>
      </c>
      <c r="AX967" s="1125">
        <f t="shared" si="1149"/>
        <v>1</v>
      </c>
      <c r="AY967" s="1125">
        <f t="shared" si="1150"/>
        <v>0</v>
      </c>
      <c r="AZ967" s="1125">
        <f t="shared" si="1151"/>
        <v>0</v>
      </c>
      <c r="BA967" s="1125">
        <f t="shared" si="1152"/>
        <v>0</v>
      </c>
      <c r="BB967" s="1125">
        <f t="shared" si="1153"/>
        <v>0</v>
      </c>
      <c r="BC967" s="1125">
        <f t="shared" si="1154"/>
        <v>0</v>
      </c>
      <c r="BD967" s="1125">
        <f t="shared" si="1155"/>
        <v>1</v>
      </c>
      <c r="BE967" s="1125">
        <f t="shared" si="1156"/>
        <v>1</v>
      </c>
      <c r="BF967" s="1125">
        <f t="shared" si="1157"/>
        <v>1</v>
      </c>
      <c r="BG967" s="1125">
        <f t="shared" si="1158"/>
        <v>0</v>
      </c>
      <c r="BH967" s="1125">
        <f t="shared" si="1159"/>
        <v>0</v>
      </c>
      <c r="BI967" s="1125">
        <f t="shared" si="1160"/>
        <v>0</v>
      </c>
      <c r="BJ967" s="1125">
        <f t="shared" si="1161"/>
        <v>0</v>
      </c>
      <c r="BK967" s="1125">
        <f t="shared" si="1162"/>
        <v>1</v>
      </c>
      <c r="BL967" s="1125">
        <f t="shared" si="1163"/>
        <v>1</v>
      </c>
      <c r="BM967" s="1125">
        <f t="shared" si="1164"/>
        <v>1</v>
      </c>
      <c r="BN967" s="1125">
        <f t="shared" si="1165"/>
        <v>1</v>
      </c>
      <c r="BO967" s="1125">
        <f t="shared" si="1166"/>
        <v>1</v>
      </c>
      <c r="BP967" s="1125">
        <f t="shared" si="1167"/>
        <v>1</v>
      </c>
      <c r="BQ967" s="1125">
        <f t="shared" si="1168"/>
        <v>0</v>
      </c>
      <c r="BR967" s="1125">
        <f t="shared" si="1169"/>
        <v>0</v>
      </c>
      <c r="BS967" s="1125">
        <f t="shared" si="1170"/>
        <v>1</v>
      </c>
      <c r="BT967" s="1125">
        <f t="shared" si="1171"/>
        <v>1</v>
      </c>
      <c r="BU967" s="1125">
        <f t="shared" si="1172"/>
        <v>1</v>
      </c>
      <c r="BV967" s="1125">
        <f t="shared" si="1173"/>
        <v>1</v>
      </c>
      <c r="BW967" s="1125">
        <f t="shared" si="1174"/>
        <v>0</v>
      </c>
      <c r="BX967" s="1125">
        <f t="shared" si="1175"/>
        <v>0</v>
      </c>
      <c r="BY967" s="1125">
        <f t="shared" si="1176"/>
        <v>0</v>
      </c>
      <c r="BZ967" s="1125">
        <f t="shared" si="1177"/>
        <v>0</v>
      </c>
      <c r="CA967" s="1125">
        <f t="shared" si="1178"/>
        <v>1</v>
      </c>
      <c r="CB967" s="1125">
        <f t="shared" si="1179"/>
        <v>1</v>
      </c>
      <c r="CC967" s="1125">
        <f t="shared" si="1180"/>
        <v>1</v>
      </c>
      <c r="CD967" s="1125">
        <f t="shared" si="1181"/>
        <v>1</v>
      </c>
      <c r="CE967" s="1125">
        <f t="shared" si="1182"/>
        <v>1</v>
      </c>
      <c r="CF967" s="1125">
        <f t="shared" si="1183"/>
        <v>0</v>
      </c>
      <c r="CG967" s="1125">
        <f t="shared" si="1184"/>
        <v>0</v>
      </c>
      <c r="CH967" s="1125">
        <f t="shared" si="1185"/>
        <v>0</v>
      </c>
      <c r="CI967" s="1125">
        <f t="shared" si="1186"/>
        <v>0.85</v>
      </c>
      <c r="CJ967" s="1125">
        <f t="shared" si="1187"/>
        <v>0.85</v>
      </c>
      <c r="CK967" s="1125">
        <f t="shared" si="1188"/>
        <v>0.85</v>
      </c>
      <c r="CL967" s="1125">
        <f t="shared" si="1189"/>
        <v>0.85</v>
      </c>
      <c r="CM967" s="1125">
        <f t="shared" si="1190"/>
        <v>0.85</v>
      </c>
      <c r="CN967" s="1125">
        <f t="shared" si="1191"/>
        <v>0.85</v>
      </c>
      <c r="CO967" s="1125">
        <f t="shared" si="1192"/>
        <v>0.7</v>
      </c>
      <c r="CP967" s="1125">
        <f t="shared" si="1193"/>
        <v>0.7</v>
      </c>
      <c r="CQ967" s="1125">
        <f t="shared" si="1194"/>
        <v>0.85</v>
      </c>
      <c r="CR967" s="1125">
        <f t="shared" si="1195"/>
        <v>0.85</v>
      </c>
      <c r="CS967" s="1125">
        <f t="shared" si="1196"/>
        <v>0.85</v>
      </c>
      <c r="CT967" s="1125">
        <f t="shared" si="1197"/>
        <v>0.85</v>
      </c>
      <c r="CU967" s="1125">
        <v>1</v>
      </c>
      <c r="CV967" s="1125"/>
      <c r="CW967" s="1125">
        <f t="shared" si="1198"/>
        <v>153</v>
      </c>
      <c r="CX967" s="1125">
        <f t="shared" si="1199"/>
        <v>212</v>
      </c>
      <c r="CY967" s="1135" t="s">
        <v>4889</v>
      </c>
      <c r="CZ967" s="1124" t="s">
        <v>4899</v>
      </c>
      <c r="DA967" s="1124"/>
      <c r="DB967" s="1124"/>
      <c r="DC967" s="1120" t="s">
        <v>5686</v>
      </c>
      <c r="DD967" s="1120" t="s">
        <v>1278</v>
      </c>
      <c r="DE967" s="1120" t="str">
        <f t="shared" si="1125"/>
        <v/>
      </c>
      <c r="DF967" s="1133">
        <v>0</v>
      </c>
      <c r="DG967" s="1125">
        <v>0</v>
      </c>
    </row>
    <row r="968" spans="1:111">
      <c r="A968" s="1120" t="s">
        <v>4604</v>
      </c>
      <c r="B968" s="1120" t="s">
        <v>3473</v>
      </c>
      <c r="C968" s="1120" t="s">
        <v>3474</v>
      </c>
      <c r="D968" s="1120" t="s">
        <v>566</v>
      </c>
      <c r="E968" s="1120">
        <v>1122</v>
      </c>
      <c r="F968" s="1120">
        <v>-93.87</v>
      </c>
      <c r="G968" s="1120">
        <v>42.43</v>
      </c>
      <c r="H968" s="1120">
        <v>-6</v>
      </c>
      <c r="I968" s="1121">
        <v>-0.21999931335449299</v>
      </c>
      <c r="J968" s="1121">
        <v>90.5</v>
      </c>
      <c r="K968" s="1122">
        <v>77.180000686645513</v>
      </c>
      <c r="L968" s="1120">
        <v>6141.6</v>
      </c>
      <c r="M968" s="1120">
        <v>1191.6000000000001</v>
      </c>
      <c r="N968" s="1123">
        <v>21.740000343322755</v>
      </c>
      <c r="O968" s="1123">
        <v>25.879999828338622</v>
      </c>
      <c r="P968" s="1123">
        <v>43.7</v>
      </c>
      <c r="Q968" s="1123">
        <v>51.619999313354491</v>
      </c>
      <c r="R968" s="1123">
        <v>57.919999313354495</v>
      </c>
      <c r="S968" s="1123">
        <v>71.060001373291016</v>
      </c>
      <c r="T968" s="1123">
        <v>77.539998626708979</v>
      </c>
      <c r="U968" s="1123">
        <v>74.3</v>
      </c>
      <c r="V968" s="1123">
        <v>67.280000686645508</v>
      </c>
      <c r="W968" s="1123">
        <v>53.240000343322755</v>
      </c>
      <c r="X968" s="1123">
        <v>35.779999828338624</v>
      </c>
      <c r="Y968" s="1123">
        <v>28.4</v>
      </c>
      <c r="Z968" s="1123">
        <v>50.846246544302325</v>
      </c>
      <c r="AA968" s="1123">
        <f t="shared" si="1126"/>
        <v>45.280387430043717</v>
      </c>
      <c r="AB968" s="1123">
        <f t="shared" si="1127"/>
        <v>43.78274046078382</v>
      </c>
      <c r="AC968" s="1123">
        <f t="shared" si="1128"/>
        <v>45.690297666915512</v>
      </c>
      <c r="AD968" s="1123">
        <f t="shared" si="1129"/>
        <v>50.5058248663142</v>
      </c>
      <c r="AE968" s="1123">
        <f t="shared" si="1130"/>
        <v>56.974080684936176</v>
      </c>
      <c r="AF968" s="1123">
        <f t="shared" si="1131"/>
        <v>63.4090145648182</v>
      </c>
      <c r="AG968" s="1123">
        <f t="shared" si="1132"/>
        <v>68.133261824836225</v>
      </c>
      <c r="AH968" s="1123">
        <f t="shared" si="1133"/>
        <v>69.915374613812546</v>
      </c>
      <c r="AI968" s="1123">
        <f t="shared" si="1134"/>
        <v>68.290817770111119</v>
      </c>
      <c r="AJ968" s="1123">
        <f t="shared" si="1135"/>
        <v>63.683057070221473</v>
      </c>
      <c r="AK968" s="1123">
        <f t="shared" si="1136"/>
        <v>57.293176348311633</v>
      </c>
      <c r="AL968" s="1123">
        <f t="shared" si="1137"/>
        <v>50.786796485589988</v>
      </c>
      <c r="AM968" s="1120">
        <f t="shared" si="1138"/>
        <v>1</v>
      </c>
      <c r="AN968" s="1120">
        <f t="shared" si="1139"/>
        <v>1</v>
      </c>
      <c r="AO968" s="1120">
        <f t="shared" si="1140"/>
        <v>1</v>
      </c>
      <c r="AP968" s="1120">
        <f t="shared" si="1141"/>
        <v>1</v>
      </c>
      <c r="AQ968" s="1120">
        <f t="shared" si="1142"/>
        <v>1</v>
      </c>
      <c r="AR968" s="1120">
        <f t="shared" si="1143"/>
        <v>0</v>
      </c>
      <c r="AS968" s="1120">
        <f t="shared" si="1144"/>
        <v>0</v>
      </c>
      <c r="AT968" s="1120">
        <f t="shared" si="1145"/>
        <v>0</v>
      </c>
      <c r="AU968" s="1120">
        <f t="shared" si="1146"/>
        <v>0</v>
      </c>
      <c r="AV968" s="1120">
        <f t="shared" si="1147"/>
        <v>1</v>
      </c>
      <c r="AW968" s="1120">
        <f t="shared" si="1148"/>
        <v>1</v>
      </c>
      <c r="AX968" s="1120">
        <f t="shared" si="1149"/>
        <v>1</v>
      </c>
      <c r="AY968" s="1120">
        <f t="shared" si="1150"/>
        <v>0</v>
      </c>
      <c r="AZ968" s="1120">
        <f t="shared" si="1151"/>
        <v>0</v>
      </c>
      <c r="BA968" s="1120">
        <f t="shared" si="1152"/>
        <v>0</v>
      </c>
      <c r="BB968" s="1120">
        <f t="shared" si="1153"/>
        <v>0</v>
      </c>
      <c r="BC968" s="1120">
        <f t="shared" si="1154"/>
        <v>0</v>
      </c>
      <c r="BD968" s="1120">
        <f t="shared" si="1155"/>
        <v>1</v>
      </c>
      <c r="BE968" s="1120">
        <f t="shared" si="1156"/>
        <v>1</v>
      </c>
      <c r="BF968" s="1120">
        <f t="shared" si="1157"/>
        <v>1</v>
      </c>
      <c r="BG968" s="1120">
        <f t="shared" si="1158"/>
        <v>1</v>
      </c>
      <c r="BH968" s="1120">
        <f t="shared" si="1159"/>
        <v>0</v>
      </c>
      <c r="BI968" s="1120">
        <f t="shared" si="1160"/>
        <v>0</v>
      </c>
      <c r="BJ968" s="1120">
        <f t="shared" si="1161"/>
        <v>0</v>
      </c>
      <c r="BK968" s="1120">
        <f t="shared" si="1162"/>
        <v>1</v>
      </c>
      <c r="BL968" s="1120">
        <f t="shared" si="1163"/>
        <v>1</v>
      </c>
      <c r="BM968" s="1120">
        <f t="shared" si="1164"/>
        <v>1</v>
      </c>
      <c r="BN968" s="1120">
        <f t="shared" si="1165"/>
        <v>1</v>
      </c>
      <c r="BO968" s="1120">
        <f t="shared" si="1166"/>
        <v>1</v>
      </c>
      <c r="BP968" s="1120">
        <f t="shared" si="1167"/>
        <v>1</v>
      </c>
      <c r="BQ968" s="1120">
        <f t="shared" si="1168"/>
        <v>0</v>
      </c>
      <c r="BR968" s="1120">
        <f t="shared" si="1169"/>
        <v>0</v>
      </c>
      <c r="BS968" s="1120">
        <f t="shared" si="1170"/>
        <v>0</v>
      </c>
      <c r="BT968" s="1120">
        <f t="shared" si="1171"/>
        <v>1</v>
      </c>
      <c r="BU968" s="1120">
        <f t="shared" si="1172"/>
        <v>1</v>
      </c>
      <c r="BV968" s="1120">
        <f t="shared" si="1173"/>
        <v>1</v>
      </c>
      <c r="BW968" s="1120">
        <f t="shared" si="1174"/>
        <v>0</v>
      </c>
      <c r="BX968" s="1120">
        <f t="shared" si="1175"/>
        <v>0</v>
      </c>
      <c r="BY968" s="1120">
        <f t="shared" si="1176"/>
        <v>0</v>
      </c>
      <c r="BZ968" s="1120">
        <f t="shared" si="1177"/>
        <v>0</v>
      </c>
      <c r="CA968" s="1120">
        <f t="shared" si="1178"/>
        <v>1</v>
      </c>
      <c r="CB968" s="1120">
        <f t="shared" si="1179"/>
        <v>1</v>
      </c>
      <c r="CC968" s="1120">
        <f t="shared" si="1180"/>
        <v>1</v>
      </c>
      <c r="CD968" s="1120">
        <f t="shared" si="1181"/>
        <v>1</v>
      </c>
      <c r="CE968" s="1120">
        <f t="shared" si="1182"/>
        <v>1</v>
      </c>
      <c r="CF968" s="1120">
        <f t="shared" si="1183"/>
        <v>1</v>
      </c>
      <c r="CG968" s="1120">
        <f t="shared" si="1184"/>
        <v>0</v>
      </c>
      <c r="CH968" s="1120">
        <f t="shared" si="1185"/>
        <v>0</v>
      </c>
      <c r="CI968" s="1120">
        <f t="shared" si="1186"/>
        <v>0.85</v>
      </c>
      <c r="CJ968" s="1120">
        <f t="shared" si="1187"/>
        <v>0.85</v>
      </c>
      <c r="CK968" s="1120">
        <f t="shared" si="1188"/>
        <v>0.85</v>
      </c>
      <c r="CL968" s="1120">
        <f t="shared" si="1189"/>
        <v>0.85</v>
      </c>
      <c r="CM968" s="1120">
        <f t="shared" si="1190"/>
        <v>0.85</v>
      </c>
      <c r="CN968" s="1120">
        <f t="shared" si="1191"/>
        <v>0.85</v>
      </c>
      <c r="CO968" s="1120">
        <f t="shared" si="1192"/>
        <v>0.7</v>
      </c>
      <c r="CP968" s="1120">
        <f t="shared" si="1193"/>
        <v>0.7</v>
      </c>
      <c r="CQ968" s="1120">
        <f t="shared" si="1194"/>
        <v>0.7</v>
      </c>
      <c r="CR968" s="1120">
        <f t="shared" si="1195"/>
        <v>0.85</v>
      </c>
      <c r="CS968" s="1120">
        <f t="shared" si="1196"/>
        <v>0.85</v>
      </c>
      <c r="CT968" s="1120">
        <f t="shared" si="1197"/>
        <v>0.85</v>
      </c>
      <c r="CU968" s="1120">
        <v>1</v>
      </c>
      <c r="CV968" s="1120"/>
      <c r="CW968" s="1120">
        <f t="shared" si="1198"/>
        <v>184</v>
      </c>
      <c r="CX968" s="1120">
        <f t="shared" si="1199"/>
        <v>181</v>
      </c>
      <c r="CY968" s="1135" t="s">
        <v>4889</v>
      </c>
      <c r="CZ968" s="1124" t="s">
        <v>4899</v>
      </c>
      <c r="DA968" s="1124"/>
      <c r="DB968" s="1124"/>
      <c r="DC968" s="1120" t="s">
        <v>5193</v>
      </c>
      <c r="DD968" s="1120" t="s">
        <v>566</v>
      </c>
      <c r="DE968" s="1120" t="str">
        <f t="shared" si="1125"/>
        <v/>
      </c>
      <c r="DF968" s="1133">
        <v>0</v>
      </c>
      <c r="DG968" s="1120">
        <v>0</v>
      </c>
    </row>
    <row r="969" spans="1:111">
      <c r="A969" s="1125" t="s">
        <v>4610</v>
      </c>
      <c r="B969" s="1125" t="s">
        <v>4600</v>
      </c>
      <c r="C969" s="1125" t="s">
        <v>4601</v>
      </c>
      <c r="D969" s="1125" t="s">
        <v>238</v>
      </c>
      <c r="E969" s="1125">
        <v>1243</v>
      </c>
      <c r="F969" s="1125">
        <v>-120.2</v>
      </c>
      <c r="G969" s="1125">
        <v>47.4</v>
      </c>
      <c r="H969" s="1125">
        <v>-8</v>
      </c>
      <c r="I969" s="1126">
        <v>12.019999313354491</v>
      </c>
      <c r="J969" s="1126">
        <v>91.760001373291018</v>
      </c>
      <c r="K969" s="1127">
        <v>64.760001373291018</v>
      </c>
      <c r="L969" s="1125">
        <v>5628.6</v>
      </c>
      <c r="M969" s="1125">
        <v>903.6</v>
      </c>
      <c r="N969" s="1128">
        <v>29.119999957084655</v>
      </c>
      <c r="O969" s="1128">
        <v>33.259999978542325</v>
      </c>
      <c r="P969" s="1128">
        <v>42.079999828338622</v>
      </c>
      <c r="Q969" s="1128">
        <v>52.340000343322757</v>
      </c>
      <c r="R969" s="1128">
        <v>60.8</v>
      </c>
      <c r="S969" s="1128">
        <v>68</v>
      </c>
      <c r="T969" s="1128">
        <v>72.860001373291013</v>
      </c>
      <c r="U969" s="1128">
        <v>74.3</v>
      </c>
      <c r="V969" s="1128">
        <v>66.019999313354489</v>
      </c>
      <c r="W969" s="1128">
        <v>49.640000343322754</v>
      </c>
      <c r="X969" s="1128">
        <v>39.379999828338626</v>
      </c>
      <c r="Y969" s="1128">
        <v>28.4</v>
      </c>
      <c r="Z969" s="1128">
        <v>51.442958987706326</v>
      </c>
      <c r="AA969" s="1128">
        <f t="shared" si="1126"/>
        <v>47.756355235967966</v>
      </c>
      <c r="AB969" s="1128">
        <f t="shared" si="1127"/>
        <v>46.56442048352524</v>
      </c>
      <c r="AC969" s="1128">
        <f t="shared" si="1128"/>
        <v>48.208144435550189</v>
      </c>
      <c r="AD969" s="1128">
        <f t="shared" si="1129"/>
        <v>52.259065113394655</v>
      </c>
      <c r="AE969" s="1128">
        <f t="shared" si="1130"/>
        <v>57.661247615801194</v>
      </c>
      <c r="AF969" s="1128">
        <f t="shared" si="1131"/>
        <v>63.006529823365227</v>
      </c>
      <c r="AG969" s="1128">
        <f t="shared" si="1132"/>
        <v>66.901581555392937</v>
      </c>
      <c r="AH969" s="1128">
        <f t="shared" si="1133"/>
        <v>68.331097553367201</v>
      </c>
      <c r="AI969" s="1128">
        <f t="shared" si="1134"/>
        <v>66.922452442907655</v>
      </c>
      <c r="AJ969" s="1128">
        <f t="shared" si="1135"/>
        <v>63.042831279933836</v>
      </c>
      <c r="AK969" s="1128">
        <f t="shared" si="1136"/>
        <v>57.703517107346705</v>
      </c>
      <c r="AL969" s="1128">
        <f t="shared" si="1137"/>
        <v>52.296284445553155</v>
      </c>
      <c r="AM969" s="1125">
        <f t="shared" si="1138"/>
        <v>1</v>
      </c>
      <c r="AN969" s="1125">
        <f t="shared" si="1139"/>
        <v>1</v>
      </c>
      <c r="AO969" s="1125">
        <f t="shared" si="1140"/>
        <v>1</v>
      </c>
      <c r="AP969" s="1125">
        <f t="shared" si="1141"/>
        <v>1</v>
      </c>
      <c r="AQ969" s="1125">
        <f t="shared" si="1142"/>
        <v>1</v>
      </c>
      <c r="AR969" s="1125">
        <f t="shared" si="1143"/>
        <v>0</v>
      </c>
      <c r="AS969" s="1125">
        <f t="shared" si="1144"/>
        <v>0</v>
      </c>
      <c r="AT969" s="1125">
        <f t="shared" si="1145"/>
        <v>0</v>
      </c>
      <c r="AU969" s="1125">
        <f t="shared" si="1146"/>
        <v>0</v>
      </c>
      <c r="AV969" s="1125">
        <f t="shared" si="1147"/>
        <v>1</v>
      </c>
      <c r="AW969" s="1125">
        <f t="shared" si="1148"/>
        <v>1</v>
      </c>
      <c r="AX969" s="1125">
        <f t="shared" si="1149"/>
        <v>1</v>
      </c>
      <c r="AY969" s="1125">
        <f t="shared" si="1150"/>
        <v>0</v>
      </c>
      <c r="AZ969" s="1125">
        <f t="shared" si="1151"/>
        <v>0</v>
      </c>
      <c r="BA969" s="1125">
        <f t="shared" si="1152"/>
        <v>0</v>
      </c>
      <c r="BB969" s="1125">
        <f t="shared" si="1153"/>
        <v>0</v>
      </c>
      <c r="BC969" s="1125">
        <f t="shared" si="1154"/>
        <v>0</v>
      </c>
      <c r="BD969" s="1125">
        <f t="shared" si="1155"/>
        <v>1</v>
      </c>
      <c r="BE969" s="1125">
        <f t="shared" si="1156"/>
        <v>1</v>
      </c>
      <c r="BF969" s="1125">
        <f t="shared" si="1157"/>
        <v>1</v>
      </c>
      <c r="BG969" s="1125">
        <f t="shared" si="1158"/>
        <v>1</v>
      </c>
      <c r="BH969" s="1125">
        <f t="shared" si="1159"/>
        <v>0</v>
      </c>
      <c r="BI969" s="1125">
        <f t="shared" si="1160"/>
        <v>0</v>
      </c>
      <c r="BJ969" s="1125">
        <f t="shared" si="1161"/>
        <v>0</v>
      </c>
      <c r="BK969" s="1125">
        <f t="shared" si="1162"/>
        <v>1</v>
      </c>
      <c r="BL969" s="1125">
        <f t="shared" si="1163"/>
        <v>1</v>
      </c>
      <c r="BM969" s="1125">
        <f t="shared" si="1164"/>
        <v>1</v>
      </c>
      <c r="BN969" s="1125">
        <f t="shared" si="1165"/>
        <v>1</v>
      </c>
      <c r="BO969" s="1125">
        <f t="shared" si="1166"/>
        <v>1</v>
      </c>
      <c r="BP969" s="1125">
        <f t="shared" si="1167"/>
        <v>1</v>
      </c>
      <c r="BQ969" s="1125">
        <f t="shared" si="1168"/>
        <v>0</v>
      </c>
      <c r="BR969" s="1125">
        <f t="shared" si="1169"/>
        <v>0</v>
      </c>
      <c r="BS969" s="1125">
        <f t="shared" si="1170"/>
        <v>0</v>
      </c>
      <c r="BT969" s="1125">
        <f t="shared" si="1171"/>
        <v>1</v>
      </c>
      <c r="BU969" s="1125">
        <f t="shared" si="1172"/>
        <v>1</v>
      </c>
      <c r="BV969" s="1125">
        <f t="shared" si="1173"/>
        <v>1</v>
      </c>
      <c r="BW969" s="1125">
        <f t="shared" si="1174"/>
        <v>0</v>
      </c>
      <c r="BX969" s="1125">
        <f t="shared" si="1175"/>
        <v>0</v>
      </c>
      <c r="BY969" s="1125">
        <f t="shared" si="1176"/>
        <v>0</v>
      </c>
      <c r="BZ969" s="1125">
        <f t="shared" si="1177"/>
        <v>0</v>
      </c>
      <c r="CA969" s="1125">
        <f t="shared" si="1178"/>
        <v>1</v>
      </c>
      <c r="CB969" s="1125">
        <f t="shared" si="1179"/>
        <v>1</v>
      </c>
      <c r="CC969" s="1125">
        <f t="shared" si="1180"/>
        <v>1</v>
      </c>
      <c r="CD969" s="1125">
        <f t="shared" si="1181"/>
        <v>1</v>
      </c>
      <c r="CE969" s="1125">
        <f t="shared" si="1182"/>
        <v>1</v>
      </c>
      <c r="CF969" s="1125">
        <f t="shared" si="1183"/>
        <v>1</v>
      </c>
      <c r="CG969" s="1125">
        <f t="shared" si="1184"/>
        <v>0</v>
      </c>
      <c r="CH969" s="1125">
        <f t="shared" si="1185"/>
        <v>0</v>
      </c>
      <c r="CI969" s="1125">
        <f t="shared" si="1186"/>
        <v>0.85</v>
      </c>
      <c r="CJ969" s="1125">
        <f t="shared" si="1187"/>
        <v>0.85</v>
      </c>
      <c r="CK969" s="1125">
        <f t="shared" si="1188"/>
        <v>0.85</v>
      </c>
      <c r="CL969" s="1125">
        <f t="shared" si="1189"/>
        <v>0.85</v>
      </c>
      <c r="CM969" s="1125">
        <f t="shared" si="1190"/>
        <v>0.85</v>
      </c>
      <c r="CN969" s="1125">
        <f t="shared" si="1191"/>
        <v>0.85</v>
      </c>
      <c r="CO969" s="1125">
        <f t="shared" si="1192"/>
        <v>0.7</v>
      </c>
      <c r="CP969" s="1125">
        <f t="shared" si="1193"/>
        <v>0.7</v>
      </c>
      <c r="CQ969" s="1125">
        <f t="shared" si="1194"/>
        <v>0.7</v>
      </c>
      <c r="CR969" s="1125">
        <f t="shared" si="1195"/>
        <v>0.85</v>
      </c>
      <c r="CS969" s="1125">
        <f t="shared" si="1196"/>
        <v>0.85</v>
      </c>
      <c r="CT969" s="1125">
        <f t="shared" si="1197"/>
        <v>0.85</v>
      </c>
      <c r="CU969" s="1125">
        <v>1</v>
      </c>
      <c r="CV969" s="1125"/>
      <c r="CW969" s="1125">
        <f t="shared" si="1198"/>
        <v>184</v>
      </c>
      <c r="CX969" s="1125">
        <f t="shared" si="1199"/>
        <v>181</v>
      </c>
      <c r="CY969" s="1135" t="s">
        <v>4889</v>
      </c>
      <c r="CZ969" s="1124" t="s">
        <v>4890</v>
      </c>
      <c r="DA969" s="1124"/>
      <c r="DB969" s="1124"/>
      <c r="DC969" s="1120" t="s">
        <v>6018</v>
      </c>
      <c r="DD969" s="1120" t="s">
        <v>238</v>
      </c>
      <c r="DE969" s="1120" t="str">
        <f t="shared" si="1125"/>
        <v/>
      </c>
      <c r="DF969" s="1133">
        <v>0</v>
      </c>
      <c r="DG969" s="1125">
        <v>0</v>
      </c>
    </row>
    <row r="970" spans="1:111">
      <c r="A970" s="1120" t="s">
        <v>4606</v>
      </c>
      <c r="B970" s="1120" t="s">
        <v>4482</v>
      </c>
      <c r="C970" s="1120" t="s">
        <v>4483</v>
      </c>
      <c r="D970" s="1120" t="s">
        <v>905</v>
      </c>
      <c r="E970" s="1120">
        <v>4234</v>
      </c>
      <c r="F970" s="1120">
        <v>-114.03</v>
      </c>
      <c r="G970" s="1120">
        <v>40.72</v>
      </c>
      <c r="H970" s="1120">
        <v>-8</v>
      </c>
      <c r="I970" s="1121">
        <v>12.2</v>
      </c>
      <c r="J970" s="1121">
        <v>93.379997253417969</v>
      </c>
      <c r="K970" s="1122">
        <v>59.719999313354492</v>
      </c>
      <c r="L970" s="1120">
        <v>5792.4000000000005</v>
      </c>
      <c r="M970" s="1120">
        <v>1341</v>
      </c>
      <c r="N970" s="1123">
        <v>29.480000042915343</v>
      </c>
      <c r="O970" s="1123">
        <v>28.76000008583069</v>
      </c>
      <c r="P970" s="1123">
        <v>43.340000343322757</v>
      </c>
      <c r="Q970" s="1123">
        <v>51.619999313354491</v>
      </c>
      <c r="R970" s="1123">
        <v>62.419999313354495</v>
      </c>
      <c r="S970" s="1123">
        <v>74.3</v>
      </c>
      <c r="T970" s="1123">
        <v>78.619999313354498</v>
      </c>
      <c r="U970" s="1123">
        <v>78.619999313354498</v>
      </c>
      <c r="V970" s="1123">
        <v>63.680000686645506</v>
      </c>
      <c r="W970" s="1123">
        <v>49.640000343322754</v>
      </c>
      <c r="X970" s="1123">
        <v>35.23999991416931</v>
      </c>
      <c r="Y970" s="1123">
        <v>28.76000008583069</v>
      </c>
      <c r="Z970" s="1123">
        <v>52.185643729445054</v>
      </c>
      <c r="AA970" s="1123">
        <f t="shared" si="1126"/>
        <v>47.429378267475499</v>
      </c>
      <c r="AB970" s="1123">
        <f t="shared" si="1127"/>
        <v>46.191009897434817</v>
      </c>
      <c r="AC970" s="1123">
        <f t="shared" si="1128"/>
        <v>48.079227678610103</v>
      </c>
      <c r="AD970" s="1123">
        <f t="shared" si="1129"/>
        <v>52.601838548021213</v>
      </c>
      <c r="AE970" s="1123">
        <f t="shared" si="1130"/>
        <v>58.579954287012974</v>
      </c>
      <c r="AF970" s="1123">
        <f t="shared" si="1131"/>
        <v>64.455286902665037</v>
      </c>
      <c r="AG970" s="1123">
        <f t="shared" si="1132"/>
        <v>68.696340407091398</v>
      </c>
      <c r="AH970" s="1123">
        <f t="shared" si="1133"/>
        <v>70.197618847750505</v>
      </c>
      <c r="AI970" s="1123">
        <f t="shared" si="1134"/>
        <v>68.567790863683484</v>
      </c>
      <c r="AJ970" s="1123">
        <f t="shared" si="1135"/>
        <v>64.231696235346917</v>
      </c>
      <c r="AK970" s="1123">
        <f t="shared" si="1136"/>
        <v>58.319604848857594</v>
      </c>
      <c r="AL970" s="1123">
        <f t="shared" si="1137"/>
        <v>52.372594432190063</v>
      </c>
      <c r="AM970" s="1120">
        <f t="shared" si="1138"/>
        <v>1</v>
      </c>
      <c r="AN970" s="1120">
        <f t="shared" si="1139"/>
        <v>1</v>
      </c>
      <c r="AO970" s="1120">
        <f t="shared" si="1140"/>
        <v>1</v>
      </c>
      <c r="AP970" s="1120">
        <f t="shared" si="1141"/>
        <v>1</v>
      </c>
      <c r="AQ970" s="1120">
        <f t="shared" si="1142"/>
        <v>1</v>
      </c>
      <c r="AR970" s="1120">
        <f t="shared" si="1143"/>
        <v>0</v>
      </c>
      <c r="AS970" s="1120">
        <f t="shared" si="1144"/>
        <v>0</v>
      </c>
      <c r="AT970" s="1120">
        <f t="shared" si="1145"/>
        <v>0</v>
      </c>
      <c r="AU970" s="1120">
        <f t="shared" si="1146"/>
        <v>1</v>
      </c>
      <c r="AV970" s="1120">
        <f t="shared" si="1147"/>
        <v>1</v>
      </c>
      <c r="AW970" s="1120">
        <f t="shared" si="1148"/>
        <v>1</v>
      </c>
      <c r="AX970" s="1120">
        <f t="shared" si="1149"/>
        <v>1</v>
      </c>
      <c r="AY970" s="1120">
        <f t="shared" si="1150"/>
        <v>0</v>
      </c>
      <c r="AZ970" s="1120">
        <f t="shared" si="1151"/>
        <v>0</v>
      </c>
      <c r="BA970" s="1120">
        <f t="shared" si="1152"/>
        <v>0</v>
      </c>
      <c r="BB970" s="1120">
        <f t="shared" si="1153"/>
        <v>0</v>
      </c>
      <c r="BC970" s="1120">
        <f t="shared" si="1154"/>
        <v>0</v>
      </c>
      <c r="BD970" s="1120">
        <f t="shared" si="1155"/>
        <v>1</v>
      </c>
      <c r="BE970" s="1120">
        <f t="shared" si="1156"/>
        <v>1</v>
      </c>
      <c r="BF970" s="1120">
        <f t="shared" si="1157"/>
        <v>1</v>
      </c>
      <c r="BG970" s="1120">
        <f t="shared" si="1158"/>
        <v>0</v>
      </c>
      <c r="BH970" s="1120">
        <f t="shared" si="1159"/>
        <v>0</v>
      </c>
      <c r="BI970" s="1120">
        <f t="shared" si="1160"/>
        <v>0</v>
      </c>
      <c r="BJ970" s="1120">
        <f t="shared" si="1161"/>
        <v>0</v>
      </c>
      <c r="BK970" s="1120">
        <f t="shared" si="1162"/>
        <v>1</v>
      </c>
      <c r="BL970" s="1120">
        <f t="shared" si="1163"/>
        <v>1</v>
      </c>
      <c r="BM970" s="1120">
        <f t="shared" si="1164"/>
        <v>1</v>
      </c>
      <c r="BN970" s="1120">
        <f t="shared" si="1165"/>
        <v>1</v>
      </c>
      <c r="BO970" s="1120">
        <f t="shared" si="1166"/>
        <v>1</v>
      </c>
      <c r="BP970" s="1120">
        <f t="shared" si="1167"/>
        <v>1</v>
      </c>
      <c r="BQ970" s="1120">
        <f t="shared" si="1168"/>
        <v>0</v>
      </c>
      <c r="BR970" s="1120">
        <f t="shared" si="1169"/>
        <v>0</v>
      </c>
      <c r="BS970" s="1120">
        <f t="shared" si="1170"/>
        <v>1</v>
      </c>
      <c r="BT970" s="1120">
        <f t="shared" si="1171"/>
        <v>1</v>
      </c>
      <c r="BU970" s="1120">
        <f t="shared" si="1172"/>
        <v>1</v>
      </c>
      <c r="BV970" s="1120">
        <f t="shared" si="1173"/>
        <v>1</v>
      </c>
      <c r="BW970" s="1120">
        <f t="shared" si="1174"/>
        <v>0</v>
      </c>
      <c r="BX970" s="1120">
        <f t="shared" si="1175"/>
        <v>0</v>
      </c>
      <c r="BY970" s="1120">
        <f t="shared" si="1176"/>
        <v>0</v>
      </c>
      <c r="BZ970" s="1120">
        <f t="shared" si="1177"/>
        <v>0</v>
      </c>
      <c r="CA970" s="1120">
        <f t="shared" si="1178"/>
        <v>1</v>
      </c>
      <c r="CB970" s="1120">
        <f t="shared" si="1179"/>
        <v>1</v>
      </c>
      <c r="CC970" s="1120">
        <f t="shared" si="1180"/>
        <v>1</v>
      </c>
      <c r="CD970" s="1120">
        <f t="shared" si="1181"/>
        <v>1</v>
      </c>
      <c r="CE970" s="1120">
        <f t="shared" si="1182"/>
        <v>1</v>
      </c>
      <c r="CF970" s="1120">
        <f t="shared" si="1183"/>
        <v>0</v>
      </c>
      <c r="CG970" s="1120">
        <f t="shared" si="1184"/>
        <v>0</v>
      </c>
      <c r="CH970" s="1120">
        <f t="shared" si="1185"/>
        <v>0</v>
      </c>
      <c r="CI970" s="1120">
        <f t="shared" si="1186"/>
        <v>0.85</v>
      </c>
      <c r="CJ970" s="1120">
        <f t="shared" si="1187"/>
        <v>0.85</v>
      </c>
      <c r="CK970" s="1120">
        <f t="shared" si="1188"/>
        <v>0.85</v>
      </c>
      <c r="CL970" s="1120">
        <f t="shared" si="1189"/>
        <v>0.85</v>
      </c>
      <c r="CM970" s="1120">
        <f t="shared" si="1190"/>
        <v>0.85</v>
      </c>
      <c r="CN970" s="1120">
        <f t="shared" si="1191"/>
        <v>0.85</v>
      </c>
      <c r="CO970" s="1120">
        <f t="shared" si="1192"/>
        <v>0.7</v>
      </c>
      <c r="CP970" s="1120">
        <f t="shared" si="1193"/>
        <v>0.7</v>
      </c>
      <c r="CQ970" s="1120">
        <f t="shared" si="1194"/>
        <v>0.85</v>
      </c>
      <c r="CR970" s="1120">
        <f t="shared" si="1195"/>
        <v>0.85</v>
      </c>
      <c r="CS970" s="1120">
        <f t="shared" si="1196"/>
        <v>0.85</v>
      </c>
      <c r="CT970" s="1120">
        <f t="shared" si="1197"/>
        <v>0.85</v>
      </c>
      <c r="CU970" s="1120">
        <v>1</v>
      </c>
      <c r="CV970" s="1120"/>
      <c r="CW970" s="1120">
        <f t="shared" si="1198"/>
        <v>153</v>
      </c>
      <c r="CX970" s="1120">
        <f t="shared" si="1199"/>
        <v>212</v>
      </c>
      <c r="CY970" s="1135" t="s">
        <v>4889</v>
      </c>
      <c r="CZ970" s="1124" t="s">
        <v>4890</v>
      </c>
      <c r="DA970" s="1124"/>
      <c r="DB970" s="1124"/>
      <c r="DC970" s="1120" t="s">
        <v>5625</v>
      </c>
      <c r="DD970" s="1120" t="s">
        <v>905</v>
      </c>
      <c r="DE970" s="1120" t="str">
        <f t="shared" si="1125"/>
        <v/>
      </c>
      <c r="DF970" s="1133">
        <v>1</v>
      </c>
      <c r="DG970" s="1120">
        <v>0</v>
      </c>
    </row>
    <row r="971" spans="1:111">
      <c r="A971" s="1125" t="s">
        <v>4608</v>
      </c>
      <c r="B971" s="1125" t="s">
        <v>3342</v>
      </c>
      <c r="C971" s="1125" t="s">
        <v>3343</v>
      </c>
      <c r="D971" s="1125" t="s">
        <v>594</v>
      </c>
      <c r="E971" s="1125">
        <v>20</v>
      </c>
      <c r="F971" s="1125">
        <v>-80.099999999999994</v>
      </c>
      <c r="G971" s="1125">
        <v>26.68</v>
      </c>
      <c r="H971" s="1125">
        <v>-5</v>
      </c>
      <c r="I971" s="1126">
        <v>48.2</v>
      </c>
      <c r="J971" s="1126">
        <v>90.320002746582034</v>
      </c>
      <c r="K971" s="1127">
        <v>77.719999313354492</v>
      </c>
      <c r="L971" s="1125">
        <v>268.2</v>
      </c>
      <c r="M971" s="1125">
        <v>3915</v>
      </c>
      <c r="N971" s="1128">
        <v>64.219999313354492</v>
      </c>
      <c r="O971" s="1128">
        <v>65.83999862670899</v>
      </c>
      <c r="P971" s="1128">
        <v>69.980000686645511</v>
      </c>
      <c r="Q971" s="1128">
        <v>73.039998626708979</v>
      </c>
      <c r="R971" s="1128">
        <v>77</v>
      </c>
      <c r="S971" s="1128">
        <v>80.599999999999994</v>
      </c>
      <c r="T971" s="1128">
        <v>81.5</v>
      </c>
      <c r="U971" s="1128">
        <v>82.039998626708979</v>
      </c>
      <c r="V971" s="1128">
        <v>81.319999313354487</v>
      </c>
      <c r="W971" s="1128">
        <v>77</v>
      </c>
      <c r="X971" s="1128">
        <v>72.5</v>
      </c>
      <c r="Y971" s="1128">
        <v>67.099999999999994</v>
      </c>
      <c r="Z971" s="1128">
        <v>74.387287279939002</v>
      </c>
      <c r="AA971" s="1128">
        <f t="shared" si="1126"/>
        <v>74.135528776170716</v>
      </c>
      <c r="AB971" s="1128">
        <f t="shared" si="1127"/>
        <v>74.704846537899883</v>
      </c>
      <c r="AC971" s="1128">
        <f t="shared" si="1128"/>
        <v>76.755380048104058</v>
      </c>
      <c r="AD971" s="1128">
        <f t="shared" si="1129"/>
        <v>79.752626147670654</v>
      </c>
      <c r="AE971" s="1128">
        <f t="shared" si="1130"/>
        <v>82.915306451787075</v>
      </c>
      <c r="AF971" s="1128">
        <f t="shared" si="1131"/>
        <v>85.419019600806621</v>
      </c>
      <c r="AG971" s="1128">
        <f t="shared" si="1132"/>
        <v>86.611134179049799</v>
      </c>
      <c r="AH971" s="1128">
        <f t="shared" si="1133"/>
        <v>86.180907150655784</v>
      </c>
      <c r="AI971" s="1128">
        <f t="shared" si="1134"/>
        <v>84.240483820574681</v>
      </c>
      <c r="AJ971" s="1128">
        <f t="shared" si="1135"/>
        <v>81.295665432620794</v>
      </c>
      <c r="AK971" s="1128">
        <f t="shared" si="1136"/>
        <v>78.11406428063934</v>
      </c>
      <c r="AL971" s="1128">
        <f t="shared" si="1137"/>
        <v>75.525013734852138</v>
      </c>
      <c r="AM971" s="1125">
        <f t="shared" si="1138"/>
        <v>1</v>
      </c>
      <c r="AN971" s="1125">
        <f t="shared" si="1139"/>
        <v>1</v>
      </c>
      <c r="AO971" s="1125">
        <f t="shared" si="1140"/>
        <v>0</v>
      </c>
      <c r="AP971" s="1125">
        <f t="shared" si="1141"/>
        <v>0</v>
      </c>
      <c r="AQ971" s="1125">
        <f t="shared" si="1142"/>
        <v>0</v>
      </c>
      <c r="AR971" s="1125">
        <f t="shared" si="1143"/>
        <v>0</v>
      </c>
      <c r="AS971" s="1125">
        <f t="shared" si="1144"/>
        <v>0</v>
      </c>
      <c r="AT971" s="1125">
        <f t="shared" si="1145"/>
        <v>0</v>
      </c>
      <c r="AU971" s="1125">
        <f t="shared" si="1146"/>
        <v>0</v>
      </c>
      <c r="AV971" s="1125">
        <f t="shared" si="1147"/>
        <v>0</v>
      </c>
      <c r="AW971" s="1125">
        <f t="shared" si="1148"/>
        <v>0</v>
      </c>
      <c r="AX971" s="1125">
        <f t="shared" si="1149"/>
        <v>0</v>
      </c>
      <c r="AY971" s="1125">
        <f t="shared" si="1150"/>
        <v>0</v>
      </c>
      <c r="AZ971" s="1125">
        <f t="shared" si="1151"/>
        <v>0</v>
      </c>
      <c r="BA971" s="1125">
        <f t="shared" si="1152"/>
        <v>1</v>
      </c>
      <c r="BB971" s="1125">
        <f t="shared" si="1153"/>
        <v>1</v>
      </c>
      <c r="BC971" s="1125">
        <f t="shared" si="1154"/>
        <v>1</v>
      </c>
      <c r="BD971" s="1125">
        <f t="shared" si="1155"/>
        <v>1</v>
      </c>
      <c r="BE971" s="1125">
        <f t="shared" si="1156"/>
        <v>1</v>
      </c>
      <c r="BF971" s="1125">
        <f t="shared" si="1157"/>
        <v>1</v>
      </c>
      <c r="BG971" s="1125">
        <f t="shared" si="1158"/>
        <v>1</v>
      </c>
      <c r="BH971" s="1125">
        <f t="shared" si="1159"/>
        <v>1</v>
      </c>
      <c r="BI971" s="1125">
        <f t="shared" si="1160"/>
        <v>1</v>
      </c>
      <c r="BJ971" s="1125">
        <f t="shared" si="1161"/>
        <v>1</v>
      </c>
      <c r="BK971" s="1125">
        <f t="shared" si="1162"/>
        <v>1</v>
      </c>
      <c r="BL971" s="1125">
        <f t="shared" si="1163"/>
        <v>1</v>
      </c>
      <c r="BM971" s="1125">
        <f t="shared" si="1164"/>
        <v>1</v>
      </c>
      <c r="BN971" s="1125">
        <f t="shared" si="1165"/>
        <v>0</v>
      </c>
      <c r="BO971" s="1125">
        <f t="shared" si="1166"/>
        <v>0</v>
      </c>
      <c r="BP971" s="1125">
        <f t="shared" si="1167"/>
        <v>0</v>
      </c>
      <c r="BQ971" s="1125">
        <f t="shared" si="1168"/>
        <v>0</v>
      </c>
      <c r="BR971" s="1125">
        <f t="shared" si="1169"/>
        <v>0</v>
      </c>
      <c r="BS971" s="1125">
        <f t="shared" si="1170"/>
        <v>0</v>
      </c>
      <c r="BT971" s="1125">
        <f t="shared" si="1171"/>
        <v>0</v>
      </c>
      <c r="BU971" s="1125">
        <f t="shared" si="1172"/>
        <v>0</v>
      </c>
      <c r="BV971" s="1125">
        <f t="shared" si="1173"/>
        <v>0</v>
      </c>
      <c r="BW971" s="1125">
        <f t="shared" si="1174"/>
        <v>1</v>
      </c>
      <c r="BX971" s="1125">
        <f t="shared" si="1175"/>
        <v>1</v>
      </c>
      <c r="BY971" s="1125">
        <f t="shared" si="1176"/>
        <v>1</v>
      </c>
      <c r="BZ971" s="1125">
        <f t="shared" si="1177"/>
        <v>1</v>
      </c>
      <c r="CA971" s="1125">
        <f t="shared" si="1178"/>
        <v>1</v>
      </c>
      <c r="CB971" s="1125">
        <f t="shared" si="1179"/>
        <v>1</v>
      </c>
      <c r="CC971" s="1125">
        <f t="shared" si="1180"/>
        <v>1</v>
      </c>
      <c r="CD971" s="1125">
        <f t="shared" si="1181"/>
        <v>1</v>
      </c>
      <c r="CE971" s="1125">
        <f t="shared" si="1182"/>
        <v>1</v>
      </c>
      <c r="CF971" s="1125">
        <f t="shared" si="1183"/>
        <v>1</v>
      </c>
      <c r="CG971" s="1125">
        <f t="shared" si="1184"/>
        <v>1</v>
      </c>
      <c r="CH971" s="1125">
        <f t="shared" si="1185"/>
        <v>1</v>
      </c>
      <c r="CI971" s="1125">
        <f t="shared" si="1186"/>
        <v>0.85</v>
      </c>
      <c r="CJ971" s="1125">
        <f t="shared" si="1187"/>
        <v>0.85</v>
      </c>
      <c r="CK971" s="1125">
        <f t="shared" si="1188"/>
        <v>0.85</v>
      </c>
      <c r="CL971" s="1125">
        <f t="shared" si="1189"/>
        <v>0.7</v>
      </c>
      <c r="CM971" s="1125">
        <f t="shared" si="1190"/>
        <v>0.7</v>
      </c>
      <c r="CN971" s="1125">
        <f t="shared" si="1191"/>
        <v>0.7</v>
      </c>
      <c r="CO971" s="1125">
        <f t="shared" si="1192"/>
        <v>0.7</v>
      </c>
      <c r="CP971" s="1125">
        <f t="shared" si="1193"/>
        <v>0.7</v>
      </c>
      <c r="CQ971" s="1125">
        <f t="shared" si="1194"/>
        <v>0.7</v>
      </c>
      <c r="CR971" s="1125">
        <f t="shared" si="1195"/>
        <v>0.7</v>
      </c>
      <c r="CS971" s="1125">
        <f t="shared" si="1196"/>
        <v>0.7</v>
      </c>
      <c r="CT971" s="1125">
        <f t="shared" si="1197"/>
        <v>0.7</v>
      </c>
      <c r="CU971" s="1125">
        <v>1</v>
      </c>
      <c r="CV971" s="1125"/>
      <c r="CW971" s="1125">
        <f t="shared" si="1198"/>
        <v>365</v>
      </c>
      <c r="CX971" s="1125">
        <f t="shared" si="1199"/>
        <v>0</v>
      </c>
      <c r="CY971" s="1136" t="s">
        <v>4883</v>
      </c>
      <c r="CZ971" s="1129" t="s">
        <v>4884</v>
      </c>
      <c r="DA971" s="1129"/>
      <c r="DB971" s="1129"/>
      <c r="DC971" s="1125" t="s">
        <v>5128</v>
      </c>
      <c r="DD971" s="1125" t="s">
        <v>594</v>
      </c>
      <c r="DE971" s="1120" t="str">
        <f t="shared" si="1125"/>
        <v/>
      </c>
      <c r="DF971" s="1133">
        <v>0</v>
      </c>
      <c r="DG971" s="1125">
        <v>0</v>
      </c>
    </row>
    <row r="972" spans="1:111">
      <c r="A972" s="1120" t="s">
        <v>4612</v>
      </c>
      <c r="B972" s="1120" t="s">
        <v>3671</v>
      </c>
      <c r="C972" s="1120" t="s">
        <v>3672</v>
      </c>
      <c r="D972" s="1120" t="s">
        <v>250</v>
      </c>
      <c r="E972" s="1120">
        <v>272</v>
      </c>
      <c r="F972" s="1120">
        <v>-72.72</v>
      </c>
      <c r="G972" s="1120">
        <v>42.15</v>
      </c>
      <c r="H972" s="1120">
        <v>-5</v>
      </c>
      <c r="I972" s="1121">
        <v>-5.9800006866455089</v>
      </c>
      <c r="J972" s="1121">
        <v>87.980000686645511</v>
      </c>
      <c r="K972" s="1122">
        <v>73.580000686645505</v>
      </c>
      <c r="L972" s="1120">
        <v>6368.4000000000005</v>
      </c>
      <c r="M972" s="1120">
        <v>552.6</v>
      </c>
      <c r="N972" s="1123">
        <v>17.240000343322752</v>
      </c>
      <c r="O972" s="1123">
        <v>24.979999828338624</v>
      </c>
      <c r="P972" s="1123">
        <v>40.820000171661377</v>
      </c>
      <c r="Q972" s="1123">
        <v>46.220000171661376</v>
      </c>
      <c r="R972" s="1123">
        <v>57.2</v>
      </c>
      <c r="S972" s="1123">
        <v>65.83999862670899</v>
      </c>
      <c r="T972" s="1123">
        <v>67.639998626708987</v>
      </c>
      <c r="U972" s="1123">
        <v>71.419999313354495</v>
      </c>
      <c r="V972" s="1123">
        <v>64.760001373291018</v>
      </c>
      <c r="W972" s="1123">
        <v>51.619999313354491</v>
      </c>
      <c r="X972" s="1123">
        <v>39.740000343322755</v>
      </c>
      <c r="Y972" s="1123">
        <v>32.540000021457672</v>
      </c>
      <c r="Z972" s="1123">
        <v>48.463342307201806</v>
      </c>
      <c r="AA972" s="1123">
        <f t="shared" si="1126"/>
        <v>44.043454564394125</v>
      </c>
      <c r="AB972" s="1123">
        <f t="shared" si="1127"/>
        <v>42.418736771731176</v>
      </c>
      <c r="AC972" s="1123">
        <f t="shared" si="1128"/>
        <v>43.933631024878409</v>
      </c>
      <c r="AD972" s="1123">
        <f t="shared" si="1129"/>
        <v>48.193256791525897</v>
      </c>
      <c r="AE972" s="1123">
        <f t="shared" si="1130"/>
        <v>54.08727697277692</v>
      </c>
      <c r="AF972" s="1123">
        <f t="shared" si="1131"/>
        <v>60.079324378788016</v>
      </c>
      <c r="AG972" s="1123">
        <f t="shared" si="1132"/>
        <v>64.607479512936749</v>
      </c>
      <c r="AH972" s="1123">
        <f t="shared" si="1133"/>
        <v>66.491408958524389</v>
      </c>
      <c r="AI972" s="1123">
        <f t="shared" si="1134"/>
        <v>65.24003747332695</v>
      </c>
      <c r="AJ972" s="1123">
        <f t="shared" si="1135"/>
        <v>61.179554319179474</v>
      </c>
      <c r="AK972" s="1123">
        <f t="shared" si="1136"/>
        <v>55.368387004149994</v>
      </c>
      <c r="AL972" s="1123">
        <f t="shared" si="1137"/>
        <v>49.32130584170001</v>
      </c>
      <c r="AM972" s="1120">
        <f t="shared" si="1138"/>
        <v>1</v>
      </c>
      <c r="AN972" s="1120">
        <f t="shared" si="1139"/>
        <v>1</v>
      </c>
      <c r="AO972" s="1120">
        <f t="shared" si="1140"/>
        <v>1</v>
      </c>
      <c r="AP972" s="1120">
        <f t="shared" si="1141"/>
        <v>1</v>
      </c>
      <c r="AQ972" s="1120">
        <f t="shared" si="1142"/>
        <v>1</v>
      </c>
      <c r="AR972" s="1120">
        <f t="shared" si="1143"/>
        <v>1</v>
      </c>
      <c r="AS972" s="1120">
        <f t="shared" si="1144"/>
        <v>0</v>
      </c>
      <c r="AT972" s="1120">
        <f t="shared" si="1145"/>
        <v>0</v>
      </c>
      <c r="AU972" s="1120">
        <f t="shared" si="1146"/>
        <v>1</v>
      </c>
      <c r="AV972" s="1120">
        <f t="shared" si="1147"/>
        <v>1</v>
      </c>
      <c r="AW972" s="1120">
        <f t="shared" si="1148"/>
        <v>1</v>
      </c>
      <c r="AX972" s="1120">
        <f t="shared" si="1149"/>
        <v>1</v>
      </c>
      <c r="AY972" s="1120">
        <f t="shared" si="1150"/>
        <v>0</v>
      </c>
      <c r="AZ972" s="1120">
        <f t="shared" si="1151"/>
        <v>0</v>
      </c>
      <c r="BA972" s="1120">
        <f t="shared" si="1152"/>
        <v>0</v>
      </c>
      <c r="BB972" s="1120">
        <f t="shared" si="1153"/>
        <v>0</v>
      </c>
      <c r="BC972" s="1120">
        <f t="shared" si="1154"/>
        <v>0</v>
      </c>
      <c r="BD972" s="1120">
        <f t="shared" si="1155"/>
        <v>0</v>
      </c>
      <c r="BE972" s="1120">
        <f t="shared" si="1156"/>
        <v>1</v>
      </c>
      <c r="BF972" s="1120">
        <f t="shared" si="1157"/>
        <v>1</v>
      </c>
      <c r="BG972" s="1120">
        <f t="shared" si="1158"/>
        <v>0</v>
      </c>
      <c r="BH972" s="1120">
        <f t="shared" si="1159"/>
        <v>0</v>
      </c>
      <c r="BI972" s="1120">
        <f t="shared" si="1160"/>
        <v>0</v>
      </c>
      <c r="BJ972" s="1120">
        <f t="shared" si="1161"/>
        <v>0</v>
      </c>
      <c r="BK972" s="1120">
        <f t="shared" si="1162"/>
        <v>1</v>
      </c>
      <c r="BL972" s="1120">
        <f t="shared" si="1163"/>
        <v>1</v>
      </c>
      <c r="BM972" s="1120">
        <f t="shared" si="1164"/>
        <v>1</v>
      </c>
      <c r="BN972" s="1120">
        <f t="shared" si="1165"/>
        <v>1</v>
      </c>
      <c r="BO972" s="1120">
        <f t="shared" si="1166"/>
        <v>1</v>
      </c>
      <c r="BP972" s="1120">
        <f t="shared" si="1167"/>
        <v>1</v>
      </c>
      <c r="BQ972" s="1120">
        <f t="shared" si="1168"/>
        <v>1</v>
      </c>
      <c r="BR972" s="1120">
        <f t="shared" si="1169"/>
        <v>0</v>
      </c>
      <c r="BS972" s="1120">
        <f t="shared" si="1170"/>
        <v>1</v>
      </c>
      <c r="BT972" s="1120">
        <f t="shared" si="1171"/>
        <v>1</v>
      </c>
      <c r="BU972" s="1120">
        <f t="shared" si="1172"/>
        <v>1</v>
      </c>
      <c r="BV972" s="1120">
        <f t="shared" si="1173"/>
        <v>1</v>
      </c>
      <c r="BW972" s="1120">
        <f t="shared" si="1174"/>
        <v>0</v>
      </c>
      <c r="BX972" s="1120">
        <f t="shared" si="1175"/>
        <v>0</v>
      </c>
      <c r="BY972" s="1120">
        <f t="shared" si="1176"/>
        <v>0</v>
      </c>
      <c r="BZ972" s="1120">
        <f t="shared" si="1177"/>
        <v>0</v>
      </c>
      <c r="CA972" s="1120">
        <f t="shared" si="1178"/>
        <v>0</v>
      </c>
      <c r="CB972" s="1120">
        <f t="shared" si="1179"/>
        <v>1</v>
      </c>
      <c r="CC972" s="1120">
        <f t="shared" si="1180"/>
        <v>1</v>
      </c>
      <c r="CD972" s="1120">
        <f t="shared" si="1181"/>
        <v>1</v>
      </c>
      <c r="CE972" s="1120">
        <f t="shared" si="1182"/>
        <v>1</v>
      </c>
      <c r="CF972" s="1120">
        <f t="shared" si="1183"/>
        <v>0</v>
      </c>
      <c r="CG972" s="1120">
        <f t="shared" si="1184"/>
        <v>0</v>
      </c>
      <c r="CH972" s="1120">
        <f t="shared" si="1185"/>
        <v>0</v>
      </c>
      <c r="CI972" s="1120">
        <f t="shared" si="1186"/>
        <v>0.85</v>
      </c>
      <c r="CJ972" s="1120">
        <f t="shared" si="1187"/>
        <v>0.85</v>
      </c>
      <c r="CK972" s="1120">
        <f t="shared" si="1188"/>
        <v>0.85</v>
      </c>
      <c r="CL972" s="1120">
        <f t="shared" si="1189"/>
        <v>0.85</v>
      </c>
      <c r="CM972" s="1120">
        <f t="shared" si="1190"/>
        <v>0.85</v>
      </c>
      <c r="CN972" s="1120">
        <f t="shared" si="1191"/>
        <v>0.85</v>
      </c>
      <c r="CO972" s="1120">
        <f t="shared" si="1192"/>
        <v>0.85</v>
      </c>
      <c r="CP972" s="1120">
        <f t="shared" si="1193"/>
        <v>0.7</v>
      </c>
      <c r="CQ972" s="1120">
        <f t="shared" si="1194"/>
        <v>0.85</v>
      </c>
      <c r="CR972" s="1120">
        <f t="shared" si="1195"/>
        <v>0.85</v>
      </c>
      <c r="CS972" s="1120">
        <f t="shared" si="1196"/>
        <v>0.85</v>
      </c>
      <c r="CT972" s="1120">
        <f t="shared" si="1197"/>
        <v>0.85</v>
      </c>
      <c r="CU972" s="1120">
        <v>1</v>
      </c>
      <c r="CV972" s="1120"/>
      <c r="CW972" s="1120">
        <f t="shared" si="1198"/>
        <v>122</v>
      </c>
      <c r="CX972" s="1120">
        <f t="shared" si="1199"/>
        <v>243</v>
      </c>
      <c r="CY972" s="1135" t="s">
        <v>4889</v>
      </c>
      <c r="CZ972" s="1124" t="s">
        <v>4897</v>
      </c>
      <c r="DA972" s="1124"/>
      <c r="DB972" s="1124"/>
      <c r="DC972" s="1120" t="s">
        <v>5277</v>
      </c>
      <c r="DD972" s="1120" t="s">
        <v>250</v>
      </c>
      <c r="DE972" s="1120" t="str">
        <f t="shared" si="1125"/>
        <v/>
      </c>
      <c r="DF972" s="1133">
        <v>1</v>
      </c>
      <c r="DG972" s="1120">
        <v>0</v>
      </c>
    </row>
    <row r="973" spans="1:111">
      <c r="A973" s="1125" t="s">
        <v>4614</v>
      </c>
      <c r="B973" s="1125" t="s">
        <v>4160</v>
      </c>
      <c r="C973" s="1125" t="s">
        <v>4161</v>
      </c>
      <c r="D973" s="1125" t="s">
        <v>537</v>
      </c>
      <c r="E973" s="1125">
        <v>66</v>
      </c>
      <c r="F973" s="1125">
        <v>-72.63</v>
      </c>
      <c r="G973" s="1125">
        <v>40.85</v>
      </c>
      <c r="H973" s="1125">
        <v>-5</v>
      </c>
      <c r="I973" s="1126">
        <v>6.9800006866455071</v>
      </c>
      <c r="J973" s="1126">
        <v>86.180000686645513</v>
      </c>
      <c r="K973" s="1127">
        <v>73.580000686645505</v>
      </c>
      <c r="L973" s="1125">
        <v>5239.8</v>
      </c>
      <c r="M973" s="1125">
        <v>567</v>
      </c>
      <c r="N973" s="1128">
        <v>28.4</v>
      </c>
      <c r="O973" s="1128">
        <v>35.779999828338624</v>
      </c>
      <c r="P973" s="1128">
        <v>41.359999656677246</v>
      </c>
      <c r="Q973" s="1128">
        <v>47.3</v>
      </c>
      <c r="R973" s="1128">
        <v>57.380000686645509</v>
      </c>
      <c r="S973" s="1128">
        <v>64.219999313354492</v>
      </c>
      <c r="T973" s="1128">
        <v>68.900000000000006</v>
      </c>
      <c r="U973" s="1128">
        <v>72.319999313354487</v>
      </c>
      <c r="V973" s="1128">
        <v>65.480000686645511</v>
      </c>
      <c r="W973" s="1128">
        <v>55.580000686645505</v>
      </c>
      <c r="X973" s="1128">
        <v>44.240000343322755</v>
      </c>
      <c r="Y973" s="1128">
        <v>37.039999914169314</v>
      </c>
      <c r="Z973" s="1128">
        <v>51.587452091713473</v>
      </c>
      <c r="AA973" s="1128">
        <f t="shared" si="1126"/>
        <v>48.278635484195199</v>
      </c>
      <c r="AB973" s="1128">
        <f t="shared" si="1127"/>
        <v>47.14760578343288</v>
      </c>
      <c r="AC973" s="1128">
        <f t="shared" si="1128"/>
        <v>48.737882905825387</v>
      </c>
      <c r="AD973" s="1128">
        <f t="shared" si="1129"/>
        <v>52.634936612508852</v>
      </c>
      <c r="AE973" s="1128">
        <f t="shared" si="1130"/>
        <v>57.822939799420737</v>
      </c>
      <c r="AF973" s="1128">
        <f t="shared" si="1131"/>
        <v>62.949559486343297</v>
      </c>
      <c r="AG973" s="1128">
        <f t="shared" si="1132"/>
        <v>66.678463248279371</v>
      </c>
      <c r="AH973" s="1128">
        <f t="shared" si="1133"/>
        <v>68.037654855533944</v>
      </c>
      <c r="AI973" s="1128">
        <f t="shared" si="1134"/>
        <v>66.672840069899394</v>
      </c>
      <c r="AJ973" s="1128">
        <f t="shared" si="1135"/>
        <v>62.939778897683873</v>
      </c>
      <c r="AK973" s="1128">
        <f t="shared" si="1136"/>
        <v>57.81155126163938</v>
      </c>
      <c r="AL973" s="1128">
        <f t="shared" si="1137"/>
        <v>52.624908723480956</v>
      </c>
      <c r="AM973" s="1125">
        <f t="shared" si="1138"/>
        <v>1</v>
      </c>
      <c r="AN973" s="1125">
        <f t="shared" si="1139"/>
        <v>1</v>
      </c>
      <c r="AO973" s="1125">
        <f t="shared" si="1140"/>
        <v>1</v>
      </c>
      <c r="AP973" s="1125">
        <f t="shared" si="1141"/>
        <v>1</v>
      </c>
      <c r="AQ973" s="1125">
        <f t="shared" si="1142"/>
        <v>1</v>
      </c>
      <c r="AR973" s="1125">
        <f t="shared" si="1143"/>
        <v>1</v>
      </c>
      <c r="AS973" s="1125">
        <f t="shared" si="1144"/>
        <v>0</v>
      </c>
      <c r="AT973" s="1125">
        <f t="shared" si="1145"/>
        <v>0</v>
      </c>
      <c r="AU973" s="1125">
        <f t="shared" si="1146"/>
        <v>1</v>
      </c>
      <c r="AV973" s="1125">
        <f t="shared" si="1147"/>
        <v>1</v>
      </c>
      <c r="AW973" s="1125">
        <f t="shared" si="1148"/>
        <v>1</v>
      </c>
      <c r="AX973" s="1125">
        <f t="shared" si="1149"/>
        <v>1</v>
      </c>
      <c r="AY973" s="1125">
        <f t="shared" si="1150"/>
        <v>0</v>
      </c>
      <c r="AZ973" s="1125">
        <f t="shared" si="1151"/>
        <v>0</v>
      </c>
      <c r="BA973" s="1125">
        <f t="shared" si="1152"/>
        <v>0</v>
      </c>
      <c r="BB973" s="1125">
        <f t="shared" si="1153"/>
        <v>0</v>
      </c>
      <c r="BC973" s="1125">
        <f t="shared" si="1154"/>
        <v>0</v>
      </c>
      <c r="BD973" s="1125">
        <f t="shared" si="1155"/>
        <v>0</v>
      </c>
      <c r="BE973" s="1125">
        <f t="shared" si="1156"/>
        <v>1</v>
      </c>
      <c r="BF973" s="1125">
        <f t="shared" si="1157"/>
        <v>1</v>
      </c>
      <c r="BG973" s="1125">
        <f t="shared" si="1158"/>
        <v>0</v>
      </c>
      <c r="BH973" s="1125">
        <f t="shared" si="1159"/>
        <v>0</v>
      </c>
      <c r="BI973" s="1125">
        <f t="shared" si="1160"/>
        <v>0</v>
      </c>
      <c r="BJ973" s="1125">
        <f t="shared" si="1161"/>
        <v>0</v>
      </c>
      <c r="BK973" s="1125">
        <f t="shared" si="1162"/>
        <v>1</v>
      </c>
      <c r="BL973" s="1125">
        <f t="shared" si="1163"/>
        <v>1</v>
      </c>
      <c r="BM973" s="1125">
        <f t="shared" si="1164"/>
        <v>1</v>
      </c>
      <c r="BN973" s="1125">
        <f t="shared" si="1165"/>
        <v>1</v>
      </c>
      <c r="BO973" s="1125">
        <f t="shared" si="1166"/>
        <v>1</v>
      </c>
      <c r="BP973" s="1125">
        <f t="shared" si="1167"/>
        <v>1</v>
      </c>
      <c r="BQ973" s="1125">
        <f t="shared" si="1168"/>
        <v>1</v>
      </c>
      <c r="BR973" s="1125">
        <f t="shared" si="1169"/>
        <v>0</v>
      </c>
      <c r="BS973" s="1125">
        <f t="shared" si="1170"/>
        <v>1</v>
      </c>
      <c r="BT973" s="1125">
        <f t="shared" si="1171"/>
        <v>1</v>
      </c>
      <c r="BU973" s="1125">
        <f t="shared" si="1172"/>
        <v>1</v>
      </c>
      <c r="BV973" s="1125">
        <f t="shared" si="1173"/>
        <v>1</v>
      </c>
      <c r="BW973" s="1125">
        <f t="shared" si="1174"/>
        <v>0</v>
      </c>
      <c r="BX973" s="1125">
        <f t="shared" si="1175"/>
        <v>0</v>
      </c>
      <c r="BY973" s="1125">
        <f t="shared" si="1176"/>
        <v>0</v>
      </c>
      <c r="BZ973" s="1125">
        <f t="shared" si="1177"/>
        <v>0</v>
      </c>
      <c r="CA973" s="1125">
        <f t="shared" si="1178"/>
        <v>0</v>
      </c>
      <c r="CB973" s="1125">
        <f t="shared" si="1179"/>
        <v>1</v>
      </c>
      <c r="CC973" s="1125">
        <f t="shared" si="1180"/>
        <v>1</v>
      </c>
      <c r="CD973" s="1125">
        <f t="shared" si="1181"/>
        <v>1</v>
      </c>
      <c r="CE973" s="1125">
        <f t="shared" si="1182"/>
        <v>1</v>
      </c>
      <c r="CF973" s="1125">
        <f t="shared" si="1183"/>
        <v>0</v>
      </c>
      <c r="CG973" s="1125">
        <f t="shared" si="1184"/>
        <v>0</v>
      </c>
      <c r="CH973" s="1125">
        <f t="shared" si="1185"/>
        <v>0</v>
      </c>
      <c r="CI973" s="1125">
        <f t="shared" si="1186"/>
        <v>0.85</v>
      </c>
      <c r="CJ973" s="1125">
        <f t="shared" si="1187"/>
        <v>0.85</v>
      </c>
      <c r="CK973" s="1125">
        <f t="shared" si="1188"/>
        <v>0.85</v>
      </c>
      <c r="CL973" s="1125">
        <f t="shared" si="1189"/>
        <v>0.85</v>
      </c>
      <c r="CM973" s="1125">
        <f t="shared" si="1190"/>
        <v>0.85</v>
      </c>
      <c r="CN973" s="1125">
        <f t="shared" si="1191"/>
        <v>0.85</v>
      </c>
      <c r="CO973" s="1125">
        <f t="shared" si="1192"/>
        <v>0.85</v>
      </c>
      <c r="CP973" s="1125">
        <f t="shared" si="1193"/>
        <v>0.7</v>
      </c>
      <c r="CQ973" s="1125">
        <f t="shared" si="1194"/>
        <v>0.85</v>
      </c>
      <c r="CR973" s="1125">
        <f t="shared" si="1195"/>
        <v>0.85</v>
      </c>
      <c r="CS973" s="1125">
        <f t="shared" si="1196"/>
        <v>0.85</v>
      </c>
      <c r="CT973" s="1125">
        <f t="shared" si="1197"/>
        <v>0.85</v>
      </c>
      <c r="CU973" s="1125">
        <v>1</v>
      </c>
      <c r="CV973" s="1125"/>
      <c r="CW973" s="1125">
        <f t="shared" si="1198"/>
        <v>122</v>
      </c>
      <c r="CX973" s="1125">
        <f t="shared" si="1199"/>
        <v>243</v>
      </c>
      <c r="CY973" s="1136" t="s">
        <v>4881</v>
      </c>
      <c r="CZ973" s="1129" t="s">
        <v>4885</v>
      </c>
      <c r="DA973" s="1129"/>
      <c r="DB973" s="1129"/>
      <c r="DC973" s="1125" t="s">
        <v>5488</v>
      </c>
      <c r="DD973" s="1125" t="s">
        <v>537</v>
      </c>
      <c r="DE973" s="1120" t="str">
        <f t="shared" si="1125"/>
        <v/>
      </c>
      <c r="DF973" s="1133">
        <v>0</v>
      </c>
      <c r="DG973" s="1125">
        <v>0</v>
      </c>
    </row>
    <row r="974" spans="1:111">
      <c r="A974" s="1120" t="s">
        <v>4616</v>
      </c>
      <c r="B974" s="1125" t="s">
        <v>5892</v>
      </c>
      <c r="C974" s="1125" t="s">
        <v>5893</v>
      </c>
      <c r="D974" s="1125" t="s">
        <v>934</v>
      </c>
      <c r="E974" s="1125">
        <v>1027</v>
      </c>
      <c r="F974" s="1125">
        <v>-96.5</v>
      </c>
      <c r="G974" s="1125">
        <v>45.7</v>
      </c>
      <c r="H974" s="1125">
        <v>-6</v>
      </c>
      <c r="I974" s="1126">
        <v>-12.639998626708985</v>
      </c>
      <c r="J974" s="1126">
        <v>86</v>
      </c>
      <c r="K974" s="1127">
        <v>71.780000686645508</v>
      </c>
      <c r="L974" s="1125">
        <v>8445.6</v>
      </c>
      <c r="M974" s="1125">
        <v>586.80000000000007</v>
      </c>
      <c r="N974" s="1128">
        <v>13.280000686645508</v>
      </c>
      <c r="O974" s="1128">
        <v>14</v>
      </c>
      <c r="P974" s="1128">
        <v>27.679999828338623</v>
      </c>
      <c r="Q974" s="1128">
        <v>50</v>
      </c>
      <c r="R974" s="1128">
        <v>56.119999313354491</v>
      </c>
      <c r="S974" s="1128">
        <v>63.86000137329102</v>
      </c>
      <c r="T974" s="1128">
        <v>70.880000686645502</v>
      </c>
      <c r="U974" s="1128">
        <v>68.539998626708979</v>
      </c>
      <c r="V974" s="1128">
        <v>63.5</v>
      </c>
      <c r="W974" s="1128">
        <v>43.7</v>
      </c>
      <c r="X974" s="1128">
        <v>21.379999828338622</v>
      </c>
      <c r="Y974" s="1128">
        <v>19.759999656677245</v>
      </c>
      <c r="Z974" s="1128">
        <v>42.884821914516081</v>
      </c>
      <c r="AA974" s="1128">
        <f t="shared" si="1126"/>
        <v>39.780134263378244</v>
      </c>
      <c r="AB974" s="1128">
        <f t="shared" si="1127"/>
        <v>37.747947088888644</v>
      </c>
      <c r="AC974" s="1128">
        <f t="shared" si="1128"/>
        <v>38.618757962134922</v>
      </c>
      <c r="AD974" s="1128">
        <f t="shared" si="1129"/>
        <v>42.165576609403679</v>
      </c>
      <c r="AE974" s="1128">
        <f t="shared" si="1130"/>
        <v>47.463870092154465</v>
      </c>
      <c r="AF974" s="1128">
        <f t="shared" si="1131"/>
        <v>53.13255656493422</v>
      </c>
      <c r="AG974" s="1128">
        <f t="shared" si="1132"/>
        <v>57.69400554151008</v>
      </c>
      <c r="AH974" s="1128">
        <f t="shared" si="1133"/>
        <v>59.959205052081039</v>
      </c>
      <c r="AI974" s="1128">
        <f t="shared" si="1134"/>
        <v>59.337695936435658</v>
      </c>
      <c r="AJ974" s="1128">
        <f t="shared" si="1135"/>
        <v>55.991484123312304</v>
      </c>
      <c r="AK974" s="1128">
        <f t="shared" si="1136"/>
        <v>50.792811288486533</v>
      </c>
      <c r="AL974" s="1128">
        <f t="shared" si="1137"/>
        <v>45.096791620329078</v>
      </c>
      <c r="AM974" s="1125">
        <f t="shared" si="1138"/>
        <v>1</v>
      </c>
      <c r="AN974" s="1125">
        <f t="shared" si="1139"/>
        <v>1</v>
      </c>
      <c r="AO974" s="1125">
        <f t="shared" si="1140"/>
        <v>1</v>
      </c>
      <c r="AP974" s="1125">
        <f t="shared" si="1141"/>
        <v>1</v>
      </c>
      <c r="AQ974" s="1125">
        <f t="shared" si="1142"/>
        <v>1</v>
      </c>
      <c r="AR974" s="1125">
        <f t="shared" si="1143"/>
        <v>1</v>
      </c>
      <c r="AS974" s="1125">
        <f t="shared" si="1144"/>
        <v>0</v>
      </c>
      <c r="AT974" s="1125">
        <f t="shared" si="1145"/>
        <v>0</v>
      </c>
      <c r="AU974" s="1125">
        <f t="shared" si="1146"/>
        <v>1</v>
      </c>
      <c r="AV974" s="1125">
        <f t="shared" si="1147"/>
        <v>1</v>
      </c>
      <c r="AW974" s="1125">
        <f t="shared" si="1148"/>
        <v>1</v>
      </c>
      <c r="AX974" s="1125">
        <f t="shared" si="1149"/>
        <v>1</v>
      </c>
      <c r="AY974" s="1125">
        <f t="shared" si="1150"/>
        <v>0</v>
      </c>
      <c r="AZ974" s="1125">
        <f t="shared" si="1151"/>
        <v>0</v>
      </c>
      <c r="BA974" s="1125">
        <f t="shared" si="1152"/>
        <v>0</v>
      </c>
      <c r="BB974" s="1125">
        <f t="shared" si="1153"/>
        <v>0</v>
      </c>
      <c r="BC974" s="1125">
        <f t="shared" si="1154"/>
        <v>0</v>
      </c>
      <c r="BD974" s="1125">
        <f t="shared" si="1155"/>
        <v>0</v>
      </c>
      <c r="BE974" s="1125">
        <f t="shared" si="1156"/>
        <v>1</v>
      </c>
      <c r="BF974" s="1125">
        <f t="shared" si="1157"/>
        <v>1</v>
      </c>
      <c r="BG974" s="1125">
        <f t="shared" si="1158"/>
        <v>0</v>
      </c>
      <c r="BH974" s="1125">
        <f t="shared" si="1159"/>
        <v>0</v>
      </c>
      <c r="BI974" s="1125">
        <f t="shared" si="1160"/>
        <v>0</v>
      </c>
      <c r="BJ974" s="1125">
        <f t="shared" si="1161"/>
        <v>0</v>
      </c>
      <c r="BK974" s="1125">
        <f t="shared" si="1162"/>
        <v>1</v>
      </c>
      <c r="BL974" s="1125">
        <f t="shared" si="1163"/>
        <v>1</v>
      </c>
      <c r="BM974" s="1125">
        <f t="shared" si="1164"/>
        <v>1</v>
      </c>
      <c r="BN974" s="1125">
        <f t="shared" si="1165"/>
        <v>1</v>
      </c>
      <c r="BO974" s="1125">
        <f t="shared" si="1166"/>
        <v>1</v>
      </c>
      <c r="BP974" s="1125">
        <f t="shared" si="1167"/>
        <v>1</v>
      </c>
      <c r="BQ974" s="1125">
        <f t="shared" si="1168"/>
        <v>1</v>
      </c>
      <c r="BR974" s="1125">
        <f t="shared" si="1169"/>
        <v>0</v>
      </c>
      <c r="BS974" s="1125">
        <f t="shared" si="1170"/>
        <v>1</v>
      </c>
      <c r="BT974" s="1125">
        <f t="shared" si="1171"/>
        <v>1</v>
      </c>
      <c r="BU974" s="1125">
        <f t="shared" si="1172"/>
        <v>1</v>
      </c>
      <c r="BV974" s="1125">
        <f t="shared" si="1173"/>
        <v>1</v>
      </c>
      <c r="BW974" s="1125">
        <f t="shared" si="1174"/>
        <v>0</v>
      </c>
      <c r="BX974" s="1125">
        <f t="shared" si="1175"/>
        <v>0</v>
      </c>
      <c r="BY974" s="1125">
        <f t="shared" si="1176"/>
        <v>0</v>
      </c>
      <c r="BZ974" s="1125">
        <f t="shared" si="1177"/>
        <v>0</v>
      </c>
      <c r="CA974" s="1125">
        <f t="shared" si="1178"/>
        <v>0</v>
      </c>
      <c r="CB974" s="1125">
        <f t="shared" si="1179"/>
        <v>1</v>
      </c>
      <c r="CC974" s="1125">
        <f t="shared" si="1180"/>
        <v>1</v>
      </c>
      <c r="CD974" s="1125">
        <f t="shared" si="1181"/>
        <v>1</v>
      </c>
      <c r="CE974" s="1125">
        <f t="shared" si="1182"/>
        <v>1</v>
      </c>
      <c r="CF974" s="1125">
        <f t="shared" si="1183"/>
        <v>0</v>
      </c>
      <c r="CG974" s="1125">
        <f t="shared" si="1184"/>
        <v>0</v>
      </c>
      <c r="CH974" s="1125">
        <f t="shared" si="1185"/>
        <v>0</v>
      </c>
      <c r="CI974" s="1125">
        <f t="shared" si="1186"/>
        <v>0.85</v>
      </c>
      <c r="CJ974" s="1125">
        <f t="shared" si="1187"/>
        <v>0.85</v>
      </c>
      <c r="CK974" s="1125">
        <f t="shared" si="1188"/>
        <v>0.85</v>
      </c>
      <c r="CL974" s="1125">
        <f t="shared" si="1189"/>
        <v>0.85</v>
      </c>
      <c r="CM974" s="1125">
        <f t="shared" si="1190"/>
        <v>0.85</v>
      </c>
      <c r="CN974" s="1125">
        <f t="shared" si="1191"/>
        <v>0.85</v>
      </c>
      <c r="CO974" s="1125">
        <f t="shared" si="1192"/>
        <v>0.85</v>
      </c>
      <c r="CP974" s="1125">
        <f t="shared" si="1193"/>
        <v>0.7</v>
      </c>
      <c r="CQ974" s="1125">
        <f t="shared" si="1194"/>
        <v>0.85</v>
      </c>
      <c r="CR974" s="1125">
        <f t="shared" si="1195"/>
        <v>0.85</v>
      </c>
      <c r="CS974" s="1125">
        <f t="shared" si="1196"/>
        <v>0.85</v>
      </c>
      <c r="CT974" s="1125">
        <f t="shared" si="1197"/>
        <v>0.85</v>
      </c>
      <c r="CU974" s="1125">
        <v>1</v>
      </c>
      <c r="CV974" s="1125"/>
      <c r="CW974" s="1125">
        <f t="shared" si="1198"/>
        <v>122</v>
      </c>
      <c r="CX974" s="1125">
        <f t="shared" si="1199"/>
        <v>243</v>
      </c>
      <c r="CY974" s="1136" t="s">
        <v>4889</v>
      </c>
      <c r="CZ974" s="1129" t="s">
        <v>4899</v>
      </c>
      <c r="DA974" s="1129"/>
      <c r="DB974" s="1129"/>
      <c r="DC974" s="1125" t="s">
        <v>5764</v>
      </c>
      <c r="DD974" s="1125" t="s">
        <v>934</v>
      </c>
      <c r="DE974" s="1120" t="str">
        <f t="shared" si="1125"/>
        <v/>
      </c>
      <c r="DF974" s="1133">
        <v>0</v>
      </c>
      <c r="DG974" s="1120">
        <v>0</v>
      </c>
    </row>
    <row r="975" spans="1:111">
      <c r="A975" s="1125" t="s">
        <v>4618</v>
      </c>
      <c r="B975" s="1125" t="s">
        <v>4663</v>
      </c>
      <c r="C975" s="1125" t="s">
        <v>4664</v>
      </c>
      <c r="D975" s="1125" t="s">
        <v>513</v>
      </c>
      <c r="E975" s="1125">
        <v>1178</v>
      </c>
      <c r="F975" s="1125">
        <v>-80.650000000000006</v>
      </c>
      <c r="G975" s="1125">
        <v>40.18</v>
      </c>
      <c r="H975" s="1125">
        <v>-5</v>
      </c>
      <c r="I975" s="1126">
        <v>8.2400003433227536</v>
      </c>
      <c r="J975" s="1126">
        <v>87.980000686645511</v>
      </c>
      <c r="K975" s="1127">
        <v>71.780000686645508</v>
      </c>
      <c r="L975" s="1125">
        <v>5599.8</v>
      </c>
      <c r="M975" s="1125">
        <v>693</v>
      </c>
      <c r="N975" s="1128">
        <v>38.120000171661374</v>
      </c>
      <c r="O975" s="1128">
        <v>31.279999989271165</v>
      </c>
      <c r="P975" s="1128">
        <v>35.779999828338624</v>
      </c>
      <c r="Q975" s="1128">
        <v>53.780000686645508</v>
      </c>
      <c r="R975" s="1128">
        <v>56.659999656677243</v>
      </c>
      <c r="S975" s="1128">
        <v>70.519999313354489</v>
      </c>
      <c r="T975" s="1128">
        <v>70.33999862670899</v>
      </c>
      <c r="U975" s="1128">
        <v>69.080000686645505</v>
      </c>
      <c r="V975" s="1128">
        <v>62.060001373291016</v>
      </c>
      <c r="W975" s="1128">
        <v>55.4</v>
      </c>
      <c r="X975" s="1128">
        <v>39.559999656677249</v>
      </c>
      <c r="Y975" s="1128">
        <v>28.039999914169311</v>
      </c>
      <c r="Z975" s="1128">
        <v>50.984821906873627</v>
      </c>
      <c r="AA975" s="1128">
        <f t="shared" si="1126"/>
        <v>48.142739833726822</v>
      </c>
      <c r="AB975" s="1128">
        <f t="shared" si="1127"/>
        <v>47.011066793599205</v>
      </c>
      <c r="AC975" s="1128">
        <f t="shared" si="1128"/>
        <v>48.479206723965333</v>
      </c>
      <c r="AD975" s="1128">
        <f t="shared" si="1129"/>
        <v>52.164466327254097</v>
      </c>
      <c r="AE975" s="1128">
        <f t="shared" si="1130"/>
        <v>57.106225896298731</v>
      </c>
      <c r="AF975" s="1128">
        <f t="shared" si="1131"/>
        <v>62.016339644607598</v>
      </c>
      <c r="AG975" s="1128">
        <f t="shared" si="1132"/>
        <v>65.614910756540723</v>
      </c>
      <c r="AH975" s="1128">
        <f t="shared" si="1133"/>
        <v>66.963916216113248</v>
      </c>
      <c r="AI975" s="1128">
        <f t="shared" si="1134"/>
        <v>65.711716961484214</v>
      </c>
      <c r="AJ975" s="1128">
        <f t="shared" si="1135"/>
        <v>62.184718025347294</v>
      </c>
      <c r="AK975" s="1128">
        <f t="shared" si="1136"/>
        <v>57.302286033105425</v>
      </c>
      <c r="AL975" s="1128">
        <f t="shared" si="1137"/>
        <v>52.337102124090976</v>
      </c>
      <c r="AM975" s="1125">
        <f t="shared" si="1138"/>
        <v>1</v>
      </c>
      <c r="AN975" s="1125">
        <f t="shared" si="1139"/>
        <v>1</v>
      </c>
      <c r="AO975" s="1125">
        <f t="shared" si="1140"/>
        <v>1</v>
      </c>
      <c r="AP975" s="1125">
        <f t="shared" si="1141"/>
        <v>1</v>
      </c>
      <c r="AQ975" s="1125">
        <f t="shared" si="1142"/>
        <v>1</v>
      </c>
      <c r="AR975" s="1125">
        <f t="shared" si="1143"/>
        <v>0</v>
      </c>
      <c r="AS975" s="1125">
        <f t="shared" si="1144"/>
        <v>0</v>
      </c>
      <c r="AT975" s="1125">
        <f t="shared" si="1145"/>
        <v>0</v>
      </c>
      <c r="AU975" s="1125">
        <f t="shared" si="1146"/>
        <v>1</v>
      </c>
      <c r="AV975" s="1125">
        <f t="shared" si="1147"/>
        <v>1</v>
      </c>
      <c r="AW975" s="1125">
        <f t="shared" si="1148"/>
        <v>1</v>
      </c>
      <c r="AX975" s="1125">
        <f t="shared" si="1149"/>
        <v>1</v>
      </c>
      <c r="AY975" s="1125">
        <f t="shared" si="1150"/>
        <v>0</v>
      </c>
      <c r="AZ975" s="1125">
        <f t="shared" si="1151"/>
        <v>0</v>
      </c>
      <c r="BA975" s="1125">
        <f t="shared" si="1152"/>
        <v>0</v>
      </c>
      <c r="BB975" s="1125">
        <f t="shared" si="1153"/>
        <v>0</v>
      </c>
      <c r="BC975" s="1125">
        <f t="shared" si="1154"/>
        <v>0</v>
      </c>
      <c r="BD975" s="1125">
        <f t="shared" si="1155"/>
        <v>1</v>
      </c>
      <c r="BE975" s="1125">
        <f t="shared" si="1156"/>
        <v>1</v>
      </c>
      <c r="BF975" s="1125">
        <f t="shared" si="1157"/>
        <v>1</v>
      </c>
      <c r="BG975" s="1125">
        <f t="shared" si="1158"/>
        <v>0</v>
      </c>
      <c r="BH975" s="1125">
        <f t="shared" si="1159"/>
        <v>0</v>
      </c>
      <c r="BI975" s="1125">
        <f t="shared" si="1160"/>
        <v>0</v>
      </c>
      <c r="BJ975" s="1125">
        <f t="shared" si="1161"/>
        <v>0</v>
      </c>
      <c r="BK975" s="1125">
        <f t="shared" si="1162"/>
        <v>1</v>
      </c>
      <c r="BL975" s="1125">
        <f t="shared" si="1163"/>
        <v>1</v>
      </c>
      <c r="BM975" s="1125">
        <f t="shared" si="1164"/>
        <v>1</v>
      </c>
      <c r="BN975" s="1125">
        <f t="shared" si="1165"/>
        <v>1</v>
      </c>
      <c r="BO975" s="1125">
        <f t="shared" si="1166"/>
        <v>1</v>
      </c>
      <c r="BP975" s="1125">
        <f t="shared" si="1167"/>
        <v>1</v>
      </c>
      <c r="BQ975" s="1125">
        <f t="shared" si="1168"/>
        <v>0</v>
      </c>
      <c r="BR975" s="1125">
        <f t="shared" si="1169"/>
        <v>0</v>
      </c>
      <c r="BS975" s="1125">
        <f t="shared" si="1170"/>
        <v>1</v>
      </c>
      <c r="BT975" s="1125">
        <f t="shared" si="1171"/>
        <v>1</v>
      </c>
      <c r="BU975" s="1125">
        <f t="shared" si="1172"/>
        <v>1</v>
      </c>
      <c r="BV975" s="1125">
        <f t="shared" si="1173"/>
        <v>1</v>
      </c>
      <c r="BW975" s="1125">
        <f t="shared" si="1174"/>
        <v>0</v>
      </c>
      <c r="BX975" s="1125">
        <f t="shared" si="1175"/>
        <v>0</v>
      </c>
      <c r="BY975" s="1125">
        <f t="shared" si="1176"/>
        <v>0</v>
      </c>
      <c r="BZ975" s="1125">
        <f t="shared" si="1177"/>
        <v>0</v>
      </c>
      <c r="CA975" s="1125">
        <f t="shared" si="1178"/>
        <v>1</v>
      </c>
      <c r="CB975" s="1125">
        <f t="shared" si="1179"/>
        <v>1</v>
      </c>
      <c r="CC975" s="1125">
        <f t="shared" si="1180"/>
        <v>1</v>
      </c>
      <c r="CD975" s="1125">
        <f t="shared" si="1181"/>
        <v>1</v>
      </c>
      <c r="CE975" s="1125">
        <f t="shared" si="1182"/>
        <v>1</v>
      </c>
      <c r="CF975" s="1125">
        <f t="shared" si="1183"/>
        <v>0</v>
      </c>
      <c r="CG975" s="1125">
        <f t="shared" si="1184"/>
        <v>0</v>
      </c>
      <c r="CH975" s="1125">
        <f t="shared" si="1185"/>
        <v>0</v>
      </c>
      <c r="CI975" s="1125">
        <f t="shared" si="1186"/>
        <v>0.85</v>
      </c>
      <c r="CJ975" s="1125">
        <f t="shared" si="1187"/>
        <v>0.85</v>
      </c>
      <c r="CK975" s="1125">
        <f t="shared" si="1188"/>
        <v>0.85</v>
      </c>
      <c r="CL975" s="1125">
        <f t="shared" si="1189"/>
        <v>0.85</v>
      </c>
      <c r="CM975" s="1125">
        <f t="shared" si="1190"/>
        <v>0.85</v>
      </c>
      <c r="CN975" s="1125">
        <f t="shared" si="1191"/>
        <v>0.85</v>
      </c>
      <c r="CO975" s="1125">
        <f t="shared" si="1192"/>
        <v>0.7</v>
      </c>
      <c r="CP975" s="1125">
        <f t="shared" si="1193"/>
        <v>0.7</v>
      </c>
      <c r="CQ975" s="1125">
        <f t="shared" si="1194"/>
        <v>0.85</v>
      </c>
      <c r="CR975" s="1125">
        <f t="shared" si="1195"/>
        <v>0.85</v>
      </c>
      <c r="CS975" s="1125">
        <f t="shared" si="1196"/>
        <v>0.85</v>
      </c>
      <c r="CT975" s="1125">
        <f t="shared" si="1197"/>
        <v>0.85</v>
      </c>
      <c r="CU975" s="1125">
        <v>1</v>
      </c>
      <c r="CV975" s="1125"/>
      <c r="CW975" s="1125">
        <f t="shared" si="1198"/>
        <v>153</v>
      </c>
      <c r="CX975" s="1125">
        <f t="shared" si="1199"/>
        <v>212</v>
      </c>
      <c r="CY975" s="1135" t="s">
        <v>4889</v>
      </c>
      <c r="CZ975" s="1124" t="s">
        <v>4897</v>
      </c>
      <c r="DA975" s="1124"/>
      <c r="DB975" s="1124"/>
      <c r="DC975" s="1120" t="s">
        <v>5694</v>
      </c>
      <c r="DD975" s="1120" t="s">
        <v>513</v>
      </c>
      <c r="DE975" s="1120" t="str">
        <f t="shared" si="1125"/>
        <v/>
      </c>
      <c r="DF975" s="1133">
        <v>0</v>
      </c>
      <c r="DG975" s="1125">
        <v>0</v>
      </c>
    </row>
    <row r="976" spans="1:111">
      <c r="A976" s="1120" t="s">
        <v>4620</v>
      </c>
      <c r="B976" s="1120" t="s">
        <v>4602</v>
      </c>
      <c r="C976" s="1120" t="s">
        <v>4603</v>
      </c>
      <c r="D976" s="1120" t="s">
        <v>238</v>
      </c>
      <c r="E976" s="1120">
        <v>33</v>
      </c>
      <c r="F976" s="1120">
        <v>-122.67</v>
      </c>
      <c r="G976" s="1120">
        <v>48.35</v>
      </c>
      <c r="H976" s="1120">
        <v>-8</v>
      </c>
      <c r="I976" s="1121">
        <v>26.960000085830689</v>
      </c>
      <c r="J976" s="1121">
        <v>69.8</v>
      </c>
      <c r="K976" s="1122">
        <v>60.440000343322751</v>
      </c>
      <c r="L976" s="1120">
        <v>5380.2</v>
      </c>
      <c r="M976" s="1120">
        <v>1.8</v>
      </c>
      <c r="N976" s="1123">
        <v>42.079999828338622</v>
      </c>
      <c r="O976" s="1123">
        <v>40.820000171661377</v>
      </c>
      <c r="P976" s="1123">
        <v>44.059999656677249</v>
      </c>
      <c r="Q976" s="1123">
        <v>49.640000343322754</v>
      </c>
      <c r="R976" s="1123">
        <v>51.440000343322751</v>
      </c>
      <c r="S976" s="1123">
        <v>56.480000686645511</v>
      </c>
      <c r="T976" s="1123">
        <v>58.459999656677248</v>
      </c>
      <c r="U976" s="1123">
        <v>58.640000343322754</v>
      </c>
      <c r="V976" s="1123">
        <v>55.940000343322751</v>
      </c>
      <c r="W976" s="1123">
        <v>48.919999313354495</v>
      </c>
      <c r="X976" s="1123">
        <v>47.3</v>
      </c>
      <c r="Y976" s="1123">
        <v>41.720000171661376</v>
      </c>
      <c r="Z976" s="1123">
        <v>49.667616506080108</v>
      </c>
      <c r="AA976" s="1123">
        <f t="shared" si="1126"/>
        <v>52.106110830130994</v>
      </c>
      <c r="AB976" s="1123">
        <f t="shared" si="1127"/>
        <v>51.598900379278611</v>
      </c>
      <c r="AC976" s="1123">
        <f t="shared" si="1128"/>
        <v>52.152263487690483</v>
      </c>
      <c r="AD976" s="1123">
        <f t="shared" si="1129"/>
        <v>53.62195753357544</v>
      </c>
      <c r="AE976" s="1123">
        <f t="shared" si="1130"/>
        <v>55.62488411520274</v>
      </c>
      <c r="AF976" s="1123">
        <f t="shared" si="1131"/>
        <v>57.638949553038309</v>
      </c>
      <c r="AG976" s="1123">
        <f t="shared" si="1132"/>
        <v>59.139156653022397</v>
      </c>
      <c r="AH976" s="1123">
        <f t="shared" si="1133"/>
        <v>59.734453315652942</v>
      </c>
      <c r="AI976" s="1123">
        <f t="shared" si="1134"/>
        <v>59.269666292016026</v>
      </c>
      <c r="AJ976" s="1123">
        <f t="shared" si="1135"/>
        <v>57.865949482407473</v>
      </c>
      <c r="AK976" s="1123">
        <f t="shared" si="1136"/>
        <v>55.889203305182562</v>
      </c>
      <c r="AL976" s="1123">
        <f t="shared" si="1137"/>
        <v>53.854697114015657</v>
      </c>
      <c r="AM976" s="1120">
        <f t="shared" si="1138"/>
        <v>1</v>
      </c>
      <c r="AN976" s="1120">
        <f t="shared" si="1139"/>
        <v>1</v>
      </c>
      <c r="AO976" s="1120">
        <f t="shared" si="1140"/>
        <v>1</v>
      </c>
      <c r="AP976" s="1120">
        <f t="shared" si="1141"/>
        <v>1</v>
      </c>
      <c r="AQ976" s="1120">
        <f t="shared" si="1142"/>
        <v>1</v>
      </c>
      <c r="AR976" s="1120">
        <f t="shared" si="1143"/>
        <v>1</v>
      </c>
      <c r="AS976" s="1120">
        <f t="shared" si="1144"/>
        <v>1</v>
      </c>
      <c r="AT976" s="1120">
        <f t="shared" si="1145"/>
        <v>1</v>
      </c>
      <c r="AU976" s="1120">
        <f t="shared" si="1146"/>
        <v>1</v>
      </c>
      <c r="AV976" s="1120">
        <f t="shared" si="1147"/>
        <v>1</v>
      </c>
      <c r="AW976" s="1120">
        <f t="shared" si="1148"/>
        <v>1</v>
      </c>
      <c r="AX976" s="1120">
        <f t="shared" si="1149"/>
        <v>1</v>
      </c>
      <c r="AY976" s="1120">
        <f t="shared" si="1150"/>
        <v>0</v>
      </c>
      <c r="AZ976" s="1120">
        <f t="shared" si="1151"/>
        <v>0</v>
      </c>
      <c r="BA976" s="1120">
        <f t="shared" si="1152"/>
        <v>0</v>
      </c>
      <c r="BB976" s="1120">
        <f t="shared" si="1153"/>
        <v>0</v>
      </c>
      <c r="BC976" s="1120">
        <f t="shared" si="1154"/>
        <v>0</v>
      </c>
      <c r="BD976" s="1120">
        <f t="shared" si="1155"/>
        <v>0</v>
      </c>
      <c r="BE976" s="1120">
        <f t="shared" si="1156"/>
        <v>1</v>
      </c>
      <c r="BF976" s="1120">
        <f t="shared" si="1157"/>
        <v>1</v>
      </c>
      <c r="BG976" s="1120">
        <f t="shared" si="1158"/>
        <v>0</v>
      </c>
      <c r="BH976" s="1120">
        <f t="shared" si="1159"/>
        <v>0</v>
      </c>
      <c r="BI976" s="1120">
        <f t="shared" si="1160"/>
        <v>0</v>
      </c>
      <c r="BJ976" s="1120">
        <f t="shared" si="1161"/>
        <v>0</v>
      </c>
      <c r="BK976" s="1120">
        <f t="shared" si="1162"/>
        <v>1</v>
      </c>
      <c r="BL976" s="1120">
        <f t="shared" si="1163"/>
        <v>1</v>
      </c>
      <c r="BM976" s="1120">
        <f t="shared" si="1164"/>
        <v>1</v>
      </c>
      <c r="BN976" s="1120">
        <f t="shared" si="1165"/>
        <v>1</v>
      </c>
      <c r="BO976" s="1120">
        <f t="shared" si="1166"/>
        <v>1</v>
      </c>
      <c r="BP976" s="1120">
        <f t="shared" si="1167"/>
        <v>1</v>
      </c>
      <c r="BQ976" s="1120">
        <f t="shared" si="1168"/>
        <v>1</v>
      </c>
      <c r="BR976" s="1120">
        <f t="shared" si="1169"/>
        <v>1</v>
      </c>
      <c r="BS976" s="1120">
        <f t="shared" si="1170"/>
        <v>1</v>
      </c>
      <c r="BT976" s="1120">
        <f t="shared" si="1171"/>
        <v>1</v>
      </c>
      <c r="BU976" s="1120">
        <f t="shared" si="1172"/>
        <v>1</v>
      </c>
      <c r="BV976" s="1120">
        <f t="shared" si="1173"/>
        <v>1</v>
      </c>
      <c r="BW976" s="1120">
        <f t="shared" si="1174"/>
        <v>0</v>
      </c>
      <c r="BX976" s="1120">
        <f t="shared" si="1175"/>
        <v>0</v>
      </c>
      <c r="BY976" s="1120">
        <f t="shared" si="1176"/>
        <v>0</v>
      </c>
      <c r="BZ976" s="1120">
        <f t="shared" si="1177"/>
        <v>0</v>
      </c>
      <c r="CA976" s="1120">
        <f t="shared" si="1178"/>
        <v>0</v>
      </c>
      <c r="CB976" s="1120">
        <f t="shared" si="1179"/>
        <v>0</v>
      </c>
      <c r="CC976" s="1120">
        <f t="shared" si="1180"/>
        <v>1</v>
      </c>
      <c r="CD976" s="1120">
        <f t="shared" si="1181"/>
        <v>1</v>
      </c>
      <c r="CE976" s="1120">
        <f t="shared" si="1182"/>
        <v>0</v>
      </c>
      <c r="CF976" s="1120">
        <f t="shared" si="1183"/>
        <v>0</v>
      </c>
      <c r="CG976" s="1120">
        <f t="shared" si="1184"/>
        <v>0</v>
      </c>
      <c r="CH976" s="1120">
        <f t="shared" si="1185"/>
        <v>0</v>
      </c>
      <c r="CI976" s="1120">
        <f t="shared" si="1186"/>
        <v>0.85</v>
      </c>
      <c r="CJ976" s="1120">
        <f t="shared" si="1187"/>
        <v>0.85</v>
      </c>
      <c r="CK976" s="1120">
        <f t="shared" si="1188"/>
        <v>0.85</v>
      </c>
      <c r="CL976" s="1120">
        <f t="shared" si="1189"/>
        <v>0.85</v>
      </c>
      <c r="CM976" s="1120">
        <f t="shared" si="1190"/>
        <v>0.85</v>
      </c>
      <c r="CN976" s="1120">
        <f t="shared" si="1191"/>
        <v>0.85</v>
      </c>
      <c r="CO976" s="1120">
        <f t="shared" si="1192"/>
        <v>0.85</v>
      </c>
      <c r="CP976" s="1120">
        <f t="shared" si="1193"/>
        <v>0.85</v>
      </c>
      <c r="CQ976" s="1120">
        <f t="shared" si="1194"/>
        <v>0.85</v>
      </c>
      <c r="CR976" s="1120">
        <f t="shared" si="1195"/>
        <v>0.85</v>
      </c>
      <c r="CS976" s="1120">
        <f t="shared" si="1196"/>
        <v>0.85</v>
      </c>
      <c r="CT976" s="1120">
        <f t="shared" si="1197"/>
        <v>0.85</v>
      </c>
      <c r="CU976" s="1120">
        <v>1</v>
      </c>
      <c r="CV976" s="1120"/>
      <c r="CW976" s="1120">
        <f t="shared" si="1198"/>
        <v>62</v>
      </c>
      <c r="CX976" s="1120">
        <f t="shared" si="1199"/>
        <v>303</v>
      </c>
      <c r="CY976" s="1136" t="s">
        <v>4889</v>
      </c>
      <c r="CZ976" s="1129" t="s">
        <v>4894</v>
      </c>
      <c r="DA976" s="1129"/>
      <c r="DB976" s="1129"/>
      <c r="DC976" s="1125" t="s">
        <v>5671</v>
      </c>
      <c r="DD976" s="1125" t="s">
        <v>238</v>
      </c>
      <c r="DE976" s="1120" t="str">
        <f t="shared" si="1125"/>
        <v/>
      </c>
      <c r="DF976" s="1133">
        <v>0</v>
      </c>
      <c r="DG976" s="1120">
        <v>0</v>
      </c>
    </row>
    <row r="977" spans="1:111">
      <c r="A977" s="1125" t="s">
        <v>4622</v>
      </c>
      <c r="B977" s="1120" t="s">
        <v>4162</v>
      </c>
      <c r="C977" s="1120" t="s">
        <v>4163</v>
      </c>
      <c r="D977" s="1120" t="s">
        <v>537</v>
      </c>
      <c r="E977" s="1120">
        <v>400</v>
      </c>
      <c r="F977" s="1120">
        <v>-73.72</v>
      </c>
      <c r="G977" s="1120">
        <v>41.07</v>
      </c>
      <c r="H977" s="1120">
        <v>-5</v>
      </c>
      <c r="I977" s="1121">
        <v>12.019999313354491</v>
      </c>
      <c r="J977" s="1121">
        <v>86.539998626708979</v>
      </c>
      <c r="K977" s="1122">
        <v>72.5</v>
      </c>
      <c r="L977" s="1120">
        <v>5589</v>
      </c>
      <c r="M977" s="1120">
        <v>639</v>
      </c>
      <c r="N977" s="1123">
        <v>24.079999828338622</v>
      </c>
      <c r="O977" s="1123">
        <v>30.740000021457671</v>
      </c>
      <c r="P977" s="1123">
        <v>43.7</v>
      </c>
      <c r="Q977" s="1123">
        <v>52.159999656677243</v>
      </c>
      <c r="R977" s="1123">
        <v>57.559999656677249</v>
      </c>
      <c r="S977" s="1123">
        <v>65.3</v>
      </c>
      <c r="T977" s="1123">
        <v>73.219999313354492</v>
      </c>
      <c r="U977" s="1123">
        <v>69.439998626708984</v>
      </c>
      <c r="V977" s="1123">
        <v>64.760001373291018</v>
      </c>
      <c r="W977" s="1123">
        <v>53.6</v>
      </c>
      <c r="X977" s="1123">
        <v>45.140000343322754</v>
      </c>
      <c r="Y977" s="1123">
        <v>28.939999914169313</v>
      </c>
      <c r="Z977" s="1123">
        <v>50.817150573469192</v>
      </c>
      <c r="AA977" s="1123">
        <f t="shared" si="1126"/>
        <v>46.640742528156537</v>
      </c>
      <c r="AB977" s="1123">
        <f t="shared" si="1127"/>
        <v>45.319800666378228</v>
      </c>
      <c r="AC977" s="1123">
        <f t="shared" si="1128"/>
        <v>46.995820237408424</v>
      </c>
      <c r="AD977" s="1123">
        <f t="shared" si="1129"/>
        <v>51.231920911814704</v>
      </c>
      <c r="AE977" s="1123">
        <f t="shared" si="1130"/>
        <v>56.923897768525663</v>
      </c>
      <c r="AF977" s="1123">
        <f t="shared" si="1131"/>
        <v>62.588049323821075</v>
      </c>
      <c r="AG977" s="1123">
        <f t="shared" si="1132"/>
        <v>66.747927187595565</v>
      </c>
      <c r="AH977" s="1123">
        <f t="shared" si="1133"/>
        <v>68.319195088997986</v>
      </c>
      <c r="AI977" s="1123">
        <f t="shared" si="1134"/>
        <v>66.89227783555647</v>
      </c>
      <c r="AJ977" s="1123">
        <f t="shared" si="1135"/>
        <v>62.839123398841046</v>
      </c>
      <c r="AK977" s="1123">
        <f t="shared" si="1136"/>
        <v>57.216248943782126</v>
      </c>
      <c r="AL977" s="1123">
        <f t="shared" si="1137"/>
        <v>51.48934334820909</v>
      </c>
      <c r="AM977" s="1120">
        <f t="shared" si="1138"/>
        <v>1</v>
      </c>
      <c r="AN977" s="1120">
        <f t="shared" si="1139"/>
        <v>1</v>
      </c>
      <c r="AO977" s="1120">
        <f t="shared" si="1140"/>
        <v>1</v>
      </c>
      <c r="AP977" s="1120">
        <f t="shared" si="1141"/>
        <v>1</v>
      </c>
      <c r="AQ977" s="1120">
        <f t="shared" si="1142"/>
        <v>1</v>
      </c>
      <c r="AR977" s="1120">
        <f t="shared" si="1143"/>
        <v>1</v>
      </c>
      <c r="AS977" s="1120">
        <f t="shared" si="1144"/>
        <v>0</v>
      </c>
      <c r="AT977" s="1120">
        <f t="shared" si="1145"/>
        <v>0</v>
      </c>
      <c r="AU977" s="1120">
        <f t="shared" si="1146"/>
        <v>1</v>
      </c>
      <c r="AV977" s="1120">
        <f t="shared" si="1147"/>
        <v>1</v>
      </c>
      <c r="AW977" s="1120">
        <f t="shared" si="1148"/>
        <v>1</v>
      </c>
      <c r="AX977" s="1120">
        <f t="shared" si="1149"/>
        <v>1</v>
      </c>
      <c r="AY977" s="1120">
        <f t="shared" si="1150"/>
        <v>0</v>
      </c>
      <c r="AZ977" s="1120">
        <f t="shared" si="1151"/>
        <v>0</v>
      </c>
      <c r="BA977" s="1120">
        <f t="shared" si="1152"/>
        <v>0</v>
      </c>
      <c r="BB977" s="1120">
        <f t="shared" si="1153"/>
        <v>0</v>
      </c>
      <c r="BC977" s="1120">
        <f t="shared" si="1154"/>
        <v>0</v>
      </c>
      <c r="BD977" s="1120">
        <f t="shared" si="1155"/>
        <v>0</v>
      </c>
      <c r="BE977" s="1120">
        <f t="shared" si="1156"/>
        <v>1</v>
      </c>
      <c r="BF977" s="1120">
        <f t="shared" si="1157"/>
        <v>1</v>
      </c>
      <c r="BG977" s="1120">
        <f t="shared" si="1158"/>
        <v>0</v>
      </c>
      <c r="BH977" s="1120">
        <f t="shared" si="1159"/>
        <v>0</v>
      </c>
      <c r="BI977" s="1120">
        <f t="shared" si="1160"/>
        <v>0</v>
      </c>
      <c r="BJ977" s="1120">
        <f t="shared" si="1161"/>
        <v>0</v>
      </c>
      <c r="BK977" s="1120">
        <f t="shared" si="1162"/>
        <v>1</v>
      </c>
      <c r="BL977" s="1120">
        <f t="shared" si="1163"/>
        <v>1</v>
      </c>
      <c r="BM977" s="1120">
        <f t="shared" si="1164"/>
        <v>1</v>
      </c>
      <c r="BN977" s="1120">
        <f t="shared" si="1165"/>
        <v>1</v>
      </c>
      <c r="BO977" s="1120">
        <f t="shared" si="1166"/>
        <v>1</v>
      </c>
      <c r="BP977" s="1120">
        <f t="shared" si="1167"/>
        <v>1</v>
      </c>
      <c r="BQ977" s="1120">
        <f t="shared" si="1168"/>
        <v>1</v>
      </c>
      <c r="BR977" s="1120">
        <f t="shared" si="1169"/>
        <v>0</v>
      </c>
      <c r="BS977" s="1120">
        <f t="shared" si="1170"/>
        <v>1</v>
      </c>
      <c r="BT977" s="1120">
        <f t="shared" si="1171"/>
        <v>1</v>
      </c>
      <c r="BU977" s="1120">
        <f t="shared" si="1172"/>
        <v>1</v>
      </c>
      <c r="BV977" s="1120">
        <f t="shared" si="1173"/>
        <v>1</v>
      </c>
      <c r="BW977" s="1120">
        <f t="shared" si="1174"/>
        <v>0</v>
      </c>
      <c r="BX977" s="1120">
        <f t="shared" si="1175"/>
        <v>0</v>
      </c>
      <c r="BY977" s="1120">
        <f t="shared" si="1176"/>
        <v>0</v>
      </c>
      <c r="BZ977" s="1120">
        <f t="shared" si="1177"/>
        <v>0</v>
      </c>
      <c r="CA977" s="1120">
        <f t="shared" si="1178"/>
        <v>0</v>
      </c>
      <c r="CB977" s="1120">
        <f t="shared" si="1179"/>
        <v>1</v>
      </c>
      <c r="CC977" s="1120">
        <f t="shared" si="1180"/>
        <v>1</v>
      </c>
      <c r="CD977" s="1120">
        <f t="shared" si="1181"/>
        <v>1</v>
      </c>
      <c r="CE977" s="1120">
        <f t="shared" si="1182"/>
        <v>1</v>
      </c>
      <c r="CF977" s="1120">
        <f t="shared" si="1183"/>
        <v>0</v>
      </c>
      <c r="CG977" s="1120">
        <f t="shared" si="1184"/>
        <v>0</v>
      </c>
      <c r="CH977" s="1120">
        <f t="shared" si="1185"/>
        <v>0</v>
      </c>
      <c r="CI977" s="1120">
        <f t="shared" si="1186"/>
        <v>0.85</v>
      </c>
      <c r="CJ977" s="1120">
        <f t="shared" si="1187"/>
        <v>0.85</v>
      </c>
      <c r="CK977" s="1120">
        <f t="shared" si="1188"/>
        <v>0.85</v>
      </c>
      <c r="CL977" s="1120">
        <f t="shared" si="1189"/>
        <v>0.85</v>
      </c>
      <c r="CM977" s="1120">
        <f t="shared" si="1190"/>
        <v>0.85</v>
      </c>
      <c r="CN977" s="1120">
        <f t="shared" si="1191"/>
        <v>0.85</v>
      </c>
      <c r="CO977" s="1120">
        <f t="shared" si="1192"/>
        <v>0.85</v>
      </c>
      <c r="CP977" s="1120">
        <f t="shared" si="1193"/>
        <v>0.7</v>
      </c>
      <c r="CQ977" s="1120">
        <f t="shared" si="1194"/>
        <v>0.85</v>
      </c>
      <c r="CR977" s="1120">
        <f t="shared" si="1195"/>
        <v>0.85</v>
      </c>
      <c r="CS977" s="1120">
        <f t="shared" si="1196"/>
        <v>0.85</v>
      </c>
      <c r="CT977" s="1120">
        <f t="shared" si="1197"/>
        <v>0.85</v>
      </c>
      <c r="CU977" s="1120">
        <v>1</v>
      </c>
      <c r="CV977" s="1120"/>
      <c r="CW977" s="1120">
        <f t="shared" si="1198"/>
        <v>122</v>
      </c>
      <c r="CX977" s="1120">
        <f t="shared" si="1199"/>
        <v>243</v>
      </c>
      <c r="CY977" s="1135" t="s">
        <v>4881</v>
      </c>
      <c r="CZ977" s="1124" t="s">
        <v>4885</v>
      </c>
      <c r="DA977" s="1124"/>
      <c r="DB977" s="1124"/>
      <c r="DC977" s="1120" t="s">
        <v>5489</v>
      </c>
      <c r="DD977" s="1120" t="s">
        <v>537</v>
      </c>
      <c r="DE977" s="1120" t="str">
        <f t="shared" si="1125"/>
        <v/>
      </c>
      <c r="DF977" s="1133">
        <v>1</v>
      </c>
      <c r="DG977" s="1125">
        <v>0</v>
      </c>
    </row>
    <row r="978" spans="1:111">
      <c r="A978" s="1120" t="s">
        <v>4624</v>
      </c>
      <c r="B978" s="1125" t="s">
        <v>3868</v>
      </c>
      <c r="C978" s="1125" t="s">
        <v>3869</v>
      </c>
      <c r="D978" s="1125" t="s">
        <v>1248</v>
      </c>
      <c r="E978" s="1125">
        <v>836</v>
      </c>
      <c r="F978" s="1125">
        <v>-93.55</v>
      </c>
      <c r="G978" s="1125">
        <v>38.72</v>
      </c>
      <c r="H978" s="1125">
        <v>-6</v>
      </c>
      <c r="I978" s="1126">
        <v>8.0599996566772454</v>
      </c>
      <c r="J978" s="1126">
        <v>93.379997253417969</v>
      </c>
      <c r="K978" s="1127">
        <v>75.739998626708982</v>
      </c>
      <c r="L978" s="1125">
        <v>4687.2</v>
      </c>
      <c r="M978" s="1125">
        <v>1398.6000000000001</v>
      </c>
      <c r="N978" s="1128">
        <v>34.339999914169312</v>
      </c>
      <c r="O978" s="1128">
        <v>37.039999914169314</v>
      </c>
      <c r="P978" s="1128">
        <v>40.1</v>
      </c>
      <c r="Q978" s="1128">
        <v>53.959999656677248</v>
      </c>
      <c r="R978" s="1128">
        <v>65.83999862670899</v>
      </c>
      <c r="S978" s="1128">
        <v>75.2</v>
      </c>
      <c r="T978" s="1128">
        <v>77.900000000000006</v>
      </c>
      <c r="U978" s="1128">
        <v>75.019999313354489</v>
      </c>
      <c r="V978" s="1128">
        <v>66.019999313354489</v>
      </c>
      <c r="W978" s="1128">
        <v>58.819999313354494</v>
      </c>
      <c r="X978" s="1128">
        <v>38.660000085830688</v>
      </c>
      <c r="Y978" s="1128">
        <v>40.279999828338624</v>
      </c>
      <c r="Z978" s="1128">
        <v>55.379780482592651</v>
      </c>
      <c r="AA978" s="1128">
        <f t="shared" si="1126"/>
        <v>51.101083177428876</v>
      </c>
      <c r="AB978" s="1128">
        <f t="shared" si="1127"/>
        <v>50.25664006290998</v>
      </c>
      <c r="AC978" s="1128">
        <f t="shared" si="1128"/>
        <v>52.311614911563858</v>
      </c>
      <c r="AD978" s="1128">
        <f t="shared" si="1129"/>
        <v>56.730346860967884</v>
      </c>
      <c r="AE978" s="1128">
        <f t="shared" si="1130"/>
        <v>62.361025333789335</v>
      </c>
      <c r="AF978" s="1128">
        <f t="shared" si="1131"/>
        <v>67.735927214705498</v>
      </c>
      <c r="AG978" s="1128">
        <f t="shared" si="1132"/>
        <v>71.45400149871034</v>
      </c>
      <c r="AH978" s="1128">
        <f t="shared" si="1133"/>
        <v>72.546074826418916</v>
      </c>
      <c r="AI978" s="1128">
        <f t="shared" si="1134"/>
        <v>70.72748145560459</v>
      </c>
      <c r="AJ978" s="1128">
        <f t="shared" si="1135"/>
        <v>66.472265773742279</v>
      </c>
      <c r="AK978" s="1128">
        <f t="shared" si="1136"/>
        <v>60.889615323167988</v>
      </c>
      <c r="AL978" s="1128">
        <f t="shared" si="1137"/>
        <v>55.434733975071488</v>
      </c>
      <c r="AM978" s="1125">
        <f t="shared" si="1138"/>
        <v>1</v>
      </c>
      <c r="AN978" s="1125">
        <f t="shared" si="1139"/>
        <v>1</v>
      </c>
      <c r="AO978" s="1125">
        <f t="shared" si="1140"/>
        <v>1</v>
      </c>
      <c r="AP978" s="1125">
        <f t="shared" si="1141"/>
        <v>1</v>
      </c>
      <c r="AQ978" s="1125">
        <f t="shared" si="1142"/>
        <v>1</v>
      </c>
      <c r="AR978" s="1125">
        <f t="shared" si="1143"/>
        <v>0</v>
      </c>
      <c r="AS978" s="1125">
        <f t="shared" si="1144"/>
        <v>0</v>
      </c>
      <c r="AT978" s="1125">
        <f t="shared" si="1145"/>
        <v>0</v>
      </c>
      <c r="AU978" s="1125">
        <f t="shared" si="1146"/>
        <v>0</v>
      </c>
      <c r="AV978" s="1125">
        <f t="shared" si="1147"/>
        <v>1</v>
      </c>
      <c r="AW978" s="1125">
        <f t="shared" si="1148"/>
        <v>1</v>
      </c>
      <c r="AX978" s="1125">
        <f t="shared" si="1149"/>
        <v>1</v>
      </c>
      <c r="AY978" s="1125">
        <f t="shared" si="1150"/>
        <v>0</v>
      </c>
      <c r="AZ978" s="1125">
        <f t="shared" si="1151"/>
        <v>0</v>
      </c>
      <c r="BA978" s="1125">
        <f t="shared" si="1152"/>
        <v>0</v>
      </c>
      <c r="BB978" s="1125">
        <f t="shared" si="1153"/>
        <v>0</v>
      </c>
      <c r="BC978" s="1125">
        <f t="shared" si="1154"/>
        <v>0</v>
      </c>
      <c r="BD978" s="1125">
        <f t="shared" si="1155"/>
        <v>1</v>
      </c>
      <c r="BE978" s="1125">
        <f t="shared" si="1156"/>
        <v>1</v>
      </c>
      <c r="BF978" s="1125">
        <f t="shared" si="1157"/>
        <v>1</v>
      </c>
      <c r="BG978" s="1125">
        <f t="shared" si="1158"/>
        <v>1</v>
      </c>
      <c r="BH978" s="1125">
        <f t="shared" si="1159"/>
        <v>0</v>
      </c>
      <c r="BI978" s="1125">
        <f t="shared" si="1160"/>
        <v>0</v>
      </c>
      <c r="BJ978" s="1125">
        <f t="shared" si="1161"/>
        <v>0</v>
      </c>
      <c r="BK978" s="1125">
        <f t="shared" si="1162"/>
        <v>1</v>
      </c>
      <c r="BL978" s="1125">
        <f t="shared" si="1163"/>
        <v>1</v>
      </c>
      <c r="BM978" s="1125">
        <f t="shared" si="1164"/>
        <v>1</v>
      </c>
      <c r="BN978" s="1125">
        <f t="shared" si="1165"/>
        <v>1</v>
      </c>
      <c r="BO978" s="1125">
        <f t="shared" si="1166"/>
        <v>1</v>
      </c>
      <c r="BP978" s="1125">
        <f t="shared" si="1167"/>
        <v>1</v>
      </c>
      <c r="BQ978" s="1125">
        <f t="shared" si="1168"/>
        <v>0</v>
      </c>
      <c r="BR978" s="1125">
        <f t="shared" si="1169"/>
        <v>0</v>
      </c>
      <c r="BS978" s="1125">
        <f t="shared" si="1170"/>
        <v>0</v>
      </c>
      <c r="BT978" s="1125">
        <f t="shared" si="1171"/>
        <v>1</v>
      </c>
      <c r="BU978" s="1125">
        <f t="shared" si="1172"/>
        <v>1</v>
      </c>
      <c r="BV978" s="1125">
        <f t="shared" si="1173"/>
        <v>1</v>
      </c>
      <c r="BW978" s="1125">
        <f t="shared" si="1174"/>
        <v>0</v>
      </c>
      <c r="BX978" s="1125">
        <f t="shared" si="1175"/>
        <v>0</v>
      </c>
      <c r="BY978" s="1125">
        <f t="shared" si="1176"/>
        <v>0</v>
      </c>
      <c r="BZ978" s="1125">
        <f t="shared" si="1177"/>
        <v>0</v>
      </c>
      <c r="CA978" s="1125">
        <f t="shared" si="1178"/>
        <v>1</v>
      </c>
      <c r="CB978" s="1125">
        <f t="shared" si="1179"/>
        <v>1</v>
      </c>
      <c r="CC978" s="1125">
        <f t="shared" si="1180"/>
        <v>1</v>
      </c>
      <c r="CD978" s="1125">
        <f t="shared" si="1181"/>
        <v>1</v>
      </c>
      <c r="CE978" s="1125">
        <f t="shared" si="1182"/>
        <v>1</v>
      </c>
      <c r="CF978" s="1125">
        <f t="shared" si="1183"/>
        <v>1</v>
      </c>
      <c r="CG978" s="1125">
        <f t="shared" si="1184"/>
        <v>0</v>
      </c>
      <c r="CH978" s="1125">
        <f t="shared" si="1185"/>
        <v>0</v>
      </c>
      <c r="CI978" s="1125">
        <f t="shared" si="1186"/>
        <v>0.85</v>
      </c>
      <c r="CJ978" s="1125">
        <f t="shared" si="1187"/>
        <v>0.85</v>
      </c>
      <c r="CK978" s="1125">
        <f t="shared" si="1188"/>
        <v>0.85</v>
      </c>
      <c r="CL978" s="1125">
        <f t="shared" si="1189"/>
        <v>0.85</v>
      </c>
      <c r="CM978" s="1125">
        <f t="shared" si="1190"/>
        <v>0.85</v>
      </c>
      <c r="CN978" s="1125">
        <f t="shared" si="1191"/>
        <v>0.85</v>
      </c>
      <c r="CO978" s="1125">
        <f t="shared" si="1192"/>
        <v>0.7</v>
      </c>
      <c r="CP978" s="1125">
        <f t="shared" si="1193"/>
        <v>0.7</v>
      </c>
      <c r="CQ978" s="1125">
        <f t="shared" si="1194"/>
        <v>0.7</v>
      </c>
      <c r="CR978" s="1125">
        <f t="shared" si="1195"/>
        <v>0.85</v>
      </c>
      <c r="CS978" s="1125">
        <f t="shared" si="1196"/>
        <v>0.85</v>
      </c>
      <c r="CT978" s="1125">
        <f t="shared" si="1197"/>
        <v>0.85</v>
      </c>
      <c r="CU978" s="1125">
        <v>1</v>
      </c>
      <c r="CV978" s="1125"/>
      <c r="CW978" s="1125">
        <f t="shared" si="1198"/>
        <v>184</v>
      </c>
      <c r="CX978" s="1125">
        <f t="shared" si="1199"/>
        <v>181</v>
      </c>
      <c r="CY978" s="1136" t="s">
        <v>4881</v>
      </c>
      <c r="CZ978" s="1129" t="s">
        <v>4885</v>
      </c>
      <c r="DA978" s="1129"/>
      <c r="DB978" s="1129"/>
      <c r="DC978" s="1125" t="s">
        <v>5361</v>
      </c>
      <c r="DD978" s="1125" t="s">
        <v>1248</v>
      </c>
      <c r="DE978" s="1120" t="str">
        <f t="shared" si="1125"/>
        <v/>
      </c>
      <c r="DF978" s="1133">
        <v>0</v>
      </c>
      <c r="DG978" s="1120">
        <v>0</v>
      </c>
    </row>
    <row r="979" spans="1:111">
      <c r="A979" s="1125" t="s">
        <v>4626</v>
      </c>
      <c r="B979" s="1120" t="s">
        <v>3344</v>
      </c>
      <c r="C979" s="1120" t="s">
        <v>3345</v>
      </c>
      <c r="D979" s="1120" t="s">
        <v>594</v>
      </c>
      <c r="E979" s="1120">
        <v>177</v>
      </c>
      <c r="F979" s="1120">
        <v>-87.02</v>
      </c>
      <c r="G979" s="1120">
        <v>30.72</v>
      </c>
      <c r="H979" s="1120">
        <v>-6</v>
      </c>
      <c r="I979" s="1121">
        <v>31.1</v>
      </c>
      <c r="J979" s="1121">
        <v>92.83999862670899</v>
      </c>
      <c r="K979" s="1122">
        <v>76.819999313354487</v>
      </c>
      <c r="L979" s="1120">
        <v>1675.8</v>
      </c>
      <c r="M979" s="1120">
        <v>2307.6</v>
      </c>
      <c r="N979" s="1123">
        <v>52.519999313354489</v>
      </c>
      <c r="O979" s="1123">
        <v>53.780000686645508</v>
      </c>
      <c r="P979" s="1123">
        <v>55.759999656677245</v>
      </c>
      <c r="Q979" s="1123">
        <v>65.480000686645511</v>
      </c>
      <c r="R979" s="1123">
        <v>73.400000000000006</v>
      </c>
      <c r="S979" s="1123">
        <v>78.8</v>
      </c>
      <c r="T979" s="1123">
        <v>79.519999313354489</v>
      </c>
      <c r="U979" s="1123">
        <v>80.060001373291016</v>
      </c>
      <c r="V979" s="1123">
        <v>75.2</v>
      </c>
      <c r="W979" s="1123">
        <v>66.019999313354489</v>
      </c>
      <c r="X979" s="1123">
        <v>62.239998626708989</v>
      </c>
      <c r="Y979" s="1123">
        <v>50.180000686645506</v>
      </c>
      <c r="Z979" s="1123">
        <v>66.133424624612886</v>
      </c>
      <c r="AA979" s="1123">
        <f t="shared" si="1126"/>
        <v>63.077314478154598</v>
      </c>
      <c r="AB979" s="1123">
        <f t="shared" si="1127"/>
        <v>63.251275366896294</v>
      </c>
      <c r="AC979" s="1123">
        <f t="shared" si="1128"/>
        <v>65.740505337725153</v>
      </c>
      <c r="AD979" s="1123">
        <f t="shared" si="1129"/>
        <v>69.896148238549614</v>
      </c>
      <c r="AE979" s="1123">
        <f t="shared" si="1130"/>
        <v>74.634971706874211</v>
      </c>
      <c r="AF979" s="1123">
        <f t="shared" si="1131"/>
        <v>78.721728378199941</v>
      </c>
      <c r="AG979" s="1123">
        <f t="shared" si="1132"/>
        <v>81.091142147319118</v>
      </c>
      <c r="AH979" s="1123">
        <f t="shared" si="1133"/>
        <v>81.125588801539379</v>
      </c>
      <c r="AI979" s="1123">
        <f t="shared" si="1134"/>
        <v>78.816089289599205</v>
      </c>
      <c r="AJ979" s="1123">
        <f t="shared" si="1135"/>
        <v>74.764650249750574</v>
      </c>
      <c r="AK979" s="1123">
        <f t="shared" si="1136"/>
        <v>70.027341702295544</v>
      </c>
      <c r="AL979" s="1123">
        <f t="shared" si="1137"/>
        <v>65.839016124262784</v>
      </c>
      <c r="AM979" s="1120">
        <f t="shared" si="1138"/>
        <v>1</v>
      </c>
      <c r="AN979" s="1120">
        <f t="shared" si="1139"/>
        <v>1</v>
      </c>
      <c r="AO979" s="1120">
        <f t="shared" si="1140"/>
        <v>1</v>
      </c>
      <c r="AP979" s="1120">
        <f t="shared" si="1141"/>
        <v>1</v>
      </c>
      <c r="AQ979" s="1120">
        <f t="shared" si="1142"/>
        <v>0</v>
      </c>
      <c r="AR979" s="1120">
        <f t="shared" si="1143"/>
        <v>0</v>
      </c>
      <c r="AS979" s="1120">
        <f t="shared" si="1144"/>
        <v>0</v>
      </c>
      <c r="AT979" s="1120">
        <f t="shared" si="1145"/>
        <v>0</v>
      </c>
      <c r="AU979" s="1120">
        <f t="shared" si="1146"/>
        <v>0</v>
      </c>
      <c r="AV979" s="1120">
        <f t="shared" si="1147"/>
        <v>0</v>
      </c>
      <c r="AW979" s="1120">
        <f t="shared" si="1148"/>
        <v>1</v>
      </c>
      <c r="AX979" s="1120">
        <f t="shared" si="1149"/>
        <v>1</v>
      </c>
      <c r="AY979" s="1120">
        <f t="shared" si="1150"/>
        <v>0</v>
      </c>
      <c r="AZ979" s="1120">
        <f t="shared" si="1151"/>
        <v>0</v>
      </c>
      <c r="BA979" s="1120">
        <f t="shared" si="1152"/>
        <v>0</v>
      </c>
      <c r="BB979" s="1120">
        <f t="shared" si="1153"/>
        <v>0</v>
      </c>
      <c r="BC979" s="1120">
        <f t="shared" si="1154"/>
        <v>1</v>
      </c>
      <c r="BD979" s="1120">
        <f t="shared" si="1155"/>
        <v>1</v>
      </c>
      <c r="BE979" s="1120">
        <f t="shared" si="1156"/>
        <v>1</v>
      </c>
      <c r="BF979" s="1120">
        <f t="shared" si="1157"/>
        <v>1</v>
      </c>
      <c r="BG979" s="1120">
        <f t="shared" si="1158"/>
        <v>1</v>
      </c>
      <c r="BH979" s="1120">
        <f t="shared" si="1159"/>
        <v>1</v>
      </c>
      <c r="BI979" s="1120">
        <f t="shared" si="1160"/>
        <v>0</v>
      </c>
      <c r="BJ979" s="1120">
        <f t="shared" si="1161"/>
        <v>0</v>
      </c>
      <c r="BK979" s="1120">
        <f t="shared" si="1162"/>
        <v>1</v>
      </c>
      <c r="BL979" s="1120">
        <f t="shared" si="1163"/>
        <v>1</v>
      </c>
      <c r="BM979" s="1120">
        <f t="shared" si="1164"/>
        <v>1</v>
      </c>
      <c r="BN979" s="1120">
        <f t="shared" si="1165"/>
        <v>1</v>
      </c>
      <c r="BO979" s="1120">
        <f t="shared" si="1166"/>
        <v>1</v>
      </c>
      <c r="BP979" s="1120">
        <f t="shared" si="1167"/>
        <v>0</v>
      </c>
      <c r="BQ979" s="1120">
        <f t="shared" si="1168"/>
        <v>0</v>
      </c>
      <c r="BR979" s="1120">
        <f t="shared" si="1169"/>
        <v>0</v>
      </c>
      <c r="BS979" s="1120">
        <f t="shared" si="1170"/>
        <v>0</v>
      </c>
      <c r="BT979" s="1120">
        <f t="shared" si="1171"/>
        <v>0</v>
      </c>
      <c r="BU979" s="1120">
        <f t="shared" si="1172"/>
        <v>1</v>
      </c>
      <c r="BV979" s="1120">
        <f t="shared" si="1173"/>
        <v>1</v>
      </c>
      <c r="BW979" s="1120">
        <f t="shared" si="1174"/>
        <v>0</v>
      </c>
      <c r="BX979" s="1120">
        <f t="shared" si="1175"/>
        <v>0</v>
      </c>
      <c r="BY979" s="1120">
        <f t="shared" si="1176"/>
        <v>0</v>
      </c>
      <c r="BZ979" s="1120">
        <f t="shared" si="1177"/>
        <v>1</v>
      </c>
      <c r="CA979" s="1120">
        <f t="shared" si="1178"/>
        <v>1</v>
      </c>
      <c r="CB979" s="1120">
        <f t="shared" si="1179"/>
        <v>1</v>
      </c>
      <c r="CC979" s="1120">
        <f t="shared" si="1180"/>
        <v>1</v>
      </c>
      <c r="CD979" s="1120">
        <f t="shared" si="1181"/>
        <v>1</v>
      </c>
      <c r="CE979" s="1120">
        <f t="shared" si="1182"/>
        <v>1</v>
      </c>
      <c r="CF979" s="1120">
        <f t="shared" si="1183"/>
        <v>1</v>
      </c>
      <c r="CG979" s="1120">
        <f t="shared" si="1184"/>
        <v>1</v>
      </c>
      <c r="CH979" s="1120">
        <f t="shared" si="1185"/>
        <v>0</v>
      </c>
      <c r="CI979" s="1120">
        <f t="shared" si="1186"/>
        <v>0.85</v>
      </c>
      <c r="CJ979" s="1120">
        <f t="shared" si="1187"/>
        <v>0.85</v>
      </c>
      <c r="CK979" s="1120">
        <f t="shared" si="1188"/>
        <v>0.85</v>
      </c>
      <c r="CL979" s="1120">
        <f t="shared" si="1189"/>
        <v>0.85</v>
      </c>
      <c r="CM979" s="1120">
        <f t="shared" si="1190"/>
        <v>0.85</v>
      </c>
      <c r="CN979" s="1120">
        <f t="shared" si="1191"/>
        <v>0.7</v>
      </c>
      <c r="CO979" s="1120">
        <f t="shared" si="1192"/>
        <v>0.7</v>
      </c>
      <c r="CP979" s="1120">
        <f t="shared" si="1193"/>
        <v>0.7</v>
      </c>
      <c r="CQ979" s="1120">
        <f t="shared" si="1194"/>
        <v>0.7</v>
      </c>
      <c r="CR979" s="1120">
        <f t="shared" si="1195"/>
        <v>0.7</v>
      </c>
      <c r="CS979" s="1120">
        <f t="shared" si="1196"/>
        <v>0.85</v>
      </c>
      <c r="CT979" s="1120">
        <f t="shared" si="1197"/>
        <v>0.85</v>
      </c>
      <c r="CU979" s="1120">
        <v>1</v>
      </c>
      <c r="CV979" s="1120"/>
      <c r="CW979" s="1120">
        <f t="shared" si="1198"/>
        <v>244</v>
      </c>
      <c r="CX979" s="1120">
        <f t="shared" si="1199"/>
        <v>121</v>
      </c>
      <c r="CY979" s="1135" t="s">
        <v>4883</v>
      </c>
      <c r="CZ979" s="1124" t="s">
        <v>4884</v>
      </c>
      <c r="DA979" s="1124"/>
      <c r="DB979" s="1124"/>
      <c r="DC979" s="1120" t="s">
        <v>5129</v>
      </c>
      <c r="DD979" s="1120" t="s">
        <v>594</v>
      </c>
      <c r="DE979" s="1120" t="str">
        <f t="shared" si="1125"/>
        <v/>
      </c>
      <c r="DF979" s="1133">
        <v>1</v>
      </c>
      <c r="DG979" s="1125">
        <v>0</v>
      </c>
    </row>
    <row r="980" spans="1:111">
      <c r="A980" s="1120" t="s">
        <v>4628</v>
      </c>
      <c r="B980" s="1125" t="s">
        <v>62</v>
      </c>
      <c r="C980" s="1125" t="s">
        <v>63</v>
      </c>
      <c r="D980" s="1125" t="s">
        <v>953</v>
      </c>
      <c r="E980" s="1125">
        <v>30</v>
      </c>
      <c r="F980" s="1125">
        <v>-148.68</v>
      </c>
      <c r="G980" s="1125">
        <v>60.77</v>
      </c>
      <c r="H980" s="1125">
        <v>-9</v>
      </c>
      <c r="I980" s="1126">
        <v>9.5</v>
      </c>
      <c r="J980" s="1126">
        <v>67.460001373291021</v>
      </c>
      <c r="K980" s="1127">
        <v>57.919999313354495</v>
      </c>
      <c r="L980" s="1125">
        <v>9144</v>
      </c>
      <c r="M980" s="1125">
        <v>0</v>
      </c>
      <c r="N980" s="1128">
        <v>28.4</v>
      </c>
      <c r="O980" s="1128">
        <v>29.660000085830688</v>
      </c>
      <c r="P980" s="1128">
        <v>30.2</v>
      </c>
      <c r="Q980" s="1128">
        <v>35.060000085830687</v>
      </c>
      <c r="R980" s="1128">
        <v>46.580000686645505</v>
      </c>
      <c r="S980" s="1128">
        <v>53.6</v>
      </c>
      <c r="T980" s="1128">
        <v>53.780000686645508</v>
      </c>
      <c r="U980" s="1128">
        <v>52.880000686645509</v>
      </c>
      <c r="V980" s="1128">
        <v>47.840000343322757</v>
      </c>
      <c r="W980" s="1128">
        <v>35.419999957084656</v>
      </c>
      <c r="X980" s="1128">
        <v>28.939999914169313</v>
      </c>
      <c r="Y980" s="1128">
        <v>29.119999957084655</v>
      </c>
      <c r="Z980" s="1128">
        <v>39.34646595589102</v>
      </c>
      <c r="AA980" s="1128">
        <f t="shared" si="1126"/>
        <v>41.86545591957573</v>
      </c>
      <c r="AB980" s="1128">
        <f t="shared" si="1127"/>
        <v>40.922752555377159</v>
      </c>
      <c r="AC980" s="1128">
        <f t="shared" si="1128"/>
        <v>41.133158260509553</v>
      </c>
      <c r="AD980" s="1128">
        <f t="shared" si="1129"/>
        <v>42.441827545480102</v>
      </c>
      <c r="AE980" s="1128">
        <f t="shared" si="1130"/>
        <v>44.50763559395709</v>
      </c>
      <c r="AF980" s="1128">
        <f t="shared" si="1131"/>
        <v>46.792097703039325</v>
      </c>
      <c r="AG980" s="1128">
        <f t="shared" si="1132"/>
        <v>48.699733619367784</v>
      </c>
      <c r="AH980" s="1128">
        <f t="shared" si="1133"/>
        <v>49.733288643792129</v>
      </c>
      <c r="AI980" s="1128">
        <f t="shared" si="1134"/>
        <v>49.623350731631106</v>
      </c>
      <c r="AJ980" s="1128">
        <f t="shared" si="1135"/>
        <v>48.398576893883991</v>
      </c>
      <c r="AK980" s="1128">
        <f t="shared" si="1136"/>
        <v>46.378223305695734</v>
      </c>
      <c r="AL980" s="1128">
        <f t="shared" si="1137"/>
        <v>44.088926264418831</v>
      </c>
      <c r="AM980" s="1125">
        <f t="shared" si="1138"/>
        <v>1</v>
      </c>
      <c r="AN980" s="1125">
        <f t="shared" si="1139"/>
        <v>1</v>
      </c>
      <c r="AO980" s="1125">
        <f t="shared" si="1140"/>
        <v>1</v>
      </c>
      <c r="AP980" s="1125">
        <f t="shared" si="1141"/>
        <v>1</v>
      </c>
      <c r="AQ980" s="1125">
        <f t="shared" si="1142"/>
        <v>1</v>
      </c>
      <c r="AR980" s="1125">
        <f t="shared" si="1143"/>
        <v>1</v>
      </c>
      <c r="AS980" s="1125">
        <f t="shared" si="1144"/>
        <v>1</v>
      </c>
      <c r="AT980" s="1125">
        <f t="shared" si="1145"/>
        <v>1</v>
      </c>
      <c r="AU980" s="1125">
        <f t="shared" si="1146"/>
        <v>1</v>
      </c>
      <c r="AV980" s="1125">
        <f t="shared" si="1147"/>
        <v>1</v>
      </c>
      <c r="AW980" s="1125">
        <f t="shared" si="1148"/>
        <v>1</v>
      </c>
      <c r="AX980" s="1125">
        <f t="shared" si="1149"/>
        <v>1</v>
      </c>
      <c r="AY980" s="1125">
        <f t="shared" si="1150"/>
        <v>0</v>
      </c>
      <c r="AZ980" s="1125">
        <f t="shared" si="1151"/>
        <v>0</v>
      </c>
      <c r="BA980" s="1125">
        <f t="shared" si="1152"/>
        <v>0</v>
      </c>
      <c r="BB980" s="1125">
        <f t="shared" si="1153"/>
        <v>0</v>
      </c>
      <c r="BC980" s="1125">
        <f t="shared" si="1154"/>
        <v>0</v>
      </c>
      <c r="BD980" s="1125">
        <f t="shared" si="1155"/>
        <v>0</v>
      </c>
      <c r="BE980" s="1125">
        <f t="shared" si="1156"/>
        <v>1</v>
      </c>
      <c r="BF980" s="1125">
        <f t="shared" si="1157"/>
        <v>1</v>
      </c>
      <c r="BG980" s="1125">
        <f t="shared" si="1158"/>
        <v>0</v>
      </c>
      <c r="BH980" s="1125">
        <f t="shared" si="1159"/>
        <v>0</v>
      </c>
      <c r="BI980" s="1125">
        <f t="shared" si="1160"/>
        <v>0</v>
      </c>
      <c r="BJ980" s="1125">
        <f t="shared" si="1161"/>
        <v>0</v>
      </c>
      <c r="BK980" s="1125">
        <f t="shared" si="1162"/>
        <v>1</v>
      </c>
      <c r="BL980" s="1125">
        <f t="shared" si="1163"/>
        <v>1</v>
      </c>
      <c r="BM980" s="1125">
        <f t="shared" si="1164"/>
        <v>1</v>
      </c>
      <c r="BN980" s="1125">
        <f t="shared" si="1165"/>
        <v>1</v>
      </c>
      <c r="BO980" s="1125">
        <f t="shared" si="1166"/>
        <v>1</v>
      </c>
      <c r="BP980" s="1125">
        <f t="shared" si="1167"/>
        <v>1</v>
      </c>
      <c r="BQ980" s="1125">
        <f t="shared" si="1168"/>
        <v>1</v>
      </c>
      <c r="BR980" s="1125">
        <f t="shared" si="1169"/>
        <v>1</v>
      </c>
      <c r="BS980" s="1125">
        <f t="shared" si="1170"/>
        <v>1</v>
      </c>
      <c r="BT980" s="1125">
        <f t="shared" si="1171"/>
        <v>1</v>
      </c>
      <c r="BU980" s="1125">
        <f t="shared" si="1172"/>
        <v>1</v>
      </c>
      <c r="BV980" s="1125">
        <f t="shared" si="1173"/>
        <v>1</v>
      </c>
      <c r="BW980" s="1125">
        <f t="shared" si="1174"/>
        <v>0</v>
      </c>
      <c r="BX980" s="1125">
        <f t="shared" si="1175"/>
        <v>0</v>
      </c>
      <c r="BY980" s="1125">
        <f t="shared" si="1176"/>
        <v>0</v>
      </c>
      <c r="BZ980" s="1125">
        <f t="shared" si="1177"/>
        <v>0</v>
      </c>
      <c r="CA980" s="1125">
        <f t="shared" si="1178"/>
        <v>0</v>
      </c>
      <c r="CB980" s="1125">
        <f t="shared" si="1179"/>
        <v>0</v>
      </c>
      <c r="CC980" s="1125">
        <f t="shared" si="1180"/>
        <v>1</v>
      </c>
      <c r="CD980" s="1125">
        <f t="shared" si="1181"/>
        <v>1</v>
      </c>
      <c r="CE980" s="1125">
        <f t="shared" si="1182"/>
        <v>0</v>
      </c>
      <c r="CF980" s="1125">
        <f t="shared" si="1183"/>
        <v>0</v>
      </c>
      <c r="CG980" s="1125">
        <f t="shared" si="1184"/>
        <v>0</v>
      </c>
      <c r="CH980" s="1125">
        <f t="shared" si="1185"/>
        <v>0</v>
      </c>
      <c r="CI980" s="1125">
        <f t="shared" si="1186"/>
        <v>0.85</v>
      </c>
      <c r="CJ980" s="1125">
        <f t="shared" si="1187"/>
        <v>0.85</v>
      </c>
      <c r="CK980" s="1125">
        <f t="shared" si="1188"/>
        <v>0.85</v>
      </c>
      <c r="CL980" s="1125">
        <f t="shared" si="1189"/>
        <v>0.85</v>
      </c>
      <c r="CM980" s="1125">
        <f t="shared" si="1190"/>
        <v>0.85</v>
      </c>
      <c r="CN980" s="1125">
        <f t="shared" si="1191"/>
        <v>0.85</v>
      </c>
      <c r="CO980" s="1125">
        <f t="shared" si="1192"/>
        <v>0.85</v>
      </c>
      <c r="CP980" s="1125">
        <f t="shared" si="1193"/>
        <v>0.85</v>
      </c>
      <c r="CQ980" s="1125">
        <f t="shared" si="1194"/>
        <v>0.85</v>
      </c>
      <c r="CR980" s="1125">
        <f t="shared" si="1195"/>
        <v>0.85</v>
      </c>
      <c r="CS980" s="1125">
        <f t="shared" si="1196"/>
        <v>0.85</v>
      </c>
      <c r="CT980" s="1125">
        <f t="shared" si="1197"/>
        <v>0.85</v>
      </c>
      <c r="CU980" s="1125">
        <v>1</v>
      </c>
      <c r="CV980" s="1125"/>
      <c r="CW980" s="1125">
        <f t="shared" si="1198"/>
        <v>62</v>
      </c>
      <c r="CX980" s="1125">
        <f t="shared" si="1199"/>
        <v>303</v>
      </c>
      <c r="CY980" s="1136" t="s">
        <v>4879</v>
      </c>
      <c r="CZ980" s="1129">
        <v>7</v>
      </c>
      <c r="DA980" s="1129"/>
      <c r="DB980" s="1129"/>
      <c r="DC980" s="1125" t="s">
        <v>4971</v>
      </c>
      <c r="DD980" s="1125" t="s">
        <v>953</v>
      </c>
      <c r="DE980" s="1125" t="str">
        <f t="shared" ref="DE980:DE1012" si="1200">IF(AND(C980=DC980,D980=DD980),"",FALSE)</f>
        <v/>
      </c>
      <c r="DF980" s="1125">
        <v>0</v>
      </c>
      <c r="DG980" s="1120">
        <v>0</v>
      </c>
    </row>
    <row r="981" spans="1:111">
      <c r="A981" s="1125" t="s">
        <v>4630</v>
      </c>
      <c r="B981" s="1120" t="s">
        <v>3585</v>
      </c>
      <c r="C981" s="1120" t="s">
        <v>3586</v>
      </c>
      <c r="D981" s="1120" t="s">
        <v>256</v>
      </c>
      <c r="E981" s="1120">
        <v>1420</v>
      </c>
      <c r="F981" s="1120">
        <v>-97.22</v>
      </c>
      <c r="G981" s="1120">
        <v>37.75</v>
      </c>
      <c r="H981" s="1120">
        <v>-6</v>
      </c>
      <c r="I981" s="1121">
        <v>11.480000686645507</v>
      </c>
      <c r="J981" s="1121">
        <v>97.160001373291024</v>
      </c>
      <c r="K981" s="1122">
        <v>73.939998626708984</v>
      </c>
      <c r="L981" s="1120">
        <v>4685.4000000000005</v>
      </c>
      <c r="M981" s="1120">
        <v>1564.2</v>
      </c>
      <c r="N981" s="1123">
        <v>33.980000042915343</v>
      </c>
      <c r="O981" s="1123">
        <v>37.039999914169314</v>
      </c>
      <c r="P981" s="1123">
        <v>47.840000343322757</v>
      </c>
      <c r="Q981" s="1123">
        <v>56.3</v>
      </c>
      <c r="R981" s="1123">
        <v>62.6</v>
      </c>
      <c r="S981" s="1123">
        <v>76.639998626708987</v>
      </c>
      <c r="T981" s="1123">
        <v>82.4</v>
      </c>
      <c r="U981" s="1123">
        <v>75.739998626708982</v>
      </c>
      <c r="V981" s="1123">
        <v>71.060001373291016</v>
      </c>
      <c r="W981" s="1123">
        <v>58.1</v>
      </c>
      <c r="X981" s="1123">
        <v>43.52000017166138</v>
      </c>
      <c r="Y981" s="1123">
        <v>24.079999828338622</v>
      </c>
      <c r="Z981" s="1123">
        <v>55.862082100894355</v>
      </c>
      <c r="AA981" s="1123">
        <f t="shared" si="1126"/>
        <v>47.922192214936054</v>
      </c>
      <c r="AB981" s="1123">
        <f t="shared" si="1127"/>
        <v>46.844421889124561</v>
      </c>
      <c r="AC981" s="1123">
        <f t="shared" si="1128"/>
        <v>49.681236126660032</v>
      </c>
      <c r="AD981" s="1123">
        <f t="shared" si="1129"/>
        <v>55.693175579898153</v>
      </c>
      <c r="AE981" s="1123">
        <f t="shared" si="1130"/>
        <v>63.313135583561035</v>
      </c>
      <c r="AF981" s="1123">
        <f t="shared" si="1131"/>
        <v>70.554856135555809</v>
      </c>
      <c r="AG981" s="1123">
        <f t="shared" si="1132"/>
        <v>75.530671175713266</v>
      </c>
      <c r="AH981" s="1123">
        <f t="shared" si="1133"/>
        <v>76.94355783418554</v>
      </c>
      <c r="AI981" s="1123">
        <f t="shared" si="1134"/>
        <v>74.425225430199347</v>
      </c>
      <c r="AJ981" s="1123">
        <f t="shared" si="1135"/>
        <v>68.632116113530756</v>
      </c>
      <c r="AK981" s="1123">
        <f t="shared" si="1136"/>
        <v>61.074293102086344</v>
      </c>
      <c r="AL981" s="1123">
        <f t="shared" si="1137"/>
        <v>53.721819433377185</v>
      </c>
      <c r="AM981" s="1120">
        <f t="shared" si="1138"/>
        <v>1</v>
      </c>
      <c r="AN981" s="1120">
        <f t="shared" si="1139"/>
        <v>1</v>
      </c>
      <c r="AO981" s="1120">
        <f t="shared" si="1140"/>
        <v>1</v>
      </c>
      <c r="AP981" s="1120">
        <f t="shared" si="1141"/>
        <v>1</v>
      </c>
      <c r="AQ981" s="1120">
        <f t="shared" si="1142"/>
        <v>1</v>
      </c>
      <c r="AR981" s="1120">
        <f t="shared" si="1143"/>
        <v>0</v>
      </c>
      <c r="AS981" s="1120">
        <f t="shared" si="1144"/>
        <v>0</v>
      </c>
      <c r="AT981" s="1120">
        <f t="shared" si="1145"/>
        <v>0</v>
      </c>
      <c r="AU981" s="1120">
        <f t="shared" si="1146"/>
        <v>0</v>
      </c>
      <c r="AV981" s="1120">
        <f t="shared" si="1147"/>
        <v>1</v>
      </c>
      <c r="AW981" s="1120">
        <f t="shared" si="1148"/>
        <v>1</v>
      </c>
      <c r="AX981" s="1120">
        <f t="shared" si="1149"/>
        <v>1</v>
      </c>
      <c r="AY981" s="1120">
        <f t="shared" si="1150"/>
        <v>0</v>
      </c>
      <c r="AZ981" s="1120">
        <f t="shared" si="1151"/>
        <v>0</v>
      </c>
      <c r="BA981" s="1120">
        <f t="shared" si="1152"/>
        <v>0</v>
      </c>
      <c r="BB981" s="1120">
        <f t="shared" si="1153"/>
        <v>0</v>
      </c>
      <c r="BC981" s="1120">
        <f t="shared" si="1154"/>
        <v>0</v>
      </c>
      <c r="BD981" s="1120">
        <f t="shared" si="1155"/>
        <v>1</v>
      </c>
      <c r="BE981" s="1120">
        <f t="shared" si="1156"/>
        <v>1</v>
      </c>
      <c r="BF981" s="1120">
        <f t="shared" si="1157"/>
        <v>1</v>
      </c>
      <c r="BG981" s="1120">
        <f t="shared" si="1158"/>
        <v>1</v>
      </c>
      <c r="BH981" s="1120">
        <f t="shared" si="1159"/>
        <v>0</v>
      </c>
      <c r="BI981" s="1120">
        <f t="shared" si="1160"/>
        <v>0</v>
      </c>
      <c r="BJ981" s="1120">
        <f t="shared" si="1161"/>
        <v>0</v>
      </c>
      <c r="BK981" s="1120">
        <f t="shared" si="1162"/>
        <v>1</v>
      </c>
      <c r="BL981" s="1120">
        <f t="shared" si="1163"/>
        <v>1</v>
      </c>
      <c r="BM981" s="1120">
        <f t="shared" si="1164"/>
        <v>1</v>
      </c>
      <c r="BN981" s="1120">
        <f t="shared" si="1165"/>
        <v>1</v>
      </c>
      <c r="BO981" s="1120">
        <f t="shared" si="1166"/>
        <v>1</v>
      </c>
      <c r="BP981" s="1120">
        <f t="shared" si="1167"/>
        <v>1</v>
      </c>
      <c r="BQ981" s="1120">
        <f t="shared" si="1168"/>
        <v>0</v>
      </c>
      <c r="BR981" s="1120">
        <f t="shared" si="1169"/>
        <v>0</v>
      </c>
      <c r="BS981" s="1120">
        <f t="shared" si="1170"/>
        <v>0</v>
      </c>
      <c r="BT981" s="1120">
        <f t="shared" si="1171"/>
        <v>1</v>
      </c>
      <c r="BU981" s="1120">
        <f t="shared" si="1172"/>
        <v>1</v>
      </c>
      <c r="BV981" s="1120">
        <f t="shared" si="1173"/>
        <v>1</v>
      </c>
      <c r="BW981" s="1120">
        <f t="shared" si="1174"/>
        <v>0</v>
      </c>
      <c r="BX981" s="1120">
        <f t="shared" si="1175"/>
        <v>0</v>
      </c>
      <c r="BY981" s="1120">
        <f t="shared" si="1176"/>
        <v>0</v>
      </c>
      <c r="BZ981" s="1120">
        <f t="shared" si="1177"/>
        <v>0</v>
      </c>
      <c r="CA981" s="1120">
        <f t="shared" si="1178"/>
        <v>1</v>
      </c>
      <c r="CB981" s="1120">
        <f t="shared" si="1179"/>
        <v>1</v>
      </c>
      <c r="CC981" s="1120">
        <f t="shared" si="1180"/>
        <v>1</v>
      </c>
      <c r="CD981" s="1120">
        <f t="shared" si="1181"/>
        <v>1</v>
      </c>
      <c r="CE981" s="1120">
        <f t="shared" si="1182"/>
        <v>1</v>
      </c>
      <c r="CF981" s="1120">
        <f t="shared" si="1183"/>
        <v>1</v>
      </c>
      <c r="CG981" s="1120">
        <f t="shared" si="1184"/>
        <v>0</v>
      </c>
      <c r="CH981" s="1120">
        <f t="shared" si="1185"/>
        <v>0</v>
      </c>
      <c r="CI981" s="1120">
        <f t="shared" si="1186"/>
        <v>0.85</v>
      </c>
      <c r="CJ981" s="1120">
        <f t="shared" si="1187"/>
        <v>0.85</v>
      </c>
      <c r="CK981" s="1120">
        <f t="shared" si="1188"/>
        <v>0.85</v>
      </c>
      <c r="CL981" s="1120">
        <f t="shared" si="1189"/>
        <v>0.85</v>
      </c>
      <c r="CM981" s="1120">
        <f t="shared" si="1190"/>
        <v>0.85</v>
      </c>
      <c r="CN981" s="1120">
        <f t="shared" si="1191"/>
        <v>0.85</v>
      </c>
      <c r="CO981" s="1120">
        <f t="shared" si="1192"/>
        <v>0.7</v>
      </c>
      <c r="CP981" s="1120">
        <f t="shared" si="1193"/>
        <v>0.7</v>
      </c>
      <c r="CQ981" s="1120">
        <f t="shared" si="1194"/>
        <v>0.7</v>
      </c>
      <c r="CR981" s="1120">
        <f t="shared" si="1195"/>
        <v>0.85</v>
      </c>
      <c r="CS981" s="1120">
        <f t="shared" si="1196"/>
        <v>0.85</v>
      </c>
      <c r="CT981" s="1120">
        <f t="shared" si="1197"/>
        <v>0.85</v>
      </c>
      <c r="CU981" s="1120">
        <v>1</v>
      </c>
      <c r="CV981" s="1120"/>
      <c r="CW981" s="1120">
        <f t="shared" si="1198"/>
        <v>184</v>
      </c>
      <c r="CX981" s="1120">
        <f t="shared" si="1199"/>
        <v>181</v>
      </c>
      <c r="CY981" s="1136" t="s">
        <v>4881</v>
      </c>
      <c r="CZ981" s="1129" t="s">
        <v>4885</v>
      </c>
      <c r="DA981" s="1129"/>
      <c r="DB981" s="1129"/>
      <c r="DC981" s="1125" t="s">
        <v>5971</v>
      </c>
      <c r="DD981" s="1125" t="s">
        <v>256</v>
      </c>
      <c r="DE981" s="1120" t="b">
        <f t="shared" si="1200"/>
        <v>0</v>
      </c>
      <c r="DF981" s="1133">
        <v>0</v>
      </c>
      <c r="DG981" s="1125">
        <v>0</v>
      </c>
    </row>
    <row r="982" spans="1:111">
      <c r="A982" s="1120" t="s">
        <v>4632</v>
      </c>
      <c r="B982" s="1120" t="s">
        <v>4458</v>
      </c>
      <c r="C982" s="1120" t="s">
        <v>4459</v>
      </c>
      <c r="D982" s="1120" t="s">
        <v>228</v>
      </c>
      <c r="E982" s="1120">
        <v>1030</v>
      </c>
      <c r="F982" s="1120">
        <v>-98.5</v>
      </c>
      <c r="G982" s="1120">
        <v>33.979999999999997</v>
      </c>
      <c r="H982" s="1120">
        <v>-6</v>
      </c>
      <c r="I982" s="1121">
        <v>21.2</v>
      </c>
      <c r="J982" s="1121">
        <v>100.03999862670899</v>
      </c>
      <c r="K982" s="1122">
        <v>73.400000000000006</v>
      </c>
      <c r="L982" s="1120">
        <v>2818.8</v>
      </c>
      <c r="M982" s="1120">
        <v>2379.6</v>
      </c>
      <c r="N982" s="1123">
        <v>40.1</v>
      </c>
      <c r="O982" s="1123">
        <v>47.3</v>
      </c>
      <c r="P982" s="1123">
        <v>53.959999656677248</v>
      </c>
      <c r="Q982" s="1123">
        <v>63.680000686645506</v>
      </c>
      <c r="R982" s="1123">
        <v>71.419999313354495</v>
      </c>
      <c r="S982" s="1123">
        <v>79.33999862670899</v>
      </c>
      <c r="T982" s="1123">
        <v>84.739998626708982</v>
      </c>
      <c r="U982" s="1123">
        <v>81.680000686645513</v>
      </c>
      <c r="V982" s="1123">
        <v>75.739998626708982</v>
      </c>
      <c r="W982" s="1123">
        <v>64.400000000000006</v>
      </c>
      <c r="X982" s="1123">
        <v>51.980000686645511</v>
      </c>
      <c r="Y982" s="1123">
        <v>42.97999982833862</v>
      </c>
      <c r="Z982" s="1123">
        <v>63.189807945930795</v>
      </c>
      <c r="AA982" s="1123">
        <f t="shared" si="1126"/>
        <v>56.464617439648727</v>
      </c>
      <c r="AB982" s="1123">
        <f t="shared" si="1127"/>
        <v>56.370577790179446</v>
      </c>
      <c r="AC982" s="1123">
        <f t="shared" si="1128"/>
        <v>59.618068031123251</v>
      </c>
      <c r="AD982" s="1123">
        <f t="shared" si="1129"/>
        <v>65.360579785838667</v>
      </c>
      <c r="AE982" s="1123">
        <f t="shared" si="1130"/>
        <v>72.101238870674266</v>
      </c>
      <c r="AF982" s="1123">
        <f t="shared" si="1131"/>
        <v>78.082988618466828</v>
      </c>
      <c r="AG982" s="1123">
        <f t="shared" si="1132"/>
        <v>81.746593775900308</v>
      </c>
      <c r="AH982" s="1123">
        <f t="shared" si="1133"/>
        <v>82.137079200825212</v>
      </c>
      <c r="AI982" s="1123">
        <f t="shared" si="1134"/>
        <v>79.152658849672321</v>
      </c>
      <c r="AJ982" s="1123">
        <f t="shared" si="1135"/>
        <v>73.5712678782794</v>
      </c>
      <c r="AK982" s="1123">
        <f t="shared" si="1136"/>
        <v>66.847781855178425</v>
      </c>
      <c r="AL982" s="1123">
        <f t="shared" si="1137"/>
        <v>60.73478102434661</v>
      </c>
      <c r="AM982" s="1120">
        <f t="shared" si="1138"/>
        <v>1</v>
      </c>
      <c r="AN982" s="1120">
        <f t="shared" si="1139"/>
        <v>1</v>
      </c>
      <c r="AO982" s="1120">
        <f t="shared" si="1140"/>
        <v>1</v>
      </c>
      <c r="AP982" s="1120">
        <f t="shared" si="1141"/>
        <v>1</v>
      </c>
      <c r="AQ982" s="1120">
        <f t="shared" si="1142"/>
        <v>0</v>
      </c>
      <c r="AR982" s="1120">
        <f t="shared" si="1143"/>
        <v>0</v>
      </c>
      <c r="AS982" s="1120">
        <f t="shared" si="1144"/>
        <v>0</v>
      </c>
      <c r="AT982" s="1120">
        <f t="shared" si="1145"/>
        <v>0</v>
      </c>
      <c r="AU982" s="1120">
        <f t="shared" si="1146"/>
        <v>0</v>
      </c>
      <c r="AV982" s="1120">
        <f t="shared" si="1147"/>
        <v>1</v>
      </c>
      <c r="AW982" s="1120">
        <f t="shared" si="1148"/>
        <v>1</v>
      </c>
      <c r="AX982" s="1120">
        <f t="shared" si="1149"/>
        <v>1</v>
      </c>
      <c r="AY982" s="1120">
        <f t="shared" si="1150"/>
        <v>0</v>
      </c>
      <c r="AZ982" s="1120">
        <f t="shared" si="1151"/>
        <v>0</v>
      </c>
      <c r="BA982" s="1120">
        <f t="shared" si="1152"/>
        <v>0</v>
      </c>
      <c r="BB982" s="1120">
        <f t="shared" si="1153"/>
        <v>0</v>
      </c>
      <c r="BC982" s="1120">
        <f t="shared" si="1154"/>
        <v>1</v>
      </c>
      <c r="BD982" s="1120">
        <f t="shared" si="1155"/>
        <v>1</v>
      </c>
      <c r="BE982" s="1120">
        <f t="shared" si="1156"/>
        <v>1</v>
      </c>
      <c r="BF982" s="1120">
        <f t="shared" si="1157"/>
        <v>1</v>
      </c>
      <c r="BG982" s="1120">
        <f t="shared" si="1158"/>
        <v>1</v>
      </c>
      <c r="BH982" s="1120">
        <f t="shared" si="1159"/>
        <v>0</v>
      </c>
      <c r="BI982" s="1120">
        <f t="shared" si="1160"/>
        <v>0</v>
      </c>
      <c r="BJ982" s="1120">
        <f t="shared" si="1161"/>
        <v>0</v>
      </c>
      <c r="BK982" s="1120">
        <f t="shared" si="1162"/>
        <v>1</v>
      </c>
      <c r="BL982" s="1120">
        <f t="shared" si="1163"/>
        <v>1</v>
      </c>
      <c r="BM982" s="1120">
        <f t="shared" si="1164"/>
        <v>1</v>
      </c>
      <c r="BN982" s="1120">
        <f t="shared" si="1165"/>
        <v>1</v>
      </c>
      <c r="BO982" s="1120">
        <f t="shared" si="1166"/>
        <v>1</v>
      </c>
      <c r="BP982" s="1120">
        <f t="shared" si="1167"/>
        <v>0</v>
      </c>
      <c r="BQ982" s="1120">
        <f t="shared" si="1168"/>
        <v>0</v>
      </c>
      <c r="BR982" s="1120">
        <f t="shared" si="1169"/>
        <v>0</v>
      </c>
      <c r="BS982" s="1120">
        <f t="shared" si="1170"/>
        <v>0</v>
      </c>
      <c r="BT982" s="1120">
        <f t="shared" si="1171"/>
        <v>1</v>
      </c>
      <c r="BU982" s="1120">
        <f t="shared" si="1172"/>
        <v>1</v>
      </c>
      <c r="BV982" s="1120">
        <f t="shared" si="1173"/>
        <v>1</v>
      </c>
      <c r="BW982" s="1120">
        <f t="shared" si="1174"/>
        <v>0</v>
      </c>
      <c r="BX982" s="1120">
        <f t="shared" si="1175"/>
        <v>0</v>
      </c>
      <c r="BY982" s="1120">
        <f t="shared" si="1176"/>
        <v>0</v>
      </c>
      <c r="BZ982" s="1120">
        <f t="shared" si="1177"/>
        <v>1</v>
      </c>
      <c r="CA982" s="1120">
        <f t="shared" si="1178"/>
        <v>1</v>
      </c>
      <c r="CB982" s="1120">
        <f t="shared" si="1179"/>
        <v>1</v>
      </c>
      <c r="CC982" s="1120">
        <f t="shared" si="1180"/>
        <v>1</v>
      </c>
      <c r="CD982" s="1120">
        <f t="shared" si="1181"/>
        <v>1</v>
      </c>
      <c r="CE982" s="1120">
        <f t="shared" si="1182"/>
        <v>1</v>
      </c>
      <c r="CF982" s="1120">
        <f t="shared" si="1183"/>
        <v>1</v>
      </c>
      <c r="CG982" s="1120">
        <f t="shared" si="1184"/>
        <v>0</v>
      </c>
      <c r="CH982" s="1120">
        <f t="shared" si="1185"/>
        <v>0</v>
      </c>
      <c r="CI982" s="1120">
        <f t="shared" si="1186"/>
        <v>0.85</v>
      </c>
      <c r="CJ982" s="1120">
        <f t="shared" si="1187"/>
        <v>0.85</v>
      </c>
      <c r="CK982" s="1120">
        <f t="shared" si="1188"/>
        <v>0.85</v>
      </c>
      <c r="CL982" s="1120">
        <f t="shared" si="1189"/>
        <v>0.85</v>
      </c>
      <c r="CM982" s="1120">
        <f t="shared" si="1190"/>
        <v>0.85</v>
      </c>
      <c r="CN982" s="1120">
        <f t="shared" si="1191"/>
        <v>0.7</v>
      </c>
      <c r="CO982" s="1120">
        <f t="shared" si="1192"/>
        <v>0.7</v>
      </c>
      <c r="CP982" s="1120">
        <f t="shared" si="1193"/>
        <v>0.7</v>
      </c>
      <c r="CQ982" s="1120">
        <f t="shared" si="1194"/>
        <v>0.7</v>
      </c>
      <c r="CR982" s="1120">
        <f t="shared" si="1195"/>
        <v>0.85</v>
      </c>
      <c r="CS982" s="1120">
        <f t="shared" si="1196"/>
        <v>0.85</v>
      </c>
      <c r="CT982" s="1120">
        <f t="shared" si="1197"/>
        <v>0.85</v>
      </c>
      <c r="CU982" s="1120">
        <v>1</v>
      </c>
      <c r="CV982" s="1120"/>
      <c r="CW982" s="1120">
        <f t="shared" si="1198"/>
        <v>214</v>
      </c>
      <c r="CX982" s="1120">
        <f t="shared" si="1199"/>
        <v>151</v>
      </c>
      <c r="CY982" s="1135" t="s">
        <v>4881</v>
      </c>
      <c r="CZ982" s="1124" t="s">
        <v>4882</v>
      </c>
      <c r="DA982" s="1124"/>
      <c r="DB982" s="1124"/>
      <c r="DC982" s="1120" t="s">
        <v>5615</v>
      </c>
      <c r="DD982" s="1120" t="s">
        <v>228</v>
      </c>
      <c r="DE982" s="1120" t="str">
        <f t="shared" si="1200"/>
        <v/>
      </c>
      <c r="DF982" s="1133">
        <v>0</v>
      </c>
      <c r="DG982" s="1120">
        <v>0</v>
      </c>
    </row>
    <row r="983" spans="1:111">
      <c r="A983" s="1125" t="s">
        <v>3753</v>
      </c>
      <c r="B983" s="1125" t="s">
        <v>3589</v>
      </c>
      <c r="C983" s="1125" t="s">
        <v>3590</v>
      </c>
      <c r="D983" s="1125" t="s">
        <v>256</v>
      </c>
      <c r="E983" s="1125">
        <v>1319</v>
      </c>
      <c r="F983" s="1125">
        <v>-97.43</v>
      </c>
      <c r="G983" s="1125">
        <v>37.65</v>
      </c>
      <c r="H983" s="1125">
        <v>-6</v>
      </c>
      <c r="I983" s="1126">
        <v>10.580000686645507</v>
      </c>
      <c r="J983" s="1126">
        <v>97.160001373291024</v>
      </c>
      <c r="K983" s="1127">
        <v>73.400000000000006</v>
      </c>
      <c r="L983" s="1125">
        <v>4282.2</v>
      </c>
      <c r="M983" s="1125">
        <v>1593</v>
      </c>
      <c r="N983" s="1128">
        <v>31.459999978542328</v>
      </c>
      <c r="O983" s="1128">
        <v>39.740000343322755</v>
      </c>
      <c r="P983" s="1128">
        <v>47.840000343322757</v>
      </c>
      <c r="Q983" s="1128">
        <v>54.680000686645506</v>
      </c>
      <c r="R983" s="1128">
        <v>63.86000137329102</v>
      </c>
      <c r="S983" s="1128">
        <v>75.560001373291016</v>
      </c>
      <c r="T983" s="1128">
        <v>81.139998626708987</v>
      </c>
      <c r="U983" s="1128">
        <v>76.819999313354487</v>
      </c>
      <c r="V983" s="1128">
        <v>71.599999999999994</v>
      </c>
      <c r="W983" s="1128">
        <v>59.180000686645506</v>
      </c>
      <c r="X983" s="1128">
        <v>46.940000343322751</v>
      </c>
      <c r="Y983" s="1128">
        <v>34.700000000000003</v>
      </c>
      <c r="Z983" s="1128">
        <v>57.044164634763376</v>
      </c>
      <c r="AA983" s="1128">
        <f t="shared" si="1126"/>
        <v>50.79737777571026</v>
      </c>
      <c r="AB983" s="1128">
        <f t="shared" si="1127"/>
        <v>49.994042512869115</v>
      </c>
      <c r="AC983" s="1128">
        <f t="shared" si="1128"/>
        <v>52.592422689569105</v>
      </c>
      <c r="AD983" s="1128">
        <f t="shared" si="1129"/>
        <v>57.915210470502785</v>
      </c>
      <c r="AE983" s="1128">
        <f t="shared" si="1130"/>
        <v>64.574939193927179</v>
      </c>
      <c r="AF983" s="1128">
        <f t="shared" si="1131"/>
        <v>70.835647938555496</v>
      </c>
      <c r="AG983" s="1128">
        <f t="shared" si="1132"/>
        <v>75.065386489658195</v>
      </c>
      <c r="AH983" s="1128">
        <f t="shared" si="1133"/>
        <v>76.161608311646219</v>
      </c>
      <c r="AI983" s="1128">
        <f t="shared" si="1134"/>
        <v>73.838566293328768</v>
      </c>
      <c r="AJ983" s="1128">
        <f t="shared" si="1135"/>
        <v>68.701797135941405</v>
      </c>
      <c r="AK983" s="1128">
        <f t="shared" si="1136"/>
        <v>62.090278880366036</v>
      </c>
      <c r="AL983" s="1128">
        <f t="shared" si="1137"/>
        <v>55.727405646498774</v>
      </c>
      <c r="AM983" s="1125">
        <f t="shared" si="1138"/>
        <v>1</v>
      </c>
      <c r="AN983" s="1125">
        <f t="shared" si="1139"/>
        <v>1</v>
      </c>
      <c r="AO983" s="1125">
        <f t="shared" si="1140"/>
        <v>1</v>
      </c>
      <c r="AP983" s="1125">
        <f t="shared" si="1141"/>
        <v>1</v>
      </c>
      <c r="AQ983" s="1125">
        <f t="shared" si="1142"/>
        <v>1</v>
      </c>
      <c r="AR983" s="1125">
        <f t="shared" si="1143"/>
        <v>0</v>
      </c>
      <c r="AS983" s="1125">
        <f t="shared" si="1144"/>
        <v>0</v>
      </c>
      <c r="AT983" s="1125">
        <f t="shared" si="1145"/>
        <v>0</v>
      </c>
      <c r="AU983" s="1125">
        <f t="shared" si="1146"/>
        <v>0</v>
      </c>
      <c r="AV983" s="1125">
        <f t="shared" si="1147"/>
        <v>1</v>
      </c>
      <c r="AW983" s="1125">
        <f t="shared" si="1148"/>
        <v>1</v>
      </c>
      <c r="AX983" s="1125">
        <f t="shared" si="1149"/>
        <v>1</v>
      </c>
      <c r="AY983" s="1125">
        <f t="shared" si="1150"/>
        <v>0</v>
      </c>
      <c r="AZ983" s="1125">
        <f t="shared" si="1151"/>
        <v>0</v>
      </c>
      <c r="BA983" s="1125">
        <f t="shared" si="1152"/>
        <v>0</v>
      </c>
      <c r="BB983" s="1125">
        <f t="shared" si="1153"/>
        <v>0</v>
      </c>
      <c r="BC983" s="1125">
        <f t="shared" si="1154"/>
        <v>0</v>
      </c>
      <c r="BD983" s="1125">
        <f t="shared" si="1155"/>
        <v>1</v>
      </c>
      <c r="BE983" s="1125">
        <f t="shared" si="1156"/>
        <v>1</v>
      </c>
      <c r="BF983" s="1125">
        <f t="shared" si="1157"/>
        <v>1</v>
      </c>
      <c r="BG983" s="1125">
        <f t="shared" si="1158"/>
        <v>1</v>
      </c>
      <c r="BH983" s="1125">
        <f t="shared" si="1159"/>
        <v>0</v>
      </c>
      <c r="BI983" s="1125">
        <f t="shared" si="1160"/>
        <v>0</v>
      </c>
      <c r="BJ983" s="1125">
        <f t="shared" si="1161"/>
        <v>0</v>
      </c>
      <c r="BK983" s="1125">
        <f t="shared" si="1162"/>
        <v>1</v>
      </c>
      <c r="BL983" s="1125">
        <f t="shared" si="1163"/>
        <v>1</v>
      </c>
      <c r="BM983" s="1125">
        <f t="shared" si="1164"/>
        <v>1</v>
      </c>
      <c r="BN983" s="1125">
        <f t="shared" si="1165"/>
        <v>1</v>
      </c>
      <c r="BO983" s="1125">
        <f t="shared" si="1166"/>
        <v>1</v>
      </c>
      <c r="BP983" s="1125">
        <f t="shared" si="1167"/>
        <v>1</v>
      </c>
      <c r="BQ983" s="1125">
        <f t="shared" si="1168"/>
        <v>0</v>
      </c>
      <c r="BR983" s="1125">
        <f t="shared" si="1169"/>
        <v>0</v>
      </c>
      <c r="BS983" s="1125">
        <f t="shared" si="1170"/>
        <v>0</v>
      </c>
      <c r="BT983" s="1125">
        <f t="shared" si="1171"/>
        <v>1</v>
      </c>
      <c r="BU983" s="1125">
        <f t="shared" si="1172"/>
        <v>1</v>
      </c>
      <c r="BV983" s="1125">
        <f t="shared" si="1173"/>
        <v>1</v>
      </c>
      <c r="BW983" s="1125">
        <f t="shared" si="1174"/>
        <v>0</v>
      </c>
      <c r="BX983" s="1125">
        <f t="shared" si="1175"/>
        <v>0</v>
      </c>
      <c r="BY983" s="1125">
        <f t="shared" si="1176"/>
        <v>0</v>
      </c>
      <c r="BZ983" s="1125">
        <f t="shared" si="1177"/>
        <v>0</v>
      </c>
      <c r="CA983" s="1125">
        <f t="shared" si="1178"/>
        <v>1</v>
      </c>
      <c r="CB983" s="1125">
        <f t="shared" si="1179"/>
        <v>1</v>
      </c>
      <c r="CC983" s="1125">
        <f t="shared" si="1180"/>
        <v>1</v>
      </c>
      <c r="CD983" s="1125">
        <f t="shared" si="1181"/>
        <v>1</v>
      </c>
      <c r="CE983" s="1125">
        <f t="shared" si="1182"/>
        <v>1</v>
      </c>
      <c r="CF983" s="1125">
        <f t="shared" si="1183"/>
        <v>1</v>
      </c>
      <c r="CG983" s="1125">
        <f t="shared" si="1184"/>
        <v>0</v>
      </c>
      <c r="CH983" s="1125">
        <f t="shared" si="1185"/>
        <v>0</v>
      </c>
      <c r="CI983" s="1125">
        <f t="shared" si="1186"/>
        <v>0.85</v>
      </c>
      <c r="CJ983" s="1125">
        <f t="shared" si="1187"/>
        <v>0.85</v>
      </c>
      <c r="CK983" s="1125">
        <f t="shared" si="1188"/>
        <v>0.85</v>
      </c>
      <c r="CL983" s="1125">
        <f t="shared" si="1189"/>
        <v>0.85</v>
      </c>
      <c r="CM983" s="1125">
        <f t="shared" si="1190"/>
        <v>0.85</v>
      </c>
      <c r="CN983" s="1125">
        <f t="shared" si="1191"/>
        <v>0.85</v>
      </c>
      <c r="CO983" s="1125">
        <f t="shared" si="1192"/>
        <v>0.7</v>
      </c>
      <c r="CP983" s="1125">
        <f t="shared" si="1193"/>
        <v>0.7</v>
      </c>
      <c r="CQ983" s="1125">
        <f t="shared" si="1194"/>
        <v>0.7</v>
      </c>
      <c r="CR983" s="1125">
        <f t="shared" si="1195"/>
        <v>0.85</v>
      </c>
      <c r="CS983" s="1125">
        <f t="shared" si="1196"/>
        <v>0.85</v>
      </c>
      <c r="CT983" s="1125">
        <f t="shared" si="1197"/>
        <v>0.85</v>
      </c>
      <c r="CU983" s="1125">
        <v>1</v>
      </c>
      <c r="CV983" s="1125"/>
      <c r="CW983" s="1125">
        <f t="shared" si="1198"/>
        <v>184</v>
      </c>
      <c r="CX983" s="1125">
        <f t="shared" si="1199"/>
        <v>181</v>
      </c>
      <c r="CY983" s="1135" t="s">
        <v>4881</v>
      </c>
      <c r="CZ983" s="1124" t="s">
        <v>4885</v>
      </c>
      <c r="DA983" s="1124"/>
      <c r="DB983" s="1124"/>
      <c r="DC983" s="1120" t="s">
        <v>6031</v>
      </c>
      <c r="DD983" s="1120" t="s">
        <v>256</v>
      </c>
      <c r="DE983" s="1120" t="str">
        <f t="shared" si="1200"/>
        <v/>
      </c>
      <c r="DF983" s="1133">
        <v>0</v>
      </c>
      <c r="DG983" s="1125">
        <v>0</v>
      </c>
    </row>
    <row r="984" spans="1:111">
      <c r="A984" s="1120" t="s">
        <v>4634</v>
      </c>
      <c r="B984" s="1120" t="s">
        <v>4286</v>
      </c>
      <c r="C984" s="1120" t="s">
        <v>4287</v>
      </c>
      <c r="D984" s="1120" t="s">
        <v>539</v>
      </c>
      <c r="E984" s="1120">
        <v>932</v>
      </c>
      <c r="F984" s="1120">
        <v>-75.73</v>
      </c>
      <c r="G984" s="1120">
        <v>41.33</v>
      </c>
      <c r="H984" s="1120">
        <v>-5</v>
      </c>
      <c r="I984" s="1121">
        <v>8.2400003433227536</v>
      </c>
      <c r="J984" s="1121">
        <v>86</v>
      </c>
      <c r="K984" s="1122">
        <v>70.519999313354489</v>
      </c>
      <c r="L984" s="1120">
        <v>5985</v>
      </c>
      <c r="M984" s="1120">
        <v>666</v>
      </c>
      <c r="N984" s="1123">
        <v>27.860000085830688</v>
      </c>
      <c r="O984" s="1123">
        <v>27.5</v>
      </c>
      <c r="P984" s="1123">
        <v>35.779999828338624</v>
      </c>
      <c r="Q984" s="1123">
        <v>50.359999656677246</v>
      </c>
      <c r="R984" s="1123">
        <v>60.259999656677245</v>
      </c>
      <c r="S984" s="1123">
        <v>68.900000000000006</v>
      </c>
      <c r="T984" s="1123">
        <v>73.219999313354492</v>
      </c>
      <c r="U984" s="1123">
        <v>68.180000686645513</v>
      </c>
      <c r="V984" s="1123">
        <v>61.160001373291017</v>
      </c>
      <c r="W984" s="1123">
        <v>52.880000686645509</v>
      </c>
      <c r="X984" s="1123">
        <v>41</v>
      </c>
      <c r="Y984" s="1123">
        <v>29.119999957084655</v>
      </c>
      <c r="Z984" s="1123">
        <v>49.805205582331304</v>
      </c>
      <c r="AA984" s="1123">
        <f t="shared" si="1126"/>
        <v>46.628110733443407</v>
      </c>
      <c r="AB984" s="1123">
        <f t="shared" si="1127"/>
        <v>45.335140998444288</v>
      </c>
      <c r="AC984" s="1123">
        <f t="shared" si="1128"/>
        <v>46.771354945814537</v>
      </c>
      <c r="AD984" s="1123">
        <f t="shared" si="1129"/>
        <v>50.562381277445212</v>
      </c>
      <c r="AE984" s="1123">
        <f t="shared" si="1130"/>
        <v>55.720030558512619</v>
      </c>
      <c r="AF984" s="1123">
        <f t="shared" si="1131"/>
        <v>60.899882022125212</v>
      </c>
      <c r="AG984" s="1123">
        <f t="shared" si="1132"/>
        <v>64.751727560365069</v>
      </c>
      <c r="AH984" s="1123">
        <f t="shared" si="1133"/>
        <v>66.27152427495345</v>
      </c>
      <c r="AI984" s="1123">
        <f t="shared" si="1134"/>
        <v>65.063113731456582</v>
      </c>
      <c r="AJ984" s="1123">
        <f t="shared" si="1135"/>
        <v>61.441486760207091</v>
      </c>
      <c r="AK984" s="1123">
        <f t="shared" si="1136"/>
        <v>56.350676242222157</v>
      </c>
      <c r="AL984" s="1123">
        <f t="shared" si="1137"/>
        <v>51.117680390779363</v>
      </c>
      <c r="AM984" s="1120">
        <f t="shared" si="1138"/>
        <v>1</v>
      </c>
      <c r="AN984" s="1120">
        <f t="shared" si="1139"/>
        <v>1</v>
      </c>
      <c r="AO984" s="1120">
        <f t="shared" si="1140"/>
        <v>1</v>
      </c>
      <c r="AP984" s="1120">
        <f t="shared" si="1141"/>
        <v>1</v>
      </c>
      <c r="AQ984" s="1120">
        <f t="shared" si="1142"/>
        <v>1</v>
      </c>
      <c r="AR984" s="1120">
        <f t="shared" si="1143"/>
        <v>0</v>
      </c>
      <c r="AS984" s="1120">
        <f t="shared" si="1144"/>
        <v>0</v>
      </c>
      <c r="AT984" s="1120">
        <f t="shared" si="1145"/>
        <v>0</v>
      </c>
      <c r="AU984" s="1120">
        <f t="shared" si="1146"/>
        <v>1</v>
      </c>
      <c r="AV984" s="1120">
        <f t="shared" si="1147"/>
        <v>1</v>
      </c>
      <c r="AW984" s="1120">
        <f t="shared" si="1148"/>
        <v>1</v>
      </c>
      <c r="AX984" s="1120">
        <f t="shared" si="1149"/>
        <v>1</v>
      </c>
      <c r="AY984" s="1120">
        <f t="shared" si="1150"/>
        <v>0</v>
      </c>
      <c r="AZ984" s="1120">
        <f t="shared" si="1151"/>
        <v>0</v>
      </c>
      <c r="BA984" s="1120">
        <f t="shared" si="1152"/>
        <v>0</v>
      </c>
      <c r="BB984" s="1120">
        <f t="shared" si="1153"/>
        <v>0</v>
      </c>
      <c r="BC984" s="1120">
        <f t="shared" si="1154"/>
        <v>0</v>
      </c>
      <c r="BD984" s="1120">
        <f t="shared" si="1155"/>
        <v>1</v>
      </c>
      <c r="BE984" s="1120">
        <f t="shared" si="1156"/>
        <v>1</v>
      </c>
      <c r="BF984" s="1120">
        <f t="shared" si="1157"/>
        <v>1</v>
      </c>
      <c r="BG984" s="1120">
        <f t="shared" si="1158"/>
        <v>0</v>
      </c>
      <c r="BH984" s="1120">
        <f t="shared" si="1159"/>
        <v>0</v>
      </c>
      <c r="BI984" s="1120">
        <f t="shared" si="1160"/>
        <v>0</v>
      </c>
      <c r="BJ984" s="1120">
        <f t="shared" si="1161"/>
        <v>0</v>
      </c>
      <c r="BK984" s="1120">
        <f t="shared" si="1162"/>
        <v>1</v>
      </c>
      <c r="BL984" s="1120">
        <f t="shared" si="1163"/>
        <v>1</v>
      </c>
      <c r="BM984" s="1120">
        <f t="shared" si="1164"/>
        <v>1</v>
      </c>
      <c r="BN984" s="1120">
        <f t="shared" si="1165"/>
        <v>1</v>
      </c>
      <c r="BO984" s="1120">
        <f t="shared" si="1166"/>
        <v>1</v>
      </c>
      <c r="BP984" s="1120">
        <f t="shared" si="1167"/>
        <v>1</v>
      </c>
      <c r="BQ984" s="1120">
        <f t="shared" si="1168"/>
        <v>0</v>
      </c>
      <c r="BR984" s="1120">
        <f t="shared" si="1169"/>
        <v>0</v>
      </c>
      <c r="BS984" s="1120">
        <f t="shared" si="1170"/>
        <v>1</v>
      </c>
      <c r="BT984" s="1120">
        <f t="shared" si="1171"/>
        <v>1</v>
      </c>
      <c r="BU984" s="1120">
        <f t="shared" si="1172"/>
        <v>1</v>
      </c>
      <c r="BV984" s="1120">
        <f t="shared" si="1173"/>
        <v>1</v>
      </c>
      <c r="BW984" s="1120">
        <f t="shared" si="1174"/>
        <v>0</v>
      </c>
      <c r="BX984" s="1120">
        <f t="shared" si="1175"/>
        <v>0</v>
      </c>
      <c r="BY984" s="1120">
        <f t="shared" si="1176"/>
        <v>0</v>
      </c>
      <c r="BZ984" s="1120">
        <f t="shared" si="1177"/>
        <v>0</v>
      </c>
      <c r="CA984" s="1120">
        <f t="shared" si="1178"/>
        <v>1</v>
      </c>
      <c r="CB984" s="1120">
        <f t="shared" si="1179"/>
        <v>1</v>
      </c>
      <c r="CC984" s="1120">
        <f t="shared" si="1180"/>
        <v>1</v>
      </c>
      <c r="CD984" s="1120">
        <f t="shared" si="1181"/>
        <v>1</v>
      </c>
      <c r="CE984" s="1120">
        <f t="shared" si="1182"/>
        <v>1</v>
      </c>
      <c r="CF984" s="1120">
        <f t="shared" si="1183"/>
        <v>0</v>
      </c>
      <c r="CG984" s="1120">
        <f t="shared" si="1184"/>
        <v>0</v>
      </c>
      <c r="CH984" s="1120">
        <f t="shared" si="1185"/>
        <v>0</v>
      </c>
      <c r="CI984" s="1120">
        <f t="shared" si="1186"/>
        <v>0.85</v>
      </c>
      <c r="CJ984" s="1120">
        <f t="shared" si="1187"/>
        <v>0.85</v>
      </c>
      <c r="CK984" s="1120">
        <f t="shared" si="1188"/>
        <v>0.85</v>
      </c>
      <c r="CL984" s="1120">
        <f t="shared" si="1189"/>
        <v>0.85</v>
      </c>
      <c r="CM984" s="1120">
        <f t="shared" si="1190"/>
        <v>0.85</v>
      </c>
      <c r="CN984" s="1120">
        <f t="shared" si="1191"/>
        <v>0.85</v>
      </c>
      <c r="CO984" s="1120">
        <f t="shared" si="1192"/>
        <v>0.7</v>
      </c>
      <c r="CP984" s="1120">
        <f t="shared" si="1193"/>
        <v>0.7</v>
      </c>
      <c r="CQ984" s="1120">
        <f t="shared" si="1194"/>
        <v>0.85</v>
      </c>
      <c r="CR984" s="1120">
        <f t="shared" si="1195"/>
        <v>0.85</v>
      </c>
      <c r="CS984" s="1120">
        <f t="shared" si="1196"/>
        <v>0.85</v>
      </c>
      <c r="CT984" s="1120">
        <f t="shared" si="1197"/>
        <v>0.85</v>
      </c>
      <c r="CU984" s="1120">
        <v>1</v>
      </c>
      <c r="CV984" s="1120"/>
      <c r="CW984" s="1120">
        <f t="shared" si="1198"/>
        <v>153</v>
      </c>
      <c r="CX984" s="1120">
        <f t="shared" si="1199"/>
        <v>212</v>
      </c>
      <c r="CY984" s="1135" t="s">
        <v>4889</v>
      </c>
      <c r="CZ984" s="1124" t="s">
        <v>4897</v>
      </c>
      <c r="DA984" s="1124"/>
      <c r="DB984" s="1124"/>
      <c r="DC984" s="1120" t="s">
        <v>6049</v>
      </c>
      <c r="DD984" s="1120" t="s">
        <v>539</v>
      </c>
      <c r="DE984" s="1120" t="str">
        <f t="shared" si="1200"/>
        <v/>
      </c>
      <c r="DF984" s="1133">
        <v>0</v>
      </c>
      <c r="DG984" s="1120">
        <v>0</v>
      </c>
    </row>
    <row r="985" spans="1:111">
      <c r="A985" s="1125" t="s">
        <v>4636</v>
      </c>
      <c r="B985" s="1125" t="s">
        <v>4572</v>
      </c>
      <c r="C985" s="1125" t="s">
        <v>4573</v>
      </c>
      <c r="D985" s="1125" t="s">
        <v>238</v>
      </c>
      <c r="E985" s="1125">
        <v>298</v>
      </c>
      <c r="F985" s="1125">
        <v>-123.5</v>
      </c>
      <c r="G985" s="1125">
        <v>48.12</v>
      </c>
      <c r="H985" s="1125">
        <v>-8</v>
      </c>
      <c r="I985" s="1126">
        <v>27.679999828338623</v>
      </c>
      <c r="J985" s="1126">
        <v>74.66000137329101</v>
      </c>
      <c r="K985" s="1127">
        <v>60.8</v>
      </c>
      <c r="L985" s="1125">
        <v>5761.8</v>
      </c>
      <c r="M985" s="1125">
        <v>18</v>
      </c>
      <c r="N985" s="1128">
        <v>39.559999656677249</v>
      </c>
      <c r="O985" s="1128">
        <v>39.559999656677249</v>
      </c>
      <c r="P985" s="1128">
        <v>42.620000171661374</v>
      </c>
      <c r="Q985" s="1128">
        <v>48.2</v>
      </c>
      <c r="R985" s="1128">
        <v>50</v>
      </c>
      <c r="S985" s="1128">
        <v>55.940000343322751</v>
      </c>
      <c r="T985" s="1128">
        <v>59</v>
      </c>
      <c r="U985" s="1128">
        <v>60.259999656677245</v>
      </c>
      <c r="V985" s="1128">
        <v>56.119999313354491</v>
      </c>
      <c r="W985" s="1128">
        <v>48.740000343322755</v>
      </c>
      <c r="X985" s="1128">
        <v>44.059999656677249</v>
      </c>
      <c r="Y985" s="1128">
        <v>39.379999828338626</v>
      </c>
      <c r="Z985" s="1128">
        <v>48.667506737382446</v>
      </c>
      <c r="AA985" s="1128">
        <f t="shared" si="1126"/>
        <v>50.625235875121689</v>
      </c>
      <c r="AB985" s="1128">
        <f t="shared" si="1127"/>
        <v>50.004295409373626</v>
      </c>
      <c r="AC985" s="1128">
        <f t="shared" si="1128"/>
        <v>50.598892838532876</v>
      </c>
      <c r="AD985" s="1128">
        <f t="shared" si="1129"/>
        <v>52.254037179665339</v>
      </c>
      <c r="AE985" s="1128">
        <f t="shared" si="1130"/>
        <v>54.538289553708459</v>
      </c>
      <c r="AF985" s="1128">
        <f t="shared" si="1131"/>
        <v>56.856224377973291</v>
      </c>
      <c r="AG985" s="1128">
        <f t="shared" si="1132"/>
        <v>58.603636220058299</v>
      </c>
      <c r="AH985" s="1128">
        <f t="shared" si="1133"/>
        <v>59.325035254892427</v>
      </c>
      <c r="AI985" s="1128">
        <f t="shared" si="1134"/>
        <v>58.832377706950524</v>
      </c>
      <c r="AJ985" s="1128">
        <f t="shared" si="1135"/>
        <v>57.254082358186267</v>
      </c>
      <c r="AK985" s="1128">
        <f t="shared" si="1136"/>
        <v>55.001556213522619</v>
      </c>
      <c r="AL985" s="1128">
        <f t="shared" si="1137"/>
        <v>52.661954925044782</v>
      </c>
      <c r="AM985" s="1125">
        <f t="shared" si="1138"/>
        <v>1</v>
      </c>
      <c r="AN985" s="1125">
        <f t="shared" si="1139"/>
        <v>1</v>
      </c>
      <c r="AO985" s="1125">
        <f t="shared" si="1140"/>
        <v>1</v>
      </c>
      <c r="AP985" s="1125">
        <f t="shared" si="1141"/>
        <v>1</v>
      </c>
      <c r="AQ985" s="1125">
        <f t="shared" si="1142"/>
        <v>1</v>
      </c>
      <c r="AR985" s="1125">
        <f t="shared" si="1143"/>
        <v>1</v>
      </c>
      <c r="AS985" s="1125">
        <f t="shared" si="1144"/>
        <v>1</v>
      </c>
      <c r="AT985" s="1125">
        <f t="shared" si="1145"/>
        <v>1</v>
      </c>
      <c r="AU985" s="1125">
        <f t="shared" si="1146"/>
        <v>1</v>
      </c>
      <c r="AV985" s="1125">
        <f t="shared" si="1147"/>
        <v>1</v>
      </c>
      <c r="AW985" s="1125">
        <f t="shared" si="1148"/>
        <v>1</v>
      </c>
      <c r="AX985" s="1125">
        <f t="shared" si="1149"/>
        <v>1</v>
      </c>
      <c r="AY985" s="1125">
        <f t="shared" si="1150"/>
        <v>0</v>
      </c>
      <c r="AZ985" s="1125">
        <f t="shared" si="1151"/>
        <v>0</v>
      </c>
      <c r="BA985" s="1125">
        <f t="shared" si="1152"/>
        <v>0</v>
      </c>
      <c r="BB985" s="1125">
        <f t="shared" si="1153"/>
        <v>0</v>
      </c>
      <c r="BC985" s="1125">
        <f t="shared" si="1154"/>
        <v>0</v>
      </c>
      <c r="BD985" s="1125">
        <f t="shared" si="1155"/>
        <v>0</v>
      </c>
      <c r="BE985" s="1125">
        <f t="shared" si="1156"/>
        <v>1</v>
      </c>
      <c r="BF985" s="1125">
        <f t="shared" si="1157"/>
        <v>1</v>
      </c>
      <c r="BG985" s="1125">
        <f t="shared" si="1158"/>
        <v>0</v>
      </c>
      <c r="BH985" s="1125">
        <f t="shared" si="1159"/>
        <v>0</v>
      </c>
      <c r="BI985" s="1125">
        <f t="shared" si="1160"/>
        <v>0</v>
      </c>
      <c r="BJ985" s="1125">
        <f t="shared" si="1161"/>
        <v>0</v>
      </c>
      <c r="BK985" s="1125">
        <f t="shared" si="1162"/>
        <v>1</v>
      </c>
      <c r="BL985" s="1125">
        <f t="shared" si="1163"/>
        <v>1</v>
      </c>
      <c r="BM985" s="1125">
        <f t="shared" si="1164"/>
        <v>1</v>
      </c>
      <c r="BN985" s="1125">
        <f t="shared" si="1165"/>
        <v>1</v>
      </c>
      <c r="BO985" s="1125">
        <f t="shared" si="1166"/>
        <v>1</v>
      </c>
      <c r="BP985" s="1125">
        <f t="shared" si="1167"/>
        <v>1</v>
      </c>
      <c r="BQ985" s="1125">
        <f t="shared" si="1168"/>
        <v>1</v>
      </c>
      <c r="BR985" s="1125">
        <f t="shared" si="1169"/>
        <v>1</v>
      </c>
      <c r="BS985" s="1125">
        <f t="shared" si="1170"/>
        <v>1</v>
      </c>
      <c r="BT985" s="1125">
        <f t="shared" si="1171"/>
        <v>1</v>
      </c>
      <c r="BU985" s="1125">
        <f t="shared" si="1172"/>
        <v>1</v>
      </c>
      <c r="BV985" s="1125">
        <f t="shared" si="1173"/>
        <v>1</v>
      </c>
      <c r="BW985" s="1125">
        <f t="shared" si="1174"/>
        <v>0</v>
      </c>
      <c r="BX985" s="1125">
        <f t="shared" si="1175"/>
        <v>0</v>
      </c>
      <c r="BY985" s="1125">
        <f t="shared" si="1176"/>
        <v>0</v>
      </c>
      <c r="BZ985" s="1125">
        <f t="shared" si="1177"/>
        <v>0</v>
      </c>
      <c r="CA985" s="1125">
        <f t="shared" si="1178"/>
        <v>0</v>
      </c>
      <c r="CB985" s="1125">
        <f t="shared" si="1179"/>
        <v>0</v>
      </c>
      <c r="CC985" s="1125">
        <f t="shared" si="1180"/>
        <v>1</v>
      </c>
      <c r="CD985" s="1125">
        <f t="shared" si="1181"/>
        <v>1</v>
      </c>
      <c r="CE985" s="1125">
        <f t="shared" si="1182"/>
        <v>0</v>
      </c>
      <c r="CF985" s="1125">
        <f t="shared" si="1183"/>
        <v>0</v>
      </c>
      <c r="CG985" s="1125">
        <f t="shared" si="1184"/>
        <v>0</v>
      </c>
      <c r="CH985" s="1125">
        <f t="shared" si="1185"/>
        <v>0</v>
      </c>
      <c r="CI985" s="1125">
        <f t="shared" si="1186"/>
        <v>0.85</v>
      </c>
      <c r="CJ985" s="1125">
        <f t="shared" si="1187"/>
        <v>0.85</v>
      </c>
      <c r="CK985" s="1125">
        <f t="shared" si="1188"/>
        <v>0.85</v>
      </c>
      <c r="CL985" s="1125">
        <f t="shared" si="1189"/>
        <v>0.85</v>
      </c>
      <c r="CM985" s="1125">
        <f t="shared" si="1190"/>
        <v>0.85</v>
      </c>
      <c r="CN985" s="1125">
        <f t="shared" si="1191"/>
        <v>0.85</v>
      </c>
      <c r="CO985" s="1125">
        <f t="shared" si="1192"/>
        <v>0.85</v>
      </c>
      <c r="CP985" s="1125">
        <f t="shared" si="1193"/>
        <v>0.85</v>
      </c>
      <c r="CQ985" s="1125">
        <f t="shared" si="1194"/>
        <v>0.85</v>
      </c>
      <c r="CR985" s="1125">
        <f t="shared" si="1195"/>
        <v>0.85</v>
      </c>
      <c r="CS985" s="1125">
        <f t="shared" si="1196"/>
        <v>0.85</v>
      </c>
      <c r="CT985" s="1125">
        <f t="shared" si="1197"/>
        <v>0.85</v>
      </c>
      <c r="CU985" s="1125">
        <v>1</v>
      </c>
      <c r="CV985" s="1125"/>
      <c r="CW985" s="1125">
        <f t="shared" si="1198"/>
        <v>62</v>
      </c>
      <c r="CX985" s="1125">
        <f t="shared" si="1199"/>
        <v>303</v>
      </c>
      <c r="CY985" s="1135" t="s">
        <v>4893</v>
      </c>
      <c r="CZ985" s="1124" t="s">
        <v>4894</v>
      </c>
      <c r="DA985" s="1124"/>
      <c r="DB985" s="1124"/>
      <c r="DC985" s="1120" t="s">
        <v>5672</v>
      </c>
      <c r="DD985" s="1120" t="s">
        <v>238</v>
      </c>
      <c r="DE985" s="1120" t="str">
        <f t="shared" si="1200"/>
        <v/>
      </c>
      <c r="DF985" s="1133">
        <v>0</v>
      </c>
      <c r="DG985" s="1125">
        <v>0</v>
      </c>
    </row>
    <row r="986" spans="1:111">
      <c r="A986" s="1120" t="s">
        <v>4638</v>
      </c>
      <c r="B986" s="1125" t="s">
        <v>4288</v>
      </c>
      <c r="C986" s="1125" t="s">
        <v>4289</v>
      </c>
      <c r="D986" s="1125" t="s">
        <v>539</v>
      </c>
      <c r="E986" s="1125">
        <v>518</v>
      </c>
      <c r="F986" s="1125">
        <v>-76.92</v>
      </c>
      <c r="G986" s="1125">
        <v>41.25</v>
      </c>
      <c r="H986" s="1125">
        <v>-5</v>
      </c>
      <c r="I986" s="1126">
        <v>9.3199993133544918</v>
      </c>
      <c r="J986" s="1126">
        <v>87.619999313354498</v>
      </c>
      <c r="K986" s="1127">
        <v>71.599999999999994</v>
      </c>
      <c r="L986" s="1125">
        <v>5594.4000000000005</v>
      </c>
      <c r="M986" s="1125">
        <v>795.6</v>
      </c>
      <c r="N986" s="1128">
        <v>25.520000171661376</v>
      </c>
      <c r="O986" s="1128">
        <v>29.839999914169312</v>
      </c>
      <c r="P986" s="1128">
        <v>41.359999656677246</v>
      </c>
      <c r="Q986" s="1128">
        <v>51.619999313354491</v>
      </c>
      <c r="R986" s="1128">
        <v>60.980000686645511</v>
      </c>
      <c r="S986" s="1128">
        <v>69.619999313354498</v>
      </c>
      <c r="T986" s="1128">
        <v>71.960001373291021</v>
      </c>
      <c r="U986" s="1128">
        <v>71.599999999999994</v>
      </c>
      <c r="V986" s="1128">
        <v>64.580000686645505</v>
      </c>
      <c r="W986" s="1128">
        <v>51.8</v>
      </c>
      <c r="X986" s="1128">
        <v>42.620000171661374</v>
      </c>
      <c r="Y986" s="1128">
        <v>32.180000002682206</v>
      </c>
      <c r="Z986" s="1128">
        <v>51.249643947306559</v>
      </c>
      <c r="AA986" s="1128">
        <f t="shared" si="1126"/>
        <v>47.505735386148046</v>
      </c>
      <c r="AB986" s="1128">
        <f t="shared" si="1127"/>
        <v>46.286497112083389</v>
      </c>
      <c r="AC986" s="1128">
        <f t="shared" si="1128"/>
        <v>47.924972007826369</v>
      </c>
      <c r="AD986" s="1128">
        <f t="shared" si="1129"/>
        <v>51.994066342139142</v>
      </c>
      <c r="AE986" s="1128">
        <f t="shared" si="1130"/>
        <v>57.433107970141265</v>
      </c>
      <c r="AF986" s="1128">
        <f t="shared" si="1131"/>
        <v>62.824326873325354</v>
      </c>
      <c r="AG986" s="1128">
        <f t="shared" si="1132"/>
        <v>66.762418763378321</v>
      </c>
      <c r="AH986" s="1128">
        <f t="shared" si="1133"/>
        <v>68.22085930132485</v>
      </c>
      <c r="AI986" s="1128">
        <f t="shared" si="1134"/>
        <v>66.819483485700133</v>
      </c>
      <c r="AJ986" s="1128">
        <f t="shared" si="1135"/>
        <v>62.923581518701809</v>
      </c>
      <c r="AK986" s="1128">
        <f t="shared" si="1136"/>
        <v>57.548680285694608</v>
      </c>
      <c r="AL986" s="1128">
        <f t="shared" si="1137"/>
        <v>52.095830622797095</v>
      </c>
      <c r="AM986" s="1125">
        <f t="shared" si="1138"/>
        <v>1</v>
      </c>
      <c r="AN986" s="1125">
        <f t="shared" si="1139"/>
        <v>1</v>
      </c>
      <c r="AO986" s="1125">
        <f t="shared" si="1140"/>
        <v>1</v>
      </c>
      <c r="AP986" s="1125">
        <f t="shared" si="1141"/>
        <v>1</v>
      </c>
      <c r="AQ986" s="1125">
        <f t="shared" si="1142"/>
        <v>1</v>
      </c>
      <c r="AR986" s="1125">
        <f t="shared" si="1143"/>
        <v>0</v>
      </c>
      <c r="AS986" s="1125">
        <f t="shared" si="1144"/>
        <v>0</v>
      </c>
      <c r="AT986" s="1125">
        <f t="shared" si="1145"/>
        <v>0</v>
      </c>
      <c r="AU986" s="1125">
        <f t="shared" si="1146"/>
        <v>1</v>
      </c>
      <c r="AV986" s="1125">
        <f t="shared" si="1147"/>
        <v>1</v>
      </c>
      <c r="AW986" s="1125">
        <f t="shared" si="1148"/>
        <v>1</v>
      </c>
      <c r="AX986" s="1125">
        <f t="shared" si="1149"/>
        <v>1</v>
      </c>
      <c r="AY986" s="1125">
        <f t="shared" si="1150"/>
        <v>0</v>
      </c>
      <c r="AZ986" s="1125">
        <f t="shared" si="1151"/>
        <v>0</v>
      </c>
      <c r="BA986" s="1125">
        <f t="shared" si="1152"/>
        <v>0</v>
      </c>
      <c r="BB986" s="1125">
        <f t="shared" si="1153"/>
        <v>0</v>
      </c>
      <c r="BC986" s="1125">
        <f t="shared" si="1154"/>
        <v>0</v>
      </c>
      <c r="BD986" s="1125">
        <f t="shared" si="1155"/>
        <v>1</v>
      </c>
      <c r="BE986" s="1125">
        <f t="shared" si="1156"/>
        <v>1</v>
      </c>
      <c r="BF986" s="1125">
        <f t="shared" si="1157"/>
        <v>1</v>
      </c>
      <c r="BG986" s="1125">
        <f t="shared" si="1158"/>
        <v>0</v>
      </c>
      <c r="BH986" s="1125">
        <f t="shared" si="1159"/>
        <v>0</v>
      </c>
      <c r="BI986" s="1125">
        <f t="shared" si="1160"/>
        <v>0</v>
      </c>
      <c r="BJ986" s="1125">
        <f t="shared" si="1161"/>
        <v>0</v>
      </c>
      <c r="BK986" s="1125">
        <f t="shared" si="1162"/>
        <v>1</v>
      </c>
      <c r="BL986" s="1125">
        <f t="shared" si="1163"/>
        <v>1</v>
      </c>
      <c r="BM986" s="1125">
        <f t="shared" si="1164"/>
        <v>1</v>
      </c>
      <c r="BN986" s="1125">
        <f t="shared" si="1165"/>
        <v>1</v>
      </c>
      <c r="BO986" s="1125">
        <f t="shared" si="1166"/>
        <v>1</v>
      </c>
      <c r="BP986" s="1125">
        <f t="shared" si="1167"/>
        <v>1</v>
      </c>
      <c r="BQ986" s="1125">
        <f t="shared" si="1168"/>
        <v>0</v>
      </c>
      <c r="BR986" s="1125">
        <f t="shared" si="1169"/>
        <v>0</v>
      </c>
      <c r="BS986" s="1125">
        <f t="shared" si="1170"/>
        <v>1</v>
      </c>
      <c r="BT986" s="1125">
        <f t="shared" si="1171"/>
        <v>1</v>
      </c>
      <c r="BU986" s="1125">
        <f t="shared" si="1172"/>
        <v>1</v>
      </c>
      <c r="BV986" s="1125">
        <f t="shared" si="1173"/>
        <v>1</v>
      </c>
      <c r="BW986" s="1125">
        <f t="shared" si="1174"/>
        <v>0</v>
      </c>
      <c r="BX986" s="1125">
        <f t="shared" si="1175"/>
        <v>0</v>
      </c>
      <c r="BY986" s="1125">
        <f t="shared" si="1176"/>
        <v>0</v>
      </c>
      <c r="BZ986" s="1125">
        <f t="shared" si="1177"/>
        <v>0</v>
      </c>
      <c r="CA986" s="1125">
        <f t="shared" si="1178"/>
        <v>1</v>
      </c>
      <c r="CB986" s="1125">
        <f t="shared" si="1179"/>
        <v>1</v>
      </c>
      <c r="CC986" s="1125">
        <f t="shared" si="1180"/>
        <v>1</v>
      </c>
      <c r="CD986" s="1125">
        <f t="shared" si="1181"/>
        <v>1</v>
      </c>
      <c r="CE986" s="1125">
        <f t="shared" si="1182"/>
        <v>1</v>
      </c>
      <c r="CF986" s="1125">
        <f t="shared" si="1183"/>
        <v>0</v>
      </c>
      <c r="CG986" s="1125">
        <f t="shared" si="1184"/>
        <v>0</v>
      </c>
      <c r="CH986" s="1125">
        <f t="shared" si="1185"/>
        <v>0</v>
      </c>
      <c r="CI986" s="1125">
        <f t="shared" si="1186"/>
        <v>0.85</v>
      </c>
      <c r="CJ986" s="1125">
        <f t="shared" si="1187"/>
        <v>0.85</v>
      </c>
      <c r="CK986" s="1125">
        <f t="shared" si="1188"/>
        <v>0.85</v>
      </c>
      <c r="CL986" s="1125">
        <f t="shared" si="1189"/>
        <v>0.85</v>
      </c>
      <c r="CM986" s="1125">
        <f t="shared" si="1190"/>
        <v>0.85</v>
      </c>
      <c r="CN986" s="1125">
        <f t="shared" si="1191"/>
        <v>0.85</v>
      </c>
      <c r="CO986" s="1125">
        <f t="shared" si="1192"/>
        <v>0.7</v>
      </c>
      <c r="CP986" s="1125">
        <f t="shared" si="1193"/>
        <v>0.7</v>
      </c>
      <c r="CQ986" s="1125">
        <f t="shared" si="1194"/>
        <v>0.85</v>
      </c>
      <c r="CR986" s="1125">
        <f t="shared" si="1195"/>
        <v>0.85</v>
      </c>
      <c r="CS986" s="1125">
        <f t="shared" si="1196"/>
        <v>0.85</v>
      </c>
      <c r="CT986" s="1125">
        <f t="shared" si="1197"/>
        <v>0.85</v>
      </c>
      <c r="CU986" s="1125">
        <v>1</v>
      </c>
      <c r="CV986" s="1125"/>
      <c r="CW986" s="1125">
        <f t="shared" si="1198"/>
        <v>153</v>
      </c>
      <c r="CX986" s="1125">
        <f t="shared" si="1199"/>
        <v>212</v>
      </c>
      <c r="CY986" s="1136" t="s">
        <v>4889</v>
      </c>
      <c r="CZ986" s="1129" t="s">
        <v>4897</v>
      </c>
      <c r="DA986" s="1129"/>
      <c r="DB986" s="1129"/>
      <c r="DC986" s="1125" t="s">
        <v>5544</v>
      </c>
      <c r="DD986" s="1125" t="s">
        <v>539</v>
      </c>
      <c r="DE986" s="1120" t="str">
        <f t="shared" si="1200"/>
        <v/>
      </c>
      <c r="DF986" s="1133">
        <v>0</v>
      </c>
      <c r="DG986" s="1120">
        <v>0</v>
      </c>
    </row>
    <row r="987" spans="1:111">
      <c r="A987" s="1125" t="s">
        <v>4639</v>
      </c>
      <c r="B987" s="1120" t="s">
        <v>3986</v>
      </c>
      <c r="C987" s="1120" t="s">
        <v>3987</v>
      </c>
      <c r="D987" s="1120" t="s">
        <v>248</v>
      </c>
      <c r="E987" s="1120">
        <v>1902</v>
      </c>
      <c r="F987" s="1120">
        <v>-103.65</v>
      </c>
      <c r="G987" s="1120">
        <v>48.2</v>
      </c>
      <c r="H987" s="1120">
        <v>-6</v>
      </c>
      <c r="I987" s="1121">
        <v>-17.860001373291016</v>
      </c>
      <c r="J987" s="1121">
        <v>90.860001373291013</v>
      </c>
      <c r="K987" s="1122">
        <v>66.380000686645502</v>
      </c>
      <c r="L987" s="1120">
        <v>8290.8000000000011</v>
      </c>
      <c r="M987" s="1120">
        <v>460.8</v>
      </c>
      <c r="N987" s="1123">
        <v>10.040000343322752</v>
      </c>
      <c r="O987" s="1123">
        <v>19.940000343322755</v>
      </c>
      <c r="P987" s="1123">
        <v>32.9</v>
      </c>
      <c r="Q987" s="1123">
        <v>38.660000085830688</v>
      </c>
      <c r="R987" s="1123">
        <v>57.559999656677249</v>
      </c>
      <c r="S987" s="1123">
        <v>64.039998626708979</v>
      </c>
      <c r="T987" s="1123">
        <v>68.719999313354492</v>
      </c>
      <c r="U987" s="1123">
        <v>69.980000686645511</v>
      </c>
      <c r="V987" s="1123">
        <v>60.619999313354491</v>
      </c>
      <c r="W987" s="1123">
        <v>45.859999656677246</v>
      </c>
      <c r="X987" s="1123">
        <v>29.119999957084655</v>
      </c>
      <c r="Y987" s="1123">
        <v>16.159999656677247</v>
      </c>
      <c r="Z987" s="1123">
        <v>42.929698432373677</v>
      </c>
      <c r="AA987" s="1123">
        <f t="shared" si="1126"/>
        <v>39.438954785562672</v>
      </c>
      <c r="AB987" s="1123">
        <f t="shared" si="1127"/>
        <v>37.326069912164868</v>
      </c>
      <c r="AC987" s="1123">
        <f t="shared" si="1128"/>
        <v>38.237849629887734</v>
      </c>
      <c r="AD987" s="1123">
        <f t="shared" si="1129"/>
        <v>41.936624504356047</v>
      </c>
      <c r="AE987" s="1123">
        <f t="shared" si="1130"/>
        <v>47.458251864693445</v>
      </c>
      <c r="AF987" s="1123">
        <f t="shared" si="1131"/>
        <v>53.363434448574694</v>
      </c>
      <c r="AG987" s="1123">
        <f t="shared" si="1132"/>
        <v>58.112895413892929</v>
      </c>
      <c r="AH987" s="1123">
        <f t="shared" si="1133"/>
        <v>60.468614568628993</v>
      </c>
      <c r="AI987" s="1123">
        <f t="shared" si="1134"/>
        <v>59.816537412369875</v>
      </c>
      <c r="AJ987" s="1123">
        <f t="shared" si="1135"/>
        <v>56.326637904707681</v>
      </c>
      <c r="AK987" s="1123">
        <f t="shared" si="1136"/>
        <v>50.908612133293886</v>
      </c>
      <c r="AL987" s="1123">
        <f t="shared" si="1137"/>
        <v>44.974752009752017</v>
      </c>
      <c r="AM987" s="1120">
        <f t="shared" si="1138"/>
        <v>1</v>
      </c>
      <c r="AN987" s="1120">
        <f t="shared" si="1139"/>
        <v>1</v>
      </c>
      <c r="AO987" s="1120">
        <f t="shared" si="1140"/>
        <v>1</v>
      </c>
      <c r="AP987" s="1120">
        <f t="shared" si="1141"/>
        <v>1</v>
      </c>
      <c r="AQ987" s="1120">
        <f t="shared" si="1142"/>
        <v>1</v>
      </c>
      <c r="AR987" s="1120">
        <f t="shared" si="1143"/>
        <v>1</v>
      </c>
      <c r="AS987" s="1120">
        <f t="shared" si="1144"/>
        <v>0</v>
      </c>
      <c r="AT987" s="1120">
        <f t="shared" si="1145"/>
        <v>0</v>
      </c>
      <c r="AU987" s="1120">
        <f t="shared" si="1146"/>
        <v>1</v>
      </c>
      <c r="AV987" s="1120">
        <f t="shared" si="1147"/>
        <v>1</v>
      </c>
      <c r="AW987" s="1120">
        <f t="shared" si="1148"/>
        <v>1</v>
      </c>
      <c r="AX987" s="1120">
        <f t="shared" si="1149"/>
        <v>1</v>
      </c>
      <c r="AY987" s="1120">
        <f t="shared" si="1150"/>
        <v>0</v>
      </c>
      <c r="AZ987" s="1120">
        <f t="shared" si="1151"/>
        <v>0</v>
      </c>
      <c r="BA987" s="1120">
        <f t="shared" si="1152"/>
        <v>0</v>
      </c>
      <c r="BB987" s="1120">
        <f t="shared" si="1153"/>
        <v>0</v>
      </c>
      <c r="BC987" s="1120">
        <f t="shared" si="1154"/>
        <v>0</v>
      </c>
      <c r="BD987" s="1120">
        <f t="shared" si="1155"/>
        <v>0</v>
      </c>
      <c r="BE987" s="1120">
        <f t="shared" si="1156"/>
        <v>1</v>
      </c>
      <c r="BF987" s="1120">
        <f t="shared" si="1157"/>
        <v>1</v>
      </c>
      <c r="BG987" s="1120">
        <f t="shared" si="1158"/>
        <v>0</v>
      </c>
      <c r="BH987" s="1120">
        <f t="shared" si="1159"/>
        <v>0</v>
      </c>
      <c r="BI987" s="1120">
        <f t="shared" si="1160"/>
        <v>0</v>
      </c>
      <c r="BJ987" s="1120">
        <f t="shared" si="1161"/>
        <v>0</v>
      </c>
      <c r="BK987" s="1120">
        <f t="shared" si="1162"/>
        <v>1</v>
      </c>
      <c r="BL987" s="1120">
        <f t="shared" si="1163"/>
        <v>1</v>
      </c>
      <c r="BM987" s="1120">
        <f t="shared" si="1164"/>
        <v>1</v>
      </c>
      <c r="BN987" s="1120">
        <f t="shared" si="1165"/>
        <v>1</v>
      </c>
      <c r="BO987" s="1120">
        <f t="shared" si="1166"/>
        <v>1</v>
      </c>
      <c r="BP987" s="1120">
        <f t="shared" si="1167"/>
        <v>1</v>
      </c>
      <c r="BQ987" s="1120">
        <f t="shared" si="1168"/>
        <v>1</v>
      </c>
      <c r="BR987" s="1120">
        <f t="shared" si="1169"/>
        <v>0</v>
      </c>
      <c r="BS987" s="1120">
        <f t="shared" si="1170"/>
        <v>1</v>
      </c>
      <c r="BT987" s="1120">
        <f t="shared" si="1171"/>
        <v>1</v>
      </c>
      <c r="BU987" s="1120">
        <f t="shared" si="1172"/>
        <v>1</v>
      </c>
      <c r="BV987" s="1120">
        <f t="shared" si="1173"/>
        <v>1</v>
      </c>
      <c r="BW987" s="1120">
        <f t="shared" si="1174"/>
        <v>0</v>
      </c>
      <c r="BX987" s="1120">
        <f t="shared" si="1175"/>
        <v>0</v>
      </c>
      <c r="BY987" s="1120">
        <f t="shared" si="1176"/>
        <v>0</v>
      </c>
      <c r="BZ987" s="1120">
        <f t="shared" si="1177"/>
        <v>0</v>
      </c>
      <c r="CA987" s="1120">
        <f t="shared" si="1178"/>
        <v>0</v>
      </c>
      <c r="CB987" s="1120">
        <f t="shared" si="1179"/>
        <v>1</v>
      </c>
      <c r="CC987" s="1120">
        <f t="shared" si="1180"/>
        <v>1</v>
      </c>
      <c r="CD987" s="1120">
        <f t="shared" si="1181"/>
        <v>1</v>
      </c>
      <c r="CE987" s="1120">
        <f t="shared" si="1182"/>
        <v>1</v>
      </c>
      <c r="CF987" s="1120">
        <f t="shared" si="1183"/>
        <v>0</v>
      </c>
      <c r="CG987" s="1120">
        <f t="shared" si="1184"/>
        <v>0</v>
      </c>
      <c r="CH987" s="1120">
        <f t="shared" si="1185"/>
        <v>0</v>
      </c>
      <c r="CI987" s="1120">
        <f t="shared" si="1186"/>
        <v>0.85</v>
      </c>
      <c r="CJ987" s="1120">
        <f t="shared" si="1187"/>
        <v>0.85</v>
      </c>
      <c r="CK987" s="1120">
        <f t="shared" si="1188"/>
        <v>0.85</v>
      </c>
      <c r="CL987" s="1120">
        <f t="shared" si="1189"/>
        <v>0.85</v>
      </c>
      <c r="CM987" s="1120">
        <f t="shared" si="1190"/>
        <v>0.85</v>
      </c>
      <c r="CN987" s="1120">
        <f t="shared" si="1191"/>
        <v>0.85</v>
      </c>
      <c r="CO987" s="1120">
        <f t="shared" si="1192"/>
        <v>0.85</v>
      </c>
      <c r="CP987" s="1120">
        <f t="shared" si="1193"/>
        <v>0.7</v>
      </c>
      <c r="CQ987" s="1120">
        <f t="shared" si="1194"/>
        <v>0.85</v>
      </c>
      <c r="CR987" s="1120">
        <f t="shared" si="1195"/>
        <v>0.85</v>
      </c>
      <c r="CS987" s="1120">
        <f t="shared" si="1196"/>
        <v>0.85</v>
      </c>
      <c r="CT987" s="1120">
        <f t="shared" si="1197"/>
        <v>0.85</v>
      </c>
      <c r="CU987" s="1120">
        <v>1</v>
      </c>
      <c r="CV987" s="1120"/>
      <c r="CW987" s="1120">
        <f t="shared" si="1198"/>
        <v>122</v>
      </c>
      <c r="CX987" s="1120">
        <f t="shared" si="1199"/>
        <v>243</v>
      </c>
      <c r="CY987" s="1135" t="s">
        <v>4879</v>
      </c>
      <c r="CZ987" s="1124">
        <v>7</v>
      </c>
      <c r="DA987" s="1124"/>
      <c r="DB987" s="1124"/>
      <c r="DC987" s="1120" t="s">
        <v>5410</v>
      </c>
      <c r="DD987" s="1120" t="s">
        <v>248</v>
      </c>
      <c r="DE987" s="1120" t="str">
        <f t="shared" si="1200"/>
        <v/>
      </c>
      <c r="DF987" s="1133">
        <v>0</v>
      </c>
      <c r="DG987" s="1125">
        <v>0</v>
      </c>
    </row>
    <row r="988" spans="1:111">
      <c r="A988" s="1120" t="s">
        <v>4641</v>
      </c>
      <c r="B988" s="1120" t="s">
        <v>3837</v>
      </c>
      <c r="C988" s="1120" t="s">
        <v>3838</v>
      </c>
      <c r="D988" s="1120" t="s">
        <v>934</v>
      </c>
      <c r="E988" s="1120">
        <v>1132</v>
      </c>
      <c r="F988" s="1120">
        <v>-95.08</v>
      </c>
      <c r="G988" s="1120">
        <v>45.12</v>
      </c>
      <c r="H988" s="1120">
        <v>-6</v>
      </c>
      <c r="I988" s="1121">
        <v>-13.180000686645508</v>
      </c>
      <c r="J988" s="1121">
        <v>85.1</v>
      </c>
      <c r="K988" s="1122">
        <v>71.239998626708982</v>
      </c>
      <c r="L988" s="1120">
        <v>7399.8</v>
      </c>
      <c r="M988" s="1120">
        <v>667.80000000000007</v>
      </c>
      <c r="N988" s="1123">
        <v>10.940000343322753</v>
      </c>
      <c r="O988" s="1123">
        <v>25.520000171661376</v>
      </c>
      <c r="P988" s="1123">
        <v>36.5</v>
      </c>
      <c r="Q988" s="1123">
        <v>50.9</v>
      </c>
      <c r="R988" s="1123">
        <v>55.580000686645505</v>
      </c>
      <c r="S988" s="1123">
        <v>67.819999313354487</v>
      </c>
      <c r="T988" s="1123">
        <v>71.599999999999994</v>
      </c>
      <c r="U988" s="1123">
        <v>70.880000686645502</v>
      </c>
      <c r="V988" s="1123">
        <v>60.980000686645511</v>
      </c>
      <c r="W988" s="1123">
        <v>39.740000343322755</v>
      </c>
      <c r="X988" s="1123">
        <v>39.02000017166138</v>
      </c>
      <c r="Y988" s="1123">
        <v>21.2</v>
      </c>
      <c r="Z988" s="1123">
        <v>45.961096092642173</v>
      </c>
      <c r="AA988" s="1123">
        <f t="shared" si="1126"/>
        <v>41.236544336827471</v>
      </c>
      <c r="AB988" s="1123">
        <f t="shared" si="1127"/>
        <v>39.251695058971329</v>
      </c>
      <c r="AC988" s="1123">
        <f t="shared" si="1128"/>
        <v>40.579747018339987</v>
      </c>
      <c r="AD988" s="1123">
        <f t="shared" si="1129"/>
        <v>44.874523005823811</v>
      </c>
      <c r="AE988" s="1123">
        <f t="shared" si="1130"/>
        <v>51.016523475783792</v>
      </c>
      <c r="AF988" s="1123">
        <f t="shared" si="1131"/>
        <v>57.404741354632549</v>
      </c>
      <c r="AG988" s="1123">
        <f t="shared" si="1132"/>
        <v>62.373989206830721</v>
      </c>
      <c r="AH988" s="1123">
        <f t="shared" si="1133"/>
        <v>64.628956001275455</v>
      </c>
      <c r="AI988" s="1123">
        <f t="shared" si="1134"/>
        <v>63.581849892904543</v>
      </c>
      <c r="AJ988" s="1123">
        <f t="shared" si="1135"/>
        <v>59.505615225258431</v>
      </c>
      <c r="AK988" s="1123">
        <f t="shared" si="1136"/>
        <v>53.462785381136769</v>
      </c>
      <c r="AL988" s="1123">
        <f t="shared" si="1137"/>
        <v>47.028517082236554</v>
      </c>
      <c r="AM988" s="1120">
        <f t="shared" si="1138"/>
        <v>1</v>
      </c>
      <c r="AN988" s="1120">
        <f t="shared" si="1139"/>
        <v>1</v>
      </c>
      <c r="AO988" s="1120">
        <f t="shared" si="1140"/>
        <v>1</v>
      </c>
      <c r="AP988" s="1120">
        <f t="shared" si="1141"/>
        <v>1</v>
      </c>
      <c r="AQ988" s="1120">
        <f t="shared" si="1142"/>
        <v>1</v>
      </c>
      <c r="AR988" s="1120">
        <f t="shared" si="1143"/>
        <v>0</v>
      </c>
      <c r="AS988" s="1120">
        <f t="shared" si="1144"/>
        <v>0</v>
      </c>
      <c r="AT988" s="1120">
        <f t="shared" si="1145"/>
        <v>0</v>
      </c>
      <c r="AU988" s="1120">
        <f t="shared" si="1146"/>
        <v>1</v>
      </c>
      <c r="AV988" s="1120">
        <f t="shared" si="1147"/>
        <v>1</v>
      </c>
      <c r="AW988" s="1120">
        <f t="shared" si="1148"/>
        <v>1</v>
      </c>
      <c r="AX988" s="1120">
        <f t="shared" si="1149"/>
        <v>1</v>
      </c>
      <c r="AY988" s="1120">
        <f t="shared" si="1150"/>
        <v>0</v>
      </c>
      <c r="AZ988" s="1120">
        <f t="shared" si="1151"/>
        <v>0</v>
      </c>
      <c r="BA988" s="1120">
        <f t="shared" si="1152"/>
        <v>0</v>
      </c>
      <c r="BB988" s="1120">
        <f t="shared" si="1153"/>
        <v>0</v>
      </c>
      <c r="BC988" s="1120">
        <f t="shared" si="1154"/>
        <v>0</v>
      </c>
      <c r="BD988" s="1120">
        <f t="shared" si="1155"/>
        <v>1</v>
      </c>
      <c r="BE988" s="1120">
        <f t="shared" si="1156"/>
        <v>1</v>
      </c>
      <c r="BF988" s="1120">
        <f t="shared" si="1157"/>
        <v>1</v>
      </c>
      <c r="BG988" s="1120">
        <f t="shared" si="1158"/>
        <v>0</v>
      </c>
      <c r="BH988" s="1120">
        <f t="shared" si="1159"/>
        <v>0</v>
      </c>
      <c r="BI988" s="1120">
        <f t="shared" si="1160"/>
        <v>0</v>
      </c>
      <c r="BJ988" s="1120">
        <f t="shared" si="1161"/>
        <v>0</v>
      </c>
      <c r="BK988" s="1120">
        <f t="shared" si="1162"/>
        <v>1</v>
      </c>
      <c r="BL988" s="1120">
        <f t="shared" si="1163"/>
        <v>1</v>
      </c>
      <c r="BM988" s="1120">
        <f t="shared" si="1164"/>
        <v>1</v>
      </c>
      <c r="BN988" s="1120">
        <f t="shared" si="1165"/>
        <v>1</v>
      </c>
      <c r="BO988" s="1120">
        <f t="shared" si="1166"/>
        <v>1</v>
      </c>
      <c r="BP988" s="1120">
        <f t="shared" si="1167"/>
        <v>1</v>
      </c>
      <c r="BQ988" s="1120">
        <f t="shared" si="1168"/>
        <v>0</v>
      </c>
      <c r="BR988" s="1120">
        <f t="shared" si="1169"/>
        <v>0</v>
      </c>
      <c r="BS988" s="1120">
        <f t="shared" si="1170"/>
        <v>1</v>
      </c>
      <c r="BT988" s="1120">
        <f t="shared" si="1171"/>
        <v>1</v>
      </c>
      <c r="BU988" s="1120">
        <f t="shared" si="1172"/>
        <v>1</v>
      </c>
      <c r="BV988" s="1120">
        <f t="shared" si="1173"/>
        <v>1</v>
      </c>
      <c r="BW988" s="1120">
        <f t="shared" si="1174"/>
        <v>0</v>
      </c>
      <c r="BX988" s="1120">
        <f t="shared" si="1175"/>
        <v>0</v>
      </c>
      <c r="BY988" s="1120">
        <f t="shared" si="1176"/>
        <v>0</v>
      </c>
      <c r="BZ988" s="1120">
        <f t="shared" si="1177"/>
        <v>0</v>
      </c>
      <c r="CA988" s="1120">
        <f t="shared" si="1178"/>
        <v>1</v>
      </c>
      <c r="CB988" s="1120">
        <f t="shared" si="1179"/>
        <v>1</v>
      </c>
      <c r="CC988" s="1120">
        <f t="shared" si="1180"/>
        <v>1</v>
      </c>
      <c r="CD988" s="1120">
        <f t="shared" si="1181"/>
        <v>1</v>
      </c>
      <c r="CE988" s="1120">
        <f t="shared" si="1182"/>
        <v>1</v>
      </c>
      <c r="CF988" s="1120">
        <f t="shared" si="1183"/>
        <v>0</v>
      </c>
      <c r="CG988" s="1120">
        <f t="shared" si="1184"/>
        <v>0</v>
      </c>
      <c r="CH988" s="1120">
        <f t="shared" si="1185"/>
        <v>0</v>
      </c>
      <c r="CI988" s="1120">
        <f t="shared" si="1186"/>
        <v>0.85</v>
      </c>
      <c r="CJ988" s="1120">
        <f t="shared" si="1187"/>
        <v>0.85</v>
      </c>
      <c r="CK988" s="1120">
        <f t="shared" si="1188"/>
        <v>0.85</v>
      </c>
      <c r="CL988" s="1120">
        <f t="shared" si="1189"/>
        <v>0.85</v>
      </c>
      <c r="CM988" s="1120">
        <f t="shared" si="1190"/>
        <v>0.85</v>
      </c>
      <c r="CN988" s="1120">
        <f t="shared" si="1191"/>
        <v>0.85</v>
      </c>
      <c r="CO988" s="1120">
        <f t="shared" si="1192"/>
        <v>0.7</v>
      </c>
      <c r="CP988" s="1120">
        <f t="shared" si="1193"/>
        <v>0.7</v>
      </c>
      <c r="CQ988" s="1120">
        <f t="shared" si="1194"/>
        <v>0.85</v>
      </c>
      <c r="CR988" s="1120">
        <f t="shared" si="1195"/>
        <v>0.85</v>
      </c>
      <c r="CS988" s="1120">
        <f t="shared" si="1196"/>
        <v>0.85</v>
      </c>
      <c r="CT988" s="1120">
        <f t="shared" si="1197"/>
        <v>0.85</v>
      </c>
      <c r="CU988" s="1120">
        <v>1</v>
      </c>
      <c r="CV988" s="1120"/>
      <c r="CW988" s="1120">
        <f t="shared" si="1198"/>
        <v>153</v>
      </c>
      <c r="CX988" s="1120">
        <f t="shared" si="1199"/>
        <v>212</v>
      </c>
      <c r="CY988" s="1135" t="s">
        <v>4889</v>
      </c>
      <c r="CZ988" s="1124" t="s">
        <v>4899</v>
      </c>
      <c r="DA988" s="1124"/>
      <c r="DB988" s="1124"/>
      <c r="DC988" s="1120" t="s">
        <v>5345</v>
      </c>
      <c r="DD988" s="1120" t="s">
        <v>934</v>
      </c>
      <c r="DE988" s="1120" t="str">
        <f t="shared" si="1200"/>
        <v/>
      </c>
      <c r="DF988" s="1133">
        <v>1</v>
      </c>
      <c r="DG988" s="1120">
        <v>0</v>
      </c>
    </row>
    <row r="989" spans="1:111">
      <c r="A989" s="1125" t="s">
        <v>4643</v>
      </c>
      <c r="B989" s="1120" t="s">
        <v>4290</v>
      </c>
      <c r="C989" s="1120" t="s">
        <v>4291</v>
      </c>
      <c r="D989" s="1120" t="s">
        <v>539</v>
      </c>
      <c r="E989" s="1120">
        <v>335</v>
      </c>
      <c r="F989" s="1120">
        <v>-75.150000000000006</v>
      </c>
      <c r="G989" s="1120">
        <v>40.200000000000003</v>
      </c>
      <c r="H989" s="1120">
        <v>-5</v>
      </c>
      <c r="I989" s="1121">
        <v>14.359999656677246</v>
      </c>
      <c r="J989" s="1121">
        <v>89.960001373291021</v>
      </c>
      <c r="K989" s="1122">
        <v>73.760001373291018</v>
      </c>
      <c r="L989" s="1120">
        <v>4528.8</v>
      </c>
      <c r="M989" s="1120">
        <v>973.80000000000007</v>
      </c>
      <c r="N989" s="1123">
        <v>33.619999957084659</v>
      </c>
      <c r="O989" s="1123">
        <v>34.880000042915341</v>
      </c>
      <c r="P989" s="1123">
        <v>44.240000343322755</v>
      </c>
      <c r="Q989" s="1123">
        <v>51.259999656677245</v>
      </c>
      <c r="R989" s="1123">
        <v>61.519999313354496</v>
      </c>
      <c r="S989" s="1123">
        <v>70.880000686645502</v>
      </c>
      <c r="T989" s="1123">
        <v>75.2</v>
      </c>
      <c r="U989" s="1123">
        <v>73.939998626708984</v>
      </c>
      <c r="V989" s="1123">
        <v>64.039998626708979</v>
      </c>
      <c r="W989" s="1123">
        <v>53.419999313354495</v>
      </c>
      <c r="X989" s="1123">
        <v>53.240000343322755</v>
      </c>
      <c r="Y989" s="1123">
        <v>38.47999982833862</v>
      </c>
      <c r="Z989" s="1123">
        <v>54.663725751916026</v>
      </c>
      <c r="AA989" s="1123">
        <f t="shared" si="1126"/>
        <v>51.04103038363786</v>
      </c>
      <c r="AB989" s="1123">
        <f t="shared" si="1127"/>
        <v>50.180728036983695</v>
      </c>
      <c r="AC989" s="1123">
        <f t="shared" si="1128"/>
        <v>52.052980592611448</v>
      </c>
      <c r="AD989" s="1123">
        <f t="shared" si="1129"/>
        <v>56.169756569611508</v>
      </c>
      <c r="AE989" s="1123">
        <f t="shared" si="1130"/>
        <v>61.457954868140639</v>
      </c>
      <c r="AF989" s="1123">
        <f t="shared" si="1131"/>
        <v>66.539125108084662</v>
      </c>
      <c r="AG989" s="1123">
        <f t="shared" si="1132"/>
        <v>70.088781963198556</v>
      </c>
      <c r="AH989" s="1123">
        <f t="shared" si="1133"/>
        <v>71.181652672328923</v>
      </c>
      <c r="AI989" s="1123">
        <f t="shared" si="1134"/>
        <v>69.532863643493513</v>
      </c>
      <c r="AJ989" s="1123">
        <f t="shared" si="1135"/>
        <v>65.572197145666337</v>
      </c>
      <c r="AK989" s="1123">
        <f t="shared" si="1136"/>
        <v>60.332061937224296</v>
      </c>
      <c r="AL989" s="1123">
        <f t="shared" si="1137"/>
        <v>55.178380013175754</v>
      </c>
      <c r="AM989" s="1120">
        <f t="shared" si="1138"/>
        <v>1</v>
      </c>
      <c r="AN989" s="1120">
        <f t="shared" si="1139"/>
        <v>1</v>
      </c>
      <c r="AO989" s="1120">
        <f t="shared" si="1140"/>
        <v>1</v>
      </c>
      <c r="AP989" s="1120">
        <f t="shared" si="1141"/>
        <v>1</v>
      </c>
      <c r="AQ989" s="1120">
        <f t="shared" si="1142"/>
        <v>1</v>
      </c>
      <c r="AR989" s="1120">
        <f t="shared" si="1143"/>
        <v>0</v>
      </c>
      <c r="AS989" s="1120">
        <f t="shared" si="1144"/>
        <v>0</v>
      </c>
      <c r="AT989" s="1120">
        <f t="shared" si="1145"/>
        <v>0</v>
      </c>
      <c r="AU989" s="1120">
        <f t="shared" si="1146"/>
        <v>1</v>
      </c>
      <c r="AV989" s="1120">
        <f t="shared" si="1147"/>
        <v>1</v>
      </c>
      <c r="AW989" s="1120">
        <f t="shared" si="1148"/>
        <v>1</v>
      </c>
      <c r="AX989" s="1120">
        <f t="shared" si="1149"/>
        <v>1</v>
      </c>
      <c r="AY989" s="1120">
        <f t="shared" si="1150"/>
        <v>0</v>
      </c>
      <c r="AZ989" s="1120">
        <f t="shared" si="1151"/>
        <v>0</v>
      </c>
      <c r="BA989" s="1120">
        <f t="shared" si="1152"/>
        <v>0</v>
      </c>
      <c r="BB989" s="1120">
        <f t="shared" si="1153"/>
        <v>0</v>
      </c>
      <c r="BC989" s="1120">
        <f t="shared" si="1154"/>
        <v>0</v>
      </c>
      <c r="BD989" s="1120">
        <f t="shared" si="1155"/>
        <v>1</v>
      </c>
      <c r="BE989" s="1120">
        <f t="shared" si="1156"/>
        <v>1</v>
      </c>
      <c r="BF989" s="1120">
        <f t="shared" si="1157"/>
        <v>1</v>
      </c>
      <c r="BG989" s="1120">
        <f t="shared" si="1158"/>
        <v>0</v>
      </c>
      <c r="BH989" s="1120">
        <f t="shared" si="1159"/>
        <v>0</v>
      </c>
      <c r="BI989" s="1120">
        <f t="shared" si="1160"/>
        <v>0</v>
      </c>
      <c r="BJ989" s="1120">
        <f t="shared" si="1161"/>
        <v>0</v>
      </c>
      <c r="BK989" s="1120">
        <f t="shared" si="1162"/>
        <v>1</v>
      </c>
      <c r="BL989" s="1120">
        <f t="shared" si="1163"/>
        <v>1</v>
      </c>
      <c r="BM989" s="1120">
        <f t="shared" si="1164"/>
        <v>1</v>
      </c>
      <c r="BN989" s="1120">
        <f t="shared" si="1165"/>
        <v>1</v>
      </c>
      <c r="BO989" s="1120">
        <f t="shared" si="1166"/>
        <v>1</v>
      </c>
      <c r="BP989" s="1120">
        <f t="shared" si="1167"/>
        <v>1</v>
      </c>
      <c r="BQ989" s="1120">
        <f t="shared" si="1168"/>
        <v>0</v>
      </c>
      <c r="BR989" s="1120">
        <f t="shared" si="1169"/>
        <v>0</v>
      </c>
      <c r="BS989" s="1120">
        <f t="shared" si="1170"/>
        <v>1</v>
      </c>
      <c r="BT989" s="1120">
        <f t="shared" si="1171"/>
        <v>1</v>
      </c>
      <c r="BU989" s="1120">
        <f t="shared" si="1172"/>
        <v>1</v>
      </c>
      <c r="BV989" s="1120">
        <f t="shared" si="1173"/>
        <v>1</v>
      </c>
      <c r="BW989" s="1120">
        <f t="shared" si="1174"/>
        <v>0</v>
      </c>
      <c r="BX989" s="1120">
        <f t="shared" si="1175"/>
        <v>0</v>
      </c>
      <c r="BY989" s="1120">
        <f t="shared" si="1176"/>
        <v>0</v>
      </c>
      <c r="BZ989" s="1120">
        <f t="shared" si="1177"/>
        <v>0</v>
      </c>
      <c r="CA989" s="1120">
        <f t="shared" si="1178"/>
        <v>1</v>
      </c>
      <c r="CB989" s="1120">
        <f t="shared" si="1179"/>
        <v>1</v>
      </c>
      <c r="CC989" s="1120">
        <f t="shared" si="1180"/>
        <v>1</v>
      </c>
      <c r="CD989" s="1120">
        <f t="shared" si="1181"/>
        <v>1</v>
      </c>
      <c r="CE989" s="1120">
        <f t="shared" si="1182"/>
        <v>1</v>
      </c>
      <c r="CF989" s="1120">
        <f t="shared" si="1183"/>
        <v>0</v>
      </c>
      <c r="CG989" s="1120">
        <f t="shared" si="1184"/>
        <v>0</v>
      </c>
      <c r="CH989" s="1120">
        <f t="shared" si="1185"/>
        <v>0</v>
      </c>
      <c r="CI989" s="1120">
        <f t="shared" si="1186"/>
        <v>0.85</v>
      </c>
      <c r="CJ989" s="1120">
        <f t="shared" si="1187"/>
        <v>0.85</v>
      </c>
      <c r="CK989" s="1120">
        <f t="shared" si="1188"/>
        <v>0.85</v>
      </c>
      <c r="CL989" s="1120">
        <f t="shared" si="1189"/>
        <v>0.85</v>
      </c>
      <c r="CM989" s="1120">
        <f t="shared" si="1190"/>
        <v>0.85</v>
      </c>
      <c r="CN989" s="1120">
        <f t="shared" si="1191"/>
        <v>0.85</v>
      </c>
      <c r="CO989" s="1120">
        <f t="shared" si="1192"/>
        <v>0.7</v>
      </c>
      <c r="CP989" s="1120">
        <f t="shared" si="1193"/>
        <v>0.7</v>
      </c>
      <c r="CQ989" s="1120">
        <f t="shared" si="1194"/>
        <v>0.85</v>
      </c>
      <c r="CR989" s="1120">
        <f t="shared" si="1195"/>
        <v>0.85</v>
      </c>
      <c r="CS989" s="1120">
        <f t="shared" si="1196"/>
        <v>0.85</v>
      </c>
      <c r="CT989" s="1120">
        <f t="shared" si="1197"/>
        <v>0.85</v>
      </c>
      <c r="CU989" s="1120">
        <v>1</v>
      </c>
      <c r="CV989" s="1120"/>
      <c r="CW989" s="1120">
        <f t="shared" si="1198"/>
        <v>153</v>
      </c>
      <c r="CX989" s="1120">
        <f t="shared" si="1199"/>
        <v>212</v>
      </c>
      <c r="CY989" s="1135" t="s">
        <v>4881</v>
      </c>
      <c r="CZ989" s="1124" t="s">
        <v>4885</v>
      </c>
      <c r="DA989" s="1124"/>
      <c r="DB989" s="1124"/>
      <c r="DC989" s="1120" t="s">
        <v>5545</v>
      </c>
      <c r="DD989" s="1120" t="s">
        <v>539</v>
      </c>
      <c r="DE989" s="1120" t="str">
        <f t="shared" si="1200"/>
        <v/>
      </c>
      <c r="DF989" s="1133">
        <v>0</v>
      </c>
      <c r="DG989" s="1125">
        <v>0</v>
      </c>
    </row>
    <row r="990" spans="1:111">
      <c r="A990" s="1120" t="s">
        <v>4645</v>
      </c>
      <c r="B990" s="1125" t="s">
        <v>3964</v>
      </c>
      <c r="C990" s="1125" t="s">
        <v>3965</v>
      </c>
      <c r="D990" s="1125" t="s">
        <v>426</v>
      </c>
      <c r="E990" s="1125">
        <v>30</v>
      </c>
      <c r="F990" s="1125">
        <v>-77.900000000000006</v>
      </c>
      <c r="G990" s="1125">
        <v>34.270000000000003</v>
      </c>
      <c r="H990" s="1125">
        <v>-5</v>
      </c>
      <c r="I990" s="1126">
        <v>27.679999828338623</v>
      </c>
      <c r="J990" s="1126">
        <v>91.039998626708993</v>
      </c>
      <c r="K990" s="1127">
        <v>77.539998626708979</v>
      </c>
      <c r="L990" s="1125">
        <v>2350.8000000000002</v>
      </c>
      <c r="M990" s="1125">
        <v>1971</v>
      </c>
      <c r="N990" s="1128">
        <v>44.240000343322755</v>
      </c>
      <c r="O990" s="1128">
        <v>47.480000686645511</v>
      </c>
      <c r="P990" s="1128">
        <v>53.780000686645508</v>
      </c>
      <c r="Q990" s="1128">
        <v>63.680000686645506</v>
      </c>
      <c r="R990" s="1128">
        <v>70.880000686645502</v>
      </c>
      <c r="S990" s="1128">
        <v>76.819999313354487</v>
      </c>
      <c r="T990" s="1128">
        <v>80.599999999999994</v>
      </c>
      <c r="U990" s="1128">
        <v>78.260001373291018</v>
      </c>
      <c r="V990" s="1128">
        <v>74.3</v>
      </c>
      <c r="W990" s="1128">
        <v>62.6</v>
      </c>
      <c r="X990" s="1128">
        <v>57.559999656677249</v>
      </c>
      <c r="Y990" s="1128">
        <v>48.919999313354495</v>
      </c>
      <c r="Z990" s="1128">
        <v>63.336767351855968</v>
      </c>
      <c r="AA990" s="1128">
        <f t="shared" si="1126"/>
        <v>58.938861589234413</v>
      </c>
      <c r="AB990" s="1128">
        <f t="shared" si="1127"/>
        <v>58.876002192354399</v>
      </c>
      <c r="AC990" s="1128">
        <f t="shared" si="1128"/>
        <v>61.539902439569211</v>
      </c>
      <c r="AD990" s="1128">
        <f t="shared" si="1129"/>
        <v>66.236175679496881</v>
      </c>
      <c r="AE990" s="1128">
        <f t="shared" si="1130"/>
        <v>71.740665920388949</v>
      </c>
      <c r="AF990" s="1128">
        <f t="shared" si="1131"/>
        <v>76.618542954194609</v>
      </c>
      <c r="AG990" s="1128">
        <f t="shared" si="1132"/>
        <v>79.598312961691931</v>
      </c>
      <c r="AH990" s="1128">
        <f t="shared" si="1133"/>
        <v>79.903252970780954</v>
      </c>
      <c r="AI990" s="1128">
        <f t="shared" si="1134"/>
        <v>77.453875668824836</v>
      </c>
      <c r="AJ990" s="1128">
        <f t="shared" si="1135"/>
        <v>72.888648995625218</v>
      </c>
      <c r="AK990" s="1128">
        <f t="shared" si="1136"/>
        <v>67.397569635824169</v>
      </c>
      <c r="AL990" s="1128">
        <f t="shared" si="1137"/>
        <v>62.411972044648181</v>
      </c>
      <c r="AM990" s="1125">
        <f t="shared" si="1138"/>
        <v>1</v>
      </c>
      <c r="AN990" s="1125">
        <f t="shared" si="1139"/>
        <v>1</v>
      </c>
      <c r="AO990" s="1125">
        <f t="shared" si="1140"/>
        <v>1</v>
      </c>
      <c r="AP990" s="1125">
        <f t="shared" si="1141"/>
        <v>1</v>
      </c>
      <c r="AQ990" s="1125">
        <f t="shared" si="1142"/>
        <v>0</v>
      </c>
      <c r="AR990" s="1125">
        <f t="shared" si="1143"/>
        <v>0</v>
      </c>
      <c r="AS990" s="1125">
        <f t="shared" si="1144"/>
        <v>0</v>
      </c>
      <c r="AT990" s="1125">
        <f t="shared" si="1145"/>
        <v>0</v>
      </c>
      <c r="AU990" s="1125">
        <f t="shared" si="1146"/>
        <v>0</v>
      </c>
      <c r="AV990" s="1125">
        <f t="shared" si="1147"/>
        <v>1</v>
      </c>
      <c r="AW990" s="1125">
        <f t="shared" si="1148"/>
        <v>1</v>
      </c>
      <c r="AX990" s="1125">
        <f t="shared" si="1149"/>
        <v>1</v>
      </c>
      <c r="AY990" s="1125">
        <f t="shared" si="1150"/>
        <v>0</v>
      </c>
      <c r="AZ990" s="1125">
        <f t="shared" si="1151"/>
        <v>0</v>
      </c>
      <c r="BA990" s="1125">
        <f t="shared" si="1152"/>
        <v>0</v>
      </c>
      <c r="BB990" s="1125">
        <f t="shared" si="1153"/>
        <v>0</v>
      </c>
      <c r="BC990" s="1125">
        <f t="shared" si="1154"/>
        <v>1</v>
      </c>
      <c r="BD990" s="1125">
        <f t="shared" si="1155"/>
        <v>1</v>
      </c>
      <c r="BE990" s="1125">
        <f t="shared" si="1156"/>
        <v>1</v>
      </c>
      <c r="BF990" s="1125">
        <f t="shared" si="1157"/>
        <v>1</v>
      </c>
      <c r="BG990" s="1125">
        <f t="shared" si="1158"/>
        <v>1</v>
      </c>
      <c r="BH990" s="1125">
        <f t="shared" si="1159"/>
        <v>0</v>
      </c>
      <c r="BI990" s="1125">
        <f t="shared" si="1160"/>
        <v>0</v>
      </c>
      <c r="BJ990" s="1125">
        <f t="shared" si="1161"/>
        <v>0</v>
      </c>
      <c r="BK990" s="1125">
        <f t="shared" si="1162"/>
        <v>1</v>
      </c>
      <c r="BL990" s="1125">
        <f t="shared" si="1163"/>
        <v>1</v>
      </c>
      <c r="BM990" s="1125">
        <f t="shared" si="1164"/>
        <v>1</v>
      </c>
      <c r="BN990" s="1125">
        <f t="shared" si="1165"/>
        <v>1</v>
      </c>
      <c r="BO990" s="1125">
        <f t="shared" si="1166"/>
        <v>1</v>
      </c>
      <c r="BP990" s="1125">
        <f t="shared" si="1167"/>
        <v>0</v>
      </c>
      <c r="BQ990" s="1125">
        <f t="shared" si="1168"/>
        <v>0</v>
      </c>
      <c r="BR990" s="1125">
        <f t="shared" si="1169"/>
        <v>0</v>
      </c>
      <c r="BS990" s="1125">
        <f t="shared" si="1170"/>
        <v>0</v>
      </c>
      <c r="BT990" s="1125">
        <f t="shared" si="1171"/>
        <v>1</v>
      </c>
      <c r="BU990" s="1125">
        <f t="shared" si="1172"/>
        <v>1</v>
      </c>
      <c r="BV990" s="1125">
        <f t="shared" si="1173"/>
        <v>1</v>
      </c>
      <c r="BW990" s="1125">
        <f t="shared" si="1174"/>
        <v>0</v>
      </c>
      <c r="BX990" s="1125">
        <f t="shared" si="1175"/>
        <v>0</v>
      </c>
      <c r="BY990" s="1125">
        <f t="shared" si="1176"/>
        <v>0</v>
      </c>
      <c r="BZ990" s="1125">
        <f t="shared" si="1177"/>
        <v>1</v>
      </c>
      <c r="CA990" s="1125">
        <f t="shared" si="1178"/>
        <v>1</v>
      </c>
      <c r="CB990" s="1125">
        <f t="shared" si="1179"/>
        <v>1</v>
      </c>
      <c r="CC990" s="1125">
        <f t="shared" si="1180"/>
        <v>1</v>
      </c>
      <c r="CD990" s="1125">
        <f t="shared" si="1181"/>
        <v>1</v>
      </c>
      <c r="CE990" s="1125">
        <f t="shared" si="1182"/>
        <v>1</v>
      </c>
      <c r="CF990" s="1125">
        <f t="shared" si="1183"/>
        <v>1</v>
      </c>
      <c r="CG990" s="1125">
        <f t="shared" si="1184"/>
        <v>0</v>
      </c>
      <c r="CH990" s="1125">
        <f t="shared" si="1185"/>
        <v>0</v>
      </c>
      <c r="CI990" s="1125">
        <f t="shared" si="1186"/>
        <v>0.85</v>
      </c>
      <c r="CJ990" s="1125">
        <f t="shared" si="1187"/>
        <v>0.85</v>
      </c>
      <c r="CK990" s="1125">
        <f t="shared" si="1188"/>
        <v>0.85</v>
      </c>
      <c r="CL990" s="1125">
        <f t="shared" si="1189"/>
        <v>0.85</v>
      </c>
      <c r="CM990" s="1125">
        <f t="shared" si="1190"/>
        <v>0.85</v>
      </c>
      <c r="CN990" s="1125">
        <f t="shared" si="1191"/>
        <v>0.7</v>
      </c>
      <c r="CO990" s="1125">
        <f t="shared" si="1192"/>
        <v>0.7</v>
      </c>
      <c r="CP990" s="1125">
        <f t="shared" si="1193"/>
        <v>0.7</v>
      </c>
      <c r="CQ990" s="1125">
        <f t="shared" si="1194"/>
        <v>0.7</v>
      </c>
      <c r="CR990" s="1125">
        <f t="shared" si="1195"/>
        <v>0.85</v>
      </c>
      <c r="CS990" s="1125">
        <f t="shared" si="1196"/>
        <v>0.85</v>
      </c>
      <c r="CT990" s="1125">
        <f t="shared" si="1197"/>
        <v>0.85</v>
      </c>
      <c r="CU990" s="1125">
        <v>1</v>
      </c>
      <c r="CV990" s="1125"/>
      <c r="CW990" s="1125">
        <f t="shared" si="1198"/>
        <v>214</v>
      </c>
      <c r="CX990" s="1125">
        <f t="shared" si="1199"/>
        <v>151</v>
      </c>
      <c r="CY990" s="1136" t="s">
        <v>4883</v>
      </c>
      <c r="CZ990" s="1129" t="s">
        <v>4882</v>
      </c>
      <c r="DA990" s="1129"/>
      <c r="DB990" s="1129"/>
      <c r="DC990" s="1125" t="s">
        <v>5401</v>
      </c>
      <c r="DD990" s="1125" t="s">
        <v>426</v>
      </c>
      <c r="DE990" s="1120" t="str">
        <f t="shared" si="1200"/>
        <v/>
      </c>
      <c r="DF990" s="1133">
        <v>0</v>
      </c>
      <c r="DG990" s="1120">
        <v>0</v>
      </c>
    </row>
    <row r="991" spans="1:111">
      <c r="A991" s="1125" t="s">
        <v>4647</v>
      </c>
      <c r="B991" s="1120" t="s">
        <v>3262</v>
      </c>
      <c r="C991" s="1120" t="s">
        <v>3263</v>
      </c>
      <c r="D991" s="1120" t="s">
        <v>1329</v>
      </c>
      <c r="E991" s="1120">
        <v>75</v>
      </c>
      <c r="F991" s="1120">
        <v>-75.599999999999994</v>
      </c>
      <c r="G991" s="1120">
        <v>39.67</v>
      </c>
      <c r="H991" s="1120">
        <v>-5</v>
      </c>
      <c r="I991" s="1121">
        <v>16.159999656677247</v>
      </c>
      <c r="J991" s="1121">
        <v>89.239998626708982</v>
      </c>
      <c r="K991" s="1122">
        <v>74.119999313354498</v>
      </c>
      <c r="L991" s="1120">
        <v>4932</v>
      </c>
      <c r="M991" s="1120">
        <v>1170</v>
      </c>
      <c r="N991" s="1123">
        <v>28.039999914169311</v>
      </c>
      <c r="O991" s="1123">
        <v>36.139999914169309</v>
      </c>
      <c r="P991" s="1123">
        <v>44.779999828338624</v>
      </c>
      <c r="Q991" s="1123">
        <v>53.419999313354495</v>
      </c>
      <c r="R991" s="1123">
        <v>63.319999313354494</v>
      </c>
      <c r="S991" s="1123">
        <v>72.5</v>
      </c>
      <c r="T991" s="1123">
        <v>76.280000686645508</v>
      </c>
      <c r="U991" s="1123">
        <v>74.83999862670899</v>
      </c>
      <c r="V991" s="1123">
        <v>65.83999862670899</v>
      </c>
      <c r="W991" s="1123">
        <v>54.5</v>
      </c>
      <c r="X991" s="1123">
        <v>45.320000171661377</v>
      </c>
      <c r="Y991" s="1123">
        <v>33.259999978542325</v>
      </c>
      <c r="Z991" s="1123">
        <v>54.109424355421979</v>
      </c>
      <c r="AA991" s="1123">
        <f t="shared" si="1126"/>
        <v>49.114960979898179</v>
      </c>
      <c r="AB991" s="1123">
        <f t="shared" si="1127"/>
        <v>48.069722678502032</v>
      </c>
      <c r="AC991" s="1123">
        <f t="shared" si="1128"/>
        <v>50.16281815661408</v>
      </c>
      <c r="AD991" s="1123">
        <f t="shared" si="1129"/>
        <v>54.848649822286731</v>
      </c>
      <c r="AE991" s="1123">
        <f t="shared" si="1130"/>
        <v>60.905783441010641</v>
      </c>
      <c r="AF991" s="1123">
        <f t="shared" si="1131"/>
        <v>66.755333791810884</v>
      </c>
      <c r="AG991" s="1123">
        <f t="shared" si="1132"/>
        <v>70.87252543145182</v>
      </c>
      <c r="AH991" s="1123">
        <f t="shared" si="1133"/>
        <v>72.184148911217306</v>
      </c>
      <c r="AI991" s="1123">
        <f t="shared" si="1134"/>
        <v>70.348309358376838</v>
      </c>
      <c r="AJ991" s="1123">
        <f t="shared" si="1135"/>
        <v>65.84354664352216</v>
      </c>
      <c r="AK991" s="1123">
        <f t="shared" si="1136"/>
        <v>59.844096588774896</v>
      </c>
      <c r="AL991" s="1123">
        <f t="shared" si="1137"/>
        <v>53.913808305228848</v>
      </c>
      <c r="AM991" s="1120">
        <f t="shared" si="1138"/>
        <v>1</v>
      </c>
      <c r="AN991" s="1120">
        <f t="shared" si="1139"/>
        <v>1</v>
      </c>
      <c r="AO991" s="1120">
        <f t="shared" si="1140"/>
        <v>1</v>
      </c>
      <c r="AP991" s="1120">
        <f t="shared" si="1141"/>
        <v>1</v>
      </c>
      <c r="AQ991" s="1120">
        <f t="shared" si="1142"/>
        <v>1</v>
      </c>
      <c r="AR991" s="1120">
        <f t="shared" si="1143"/>
        <v>0</v>
      </c>
      <c r="AS991" s="1120">
        <f t="shared" si="1144"/>
        <v>0</v>
      </c>
      <c r="AT991" s="1120">
        <f t="shared" si="1145"/>
        <v>0</v>
      </c>
      <c r="AU991" s="1120">
        <f t="shared" si="1146"/>
        <v>1</v>
      </c>
      <c r="AV991" s="1120">
        <f t="shared" si="1147"/>
        <v>1</v>
      </c>
      <c r="AW991" s="1120">
        <f t="shared" si="1148"/>
        <v>1</v>
      </c>
      <c r="AX991" s="1120">
        <f t="shared" si="1149"/>
        <v>1</v>
      </c>
      <c r="AY991" s="1120">
        <f t="shared" si="1150"/>
        <v>0</v>
      </c>
      <c r="AZ991" s="1120">
        <f t="shared" si="1151"/>
        <v>0</v>
      </c>
      <c r="BA991" s="1120">
        <f t="shared" si="1152"/>
        <v>0</v>
      </c>
      <c r="BB991" s="1120">
        <f t="shared" si="1153"/>
        <v>0</v>
      </c>
      <c r="BC991" s="1120">
        <f t="shared" si="1154"/>
        <v>0</v>
      </c>
      <c r="BD991" s="1120">
        <f t="shared" si="1155"/>
        <v>1</v>
      </c>
      <c r="BE991" s="1120">
        <f t="shared" si="1156"/>
        <v>1</v>
      </c>
      <c r="BF991" s="1120">
        <f t="shared" si="1157"/>
        <v>1</v>
      </c>
      <c r="BG991" s="1120">
        <f t="shared" si="1158"/>
        <v>0</v>
      </c>
      <c r="BH991" s="1120">
        <f t="shared" si="1159"/>
        <v>0</v>
      </c>
      <c r="BI991" s="1120">
        <f t="shared" si="1160"/>
        <v>0</v>
      </c>
      <c r="BJ991" s="1120">
        <f t="shared" si="1161"/>
        <v>0</v>
      </c>
      <c r="BK991" s="1120">
        <f t="shared" si="1162"/>
        <v>1</v>
      </c>
      <c r="BL991" s="1120">
        <f t="shared" si="1163"/>
        <v>1</v>
      </c>
      <c r="BM991" s="1120">
        <f t="shared" si="1164"/>
        <v>1</v>
      </c>
      <c r="BN991" s="1120">
        <f t="shared" si="1165"/>
        <v>1</v>
      </c>
      <c r="BO991" s="1120">
        <f t="shared" si="1166"/>
        <v>1</v>
      </c>
      <c r="BP991" s="1120">
        <f t="shared" si="1167"/>
        <v>1</v>
      </c>
      <c r="BQ991" s="1120">
        <f t="shared" si="1168"/>
        <v>0</v>
      </c>
      <c r="BR991" s="1120">
        <f t="shared" si="1169"/>
        <v>0</v>
      </c>
      <c r="BS991" s="1120">
        <f t="shared" si="1170"/>
        <v>1</v>
      </c>
      <c r="BT991" s="1120">
        <f t="shared" si="1171"/>
        <v>1</v>
      </c>
      <c r="BU991" s="1120">
        <f t="shared" si="1172"/>
        <v>1</v>
      </c>
      <c r="BV991" s="1120">
        <f t="shared" si="1173"/>
        <v>1</v>
      </c>
      <c r="BW991" s="1120">
        <f t="shared" si="1174"/>
        <v>0</v>
      </c>
      <c r="BX991" s="1120">
        <f t="shared" si="1175"/>
        <v>0</v>
      </c>
      <c r="BY991" s="1120">
        <f t="shared" si="1176"/>
        <v>0</v>
      </c>
      <c r="BZ991" s="1120">
        <f t="shared" si="1177"/>
        <v>0</v>
      </c>
      <c r="CA991" s="1120">
        <f t="shared" si="1178"/>
        <v>1</v>
      </c>
      <c r="CB991" s="1120">
        <f t="shared" si="1179"/>
        <v>1</v>
      </c>
      <c r="CC991" s="1120">
        <f t="shared" si="1180"/>
        <v>1</v>
      </c>
      <c r="CD991" s="1120">
        <f t="shared" si="1181"/>
        <v>1</v>
      </c>
      <c r="CE991" s="1120">
        <f t="shared" si="1182"/>
        <v>1</v>
      </c>
      <c r="CF991" s="1120">
        <f t="shared" si="1183"/>
        <v>0</v>
      </c>
      <c r="CG991" s="1120">
        <f t="shared" si="1184"/>
        <v>0</v>
      </c>
      <c r="CH991" s="1120">
        <f t="shared" si="1185"/>
        <v>0</v>
      </c>
      <c r="CI991" s="1120">
        <f t="shared" si="1186"/>
        <v>0.85</v>
      </c>
      <c r="CJ991" s="1120">
        <f t="shared" si="1187"/>
        <v>0.85</v>
      </c>
      <c r="CK991" s="1120">
        <f t="shared" si="1188"/>
        <v>0.85</v>
      </c>
      <c r="CL991" s="1120">
        <f t="shared" si="1189"/>
        <v>0.85</v>
      </c>
      <c r="CM991" s="1120">
        <f t="shared" si="1190"/>
        <v>0.85</v>
      </c>
      <c r="CN991" s="1120">
        <f t="shared" si="1191"/>
        <v>0.85</v>
      </c>
      <c r="CO991" s="1120">
        <f t="shared" si="1192"/>
        <v>0.7</v>
      </c>
      <c r="CP991" s="1120">
        <f t="shared" si="1193"/>
        <v>0.7</v>
      </c>
      <c r="CQ991" s="1120">
        <f t="shared" si="1194"/>
        <v>0.85</v>
      </c>
      <c r="CR991" s="1120">
        <f t="shared" si="1195"/>
        <v>0.85</v>
      </c>
      <c r="CS991" s="1120">
        <f t="shared" si="1196"/>
        <v>0.85</v>
      </c>
      <c r="CT991" s="1120">
        <f t="shared" si="1197"/>
        <v>0.85</v>
      </c>
      <c r="CU991" s="1120">
        <v>1</v>
      </c>
      <c r="CV991" s="1120"/>
      <c r="CW991" s="1120">
        <f t="shared" si="1198"/>
        <v>153</v>
      </c>
      <c r="CX991" s="1120">
        <f t="shared" si="1199"/>
        <v>212</v>
      </c>
      <c r="CY991" s="1136" t="s">
        <v>4881</v>
      </c>
      <c r="CZ991" s="1129" t="s">
        <v>4885</v>
      </c>
      <c r="DA991" s="1129"/>
      <c r="DB991" s="1129"/>
      <c r="DC991" s="1125" t="s">
        <v>5091</v>
      </c>
      <c r="DD991" s="1125" t="s">
        <v>1329</v>
      </c>
      <c r="DE991" s="1120" t="str">
        <f t="shared" si="1200"/>
        <v/>
      </c>
      <c r="DF991" s="1133">
        <v>0</v>
      </c>
      <c r="DG991" s="1125">
        <v>0</v>
      </c>
    </row>
    <row r="992" spans="1:111">
      <c r="A992" s="1120" t="s">
        <v>4651</v>
      </c>
      <c r="B992" s="1120" t="s">
        <v>4540</v>
      </c>
      <c r="C992" s="1120" t="s">
        <v>4541</v>
      </c>
      <c r="D992" s="1120" t="s">
        <v>501</v>
      </c>
      <c r="E992" s="1120">
        <v>728</v>
      </c>
      <c r="F992" s="1120">
        <v>-78.150000000000006</v>
      </c>
      <c r="G992" s="1120">
        <v>39.15</v>
      </c>
      <c r="H992" s="1120">
        <v>-5</v>
      </c>
      <c r="I992" s="1121">
        <v>18.140000343322754</v>
      </c>
      <c r="J992" s="1121">
        <v>90.679997253417966</v>
      </c>
      <c r="K992" s="1122">
        <v>73.760001373291018</v>
      </c>
      <c r="L992" s="1120">
        <v>4980.6000000000004</v>
      </c>
      <c r="M992" s="1120">
        <v>1252.8</v>
      </c>
      <c r="N992" s="1123">
        <v>34.880000042915341</v>
      </c>
      <c r="O992" s="1123">
        <v>35.23999991416931</v>
      </c>
      <c r="P992" s="1123">
        <v>39.200000000000003</v>
      </c>
      <c r="Q992" s="1123">
        <v>53.059999656677249</v>
      </c>
      <c r="R992" s="1123">
        <v>62.060001373291016</v>
      </c>
      <c r="S992" s="1123">
        <v>71.780000686645508</v>
      </c>
      <c r="T992" s="1123">
        <v>76.639998626708987</v>
      </c>
      <c r="U992" s="1123">
        <v>77.180000686645513</v>
      </c>
      <c r="V992" s="1123">
        <v>66.380000686645502</v>
      </c>
      <c r="W992" s="1123">
        <v>53.959999656677248</v>
      </c>
      <c r="X992" s="1123">
        <v>40.459999656677248</v>
      </c>
      <c r="Y992" s="1123">
        <v>38.120000171661374</v>
      </c>
      <c r="Z992" s="1123">
        <v>54.192767220523258</v>
      </c>
      <c r="AA992" s="1123">
        <f t="shared" si="1126"/>
        <v>50.529750993712256</v>
      </c>
      <c r="AB992" s="1123">
        <f t="shared" si="1127"/>
        <v>49.619355116019818</v>
      </c>
      <c r="AC992" s="1123">
        <f t="shared" si="1128"/>
        <v>51.465082044578921</v>
      </c>
      <c r="AD992" s="1123">
        <f t="shared" si="1129"/>
        <v>55.585814611947683</v>
      </c>
      <c r="AE992" s="1123">
        <f t="shared" si="1130"/>
        <v>60.90742037203038</v>
      </c>
      <c r="AF992" s="1123">
        <f t="shared" si="1131"/>
        <v>66.042740775034318</v>
      </c>
      <c r="AG992" s="1123">
        <f t="shared" si="1132"/>
        <v>69.653175420233623</v>
      </c>
      <c r="AH992" s="1123">
        <f t="shared" si="1133"/>
        <v>70.797608878875067</v>
      </c>
      <c r="AI992" s="1123">
        <f t="shared" si="1134"/>
        <v>69.177726933710304</v>
      </c>
      <c r="AJ992" s="1123">
        <f t="shared" si="1135"/>
        <v>65.215776776882933</v>
      </c>
      <c r="AK992" s="1123">
        <f t="shared" si="1136"/>
        <v>59.944501772270073</v>
      </c>
      <c r="AL992" s="1123">
        <f t="shared" si="1137"/>
        <v>54.737940982630761</v>
      </c>
      <c r="AM992" s="1120">
        <f t="shared" si="1138"/>
        <v>1</v>
      </c>
      <c r="AN992" s="1120">
        <f t="shared" si="1139"/>
        <v>1</v>
      </c>
      <c r="AO992" s="1120">
        <f t="shared" si="1140"/>
        <v>1</v>
      </c>
      <c r="AP992" s="1120">
        <f t="shared" si="1141"/>
        <v>1</v>
      </c>
      <c r="AQ992" s="1120">
        <f t="shared" si="1142"/>
        <v>1</v>
      </c>
      <c r="AR992" s="1120">
        <f t="shared" si="1143"/>
        <v>0</v>
      </c>
      <c r="AS992" s="1120">
        <f t="shared" si="1144"/>
        <v>0</v>
      </c>
      <c r="AT992" s="1120">
        <f t="shared" si="1145"/>
        <v>0</v>
      </c>
      <c r="AU992" s="1120">
        <f t="shared" si="1146"/>
        <v>0</v>
      </c>
      <c r="AV992" s="1120">
        <f t="shared" si="1147"/>
        <v>1</v>
      </c>
      <c r="AW992" s="1120">
        <f t="shared" si="1148"/>
        <v>1</v>
      </c>
      <c r="AX992" s="1120">
        <f t="shared" si="1149"/>
        <v>1</v>
      </c>
      <c r="AY992" s="1120">
        <f t="shared" si="1150"/>
        <v>0</v>
      </c>
      <c r="AZ992" s="1120">
        <f t="shared" si="1151"/>
        <v>0</v>
      </c>
      <c r="BA992" s="1120">
        <f t="shared" si="1152"/>
        <v>0</v>
      </c>
      <c r="BB992" s="1120">
        <f t="shared" si="1153"/>
        <v>0</v>
      </c>
      <c r="BC992" s="1120">
        <f t="shared" si="1154"/>
        <v>0</v>
      </c>
      <c r="BD992" s="1120">
        <f t="shared" si="1155"/>
        <v>1</v>
      </c>
      <c r="BE992" s="1120">
        <f t="shared" si="1156"/>
        <v>1</v>
      </c>
      <c r="BF992" s="1120">
        <f t="shared" si="1157"/>
        <v>1</v>
      </c>
      <c r="BG992" s="1120">
        <f t="shared" si="1158"/>
        <v>1</v>
      </c>
      <c r="BH992" s="1120">
        <f t="shared" si="1159"/>
        <v>0</v>
      </c>
      <c r="BI992" s="1120">
        <f t="shared" si="1160"/>
        <v>0</v>
      </c>
      <c r="BJ992" s="1120">
        <f t="shared" si="1161"/>
        <v>0</v>
      </c>
      <c r="BK992" s="1120">
        <f t="shared" si="1162"/>
        <v>1</v>
      </c>
      <c r="BL992" s="1120">
        <f t="shared" si="1163"/>
        <v>1</v>
      </c>
      <c r="BM992" s="1120">
        <f t="shared" si="1164"/>
        <v>1</v>
      </c>
      <c r="BN992" s="1120">
        <f t="shared" si="1165"/>
        <v>1</v>
      </c>
      <c r="BO992" s="1120">
        <f t="shared" si="1166"/>
        <v>1</v>
      </c>
      <c r="BP992" s="1120">
        <f t="shared" si="1167"/>
        <v>1</v>
      </c>
      <c r="BQ992" s="1120">
        <f t="shared" si="1168"/>
        <v>0</v>
      </c>
      <c r="BR992" s="1120">
        <f t="shared" si="1169"/>
        <v>0</v>
      </c>
      <c r="BS992" s="1120">
        <f t="shared" si="1170"/>
        <v>0</v>
      </c>
      <c r="BT992" s="1120">
        <f t="shared" si="1171"/>
        <v>1</v>
      </c>
      <c r="BU992" s="1120">
        <f t="shared" si="1172"/>
        <v>1</v>
      </c>
      <c r="BV992" s="1120">
        <f t="shared" si="1173"/>
        <v>1</v>
      </c>
      <c r="BW992" s="1120">
        <f t="shared" si="1174"/>
        <v>0</v>
      </c>
      <c r="BX992" s="1120">
        <f t="shared" si="1175"/>
        <v>0</v>
      </c>
      <c r="BY992" s="1120">
        <f t="shared" si="1176"/>
        <v>0</v>
      </c>
      <c r="BZ992" s="1120">
        <f t="shared" si="1177"/>
        <v>0</v>
      </c>
      <c r="CA992" s="1120">
        <f t="shared" si="1178"/>
        <v>1</v>
      </c>
      <c r="CB992" s="1120">
        <f t="shared" si="1179"/>
        <v>1</v>
      </c>
      <c r="CC992" s="1120">
        <f t="shared" si="1180"/>
        <v>1</v>
      </c>
      <c r="CD992" s="1120">
        <f t="shared" si="1181"/>
        <v>1</v>
      </c>
      <c r="CE992" s="1120">
        <f t="shared" si="1182"/>
        <v>1</v>
      </c>
      <c r="CF992" s="1120">
        <f t="shared" si="1183"/>
        <v>1</v>
      </c>
      <c r="CG992" s="1120">
        <f t="shared" si="1184"/>
        <v>0</v>
      </c>
      <c r="CH992" s="1120">
        <f t="shared" si="1185"/>
        <v>0</v>
      </c>
      <c r="CI992" s="1120">
        <f t="shared" si="1186"/>
        <v>0.85</v>
      </c>
      <c r="CJ992" s="1120">
        <f t="shared" si="1187"/>
        <v>0.85</v>
      </c>
      <c r="CK992" s="1120">
        <f t="shared" si="1188"/>
        <v>0.85</v>
      </c>
      <c r="CL992" s="1120">
        <f t="shared" si="1189"/>
        <v>0.85</v>
      </c>
      <c r="CM992" s="1120">
        <f t="shared" si="1190"/>
        <v>0.85</v>
      </c>
      <c r="CN992" s="1120">
        <f t="shared" si="1191"/>
        <v>0.85</v>
      </c>
      <c r="CO992" s="1120">
        <f t="shared" si="1192"/>
        <v>0.7</v>
      </c>
      <c r="CP992" s="1120">
        <f t="shared" si="1193"/>
        <v>0.7</v>
      </c>
      <c r="CQ992" s="1120">
        <f t="shared" si="1194"/>
        <v>0.7</v>
      </c>
      <c r="CR992" s="1120">
        <f t="shared" si="1195"/>
        <v>0.85</v>
      </c>
      <c r="CS992" s="1120">
        <f t="shared" si="1196"/>
        <v>0.85</v>
      </c>
      <c r="CT992" s="1120">
        <f t="shared" si="1197"/>
        <v>0.85</v>
      </c>
      <c r="CU992" s="1120">
        <v>1</v>
      </c>
      <c r="CV992" s="1120"/>
      <c r="CW992" s="1120">
        <f t="shared" si="1198"/>
        <v>184</v>
      </c>
      <c r="CX992" s="1120">
        <f t="shared" si="1199"/>
        <v>181</v>
      </c>
      <c r="CY992" s="1136" t="s">
        <v>4881</v>
      </c>
      <c r="CZ992" s="1129" t="s">
        <v>4885</v>
      </c>
      <c r="DA992" s="1129"/>
      <c r="DB992" s="1129"/>
      <c r="DC992" s="1125" t="s">
        <v>5646</v>
      </c>
      <c r="DD992" s="1125" t="s">
        <v>501</v>
      </c>
      <c r="DE992" s="1120" t="str">
        <f t="shared" si="1200"/>
        <v/>
      </c>
      <c r="DF992" s="1133">
        <v>0</v>
      </c>
      <c r="DG992" s="1120">
        <v>0</v>
      </c>
    </row>
    <row r="993" spans="1:111">
      <c r="A993" s="1125" t="s">
        <v>4649</v>
      </c>
      <c r="B993" s="1125" t="s">
        <v>4460</v>
      </c>
      <c r="C993" s="1125" t="s">
        <v>4461</v>
      </c>
      <c r="D993" s="1125" t="s">
        <v>228</v>
      </c>
      <c r="E993" s="1125">
        <v>2808</v>
      </c>
      <c r="F993" s="1125">
        <v>-103.2</v>
      </c>
      <c r="G993" s="1125">
        <v>31.78</v>
      </c>
      <c r="H993" s="1125">
        <v>-6</v>
      </c>
      <c r="I993" s="1126">
        <v>23.720000171661376</v>
      </c>
      <c r="J993" s="1126">
        <v>102.02000274658204</v>
      </c>
      <c r="K993" s="1127">
        <v>66.919999313354495</v>
      </c>
      <c r="L993" s="1125">
        <v>2388.6</v>
      </c>
      <c r="M993" s="1125">
        <v>3040.2000000000003</v>
      </c>
      <c r="N993" s="1128">
        <v>47.480000686645511</v>
      </c>
      <c r="O993" s="1128">
        <v>48.380000686645509</v>
      </c>
      <c r="P993" s="1128">
        <v>53.240000343322755</v>
      </c>
      <c r="Q993" s="1128">
        <v>71.599999999999994</v>
      </c>
      <c r="R993" s="1128">
        <v>79.880000686645502</v>
      </c>
      <c r="S993" s="1128">
        <v>83.66000137329101</v>
      </c>
      <c r="T993" s="1128">
        <v>86.180000686645513</v>
      </c>
      <c r="U993" s="1128">
        <v>82.760001373291018</v>
      </c>
      <c r="V993" s="1128">
        <v>76.819999313354487</v>
      </c>
      <c r="W993" s="1128">
        <v>64.039998626708979</v>
      </c>
      <c r="X993" s="1128">
        <v>55.219999313354492</v>
      </c>
      <c r="Y993" s="1128">
        <v>44.059999656677249</v>
      </c>
      <c r="Z993" s="1128">
        <v>66.193096118038653</v>
      </c>
      <c r="AA993" s="1128">
        <f t="shared" si="1126"/>
        <v>59.412046982821543</v>
      </c>
      <c r="AB993" s="1128">
        <f t="shared" si="1127"/>
        <v>59.664366649293676</v>
      </c>
      <c r="AC993" s="1128">
        <f t="shared" si="1128"/>
        <v>63.182492725359594</v>
      </c>
      <c r="AD993" s="1128">
        <f t="shared" si="1129"/>
        <v>69.049371433328773</v>
      </c>
      <c r="AE993" s="1128">
        <f t="shared" si="1130"/>
        <v>75.735710426631428</v>
      </c>
      <c r="AF993" s="1128">
        <f t="shared" si="1131"/>
        <v>81.498612407060349</v>
      </c>
      <c r="AG993" s="1128">
        <f t="shared" si="1132"/>
        <v>84.835888164409013</v>
      </c>
      <c r="AH993" s="1128">
        <f t="shared" si="1133"/>
        <v>84.877625343548303</v>
      </c>
      <c r="AI993" s="1128">
        <f t="shared" si="1134"/>
        <v>81.612944505546182</v>
      </c>
      <c r="AJ993" s="1128">
        <f t="shared" si="1135"/>
        <v>75.89283502108249</v>
      </c>
      <c r="AK993" s="1128">
        <f t="shared" si="1136"/>
        <v>69.208331576838091</v>
      </c>
      <c r="AL993" s="1128">
        <f t="shared" si="1137"/>
        <v>63.301853006871525</v>
      </c>
      <c r="AM993" s="1125">
        <f t="shared" si="1138"/>
        <v>1</v>
      </c>
      <c r="AN993" s="1125">
        <f t="shared" si="1139"/>
        <v>1</v>
      </c>
      <c r="AO993" s="1125">
        <f t="shared" si="1140"/>
        <v>1</v>
      </c>
      <c r="AP993" s="1125">
        <f t="shared" si="1141"/>
        <v>0</v>
      </c>
      <c r="AQ993" s="1125">
        <f t="shared" si="1142"/>
        <v>0</v>
      </c>
      <c r="AR993" s="1125">
        <f t="shared" si="1143"/>
        <v>0</v>
      </c>
      <c r="AS993" s="1125">
        <f t="shared" si="1144"/>
        <v>0</v>
      </c>
      <c r="AT993" s="1125">
        <f t="shared" si="1145"/>
        <v>0</v>
      </c>
      <c r="AU993" s="1125">
        <f t="shared" si="1146"/>
        <v>0</v>
      </c>
      <c r="AV993" s="1125">
        <f t="shared" si="1147"/>
        <v>1</v>
      </c>
      <c r="AW993" s="1125">
        <f t="shared" si="1148"/>
        <v>1</v>
      </c>
      <c r="AX993" s="1125">
        <f t="shared" si="1149"/>
        <v>1</v>
      </c>
      <c r="AY993" s="1125">
        <f t="shared" si="1150"/>
        <v>0</v>
      </c>
      <c r="AZ993" s="1125">
        <f t="shared" si="1151"/>
        <v>0</v>
      </c>
      <c r="BA993" s="1125">
        <f t="shared" si="1152"/>
        <v>0</v>
      </c>
      <c r="BB993" s="1125">
        <f t="shared" si="1153"/>
        <v>1</v>
      </c>
      <c r="BC993" s="1125">
        <f t="shared" si="1154"/>
        <v>1</v>
      </c>
      <c r="BD993" s="1125">
        <f t="shared" si="1155"/>
        <v>1</v>
      </c>
      <c r="BE993" s="1125">
        <f t="shared" si="1156"/>
        <v>1</v>
      </c>
      <c r="BF993" s="1125">
        <f t="shared" si="1157"/>
        <v>1</v>
      </c>
      <c r="BG993" s="1125">
        <f t="shared" si="1158"/>
        <v>1</v>
      </c>
      <c r="BH993" s="1125">
        <f t="shared" si="1159"/>
        <v>0</v>
      </c>
      <c r="BI993" s="1125">
        <f t="shared" si="1160"/>
        <v>0</v>
      </c>
      <c r="BJ993" s="1125">
        <f t="shared" si="1161"/>
        <v>0</v>
      </c>
      <c r="BK993" s="1125">
        <f t="shared" si="1162"/>
        <v>1</v>
      </c>
      <c r="BL993" s="1125">
        <f t="shared" si="1163"/>
        <v>1</v>
      </c>
      <c r="BM993" s="1125">
        <f t="shared" si="1164"/>
        <v>1</v>
      </c>
      <c r="BN993" s="1125">
        <f t="shared" si="1165"/>
        <v>1</v>
      </c>
      <c r="BO993" s="1125">
        <f t="shared" si="1166"/>
        <v>0</v>
      </c>
      <c r="BP993" s="1125">
        <f t="shared" si="1167"/>
        <v>0</v>
      </c>
      <c r="BQ993" s="1125">
        <f t="shared" si="1168"/>
        <v>0</v>
      </c>
      <c r="BR993" s="1125">
        <f t="shared" si="1169"/>
        <v>0</v>
      </c>
      <c r="BS993" s="1125">
        <f t="shared" si="1170"/>
        <v>0</v>
      </c>
      <c r="BT993" s="1125">
        <f t="shared" si="1171"/>
        <v>1</v>
      </c>
      <c r="BU993" s="1125">
        <f t="shared" si="1172"/>
        <v>1</v>
      </c>
      <c r="BV993" s="1125">
        <f t="shared" si="1173"/>
        <v>1</v>
      </c>
      <c r="BW993" s="1125">
        <f t="shared" si="1174"/>
        <v>0</v>
      </c>
      <c r="BX993" s="1125">
        <f t="shared" si="1175"/>
        <v>0</v>
      </c>
      <c r="BY993" s="1125">
        <f t="shared" si="1176"/>
        <v>1</v>
      </c>
      <c r="BZ993" s="1125">
        <f t="shared" si="1177"/>
        <v>1</v>
      </c>
      <c r="CA993" s="1125">
        <f t="shared" si="1178"/>
        <v>1</v>
      </c>
      <c r="CB993" s="1125">
        <f t="shared" si="1179"/>
        <v>1</v>
      </c>
      <c r="CC993" s="1125">
        <f t="shared" si="1180"/>
        <v>1</v>
      </c>
      <c r="CD993" s="1125">
        <f t="shared" si="1181"/>
        <v>1</v>
      </c>
      <c r="CE993" s="1125">
        <f t="shared" si="1182"/>
        <v>1</v>
      </c>
      <c r="CF993" s="1125">
        <f t="shared" si="1183"/>
        <v>1</v>
      </c>
      <c r="CG993" s="1125">
        <f t="shared" si="1184"/>
        <v>0</v>
      </c>
      <c r="CH993" s="1125">
        <f t="shared" si="1185"/>
        <v>0</v>
      </c>
      <c r="CI993" s="1125">
        <f t="shared" si="1186"/>
        <v>0.85</v>
      </c>
      <c r="CJ993" s="1125">
        <f t="shared" si="1187"/>
        <v>0.85</v>
      </c>
      <c r="CK993" s="1125">
        <f t="shared" si="1188"/>
        <v>0.85</v>
      </c>
      <c r="CL993" s="1125">
        <f t="shared" si="1189"/>
        <v>0.85</v>
      </c>
      <c r="CM993" s="1125">
        <f t="shared" si="1190"/>
        <v>0.7</v>
      </c>
      <c r="CN993" s="1125">
        <f t="shared" si="1191"/>
        <v>0.7</v>
      </c>
      <c r="CO993" s="1125">
        <f t="shared" si="1192"/>
        <v>0.7</v>
      </c>
      <c r="CP993" s="1125">
        <f t="shared" si="1193"/>
        <v>0.7</v>
      </c>
      <c r="CQ993" s="1125">
        <f t="shared" si="1194"/>
        <v>0.7</v>
      </c>
      <c r="CR993" s="1125">
        <f t="shared" si="1195"/>
        <v>0.85</v>
      </c>
      <c r="CS993" s="1125">
        <f t="shared" si="1196"/>
        <v>0.85</v>
      </c>
      <c r="CT993" s="1125">
        <f t="shared" si="1197"/>
        <v>0.85</v>
      </c>
      <c r="CU993" s="1125">
        <v>1</v>
      </c>
      <c r="CV993" s="1125"/>
      <c r="CW993" s="1125">
        <f t="shared" si="1198"/>
        <v>245</v>
      </c>
      <c r="CX993" s="1125">
        <f t="shared" si="1199"/>
        <v>120</v>
      </c>
      <c r="CY993" s="1136" t="s">
        <v>4886</v>
      </c>
      <c r="CZ993" s="1129" t="s">
        <v>4888</v>
      </c>
      <c r="DA993" s="1129"/>
      <c r="DB993" s="1129"/>
      <c r="DC993" s="1125" t="s">
        <v>5616</v>
      </c>
      <c r="DD993" s="1125" t="s">
        <v>228</v>
      </c>
      <c r="DE993" s="1120" t="str">
        <f t="shared" si="1200"/>
        <v/>
      </c>
      <c r="DF993" s="1133">
        <v>0</v>
      </c>
      <c r="DG993" s="1125">
        <v>0</v>
      </c>
    </row>
    <row r="994" spans="1:111">
      <c r="A994" s="1120" t="s">
        <v>4653</v>
      </c>
      <c r="B994" s="1120" t="s">
        <v>4116</v>
      </c>
      <c r="C994" s="1120" t="s">
        <v>4117</v>
      </c>
      <c r="D994" s="1120" t="s">
        <v>450</v>
      </c>
      <c r="E994" s="1120">
        <v>4297</v>
      </c>
      <c r="F994" s="1120">
        <v>-117.8</v>
      </c>
      <c r="G994" s="1120">
        <v>40.9</v>
      </c>
      <c r="H994" s="1120">
        <v>-8</v>
      </c>
      <c r="I994" s="1121">
        <v>8.2400003433227536</v>
      </c>
      <c r="J994" s="1121">
        <v>95</v>
      </c>
      <c r="K994" s="1122">
        <v>61.339998626708983</v>
      </c>
      <c r="L994" s="1120">
        <v>5918.4000000000005</v>
      </c>
      <c r="M994" s="1120">
        <v>826.2</v>
      </c>
      <c r="N994" s="1123">
        <v>28.220000171661376</v>
      </c>
      <c r="O994" s="1123">
        <v>35.960000085830686</v>
      </c>
      <c r="P994" s="1123">
        <v>37.939999914169313</v>
      </c>
      <c r="Q994" s="1123">
        <v>50.359999656677246</v>
      </c>
      <c r="R994" s="1123">
        <v>57.559999656677249</v>
      </c>
      <c r="S994" s="1123">
        <v>68.360001373291013</v>
      </c>
      <c r="T994" s="1123">
        <v>74.66000137329101</v>
      </c>
      <c r="U994" s="1123">
        <v>72.680000686645513</v>
      </c>
      <c r="V994" s="1123">
        <v>61.339998626708983</v>
      </c>
      <c r="W994" s="1123">
        <v>46.940000343322751</v>
      </c>
      <c r="X994" s="1123">
        <v>37.939999914169313</v>
      </c>
      <c r="Y994" s="1123">
        <v>32.360000005364419</v>
      </c>
      <c r="Z994" s="1123">
        <v>50.432986455380103</v>
      </c>
      <c r="AA994" s="1123">
        <f t="shared" si="1126"/>
        <v>46.92807581553437</v>
      </c>
      <c r="AB994" s="1123">
        <f t="shared" si="1127"/>
        <v>45.654524877151857</v>
      </c>
      <c r="AC994" s="1123">
        <f t="shared" si="1128"/>
        <v>47.1905460502553</v>
      </c>
      <c r="AD994" s="1123">
        <f t="shared" si="1129"/>
        <v>51.135751745272501</v>
      </c>
      <c r="AE994" s="1123">
        <f t="shared" si="1130"/>
        <v>56.461763300337132</v>
      </c>
      <c r="AF994" s="1123">
        <f t="shared" si="1131"/>
        <v>61.780273727299111</v>
      </c>
      <c r="AG994" s="1123">
        <f t="shared" si="1132"/>
        <v>65.704931322644185</v>
      </c>
      <c r="AH994" s="1123">
        <f t="shared" si="1133"/>
        <v>67.212713603341371</v>
      </c>
      <c r="AI994" s="1123">
        <f t="shared" si="1134"/>
        <v>65.910593882298684</v>
      </c>
      <c r="AJ994" s="1123">
        <f t="shared" si="1135"/>
        <v>62.137989731078193</v>
      </c>
      <c r="AK994" s="1123">
        <f t="shared" si="1136"/>
        <v>56.878288559285295</v>
      </c>
      <c r="AL994" s="1123">
        <f t="shared" si="1137"/>
        <v>51.50251253179637</v>
      </c>
      <c r="AM994" s="1120">
        <f t="shared" si="1138"/>
        <v>1</v>
      </c>
      <c r="AN994" s="1120">
        <f t="shared" si="1139"/>
        <v>1</v>
      </c>
      <c r="AO994" s="1120">
        <f t="shared" si="1140"/>
        <v>1</v>
      </c>
      <c r="AP994" s="1120">
        <f t="shared" si="1141"/>
        <v>1</v>
      </c>
      <c r="AQ994" s="1120">
        <f t="shared" si="1142"/>
        <v>1</v>
      </c>
      <c r="AR994" s="1120">
        <f t="shared" si="1143"/>
        <v>0</v>
      </c>
      <c r="AS994" s="1120">
        <f t="shared" si="1144"/>
        <v>0</v>
      </c>
      <c r="AT994" s="1120">
        <f t="shared" si="1145"/>
        <v>0</v>
      </c>
      <c r="AU994" s="1120">
        <f t="shared" si="1146"/>
        <v>1</v>
      </c>
      <c r="AV994" s="1120">
        <f t="shared" si="1147"/>
        <v>1</v>
      </c>
      <c r="AW994" s="1120">
        <f t="shared" si="1148"/>
        <v>1</v>
      </c>
      <c r="AX994" s="1120">
        <f t="shared" si="1149"/>
        <v>1</v>
      </c>
      <c r="AY994" s="1120">
        <f t="shared" si="1150"/>
        <v>0</v>
      </c>
      <c r="AZ994" s="1120">
        <f t="shared" si="1151"/>
        <v>0</v>
      </c>
      <c r="BA994" s="1120">
        <f t="shared" si="1152"/>
        <v>0</v>
      </c>
      <c r="BB994" s="1120">
        <f t="shared" si="1153"/>
        <v>0</v>
      </c>
      <c r="BC994" s="1120">
        <f t="shared" si="1154"/>
        <v>0</v>
      </c>
      <c r="BD994" s="1120">
        <f t="shared" si="1155"/>
        <v>1</v>
      </c>
      <c r="BE994" s="1120">
        <f t="shared" si="1156"/>
        <v>1</v>
      </c>
      <c r="BF994" s="1120">
        <f t="shared" si="1157"/>
        <v>1</v>
      </c>
      <c r="BG994" s="1120">
        <f t="shared" si="1158"/>
        <v>0</v>
      </c>
      <c r="BH994" s="1120">
        <f t="shared" si="1159"/>
        <v>0</v>
      </c>
      <c r="BI994" s="1120">
        <f t="shared" si="1160"/>
        <v>0</v>
      </c>
      <c r="BJ994" s="1120">
        <f t="shared" si="1161"/>
        <v>0</v>
      </c>
      <c r="BK994" s="1120">
        <f t="shared" si="1162"/>
        <v>1</v>
      </c>
      <c r="BL994" s="1120">
        <f t="shared" si="1163"/>
        <v>1</v>
      </c>
      <c r="BM994" s="1120">
        <f t="shared" si="1164"/>
        <v>1</v>
      </c>
      <c r="BN994" s="1120">
        <f t="shared" si="1165"/>
        <v>1</v>
      </c>
      <c r="BO994" s="1120">
        <f t="shared" si="1166"/>
        <v>1</v>
      </c>
      <c r="BP994" s="1120">
        <f t="shared" si="1167"/>
        <v>1</v>
      </c>
      <c r="BQ994" s="1120">
        <f t="shared" si="1168"/>
        <v>0</v>
      </c>
      <c r="BR994" s="1120">
        <f t="shared" si="1169"/>
        <v>0</v>
      </c>
      <c r="BS994" s="1120">
        <f t="shared" si="1170"/>
        <v>1</v>
      </c>
      <c r="BT994" s="1120">
        <f t="shared" si="1171"/>
        <v>1</v>
      </c>
      <c r="BU994" s="1120">
        <f t="shared" si="1172"/>
        <v>1</v>
      </c>
      <c r="BV994" s="1120">
        <f t="shared" si="1173"/>
        <v>1</v>
      </c>
      <c r="BW994" s="1120">
        <f t="shared" si="1174"/>
        <v>0</v>
      </c>
      <c r="BX994" s="1120">
        <f t="shared" si="1175"/>
        <v>0</v>
      </c>
      <c r="BY994" s="1120">
        <f t="shared" si="1176"/>
        <v>0</v>
      </c>
      <c r="BZ994" s="1120">
        <f t="shared" si="1177"/>
        <v>0</v>
      </c>
      <c r="CA994" s="1120">
        <f t="shared" si="1178"/>
        <v>1</v>
      </c>
      <c r="CB994" s="1120">
        <f t="shared" si="1179"/>
        <v>1</v>
      </c>
      <c r="CC994" s="1120">
        <f t="shared" si="1180"/>
        <v>1</v>
      </c>
      <c r="CD994" s="1120">
        <f t="shared" si="1181"/>
        <v>1</v>
      </c>
      <c r="CE994" s="1120">
        <f t="shared" si="1182"/>
        <v>1</v>
      </c>
      <c r="CF994" s="1120">
        <f t="shared" si="1183"/>
        <v>0</v>
      </c>
      <c r="CG994" s="1120">
        <f t="shared" si="1184"/>
        <v>0</v>
      </c>
      <c r="CH994" s="1120">
        <f t="shared" si="1185"/>
        <v>0</v>
      </c>
      <c r="CI994" s="1120">
        <f t="shared" si="1186"/>
        <v>0.85</v>
      </c>
      <c r="CJ994" s="1120">
        <f t="shared" si="1187"/>
        <v>0.85</v>
      </c>
      <c r="CK994" s="1120">
        <f t="shared" si="1188"/>
        <v>0.85</v>
      </c>
      <c r="CL994" s="1120">
        <f t="shared" si="1189"/>
        <v>0.85</v>
      </c>
      <c r="CM994" s="1120">
        <f t="shared" si="1190"/>
        <v>0.85</v>
      </c>
      <c r="CN994" s="1120">
        <f t="shared" si="1191"/>
        <v>0.85</v>
      </c>
      <c r="CO994" s="1120">
        <f t="shared" si="1192"/>
        <v>0.7</v>
      </c>
      <c r="CP994" s="1120">
        <f t="shared" si="1193"/>
        <v>0.7</v>
      </c>
      <c r="CQ994" s="1120">
        <f t="shared" si="1194"/>
        <v>0.85</v>
      </c>
      <c r="CR994" s="1120">
        <f t="shared" si="1195"/>
        <v>0.85</v>
      </c>
      <c r="CS994" s="1120">
        <f t="shared" si="1196"/>
        <v>0.85</v>
      </c>
      <c r="CT994" s="1120">
        <f t="shared" si="1197"/>
        <v>0.85</v>
      </c>
      <c r="CU994" s="1120">
        <v>1</v>
      </c>
      <c r="CV994" s="1120"/>
      <c r="CW994" s="1120">
        <f t="shared" si="1198"/>
        <v>153</v>
      </c>
      <c r="CX994" s="1120">
        <f t="shared" si="1199"/>
        <v>212</v>
      </c>
      <c r="CY994" s="1135" t="s">
        <v>4889</v>
      </c>
      <c r="CZ994" s="1124" t="s">
        <v>4890</v>
      </c>
      <c r="DA994" s="1124"/>
      <c r="DB994" s="1124"/>
      <c r="DC994" s="1120" t="s">
        <v>5469</v>
      </c>
      <c r="DD994" s="1120" t="s">
        <v>450</v>
      </c>
      <c r="DE994" s="1120" t="str">
        <f t="shared" si="1200"/>
        <v/>
      </c>
      <c r="DF994" s="1133">
        <v>0</v>
      </c>
      <c r="DG994" s="1120">
        <v>0</v>
      </c>
    </row>
    <row r="995" spans="1:111">
      <c r="A995" s="1125" t="s">
        <v>4655</v>
      </c>
      <c r="B995" s="1125" t="s">
        <v>5894</v>
      </c>
      <c r="C995" s="1125" t="s">
        <v>5895</v>
      </c>
      <c r="D995" s="1125" t="s">
        <v>934</v>
      </c>
      <c r="E995" s="1125">
        <v>656</v>
      </c>
      <c r="F995" s="1125">
        <v>-91.7</v>
      </c>
      <c r="G995" s="1125">
        <v>44.08</v>
      </c>
      <c r="H995" s="1125">
        <v>-6</v>
      </c>
      <c r="I995" s="1126">
        <v>-4.3600013732910163</v>
      </c>
      <c r="J995" s="1126">
        <v>89.060001373291016</v>
      </c>
      <c r="K995" s="1127">
        <v>73.039998626708979</v>
      </c>
      <c r="L995" s="1125">
        <v>7495.2</v>
      </c>
      <c r="M995" s="1125">
        <v>685.80000000000007</v>
      </c>
      <c r="N995" s="1128">
        <v>17.779999828338624</v>
      </c>
      <c r="O995" s="1128">
        <v>18.320000171661377</v>
      </c>
      <c r="P995" s="1128">
        <v>36.139999914169309</v>
      </c>
      <c r="Q995" s="1128">
        <v>51.080000686645505</v>
      </c>
      <c r="R995" s="1128">
        <v>56.3</v>
      </c>
      <c r="S995" s="1128">
        <v>68.900000000000006</v>
      </c>
      <c r="T995" s="1128">
        <v>69.8</v>
      </c>
      <c r="U995" s="1128">
        <v>70.519999313354489</v>
      </c>
      <c r="V995" s="1128">
        <v>65.3</v>
      </c>
      <c r="W995" s="1128">
        <v>46.4</v>
      </c>
      <c r="X995" s="1128">
        <v>37.579999828338622</v>
      </c>
      <c r="Y995" s="1128">
        <v>9.6800006866455064</v>
      </c>
      <c r="Z995" s="1128">
        <v>45.764328800750107</v>
      </c>
      <c r="AA995" s="1128">
        <f t="shared" si="1126"/>
        <v>41.081617652639366</v>
      </c>
      <c r="AB995" s="1128">
        <f t="shared" si="1127"/>
        <v>39.079310906096538</v>
      </c>
      <c r="AC995" s="1128">
        <f t="shared" si="1128"/>
        <v>40.383549555838108</v>
      </c>
      <c r="AD995" s="1128">
        <f t="shared" si="1129"/>
        <v>44.654363698882968</v>
      </c>
      <c r="AE995" s="1128">
        <f t="shared" si="1130"/>
        <v>50.778499813608306</v>
      </c>
      <c r="AF995" s="1128">
        <f t="shared" si="1131"/>
        <v>57.159607445916706</v>
      </c>
      <c r="AG995" s="1128">
        <f t="shared" si="1132"/>
        <v>62.134352555601765</v>
      </c>
      <c r="AH995" s="1128">
        <f t="shared" si="1133"/>
        <v>64.405991166681375</v>
      </c>
      <c r="AI995" s="1128">
        <f t="shared" si="1134"/>
        <v>63.382385668166961</v>
      </c>
      <c r="AJ995" s="1128">
        <f t="shared" si="1135"/>
        <v>59.330354607484544</v>
      </c>
      <c r="AK995" s="1128">
        <f t="shared" si="1136"/>
        <v>53.306122324289781</v>
      </c>
      <c r="AL995" s="1128">
        <f t="shared" si="1137"/>
        <v>46.879997799427002</v>
      </c>
      <c r="AM995" s="1125">
        <f t="shared" si="1138"/>
        <v>1</v>
      </c>
      <c r="AN995" s="1125">
        <f t="shared" si="1139"/>
        <v>1</v>
      </c>
      <c r="AO995" s="1125">
        <f t="shared" si="1140"/>
        <v>1</v>
      </c>
      <c r="AP995" s="1125">
        <f t="shared" si="1141"/>
        <v>1</v>
      </c>
      <c r="AQ995" s="1125">
        <f t="shared" si="1142"/>
        <v>1</v>
      </c>
      <c r="AR995" s="1125">
        <f t="shared" si="1143"/>
        <v>0</v>
      </c>
      <c r="AS995" s="1125">
        <f t="shared" si="1144"/>
        <v>0</v>
      </c>
      <c r="AT995" s="1125">
        <f t="shared" si="1145"/>
        <v>0</v>
      </c>
      <c r="AU995" s="1125">
        <f t="shared" si="1146"/>
        <v>1</v>
      </c>
      <c r="AV995" s="1125">
        <f t="shared" si="1147"/>
        <v>1</v>
      </c>
      <c r="AW995" s="1125">
        <f t="shared" si="1148"/>
        <v>1</v>
      </c>
      <c r="AX995" s="1125">
        <f t="shared" si="1149"/>
        <v>1</v>
      </c>
      <c r="AY995" s="1125">
        <f t="shared" si="1150"/>
        <v>0</v>
      </c>
      <c r="AZ995" s="1125">
        <f t="shared" si="1151"/>
        <v>0</v>
      </c>
      <c r="BA995" s="1125">
        <f t="shared" si="1152"/>
        <v>0</v>
      </c>
      <c r="BB995" s="1125">
        <f t="shared" si="1153"/>
        <v>0</v>
      </c>
      <c r="BC995" s="1125">
        <f t="shared" si="1154"/>
        <v>0</v>
      </c>
      <c r="BD995" s="1125">
        <f t="shared" si="1155"/>
        <v>1</v>
      </c>
      <c r="BE995" s="1125">
        <f t="shared" si="1156"/>
        <v>1</v>
      </c>
      <c r="BF995" s="1125">
        <f t="shared" si="1157"/>
        <v>1</v>
      </c>
      <c r="BG995" s="1125">
        <f t="shared" si="1158"/>
        <v>0</v>
      </c>
      <c r="BH995" s="1125">
        <f t="shared" si="1159"/>
        <v>0</v>
      </c>
      <c r="BI995" s="1125">
        <f t="shared" si="1160"/>
        <v>0</v>
      </c>
      <c r="BJ995" s="1125">
        <f t="shared" si="1161"/>
        <v>0</v>
      </c>
      <c r="BK995" s="1125">
        <f t="shared" si="1162"/>
        <v>1</v>
      </c>
      <c r="BL995" s="1125">
        <f t="shared" si="1163"/>
        <v>1</v>
      </c>
      <c r="BM995" s="1125">
        <f t="shared" si="1164"/>
        <v>1</v>
      </c>
      <c r="BN995" s="1125">
        <f t="shared" si="1165"/>
        <v>1</v>
      </c>
      <c r="BO995" s="1125">
        <f t="shared" si="1166"/>
        <v>1</v>
      </c>
      <c r="BP995" s="1125">
        <f t="shared" si="1167"/>
        <v>1</v>
      </c>
      <c r="BQ995" s="1125">
        <f t="shared" si="1168"/>
        <v>0</v>
      </c>
      <c r="BR995" s="1125">
        <f t="shared" si="1169"/>
        <v>0</v>
      </c>
      <c r="BS995" s="1125">
        <f t="shared" si="1170"/>
        <v>1</v>
      </c>
      <c r="BT995" s="1125">
        <f t="shared" si="1171"/>
        <v>1</v>
      </c>
      <c r="BU995" s="1125">
        <f t="shared" si="1172"/>
        <v>1</v>
      </c>
      <c r="BV995" s="1125">
        <f t="shared" si="1173"/>
        <v>1</v>
      </c>
      <c r="BW995" s="1125">
        <f t="shared" si="1174"/>
        <v>0</v>
      </c>
      <c r="BX995" s="1125">
        <f t="shared" si="1175"/>
        <v>0</v>
      </c>
      <c r="BY995" s="1125">
        <f t="shared" si="1176"/>
        <v>0</v>
      </c>
      <c r="BZ995" s="1125">
        <f t="shared" si="1177"/>
        <v>0</v>
      </c>
      <c r="CA995" s="1125">
        <f t="shared" si="1178"/>
        <v>1</v>
      </c>
      <c r="CB995" s="1125">
        <f t="shared" si="1179"/>
        <v>1</v>
      </c>
      <c r="CC995" s="1125">
        <f t="shared" si="1180"/>
        <v>1</v>
      </c>
      <c r="CD995" s="1125">
        <f t="shared" si="1181"/>
        <v>1</v>
      </c>
      <c r="CE995" s="1125">
        <f t="shared" si="1182"/>
        <v>1</v>
      </c>
      <c r="CF995" s="1125">
        <f t="shared" si="1183"/>
        <v>0</v>
      </c>
      <c r="CG995" s="1125">
        <f t="shared" si="1184"/>
        <v>0</v>
      </c>
      <c r="CH995" s="1125">
        <f t="shared" si="1185"/>
        <v>0</v>
      </c>
      <c r="CI995" s="1125">
        <f t="shared" si="1186"/>
        <v>0.85</v>
      </c>
      <c r="CJ995" s="1125">
        <f t="shared" si="1187"/>
        <v>0.85</v>
      </c>
      <c r="CK995" s="1125">
        <f t="shared" si="1188"/>
        <v>0.85</v>
      </c>
      <c r="CL995" s="1125">
        <f t="shared" si="1189"/>
        <v>0.85</v>
      </c>
      <c r="CM995" s="1125">
        <f t="shared" si="1190"/>
        <v>0.85</v>
      </c>
      <c r="CN995" s="1125">
        <f t="shared" si="1191"/>
        <v>0.85</v>
      </c>
      <c r="CO995" s="1125">
        <f t="shared" si="1192"/>
        <v>0.7</v>
      </c>
      <c r="CP995" s="1125">
        <f t="shared" si="1193"/>
        <v>0.7</v>
      </c>
      <c r="CQ995" s="1125">
        <f t="shared" si="1194"/>
        <v>0.85</v>
      </c>
      <c r="CR995" s="1125">
        <f t="shared" si="1195"/>
        <v>0.85</v>
      </c>
      <c r="CS995" s="1125">
        <f t="shared" si="1196"/>
        <v>0.85</v>
      </c>
      <c r="CT995" s="1125">
        <f t="shared" si="1197"/>
        <v>0.85</v>
      </c>
      <c r="CU995" s="1125">
        <v>1</v>
      </c>
      <c r="CV995" s="1125"/>
      <c r="CW995" s="1125">
        <f t="shared" si="1198"/>
        <v>153</v>
      </c>
      <c r="CX995" s="1125">
        <f t="shared" si="1199"/>
        <v>212</v>
      </c>
      <c r="CY995" s="1136" t="s">
        <v>4889</v>
      </c>
      <c r="CZ995" s="1129" t="s">
        <v>4899</v>
      </c>
      <c r="DA995" s="1129"/>
      <c r="DB995" s="1129"/>
      <c r="DC995" s="1125" t="s">
        <v>5765</v>
      </c>
      <c r="DD995" s="1125" t="s">
        <v>934</v>
      </c>
      <c r="DE995" s="1120" t="str">
        <f t="shared" si="1200"/>
        <v/>
      </c>
      <c r="DF995" s="1133">
        <v>0</v>
      </c>
      <c r="DG995" s="1125">
        <v>0</v>
      </c>
    </row>
    <row r="996" spans="1:111">
      <c r="A996" s="1120" t="s">
        <v>4657</v>
      </c>
      <c r="B996" s="1125" t="s">
        <v>3076</v>
      </c>
      <c r="C996" s="1125" t="s">
        <v>3077</v>
      </c>
      <c r="D996" s="1125" t="s">
        <v>1250</v>
      </c>
      <c r="E996" s="1125">
        <v>4887</v>
      </c>
      <c r="F996" s="1125">
        <v>-110.72</v>
      </c>
      <c r="G996" s="1125">
        <v>35.03</v>
      </c>
      <c r="H996" s="1125">
        <v>-7</v>
      </c>
      <c r="I996" s="1126">
        <v>15.259999656677246</v>
      </c>
      <c r="J996" s="1126">
        <v>94.820002746582034</v>
      </c>
      <c r="K996" s="1127">
        <v>60.440000343322751</v>
      </c>
      <c r="L996" s="1125">
        <v>4426.2</v>
      </c>
      <c r="M996" s="1125">
        <v>1371.6000000000001</v>
      </c>
      <c r="N996" s="1128">
        <v>36.320000171661377</v>
      </c>
      <c r="O996" s="1128">
        <v>39.200000000000003</v>
      </c>
      <c r="P996" s="1128">
        <v>40.820000171661377</v>
      </c>
      <c r="Q996" s="1128">
        <v>59.180000686645506</v>
      </c>
      <c r="R996" s="1128">
        <v>66.019999313354489</v>
      </c>
      <c r="S996" s="1128">
        <v>74.66000137329101</v>
      </c>
      <c r="T996" s="1128">
        <v>79.7</v>
      </c>
      <c r="U996" s="1128">
        <v>76.280000686645508</v>
      </c>
      <c r="V996" s="1128">
        <v>66.019999313354489</v>
      </c>
      <c r="W996" s="1128">
        <v>55.4</v>
      </c>
      <c r="X996" s="1128">
        <v>43.879999828338626</v>
      </c>
      <c r="Y996" s="1128">
        <v>33.799999999999997</v>
      </c>
      <c r="Z996" s="1128">
        <v>56.022849442991493</v>
      </c>
      <c r="AA996" s="1128">
        <f t="shared" si="1126"/>
        <v>51.004864636085898</v>
      </c>
      <c r="AB996" s="1128">
        <f t="shared" si="1127"/>
        <v>50.170692516552243</v>
      </c>
      <c r="AC996" s="1128">
        <f t="shared" si="1128"/>
        <v>52.425967747161899</v>
      </c>
      <c r="AD996" s="1128">
        <f t="shared" si="1129"/>
        <v>57.182818084213139</v>
      </c>
      <c r="AE996" s="1128">
        <f t="shared" si="1130"/>
        <v>63.201297182070931</v>
      </c>
      <c r="AF996" s="1128">
        <f t="shared" si="1131"/>
        <v>68.912595716308289</v>
      </c>
      <c r="AG996" s="1128">
        <f t="shared" si="1132"/>
        <v>72.827975710201699</v>
      </c>
      <c r="AH996" s="1128">
        <f t="shared" si="1133"/>
        <v>73.926833030510707</v>
      </c>
      <c r="AI996" s="1128">
        <f t="shared" si="1134"/>
        <v>71.922733582792887</v>
      </c>
      <c r="AJ996" s="1128">
        <f t="shared" si="1135"/>
        <v>67.338076772203223</v>
      </c>
      <c r="AK996" s="1128">
        <f t="shared" si="1136"/>
        <v>61.367924048121985</v>
      </c>
      <c r="AL996" s="1128">
        <f t="shared" si="1137"/>
        <v>55.568487720919329</v>
      </c>
      <c r="AM996" s="1125">
        <f t="shared" si="1138"/>
        <v>1</v>
      </c>
      <c r="AN996" s="1125">
        <f t="shared" si="1139"/>
        <v>1</v>
      </c>
      <c r="AO996" s="1125">
        <f t="shared" si="1140"/>
        <v>1</v>
      </c>
      <c r="AP996" s="1125">
        <f t="shared" si="1141"/>
        <v>1</v>
      </c>
      <c r="AQ996" s="1125">
        <f t="shared" si="1142"/>
        <v>0</v>
      </c>
      <c r="AR996" s="1125">
        <f t="shared" si="1143"/>
        <v>0</v>
      </c>
      <c r="AS996" s="1125">
        <f t="shared" si="1144"/>
        <v>0</v>
      </c>
      <c r="AT996" s="1125">
        <f t="shared" si="1145"/>
        <v>0</v>
      </c>
      <c r="AU996" s="1125">
        <f t="shared" si="1146"/>
        <v>0</v>
      </c>
      <c r="AV996" s="1125">
        <f t="shared" si="1147"/>
        <v>1</v>
      </c>
      <c r="AW996" s="1125">
        <f t="shared" si="1148"/>
        <v>1</v>
      </c>
      <c r="AX996" s="1125">
        <f t="shared" si="1149"/>
        <v>1</v>
      </c>
      <c r="AY996" s="1125">
        <f t="shared" si="1150"/>
        <v>0</v>
      </c>
      <c r="AZ996" s="1125">
        <f t="shared" si="1151"/>
        <v>0</v>
      </c>
      <c r="BA996" s="1125">
        <f t="shared" si="1152"/>
        <v>0</v>
      </c>
      <c r="BB996" s="1125">
        <f t="shared" si="1153"/>
        <v>0</v>
      </c>
      <c r="BC996" s="1125">
        <f t="shared" si="1154"/>
        <v>1</v>
      </c>
      <c r="BD996" s="1125">
        <f t="shared" si="1155"/>
        <v>1</v>
      </c>
      <c r="BE996" s="1125">
        <f t="shared" si="1156"/>
        <v>1</v>
      </c>
      <c r="BF996" s="1125">
        <f t="shared" si="1157"/>
        <v>1</v>
      </c>
      <c r="BG996" s="1125">
        <f t="shared" si="1158"/>
        <v>1</v>
      </c>
      <c r="BH996" s="1125">
        <f t="shared" si="1159"/>
        <v>0</v>
      </c>
      <c r="BI996" s="1125">
        <f t="shared" si="1160"/>
        <v>0</v>
      </c>
      <c r="BJ996" s="1125">
        <f t="shared" si="1161"/>
        <v>0</v>
      </c>
      <c r="BK996" s="1125">
        <f t="shared" si="1162"/>
        <v>1</v>
      </c>
      <c r="BL996" s="1125">
        <f t="shared" si="1163"/>
        <v>1</v>
      </c>
      <c r="BM996" s="1125">
        <f t="shared" si="1164"/>
        <v>1</v>
      </c>
      <c r="BN996" s="1125">
        <f t="shared" si="1165"/>
        <v>1</v>
      </c>
      <c r="BO996" s="1125">
        <f t="shared" si="1166"/>
        <v>1</v>
      </c>
      <c r="BP996" s="1125">
        <f t="shared" si="1167"/>
        <v>0</v>
      </c>
      <c r="BQ996" s="1125">
        <f t="shared" si="1168"/>
        <v>0</v>
      </c>
      <c r="BR996" s="1125">
        <f t="shared" si="1169"/>
        <v>0</v>
      </c>
      <c r="BS996" s="1125">
        <f t="shared" si="1170"/>
        <v>0</v>
      </c>
      <c r="BT996" s="1125">
        <f t="shared" si="1171"/>
        <v>1</v>
      </c>
      <c r="BU996" s="1125">
        <f t="shared" si="1172"/>
        <v>1</v>
      </c>
      <c r="BV996" s="1125">
        <f t="shared" si="1173"/>
        <v>1</v>
      </c>
      <c r="BW996" s="1125">
        <f t="shared" si="1174"/>
        <v>0</v>
      </c>
      <c r="BX996" s="1125">
        <f t="shared" si="1175"/>
        <v>0</v>
      </c>
      <c r="BY996" s="1125">
        <f t="shared" si="1176"/>
        <v>0</v>
      </c>
      <c r="BZ996" s="1125">
        <f t="shared" si="1177"/>
        <v>1</v>
      </c>
      <c r="CA996" s="1125">
        <f t="shared" si="1178"/>
        <v>1</v>
      </c>
      <c r="CB996" s="1125">
        <f t="shared" si="1179"/>
        <v>1</v>
      </c>
      <c r="CC996" s="1125">
        <f t="shared" si="1180"/>
        <v>1</v>
      </c>
      <c r="CD996" s="1125">
        <f t="shared" si="1181"/>
        <v>1</v>
      </c>
      <c r="CE996" s="1125">
        <f t="shared" si="1182"/>
        <v>1</v>
      </c>
      <c r="CF996" s="1125">
        <f t="shared" si="1183"/>
        <v>1</v>
      </c>
      <c r="CG996" s="1125">
        <f t="shared" si="1184"/>
        <v>0</v>
      </c>
      <c r="CH996" s="1125">
        <f t="shared" si="1185"/>
        <v>0</v>
      </c>
      <c r="CI996" s="1125">
        <f t="shared" si="1186"/>
        <v>0.85</v>
      </c>
      <c r="CJ996" s="1125">
        <f t="shared" si="1187"/>
        <v>0.85</v>
      </c>
      <c r="CK996" s="1125">
        <f t="shared" si="1188"/>
        <v>0.85</v>
      </c>
      <c r="CL996" s="1125">
        <f t="shared" si="1189"/>
        <v>0.85</v>
      </c>
      <c r="CM996" s="1125">
        <f t="shared" si="1190"/>
        <v>0.85</v>
      </c>
      <c r="CN996" s="1125">
        <f t="shared" si="1191"/>
        <v>0.7</v>
      </c>
      <c r="CO996" s="1125">
        <f t="shared" si="1192"/>
        <v>0.7</v>
      </c>
      <c r="CP996" s="1125">
        <f t="shared" si="1193"/>
        <v>0.7</v>
      </c>
      <c r="CQ996" s="1125">
        <f t="shared" si="1194"/>
        <v>0.7</v>
      </c>
      <c r="CR996" s="1125">
        <f t="shared" si="1195"/>
        <v>0.85</v>
      </c>
      <c r="CS996" s="1125">
        <f t="shared" si="1196"/>
        <v>0.85</v>
      </c>
      <c r="CT996" s="1125">
        <f t="shared" si="1197"/>
        <v>0.85</v>
      </c>
      <c r="CU996" s="1125">
        <v>1</v>
      </c>
      <c r="CV996" s="1125"/>
      <c r="CW996" s="1125">
        <f t="shared" si="1198"/>
        <v>214</v>
      </c>
      <c r="CX996" s="1125">
        <f t="shared" si="1199"/>
        <v>151</v>
      </c>
      <c r="CY996" s="1136" t="s">
        <v>4889</v>
      </c>
      <c r="CZ996" s="1129" t="s">
        <v>4890</v>
      </c>
      <c r="DA996" s="1129"/>
      <c r="DB996" s="1129"/>
      <c r="DC996" s="1125" t="s">
        <v>5007</v>
      </c>
      <c r="DD996" s="1125" t="s">
        <v>1250</v>
      </c>
      <c r="DE996" s="1125" t="str">
        <f t="shared" si="1200"/>
        <v/>
      </c>
      <c r="DF996" s="1125">
        <v>0</v>
      </c>
      <c r="DG996" s="1120">
        <v>0</v>
      </c>
    </row>
    <row r="997" spans="1:111">
      <c r="A997" s="1125" t="s">
        <v>4659</v>
      </c>
      <c r="B997" s="1120" t="s">
        <v>3966</v>
      </c>
      <c r="C997" s="1120" t="s">
        <v>3967</v>
      </c>
      <c r="D997" s="1120" t="s">
        <v>426</v>
      </c>
      <c r="E997" s="1120">
        <v>971</v>
      </c>
      <c r="F997" s="1120">
        <v>-80.22</v>
      </c>
      <c r="G997" s="1120">
        <v>36.130000000000003</v>
      </c>
      <c r="H997" s="1120">
        <v>-5</v>
      </c>
      <c r="I997" s="1121">
        <v>22.820000171661377</v>
      </c>
      <c r="J997" s="1121">
        <v>90.320002746582034</v>
      </c>
      <c r="K997" s="1122">
        <v>73.939998626708984</v>
      </c>
      <c r="L997" s="1120">
        <v>3051</v>
      </c>
      <c r="M997" s="1120">
        <v>1303.2</v>
      </c>
      <c r="N997" s="1123">
        <v>37.76000008583069</v>
      </c>
      <c r="O997" s="1123">
        <v>44.959999656677248</v>
      </c>
      <c r="P997" s="1123">
        <v>54.859999656677246</v>
      </c>
      <c r="Q997" s="1123">
        <v>62.960001373291014</v>
      </c>
      <c r="R997" s="1123">
        <v>66.919999313354495</v>
      </c>
      <c r="S997" s="1123">
        <v>71.960001373291021</v>
      </c>
      <c r="T997" s="1123">
        <v>75.919999313354495</v>
      </c>
      <c r="U997" s="1123">
        <v>75.019999313354489</v>
      </c>
      <c r="V997" s="1123">
        <v>68.360001373291013</v>
      </c>
      <c r="W997" s="1123">
        <v>57.740000343322755</v>
      </c>
      <c r="X997" s="1123">
        <v>55.219999313354492</v>
      </c>
      <c r="Y997" s="1123">
        <v>42.8</v>
      </c>
      <c r="Z997" s="1123">
        <v>59.604109677223313</v>
      </c>
      <c r="AA997" s="1123">
        <f t="shared" si="1126"/>
        <v>55.580373422646318</v>
      </c>
      <c r="AB997" s="1123">
        <f t="shared" si="1127"/>
        <v>55.171005524362684</v>
      </c>
      <c r="AC997" s="1123">
        <f t="shared" si="1128"/>
        <v>57.48118700252391</v>
      </c>
      <c r="AD997" s="1123">
        <f t="shared" si="1129"/>
        <v>61.908733453873054</v>
      </c>
      <c r="AE997" s="1123">
        <f t="shared" si="1130"/>
        <v>67.29953666530983</v>
      </c>
      <c r="AF997" s="1123">
        <f t="shared" si="1131"/>
        <v>72.248400704981108</v>
      </c>
      <c r="AG997" s="1123">
        <f t="shared" si="1132"/>
        <v>75.465327896643203</v>
      </c>
      <c r="AH997" s="1123">
        <f t="shared" si="1133"/>
        <v>76.111776593440766</v>
      </c>
      <c r="AI997" s="1123">
        <f t="shared" si="1134"/>
        <v>74.01923998047755</v>
      </c>
      <c r="AJ997" s="1123">
        <f t="shared" si="1135"/>
        <v>69.733169972887737</v>
      </c>
      <c r="AK997" s="1123">
        <f t="shared" si="1136"/>
        <v>64.370796768487736</v>
      </c>
      <c r="AL997" s="1123">
        <f t="shared" si="1137"/>
        <v>59.329905579676897</v>
      </c>
      <c r="AM997" s="1120">
        <f t="shared" si="1138"/>
        <v>1</v>
      </c>
      <c r="AN997" s="1120">
        <f t="shared" si="1139"/>
        <v>1</v>
      </c>
      <c r="AO997" s="1120">
        <f t="shared" si="1140"/>
        <v>1</v>
      </c>
      <c r="AP997" s="1120">
        <f t="shared" si="1141"/>
        <v>1</v>
      </c>
      <c r="AQ997" s="1120">
        <f t="shared" si="1142"/>
        <v>0</v>
      </c>
      <c r="AR997" s="1120">
        <f t="shared" si="1143"/>
        <v>0</v>
      </c>
      <c r="AS997" s="1120">
        <f t="shared" si="1144"/>
        <v>0</v>
      </c>
      <c r="AT997" s="1120">
        <f t="shared" si="1145"/>
        <v>0</v>
      </c>
      <c r="AU997" s="1120">
        <f t="shared" si="1146"/>
        <v>0</v>
      </c>
      <c r="AV997" s="1120">
        <f t="shared" si="1147"/>
        <v>1</v>
      </c>
      <c r="AW997" s="1120">
        <f t="shared" si="1148"/>
        <v>1</v>
      </c>
      <c r="AX997" s="1120">
        <f t="shared" si="1149"/>
        <v>1</v>
      </c>
      <c r="AY997" s="1120">
        <f t="shared" si="1150"/>
        <v>0</v>
      </c>
      <c r="AZ997" s="1120">
        <f t="shared" si="1151"/>
        <v>0</v>
      </c>
      <c r="BA997" s="1120">
        <f t="shared" si="1152"/>
        <v>0</v>
      </c>
      <c r="BB997" s="1120">
        <f t="shared" si="1153"/>
        <v>0</v>
      </c>
      <c r="BC997" s="1120">
        <f t="shared" si="1154"/>
        <v>1</v>
      </c>
      <c r="BD997" s="1120">
        <f t="shared" si="1155"/>
        <v>1</v>
      </c>
      <c r="BE997" s="1120">
        <f t="shared" si="1156"/>
        <v>1</v>
      </c>
      <c r="BF997" s="1120">
        <f t="shared" si="1157"/>
        <v>1</v>
      </c>
      <c r="BG997" s="1120">
        <f t="shared" si="1158"/>
        <v>1</v>
      </c>
      <c r="BH997" s="1120">
        <f t="shared" si="1159"/>
        <v>0</v>
      </c>
      <c r="BI997" s="1120">
        <f t="shared" si="1160"/>
        <v>0</v>
      </c>
      <c r="BJ997" s="1120">
        <f t="shared" si="1161"/>
        <v>0</v>
      </c>
      <c r="BK997" s="1120">
        <f t="shared" si="1162"/>
        <v>1</v>
      </c>
      <c r="BL997" s="1120">
        <f t="shared" si="1163"/>
        <v>1</v>
      </c>
      <c r="BM997" s="1120">
        <f t="shared" si="1164"/>
        <v>1</v>
      </c>
      <c r="BN997" s="1120">
        <f t="shared" si="1165"/>
        <v>1</v>
      </c>
      <c r="BO997" s="1120">
        <f t="shared" si="1166"/>
        <v>1</v>
      </c>
      <c r="BP997" s="1120">
        <f t="shared" si="1167"/>
        <v>0</v>
      </c>
      <c r="BQ997" s="1120">
        <f t="shared" si="1168"/>
        <v>0</v>
      </c>
      <c r="BR997" s="1120">
        <f t="shared" si="1169"/>
        <v>0</v>
      </c>
      <c r="BS997" s="1120">
        <f t="shared" si="1170"/>
        <v>0</v>
      </c>
      <c r="BT997" s="1120">
        <f t="shared" si="1171"/>
        <v>1</v>
      </c>
      <c r="BU997" s="1120">
        <f t="shared" si="1172"/>
        <v>1</v>
      </c>
      <c r="BV997" s="1120">
        <f t="shared" si="1173"/>
        <v>1</v>
      </c>
      <c r="BW997" s="1120">
        <f t="shared" si="1174"/>
        <v>0</v>
      </c>
      <c r="BX997" s="1120">
        <f t="shared" si="1175"/>
        <v>0</v>
      </c>
      <c r="BY997" s="1120">
        <f t="shared" si="1176"/>
        <v>0</v>
      </c>
      <c r="BZ997" s="1120">
        <f t="shared" si="1177"/>
        <v>1</v>
      </c>
      <c r="CA997" s="1120">
        <f t="shared" si="1178"/>
        <v>1</v>
      </c>
      <c r="CB997" s="1120">
        <f t="shared" si="1179"/>
        <v>1</v>
      </c>
      <c r="CC997" s="1120">
        <f t="shared" si="1180"/>
        <v>1</v>
      </c>
      <c r="CD997" s="1120">
        <f t="shared" si="1181"/>
        <v>1</v>
      </c>
      <c r="CE997" s="1120">
        <f t="shared" si="1182"/>
        <v>1</v>
      </c>
      <c r="CF997" s="1120">
        <f t="shared" si="1183"/>
        <v>1</v>
      </c>
      <c r="CG997" s="1120">
        <f t="shared" si="1184"/>
        <v>0</v>
      </c>
      <c r="CH997" s="1120">
        <f t="shared" si="1185"/>
        <v>0</v>
      </c>
      <c r="CI997" s="1120">
        <f t="shared" si="1186"/>
        <v>0.85</v>
      </c>
      <c r="CJ997" s="1120">
        <f t="shared" si="1187"/>
        <v>0.85</v>
      </c>
      <c r="CK997" s="1120">
        <f t="shared" si="1188"/>
        <v>0.85</v>
      </c>
      <c r="CL997" s="1120">
        <f t="shared" si="1189"/>
        <v>0.85</v>
      </c>
      <c r="CM997" s="1120">
        <f t="shared" si="1190"/>
        <v>0.85</v>
      </c>
      <c r="CN997" s="1120">
        <f t="shared" si="1191"/>
        <v>0.7</v>
      </c>
      <c r="CO997" s="1120">
        <f t="shared" si="1192"/>
        <v>0.7</v>
      </c>
      <c r="CP997" s="1120">
        <f t="shared" si="1193"/>
        <v>0.7</v>
      </c>
      <c r="CQ997" s="1120">
        <f t="shared" si="1194"/>
        <v>0.7</v>
      </c>
      <c r="CR997" s="1120">
        <f t="shared" si="1195"/>
        <v>0.85</v>
      </c>
      <c r="CS997" s="1120">
        <f t="shared" si="1196"/>
        <v>0.85</v>
      </c>
      <c r="CT997" s="1120">
        <f t="shared" si="1197"/>
        <v>0.85</v>
      </c>
      <c r="CU997" s="1120">
        <v>1</v>
      </c>
      <c r="CV997" s="1120"/>
      <c r="CW997" s="1120">
        <f t="shared" si="1198"/>
        <v>214</v>
      </c>
      <c r="CX997" s="1120">
        <f t="shared" si="1199"/>
        <v>151</v>
      </c>
      <c r="CY997" s="1135" t="s">
        <v>4881</v>
      </c>
      <c r="CZ997" s="1124" t="s">
        <v>4885</v>
      </c>
      <c r="DA997" s="1124"/>
      <c r="DB997" s="1124"/>
      <c r="DC997" s="1120" t="s">
        <v>6042</v>
      </c>
      <c r="DD997" s="1120" t="s">
        <v>426</v>
      </c>
      <c r="DE997" s="1120" t="str">
        <f t="shared" si="1200"/>
        <v/>
      </c>
      <c r="DF997" s="1133">
        <v>0</v>
      </c>
      <c r="DG997" s="1125">
        <v>0</v>
      </c>
    </row>
    <row r="998" spans="1:111">
      <c r="A998" s="1120" t="s">
        <v>4661</v>
      </c>
      <c r="B998" s="1125" t="s">
        <v>3705</v>
      </c>
      <c r="C998" s="1125" t="s">
        <v>3706</v>
      </c>
      <c r="D998" s="1125" t="s">
        <v>903</v>
      </c>
      <c r="E998" s="1125">
        <v>69</v>
      </c>
      <c r="F998" s="1125">
        <v>-69.72</v>
      </c>
      <c r="G998" s="1125">
        <v>43.97</v>
      </c>
      <c r="H998" s="1125">
        <v>-5</v>
      </c>
      <c r="I998" s="1126">
        <v>1.0399986267089836</v>
      </c>
      <c r="J998" s="1126">
        <v>81.860001373291013</v>
      </c>
      <c r="K998" s="1127">
        <v>69.260001373291018</v>
      </c>
      <c r="L998" s="1125">
        <v>6566.4000000000005</v>
      </c>
      <c r="M998" s="1125">
        <v>363.6</v>
      </c>
      <c r="N998" s="1128">
        <v>27.679999828338623</v>
      </c>
      <c r="O998" s="1128">
        <v>23.720000171661376</v>
      </c>
      <c r="P998" s="1128">
        <v>36.139999914169309</v>
      </c>
      <c r="Q998" s="1128">
        <v>42.8</v>
      </c>
      <c r="R998" s="1128">
        <v>53.419999313354495</v>
      </c>
      <c r="S998" s="1128">
        <v>59.180000686645506</v>
      </c>
      <c r="T998" s="1128">
        <v>68.180000686645513</v>
      </c>
      <c r="U998" s="1128">
        <v>68.719999313354492</v>
      </c>
      <c r="V998" s="1128">
        <v>62.419999313354495</v>
      </c>
      <c r="W998" s="1128">
        <v>49.819999313354494</v>
      </c>
      <c r="X998" s="1128">
        <v>41.540000343322752</v>
      </c>
      <c r="Y998" s="1128">
        <v>33.619999957084659</v>
      </c>
      <c r="Z998" s="1128">
        <v>47.417369762250821</v>
      </c>
      <c r="AA998" s="1128">
        <f t="shared" si="1126"/>
        <v>45.056141909569554</v>
      </c>
      <c r="AB998" s="1128">
        <f t="shared" si="1127"/>
        <v>43.652084654702051</v>
      </c>
      <c r="AC998" s="1128">
        <f t="shared" si="1128"/>
        <v>44.793499450715871</v>
      </c>
      <c r="AD998" s="1128">
        <f t="shared" si="1129"/>
        <v>48.182858941295549</v>
      </c>
      <c r="AE998" s="1128">
        <f t="shared" si="1130"/>
        <v>52.936674343610719</v>
      </c>
      <c r="AF998" s="1128">
        <f t="shared" si="1131"/>
        <v>57.815790414535073</v>
      </c>
      <c r="AG998" s="1128">
        <f t="shared" si="1132"/>
        <v>61.548390360727538</v>
      </c>
      <c r="AH998" s="1128">
        <f t="shared" si="1133"/>
        <v>63.16151448510675</v>
      </c>
      <c r="AI998" s="1128">
        <f t="shared" si="1134"/>
        <v>62.234677125658017</v>
      </c>
      <c r="AJ998" s="1128">
        <f t="shared" si="1135"/>
        <v>59.009472723117717</v>
      </c>
      <c r="AK998" s="1128">
        <f t="shared" si="1136"/>
        <v>54.326600506912278</v>
      </c>
      <c r="AL998" s="1128">
        <f t="shared" si="1137"/>
        <v>49.406723285440926</v>
      </c>
      <c r="AM998" s="1125">
        <f t="shared" si="1138"/>
        <v>1</v>
      </c>
      <c r="AN998" s="1125">
        <f t="shared" si="1139"/>
        <v>1</v>
      </c>
      <c r="AO998" s="1125">
        <f t="shared" si="1140"/>
        <v>1</v>
      </c>
      <c r="AP998" s="1125">
        <f t="shared" si="1141"/>
        <v>1</v>
      </c>
      <c r="AQ998" s="1125">
        <f t="shared" si="1142"/>
        <v>1</v>
      </c>
      <c r="AR998" s="1125">
        <f t="shared" si="1143"/>
        <v>1</v>
      </c>
      <c r="AS998" s="1125">
        <f t="shared" si="1144"/>
        <v>0</v>
      </c>
      <c r="AT998" s="1125">
        <f t="shared" si="1145"/>
        <v>0</v>
      </c>
      <c r="AU998" s="1125">
        <f t="shared" si="1146"/>
        <v>1</v>
      </c>
      <c r="AV998" s="1125">
        <f t="shared" si="1147"/>
        <v>1</v>
      </c>
      <c r="AW998" s="1125">
        <f t="shared" si="1148"/>
        <v>1</v>
      </c>
      <c r="AX998" s="1125">
        <f t="shared" si="1149"/>
        <v>1</v>
      </c>
      <c r="AY998" s="1125">
        <f t="shared" si="1150"/>
        <v>0</v>
      </c>
      <c r="AZ998" s="1125">
        <f t="shared" si="1151"/>
        <v>0</v>
      </c>
      <c r="BA998" s="1125">
        <f t="shared" si="1152"/>
        <v>0</v>
      </c>
      <c r="BB998" s="1125">
        <f t="shared" si="1153"/>
        <v>0</v>
      </c>
      <c r="BC998" s="1125">
        <f t="shared" si="1154"/>
        <v>0</v>
      </c>
      <c r="BD998" s="1125">
        <f t="shared" si="1155"/>
        <v>0</v>
      </c>
      <c r="BE998" s="1125">
        <f t="shared" si="1156"/>
        <v>1</v>
      </c>
      <c r="BF998" s="1125">
        <f t="shared" si="1157"/>
        <v>1</v>
      </c>
      <c r="BG998" s="1125">
        <f t="shared" si="1158"/>
        <v>0</v>
      </c>
      <c r="BH998" s="1125">
        <f t="shared" si="1159"/>
        <v>0</v>
      </c>
      <c r="BI998" s="1125">
        <f t="shared" si="1160"/>
        <v>0</v>
      </c>
      <c r="BJ998" s="1125">
        <f t="shared" si="1161"/>
        <v>0</v>
      </c>
      <c r="BK998" s="1125">
        <f t="shared" si="1162"/>
        <v>1</v>
      </c>
      <c r="BL998" s="1125">
        <f t="shared" si="1163"/>
        <v>1</v>
      </c>
      <c r="BM998" s="1125">
        <f t="shared" si="1164"/>
        <v>1</v>
      </c>
      <c r="BN998" s="1125">
        <f t="shared" si="1165"/>
        <v>1</v>
      </c>
      <c r="BO998" s="1125">
        <f t="shared" si="1166"/>
        <v>1</v>
      </c>
      <c r="BP998" s="1125">
        <f t="shared" si="1167"/>
        <v>1</v>
      </c>
      <c r="BQ998" s="1125">
        <f t="shared" si="1168"/>
        <v>1</v>
      </c>
      <c r="BR998" s="1125">
        <f t="shared" si="1169"/>
        <v>0</v>
      </c>
      <c r="BS998" s="1125">
        <f t="shared" si="1170"/>
        <v>1</v>
      </c>
      <c r="BT998" s="1125">
        <f t="shared" si="1171"/>
        <v>1</v>
      </c>
      <c r="BU998" s="1125">
        <f t="shared" si="1172"/>
        <v>1</v>
      </c>
      <c r="BV998" s="1125">
        <f t="shared" si="1173"/>
        <v>1</v>
      </c>
      <c r="BW998" s="1125">
        <f t="shared" si="1174"/>
        <v>0</v>
      </c>
      <c r="BX998" s="1125">
        <f t="shared" si="1175"/>
        <v>0</v>
      </c>
      <c r="BY998" s="1125">
        <f t="shared" si="1176"/>
        <v>0</v>
      </c>
      <c r="BZ998" s="1125">
        <f t="shared" si="1177"/>
        <v>0</v>
      </c>
      <c r="CA998" s="1125">
        <f t="shared" si="1178"/>
        <v>0</v>
      </c>
      <c r="CB998" s="1125">
        <f t="shared" si="1179"/>
        <v>1</v>
      </c>
      <c r="CC998" s="1125">
        <f t="shared" si="1180"/>
        <v>1</v>
      </c>
      <c r="CD998" s="1125">
        <f t="shared" si="1181"/>
        <v>1</v>
      </c>
      <c r="CE998" s="1125">
        <f t="shared" si="1182"/>
        <v>1</v>
      </c>
      <c r="CF998" s="1125">
        <f t="shared" si="1183"/>
        <v>0</v>
      </c>
      <c r="CG998" s="1125">
        <f t="shared" si="1184"/>
        <v>0</v>
      </c>
      <c r="CH998" s="1125">
        <f t="shared" si="1185"/>
        <v>0</v>
      </c>
      <c r="CI998" s="1125">
        <f t="shared" si="1186"/>
        <v>0.85</v>
      </c>
      <c r="CJ998" s="1125">
        <f t="shared" si="1187"/>
        <v>0.85</v>
      </c>
      <c r="CK998" s="1125">
        <f t="shared" si="1188"/>
        <v>0.85</v>
      </c>
      <c r="CL998" s="1125">
        <f t="shared" si="1189"/>
        <v>0.85</v>
      </c>
      <c r="CM998" s="1125">
        <f t="shared" si="1190"/>
        <v>0.85</v>
      </c>
      <c r="CN998" s="1125">
        <f t="shared" si="1191"/>
        <v>0.85</v>
      </c>
      <c r="CO998" s="1125">
        <f t="shared" si="1192"/>
        <v>0.85</v>
      </c>
      <c r="CP998" s="1125">
        <f t="shared" si="1193"/>
        <v>0.7</v>
      </c>
      <c r="CQ998" s="1125">
        <f t="shared" si="1194"/>
        <v>0.85</v>
      </c>
      <c r="CR998" s="1125">
        <f t="shared" si="1195"/>
        <v>0.85</v>
      </c>
      <c r="CS998" s="1125">
        <f t="shared" si="1196"/>
        <v>0.85</v>
      </c>
      <c r="CT998" s="1125">
        <f t="shared" si="1197"/>
        <v>0.85</v>
      </c>
      <c r="CU998" s="1125">
        <v>1</v>
      </c>
      <c r="CV998" s="1125"/>
      <c r="CW998" s="1125">
        <f t="shared" si="1198"/>
        <v>122</v>
      </c>
      <c r="CX998" s="1125">
        <f t="shared" si="1199"/>
        <v>243</v>
      </c>
      <c r="CY998" s="1136" t="s">
        <v>4889</v>
      </c>
      <c r="CZ998" s="1129" t="s">
        <v>4899</v>
      </c>
      <c r="DA998" s="1129"/>
      <c r="DB998" s="1129"/>
      <c r="DC998" s="1125" t="s">
        <v>5294</v>
      </c>
      <c r="DD998" s="1125" t="s">
        <v>903</v>
      </c>
      <c r="DE998" s="1120" t="str">
        <f t="shared" si="1200"/>
        <v/>
      </c>
      <c r="DF998" s="1133">
        <v>0</v>
      </c>
      <c r="DG998" s="1120">
        <v>0</v>
      </c>
    </row>
    <row r="999" spans="1:111">
      <c r="A999" s="1125" t="s">
        <v>4663</v>
      </c>
      <c r="B999" s="1125" t="s">
        <v>4542</v>
      </c>
      <c r="C999" s="1125" t="s">
        <v>4543</v>
      </c>
      <c r="D999" s="1125" t="s">
        <v>501</v>
      </c>
      <c r="E999" s="1125">
        <v>2680</v>
      </c>
      <c r="F999" s="1125">
        <v>-82.53</v>
      </c>
      <c r="G999" s="1125">
        <v>36.979999999999997</v>
      </c>
      <c r="H999" s="1125">
        <v>-5</v>
      </c>
      <c r="I999" s="1126">
        <v>11.840000343322753</v>
      </c>
      <c r="J999" s="1126">
        <v>83.66000137329101</v>
      </c>
      <c r="K999" s="1127">
        <v>69.080000686645505</v>
      </c>
      <c r="L999" s="1125">
        <v>4770</v>
      </c>
      <c r="M999" s="1125">
        <v>757.80000000000007</v>
      </c>
      <c r="N999" s="1128">
        <v>33.619999957084659</v>
      </c>
      <c r="O999" s="1128">
        <v>39.559999656677249</v>
      </c>
      <c r="P999" s="1128">
        <v>37.76000008583069</v>
      </c>
      <c r="Q999" s="1128">
        <v>49.1</v>
      </c>
      <c r="R999" s="1128">
        <v>61.7</v>
      </c>
      <c r="S999" s="1128">
        <v>68</v>
      </c>
      <c r="T999" s="1128">
        <v>69.619999313354498</v>
      </c>
      <c r="U999" s="1128">
        <v>71.419999313354495</v>
      </c>
      <c r="V999" s="1128">
        <v>69.980000686645511</v>
      </c>
      <c r="W999" s="1128">
        <v>56.480000686645511</v>
      </c>
      <c r="X999" s="1128">
        <v>51.619999313354491</v>
      </c>
      <c r="Y999" s="1128">
        <v>31.459999978542328</v>
      </c>
      <c r="Z999" s="1128">
        <v>53.404219095249701</v>
      </c>
      <c r="AA999" s="1128">
        <f t="shared" si="1126"/>
        <v>50.475453173366034</v>
      </c>
      <c r="AB999" s="1128">
        <f t="shared" si="1127"/>
        <v>49.561594206860669</v>
      </c>
      <c r="AC999" s="1128">
        <f t="shared" si="1128"/>
        <v>51.213367096954734</v>
      </c>
      <c r="AD999" s="1128">
        <f t="shared" si="1129"/>
        <v>55.000211785254464</v>
      </c>
      <c r="AE999" s="1128">
        <f t="shared" si="1130"/>
        <v>59.935028846711447</v>
      </c>
      <c r="AF999" s="1128">
        <f t="shared" si="1131"/>
        <v>64.731482166424044</v>
      </c>
      <c r="AG999" s="1128">
        <f t="shared" si="1132"/>
        <v>68.139302271026111</v>
      </c>
      <c r="AH999" s="1128">
        <f t="shared" si="1133"/>
        <v>69.270188334155648</v>
      </c>
      <c r="AI999" s="1128">
        <f t="shared" si="1134"/>
        <v>67.829357475976209</v>
      </c>
      <c r="AJ999" s="1128">
        <f t="shared" si="1135"/>
        <v>64.192384463547867</v>
      </c>
      <c r="AK999" s="1128">
        <f t="shared" si="1136"/>
        <v>59.307302360010745</v>
      </c>
      <c r="AL999" s="1128">
        <f t="shared" si="1137"/>
        <v>54.447483097045748</v>
      </c>
      <c r="AM999" s="1125">
        <f t="shared" si="1138"/>
        <v>1</v>
      </c>
      <c r="AN999" s="1125">
        <f t="shared" si="1139"/>
        <v>1</v>
      </c>
      <c r="AO999" s="1125">
        <f t="shared" si="1140"/>
        <v>1</v>
      </c>
      <c r="AP999" s="1125">
        <f t="shared" si="1141"/>
        <v>1</v>
      </c>
      <c r="AQ999" s="1125">
        <f t="shared" si="1142"/>
        <v>1</v>
      </c>
      <c r="AR999" s="1125">
        <f t="shared" si="1143"/>
        <v>0</v>
      </c>
      <c r="AS999" s="1125">
        <f t="shared" si="1144"/>
        <v>0</v>
      </c>
      <c r="AT999" s="1125">
        <f t="shared" si="1145"/>
        <v>0</v>
      </c>
      <c r="AU999" s="1125">
        <f t="shared" si="1146"/>
        <v>0</v>
      </c>
      <c r="AV999" s="1125">
        <f t="shared" si="1147"/>
        <v>1</v>
      </c>
      <c r="AW999" s="1125">
        <f t="shared" si="1148"/>
        <v>1</v>
      </c>
      <c r="AX999" s="1125">
        <f t="shared" si="1149"/>
        <v>1</v>
      </c>
      <c r="AY999" s="1125">
        <f t="shared" si="1150"/>
        <v>0</v>
      </c>
      <c r="AZ999" s="1125">
        <f t="shared" si="1151"/>
        <v>0</v>
      </c>
      <c r="BA999" s="1125">
        <f t="shared" si="1152"/>
        <v>0</v>
      </c>
      <c r="BB999" s="1125">
        <f t="shared" si="1153"/>
        <v>0</v>
      </c>
      <c r="BC999" s="1125">
        <f t="shared" si="1154"/>
        <v>0</v>
      </c>
      <c r="BD999" s="1125">
        <f t="shared" si="1155"/>
        <v>1</v>
      </c>
      <c r="BE999" s="1125">
        <f t="shared" si="1156"/>
        <v>1</v>
      </c>
      <c r="BF999" s="1125">
        <f t="shared" si="1157"/>
        <v>1</v>
      </c>
      <c r="BG999" s="1125">
        <f t="shared" si="1158"/>
        <v>1</v>
      </c>
      <c r="BH999" s="1125">
        <f t="shared" si="1159"/>
        <v>0</v>
      </c>
      <c r="BI999" s="1125">
        <f t="shared" si="1160"/>
        <v>0</v>
      </c>
      <c r="BJ999" s="1125">
        <f t="shared" si="1161"/>
        <v>0</v>
      </c>
      <c r="BK999" s="1125">
        <f t="shared" si="1162"/>
        <v>1</v>
      </c>
      <c r="BL999" s="1125">
        <f t="shared" si="1163"/>
        <v>1</v>
      </c>
      <c r="BM999" s="1125">
        <f t="shared" si="1164"/>
        <v>1</v>
      </c>
      <c r="BN999" s="1125">
        <f t="shared" si="1165"/>
        <v>1</v>
      </c>
      <c r="BO999" s="1125">
        <f t="shared" si="1166"/>
        <v>1</v>
      </c>
      <c r="BP999" s="1125">
        <f t="shared" si="1167"/>
        <v>1</v>
      </c>
      <c r="BQ999" s="1125">
        <f t="shared" si="1168"/>
        <v>0</v>
      </c>
      <c r="BR999" s="1125">
        <f t="shared" si="1169"/>
        <v>0</v>
      </c>
      <c r="BS999" s="1125">
        <f t="shared" si="1170"/>
        <v>0</v>
      </c>
      <c r="BT999" s="1125">
        <f t="shared" si="1171"/>
        <v>1</v>
      </c>
      <c r="BU999" s="1125">
        <f t="shared" si="1172"/>
        <v>1</v>
      </c>
      <c r="BV999" s="1125">
        <f t="shared" si="1173"/>
        <v>1</v>
      </c>
      <c r="BW999" s="1125">
        <f t="shared" si="1174"/>
        <v>0</v>
      </c>
      <c r="BX999" s="1125">
        <f t="shared" si="1175"/>
        <v>0</v>
      </c>
      <c r="BY999" s="1125">
        <f t="shared" si="1176"/>
        <v>0</v>
      </c>
      <c r="BZ999" s="1125">
        <f t="shared" si="1177"/>
        <v>0</v>
      </c>
      <c r="CA999" s="1125">
        <f t="shared" si="1178"/>
        <v>1</v>
      </c>
      <c r="CB999" s="1125">
        <f t="shared" si="1179"/>
        <v>1</v>
      </c>
      <c r="CC999" s="1125">
        <f t="shared" si="1180"/>
        <v>1</v>
      </c>
      <c r="CD999" s="1125">
        <f t="shared" si="1181"/>
        <v>1</v>
      </c>
      <c r="CE999" s="1125">
        <f t="shared" si="1182"/>
        <v>1</v>
      </c>
      <c r="CF999" s="1125">
        <f t="shared" si="1183"/>
        <v>1</v>
      </c>
      <c r="CG999" s="1125">
        <f t="shared" si="1184"/>
        <v>0</v>
      </c>
      <c r="CH999" s="1125">
        <f t="shared" si="1185"/>
        <v>0</v>
      </c>
      <c r="CI999" s="1125">
        <f t="shared" si="1186"/>
        <v>0.85</v>
      </c>
      <c r="CJ999" s="1125">
        <f t="shared" si="1187"/>
        <v>0.85</v>
      </c>
      <c r="CK999" s="1125">
        <f t="shared" si="1188"/>
        <v>0.85</v>
      </c>
      <c r="CL999" s="1125">
        <f t="shared" si="1189"/>
        <v>0.85</v>
      </c>
      <c r="CM999" s="1125">
        <f t="shared" si="1190"/>
        <v>0.85</v>
      </c>
      <c r="CN999" s="1125">
        <f t="shared" si="1191"/>
        <v>0.85</v>
      </c>
      <c r="CO999" s="1125">
        <f t="shared" si="1192"/>
        <v>0.7</v>
      </c>
      <c r="CP999" s="1125">
        <f t="shared" si="1193"/>
        <v>0.7</v>
      </c>
      <c r="CQ999" s="1125">
        <f t="shared" si="1194"/>
        <v>0.7</v>
      </c>
      <c r="CR999" s="1125">
        <f t="shared" si="1195"/>
        <v>0.85</v>
      </c>
      <c r="CS999" s="1125">
        <f t="shared" si="1196"/>
        <v>0.85</v>
      </c>
      <c r="CT999" s="1125">
        <f t="shared" si="1197"/>
        <v>0.85</v>
      </c>
      <c r="CU999" s="1125">
        <v>1</v>
      </c>
      <c r="CV999" s="1125"/>
      <c r="CW999" s="1125">
        <f t="shared" si="1198"/>
        <v>184</v>
      </c>
      <c r="CX999" s="1125">
        <f t="shared" si="1199"/>
        <v>181</v>
      </c>
      <c r="CY999" s="1135" t="s">
        <v>4881</v>
      </c>
      <c r="CZ999" s="1124" t="s">
        <v>4885</v>
      </c>
      <c r="DA999" s="1124"/>
      <c r="DB999" s="1124"/>
      <c r="DC999" s="1120" t="s">
        <v>6014</v>
      </c>
      <c r="DD999" s="1120" t="s">
        <v>501</v>
      </c>
      <c r="DE999" s="1120" t="str">
        <f t="shared" si="1200"/>
        <v/>
      </c>
      <c r="DF999" s="1133">
        <v>0</v>
      </c>
      <c r="DG999" s="1125">
        <v>0</v>
      </c>
    </row>
    <row r="1000" spans="1:111">
      <c r="A1000" s="1120" t="s">
        <v>4665</v>
      </c>
      <c r="B1000" s="1120" t="s">
        <v>4641</v>
      </c>
      <c r="C1000" s="1120" t="s">
        <v>4642</v>
      </c>
      <c r="D1000" s="1120" t="s">
        <v>1278</v>
      </c>
      <c r="E1000" s="1120">
        <v>830</v>
      </c>
      <c r="F1000" s="1120">
        <v>-88.55</v>
      </c>
      <c r="G1000" s="1120">
        <v>43.98</v>
      </c>
      <c r="H1000" s="1120">
        <v>-6</v>
      </c>
      <c r="I1000" s="1121">
        <v>-0.21999931335449299</v>
      </c>
      <c r="J1000" s="1121">
        <v>84.380000686645502</v>
      </c>
      <c r="K1000" s="1122">
        <v>72.319999313354487</v>
      </c>
      <c r="L1000" s="1120">
        <v>7741.8</v>
      </c>
      <c r="M1000" s="1120">
        <v>426.6</v>
      </c>
      <c r="N1000" s="1123">
        <v>15.799999999999999</v>
      </c>
      <c r="O1000" s="1123">
        <v>16.519999313354493</v>
      </c>
      <c r="P1000" s="1123">
        <v>39.740000343322755</v>
      </c>
      <c r="Q1000" s="1123">
        <v>47.480000686645511</v>
      </c>
      <c r="R1000" s="1123">
        <v>52.7</v>
      </c>
      <c r="S1000" s="1123">
        <v>65.3</v>
      </c>
      <c r="T1000" s="1123">
        <v>67.280000686645508</v>
      </c>
      <c r="U1000" s="1123">
        <v>69.080000686645505</v>
      </c>
      <c r="V1000" s="1123">
        <v>60.440000343322751</v>
      </c>
      <c r="W1000" s="1123">
        <v>44.6</v>
      </c>
      <c r="X1000" s="1123">
        <v>39.920000171661378</v>
      </c>
      <c r="Y1000" s="1123">
        <v>12.2</v>
      </c>
      <c r="Z1000" s="1123">
        <v>44.384000191884496</v>
      </c>
      <c r="AA1000" s="1123">
        <f t="shared" si="1126"/>
        <v>40.877081052578873</v>
      </c>
      <c r="AB1000" s="1123">
        <f t="shared" si="1127"/>
        <v>38.935008083232901</v>
      </c>
      <c r="AC1000" s="1123">
        <f t="shared" si="1128"/>
        <v>39.977291341315983</v>
      </c>
      <c r="AD1000" s="1123">
        <f t="shared" si="1129"/>
        <v>43.732243633537564</v>
      </c>
      <c r="AE1000" s="1123">
        <f t="shared" si="1130"/>
        <v>49.221078779363687</v>
      </c>
      <c r="AF1000" s="1123">
        <f t="shared" si="1131"/>
        <v>55.01304731252479</v>
      </c>
      <c r="AG1000" s="1123">
        <f t="shared" si="1132"/>
        <v>59.598383377915567</v>
      </c>
      <c r="AH1000" s="1123">
        <f t="shared" si="1133"/>
        <v>61.781848467924199</v>
      </c>
      <c r="AI1000" s="1123">
        <f t="shared" si="1134"/>
        <v>60.994288758624386</v>
      </c>
      <c r="AJ1000" s="1123">
        <f t="shared" si="1135"/>
        <v>57.440993824907622</v>
      </c>
      <c r="AK1000" s="1123">
        <f t="shared" si="1136"/>
        <v>52.048184749179612</v>
      </c>
      <c r="AL1000" s="1123">
        <f t="shared" si="1137"/>
        <v>46.221580322732294</v>
      </c>
      <c r="AM1000" s="1120">
        <f t="shared" si="1138"/>
        <v>1</v>
      </c>
      <c r="AN1000" s="1120">
        <f t="shared" si="1139"/>
        <v>1</v>
      </c>
      <c r="AO1000" s="1120">
        <f t="shared" si="1140"/>
        <v>1</v>
      </c>
      <c r="AP1000" s="1120">
        <f t="shared" si="1141"/>
        <v>1</v>
      </c>
      <c r="AQ1000" s="1120">
        <f t="shared" si="1142"/>
        <v>1</v>
      </c>
      <c r="AR1000" s="1120">
        <f t="shared" si="1143"/>
        <v>1</v>
      </c>
      <c r="AS1000" s="1120">
        <f t="shared" si="1144"/>
        <v>0</v>
      </c>
      <c r="AT1000" s="1120">
        <f t="shared" si="1145"/>
        <v>0</v>
      </c>
      <c r="AU1000" s="1120">
        <f t="shared" si="1146"/>
        <v>1</v>
      </c>
      <c r="AV1000" s="1120">
        <f t="shared" si="1147"/>
        <v>1</v>
      </c>
      <c r="AW1000" s="1120">
        <f t="shared" si="1148"/>
        <v>1</v>
      </c>
      <c r="AX1000" s="1120">
        <f t="shared" si="1149"/>
        <v>1</v>
      </c>
      <c r="AY1000" s="1120">
        <f t="shared" si="1150"/>
        <v>0</v>
      </c>
      <c r="AZ1000" s="1120">
        <f t="shared" si="1151"/>
        <v>0</v>
      </c>
      <c r="BA1000" s="1120">
        <f t="shared" si="1152"/>
        <v>0</v>
      </c>
      <c r="BB1000" s="1120">
        <f t="shared" si="1153"/>
        <v>0</v>
      </c>
      <c r="BC1000" s="1120">
        <f t="shared" si="1154"/>
        <v>0</v>
      </c>
      <c r="BD1000" s="1120">
        <f t="shared" si="1155"/>
        <v>0</v>
      </c>
      <c r="BE1000" s="1120">
        <f t="shared" si="1156"/>
        <v>1</v>
      </c>
      <c r="BF1000" s="1120">
        <f t="shared" si="1157"/>
        <v>1</v>
      </c>
      <c r="BG1000" s="1120">
        <f t="shared" si="1158"/>
        <v>0</v>
      </c>
      <c r="BH1000" s="1120">
        <f t="shared" si="1159"/>
        <v>0</v>
      </c>
      <c r="BI1000" s="1120">
        <f t="shared" si="1160"/>
        <v>0</v>
      </c>
      <c r="BJ1000" s="1120">
        <f t="shared" si="1161"/>
        <v>0</v>
      </c>
      <c r="BK1000" s="1120">
        <f t="shared" si="1162"/>
        <v>1</v>
      </c>
      <c r="BL1000" s="1120">
        <f t="shared" si="1163"/>
        <v>1</v>
      </c>
      <c r="BM1000" s="1120">
        <f t="shared" si="1164"/>
        <v>1</v>
      </c>
      <c r="BN1000" s="1120">
        <f t="shared" si="1165"/>
        <v>1</v>
      </c>
      <c r="BO1000" s="1120">
        <f t="shared" si="1166"/>
        <v>1</v>
      </c>
      <c r="BP1000" s="1120">
        <f t="shared" si="1167"/>
        <v>1</v>
      </c>
      <c r="BQ1000" s="1120">
        <f t="shared" si="1168"/>
        <v>1</v>
      </c>
      <c r="BR1000" s="1120">
        <f t="shared" si="1169"/>
        <v>0</v>
      </c>
      <c r="BS1000" s="1120">
        <f t="shared" si="1170"/>
        <v>1</v>
      </c>
      <c r="BT1000" s="1120">
        <f t="shared" si="1171"/>
        <v>1</v>
      </c>
      <c r="BU1000" s="1120">
        <f t="shared" si="1172"/>
        <v>1</v>
      </c>
      <c r="BV1000" s="1120">
        <f t="shared" si="1173"/>
        <v>1</v>
      </c>
      <c r="BW1000" s="1120">
        <f t="shared" si="1174"/>
        <v>0</v>
      </c>
      <c r="BX1000" s="1120">
        <f t="shared" si="1175"/>
        <v>0</v>
      </c>
      <c r="BY1000" s="1120">
        <f t="shared" si="1176"/>
        <v>0</v>
      </c>
      <c r="BZ1000" s="1120">
        <f t="shared" si="1177"/>
        <v>0</v>
      </c>
      <c r="CA1000" s="1120">
        <f t="shared" si="1178"/>
        <v>0</v>
      </c>
      <c r="CB1000" s="1120">
        <f t="shared" si="1179"/>
        <v>1</v>
      </c>
      <c r="CC1000" s="1120">
        <f t="shared" si="1180"/>
        <v>1</v>
      </c>
      <c r="CD1000" s="1120">
        <f t="shared" si="1181"/>
        <v>1</v>
      </c>
      <c r="CE1000" s="1120">
        <f t="shared" si="1182"/>
        <v>1</v>
      </c>
      <c r="CF1000" s="1120">
        <f t="shared" si="1183"/>
        <v>0</v>
      </c>
      <c r="CG1000" s="1120">
        <f t="shared" si="1184"/>
        <v>0</v>
      </c>
      <c r="CH1000" s="1120">
        <f t="shared" si="1185"/>
        <v>0</v>
      </c>
      <c r="CI1000" s="1120">
        <f t="shared" si="1186"/>
        <v>0.85</v>
      </c>
      <c r="CJ1000" s="1120">
        <f t="shared" si="1187"/>
        <v>0.85</v>
      </c>
      <c r="CK1000" s="1120">
        <f t="shared" si="1188"/>
        <v>0.85</v>
      </c>
      <c r="CL1000" s="1120">
        <f t="shared" si="1189"/>
        <v>0.85</v>
      </c>
      <c r="CM1000" s="1120">
        <f t="shared" si="1190"/>
        <v>0.85</v>
      </c>
      <c r="CN1000" s="1120">
        <f t="shared" si="1191"/>
        <v>0.85</v>
      </c>
      <c r="CO1000" s="1120">
        <f t="shared" si="1192"/>
        <v>0.85</v>
      </c>
      <c r="CP1000" s="1120">
        <f t="shared" si="1193"/>
        <v>0.7</v>
      </c>
      <c r="CQ1000" s="1120">
        <f t="shared" si="1194"/>
        <v>0.85</v>
      </c>
      <c r="CR1000" s="1120">
        <f t="shared" si="1195"/>
        <v>0.85</v>
      </c>
      <c r="CS1000" s="1120">
        <f t="shared" si="1196"/>
        <v>0.85</v>
      </c>
      <c r="CT1000" s="1120">
        <f t="shared" si="1197"/>
        <v>0.85</v>
      </c>
      <c r="CU1000" s="1120">
        <v>1</v>
      </c>
      <c r="CV1000" s="1120"/>
      <c r="CW1000" s="1120">
        <f t="shared" si="1198"/>
        <v>122</v>
      </c>
      <c r="CX1000" s="1120">
        <f t="shared" si="1199"/>
        <v>243</v>
      </c>
      <c r="CY1000" s="1136" t="s">
        <v>4889</v>
      </c>
      <c r="CZ1000" s="1129" t="s">
        <v>4899</v>
      </c>
      <c r="DA1000" s="1129"/>
      <c r="DB1000" s="1129"/>
      <c r="DC1000" s="1125" t="s">
        <v>5687</v>
      </c>
      <c r="DD1000" s="1125" t="s">
        <v>1278</v>
      </c>
      <c r="DE1000" s="1120" t="str">
        <f t="shared" si="1200"/>
        <v/>
      </c>
      <c r="DF1000" s="1133">
        <v>0</v>
      </c>
      <c r="DG1000" s="1120">
        <v>0</v>
      </c>
    </row>
    <row r="1001" spans="1:111">
      <c r="A1001" s="1125" t="s">
        <v>4667</v>
      </c>
      <c r="B1001" s="1120" t="s">
        <v>3926</v>
      </c>
      <c r="C1001" s="1120" t="s">
        <v>3927</v>
      </c>
      <c r="D1001" s="1120" t="s">
        <v>1108</v>
      </c>
      <c r="E1001" s="1120">
        <v>2080</v>
      </c>
      <c r="F1001" s="1120">
        <v>-105.1</v>
      </c>
      <c r="G1001" s="1120">
        <v>48.31</v>
      </c>
      <c r="H1001" s="1120">
        <v>-7</v>
      </c>
      <c r="I1001" s="1121">
        <v>-18.580000686645509</v>
      </c>
      <c r="J1001" s="1121">
        <v>89.779997253417974</v>
      </c>
      <c r="K1001" s="1122">
        <v>66.380000686645502</v>
      </c>
      <c r="L1001" s="1120">
        <v>8728.2000000000007</v>
      </c>
      <c r="M1001" s="1120">
        <v>289.8</v>
      </c>
      <c r="N1001" s="1123">
        <v>17.059999656677245</v>
      </c>
      <c r="O1001" s="1123">
        <v>8.4199993133544915</v>
      </c>
      <c r="P1001" s="1123">
        <v>24.8</v>
      </c>
      <c r="Q1001" s="1123">
        <v>48.019999313354489</v>
      </c>
      <c r="R1001" s="1123">
        <v>54.319999313354494</v>
      </c>
      <c r="S1001" s="1123">
        <v>62.239998626708989</v>
      </c>
      <c r="T1001" s="1123">
        <v>65.66000137329101</v>
      </c>
      <c r="U1001" s="1123">
        <v>65.119999313354498</v>
      </c>
      <c r="V1001" s="1123">
        <v>55.040000343322752</v>
      </c>
      <c r="W1001" s="1123">
        <v>44.6</v>
      </c>
      <c r="X1001" s="1123">
        <v>31.639999994635581</v>
      </c>
      <c r="Y1001" s="1123">
        <v>16.159999656677247</v>
      </c>
      <c r="Z1001" s="1123">
        <v>41.269260021448133</v>
      </c>
      <c r="AA1001" s="1123">
        <f t="shared" si="1126"/>
        <v>38.773385918092288</v>
      </c>
      <c r="AB1001" s="1123">
        <f t="shared" si="1127"/>
        <v>36.697051567247314</v>
      </c>
      <c r="AC1001" s="1123">
        <f t="shared" si="1128"/>
        <v>37.376526272653692</v>
      </c>
      <c r="AD1001" s="1123">
        <f t="shared" si="1129"/>
        <v>40.634694481325084</v>
      </c>
      <c r="AE1001" s="1123">
        <f t="shared" si="1130"/>
        <v>45.622264439779357</v>
      </c>
      <c r="AF1001" s="1123">
        <f t="shared" si="1131"/>
        <v>51.039149177565783</v>
      </c>
      <c r="AG1001" s="1123">
        <f t="shared" si="1132"/>
        <v>55.4733542110597</v>
      </c>
      <c r="AH1001" s="1123">
        <f t="shared" si="1133"/>
        <v>57.769035665112938</v>
      </c>
      <c r="AI1001" s="1123">
        <f t="shared" si="1134"/>
        <v>57.327788791204426</v>
      </c>
      <c r="AJ1001" s="1123">
        <f t="shared" si="1135"/>
        <v>54.264631386838587</v>
      </c>
      <c r="AK1001" s="1123">
        <f t="shared" si="1136"/>
        <v>49.378022634147854</v>
      </c>
      <c r="AL1001" s="1123">
        <f t="shared" si="1137"/>
        <v>43.9417324094414</v>
      </c>
      <c r="AM1001" s="1120">
        <f t="shared" si="1138"/>
        <v>1</v>
      </c>
      <c r="AN1001" s="1120">
        <f t="shared" si="1139"/>
        <v>1</v>
      </c>
      <c r="AO1001" s="1120">
        <f t="shared" si="1140"/>
        <v>1</v>
      </c>
      <c r="AP1001" s="1120">
        <f t="shared" si="1141"/>
        <v>1</v>
      </c>
      <c r="AQ1001" s="1120">
        <f t="shared" si="1142"/>
        <v>1</v>
      </c>
      <c r="AR1001" s="1120">
        <f t="shared" si="1143"/>
        <v>1</v>
      </c>
      <c r="AS1001" s="1120">
        <f t="shared" si="1144"/>
        <v>1</v>
      </c>
      <c r="AT1001" s="1120">
        <f t="shared" si="1145"/>
        <v>1</v>
      </c>
      <c r="AU1001" s="1120">
        <f t="shared" si="1146"/>
        <v>1</v>
      </c>
      <c r="AV1001" s="1120">
        <f t="shared" si="1147"/>
        <v>1</v>
      </c>
      <c r="AW1001" s="1120">
        <f t="shared" si="1148"/>
        <v>1</v>
      </c>
      <c r="AX1001" s="1120">
        <f t="shared" si="1149"/>
        <v>1</v>
      </c>
      <c r="AY1001" s="1120">
        <f t="shared" si="1150"/>
        <v>0</v>
      </c>
      <c r="AZ1001" s="1120">
        <f t="shared" si="1151"/>
        <v>0</v>
      </c>
      <c r="BA1001" s="1120">
        <f t="shared" si="1152"/>
        <v>0</v>
      </c>
      <c r="BB1001" s="1120">
        <f t="shared" si="1153"/>
        <v>0</v>
      </c>
      <c r="BC1001" s="1120">
        <f t="shared" si="1154"/>
        <v>0</v>
      </c>
      <c r="BD1001" s="1120">
        <f t="shared" si="1155"/>
        <v>0</v>
      </c>
      <c r="BE1001" s="1120">
        <f t="shared" si="1156"/>
        <v>1</v>
      </c>
      <c r="BF1001" s="1120">
        <f t="shared" si="1157"/>
        <v>1</v>
      </c>
      <c r="BG1001" s="1120">
        <f t="shared" si="1158"/>
        <v>0</v>
      </c>
      <c r="BH1001" s="1120">
        <f t="shared" si="1159"/>
        <v>0</v>
      </c>
      <c r="BI1001" s="1120">
        <f t="shared" si="1160"/>
        <v>0</v>
      </c>
      <c r="BJ1001" s="1120">
        <f t="shared" si="1161"/>
        <v>0</v>
      </c>
      <c r="BK1001" s="1120">
        <f t="shared" si="1162"/>
        <v>1</v>
      </c>
      <c r="BL1001" s="1120">
        <f t="shared" si="1163"/>
        <v>1</v>
      </c>
      <c r="BM1001" s="1120">
        <f t="shared" si="1164"/>
        <v>1</v>
      </c>
      <c r="BN1001" s="1120">
        <f t="shared" si="1165"/>
        <v>1</v>
      </c>
      <c r="BO1001" s="1120">
        <f t="shared" si="1166"/>
        <v>1</v>
      </c>
      <c r="BP1001" s="1120">
        <f t="shared" si="1167"/>
        <v>1</v>
      </c>
      <c r="BQ1001" s="1120">
        <f t="shared" si="1168"/>
        <v>1</v>
      </c>
      <c r="BR1001" s="1120">
        <f t="shared" si="1169"/>
        <v>1</v>
      </c>
      <c r="BS1001" s="1120">
        <f t="shared" si="1170"/>
        <v>1</v>
      </c>
      <c r="BT1001" s="1120">
        <f t="shared" si="1171"/>
        <v>1</v>
      </c>
      <c r="BU1001" s="1120">
        <f t="shared" si="1172"/>
        <v>1</v>
      </c>
      <c r="BV1001" s="1120">
        <f t="shared" si="1173"/>
        <v>1</v>
      </c>
      <c r="BW1001" s="1120">
        <f t="shared" si="1174"/>
        <v>0</v>
      </c>
      <c r="BX1001" s="1120">
        <f t="shared" si="1175"/>
        <v>0</v>
      </c>
      <c r="BY1001" s="1120">
        <f t="shared" si="1176"/>
        <v>0</v>
      </c>
      <c r="BZ1001" s="1120">
        <f t="shared" si="1177"/>
        <v>0</v>
      </c>
      <c r="CA1001" s="1120">
        <f t="shared" si="1178"/>
        <v>0</v>
      </c>
      <c r="CB1001" s="1120">
        <f t="shared" si="1179"/>
        <v>0</v>
      </c>
      <c r="CC1001" s="1120">
        <f t="shared" si="1180"/>
        <v>1</v>
      </c>
      <c r="CD1001" s="1120">
        <f t="shared" si="1181"/>
        <v>1</v>
      </c>
      <c r="CE1001" s="1120">
        <f t="shared" si="1182"/>
        <v>0</v>
      </c>
      <c r="CF1001" s="1120">
        <f t="shared" si="1183"/>
        <v>0</v>
      </c>
      <c r="CG1001" s="1120">
        <f t="shared" si="1184"/>
        <v>0</v>
      </c>
      <c r="CH1001" s="1120">
        <f t="shared" si="1185"/>
        <v>0</v>
      </c>
      <c r="CI1001" s="1120">
        <f t="shared" si="1186"/>
        <v>0.85</v>
      </c>
      <c r="CJ1001" s="1120">
        <f t="shared" si="1187"/>
        <v>0.85</v>
      </c>
      <c r="CK1001" s="1120">
        <f t="shared" si="1188"/>
        <v>0.85</v>
      </c>
      <c r="CL1001" s="1120">
        <f t="shared" si="1189"/>
        <v>0.85</v>
      </c>
      <c r="CM1001" s="1120">
        <f t="shared" si="1190"/>
        <v>0.85</v>
      </c>
      <c r="CN1001" s="1120">
        <f t="shared" si="1191"/>
        <v>0.85</v>
      </c>
      <c r="CO1001" s="1120">
        <f t="shared" si="1192"/>
        <v>0.85</v>
      </c>
      <c r="CP1001" s="1120">
        <f t="shared" si="1193"/>
        <v>0.85</v>
      </c>
      <c r="CQ1001" s="1120">
        <f t="shared" si="1194"/>
        <v>0.85</v>
      </c>
      <c r="CR1001" s="1120">
        <f t="shared" si="1195"/>
        <v>0.85</v>
      </c>
      <c r="CS1001" s="1120">
        <f t="shared" si="1196"/>
        <v>0.85</v>
      </c>
      <c r="CT1001" s="1120">
        <f t="shared" si="1197"/>
        <v>0.85</v>
      </c>
      <c r="CU1001" s="1120">
        <v>1</v>
      </c>
      <c r="CV1001" s="1120"/>
      <c r="CW1001" s="1120">
        <f t="shared" si="1198"/>
        <v>62</v>
      </c>
      <c r="CX1001" s="1120">
        <f t="shared" si="1199"/>
        <v>303</v>
      </c>
      <c r="CY1001" s="1135" t="s">
        <v>4889</v>
      </c>
      <c r="CZ1001" s="1124" t="s">
        <v>4896</v>
      </c>
      <c r="DA1001" s="1124"/>
      <c r="DB1001" s="1124"/>
      <c r="DC1001" s="1120" t="s">
        <v>6040</v>
      </c>
      <c r="DD1001" s="1120" t="s">
        <v>1108</v>
      </c>
      <c r="DE1001" s="1120" t="b">
        <f t="shared" si="1200"/>
        <v>0</v>
      </c>
      <c r="DF1001" s="1133">
        <v>0</v>
      </c>
      <c r="DG1001" s="1125">
        <v>0</v>
      </c>
    </row>
    <row r="1002" spans="1:111">
      <c r="A1002" s="1120" t="s">
        <v>5935</v>
      </c>
      <c r="B1002" s="1125" t="s">
        <v>3673</v>
      </c>
      <c r="C1002" s="1125" t="s">
        <v>3674</v>
      </c>
      <c r="D1002" s="1125" t="s">
        <v>250</v>
      </c>
      <c r="E1002" s="1125">
        <v>984</v>
      </c>
      <c r="F1002" s="1125">
        <v>-71.88</v>
      </c>
      <c r="G1002" s="1125">
        <v>42.27</v>
      </c>
      <c r="H1002" s="1125">
        <v>-5</v>
      </c>
      <c r="I1002" s="1126">
        <v>6.2599996566772456</v>
      </c>
      <c r="J1002" s="1126">
        <v>83.119999313354498</v>
      </c>
      <c r="K1002" s="1127">
        <v>69.980000686645511</v>
      </c>
      <c r="L1002" s="1125">
        <v>6942.6</v>
      </c>
      <c r="M1002" s="1125">
        <v>378</v>
      </c>
      <c r="N1002" s="1128">
        <v>19.759999656677245</v>
      </c>
      <c r="O1002" s="1128">
        <v>25.160000085830688</v>
      </c>
      <c r="P1002" s="1128">
        <v>32.540000021457672</v>
      </c>
      <c r="Q1002" s="1128">
        <v>43.7</v>
      </c>
      <c r="R1002" s="1128">
        <v>57.559999656677249</v>
      </c>
      <c r="S1002" s="1128">
        <v>63.86000137329102</v>
      </c>
      <c r="T1002" s="1128">
        <v>70.519999313354489</v>
      </c>
      <c r="U1002" s="1128">
        <v>66.019999313354489</v>
      </c>
      <c r="V1002" s="1128">
        <v>59.359999656677246</v>
      </c>
      <c r="W1002" s="1128">
        <v>49.640000343322754</v>
      </c>
      <c r="X1002" s="1128">
        <v>38.660000085830688</v>
      </c>
      <c r="Y1002" s="1128">
        <v>28.939999914169313</v>
      </c>
      <c r="Z1002" s="1128">
        <v>46.428109536072981</v>
      </c>
      <c r="AA1002" s="1128">
        <f t="shared" si="1126"/>
        <v>43.307672124294101</v>
      </c>
      <c r="AB1002" s="1128">
        <f t="shared" si="1127"/>
        <v>41.670400683550085</v>
      </c>
      <c r="AC1002" s="1128">
        <f t="shared" si="1128"/>
        <v>42.83729183652774</v>
      </c>
      <c r="AD1002" s="1128">
        <f t="shared" si="1129"/>
        <v>46.504177421866444</v>
      </c>
      <c r="AE1002" s="1128">
        <f t="shared" si="1130"/>
        <v>51.715227203330308</v>
      </c>
      <c r="AF1002" s="1128">
        <f t="shared" si="1131"/>
        <v>57.11210075067283</v>
      </c>
      <c r="AG1002" s="1128">
        <f t="shared" si="1132"/>
        <v>61.288019805440342</v>
      </c>
      <c r="AH1002" s="1128">
        <f t="shared" si="1133"/>
        <v>63.154466713147109</v>
      </c>
      <c r="AI1002" s="1128">
        <f t="shared" si="1134"/>
        <v>62.224923324481871</v>
      </c>
      <c r="AJ1002" s="1128">
        <f t="shared" si="1135"/>
        <v>58.741689448397452</v>
      </c>
      <c r="AK1002" s="1128">
        <f t="shared" si="1136"/>
        <v>53.612723672954111</v>
      </c>
      <c r="AL1002" s="1128">
        <f t="shared" si="1137"/>
        <v>48.174969967276262</v>
      </c>
      <c r="AM1002" s="1125">
        <f t="shared" si="1138"/>
        <v>1</v>
      </c>
      <c r="AN1002" s="1125">
        <f t="shared" si="1139"/>
        <v>1</v>
      </c>
      <c r="AO1002" s="1125">
        <f t="shared" si="1140"/>
        <v>1</v>
      </c>
      <c r="AP1002" s="1125">
        <f t="shared" si="1141"/>
        <v>1</v>
      </c>
      <c r="AQ1002" s="1125">
        <f t="shared" si="1142"/>
        <v>1</v>
      </c>
      <c r="AR1002" s="1125">
        <f t="shared" si="1143"/>
        <v>1</v>
      </c>
      <c r="AS1002" s="1125">
        <f t="shared" si="1144"/>
        <v>0</v>
      </c>
      <c r="AT1002" s="1125">
        <f t="shared" si="1145"/>
        <v>0</v>
      </c>
      <c r="AU1002" s="1125">
        <f t="shared" si="1146"/>
        <v>1</v>
      </c>
      <c r="AV1002" s="1125">
        <f t="shared" si="1147"/>
        <v>1</v>
      </c>
      <c r="AW1002" s="1125">
        <f t="shared" si="1148"/>
        <v>1</v>
      </c>
      <c r="AX1002" s="1125">
        <f t="shared" si="1149"/>
        <v>1</v>
      </c>
      <c r="AY1002" s="1125">
        <f t="shared" si="1150"/>
        <v>0</v>
      </c>
      <c r="AZ1002" s="1125">
        <f t="shared" si="1151"/>
        <v>0</v>
      </c>
      <c r="BA1002" s="1125">
        <f t="shared" si="1152"/>
        <v>0</v>
      </c>
      <c r="BB1002" s="1125">
        <f t="shared" si="1153"/>
        <v>0</v>
      </c>
      <c r="BC1002" s="1125">
        <f t="shared" si="1154"/>
        <v>0</v>
      </c>
      <c r="BD1002" s="1125">
        <f t="shared" si="1155"/>
        <v>0</v>
      </c>
      <c r="BE1002" s="1125">
        <f t="shared" si="1156"/>
        <v>1</v>
      </c>
      <c r="BF1002" s="1125">
        <f t="shared" si="1157"/>
        <v>1</v>
      </c>
      <c r="BG1002" s="1125">
        <f t="shared" si="1158"/>
        <v>0</v>
      </c>
      <c r="BH1002" s="1125">
        <f t="shared" si="1159"/>
        <v>0</v>
      </c>
      <c r="BI1002" s="1125">
        <f t="shared" si="1160"/>
        <v>0</v>
      </c>
      <c r="BJ1002" s="1125">
        <f t="shared" si="1161"/>
        <v>0</v>
      </c>
      <c r="BK1002" s="1125">
        <f t="shared" si="1162"/>
        <v>1</v>
      </c>
      <c r="BL1002" s="1125">
        <f t="shared" si="1163"/>
        <v>1</v>
      </c>
      <c r="BM1002" s="1125">
        <f t="shared" si="1164"/>
        <v>1</v>
      </c>
      <c r="BN1002" s="1125">
        <f t="shared" si="1165"/>
        <v>1</v>
      </c>
      <c r="BO1002" s="1125">
        <f t="shared" si="1166"/>
        <v>1</v>
      </c>
      <c r="BP1002" s="1125">
        <f t="shared" si="1167"/>
        <v>1</v>
      </c>
      <c r="BQ1002" s="1125">
        <f t="shared" si="1168"/>
        <v>1</v>
      </c>
      <c r="BR1002" s="1125">
        <f t="shared" si="1169"/>
        <v>0</v>
      </c>
      <c r="BS1002" s="1125">
        <f t="shared" si="1170"/>
        <v>1</v>
      </c>
      <c r="BT1002" s="1125">
        <f t="shared" si="1171"/>
        <v>1</v>
      </c>
      <c r="BU1002" s="1125">
        <f t="shared" si="1172"/>
        <v>1</v>
      </c>
      <c r="BV1002" s="1125">
        <f t="shared" si="1173"/>
        <v>1</v>
      </c>
      <c r="BW1002" s="1125">
        <f t="shared" si="1174"/>
        <v>0</v>
      </c>
      <c r="BX1002" s="1125">
        <f t="shared" si="1175"/>
        <v>0</v>
      </c>
      <c r="BY1002" s="1125">
        <f t="shared" si="1176"/>
        <v>0</v>
      </c>
      <c r="BZ1002" s="1125">
        <f t="shared" si="1177"/>
        <v>0</v>
      </c>
      <c r="CA1002" s="1125">
        <f t="shared" si="1178"/>
        <v>0</v>
      </c>
      <c r="CB1002" s="1125">
        <f t="shared" si="1179"/>
        <v>1</v>
      </c>
      <c r="CC1002" s="1125">
        <f t="shared" si="1180"/>
        <v>1</v>
      </c>
      <c r="CD1002" s="1125">
        <f t="shared" si="1181"/>
        <v>1</v>
      </c>
      <c r="CE1002" s="1125">
        <f t="shared" si="1182"/>
        <v>1</v>
      </c>
      <c r="CF1002" s="1125">
        <f t="shared" si="1183"/>
        <v>0</v>
      </c>
      <c r="CG1002" s="1125">
        <f t="shared" si="1184"/>
        <v>0</v>
      </c>
      <c r="CH1002" s="1125">
        <f t="shared" si="1185"/>
        <v>0</v>
      </c>
      <c r="CI1002" s="1125">
        <f t="shared" si="1186"/>
        <v>0.85</v>
      </c>
      <c r="CJ1002" s="1125">
        <f t="shared" si="1187"/>
        <v>0.85</v>
      </c>
      <c r="CK1002" s="1125">
        <f t="shared" si="1188"/>
        <v>0.85</v>
      </c>
      <c r="CL1002" s="1125">
        <f t="shared" si="1189"/>
        <v>0.85</v>
      </c>
      <c r="CM1002" s="1125">
        <f t="shared" si="1190"/>
        <v>0.85</v>
      </c>
      <c r="CN1002" s="1125">
        <f t="shared" si="1191"/>
        <v>0.85</v>
      </c>
      <c r="CO1002" s="1125">
        <f t="shared" si="1192"/>
        <v>0.85</v>
      </c>
      <c r="CP1002" s="1125">
        <f t="shared" si="1193"/>
        <v>0.7</v>
      </c>
      <c r="CQ1002" s="1125">
        <f t="shared" si="1194"/>
        <v>0.85</v>
      </c>
      <c r="CR1002" s="1125">
        <f t="shared" si="1195"/>
        <v>0.85</v>
      </c>
      <c r="CS1002" s="1125">
        <f t="shared" si="1196"/>
        <v>0.85</v>
      </c>
      <c r="CT1002" s="1125">
        <f t="shared" si="1197"/>
        <v>0.85</v>
      </c>
      <c r="CU1002" s="1125">
        <v>1</v>
      </c>
      <c r="CV1002" s="1125"/>
      <c r="CW1002" s="1125">
        <f t="shared" si="1198"/>
        <v>122</v>
      </c>
      <c r="CX1002" s="1125">
        <f t="shared" si="1199"/>
        <v>243</v>
      </c>
      <c r="CY1002" s="1136" t="s">
        <v>4889</v>
      </c>
      <c r="CZ1002" s="1129" t="s">
        <v>4897</v>
      </c>
      <c r="DA1002" s="1129"/>
      <c r="DB1002" s="1129"/>
      <c r="DC1002" s="1125" t="s">
        <v>5278</v>
      </c>
      <c r="DD1002" s="1125" t="s">
        <v>250</v>
      </c>
      <c r="DE1002" s="1120" t="str">
        <f t="shared" si="1200"/>
        <v/>
      </c>
      <c r="DF1002" s="1133">
        <v>0</v>
      </c>
      <c r="DG1002" s="1120">
        <v>0</v>
      </c>
    </row>
    <row r="1003" spans="1:111">
      <c r="A1003" s="1125" t="s">
        <v>4669</v>
      </c>
      <c r="B1003" s="1120" t="s">
        <v>4687</v>
      </c>
      <c r="C1003" s="1120" t="s">
        <v>4688</v>
      </c>
      <c r="D1003" s="1120" t="s">
        <v>904</v>
      </c>
      <c r="E1003" s="1120">
        <v>4244</v>
      </c>
      <c r="F1003" s="1120">
        <v>-107.95</v>
      </c>
      <c r="G1003" s="1120">
        <v>43.97</v>
      </c>
      <c r="H1003" s="1120">
        <v>-7</v>
      </c>
      <c r="I1003" s="1121">
        <v>-9.5800006866455085</v>
      </c>
      <c r="J1003" s="1121">
        <v>93.020002746582037</v>
      </c>
      <c r="K1003" s="1122">
        <v>62.780000686645508</v>
      </c>
      <c r="L1003" s="1120">
        <v>7293.6</v>
      </c>
      <c r="M1003" s="1120">
        <v>662.4</v>
      </c>
      <c r="N1003" s="1123">
        <v>19.759999656677245</v>
      </c>
      <c r="O1003" s="1123">
        <v>24.440000343322755</v>
      </c>
      <c r="P1003" s="1123">
        <v>37.579999828338622</v>
      </c>
      <c r="Q1003" s="1123">
        <v>46.759999656677245</v>
      </c>
      <c r="R1003" s="1123">
        <v>54.680000686645506</v>
      </c>
      <c r="S1003" s="1123">
        <v>64.580000686645505</v>
      </c>
      <c r="T1003" s="1123">
        <v>71.060001373291016</v>
      </c>
      <c r="U1003" s="1123">
        <v>74.119999313354498</v>
      </c>
      <c r="V1003" s="1123">
        <v>61.880000686645509</v>
      </c>
      <c r="W1003" s="1123">
        <v>46.220000171661376</v>
      </c>
      <c r="X1003" s="1123">
        <v>32.9</v>
      </c>
      <c r="Y1003" s="1123">
        <v>19.579999828338622</v>
      </c>
      <c r="Z1003" s="1123">
        <v>46.249096074300269</v>
      </c>
      <c r="AA1003" s="1123">
        <f t="shared" si="1126"/>
        <v>42.509739443253466</v>
      </c>
      <c r="AB1003" s="1123">
        <f t="shared" si="1127"/>
        <v>40.740675443030369</v>
      </c>
      <c r="AC1003" s="1123">
        <f t="shared" si="1128"/>
        <v>41.971458630478047</v>
      </c>
      <c r="AD1003" s="1123">
        <f t="shared" si="1129"/>
        <v>45.881266400845206</v>
      </c>
      <c r="AE1003" s="1123">
        <f t="shared" si="1130"/>
        <v>51.45094710682411</v>
      </c>
      <c r="AF1003" s="1123">
        <f t="shared" si="1131"/>
        <v>57.228677641023573</v>
      </c>
      <c r="AG1003" s="1123">
        <f t="shared" si="1132"/>
        <v>61.708403502181831</v>
      </c>
      <c r="AH1003" s="1123">
        <f t="shared" si="1133"/>
        <v>63.722415109922807</v>
      </c>
      <c r="AI1003" s="1123">
        <f t="shared" si="1134"/>
        <v>62.745729301830465</v>
      </c>
      <c r="AJ1003" s="1123">
        <f t="shared" si="1135"/>
        <v>59.032934284967958</v>
      </c>
      <c r="AK1003" s="1123">
        <f t="shared" si="1136"/>
        <v>53.551827296383635</v>
      </c>
      <c r="AL1003" s="1123">
        <f t="shared" si="1137"/>
        <v>47.731143339067458</v>
      </c>
      <c r="AM1003" s="1120">
        <f t="shared" si="1138"/>
        <v>1</v>
      </c>
      <c r="AN1003" s="1120">
        <f t="shared" si="1139"/>
        <v>1</v>
      </c>
      <c r="AO1003" s="1120">
        <f t="shared" si="1140"/>
        <v>1</v>
      </c>
      <c r="AP1003" s="1120">
        <f t="shared" si="1141"/>
        <v>1</v>
      </c>
      <c r="AQ1003" s="1120">
        <f t="shared" si="1142"/>
        <v>1</v>
      </c>
      <c r="AR1003" s="1120">
        <f t="shared" si="1143"/>
        <v>1</v>
      </c>
      <c r="AS1003" s="1120">
        <f t="shared" si="1144"/>
        <v>0</v>
      </c>
      <c r="AT1003" s="1120">
        <f t="shared" si="1145"/>
        <v>0</v>
      </c>
      <c r="AU1003" s="1120">
        <f t="shared" si="1146"/>
        <v>1</v>
      </c>
      <c r="AV1003" s="1120">
        <f t="shared" si="1147"/>
        <v>1</v>
      </c>
      <c r="AW1003" s="1120">
        <f t="shared" si="1148"/>
        <v>1</v>
      </c>
      <c r="AX1003" s="1120">
        <f t="shared" si="1149"/>
        <v>1</v>
      </c>
      <c r="AY1003" s="1120">
        <f t="shared" si="1150"/>
        <v>0</v>
      </c>
      <c r="AZ1003" s="1120">
        <f t="shared" si="1151"/>
        <v>0</v>
      </c>
      <c r="BA1003" s="1120">
        <f t="shared" si="1152"/>
        <v>0</v>
      </c>
      <c r="BB1003" s="1120">
        <f t="shared" si="1153"/>
        <v>0</v>
      </c>
      <c r="BC1003" s="1120">
        <f t="shared" si="1154"/>
        <v>0</v>
      </c>
      <c r="BD1003" s="1120">
        <f t="shared" si="1155"/>
        <v>0</v>
      </c>
      <c r="BE1003" s="1120">
        <f t="shared" si="1156"/>
        <v>1</v>
      </c>
      <c r="BF1003" s="1120">
        <f t="shared" si="1157"/>
        <v>1</v>
      </c>
      <c r="BG1003" s="1120">
        <f t="shared" si="1158"/>
        <v>0</v>
      </c>
      <c r="BH1003" s="1120">
        <f t="shared" si="1159"/>
        <v>0</v>
      </c>
      <c r="BI1003" s="1120">
        <f t="shared" si="1160"/>
        <v>0</v>
      </c>
      <c r="BJ1003" s="1120">
        <f t="shared" si="1161"/>
        <v>0</v>
      </c>
      <c r="BK1003" s="1120">
        <f t="shared" si="1162"/>
        <v>1</v>
      </c>
      <c r="BL1003" s="1120">
        <f t="shared" si="1163"/>
        <v>1</v>
      </c>
      <c r="BM1003" s="1120">
        <f t="shared" si="1164"/>
        <v>1</v>
      </c>
      <c r="BN1003" s="1120">
        <f t="shared" si="1165"/>
        <v>1</v>
      </c>
      <c r="BO1003" s="1120">
        <f t="shared" si="1166"/>
        <v>1</v>
      </c>
      <c r="BP1003" s="1120">
        <f t="shared" si="1167"/>
        <v>1</v>
      </c>
      <c r="BQ1003" s="1120">
        <f t="shared" si="1168"/>
        <v>1</v>
      </c>
      <c r="BR1003" s="1120">
        <f t="shared" si="1169"/>
        <v>0</v>
      </c>
      <c r="BS1003" s="1120">
        <f t="shared" si="1170"/>
        <v>1</v>
      </c>
      <c r="BT1003" s="1120">
        <f t="shared" si="1171"/>
        <v>1</v>
      </c>
      <c r="BU1003" s="1120">
        <f t="shared" si="1172"/>
        <v>1</v>
      </c>
      <c r="BV1003" s="1120">
        <f t="shared" si="1173"/>
        <v>1</v>
      </c>
      <c r="BW1003" s="1120">
        <f t="shared" si="1174"/>
        <v>0</v>
      </c>
      <c r="BX1003" s="1120">
        <f t="shared" si="1175"/>
        <v>0</v>
      </c>
      <c r="BY1003" s="1120">
        <f t="shared" si="1176"/>
        <v>0</v>
      </c>
      <c r="BZ1003" s="1120">
        <f t="shared" si="1177"/>
        <v>0</v>
      </c>
      <c r="CA1003" s="1120">
        <f t="shared" si="1178"/>
        <v>0</v>
      </c>
      <c r="CB1003" s="1120">
        <f t="shared" si="1179"/>
        <v>1</v>
      </c>
      <c r="CC1003" s="1120">
        <f t="shared" si="1180"/>
        <v>1</v>
      </c>
      <c r="CD1003" s="1120">
        <f t="shared" si="1181"/>
        <v>1</v>
      </c>
      <c r="CE1003" s="1120">
        <f t="shared" si="1182"/>
        <v>1</v>
      </c>
      <c r="CF1003" s="1120">
        <f t="shared" si="1183"/>
        <v>0</v>
      </c>
      <c r="CG1003" s="1120">
        <f t="shared" si="1184"/>
        <v>0</v>
      </c>
      <c r="CH1003" s="1120">
        <f t="shared" si="1185"/>
        <v>0</v>
      </c>
      <c r="CI1003" s="1120">
        <f t="shared" si="1186"/>
        <v>0.85</v>
      </c>
      <c r="CJ1003" s="1120">
        <f t="shared" si="1187"/>
        <v>0.85</v>
      </c>
      <c r="CK1003" s="1120">
        <f t="shared" si="1188"/>
        <v>0.85</v>
      </c>
      <c r="CL1003" s="1120">
        <f t="shared" si="1189"/>
        <v>0.85</v>
      </c>
      <c r="CM1003" s="1120">
        <f t="shared" si="1190"/>
        <v>0.85</v>
      </c>
      <c r="CN1003" s="1120">
        <f t="shared" si="1191"/>
        <v>0.85</v>
      </c>
      <c r="CO1003" s="1120">
        <f t="shared" si="1192"/>
        <v>0.85</v>
      </c>
      <c r="CP1003" s="1120">
        <f t="shared" si="1193"/>
        <v>0.7</v>
      </c>
      <c r="CQ1003" s="1120">
        <f t="shared" si="1194"/>
        <v>0.85</v>
      </c>
      <c r="CR1003" s="1120">
        <f t="shared" si="1195"/>
        <v>0.85</v>
      </c>
      <c r="CS1003" s="1120">
        <f t="shared" si="1196"/>
        <v>0.85</v>
      </c>
      <c r="CT1003" s="1120">
        <f t="shared" si="1197"/>
        <v>0.85</v>
      </c>
      <c r="CU1003" s="1120">
        <v>1</v>
      </c>
      <c r="CV1003" s="1120"/>
      <c r="CW1003" s="1120">
        <f t="shared" si="1198"/>
        <v>122</v>
      </c>
      <c r="CX1003" s="1120">
        <f t="shared" si="1199"/>
        <v>243</v>
      </c>
      <c r="CY1003" s="1136" t="s">
        <v>4889</v>
      </c>
      <c r="CZ1003" s="1129" t="s">
        <v>4896</v>
      </c>
      <c r="DA1003" s="1129"/>
      <c r="DB1003" s="1129"/>
      <c r="DC1003" s="1125" t="s">
        <v>5704</v>
      </c>
      <c r="DD1003" s="1125" t="s">
        <v>904</v>
      </c>
      <c r="DE1003" s="1120" t="str">
        <f t="shared" si="1200"/>
        <v/>
      </c>
      <c r="DF1003" s="1133">
        <v>0</v>
      </c>
      <c r="DG1003" s="1125">
        <v>0</v>
      </c>
    </row>
    <row r="1004" spans="1:111">
      <c r="A1004" s="1120" t="s">
        <v>4671</v>
      </c>
      <c r="B1004" s="1120" t="s">
        <v>5896</v>
      </c>
      <c r="C1004" s="1120" t="s">
        <v>5897</v>
      </c>
      <c r="D1004" s="1120" t="s">
        <v>934</v>
      </c>
      <c r="E1004" s="1120">
        <v>1574</v>
      </c>
      <c r="F1004" s="1120">
        <v>-95.58</v>
      </c>
      <c r="G1004" s="1120">
        <v>43.65</v>
      </c>
      <c r="H1004" s="1120">
        <v>-6</v>
      </c>
      <c r="I1004" s="1121">
        <v>-6.5199993133544929</v>
      </c>
      <c r="J1004" s="1121">
        <v>85.1</v>
      </c>
      <c r="K1004" s="1122">
        <v>70.880000686645502</v>
      </c>
      <c r="L1004" s="1120">
        <v>7655.4000000000005</v>
      </c>
      <c r="M1004" s="1120">
        <v>718.2</v>
      </c>
      <c r="N1004" s="1123">
        <v>13.819999313354492</v>
      </c>
      <c r="O1004" s="1123">
        <v>27.139999914169312</v>
      </c>
      <c r="P1004" s="1123">
        <v>25.7</v>
      </c>
      <c r="Q1004" s="1123">
        <v>44.959999656677248</v>
      </c>
      <c r="R1004" s="1123">
        <v>58.280000686645508</v>
      </c>
      <c r="S1004" s="1123">
        <v>67.280000686645508</v>
      </c>
      <c r="T1004" s="1123">
        <v>72.680000686645513</v>
      </c>
      <c r="U1004" s="1123">
        <v>70.33999862670899</v>
      </c>
      <c r="V1004" s="1123">
        <v>64.760001373291018</v>
      </c>
      <c r="W1004" s="1123">
        <v>45.859999656677246</v>
      </c>
      <c r="X1004" s="1123">
        <v>31.459999978542328</v>
      </c>
      <c r="Y1004" s="1123">
        <v>21.379999828338622</v>
      </c>
      <c r="Z1004" s="1123">
        <v>45.37967126356412</v>
      </c>
      <c r="AA1004" s="1123">
        <f t="shared" si="1126"/>
        <v>41.18366742230635</v>
      </c>
      <c r="AB1004" s="1123">
        <f t="shared" si="1127"/>
        <v>39.225260880484136</v>
      </c>
      <c r="AC1004" s="1123">
        <f t="shared" si="1128"/>
        <v>40.435088710145401</v>
      </c>
      <c r="AD1004" s="1123">
        <f t="shared" si="1129"/>
        <v>44.497790643477735</v>
      </c>
      <c r="AE1004" s="1123">
        <f t="shared" si="1130"/>
        <v>50.35436081342614</v>
      </c>
      <c r="AF1004" s="1123">
        <f t="shared" si="1131"/>
        <v>56.478193952715323</v>
      </c>
      <c r="AG1004" s="1123">
        <f t="shared" si="1132"/>
        <v>61.273018582464289</v>
      </c>
      <c r="AH1004" s="1123">
        <f t="shared" si="1133"/>
        <v>63.488989772444789</v>
      </c>
      <c r="AI1004" s="1123">
        <f t="shared" si="1134"/>
        <v>62.54848048283867</v>
      </c>
      <c r="AJ1004" s="1123">
        <f t="shared" si="1135"/>
        <v>58.696648953668657</v>
      </c>
      <c r="AK1004" s="1123">
        <f t="shared" si="1136"/>
        <v>52.937534431533535</v>
      </c>
      <c r="AL1004" s="1123">
        <f t="shared" si="1137"/>
        <v>46.772338867269056</v>
      </c>
      <c r="AM1004" s="1120">
        <f t="shared" si="1138"/>
        <v>1</v>
      </c>
      <c r="AN1004" s="1120">
        <f t="shared" si="1139"/>
        <v>1</v>
      </c>
      <c r="AO1004" s="1120">
        <f t="shared" si="1140"/>
        <v>1</v>
      </c>
      <c r="AP1004" s="1120">
        <f t="shared" si="1141"/>
        <v>1</v>
      </c>
      <c r="AQ1004" s="1120">
        <f t="shared" si="1142"/>
        <v>1</v>
      </c>
      <c r="AR1004" s="1120">
        <f t="shared" si="1143"/>
        <v>0</v>
      </c>
      <c r="AS1004" s="1120">
        <f t="shared" si="1144"/>
        <v>0</v>
      </c>
      <c r="AT1004" s="1120">
        <f t="shared" si="1145"/>
        <v>0</v>
      </c>
      <c r="AU1004" s="1120">
        <f t="shared" si="1146"/>
        <v>1</v>
      </c>
      <c r="AV1004" s="1120">
        <f t="shared" si="1147"/>
        <v>1</v>
      </c>
      <c r="AW1004" s="1120">
        <f t="shared" si="1148"/>
        <v>1</v>
      </c>
      <c r="AX1004" s="1120">
        <f t="shared" si="1149"/>
        <v>1</v>
      </c>
      <c r="AY1004" s="1120">
        <f t="shared" si="1150"/>
        <v>0</v>
      </c>
      <c r="AZ1004" s="1120">
        <f t="shared" si="1151"/>
        <v>0</v>
      </c>
      <c r="BA1004" s="1120">
        <f t="shared" si="1152"/>
        <v>0</v>
      </c>
      <c r="BB1004" s="1120">
        <f t="shared" si="1153"/>
        <v>0</v>
      </c>
      <c r="BC1004" s="1120">
        <f t="shared" si="1154"/>
        <v>0</v>
      </c>
      <c r="BD1004" s="1120">
        <f t="shared" si="1155"/>
        <v>1</v>
      </c>
      <c r="BE1004" s="1120">
        <f t="shared" si="1156"/>
        <v>1</v>
      </c>
      <c r="BF1004" s="1120">
        <f t="shared" si="1157"/>
        <v>1</v>
      </c>
      <c r="BG1004" s="1120">
        <f t="shared" si="1158"/>
        <v>0</v>
      </c>
      <c r="BH1004" s="1120">
        <f t="shared" si="1159"/>
        <v>0</v>
      </c>
      <c r="BI1004" s="1120">
        <f t="shared" si="1160"/>
        <v>0</v>
      </c>
      <c r="BJ1004" s="1120">
        <f t="shared" si="1161"/>
        <v>0</v>
      </c>
      <c r="BK1004" s="1120">
        <f t="shared" si="1162"/>
        <v>1</v>
      </c>
      <c r="BL1004" s="1120">
        <f t="shared" si="1163"/>
        <v>1</v>
      </c>
      <c r="BM1004" s="1120">
        <f t="shared" si="1164"/>
        <v>1</v>
      </c>
      <c r="BN1004" s="1120">
        <f t="shared" si="1165"/>
        <v>1</v>
      </c>
      <c r="BO1004" s="1120">
        <f t="shared" si="1166"/>
        <v>1</v>
      </c>
      <c r="BP1004" s="1120">
        <f t="shared" si="1167"/>
        <v>1</v>
      </c>
      <c r="BQ1004" s="1120">
        <f t="shared" si="1168"/>
        <v>0</v>
      </c>
      <c r="BR1004" s="1120">
        <f t="shared" si="1169"/>
        <v>0</v>
      </c>
      <c r="BS1004" s="1120">
        <f t="shared" si="1170"/>
        <v>1</v>
      </c>
      <c r="BT1004" s="1120">
        <f t="shared" si="1171"/>
        <v>1</v>
      </c>
      <c r="BU1004" s="1120">
        <f t="shared" si="1172"/>
        <v>1</v>
      </c>
      <c r="BV1004" s="1120">
        <f t="shared" si="1173"/>
        <v>1</v>
      </c>
      <c r="BW1004" s="1120">
        <f t="shared" si="1174"/>
        <v>0</v>
      </c>
      <c r="BX1004" s="1120">
        <f t="shared" si="1175"/>
        <v>0</v>
      </c>
      <c r="BY1004" s="1120">
        <f t="shared" si="1176"/>
        <v>0</v>
      </c>
      <c r="BZ1004" s="1120">
        <f t="shared" si="1177"/>
        <v>0</v>
      </c>
      <c r="CA1004" s="1120">
        <f t="shared" si="1178"/>
        <v>1</v>
      </c>
      <c r="CB1004" s="1120">
        <f t="shared" si="1179"/>
        <v>1</v>
      </c>
      <c r="CC1004" s="1120">
        <f t="shared" si="1180"/>
        <v>1</v>
      </c>
      <c r="CD1004" s="1120">
        <f t="shared" si="1181"/>
        <v>1</v>
      </c>
      <c r="CE1004" s="1120">
        <f t="shared" si="1182"/>
        <v>1</v>
      </c>
      <c r="CF1004" s="1120">
        <f t="shared" si="1183"/>
        <v>0</v>
      </c>
      <c r="CG1004" s="1120">
        <f t="shared" si="1184"/>
        <v>0</v>
      </c>
      <c r="CH1004" s="1120">
        <f t="shared" si="1185"/>
        <v>0</v>
      </c>
      <c r="CI1004" s="1120">
        <f t="shared" si="1186"/>
        <v>0.85</v>
      </c>
      <c r="CJ1004" s="1120">
        <f t="shared" si="1187"/>
        <v>0.85</v>
      </c>
      <c r="CK1004" s="1120">
        <f t="shared" si="1188"/>
        <v>0.85</v>
      </c>
      <c r="CL1004" s="1120">
        <f t="shared" si="1189"/>
        <v>0.85</v>
      </c>
      <c r="CM1004" s="1120">
        <f t="shared" si="1190"/>
        <v>0.85</v>
      </c>
      <c r="CN1004" s="1120">
        <f t="shared" si="1191"/>
        <v>0.85</v>
      </c>
      <c r="CO1004" s="1120">
        <f t="shared" si="1192"/>
        <v>0.7</v>
      </c>
      <c r="CP1004" s="1120">
        <f t="shared" si="1193"/>
        <v>0.7</v>
      </c>
      <c r="CQ1004" s="1120">
        <f t="shared" si="1194"/>
        <v>0.85</v>
      </c>
      <c r="CR1004" s="1120">
        <f t="shared" si="1195"/>
        <v>0.85</v>
      </c>
      <c r="CS1004" s="1120">
        <f t="shared" si="1196"/>
        <v>0.85</v>
      </c>
      <c r="CT1004" s="1120">
        <f t="shared" si="1197"/>
        <v>0.85</v>
      </c>
      <c r="CU1004" s="1120">
        <v>1</v>
      </c>
      <c r="CV1004" s="1120"/>
      <c r="CW1004" s="1120">
        <f t="shared" si="1198"/>
        <v>153</v>
      </c>
      <c r="CX1004" s="1120">
        <f t="shared" si="1199"/>
        <v>212</v>
      </c>
      <c r="CY1004" s="1135" t="s">
        <v>4889</v>
      </c>
      <c r="CZ1004" s="1124" t="s">
        <v>4899</v>
      </c>
      <c r="DA1004" s="1124"/>
      <c r="DB1004" s="1124"/>
      <c r="DC1004" s="1120" t="s">
        <v>5766</v>
      </c>
      <c r="DD1004" s="1120" t="s">
        <v>934</v>
      </c>
      <c r="DE1004" s="1120" t="str">
        <f t="shared" si="1200"/>
        <v/>
      </c>
      <c r="DF1004" s="1133">
        <v>0</v>
      </c>
      <c r="DG1004" s="1120">
        <v>0</v>
      </c>
    </row>
    <row r="1005" spans="1:111">
      <c r="A1005" s="1125" t="s">
        <v>4675</v>
      </c>
      <c r="B1005" s="1120" t="s">
        <v>64</v>
      </c>
      <c r="C1005" s="1120" t="s">
        <v>65</v>
      </c>
      <c r="D1005" s="1120" t="s">
        <v>953</v>
      </c>
      <c r="E1005" s="1120">
        <v>43</v>
      </c>
      <c r="F1005" s="1120">
        <v>-132.37</v>
      </c>
      <c r="G1005" s="1120">
        <v>56.48</v>
      </c>
      <c r="H1005" s="1120">
        <v>-9</v>
      </c>
      <c r="I1005" s="1121">
        <v>15.259999656677246</v>
      </c>
      <c r="J1005" s="1121">
        <v>67.639998626708987</v>
      </c>
      <c r="K1005" s="1122">
        <v>57.559999656677249</v>
      </c>
      <c r="L1005" s="1120">
        <v>7792.2</v>
      </c>
      <c r="M1005" s="1120">
        <v>9</v>
      </c>
      <c r="N1005" s="1123">
        <v>30.2</v>
      </c>
      <c r="O1005" s="1123">
        <v>32.720000010728839</v>
      </c>
      <c r="P1005" s="1123">
        <v>35.779999828338624</v>
      </c>
      <c r="Q1005" s="1123">
        <v>41</v>
      </c>
      <c r="R1005" s="1123">
        <v>44.420000171661378</v>
      </c>
      <c r="S1005" s="1123">
        <v>54.319999313354494</v>
      </c>
      <c r="T1005" s="1123">
        <v>56.3</v>
      </c>
      <c r="U1005" s="1123">
        <v>58.459999656677248</v>
      </c>
      <c r="V1005" s="1123">
        <v>51.080000686645505</v>
      </c>
      <c r="W1005" s="1123">
        <v>44.059999656677249</v>
      </c>
      <c r="X1005" s="1123">
        <v>36.5</v>
      </c>
      <c r="Y1005" s="1123">
        <v>31.279999989271165</v>
      </c>
      <c r="Z1005" s="1123">
        <v>43.064821859402201</v>
      </c>
      <c r="AA1005" s="1123">
        <f t="shared" si="1126"/>
        <v>44.567222480981634</v>
      </c>
      <c r="AB1005" s="1123">
        <f t="shared" si="1127"/>
        <v>43.573729725638891</v>
      </c>
      <c r="AC1005" s="1123">
        <f t="shared" si="1128"/>
        <v>44.011574755252774</v>
      </c>
      <c r="AD1005" s="1123">
        <f t="shared" si="1129"/>
        <v>45.76662651545827</v>
      </c>
      <c r="AE1005" s="1123">
        <f t="shared" si="1130"/>
        <v>48.381403718791518</v>
      </c>
      <c r="AF1005" s="1123">
        <f t="shared" si="1131"/>
        <v>51.17432439226728</v>
      </c>
      <c r="AG1005" s="1123">
        <f t="shared" si="1132"/>
        <v>53.417370722133704</v>
      </c>
      <c r="AH1005" s="1123">
        <f t="shared" si="1133"/>
        <v>54.525858116120851</v>
      </c>
      <c r="AI1005" s="1123">
        <f t="shared" si="1134"/>
        <v>54.210842252678155</v>
      </c>
      <c r="AJ1005" s="1123">
        <f t="shared" si="1135"/>
        <v>52.554436871153349</v>
      </c>
      <c r="AK1005" s="1123">
        <f t="shared" si="1136"/>
        <v>49.988409560220475</v>
      </c>
      <c r="AL1005" s="1123">
        <f t="shared" si="1137"/>
        <v>47.181634882152018</v>
      </c>
      <c r="AM1005" s="1120">
        <f t="shared" si="1138"/>
        <v>1</v>
      </c>
      <c r="AN1005" s="1120">
        <f t="shared" si="1139"/>
        <v>1</v>
      </c>
      <c r="AO1005" s="1120">
        <f t="shared" si="1140"/>
        <v>1</v>
      </c>
      <c r="AP1005" s="1120">
        <f t="shared" si="1141"/>
        <v>1</v>
      </c>
      <c r="AQ1005" s="1120">
        <f t="shared" si="1142"/>
        <v>1</v>
      </c>
      <c r="AR1005" s="1120">
        <f t="shared" si="1143"/>
        <v>1</v>
      </c>
      <c r="AS1005" s="1120">
        <f t="shared" si="1144"/>
        <v>1</v>
      </c>
      <c r="AT1005" s="1120">
        <f t="shared" si="1145"/>
        <v>1</v>
      </c>
      <c r="AU1005" s="1120">
        <f t="shared" si="1146"/>
        <v>1</v>
      </c>
      <c r="AV1005" s="1120">
        <f t="shared" si="1147"/>
        <v>1</v>
      </c>
      <c r="AW1005" s="1120">
        <f t="shared" si="1148"/>
        <v>1</v>
      </c>
      <c r="AX1005" s="1120">
        <f t="shared" si="1149"/>
        <v>1</v>
      </c>
      <c r="AY1005" s="1120">
        <f t="shared" si="1150"/>
        <v>0</v>
      </c>
      <c r="AZ1005" s="1120">
        <f t="shared" si="1151"/>
        <v>0</v>
      </c>
      <c r="BA1005" s="1120">
        <f t="shared" si="1152"/>
        <v>0</v>
      </c>
      <c r="BB1005" s="1120">
        <f t="shared" si="1153"/>
        <v>0</v>
      </c>
      <c r="BC1005" s="1120">
        <f t="shared" si="1154"/>
        <v>0</v>
      </c>
      <c r="BD1005" s="1120">
        <f t="shared" si="1155"/>
        <v>0</v>
      </c>
      <c r="BE1005" s="1120">
        <f t="shared" si="1156"/>
        <v>1</v>
      </c>
      <c r="BF1005" s="1120">
        <f t="shared" si="1157"/>
        <v>1</v>
      </c>
      <c r="BG1005" s="1120">
        <f t="shared" si="1158"/>
        <v>0</v>
      </c>
      <c r="BH1005" s="1120">
        <f t="shared" si="1159"/>
        <v>0</v>
      </c>
      <c r="BI1005" s="1120">
        <f t="shared" si="1160"/>
        <v>0</v>
      </c>
      <c r="BJ1005" s="1120">
        <f t="shared" si="1161"/>
        <v>0</v>
      </c>
      <c r="BK1005" s="1120">
        <f t="shared" si="1162"/>
        <v>1</v>
      </c>
      <c r="BL1005" s="1120">
        <f t="shared" si="1163"/>
        <v>1</v>
      </c>
      <c r="BM1005" s="1120">
        <f t="shared" si="1164"/>
        <v>1</v>
      </c>
      <c r="BN1005" s="1120">
        <f t="shared" si="1165"/>
        <v>1</v>
      </c>
      <c r="BO1005" s="1120">
        <f t="shared" si="1166"/>
        <v>1</v>
      </c>
      <c r="BP1005" s="1120">
        <f t="shared" si="1167"/>
        <v>1</v>
      </c>
      <c r="BQ1005" s="1120">
        <f t="shared" si="1168"/>
        <v>1</v>
      </c>
      <c r="BR1005" s="1120">
        <f t="shared" si="1169"/>
        <v>1</v>
      </c>
      <c r="BS1005" s="1120">
        <f t="shared" si="1170"/>
        <v>1</v>
      </c>
      <c r="BT1005" s="1120">
        <f t="shared" si="1171"/>
        <v>1</v>
      </c>
      <c r="BU1005" s="1120">
        <f t="shared" si="1172"/>
        <v>1</v>
      </c>
      <c r="BV1005" s="1120">
        <f t="shared" si="1173"/>
        <v>1</v>
      </c>
      <c r="BW1005" s="1120">
        <f t="shared" si="1174"/>
        <v>0</v>
      </c>
      <c r="BX1005" s="1120">
        <f t="shared" si="1175"/>
        <v>0</v>
      </c>
      <c r="BY1005" s="1120">
        <f t="shared" si="1176"/>
        <v>0</v>
      </c>
      <c r="BZ1005" s="1120">
        <f t="shared" si="1177"/>
        <v>0</v>
      </c>
      <c r="CA1005" s="1120">
        <f t="shared" si="1178"/>
        <v>0</v>
      </c>
      <c r="CB1005" s="1120">
        <f t="shared" si="1179"/>
        <v>0</v>
      </c>
      <c r="CC1005" s="1120">
        <f t="shared" si="1180"/>
        <v>1</v>
      </c>
      <c r="CD1005" s="1120">
        <f t="shared" si="1181"/>
        <v>1</v>
      </c>
      <c r="CE1005" s="1120">
        <f t="shared" si="1182"/>
        <v>0</v>
      </c>
      <c r="CF1005" s="1120">
        <f t="shared" si="1183"/>
        <v>0</v>
      </c>
      <c r="CG1005" s="1120">
        <f t="shared" si="1184"/>
        <v>0</v>
      </c>
      <c r="CH1005" s="1120">
        <f t="shared" si="1185"/>
        <v>0</v>
      </c>
      <c r="CI1005" s="1120">
        <f t="shared" si="1186"/>
        <v>0.85</v>
      </c>
      <c r="CJ1005" s="1120">
        <f t="shared" si="1187"/>
        <v>0.85</v>
      </c>
      <c r="CK1005" s="1120">
        <f t="shared" si="1188"/>
        <v>0.85</v>
      </c>
      <c r="CL1005" s="1120">
        <f t="shared" si="1189"/>
        <v>0.85</v>
      </c>
      <c r="CM1005" s="1120">
        <f t="shared" si="1190"/>
        <v>0.85</v>
      </c>
      <c r="CN1005" s="1120">
        <f t="shared" si="1191"/>
        <v>0.85</v>
      </c>
      <c r="CO1005" s="1120">
        <f t="shared" si="1192"/>
        <v>0.85</v>
      </c>
      <c r="CP1005" s="1120">
        <f t="shared" si="1193"/>
        <v>0.85</v>
      </c>
      <c r="CQ1005" s="1120">
        <f t="shared" si="1194"/>
        <v>0.85</v>
      </c>
      <c r="CR1005" s="1120">
        <f t="shared" si="1195"/>
        <v>0.85</v>
      </c>
      <c r="CS1005" s="1120">
        <f t="shared" si="1196"/>
        <v>0.85</v>
      </c>
      <c r="CT1005" s="1120">
        <f t="shared" si="1197"/>
        <v>0.85</v>
      </c>
      <c r="CU1005" s="1120">
        <v>1</v>
      </c>
      <c r="CV1005" s="1120"/>
      <c r="CW1005" s="1120">
        <f t="shared" si="1198"/>
        <v>62</v>
      </c>
      <c r="CX1005" s="1120">
        <f t="shared" si="1199"/>
        <v>303</v>
      </c>
      <c r="CY1005" s="1135" t="s">
        <v>4879</v>
      </c>
      <c r="CZ1005" s="1124">
        <v>7</v>
      </c>
      <c r="DA1005" s="1124"/>
      <c r="DB1005" s="1124"/>
      <c r="DC1005" s="1120" t="s">
        <v>4972</v>
      </c>
      <c r="DD1005" s="1120" t="s">
        <v>953</v>
      </c>
      <c r="DE1005" s="1120" t="str">
        <f t="shared" si="1200"/>
        <v/>
      </c>
      <c r="DF1005" s="1120">
        <v>1</v>
      </c>
      <c r="DG1005" s="1125">
        <v>0</v>
      </c>
    </row>
    <row r="1006" spans="1:111">
      <c r="A1006" s="1120" t="s">
        <v>4677</v>
      </c>
      <c r="B1006" s="1120" t="s">
        <v>4604</v>
      </c>
      <c r="C1006" s="1120" t="s">
        <v>4605</v>
      </c>
      <c r="D1006" s="1120" t="s">
        <v>238</v>
      </c>
      <c r="E1006" s="1120">
        <v>1063</v>
      </c>
      <c r="F1006" s="1120">
        <v>-120.55</v>
      </c>
      <c r="G1006" s="1120">
        <v>46.57</v>
      </c>
      <c r="H1006" s="1120">
        <v>-8</v>
      </c>
      <c r="I1006" s="1121">
        <v>12.019999313354491</v>
      </c>
      <c r="J1006" s="1121">
        <v>92.479997253417977</v>
      </c>
      <c r="K1006" s="1122">
        <v>65.3</v>
      </c>
      <c r="L1006" s="1120">
        <v>5821.2</v>
      </c>
      <c r="M1006" s="1120">
        <v>545.4</v>
      </c>
      <c r="N1006" s="1123">
        <v>29.480000042915343</v>
      </c>
      <c r="O1006" s="1123">
        <v>36.5</v>
      </c>
      <c r="P1006" s="1123">
        <v>42.620000171661374</v>
      </c>
      <c r="Q1006" s="1123">
        <v>52.880000686645509</v>
      </c>
      <c r="R1006" s="1123">
        <v>57.559999656677249</v>
      </c>
      <c r="S1006" s="1123">
        <v>66.560001373291016</v>
      </c>
      <c r="T1006" s="1123">
        <v>72.139998626708987</v>
      </c>
      <c r="U1006" s="1123">
        <v>67.460001373291021</v>
      </c>
      <c r="V1006" s="1123">
        <v>60.259999656677245</v>
      </c>
      <c r="W1006" s="1123">
        <v>48.380000686645509</v>
      </c>
      <c r="X1006" s="1123">
        <v>36.5</v>
      </c>
      <c r="Y1006" s="1123">
        <v>28.4</v>
      </c>
      <c r="Z1006" s="1123">
        <v>49.959561832310399</v>
      </c>
      <c r="AA1006" s="1123">
        <f t="shared" si="1126"/>
        <v>47.137488508409689</v>
      </c>
      <c r="AB1006" s="1123">
        <f t="shared" si="1127"/>
        <v>45.909576349698689</v>
      </c>
      <c r="AC1006" s="1123">
        <f t="shared" si="1128"/>
        <v>47.30134778199475</v>
      </c>
      <c r="AD1006" s="1123">
        <f t="shared" si="1129"/>
        <v>50.950016133622903</v>
      </c>
      <c r="AE1006" s="1123">
        <f t="shared" si="1130"/>
        <v>55.904499771049977</v>
      </c>
      <c r="AF1006" s="1123">
        <f t="shared" si="1131"/>
        <v>60.873336183276628</v>
      </c>
      <c r="AG1006" s="1123">
        <f t="shared" si="1132"/>
        <v>64.561321587369051</v>
      </c>
      <c r="AH1006" s="1123">
        <f t="shared" si="1133"/>
        <v>66.007125754175135</v>
      </c>
      <c r="AI1006" s="1123">
        <f t="shared" si="1134"/>
        <v>64.833877547100258</v>
      </c>
      <c r="AJ1006" s="1123">
        <f t="shared" si="1135"/>
        <v>61.347402191620617</v>
      </c>
      <c r="AK1006" s="1123">
        <f t="shared" si="1136"/>
        <v>56.456503217353564</v>
      </c>
      <c r="AL1006" s="1123">
        <f t="shared" si="1137"/>
        <v>51.436068812976458</v>
      </c>
      <c r="AM1006" s="1120">
        <f t="shared" si="1138"/>
        <v>1</v>
      </c>
      <c r="AN1006" s="1120">
        <f t="shared" si="1139"/>
        <v>1</v>
      </c>
      <c r="AO1006" s="1120">
        <f t="shared" si="1140"/>
        <v>1</v>
      </c>
      <c r="AP1006" s="1120">
        <f t="shared" si="1141"/>
        <v>1</v>
      </c>
      <c r="AQ1006" s="1120">
        <f t="shared" si="1142"/>
        <v>1</v>
      </c>
      <c r="AR1006" s="1120">
        <f t="shared" si="1143"/>
        <v>0</v>
      </c>
      <c r="AS1006" s="1120">
        <f t="shared" si="1144"/>
        <v>0</v>
      </c>
      <c r="AT1006" s="1120">
        <f t="shared" si="1145"/>
        <v>0</v>
      </c>
      <c r="AU1006" s="1120">
        <f t="shared" si="1146"/>
        <v>1</v>
      </c>
      <c r="AV1006" s="1120">
        <f t="shared" si="1147"/>
        <v>1</v>
      </c>
      <c r="AW1006" s="1120">
        <f t="shared" si="1148"/>
        <v>1</v>
      </c>
      <c r="AX1006" s="1120">
        <f t="shared" si="1149"/>
        <v>1</v>
      </c>
      <c r="AY1006" s="1120">
        <f t="shared" si="1150"/>
        <v>0</v>
      </c>
      <c r="AZ1006" s="1120">
        <f t="shared" si="1151"/>
        <v>0</v>
      </c>
      <c r="BA1006" s="1120">
        <f t="shared" si="1152"/>
        <v>0</v>
      </c>
      <c r="BB1006" s="1120">
        <f t="shared" si="1153"/>
        <v>0</v>
      </c>
      <c r="BC1006" s="1120">
        <f t="shared" si="1154"/>
        <v>0</v>
      </c>
      <c r="BD1006" s="1120">
        <f t="shared" si="1155"/>
        <v>1</v>
      </c>
      <c r="BE1006" s="1120">
        <f t="shared" si="1156"/>
        <v>1</v>
      </c>
      <c r="BF1006" s="1120">
        <f t="shared" si="1157"/>
        <v>1</v>
      </c>
      <c r="BG1006" s="1120">
        <f t="shared" si="1158"/>
        <v>0</v>
      </c>
      <c r="BH1006" s="1120">
        <f t="shared" si="1159"/>
        <v>0</v>
      </c>
      <c r="BI1006" s="1120">
        <f t="shared" si="1160"/>
        <v>0</v>
      </c>
      <c r="BJ1006" s="1120">
        <f t="shared" si="1161"/>
        <v>0</v>
      </c>
      <c r="BK1006" s="1120">
        <f t="shared" si="1162"/>
        <v>1</v>
      </c>
      <c r="BL1006" s="1120">
        <f t="shared" si="1163"/>
        <v>1</v>
      </c>
      <c r="BM1006" s="1120">
        <f t="shared" si="1164"/>
        <v>1</v>
      </c>
      <c r="BN1006" s="1120">
        <f t="shared" si="1165"/>
        <v>1</v>
      </c>
      <c r="BO1006" s="1120">
        <f t="shared" si="1166"/>
        <v>1</v>
      </c>
      <c r="BP1006" s="1120">
        <f t="shared" si="1167"/>
        <v>1</v>
      </c>
      <c r="BQ1006" s="1120">
        <f t="shared" si="1168"/>
        <v>0</v>
      </c>
      <c r="BR1006" s="1120">
        <f t="shared" si="1169"/>
        <v>0</v>
      </c>
      <c r="BS1006" s="1120">
        <f t="shared" si="1170"/>
        <v>1</v>
      </c>
      <c r="BT1006" s="1120">
        <f t="shared" si="1171"/>
        <v>1</v>
      </c>
      <c r="BU1006" s="1120">
        <f t="shared" si="1172"/>
        <v>1</v>
      </c>
      <c r="BV1006" s="1120">
        <f t="shared" si="1173"/>
        <v>1</v>
      </c>
      <c r="BW1006" s="1120">
        <f t="shared" si="1174"/>
        <v>0</v>
      </c>
      <c r="BX1006" s="1120">
        <f t="shared" si="1175"/>
        <v>0</v>
      </c>
      <c r="BY1006" s="1120">
        <f t="shared" si="1176"/>
        <v>0</v>
      </c>
      <c r="BZ1006" s="1120">
        <f t="shared" si="1177"/>
        <v>0</v>
      </c>
      <c r="CA1006" s="1120">
        <f t="shared" si="1178"/>
        <v>1</v>
      </c>
      <c r="CB1006" s="1120">
        <f t="shared" si="1179"/>
        <v>1</v>
      </c>
      <c r="CC1006" s="1120">
        <f t="shared" si="1180"/>
        <v>1</v>
      </c>
      <c r="CD1006" s="1120">
        <f t="shared" si="1181"/>
        <v>1</v>
      </c>
      <c r="CE1006" s="1120">
        <f t="shared" si="1182"/>
        <v>1</v>
      </c>
      <c r="CF1006" s="1120">
        <f t="shared" si="1183"/>
        <v>0</v>
      </c>
      <c r="CG1006" s="1120">
        <f t="shared" si="1184"/>
        <v>0</v>
      </c>
      <c r="CH1006" s="1120">
        <f t="shared" si="1185"/>
        <v>0</v>
      </c>
      <c r="CI1006" s="1120">
        <f t="shared" si="1186"/>
        <v>0.85</v>
      </c>
      <c r="CJ1006" s="1120">
        <f t="shared" si="1187"/>
        <v>0.85</v>
      </c>
      <c r="CK1006" s="1120">
        <f t="shared" si="1188"/>
        <v>0.85</v>
      </c>
      <c r="CL1006" s="1120">
        <f t="shared" si="1189"/>
        <v>0.85</v>
      </c>
      <c r="CM1006" s="1120">
        <f t="shared" si="1190"/>
        <v>0.85</v>
      </c>
      <c r="CN1006" s="1120">
        <f t="shared" si="1191"/>
        <v>0.85</v>
      </c>
      <c r="CO1006" s="1120">
        <f t="shared" si="1192"/>
        <v>0.7</v>
      </c>
      <c r="CP1006" s="1120">
        <f t="shared" si="1193"/>
        <v>0.7</v>
      </c>
      <c r="CQ1006" s="1120">
        <f t="shared" si="1194"/>
        <v>0.85</v>
      </c>
      <c r="CR1006" s="1120">
        <f t="shared" si="1195"/>
        <v>0.85</v>
      </c>
      <c r="CS1006" s="1120">
        <f t="shared" si="1196"/>
        <v>0.85</v>
      </c>
      <c r="CT1006" s="1120">
        <f t="shared" si="1197"/>
        <v>0.85</v>
      </c>
      <c r="CU1006" s="1120">
        <v>1</v>
      </c>
      <c r="CV1006" s="1120"/>
      <c r="CW1006" s="1120">
        <f t="shared" si="1198"/>
        <v>153</v>
      </c>
      <c r="CX1006" s="1120">
        <f t="shared" si="1199"/>
        <v>212</v>
      </c>
      <c r="CY1006" s="1136" t="s">
        <v>4889</v>
      </c>
      <c r="CZ1006" s="1129" t="s">
        <v>4890</v>
      </c>
      <c r="DA1006" s="1129"/>
      <c r="DB1006" s="1129"/>
      <c r="DC1006" s="1125" t="s">
        <v>5673</v>
      </c>
      <c r="DD1006" s="1125" t="s">
        <v>238</v>
      </c>
      <c r="DE1006" s="1120" t="str">
        <f t="shared" si="1200"/>
        <v/>
      </c>
      <c r="DF1006" s="1133">
        <v>0</v>
      </c>
      <c r="DG1006" s="1120">
        <v>0</v>
      </c>
    </row>
    <row r="1007" spans="1:111">
      <c r="A1007" s="1125" t="s">
        <v>4679</v>
      </c>
      <c r="B1007" s="1125" t="s">
        <v>2996</v>
      </c>
      <c r="C1007" s="1125" t="s">
        <v>2997</v>
      </c>
      <c r="D1007" s="1125" t="s">
        <v>953</v>
      </c>
      <c r="E1007" s="1125">
        <v>26</v>
      </c>
      <c r="F1007" s="1125">
        <v>-139.63</v>
      </c>
      <c r="G1007" s="1125">
        <v>59.52</v>
      </c>
      <c r="H1007" s="1125">
        <v>-9</v>
      </c>
      <c r="I1007" s="1126">
        <v>6.2599996566772456</v>
      </c>
      <c r="J1007" s="1126">
        <v>64.039998626708979</v>
      </c>
      <c r="K1007" s="1127">
        <v>55.219999313354492</v>
      </c>
      <c r="L1007" s="1125">
        <v>8771.4</v>
      </c>
      <c r="M1007" s="1125">
        <v>0</v>
      </c>
      <c r="N1007" s="1128">
        <v>26.960000085830689</v>
      </c>
      <c r="O1007" s="1128">
        <v>28.039999914169311</v>
      </c>
      <c r="P1007" s="1128">
        <v>30.559999978542329</v>
      </c>
      <c r="Q1007" s="1128">
        <v>39.920000171661378</v>
      </c>
      <c r="R1007" s="1128">
        <v>44.779999828338624</v>
      </c>
      <c r="S1007" s="1128">
        <v>50.9</v>
      </c>
      <c r="T1007" s="1128">
        <v>55.040000343322752</v>
      </c>
      <c r="U1007" s="1128">
        <v>54.319999313354494</v>
      </c>
      <c r="V1007" s="1128">
        <v>50.180000686645506</v>
      </c>
      <c r="W1007" s="1128">
        <v>40.820000171661377</v>
      </c>
      <c r="X1007" s="1128">
        <v>32.360000005364419</v>
      </c>
      <c r="Y1007" s="1128">
        <v>29.839999914169312</v>
      </c>
      <c r="Z1007" s="1128">
        <v>40.377643869037499</v>
      </c>
      <c r="AA1007" s="1128">
        <f t="shared" si="1126"/>
        <v>42.357425735654708</v>
      </c>
      <c r="AB1007" s="1128">
        <f t="shared" si="1127"/>
        <v>41.32634488785984</v>
      </c>
      <c r="AC1007" s="1128">
        <f t="shared" si="1128"/>
        <v>41.61196296238252</v>
      </c>
      <c r="AD1007" s="1128">
        <f t="shared" si="1129"/>
        <v>43.13982920659064</v>
      </c>
      <c r="AE1007" s="1128">
        <f t="shared" si="1130"/>
        <v>45.51168173879983</v>
      </c>
      <c r="AF1007" s="1128">
        <f t="shared" si="1131"/>
        <v>48.109260645135841</v>
      </c>
      <c r="AG1007" s="1128">
        <f t="shared" si="1132"/>
        <v>50.255466953759552</v>
      </c>
      <c r="AH1007" s="1128">
        <f t="shared" si="1133"/>
        <v>51.390858916287826</v>
      </c>
      <c r="AI1007" s="1128">
        <f t="shared" si="1134"/>
        <v>51.219479120767915</v>
      </c>
      <c r="AJ1007" s="1128">
        <f t="shared" si="1135"/>
        <v>49.786000351944658</v>
      </c>
      <c r="AK1007" s="1128">
        <f t="shared" si="1136"/>
        <v>47.464080941488355</v>
      </c>
      <c r="AL1007" s="1128">
        <f t="shared" si="1137"/>
        <v>44.858964965595661</v>
      </c>
      <c r="AM1007" s="1125">
        <f t="shared" si="1138"/>
        <v>1</v>
      </c>
      <c r="AN1007" s="1125">
        <f t="shared" si="1139"/>
        <v>1</v>
      </c>
      <c r="AO1007" s="1125">
        <f t="shared" si="1140"/>
        <v>1</v>
      </c>
      <c r="AP1007" s="1125">
        <f t="shared" si="1141"/>
        <v>1</v>
      </c>
      <c r="AQ1007" s="1125">
        <f t="shared" si="1142"/>
        <v>1</v>
      </c>
      <c r="AR1007" s="1125">
        <f t="shared" si="1143"/>
        <v>1</v>
      </c>
      <c r="AS1007" s="1125">
        <f t="shared" si="1144"/>
        <v>1</v>
      </c>
      <c r="AT1007" s="1125">
        <f t="shared" si="1145"/>
        <v>1</v>
      </c>
      <c r="AU1007" s="1125">
        <f t="shared" si="1146"/>
        <v>1</v>
      </c>
      <c r="AV1007" s="1125">
        <f t="shared" si="1147"/>
        <v>1</v>
      </c>
      <c r="AW1007" s="1125">
        <f t="shared" si="1148"/>
        <v>1</v>
      </c>
      <c r="AX1007" s="1125">
        <f t="shared" si="1149"/>
        <v>1</v>
      </c>
      <c r="AY1007" s="1125">
        <f t="shared" si="1150"/>
        <v>0</v>
      </c>
      <c r="AZ1007" s="1125">
        <f t="shared" si="1151"/>
        <v>0</v>
      </c>
      <c r="BA1007" s="1125">
        <f t="shared" si="1152"/>
        <v>0</v>
      </c>
      <c r="BB1007" s="1125">
        <f t="shared" si="1153"/>
        <v>0</v>
      </c>
      <c r="BC1007" s="1125">
        <f t="shared" si="1154"/>
        <v>0</v>
      </c>
      <c r="BD1007" s="1125">
        <f t="shared" si="1155"/>
        <v>0</v>
      </c>
      <c r="BE1007" s="1125">
        <f t="shared" si="1156"/>
        <v>1</v>
      </c>
      <c r="BF1007" s="1125">
        <f t="shared" si="1157"/>
        <v>1</v>
      </c>
      <c r="BG1007" s="1125">
        <f t="shared" si="1158"/>
        <v>0</v>
      </c>
      <c r="BH1007" s="1125">
        <f t="shared" si="1159"/>
        <v>0</v>
      </c>
      <c r="BI1007" s="1125">
        <f t="shared" si="1160"/>
        <v>0</v>
      </c>
      <c r="BJ1007" s="1125">
        <f t="shared" si="1161"/>
        <v>0</v>
      </c>
      <c r="BK1007" s="1125">
        <f t="shared" si="1162"/>
        <v>1</v>
      </c>
      <c r="BL1007" s="1125">
        <f t="shared" si="1163"/>
        <v>1</v>
      </c>
      <c r="BM1007" s="1125">
        <f t="shared" si="1164"/>
        <v>1</v>
      </c>
      <c r="BN1007" s="1125">
        <f t="shared" si="1165"/>
        <v>1</v>
      </c>
      <c r="BO1007" s="1125">
        <f t="shared" si="1166"/>
        <v>1</v>
      </c>
      <c r="BP1007" s="1125">
        <f t="shared" si="1167"/>
        <v>1</v>
      </c>
      <c r="BQ1007" s="1125">
        <f t="shared" si="1168"/>
        <v>1</v>
      </c>
      <c r="BR1007" s="1125">
        <f t="shared" si="1169"/>
        <v>1</v>
      </c>
      <c r="BS1007" s="1125">
        <f t="shared" si="1170"/>
        <v>1</v>
      </c>
      <c r="BT1007" s="1125">
        <f t="shared" si="1171"/>
        <v>1</v>
      </c>
      <c r="BU1007" s="1125">
        <f t="shared" si="1172"/>
        <v>1</v>
      </c>
      <c r="BV1007" s="1125">
        <f t="shared" si="1173"/>
        <v>1</v>
      </c>
      <c r="BW1007" s="1125">
        <f t="shared" si="1174"/>
        <v>0</v>
      </c>
      <c r="BX1007" s="1125">
        <f t="shared" si="1175"/>
        <v>0</v>
      </c>
      <c r="BY1007" s="1125">
        <f t="shared" si="1176"/>
        <v>0</v>
      </c>
      <c r="BZ1007" s="1125">
        <f t="shared" si="1177"/>
        <v>0</v>
      </c>
      <c r="CA1007" s="1125">
        <f t="shared" si="1178"/>
        <v>0</v>
      </c>
      <c r="CB1007" s="1125">
        <f t="shared" si="1179"/>
        <v>0</v>
      </c>
      <c r="CC1007" s="1125">
        <f t="shared" si="1180"/>
        <v>1</v>
      </c>
      <c r="CD1007" s="1125">
        <f t="shared" si="1181"/>
        <v>1</v>
      </c>
      <c r="CE1007" s="1125">
        <f t="shared" si="1182"/>
        <v>0</v>
      </c>
      <c r="CF1007" s="1125">
        <f t="shared" si="1183"/>
        <v>0</v>
      </c>
      <c r="CG1007" s="1125">
        <f t="shared" si="1184"/>
        <v>0</v>
      </c>
      <c r="CH1007" s="1125">
        <f t="shared" si="1185"/>
        <v>0</v>
      </c>
      <c r="CI1007" s="1125">
        <f t="shared" si="1186"/>
        <v>0.85</v>
      </c>
      <c r="CJ1007" s="1125">
        <f t="shared" si="1187"/>
        <v>0.85</v>
      </c>
      <c r="CK1007" s="1125">
        <f t="shared" si="1188"/>
        <v>0.85</v>
      </c>
      <c r="CL1007" s="1125">
        <f t="shared" si="1189"/>
        <v>0.85</v>
      </c>
      <c r="CM1007" s="1125">
        <f t="shared" si="1190"/>
        <v>0.85</v>
      </c>
      <c r="CN1007" s="1125">
        <f t="shared" si="1191"/>
        <v>0.85</v>
      </c>
      <c r="CO1007" s="1125">
        <f t="shared" si="1192"/>
        <v>0.85</v>
      </c>
      <c r="CP1007" s="1125">
        <f t="shared" si="1193"/>
        <v>0.85</v>
      </c>
      <c r="CQ1007" s="1125">
        <f t="shared" si="1194"/>
        <v>0.85</v>
      </c>
      <c r="CR1007" s="1125">
        <f t="shared" si="1195"/>
        <v>0.85</v>
      </c>
      <c r="CS1007" s="1125">
        <f t="shared" si="1196"/>
        <v>0.85</v>
      </c>
      <c r="CT1007" s="1125">
        <f t="shared" si="1197"/>
        <v>0.85</v>
      </c>
      <c r="CU1007" s="1125">
        <v>1</v>
      </c>
      <c r="CV1007" s="1125"/>
      <c r="CW1007" s="1125">
        <f t="shared" si="1198"/>
        <v>62</v>
      </c>
      <c r="CX1007" s="1125">
        <f t="shared" si="1199"/>
        <v>303</v>
      </c>
      <c r="CY1007" s="1136" t="s">
        <v>4879</v>
      </c>
      <c r="CZ1007" s="1129">
        <v>7</v>
      </c>
      <c r="DA1007" s="1129"/>
      <c r="DB1007" s="1129"/>
      <c r="DC1007" s="1125" t="s">
        <v>4973</v>
      </c>
      <c r="DD1007" s="1125" t="s">
        <v>953</v>
      </c>
      <c r="DE1007" s="1125" t="str">
        <f t="shared" si="1200"/>
        <v/>
      </c>
      <c r="DF1007" s="1125">
        <v>0</v>
      </c>
      <c r="DG1007" s="1125">
        <v>0</v>
      </c>
    </row>
    <row r="1008" spans="1:111">
      <c r="A1008" s="1120" t="s">
        <v>4681</v>
      </c>
      <c r="B1008" s="1120" t="s">
        <v>4186</v>
      </c>
      <c r="C1008" s="1120" t="s">
        <v>4187</v>
      </c>
      <c r="D1008" s="1120" t="s">
        <v>229</v>
      </c>
      <c r="E1008" s="1120">
        <v>1181</v>
      </c>
      <c r="F1008" s="1120">
        <v>-80.67</v>
      </c>
      <c r="G1008" s="1120">
        <v>41.25</v>
      </c>
      <c r="H1008" s="1120">
        <v>-5</v>
      </c>
      <c r="I1008" s="1121">
        <v>6.9800006866455071</v>
      </c>
      <c r="J1008" s="1121">
        <v>85.819999313354487</v>
      </c>
      <c r="K1008" s="1122">
        <v>71.060001373291016</v>
      </c>
      <c r="L1008" s="1120">
        <v>6391.8</v>
      </c>
      <c r="M1008" s="1120">
        <v>603</v>
      </c>
      <c r="N1008" s="1123">
        <v>25.160000085830688</v>
      </c>
      <c r="O1008" s="1123">
        <v>25.520000171661376</v>
      </c>
      <c r="P1008" s="1123">
        <v>39.559999656677249</v>
      </c>
      <c r="Q1008" s="1123">
        <v>46.759999656677245</v>
      </c>
      <c r="R1008" s="1123">
        <v>56.659999656677243</v>
      </c>
      <c r="S1008" s="1123">
        <v>66.2</v>
      </c>
      <c r="T1008" s="1123">
        <v>71.599999999999994</v>
      </c>
      <c r="U1008" s="1123">
        <v>68.360001373291013</v>
      </c>
      <c r="V1008" s="1123">
        <v>61.880000686645509</v>
      </c>
      <c r="W1008" s="1123">
        <v>49.1</v>
      </c>
      <c r="X1008" s="1123">
        <v>42.440000343322751</v>
      </c>
      <c r="Y1008" s="1123">
        <v>27.860000085830688</v>
      </c>
      <c r="Z1008" s="1123">
        <v>48.548657676749031</v>
      </c>
      <c r="AA1008" s="1123">
        <f t="shared" si="1126"/>
        <v>45.592578905272077</v>
      </c>
      <c r="AB1008" s="1123">
        <f t="shared" si="1127"/>
        <v>44.204771405417432</v>
      </c>
      <c r="AC1008" s="1123">
        <f t="shared" si="1128"/>
        <v>45.513257266297927</v>
      </c>
      <c r="AD1008" s="1123">
        <f t="shared" si="1129"/>
        <v>49.176959483897576</v>
      </c>
      <c r="AE1008" s="1123">
        <f t="shared" si="1130"/>
        <v>54.240877615838855</v>
      </c>
      <c r="AF1008" s="1123">
        <f t="shared" si="1131"/>
        <v>59.385023363690678</v>
      </c>
      <c r="AG1008" s="1123">
        <f t="shared" si="1132"/>
        <v>63.268495864589909</v>
      </c>
      <c r="AH1008" s="1123">
        <f t="shared" si="1133"/>
        <v>64.879008165054373</v>
      </c>
      <c r="AI1008" s="1123">
        <f t="shared" si="1134"/>
        <v>63.796755415222229</v>
      </c>
      <c r="AJ1008" s="1123">
        <f t="shared" si="1135"/>
        <v>60.303843472356924</v>
      </c>
      <c r="AK1008" s="1123">
        <f t="shared" si="1136"/>
        <v>55.310753661768686</v>
      </c>
      <c r="AL1008" s="1123">
        <f t="shared" si="1137"/>
        <v>50.119011788430448</v>
      </c>
      <c r="AM1008" s="1120">
        <f t="shared" si="1138"/>
        <v>1</v>
      </c>
      <c r="AN1008" s="1120">
        <f t="shared" si="1139"/>
        <v>1</v>
      </c>
      <c r="AO1008" s="1120">
        <f t="shared" si="1140"/>
        <v>1</v>
      </c>
      <c r="AP1008" s="1120">
        <f t="shared" si="1141"/>
        <v>1</v>
      </c>
      <c r="AQ1008" s="1120">
        <f t="shared" si="1142"/>
        <v>1</v>
      </c>
      <c r="AR1008" s="1120">
        <f t="shared" si="1143"/>
        <v>0</v>
      </c>
      <c r="AS1008" s="1120">
        <f t="shared" si="1144"/>
        <v>0</v>
      </c>
      <c r="AT1008" s="1120">
        <f t="shared" si="1145"/>
        <v>0</v>
      </c>
      <c r="AU1008" s="1120">
        <f t="shared" si="1146"/>
        <v>1</v>
      </c>
      <c r="AV1008" s="1120">
        <f t="shared" si="1147"/>
        <v>1</v>
      </c>
      <c r="AW1008" s="1120">
        <f t="shared" si="1148"/>
        <v>1</v>
      </c>
      <c r="AX1008" s="1120">
        <f t="shared" si="1149"/>
        <v>1</v>
      </c>
      <c r="AY1008" s="1120">
        <f t="shared" si="1150"/>
        <v>0</v>
      </c>
      <c r="AZ1008" s="1120">
        <f t="shared" si="1151"/>
        <v>0</v>
      </c>
      <c r="BA1008" s="1120">
        <f t="shared" si="1152"/>
        <v>0</v>
      </c>
      <c r="BB1008" s="1120">
        <f t="shared" si="1153"/>
        <v>0</v>
      </c>
      <c r="BC1008" s="1120">
        <f t="shared" si="1154"/>
        <v>0</v>
      </c>
      <c r="BD1008" s="1120">
        <f t="shared" si="1155"/>
        <v>1</v>
      </c>
      <c r="BE1008" s="1120">
        <f t="shared" si="1156"/>
        <v>1</v>
      </c>
      <c r="BF1008" s="1120">
        <f t="shared" si="1157"/>
        <v>1</v>
      </c>
      <c r="BG1008" s="1120">
        <f t="shared" si="1158"/>
        <v>0</v>
      </c>
      <c r="BH1008" s="1120">
        <f t="shared" si="1159"/>
        <v>0</v>
      </c>
      <c r="BI1008" s="1120">
        <f t="shared" si="1160"/>
        <v>0</v>
      </c>
      <c r="BJ1008" s="1120">
        <f t="shared" si="1161"/>
        <v>0</v>
      </c>
      <c r="BK1008" s="1120">
        <f t="shared" si="1162"/>
        <v>1</v>
      </c>
      <c r="BL1008" s="1120">
        <f t="shared" si="1163"/>
        <v>1</v>
      </c>
      <c r="BM1008" s="1120">
        <f t="shared" si="1164"/>
        <v>1</v>
      </c>
      <c r="BN1008" s="1120">
        <f t="shared" si="1165"/>
        <v>1</v>
      </c>
      <c r="BO1008" s="1120">
        <f t="shared" si="1166"/>
        <v>1</v>
      </c>
      <c r="BP1008" s="1120">
        <f t="shared" si="1167"/>
        <v>1</v>
      </c>
      <c r="BQ1008" s="1120">
        <f t="shared" si="1168"/>
        <v>0</v>
      </c>
      <c r="BR1008" s="1120">
        <f t="shared" si="1169"/>
        <v>0</v>
      </c>
      <c r="BS1008" s="1120">
        <f t="shared" si="1170"/>
        <v>1</v>
      </c>
      <c r="BT1008" s="1120">
        <f t="shared" si="1171"/>
        <v>1</v>
      </c>
      <c r="BU1008" s="1120">
        <f t="shared" si="1172"/>
        <v>1</v>
      </c>
      <c r="BV1008" s="1120">
        <f t="shared" si="1173"/>
        <v>1</v>
      </c>
      <c r="BW1008" s="1120">
        <f t="shared" si="1174"/>
        <v>0</v>
      </c>
      <c r="BX1008" s="1120">
        <f t="shared" si="1175"/>
        <v>0</v>
      </c>
      <c r="BY1008" s="1120">
        <f t="shared" si="1176"/>
        <v>0</v>
      </c>
      <c r="BZ1008" s="1120">
        <f t="shared" si="1177"/>
        <v>0</v>
      </c>
      <c r="CA1008" s="1120">
        <f t="shared" si="1178"/>
        <v>1</v>
      </c>
      <c r="CB1008" s="1120">
        <f t="shared" si="1179"/>
        <v>1</v>
      </c>
      <c r="CC1008" s="1120">
        <f t="shared" si="1180"/>
        <v>1</v>
      </c>
      <c r="CD1008" s="1120">
        <f t="shared" si="1181"/>
        <v>1</v>
      </c>
      <c r="CE1008" s="1120">
        <f t="shared" si="1182"/>
        <v>1</v>
      </c>
      <c r="CF1008" s="1120">
        <f t="shared" si="1183"/>
        <v>0</v>
      </c>
      <c r="CG1008" s="1120">
        <f t="shared" si="1184"/>
        <v>0</v>
      </c>
      <c r="CH1008" s="1120">
        <f t="shared" si="1185"/>
        <v>0</v>
      </c>
      <c r="CI1008" s="1120">
        <f t="shared" si="1186"/>
        <v>0.85</v>
      </c>
      <c r="CJ1008" s="1120">
        <f t="shared" si="1187"/>
        <v>0.85</v>
      </c>
      <c r="CK1008" s="1120">
        <f t="shared" si="1188"/>
        <v>0.85</v>
      </c>
      <c r="CL1008" s="1120">
        <f t="shared" si="1189"/>
        <v>0.85</v>
      </c>
      <c r="CM1008" s="1120">
        <f t="shared" si="1190"/>
        <v>0.85</v>
      </c>
      <c r="CN1008" s="1120">
        <f t="shared" si="1191"/>
        <v>0.85</v>
      </c>
      <c r="CO1008" s="1120">
        <f t="shared" si="1192"/>
        <v>0.7</v>
      </c>
      <c r="CP1008" s="1120">
        <f t="shared" si="1193"/>
        <v>0.7</v>
      </c>
      <c r="CQ1008" s="1120">
        <f t="shared" si="1194"/>
        <v>0.85</v>
      </c>
      <c r="CR1008" s="1120">
        <f t="shared" si="1195"/>
        <v>0.85</v>
      </c>
      <c r="CS1008" s="1120">
        <f t="shared" si="1196"/>
        <v>0.85</v>
      </c>
      <c r="CT1008" s="1120">
        <f t="shared" si="1197"/>
        <v>0.85</v>
      </c>
      <c r="CU1008" s="1120">
        <v>1</v>
      </c>
      <c r="CV1008" s="1120"/>
      <c r="CW1008" s="1120">
        <f t="shared" si="1198"/>
        <v>153</v>
      </c>
      <c r="CX1008" s="1120">
        <f t="shared" si="1199"/>
        <v>212</v>
      </c>
      <c r="CY1008" s="1135" t="s">
        <v>4889</v>
      </c>
      <c r="CZ1008" s="1124" t="s">
        <v>4897</v>
      </c>
      <c r="DA1008" s="1124"/>
      <c r="DB1008" s="1124"/>
      <c r="DC1008" s="1120" t="s">
        <v>5499</v>
      </c>
      <c r="DD1008" s="1120" t="s">
        <v>229</v>
      </c>
      <c r="DE1008" s="1120" t="str">
        <f t="shared" si="1200"/>
        <v/>
      </c>
      <c r="DF1008" s="1133">
        <v>0</v>
      </c>
      <c r="DG1008" s="1120">
        <v>0</v>
      </c>
    </row>
    <row r="1009" spans="1:111">
      <c r="A1009" s="1125" t="s">
        <v>4683</v>
      </c>
      <c r="B1009" s="1120" t="s">
        <v>3206</v>
      </c>
      <c r="C1009" s="1120" t="s">
        <v>3207</v>
      </c>
      <c r="D1009" s="1120" t="s">
        <v>954</v>
      </c>
      <c r="E1009" s="1120">
        <v>62</v>
      </c>
      <c r="F1009" s="1120">
        <v>-121.57</v>
      </c>
      <c r="G1009" s="1120">
        <v>39.1</v>
      </c>
      <c r="H1009" s="1120">
        <v>-8</v>
      </c>
      <c r="I1009" s="1121">
        <v>30.019999957084657</v>
      </c>
      <c r="J1009" s="1121">
        <v>102.37999725341797</v>
      </c>
      <c r="K1009" s="1122">
        <v>62.780000686645508</v>
      </c>
      <c r="L1009" s="1120">
        <v>2514.6</v>
      </c>
      <c r="M1009" s="1120">
        <v>1504.8</v>
      </c>
      <c r="N1009" s="1123">
        <v>44.420000171661378</v>
      </c>
      <c r="O1009" s="1123">
        <v>51.619999313354491</v>
      </c>
      <c r="P1009" s="1123">
        <v>55.4</v>
      </c>
      <c r="Q1009" s="1123">
        <v>61.880000686645509</v>
      </c>
      <c r="R1009" s="1123">
        <v>67.099999999999994</v>
      </c>
      <c r="S1009" s="1123">
        <v>74.3</v>
      </c>
      <c r="T1009" s="1123">
        <v>77.360001373291013</v>
      </c>
      <c r="U1009" s="1123">
        <v>75.380000686645502</v>
      </c>
      <c r="V1009" s="1123">
        <v>73.039998626708979</v>
      </c>
      <c r="W1009" s="1123">
        <v>62.419999313354495</v>
      </c>
      <c r="X1009" s="1123">
        <v>49.819999313354494</v>
      </c>
      <c r="Y1009" s="1123">
        <v>46.220000171661376</v>
      </c>
      <c r="Z1009" s="1123">
        <v>61.627013678877319</v>
      </c>
      <c r="AA1009" s="1123">
        <f t="shared" si="1126"/>
        <v>58.556871175545993</v>
      </c>
      <c r="AB1009" s="1123">
        <f t="shared" si="1127"/>
        <v>58.359042047976089</v>
      </c>
      <c r="AC1009" s="1123">
        <f t="shared" si="1128"/>
        <v>60.577052549766655</v>
      </c>
      <c r="AD1009" s="1123">
        <f t="shared" si="1129"/>
        <v>64.632744063049529</v>
      </c>
      <c r="AE1009" s="1123">
        <f t="shared" si="1130"/>
        <v>69.468938094789422</v>
      </c>
      <c r="AF1009" s="1123">
        <f t="shared" si="1131"/>
        <v>73.825006142607378</v>
      </c>
      <c r="AG1009" s="1123">
        <f t="shared" si="1132"/>
        <v>76.565471940799043</v>
      </c>
      <c r="AH1009" s="1123">
        <f t="shared" si="1133"/>
        <v>76.975990847209474</v>
      </c>
      <c r="AI1009" s="1123">
        <f t="shared" si="1134"/>
        <v>74.94955478259493</v>
      </c>
      <c r="AJ1009" s="1123">
        <f t="shared" si="1135"/>
        <v>71.014385535522223</v>
      </c>
      <c r="AK1009" s="1123">
        <f t="shared" si="1136"/>
        <v>66.196245613034606</v>
      </c>
      <c r="AL1009" s="1123">
        <f t="shared" si="1137"/>
        <v>61.751057435712198</v>
      </c>
      <c r="AM1009" s="1120">
        <f t="shared" si="1138"/>
        <v>1</v>
      </c>
      <c r="AN1009" s="1120">
        <f t="shared" si="1139"/>
        <v>1</v>
      </c>
      <c r="AO1009" s="1120">
        <f t="shared" si="1140"/>
        <v>1</v>
      </c>
      <c r="AP1009" s="1120">
        <f t="shared" si="1141"/>
        <v>1</v>
      </c>
      <c r="AQ1009" s="1120">
        <f t="shared" si="1142"/>
        <v>0</v>
      </c>
      <c r="AR1009" s="1120">
        <f t="shared" si="1143"/>
        <v>0</v>
      </c>
      <c r="AS1009" s="1120">
        <f t="shared" si="1144"/>
        <v>0</v>
      </c>
      <c r="AT1009" s="1120">
        <f t="shared" si="1145"/>
        <v>0</v>
      </c>
      <c r="AU1009" s="1120">
        <f t="shared" si="1146"/>
        <v>0</v>
      </c>
      <c r="AV1009" s="1120">
        <f t="shared" si="1147"/>
        <v>1</v>
      </c>
      <c r="AW1009" s="1120">
        <f t="shared" si="1148"/>
        <v>1</v>
      </c>
      <c r="AX1009" s="1120">
        <f t="shared" si="1149"/>
        <v>1</v>
      </c>
      <c r="AY1009" s="1120">
        <f t="shared" si="1150"/>
        <v>0</v>
      </c>
      <c r="AZ1009" s="1120">
        <f t="shared" si="1151"/>
        <v>0</v>
      </c>
      <c r="BA1009" s="1120">
        <f t="shared" si="1152"/>
        <v>0</v>
      </c>
      <c r="BB1009" s="1120">
        <f t="shared" si="1153"/>
        <v>0</v>
      </c>
      <c r="BC1009" s="1120">
        <f t="shared" si="1154"/>
        <v>1</v>
      </c>
      <c r="BD1009" s="1120">
        <f t="shared" si="1155"/>
        <v>1</v>
      </c>
      <c r="BE1009" s="1120">
        <f t="shared" si="1156"/>
        <v>1</v>
      </c>
      <c r="BF1009" s="1120">
        <f t="shared" si="1157"/>
        <v>1</v>
      </c>
      <c r="BG1009" s="1120">
        <f t="shared" si="1158"/>
        <v>1</v>
      </c>
      <c r="BH1009" s="1120">
        <f t="shared" si="1159"/>
        <v>0</v>
      </c>
      <c r="BI1009" s="1120">
        <f t="shared" si="1160"/>
        <v>0</v>
      </c>
      <c r="BJ1009" s="1120">
        <f t="shared" si="1161"/>
        <v>0</v>
      </c>
      <c r="BK1009" s="1120">
        <f t="shared" si="1162"/>
        <v>1</v>
      </c>
      <c r="BL1009" s="1120">
        <f t="shared" si="1163"/>
        <v>1</v>
      </c>
      <c r="BM1009" s="1120">
        <f t="shared" si="1164"/>
        <v>1</v>
      </c>
      <c r="BN1009" s="1120">
        <f t="shared" si="1165"/>
        <v>1</v>
      </c>
      <c r="BO1009" s="1120">
        <f t="shared" si="1166"/>
        <v>1</v>
      </c>
      <c r="BP1009" s="1120">
        <f t="shared" si="1167"/>
        <v>0</v>
      </c>
      <c r="BQ1009" s="1120">
        <f t="shared" si="1168"/>
        <v>0</v>
      </c>
      <c r="BR1009" s="1120">
        <f t="shared" si="1169"/>
        <v>0</v>
      </c>
      <c r="BS1009" s="1120">
        <f t="shared" si="1170"/>
        <v>0</v>
      </c>
      <c r="BT1009" s="1120">
        <f t="shared" si="1171"/>
        <v>1</v>
      </c>
      <c r="BU1009" s="1120">
        <f t="shared" si="1172"/>
        <v>1</v>
      </c>
      <c r="BV1009" s="1120">
        <f t="shared" si="1173"/>
        <v>1</v>
      </c>
      <c r="BW1009" s="1120">
        <f t="shared" si="1174"/>
        <v>0</v>
      </c>
      <c r="BX1009" s="1120">
        <f t="shared" si="1175"/>
        <v>0</v>
      </c>
      <c r="BY1009" s="1120">
        <f t="shared" si="1176"/>
        <v>0</v>
      </c>
      <c r="BZ1009" s="1120">
        <f t="shared" si="1177"/>
        <v>1</v>
      </c>
      <c r="CA1009" s="1120">
        <f t="shared" si="1178"/>
        <v>1</v>
      </c>
      <c r="CB1009" s="1120">
        <f t="shared" si="1179"/>
        <v>1</v>
      </c>
      <c r="CC1009" s="1120">
        <f t="shared" si="1180"/>
        <v>1</v>
      </c>
      <c r="CD1009" s="1120">
        <f t="shared" si="1181"/>
        <v>1</v>
      </c>
      <c r="CE1009" s="1120">
        <f t="shared" si="1182"/>
        <v>1</v>
      </c>
      <c r="CF1009" s="1120">
        <f t="shared" si="1183"/>
        <v>1</v>
      </c>
      <c r="CG1009" s="1120">
        <f t="shared" si="1184"/>
        <v>0</v>
      </c>
      <c r="CH1009" s="1120">
        <f t="shared" si="1185"/>
        <v>0</v>
      </c>
      <c r="CI1009" s="1120">
        <f t="shared" si="1186"/>
        <v>0.85</v>
      </c>
      <c r="CJ1009" s="1120">
        <f t="shared" si="1187"/>
        <v>0.85</v>
      </c>
      <c r="CK1009" s="1120">
        <f t="shared" si="1188"/>
        <v>0.85</v>
      </c>
      <c r="CL1009" s="1120">
        <f t="shared" si="1189"/>
        <v>0.85</v>
      </c>
      <c r="CM1009" s="1120">
        <f t="shared" si="1190"/>
        <v>0.85</v>
      </c>
      <c r="CN1009" s="1120">
        <f t="shared" si="1191"/>
        <v>0.7</v>
      </c>
      <c r="CO1009" s="1120">
        <f t="shared" si="1192"/>
        <v>0.7</v>
      </c>
      <c r="CP1009" s="1120">
        <f t="shared" si="1193"/>
        <v>0.7</v>
      </c>
      <c r="CQ1009" s="1120">
        <f t="shared" si="1194"/>
        <v>0.7</v>
      </c>
      <c r="CR1009" s="1120">
        <f t="shared" si="1195"/>
        <v>0.85</v>
      </c>
      <c r="CS1009" s="1120">
        <f t="shared" si="1196"/>
        <v>0.85</v>
      </c>
      <c r="CT1009" s="1120">
        <f t="shared" si="1197"/>
        <v>0.85</v>
      </c>
      <c r="CU1009" s="1120">
        <v>1</v>
      </c>
      <c r="CV1009" s="1120"/>
      <c r="CW1009" s="1120">
        <f t="shared" si="1198"/>
        <v>214</v>
      </c>
      <c r="CX1009" s="1120">
        <f t="shared" si="1199"/>
        <v>151</v>
      </c>
      <c r="CY1009" s="1135" t="s">
        <v>4886</v>
      </c>
      <c r="CZ1009" s="1124" t="s">
        <v>4888</v>
      </c>
      <c r="DA1009" s="1124"/>
      <c r="DB1009" s="1124"/>
      <c r="DC1009" s="1120" t="s">
        <v>5069</v>
      </c>
      <c r="DD1009" s="1120" t="s">
        <v>954</v>
      </c>
      <c r="DE1009" s="1120" t="str">
        <f t="shared" si="1200"/>
        <v/>
      </c>
      <c r="DF1009" s="1120">
        <v>0</v>
      </c>
      <c r="DG1009" s="1125">
        <v>0</v>
      </c>
    </row>
    <row r="1010" spans="1:111">
      <c r="A1010" s="1120" t="s">
        <v>4673</v>
      </c>
      <c r="B1010" s="1120" t="s">
        <v>3078</v>
      </c>
      <c r="C1010" s="1120" t="s">
        <v>3079</v>
      </c>
      <c r="D1010" s="1120" t="s">
        <v>1250</v>
      </c>
      <c r="E1010" s="1120">
        <v>207</v>
      </c>
      <c r="F1010" s="1120">
        <v>-114.6</v>
      </c>
      <c r="G1010" s="1120">
        <v>32.67</v>
      </c>
      <c r="H1010" s="1120">
        <v>-7</v>
      </c>
      <c r="I1010" s="1121">
        <v>44.779999828338624</v>
      </c>
      <c r="J1010" s="1121">
        <v>108.67999725341797</v>
      </c>
      <c r="K1010" s="1122">
        <v>73.219999313354492</v>
      </c>
      <c r="L1010" s="1120">
        <v>518.4</v>
      </c>
      <c r="M1010" s="1120">
        <v>4636.8</v>
      </c>
      <c r="N1010" s="1123">
        <v>61.160001373291017</v>
      </c>
      <c r="O1010" s="1123">
        <v>58.459999656677248</v>
      </c>
      <c r="P1010" s="1123">
        <v>67.819999313354487</v>
      </c>
      <c r="Q1010" s="1123">
        <v>73.219999313354492</v>
      </c>
      <c r="R1010" s="1123">
        <v>78.619999313354498</v>
      </c>
      <c r="S1010" s="1123">
        <v>86.719999313354492</v>
      </c>
      <c r="T1010" s="1123">
        <v>94.460001373291021</v>
      </c>
      <c r="U1010" s="1123">
        <v>96.079997253417972</v>
      </c>
      <c r="V1010" s="1123">
        <v>88.33999862670899</v>
      </c>
      <c r="W1010" s="1123">
        <v>75.739998626708982</v>
      </c>
      <c r="X1010" s="1123">
        <v>67.460001373291021</v>
      </c>
      <c r="Y1010" s="1123">
        <v>59</v>
      </c>
      <c r="Z1010" s="1123">
        <v>75.694136613819694</v>
      </c>
      <c r="AA1010" s="1123">
        <f t="shared" si="1126"/>
        <v>68.230287810937241</v>
      </c>
      <c r="AB1010" s="1123">
        <f t="shared" si="1127"/>
        <v>69.606549967948226</v>
      </c>
      <c r="AC1010" s="1123">
        <f t="shared" si="1128"/>
        <v>74.133627859554338</v>
      </c>
      <c r="AD1010" s="1123">
        <f t="shared" si="1129"/>
        <v>80.631468868926362</v>
      </c>
      <c r="AE1010" s="1123">
        <f t="shared" si="1130"/>
        <v>87.406310602210496</v>
      </c>
      <c r="AF1010" s="1123">
        <f t="shared" si="1131"/>
        <v>92.69218615815484</v>
      </c>
      <c r="AG1010" s="1123">
        <f t="shared" si="1132"/>
        <v>95.11125061529448</v>
      </c>
      <c r="AH1010" s="1123">
        <f t="shared" si="1133"/>
        <v>94.032937543964266</v>
      </c>
      <c r="AI1010" s="1123">
        <f t="shared" si="1134"/>
        <v>89.738325863513836</v>
      </c>
      <c r="AJ1010" s="1123">
        <f t="shared" si="1135"/>
        <v>83.346872290421913</v>
      </c>
      <c r="AK1010" s="1123">
        <f t="shared" si="1136"/>
        <v>76.5246076937959</v>
      </c>
      <c r="AL1010" s="1123">
        <f t="shared" si="1137"/>
        <v>71.049860475026165</v>
      </c>
      <c r="AM1010" s="1120">
        <f t="shared" si="1138"/>
        <v>1</v>
      </c>
      <c r="AN1010" s="1120">
        <f t="shared" si="1139"/>
        <v>1</v>
      </c>
      <c r="AO1010" s="1120">
        <f t="shared" si="1140"/>
        <v>0</v>
      </c>
      <c r="AP1010" s="1120">
        <f t="shared" si="1141"/>
        <v>0</v>
      </c>
      <c r="AQ1010" s="1120">
        <f t="shared" si="1142"/>
        <v>0</v>
      </c>
      <c r="AR1010" s="1120">
        <f t="shared" si="1143"/>
        <v>0</v>
      </c>
      <c r="AS1010" s="1120">
        <f t="shared" si="1144"/>
        <v>0</v>
      </c>
      <c r="AT1010" s="1120">
        <f t="shared" si="1145"/>
        <v>0</v>
      </c>
      <c r="AU1010" s="1120">
        <f t="shared" si="1146"/>
        <v>0</v>
      </c>
      <c r="AV1010" s="1120">
        <f t="shared" si="1147"/>
        <v>0</v>
      </c>
      <c r="AW1010" s="1120">
        <f t="shared" si="1148"/>
        <v>0</v>
      </c>
      <c r="AX1010" s="1120">
        <f t="shared" si="1149"/>
        <v>1</v>
      </c>
      <c r="AY1010" s="1120">
        <f t="shared" si="1150"/>
        <v>0</v>
      </c>
      <c r="AZ1010" s="1120">
        <f t="shared" si="1151"/>
        <v>0</v>
      </c>
      <c r="BA1010" s="1120">
        <f t="shared" si="1152"/>
        <v>1</v>
      </c>
      <c r="BB1010" s="1120">
        <f t="shared" si="1153"/>
        <v>1</v>
      </c>
      <c r="BC1010" s="1120">
        <f t="shared" si="1154"/>
        <v>1</v>
      </c>
      <c r="BD1010" s="1120">
        <f t="shared" si="1155"/>
        <v>1</v>
      </c>
      <c r="BE1010" s="1120">
        <f t="shared" si="1156"/>
        <v>1</v>
      </c>
      <c r="BF1010" s="1120">
        <f t="shared" si="1157"/>
        <v>1</v>
      </c>
      <c r="BG1010" s="1120">
        <f t="shared" si="1158"/>
        <v>1</v>
      </c>
      <c r="BH1010" s="1120">
        <f t="shared" si="1159"/>
        <v>1</v>
      </c>
      <c r="BI1010" s="1120">
        <f t="shared" si="1160"/>
        <v>1</v>
      </c>
      <c r="BJ1010" s="1120">
        <f t="shared" si="1161"/>
        <v>0</v>
      </c>
      <c r="BK1010" s="1120">
        <f t="shared" si="1162"/>
        <v>1</v>
      </c>
      <c r="BL1010" s="1120">
        <f t="shared" si="1163"/>
        <v>1</v>
      </c>
      <c r="BM1010" s="1120">
        <f t="shared" si="1164"/>
        <v>1</v>
      </c>
      <c r="BN1010" s="1120">
        <f t="shared" si="1165"/>
        <v>0</v>
      </c>
      <c r="BO1010" s="1120">
        <f t="shared" si="1166"/>
        <v>0</v>
      </c>
      <c r="BP1010" s="1120">
        <f t="shared" si="1167"/>
        <v>0</v>
      </c>
      <c r="BQ1010" s="1120">
        <f t="shared" si="1168"/>
        <v>0</v>
      </c>
      <c r="BR1010" s="1120">
        <f t="shared" si="1169"/>
        <v>0</v>
      </c>
      <c r="BS1010" s="1120">
        <f t="shared" si="1170"/>
        <v>0</v>
      </c>
      <c r="BT1010" s="1120">
        <f t="shared" si="1171"/>
        <v>0</v>
      </c>
      <c r="BU1010" s="1120">
        <f t="shared" si="1172"/>
        <v>0</v>
      </c>
      <c r="BV1010" s="1120">
        <f t="shared" si="1173"/>
        <v>1</v>
      </c>
      <c r="BW1010" s="1120">
        <f t="shared" si="1174"/>
        <v>0</v>
      </c>
      <c r="BX1010" s="1120">
        <f t="shared" si="1175"/>
        <v>1</v>
      </c>
      <c r="BY1010" s="1120">
        <f t="shared" si="1176"/>
        <v>1</v>
      </c>
      <c r="BZ1010" s="1120">
        <f t="shared" si="1177"/>
        <v>1</v>
      </c>
      <c r="CA1010" s="1120">
        <f t="shared" si="1178"/>
        <v>1</v>
      </c>
      <c r="CB1010" s="1120">
        <f t="shared" si="1179"/>
        <v>1</v>
      </c>
      <c r="CC1010" s="1120">
        <f t="shared" si="1180"/>
        <v>1</v>
      </c>
      <c r="CD1010" s="1120">
        <f t="shared" si="1181"/>
        <v>1</v>
      </c>
      <c r="CE1010" s="1120">
        <f t="shared" si="1182"/>
        <v>1</v>
      </c>
      <c r="CF1010" s="1120">
        <f t="shared" si="1183"/>
        <v>1</v>
      </c>
      <c r="CG1010" s="1120">
        <f t="shared" si="1184"/>
        <v>1</v>
      </c>
      <c r="CH1010" s="1120">
        <f t="shared" si="1185"/>
        <v>1</v>
      </c>
      <c r="CI1010" s="1120">
        <f t="shared" si="1186"/>
        <v>0.85</v>
      </c>
      <c r="CJ1010" s="1120">
        <f t="shared" si="1187"/>
        <v>0.85</v>
      </c>
      <c r="CK1010" s="1120">
        <f t="shared" si="1188"/>
        <v>0.85</v>
      </c>
      <c r="CL1010" s="1120">
        <f t="shared" si="1189"/>
        <v>0.7</v>
      </c>
      <c r="CM1010" s="1120">
        <f t="shared" si="1190"/>
        <v>0.7</v>
      </c>
      <c r="CN1010" s="1120">
        <f t="shared" si="1191"/>
        <v>0.7</v>
      </c>
      <c r="CO1010" s="1120">
        <f t="shared" si="1192"/>
        <v>0.7</v>
      </c>
      <c r="CP1010" s="1120">
        <f t="shared" si="1193"/>
        <v>0.7</v>
      </c>
      <c r="CQ1010" s="1120">
        <f t="shared" si="1194"/>
        <v>0.7</v>
      </c>
      <c r="CR1010" s="1120">
        <f t="shared" si="1195"/>
        <v>0.7</v>
      </c>
      <c r="CS1010" s="1120">
        <f t="shared" si="1196"/>
        <v>0.7</v>
      </c>
      <c r="CT1010" s="1120">
        <f t="shared" si="1197"/>
        <v>0.85</v>
      </c>
      <c r="CU1010" s="1120">
        <v>1</v>
      </c>
      <c r="CV1010" s="1120"/>
      <c r="CW1010" s="1120">
        <f t="shared" si="1198"/>
        <v>334</v>
      </c>
      <c r="CX1010" s="1120">
        <f t="shared" si="1199"/>
        <v>31</v>
      </c>
      <c r="CY1010" s="1135" t="s">
        <v>4886</v>
      </c>
      <c r="CZ1010" s="1124" t="s">
        <v>4887</v>
      </c>
      <c r="DA1010" s="1124"/>
      <c r="DB1010" s="1124"/>
      <c r="DC1010" s="1120" t="s">
        <v>5008</v>
      </c>
      <c r="DD1010" s="1120" t="s">
        <v>1250</v>
      </c>
      <c r="DE1010" s="1120" t="b">
        <f t="shared" si="1200"/>
        <v>0</v>
      </c>
      <c r="DF1010" s="1120">
        <v>1</v>
      </c>
      <c r="DG1010" s="1120">
        <v>0</v>
      </c>
    </row>
    <row r="1011" spans="1:111">
      <c r="A1011" s="1125" t="s">
        <v>4685</v>
      </c>
      <c r="B1011" s="1125" t="s">
        <v>3080</v>
      </c>
      <c r="C1011" s="1125" t="s">
        <v>3081</v>
      </c>
      <c r="D1011" s="1125" t="s">
        <v>1250</v>
      </c>
      <c r="E1011" s="1125">
        <v>213</v>
      </c>
      <c r="F1011" s="1125">
        <v>-114.62</v>
      </c>
      <c r="G1011" s="1125">
        <v>32.65</v>
      </c>
      <c r="H1011" s="1125">
        <v>-7</v>
      </c>
      <c r="I1011" s="1126">
        <v>44.6</v>
      </c>
      <c r="J1011" s="1126">
        <v>108.67999725341797</v>
      </c>
      <c r="K1011" s="1127">
        <v>73.219999313354492</v>
      </c>
      <c r="L1011" s="1125">
        <v>644.4</v>
      </c>
      <c r="M1011" s="1125">
        <v>4573.8</v>
      </c>
      <c r="N1011" s="1128">
        <v>60.440000343322751</v>
      </c>
      <c r="O1011" s="1128">
        <v>58.459999656677248</v>
      </c>
      <c r="P1011" s="1128">
        <v>68</v>
      </c>
      <c r="Q1011" s="1128">
        <v>72.139998626708987</v>
      </c>
      <c r="R1011" s="1128">
        <v>79.7</v>
      </c>
      <c r="S1011" s="1128">
        <v>86.719999313354492</v>
      </c>
      <c r="T1011" s="1128">
        <v>94.100000000000009</v>
      </c>
      <c r="U1011" s="1128">
        <v>93.560001373291016</v>
      </c>
      <c r="V1011" s="1128">
        <v>88.16000137329101</v>
      </c>
      <c r="W1011" s="1128">
        <v>75.739998626708982</v>
      </c>
      <c r="X1011" s="1128">
        <v>68.360001373291013</v>
      </c>
      <c r="Y1011" s="1128">
        <v>55.4</v>
      </c>
      <c r="Z1011" s="1128">
        <v>75.160054853779002</v>
      </c>
      <c r="AA1011" s="1128">
        <f t="shared" si="1126"/>
        <v>67.420637238103751</v>
      </c>
      <c r="AB1011" s="1128">
        <f t="shared" si="1127"/>
        <v>68.762495038723898</v>
      </c>
      <c r="AC1011" s="1128">
        <f t="shared" si="1128"/>
        <v>73.33596785731801</v>
      </c>
      <c r="AD1011" s="1128">
        <f t="shared" si="1129"/>
        <v>79.948909524370009</v>
      </c>
      <c r="AE1011" s="1128">
        <f t="shared" si="1130"/>
        <v>86.877554885846948</v>
      </c>
      <c r="AF1011" s="1128">
        <f t="shared" si="1131"/>
        <v>92.315845754622842</v>
      </c>
      <c r="AG1011" s="1128">
        <f t="shared" si="1132"/>
        <v>94.846207809152148</v>
      </c>
      <c r="AH1011" s="1128">
        <f t="shared" si="1133"/>
        <v>93.809063185862215</v>
      </c>
      <c r="AI1011" s="1128">
        <f t="shared" si="1134"/>
        <v>89.474759613695994</v>
      </c>
      <c r="AJ1011" s="1128">
        <f t="shared" si="1135"/>
        <v>82.973100112378503</v>
      </c>
      <c r="AK1011" s="1128">
        <f t="shared" si="1136"/>
        <v>75.998842424533876</v>
      </c>
      <c r="AL1011" s="1128">
        <f t="shared" si="1137"/>
        <v>70.369934293063082</v>
      </c>
      <c r="AM1011" s="1125">
        <f t="shared" si="1138"/>
        <v>1</v>
      </c>
      <c r="AN1011" s="1125">
        <f t="shared" si="1139"/>
        <v>1</v>
      </c>
      <c r="AO1011" s="1125">
        <f t="shared" si="1140"/>
        <v>0</v>
      </c>
      <c r="AP1011" s="1125">
        <f t="shared" si="1141"/>
        <v>0</v>
      </c>
      <c r="AQ1011" s="1125">
        <f t="shared" si="1142"/>
        <v>0</v>
      </c>
      <c r="AR1011" s="1125">
        <f t="shared" si="1143"/>
        <v>0</v>
      </c>
      <c r="AS1011" s="1125">
        <f t="shared" si="1144"/>
        <v>0</v>
      </c>
      <c r="AT1011" s="1125">
        <f t="shared" si="1145"/>
        <v>0</v>
      </c>
      <c r="AU1011" s="1125">
        <f t="shared" si="1146"/>
        <v>0</v>
      </c>
      <c r="AV1011" s="1125">
        <f t="shared" si="1147"/>
        <v>0</v>
      </c>
      <c r="AW1011" s="1125">
        <f t="shared" si="1148"/>
        <v>0</v>
      </c>
      <c r="AX1011" s="1125">
        <f t="shared" si="1149"/>
        <v>1</v>
      </c>
      <c r="AY1011" s="1125">
        <f t="shared" si="1150"/>
        <v>0</v>
      </c>
      <c r="AZ1011" s="1125">
        <f t="shared" si="1151"/>
        <v>0</v>
      </c>
      <c r="BA1011" s="1125">
        <f t="shared" si="1152"/>
        <v>1</v>
      </c>
      <c r="BB1011" s="1125">
        <f t="shared" si="1153"/>
        <v>1</v>
      </c>
      <c r="BC1011" s="1125">
        <f t="shared" si="1154"/>
        <v>1</v>
      </c>
      <c r="BD1011" s="1125">
        <f t="shared" si="1155"/>
        <v>1</v>
      </c>
      <c r="BE1011" s="1125">
        <f t="shared" si="1156"/>
        <v>1</v>
      </c>
      <c r="BF1011" s="1125">
        <f t="shared" si="1157"/>
        <v>1</v>
      </c>
      <c r="BG1011" s="1125">
        <f t="shared" si="1158"/>
        <v>1</v>
      </c>
      <c r="BH1011" s="1125">
        <f t="shared" si="1159"/>
        <v>1</v>
      </c>
      <c r="BI1011" s="1125">
        <f t="shared" si="1160"/>
        <v>1</v>
      </c>
      <c r="BJ1011" s="1125">
        <f t="shared" si="1161"/>
        <v>0</v>
      </c>
      <c r="BK1011" s="1125">
        <f t="shared" si="1162"/>
        <v>1</v>
      </c>
      <c r="BL1011" s="1125">
        <f t="shared" si="1163"/>
        <v>1</v>
      </c>
      <c r="BM1011" s="1125">
        <f t="shared" si="1164"/>
        <v>1</v>
      </c>
      <c r="BN1011" s="1125">
        <f t="shared" si="1165"/>
        <v>0</v>
      </c>
      <c r="BO1011" s="1125">
        <f t="shared" si="1166"/>
        <v>0</v>
      </c>
      <c r="BP1011" s="1125">
        <f t="shared" si="1167"/>
        <v>0</v>
      </c>
      <c r="BQ1011" s="1125">
        <f t="shared" si="1168"/>
        <v>0</v>
      </c>
      <c r="BR1011" s="1125">
        <f t="shared" si="1169"/>
        <v>0</v>
      </c>
      <c r="BS1011" s="1125">
        <f t="shared" si="1170"/>
        <v>0</v>
      </c>
      <c r="BT1011" s="1125">
        <f t="shared" si="1171"/>
        <v>0</v>
      </c>
      <c r="BU1011" s="1125">
        <f t="shared" si="1172"/>
        <v>0</v>
      </c>
      <c r="BV1011" s="1125">
        <f t="shared" si="1173"/>
        <v>1</v>
      </c>
      <c r="BW1011" s="1125">
        <f t="shared" si="1174"/>
        <v>0</v>
      </c>
      <c r="BX1011" s="1125">
        <f t="shared" si="1175"/>
        <v>1</v>
      </c>
      <c r="BY1011" s="1125">
        <f t="shared" si="1176"/>
        <v>1</v>
      </c>
      <c r="BZ1011" s="1125">
        <f t="shared" si="1177"/>
        <v>1</v>
      </c>
      <c r="CA1011" s="1125">
        <f t="shared" si="1178"/>
        <v>1</v>
      </c>
      <c r="CB1011" s="1125">
        <f t="shared" si="1179"/>
        <v>1</v>
      </c>
      <c r="CC1011" s="1125">
        <f t="shared" si="1180"/>
        <v>1</v>
      </c>
      <c r="CD1011" s="1125">
        <f t="shared" si="1181"/>
        <v>1</v>
      </c>
      <c r="CE1011" s="1125">
        <f t="shared" si="1182"/>
        <v>1</v>
      </c>
      <c r="CF1011" s="1125">
        <f t="shared" si="1183"/>
        <v>1</v>
      </c>
      <c r="CG1011" s="1125">
        <f t="shared" si="1184"/>
        <v>1</v>
      </c>
      <c r="CH1011" s="1125">
        <f t="shared" si="1185"/>
        <v>1</v>
      </c>
      <c r="CI1011" s="1125">
        <f t="shared" si="1186"/>
        <v>0.85</v>
      </c>
      <c r="CJ1011" s="1125">
        <f t="shared" si="1187"/>
        <v>0.85</v>
      </c>
      <c r="CK1011" s="1125">
        <f t="shared" si="1188"/>
        <v>0.85</v>
      </c>
      <c r="CL1011" s="1125">
        <f t="shared" si="1189"/>
        <v>0.7</v>
      </c>
      <c r="CM1011" s="1125">
        <f t="shared" si="1190"/>
        <v>0.7</v>
      </c>
      <c r="CN1011" s="1125">
        <f t="shared" si="1191"/>
        <v>0.7</v>
      </c>
      <c r="CO1011" s="1125">
        <f t="shared" si="1192"/>
        <v>0.7</v>
      </c>
      <c r="CP1011" s="1125">
        <f t="shared" si="1193"/>
        <v>0.7</v>
      </c>
      <c r="CQ1011" s="1125">
        <f t="shared" si="1194"/>
        <v>0.7</v>
      </c>
      <c r="CR1011" s="1125">
        <f t="shared" si="1195"/>
        <v>0.7</v>
      </c>
      <c r="CS1011" s="1125">
        <f t="shared" si="1196"/>
        <v>0.7</v>
      </c>
      <c r="CT1011" s="1125">
        <f t="shared" si="1197"/>
        <v>0.85</v>
      </c>
      <c r="CU1011" s="1125">
        <v>1</v>
      </c>
      <c r="CV1011" s="1125"/>
      <c r="CW1011" s="1125">
        <f t="shared" si="1198"/>
        <v>334</v>
      </c>
      <c r="CX1011" s="1125">
        <f t="shared" si="1199"/>
        <v>31</v>
      </c>
      <c r="CY1011" s="1136" t="s">
        <v>4886</v>
      </c>
      <c r="CZ1011" s="1129" t="s">
        <v>4887</v>
      </c>
      <c r="DA1011" s="1129"/>
      <c r="DB1011" s="1129"/>
      <c r="DC1011" s="1125" t="s">
        <v>5009</v>
      </c>
      <c r="DD1011" s="1125" t="s">
        <v>1250</v>
      </c>
      <c r="DE1011" s="1125" t="str">
        <f t="shared" si="1200"/>
        <v/>
      </c>
      <c r="DF1011" s="1125">
        <v>0</v>
      </c>
      <c r="DG1011" s="1125">
        <v>0</v>
      </c>
    </row>
    <row r="1012" spans="1:111">
      <c r="A1012" s="1120" t="s">
        <v>4687</v>
      </c>
      <c r="B1012" s="1125" t="s">
        <v>4188</v>
      </c>
      <c r="C1012" s="1125" t="s">
        <v>4189</v>
      </c>
      <c r="D1012" s="1125" t="s">
        <v>229</v>
      </c>
      <c r="E1012" s="1125">
        <v>879</v>
      </c>
      <c r="F1012" s="1125">
        <v>-81.900000000000006</v>
      </c>
      <c r="G1012" s="1125">
        <v>39.950000000000003</v>
      </c>
      <c r="H1012" s="1125">
        <v>-5</v>
      </c>
      <c r="I1012" s="1126">
        <v>9.5</v>
      </c>
      <c r="J1012" s="1126">
        <v>87.8</v>
      </c>
      <c r="K1012" s="1127">
        <v>73.039998626708979</v>
      </c>
      <c r="L1012" s="1125">
        <v>4761</v>
      </c>
      <c r="M1012" s="1125">
        <v>777.6</v>
      </c>
      <c r="N1012" s="1128">
        <v>37.579999828338622</v>
      </c>
      <c r="O1012" s="1128">
        <v>35.960000085830686</v>
      </c>
      <c r="P1012" s="1128">
        <v>42.8</v>
      </c>
      <c r="Q1012" s="1128">
        <v>55.4</v>
      </c>
      <c r="R1012" s="1128">
        <v>65.119999313354498</v>
      </c>
      <c r="S1012" s="1128">
        <v>66.2</v>
      </c>
      <c r="T1012" s="1128">
        <v>73.039998626708979</v>
      </c>
      <c r="U1012" s="1128">
        <v>69.080000686645505</v>
      </c>
      <c r="V1012" s="1128">
        <v>64.039998626708979</v>
      </c>
      <c r="W1012" s="1128">
        <v>52.159999656677243</v>
      </c>
      <c r="X1012" s="1128">
        <v>45.140000343322754</v>
      </c>
      <c r="Y1012" s="1128">
        <v>33.799999999999997</v>
      </c>
      <c r="Z1012" s="1128">
        <v>53.455506610870358</v>
      </c>
      <c r="AA1012" s="1128">
        <f t="shared" si="1126"/>
        <v>50.674869352643462</v>
      </c>
      <c r="AB1012" s="1128">
        <f t="shared" si="1127"/>
        <v>49.780845004284529</v>
      </c>
      <c r="AC1012" s="1128">
        <f t="shared" si="1128"/>
        <v>51.408670294730491</v>
      </c>
      <c r="AD1012" s="1128">
        <f t="shared" si="1129"/>
        <v>55.134027476479559</v>
      </c>
      <c r="AE1012" s="1128">
        <f t="shared" si="1130"/>
        <v>59.985844790616895</v>
      </c>
      <c r="AF1012" s="1128">
        <f t="shared" si="1131"/>
        <v>64.699421285444558</v>
      </c>
      <c r="AG1012" s="1128">
        <f t="shared" si="1132"/>
        <v>68.046090609173191</v>
      </c>
      <c r="AH1012" s="1128">
        <f t="shared" si="1133"/>
        <v>69.153491828837517</v>
      </c>
      <c r="AI1012" s="1128">
        <f t="shared" si="1134"/>
        <v>67.732963750962668</v>
      </c>
      <c r="AJ1012" s="1128">
        <f t="shared" si="1135"/>
        <v>64.154788910047031</v>
      </c>
      <c r="AK1012" s="1128">
        <f t="shared" si="1136"/>
        <v>59.35167371971869</v>
      </c>
      <c r="AL1012" s="1128">
        <f t="shared" si="1137"/>
        <v>54.575624172582316</v>
      </c>
      <c r="AM1012" s="1125">
        <f t="shared" si="1138"/>
        <v>1</v>
      </c>
      <c r="AN1012" s="1125">
        <f t="shared" si="1139"/>
        <v>1</v>
      </c>
      <c r="AO1012" s="1125">
        <f t="shared" si="1140"/>
        <v>1</v>
      </c>
      <c r="AP1012" s="1125">
        <f t="shared" si="1141"/>
        <v>1</v>
      </c>
      <c r="AQ1012" s="1125">
        <f t="shared" si="1142"/>
        <v>1</v>
      </c>
      <c r="AR1012" s="1125">
        <f t="shared" si="1143"/>
        <v>0</v>
      </c>
      <c r="AS1012" s="1125">
        <f t="shared" si="1144"/>
        <v>0</v>
      </c>
      <c r="AT1012" s="1125">
        <f t="shared" si="1145"/>
        <v>0</v>
      </c>
      <c r="AU1012" s="1125">
        <f t="shared" si="1146"/>
        <v>1</v>
      </c>
      <c r="AV1012" s="1125">
        <f t="shared" si="1147"/>
        <v>1</v>
      </c>
      <c r="AW1012" s="1125">
        <f t="shared" si="1148"/>
        <v>1</v>
      </c>
      <c r="AX1012" s="1125">
        <f t="shared" si="1149"/>
        <v>1</v>
      </c>
      <c r="AY1012" s="1125">
        <f t="shared" si="1150"/>
        <v>0</v>
      </c>
      <c r="AZ1012" s="1125">
        <f t="shared" si="1151"/>
        <v>0</v>
      </c>
      <c r="BA1012" s="1125">
        <f t="shared" si="1152"/>
        <v>0</v>
      </c>
      <c r="BB1012" s="1125">
        <f t="shared" si="1153"/>
        <v>0</v>
      </c>
      <c r="BC1012" s="1125">
        <f t="shared" si="1154"/>
        <v>0</v>
      </c>
      <c r="BD1012" s="1125">
        <f t="shared" si="1155"/>
        <v>1</v>
      </c>
      <c r="BE1012" s="1125">
        <f t="shared" si="1156"/>
        <v>1</v>
      </c>
      <c r="BF1012" s="1125">
        <f t="shared" si="1157"/>
        <v>1</v>
      </c>
      <c r="BG1012" s="1125">
        <f t="shared" si="1158"/>
        <v>0</v>
      </c>
      <c r="BH1012" s="1125">
        <f t="shared" si="1159"/>
        <v>0</v>
      </c>
      <c r="BI1012" s="1125">
        <f t="shared" si="1160"/>
        <v>0</v>
      </c>
      <c r="BJ1012" s="1125">
        <f t="shared" si="1161"/>
        <v>0</v>
      </c>
      <c r="BK1012" s="1125">
        <f t="shared" si="1162"/>
        <v>1</v>
      </c>
      <c r="BL1012" s="1125">
        <f t="shared" si="1163"/>
        <v>1</v>
      </c>
      <c r="BM1012" s="1125">
        <f t="shared" si="1164"/>
        <v>1</v>
      </c>
      <c r="BN1012" s="1125">
        <f t="shared" si="1165"/>
        <v>1</v>
      </c>
      <c r="BO1012" s="1125">
        <f t="shared" si="1166"/>
        <v>1</v>
      </c>
      <c r="BP1012" s="1125">
        <f t="shared" si="1167"/>
        <v>1</v>
      </c>
      <c r="BQ1012" s="1125">
        <f t="shared" si="1168"/>
        <v>0</v>
      </c>
      <c r="BR1012" s="1125">
        <f t="shared" si="1169"/>
        <v>0</v>
      </c>
      <c r="BS1012" s="1125">
        <f t="shared" si="1170"/>
        <v>1</v>
      </c>
      <c r="BT1012" s="1125">
        <f t="shared" si="1171"/>
        <v>1</v>
      </c>
      <c r="BU1012" s="1125">
        <f t="shared" si="1172"/>
        <v>1</v>
      </c>
      <c r="BV1012" s="1125">
        <f t="shared" si="1173"/>
        <v>1</v>
      </c>
      <c r="BW1012" s="1125">
        <f t="shared" si="1174"/>
        <v>0</v>
      </c>
      <c r="BX1012" s="1125">
        <f t="shared" si="1175"/>
        <v>0</v>
      </c>
      <c r="BY1012" s="1125">
        <f t="shared" si="1176"/>
        <v>0</v>
      </c>
      <c r="BZ1012" s="1125">
        <f t="shared" si="1177"/>
        <v>0</v>
      </c>
      <c r="CA1012" s="1125">
        <f t="shared" si="1178"/>
        <v>1</v>
      </c>
      <c r="CB1012" s="1125">
        <f t="shared" si="1179"/>
        <v>1</v>
      </c>
      <c r="CC1012" s="1125">
        <f t="shared" si="1180"/>
        <v>1</v>
      </c>
      <c r="CD1012" s="1125">
        <f t="shared" si="1181"/>
        <v>1</v>
      </c>
      <c r="CE1012" s="1125">
        <f t="shared" si="1182"/>
        <v>1</v>
      </c>
      <c r="CF1012" s="1125">
        <f t="shared" si="1183"/>
        <v>0</v>
      </c>
      <c r="CG1012" s="1125">
        <f t="shared" si="1184"/>
        <v>0</v>
      </c>
      <c r="CH1012" s="1125">
        <f t="shared" si="1185"/>
        <v>0</v>
      </c>
      <c r="CI1012" s="1125">
        <f t="shared" si="1186"/>
        <v>0.85</v>
      </c>
      <c r="CJ1012" s="1125">
        <f t="shared" si="1187"/>
        <v>0.85</v>
      </c>
      <c r="CK1012" s="1125">
        <f t="shared" si="1188"/>
        <v>0.85</v>
      </c>
      <c r="CL1012" s="1125">
        <f t="shared" si="1189"/>
        <v>0.85</v>
      </c>
      <c r="CM1012" s="1125">
        <f t="shared" si="1190"/>
        <v>0.85</v>
      </c>
      <c r="CN1012" s="1125">
        <f t="shared" si="1191"/>
        <v>0.85</v>
      </c>
      <c r="CO1012" s="1125">
        <f t="shared" si="1192"/>
        <v>0.7</v>
      </c>
      <c r="CP1012" s="1125">
        <f t="shared" si="1193"/>
        <v>0.7</v>
      </c>
      <c r="CQ1012" s="1125">
        <f t="shared" si="1194"/>
        <v>0.85</v>
      </c>
      <c r="CR1012" s="1125">
        <f t="shared" si="1195"/>
        <v>0.85</v>
      </c>
      <c r="CS1012" s="1125">
        <f t="shared" si="1196"/>
        <v>0.85</v>
      </c>
      <c r="CT1012" s="1125">
        <f t="shared" si="1197"/>
        <v>0.85</v>
      </c>
      <c r="CU1012" s="1125">
        <v>1</v>
      </c>
      <c r="CV1012" s="1125"/>
      <c r="CW1012" s="1125">
        <f t="shared" si="1198"/>
        <v>153</v>
      </c>
      <c r="CX1012" s="1125">
        <f t="shared" si="1199"/>
        <v>212</v>
      </c>
      <c r="CY1012" s="1136" t="s">
        <v>4889</v>
      </c>
      <c r="CZ1012" s="1129" t="s">
        <v>4897</v>
      </c>
      <c r="DA1012" s="1129"/>
      <c r="DB1012" s="1129"/>
      <c r="DC1012" s="1125" t="s">
        <v>5500</v>
      </c>
      <c r="DD1012" s="1125" t="s">
        <v>229</v>
      </c>
      <c r="DE1012" s="1120" t="str">
        <f t="shared" si="1200"/>
        <v/>
      </c>
      <c r="DF1012" s="1443">
        <v>0</v>
      </c>
      <c r="DG1012" s="1444">
        <v>0</v>
      </c>
    </row>
    <row r="1013" spans="1:111">
      <c r="A1013" s="1125"/>
      <c r="B1013" s="1125"/>
      <c r="C1013" s="1125"/>
      <c r="D1013" s="1125"/>
      <c r="E1013" s="1125"/>
      <c r="F1013" s="1125"/>
      <c r="G1013" s="1125"/>
      <c r="H1013" s="1125"/>
      <c r="I1013" s="1126"/>
      <c r="J1013" s="1126"/>
      <c r="K1013" s="1127"/>
      <c r="L1013" s="1125"/>
      <c r="M1013" s="1125"/>
      <c r="N1013" s="1128"/>
      <c r="O1013" s="1128"/>
      <c r="P1013" s="1128"/>
      <c r="Q1013" s="1128"/>
      <c r="R1013" s="1128"/>
      <c r="S1013" s="1128"/>
      <c r="T1013" s="1128"/>
      <c r="U1013" s="1128"/>
      <c r="V1013" s="1128"/>
      <c r="W1013" s="1128"/>
      <c r="X1013" s="1128"/>
      <c r="Y1013" s="1128"/>
      <c r="Z1013" s="1128"/>
      <c r="AA1013" s="1128"/>
      <c r="AB1013" s="1128"/>
      <c r="AC1013" s="1128"/>
      <c r="AD1013" s="1128"/>
      <c r="AE1013" s="1128"/>
      <c r="AF1013" s="1128"/>
      <c r="AG1013" s="1128"/>
      <c r="AH1013" s="1128"/>
      <c r="AI1013" s="1128"/>
      <c r="AJ1013" s="1128"/>
      <c r="AK1013" s="1128"/>
      <c r="AL1013" s="1128"/>
      <c r="AM1013" s="1125"/>
      <c r="AN1013" s="1125"/>
      <c r="AO1013" s="1125"/>
      <c r="AP1013" s="1125"/>
      <c r="AQ1013" s="1125"/>
      <c r="AR1013" s="1125"/>
      <c r="AS1013" s="1125"/>
      <c r="AT1013" s="1125"/>
      <c r="AU1013" s="1125"/>
      <c r="AV1013" s="1125"/>
      <c r="AW1013" s="1125"/>
      <c r="AX1013" s="1125"/>
      <c r="AY1013" s="1125"/>
      <c r="AZ1013" s="1125"/>
      <c r="BA1013" s="1125"/>
      <c r="BB1013" s="1125"/>
      <c r="BC1013" s="1125"/>
      <c r="BD1013" s="1125"/>
      <c r="BE1013" s="1125"/>
      <c r="BF1013" s="1125"/>
      <c r="BG1013" s="1125"/>
      <c r="BH1013" s="1125"/>
      <c r="BI1013" s="1125"/>
      <c r="BJ1013" s="1125"/>
      <c r="BK1013" s="1125"/>
      <c r="BL1013" s="1125"/>
      <c r="BM1013" s="1125"/>
      <c r="BN1013" s="1125"/>
      <c r="BO1013" s="1125"/>
      <c r="BP1013" s="1125"/>
      <c r="BQ1013" s="1125"/>
      <c r="BR1013" s="1125"/>
      <c r="BS1013" s="1125"/>
      <c r="BT1013" s="1125"/>
      <c r="BU1013" s="1125"/>
      <c r="BV1013" s="1125"/>
      <c r="BW1013" s="1125"/>
      <c r="BX1013" s="1125"/>
      <c r="BY1013" s="1125"/>
      <c r="BZ1013" s="1125"/>
      <c r="CA1013" s="1125"/>
      <c r="CB1013" s="1125"/>
      <c r="CC1013" s="1125"/>
      <c r="CD1013" s="1125"/>
      <c r="CE1013" s="1125"/>
      <c r="CF1013" s="1125"/>
      <c r="CG1013" s="1125"/>
      <c r="CH1013" s="1125"/>
      <c r="CI1013" s="1125"/>
      <c r="CJ1013" s="1125"/>
      <c r="CK1013" s="1125"/>
      <c r="CL1013" s="1125"/>
      <c r="CM1013" s="1125"/>
      <c r="CN1013" s="1125"/>
      <c r="CO1013" s="1125"/>
      <c r="CP1013" s="1125"/>
      <c r="CQ1013" s="1125"/>
      <c r="CR1013" s="1125"/>
      <c r="CS1013" s="1125"/>
      <c r="CT1013" s="1125"/>
      <c r="CU1013" s="1125"/>
      <c r="CV1013" s="1125"/>
      <c r="CW1013" s="1125"/>
      <c r="CX1013" s="1125"/>
      <c r="CY1013" s="1135" t="s">
        <v>4883</v>
      </c>
      <c r="CZ1013" s="1124" t="s">
        <v>4898</v>
      </c>
      <c r="DA1013" s="1124"/>
      <c r="DB1013" s="1124"/>
      <c r="DC1013" s="1120" t="s">
        <v>5117</v>
      </c>
      <c r="DD1013" s="1120" t="s">
        <v>6058</v>
      </c>
      <c r="DE1013" s="1120" t="b">
        <f>IF(AND(C1013=DC1013,D1013=DD1013),"",FALSE)</f>
        <v>0</v>
      </c>
      <c r="DF1013" s="1445">
        <f>SUM(DF3:DF1012)</f>
        <v>188</v>
      </c>
      <c r="DG1013" s="1445">
        <f>SUM(DG3:DG1012)</f>
        <v>0</v>
      </c>
    </row>
    <row r="1014" spans="1:111">
      <c r="A1014" s="1120"/>
      <c r="B1014" s="1120"/>
      <c r="C1014" s="1120"/>
      <c r="D1014" s="1120"/>
      <c r="E1014" s="1120"/>
      <c r="F1014" s="1120"/>
      <c r="G1014" s="1120"/>
      <c r="H1014" s="1120"/>
      <c r="I1014" s="1121"/>
      <c r="J1014" s="1121"/>
      <c r="K1014" s="1122"/>
      <c r="L1014" s="1120"/>
      <c r="M1014" s="1120"/>
      <c r="N1014" s="1123"/>
      <c r="O1014" s="1123"/>
      <c r="P1014" s="1123"/>
      <c r="Q1014" s="1123"/>
      <c r="R1014" s="1123"/>
      <c r="S1014" s="1123"/>
      <c r="T1014" s="1123"/>
      <c r="U1014" s="1123"/>
      <c r="V1014" s="1123"/>
      <c r="W1014" s="1123"/>
      <c r="X1014" s="1123"/>
      <c r="Y1014" s="1123"/>
      <c r="Z1014" s="1123"/>
      <c r="AA1014" s="1123"/>
      <c r="AB1014" s="1123"/>
      <c r="AC1014" s="1123"/>
      <c r="AD1014" s="1123"/>
      <c r="AE1014" s="1123"/>
      <c r="AF1014" s="1123"/>
      <c r="AG1014" s="1123"/>
      <c r="AH1014" s="1123"/>
      <c r="AI1014" s="1123"/>
      <c r="AJ1014" s="1123"/>
      <c r="AK1014" s="1123"/>
      <c r="AL1014" s="1123"/>
      <c r="AM1014" s="1120"/>
      <c r="AN1014" s="1120"/>
      <c r="AO1014" s="1120"/>
      <c r="AP1014" s="1120"/>
      <c r="AQ1014" s="1120"/>
      <c r="AR1014" s="1120"/>
      <c r="AS1014" s="1120"/>
      <c r="AT1014" s="1120"/>
      <c r="AU1014" s="1120"/>
      <c r="AV1014" s="1120"/>
      <c r="AW1014" s="1120"/>
      <c r="AX1014" s="1120"/>
      <c r="AY1014" s="1120"/>
      <c r="AZ1014" s="1120"/>
      <c r="BA1014" s="1120"/>
      <c r="BB1014" s="1120"/>
      <c r="BC1014" s="1120"/>
      <c r="BD1014" s="1120"/>
      <c r="BE1014" s="1120"/>
      <c r="BF1014" s="1120"/>
      <c r="BG1014" s="1120"/>
      <c r="BH1014" s="1120"/>
      <c r="BI1014" s="1120"/>
      <c r="BJ1014" s="1120"/>
      <c r="BK1014" s="1120"/>
      <c r="BL1014" s="1120"/>
      <c r="BM1014" s="1120"/>
      <c r="BN1014" s="1120"/>
      <c r="BO1014" s="1120"/>
      <c r="BP1014" s="1120"/>
      <c r="BQ1014" s="1120"/>
      <c r="BR1014" s="1120"/>
      <c r="BS1014" s="1120"/>
      <c r="BT1014" s="1120"/>
      <c r="BU1014" s="1120"/>
      <c r="BV1014" s="1120"/>
      <c r="BW1014" s="1120"/>
      <c r="BX1014" s="1120"/>
      <c r="BY1014" s="1120"/>
      <c r="BZ1014" s="1120"/>
      <c r="CA1014" s="1120"/>
      <c r="CB1014" s="1120"/>
      <c r="CC1014" s="1120"/>
      <c r="CD1014" s="1120"/>
      <c r="CE1014" s="1120"/>
      <c r="CF1014" s="1120"/>
      <c r="CG1014" s="1120"/>
      <c r="CH1014" s="1120"/>
      <c r="CI1014" s="1120"/>
      <c r="CJ1014" s="1120"/>
      <c r="CK1014" s="1120"/>
      <c r="CL1014" s="1120"/>
      <c r="CM1014" s="1120"/>
      <c r="CN1014" s="1120"/>
      <c r="CO1014" s="1120"/>
      <c r="CP1014" s="1120"/>
      <c r="CQ1014" s="1120"/>
      <c r="CR1014" s="1120"/>
      <c r="CS1014" s="1120"/>
      <c r="CT1014" s="1120"/>
      <c r="CU1014" s="1120"/>
      <c r="CV1014" s="1120"/>
      <c r="CW1014" s="1120"/>
      <c r="CX1014" s="1120"/>
      <c r="CY1014" s="1136" t="s">
        <v>4883</v>
      </c>
      <c r="CZ1014" s="1129" t="s">
        <v>4898</v>
      </c>
      <c r="DA1014" s="1129"/>
      <c r="DB1014" s="1129"/>
      <c r="DC1014" s="1125" t="s">
        <v>5118</v>
      </c>
      <c r="DD1014" s="1125" t="s">
        <v>6058</v>
      </c>
      <c r="DE1014" s="1120" t="b">
        <f>IF(AND(C1014=DC1014,D1014=DD1014),"",FALSE)</f>
        <v>0</v>
      </c>
      <c r="DF1014" s="1133">
        <f>COUNT(DF3:DF1012)</f>
        <v>1010</v>
      </c>
      <c r="DG1014" s="1120"/>
    </row>
    <row r="1015" spans="1:111">
      <c r="A1015" s="1125"/>
      <c r="B1015" s="1125"/>
      <c r="C1015" s="1125"/>
      <c r="D1015" s="1125"/>
      <c r="E1015" s="1125"/>
      <c r="F1015" s="1125"/>
      <c r="G1015" s="1125"/>
      <c r="H1015" s="1125"/>
      <c r="I1015" s="1126"/>
      <c r="J1015" s="1126"/>
      <c r="K1015" s="1127"/>
      <c r="L1015" s="1125"/>
      <c r="M1015" s="1125"/>
      <c r="N1015" s="1128"/>
      <c r="O1015" s="1128"/>
      <c r="P1015" s="1128"/>
      <c r="Q1015" s="1128"/>
      <c r="R1015" s="1128"/>
      <c r="S1015" s="1128"/>
      <c r="T1015" s="1128"/>
      <c r="U1015" s="1128"/>
      <c r="V1015" s="1128"/>
      <c r="W1015" s="1128"/>
      <c r="X1015" s="1128"/>
      <c r="Y1015" s="1128"/>
      <c r="Z1015" s="1128"/>
      <c r="AA1015" s="1128"/>
      <c r="AB1015" s="1128"/>
      <c r="AC1015" s="1128"/>
      <c r="AD1015" s="1128"/>
      <c r="AE1015" s="1128"/>
      <c r="AF1015" s="1128"/>
      <c r="AG1015" s="1128"/>
      <c r="AH1015" s="1128"/>
      <c r="AI1015" s="1128"/>
      <c r="AJ1015" s="1128"/>
      <c r="AK1015" s="1128"/>
      <c r="AL1015" s="1128"/>
      <c r="AM1015" s="1125"/>
      <c r="AN1015" s="1125"/>
      <c r="AO1015" s="1125"/>
      <c r="AP1015" s="1125"/>
      <c r="AQ1015" s="1125"/>
      <c r="AR1015" s="1125"/>
      <c r="AS1015" s="1125"/>
      <c r="AT1015" s="1125"/>
      <c r="AU1015" s="1125"/>
      <c r="AV1015" s="1125"/>
      <c r="AW1015" s="1125"/>
      <c r="AX1015" s="1125"/>
      <c r="AY1015" s="1125"/>
      <c r="AZ1015" s="1125"/>
      <c r="BA1015" s="1125"/>
      <c r="BB1015" s="1125"/>
      <c r="BC1015" s="1125"/>
      <c r="BD1015" s="1125"/>
      <c r="BE1015" s="1125"/>
      <c r="BF1015" s="1125"/>
      <c r="BG1015" s="1125"/>
      <c r="BH1015" s="1125"/>
      <c r="BI1015" s="1125"/>
      <c r="BJ1015" s="1125"/>
      <c r="BK1015" s="1125"/>
      <c r="BL1015" s="1125"/>
      <c r="BM1015" s="1125"/>
      <c r="BN1015" s="1125"/>
      <c r="BO1015" s="1125"/>
      <c r="BP1015" s="1125"/>
      <c r="BQ1015" s="1125"/>
      <c r="BR1015" s="1125"/>
      <c r="BS1015" s="1125"/>
      <c r="BT1015" s="1125"/>
      <c r="BU1015" s="1125"/>
      <c r="BV1015" s="1125"/>
      <c r="BW1015" s="1125"/>
      <c r="BX1015" s="1125"/>
      <c r="BY1015" s="1125"/>
      <c r="BZ1015" s="1125"/>
      <c r="CA1015" s="1125"/>
      <c r="CB1015" s="1125"/>
      <c r="CC1015" s="1125"/>
      <c r="CD1015" s="1125"/>
      <c r="CE1015" s="1125"/>
      <c r="CF1015" s="1125"/>
      <c r="CG1015" s="1125"/>
      <c r="CH1015" s="1125"/>
      <c r="CI1015" s="1125"/>
      <c r="CJ1015" s="1125"/>
      <c r="CK1015" s="1125"/>
      <c r="CL1015" s="1125"/>
      <c r="CM1015" s="1125"/>
      <c r="CN1015" s="1125"/>
      <c r="CO1015" s="1125"/>
      <c r="CP1015" s="1125"/>
      <c r="CQ1015" s="1125"/>
      <c r="CR1015" s="1125"/>
      <c r="CS1015" s="1125"/>
      <c r="CT1015" s="1125"/>
      <c r="CU1015" s="1125"/>
      <c r="CV1015" s="1125"/>
      <c r="CW1015" s="1125"/>
      <c r="CX1015" s="1125"/>
      <c r="CY1015" s="1136" t="s">
        <v>4889</v>
      </c>
      <c r="CZ1015" s="1129" t="s">
        <v>4899</v>
      </c>
      <c r="DA1015" s="1129"/>
      <c r="DB1015" s="1129"/>
      <c r="DC1015" s="1125" t="s">
        <v>5283</v>
      </c>
      <c r="DD1015" s="1125" t="s">
        <v>6059</v>
      </c>
      <c r="DE1015" s="1120" t="b">
        <f>IF(AND(C1015=DC1015,D1015=DD1015),"",FALSE)</f>
        <v>0</v>
      </c>
      <c r="DF1015" s="1133" t="str">
        <f>IF(DE1015=FALSE,"not okay","")</f>
        <v>not okay</v>
      </c>
      <c r="DG1015" s="1125"/>
    </row>
    <row r="1016" spans="1:111">
      <c r="A1016" s="1120"/>
      <c r="B1016" s="1120"/>
      <c r="C1016" s="1120"/>
      <c r="D1016" s="1120"/>
      <c r="E1016" s="1120"/>
      <c r="F1016" s="1120"/>
      <c r="G1016" s="1120"/>
      <c r="H1016" s="1120"/>
      <c r="I1016" s="1121"/>
      <c r="J1016" s="1121"/>
      <c r="K1016" s="1122"/>
      <c r="L1016" s="1120"/>
      <c r="M1016" s="1120"/>
      <c r="N1016" s="1123"/>
      <c r="O1016" s="1123"/>
      <c r="P1016" s="1123"/>
      <c r="Q1016" s="1123"/>
      <c r="R1016" s="1123"/>
      <c r="S1016" s="1123"/>
      <c r="T1016" s="1123"/>
      <c r="U1016" s="1123"/>
      <c r="V1016" s="1123"/>
      <c r="W1016" s="1123"/>
      <c r="X1016" s="1123"/>
      <c r="Y1016" s="1123"/>
      <c r="Z1016" s="1123"/>
      <c r="AA1016" s="1123"/>
      <c r="AB1016" s="1123"/>
      <c r="AC1016" s="1123"/>
      <c r="AD1016" s="1123"/>
      <c r="AE1016" s="1123"/>
      <c r="AF1016" s="1123"/>
      <c r="AG1016" s="1123"/>
      <c r="AH1016" s="1123"/>
      <c r="AI1016" s="1123"/>
      <c r="AJ1016" s="1123"/>
      <c r="AK1016" s="1123"/>
      <c r="AL1016" s="1123"/>
      <c r="AM1016" s="1120"/>
      <c r="AN1016" s="1120"/>
      <c r="AO1016" s="1120"/>
      <c r="AP1016" s="1120"/>
      <c r="AQ1016" s="1120"/>
      <c r="AR1016" s="1120"/>
      <c r="AS1016" s="1120"/>
      <c r="AT1016" s="1120"/>
      <c r="AU1016" s="1120"/>
      <c r="AV1016" s="1120"/>
      <c r="AW1016" s="1120"/>
      <c r="AX1016" s="1120"/>
      <c r="AY1016" s="1120"/>
      <c r="AZ1016" s="1120"/>
      <c r="BA1016" s="1120"/>
      <c r="BB1016" s="1120"/>
      <c r="BC1016" s="1120"/>
      <c r="BD1016" s="1120"/>
      <c r="BE1016" s="1120"/>
      <c r="BF1016" s="1120"/>
      <c r="BG1016" s="1120"/>
      <c r="BH1016" s="1120"/>
      <c r="BI1016" s="1120"/>
      <c r="BJ1016" s="1120"/>
      <c r="BK1016" s="1120"/>
      <c r="BL1016" s="1120"/>
      <c r="BM1016" s="1120"/>
      <c r="BN1016" s="1120"/>
      <c r="BO1016" s="1120"/>
      <c r="BP1016" s="1120"/>
      <c r="BQ1016" s="1120"/>
      <c r="BR1016" s="1120"/>
      <c r="BS1016" s="1120"/>
      <c r="BT1016" s="1120"/>
      <c r="BU1016" s="1120"/>
      <c r="BV1016" s="1120"/>
      <c r="BW1016" s="1120"/>
      <c r="BX1016" s="1120"/>
      <c r="BY1016" s="1120"/>
      <c r="BZ1016" s="1120"/>
      <c r="CA1016" s="1120"/>
      <c r="CB1016" s="1120"/>
      <c r="CC1016" s="1120"/>
      <c r="CD1016" s="1120"/>
      <c r="CE1016" s="1120"/>
      <c r="CF1016" s="1120"/>
      <c r="CG1016" s="1120"/>
      <c r="CH1016" s="1120"/>
      <c r="CI1016" s="1120"/>
      <c r="CJ1016" s="1120"/>
      <c r="CK1016" s="1120"/>
      <c r="CL1016" s="1120"/>
      <c r="CM1016" s="1120"/>
      <c r="CN1016" s="1120"/>
      <c r="CO1016" s="1120"/>
      <c r="CP1016" s="1120"/>
      <c r="CQ1016" s="1120"/>
      <c r="CR1016" s="1120"/>
      <c r="CS1016" s="1120"/>
      <c r="CT1016" s="1120"/>
      <c r="CU1016" s="1120"/>
      <c r="CV1016" s="1120"/>
      <c r="CW1016" s="1120"/>
      <c r="CX1016" s="1120"/>
      <c r="CY1016" s="1135" t="s">
        <v>4889</v>
      </c>
      <c r="CZ1016" s="1124" t="s">
        <v>4899</v>
      </c>
      <c r="DA1016" s="1124"/>
      <c r="DB1016" s="1124"/>
      <c r="DC1016" s="1120" t="s">
        <v>5288</v>
      </c>
      <c r="DD1016" s="1120" t="s">
        <v>6059</v>
      </c>
      <c r="DE1016" s="1120" t="b">
        <f>IF(AND(C1016=DC1016,D1016=DD1016),"",FALSE)</f>
        <v>0</v>
      </c>
      <c r="DF1016" s="1133" t="str">
        <f>IF(DE1016=FALSE,"not okay","")</f>
        <v>not okay</v>
      </c>
      <c r="DG1016" s="1120"/>
    </row>
    <row r="1017" spans="1:111">
      <c r="A1017" s="1125"/>
      <c r="B1017" s="1125"/>
      <c r="C1017" s="1125"/>
      <c r="D1017" s="1125"/>
      <c r="E1017" s="1125"/>
      <c r="F1017" s="1125"/>
      <c r="G1017" s="1125"/>
      <c r="H1017" s="1125"/>
      <c r="I1017" s="1126"/>
      <c r="J1017" s="1126"/>
      <c r="K1017" s="1127"/>
      <c r="L1017" s="1125"/>
      <c r="M1017" s="1125"/>
      <c r="N1017" s="1128"/>
      <c r="O1017" s="1128"/>
      <c r="P1017" s="1128"/>
      <c r="Q1017" s="1128"/>
      <c r="R1017" s="1128"/>
      <c r="S1017" s="1128"/>
      <c r="T1017" s="1128"/>
      <c r="U1017" s="1128"/>
      <c r="V1017" s="1128"/>
      <c r="W1017" s="1128"/>
      <c r="X1017" s="1128"/>
      <c r="Y1017" s="1128"/>
      <c r="Z1017" s="1128"/>
      <c r="AA1017" s="1128"/>
      <c r="AB1017" s="1128"/>
      <c r="AC1017" s="1128"/>
      <c r="AD1017" s="1128"/>
      <c r="AE1017" s="1128"/>
      <c r="AF1017" s="1128"/>
      <c r="AG1017" s="1128"/>
      <c r="AH1017" s="1128"/>
      <c r="AI1017" s="1128"/>
      <c r="AJ1017" s="1128"/>
      <c r="AK1017" s="1128"/>
      <c r="AL1017" s="1128"/>
      <c r="AM1017" s="1125"/>
      <c r="AN1017" s="1125"/>
      <c r="AO1017" s="1125"/>
      <c r="AP1017" s="1125"/>
      <c r="AQ1017" s="1125"/>
      <c r="AR1017" s="1125"/>
      <c r="AS1017" s="1125"/>
      <c r="AT1017" s="1125"/>
      <c r="AU1017" s="1125"/>
      <c r="AV1017" s="1125"/>
      <c r="AW1017" s="1125"/>
      <c r="AX1017" s="1125"/>
      <c r="AY1017" s="1125"/>
      <c r="AZ1017" s="1125"/>
      <c r="BA1017" s="1125"/>
      <c r="BB1017" s="1125"/>
      <c r="BC1017" s="1125"/>
      <c r="BD1017" s="1125"/>
      <c r="BE1017" s="1125"/>
      <c r="BF1017" s="1125"/>
      <c r="BG1017" s="1125"/>
      <c r="BH1017" s="1125"/>
      <c r="BI1017" s="1125"/>
      <c r="BJ1017" s="1125"/>
      <c r="BK1017" s="1125"/>
      <c r="BL1017" s="1125"/>
      <c r="BM1017" s="1125"/>
      <c r="BN1017" s="1125"/>
      <c r="BO1017" s="1125"/>
      <c r="BP1017" s="1125"/>
      <c r="BQ1017" s="1125"/>
      <c r="BR1017" s="1125"/>
      <c r="BS1017" s="1125"/>
      <c r="BT1017" s="1125"/>
      <c r="BU1017" s="1125"/>
      <c r="BV1017" s="1125"/>
      <c r="BW1017" s="1125"/>
      <c r="BX1017" s="1125"/>
      <c r="BY1017" s="1125"/>
      <c r="BZ1017" s="1125"/>
      <c r="CA1017" s="1125"/>
      <c r="CB1017" s="1125"/>
      <c r="CC1017" s="1125"/>
      <c r="CD1017" s="1125"/>
      <c r="CE1017" s="1125"/>
      <c r="CF1017" s="1125"/>
      <c r="CG1017" s="1125"/>
      <c r="CH1017" s="1125"/>
      <c r="CI1017" s="1125"/>
      <c r="CJ1017" s="1125"/>
      <c r="CK1017" s="1125"/>
      <c r="CL1017" s="1125"/>
      <c r="CM1017" s="1125"/>
      <c r="CN1017" s="1125"/>
      <c r="CO1017" s="1125"/>
      <c r="CP1017" s="1125"/>
      <c r="CQ1017" s="1125"/>
      <c r="CR1017" s="1125"/>
      <c r="CS1017" s="1125"/>
      <c r="CT1017" s="1125"/>
      <c r="CU1017" s="1125"/>
      <c r="CV1017" s="1125"/>
      <c r="CW1017" s="1125"/>
      <c r="CX1017" s="1125"/>
      <c r="DF1017" s="1">
        <f>COUNTIF($DF$3:$DF$1012,"=0")</f>
        <v>822</v>
      </c>
      <c r="DG1017" s="1125"/>
    </row>
    <row r="1018" spans="1:111">
      <c r="A1018" s="1120"/>
      <c r="B1018" s="1120"/>
      <c r="C1018" s="1120"/>
      <c r="D1018" s="1120"/>
      <c r="E1018" s="1120"/>
      <c r="F1018" s="1120"/>
      <c r="G1018" s="1120"/>
      <c r="H1018" s="1120"/>
      <c r="I1018" s="1121"/>
      <c r="J1018" s="1121"/>
      <c r="K1018" s="1122"/>
      <c r="L1018" s="1120"/>
      <c r="M1018" s="1120"/>
      <c r="N1018" s="1123"/>
      <c r="O1018" s="1123"/>
      <c r="P1018" s="1123"/>
      <c r="Q1018" s="1123"/>
      <c r="R1018" s="1123"/>
      <c r="S1018" s="1123"/>
      <c r="T1018" s="1123"/>
      <c r="U1018" s="1123"/>
      <c r="V1018" s="1123"/>
      <c r="W1018" s="1123"/>
      <c r="X1018" s="1123"/>
      <c r="Y1018" s="1123"/>
      <c r="Z1018" s="1123"/>
      <c r="AA1018" s="1123"/>
      <c r="AB1018" s="1123"/>
      <c r="AC1018" s="1123"/>
      <c r="AD1018" s="1123"/>
      <c r="AE1018" s="1123"/>
      <c r="AF1018" s="1123"/>
      <c r="AG1018" s="1123"/>
      <c r="AH1018" s="1123"/>
      <c r="AI1018" s="1123"/>
      <c r="AJ1018" s="1123"/>
      <c r="AK1018" s="1123"/>
      <c r="AL1018" s="1123"/>
      <c r="AM1018" s="1120"/>
      <c r="AN1018" s="1120"/>
      <c r="AO1018" s="1120"/>
      <c r="AP1018" s="1120"/>
      <c r="AQ1018" s="1120"/>
      <c r="AR1018" s="1120"/>
      <c r="AS1018" s="1120"/>
      <c r="AT1018" s="1120"/>
      <c r="AU1018" s="1120"/>
      <c r="AV1018" s="1120"/>
      <c r="AW1018" s="1120"/>
      <c r="AX1018" s="1120"/>
      <c r="AY1018" s="1120"/>
      <c r="AZ1018" s="1120"/>
      <c r="BA1018" s="1120"/>
      <c r="BB1018" s="1120"/>
      <c r="BC1018" s="1120"/>
      <c r="BD1018" s="1120"/>
      <c r="BE1018" s="1120"/>
      <c r="BF1018" s="1120"/>
      <c r="BG1018" s="1120"/>
      <c r="BH1018" s="1120"/>
      <c r="BI1018" s="1120"/>
      <c r="BJ1018" s="1120"/>
      <c r="BK1018" s="1120"/>
      <c r="BL1018" s="1120"/>
      <c r="BM1018" s="1120"/>
      <c r="BN1018" s="1120"/>
      <c r="BO1018" s="1120"/>
      <c r="BP1018" s="1120"/>
      <c r="BQ1018" s="1120"/>
      <c r="BR1018" s="1120"/>
      <c r="BS1018" s="1120"/>
      <c r="BT1018" s="1120"/>
      <c r="BU1018" s="1120"/>
      <c r="BV1018" s="1120"/>
      <c r="BW1018" s="1120"/>
      <c r="BX1018" s="1120"/>
      <c r="BY1018" s="1120"/>
      <c r="BZ1018" s="1120"/>
      <c r="CA1018" s="1120"/>
      <c r="CB1018" s="1120"/>
      <c r="CC1018" s="1120"/>
      <c r="CD1018" s="1120"/>
      <c r="CE1018" s="1120"/>
      <c r="CF1018" s="1120"/>
      <c r="CG1018" s="1120"/>
      <c r="CH1018" s="1120"/>
      <c r="CI1018" s="1120"/>
      <c r="CJ1018" s="1120"/>
      <c r="CK1018" s="1120"/>
      <c r="CL1018" s="1120"/>
      <c r="CM1018" s="1120"/>
      <c r="CN1018" s="1120"/>
      <c r="CO1018" s="1120"/>
      <c r="CP1018" s="1120"/>
      <c r="CQ1018" s="1120"/>
      <c r="CR1018" s="1120"/>
      <c r="CS1018" s="1120"/>
      <c r="CT1018" s="1120"/>
      <c r="CU1018" s="1120"/>
      <c r="CV1018" s="1120"/>
      <c r="CW1018" s="1120"/>
      <c r="CX1018" s="1120"/>
      <c r="DF1018" s="1298">
        <f>(DF1014-DF1017)/DF1014</f>
        <v>0.18613861386138614</v>
      </c>
      <c r="DG1018" s="1120"/>
    </row>
    <row r="1019" spans="1:111">
      <c r="A1019" s="1125"/>
      <c r="B1019" s="1125"/>
      <c r="C1019" s="1125"/>
      <c r="D1019" s="1125"/>
      <c r="E1019" s="1125"/>
      <c r="F1019" s="1125"/>
      <c r="G1019" s="1125"/>
      <c r="H1019" s="1125"/>
      <c r="I1019" s="1126"/>
      <c r="J1019" s="1126"/>
      <c r="K1019" s="1127"/>
      <c r="L1019" s="1125"/>
      <c r="M1019" s="1125"/>
      <c r="N1019" s="1128"/>
      <c r="O1019" s="1128"/>
      <c r="P1019" s="1128"/>
      <c r="Q1019" s="1128"/>
      <c r="R1019" s="1128"/>
      <c r="S1019" s="1128"/>
      <c r="T1019" s="1128"/>
      <c r="U1019" s="1128"/>
      <c r="V1019" s="1128"/>
      <c r="W1019" s="1128"/>
      <c r="X1019" s="1128"/>
      <c r="Y1019" s="1128"/>
      <c r="Z1019" s="1128"/>
      <c r="AA1019" s="1128"/>
      <c r="AB1019" s="1128"/>
      <c r="AC1019" s="1128"/>
      <c r="AD1019" s="1128"/>
      <c r="AE1019" s="1128"/>
      <c r="AF1019" s="1128"/>
      <c r="AG1019" s="1128"/>
      <c r="AH1019" s="1128"/>
      <c r="AI1019" s="1128"/>
      <c r="AJ1019" s="1128"/>
      <c r="AK1019" s="1128"/>
      <c r="AL1019" s="1128"/>
      <c r="AM1019" s="1125"/>
      <c r="AN1019" s="1125"/>
      <c r="AO1019" s="1125"/>
      <c r="AP1019" s="1125"/>
      <c r="AQ1019" s="1125"/>
      <c r="AR1019" s="1125"/>
      <c r="AS1019" s="1125"/>
      <c r="AT1019" s="1125"/>
      <c r="AU1019" s="1125"/>
      <c r="AV1019" s="1125"/>
      <c r="AW1019" s="1125"/>
      <c r="AX1019" s="1125"/>
      <c r="AY1019" s="1125"/>
      <c r="AZ1019" s="1125"/>
      <c r="BA1019" s="1125"/>
      <c r="BB1019" s="1125"/>
      <c r="BC1019" s="1125"/>
      <c r="BD1019" s="1125"/>
      <c r="BE1019" s="1125"/>
      <c r="BF1019" s="1125"/>
      <c r="BG1019" s="1125"/>
      <c r="BH1019" s="1125"/>
      <c r="BI1019" s="1125"/>
      <c r="BJ1019" s="1125"/>
      <c r="BK1019" s="1125"/>
      <c r="BL1019" s="1125"/>
      <c r="BM1019" s="1125"/>
      <c r="BN1019" s="1125"/>
      <c r="BO1019" s="1125"/>
      <c r="BP1019" s="1125"/>
      <c r="BQ1019" s="1125"/>
      <c r="BR1019" s="1125"/>
      <c r="BS1019" s="1125"/>
      <c r="BT1019" s="1125"/>
      <c r="BU1019" s="1125"/>
      <c r="BV1019" s="1125"/>
      <c r="BW1019" s="1125"/>
      <c r="BX1019" s="1125"/>
      <c r="BY1019" s="1125"/>
      <c r="BZ1019" s="1125"/>
      <c r="CA1019" s="1125"/>
      <c r="CB1019" s="1125"/>
      <c r="CC1019" s="1125"/>
      <c r="CD1019" s="1125"/>
      <c r="CE1019" s="1125"/>
      <c r="CF1019" s="1125"/>
      <c r="CG1019" s="1125"/>
      <c r="CH1019" s="1125"/>
      <c r="CI1019" s="1125"/>
      <c r="CJ1019" s="1125"/>
      <c r="CK1019" s="1125"/>
      <c r="CL1019" s="1125"/>
      <c r="CM1019" s="1125"/>
      <c r="CN1019" s="1125"/>
      <c r="CO1019" s="1125"/>
      <c r="CP1019" s="1125"/>
      <c r="CQ1019" s="1125"/>
      <c r="CR1019" s="1125"/>
      <c r="CS1019" s="1125"/>
      <c r="CT1019" s="1125"/>
      <c r="CU1019" s="1125"/>
      <c r="CV1019" s="1125"/>
      <c r="CW1019" s="1125"/>
      <c r="CX1019" s="1125"/>
      <c r="DF1019" s="1">
        <f>COUNTIF($DF$3:$DF$1012,"=2")</f>
        <v>0</v>
      </c>
      <c r="DG1019" s="1125"/>
    </row>
    <row r="1020" spans="1:111">
      <c r="A1020" s="1120"/>
      <c r="B1020" s="1120"/>
      <c r="C1020" s="1120"/>
      <c r="D1020" s="1120"/>
      <c r="E1020" s="1120"/>
      <c r="F1020" s="1120"/>
      <c r="G1020" s="1120"/>
      <c r="H1020" s="1120"/>
      <c r="I1020" s="1121"/>
      <c r="J1020" s="1121"/>
      <c r="K1020" s="1122"/>
      <c r="L1020" s="1120"/>
      <c r="M1020" s="1120"/>
      <c r="N1020" s="1123"/>
      <c r="O1020" s="1123"/>
      <c r="P1020" s="1123"/>
      <c r="Q1020" s="1123"/>
      <c r="R1020" s="1123"/>
      <c r="S1020" s="1123"/>
      <c r="T1020" s="1123"/>
      <c r="U1020" s="1123"/>
      <c r="V1020" s="1123"/>
      <c r="W1020" s="1123"/>
      <c r="X1020" s="1123"/>
      <c r="Y1020" s="1123"/>
      <c r="Z1020" s="1123"/>
      <c r="AA1020" s="1123"/>
      <c r="AB1020" s="1123"/>
      <c r="AC1020" s="1123"/>
      <c r="AD1020" s="1123"/>
      <c r="AE1020" s="1123"/>
      <c r="AF1020" s="1123"/>
      <c r="AG1020" s="1123"/>
      <c r="AH1020" s="1123"/>
      <c r="AI1020" s="1123"/>
      <c r="AJ1020" s="1123"/>
      <c r="AK1020" s="1123"/>
      <c r="AL1020" s="1123"/>
      <c r="AM1020" s="1120"/>
      <c r="AN1020" s="1120"/>
      <c r="AO1020" s="1120"/>
      <c r="AP1020" s="1120"/>
      <c r="AQ1020" s="1120"/>
      <c r="AR1020" s="1120"/>
      <c r="AS1020" s="1120"/>
      <c r="AT1020" s="1120"/>
      <c r="AU1020" s="1120"/>
      <c r="AV1020" s="1120"/>
      <c r="AW1020" s="1120"/>
      <c r="AX1020" s="1120"/>
      <c r="AY1020" s="1120"/>
      <c r="AZ1020" s="1120"/>
      <c r="BA1020" s="1120"/>
      <c r="BB1020" s="1120"/>
      <c r="BC1020" s="1120"/>
      <c r="BD1020" s="1120"/>
      <c r="BE1020" s="1120"/>
      <c r="BF1020" s="1120"/>
      <c r="BG1020" s="1120"/>
      <c r="BH1020" s="1120"/>
      <c r="BI1020" s="1120"/>
      <c r="BJ1020" s="1120"/>
      <c r="BK1020" s="1120"/>
      <c r="BL1020" s="1120"/>
      <c r="BM1020" s="1120"/>
      <c r="BN1020" s="1120"/>
      <c r="BO1020" s="1120"/>
      <c r="BP1020" s="1120"/>
      <c r="BQ1020" s="1120"/>
      <c r="BR1020" s="1120"/>
      <c r="BS1020" s="1120"/>
      <c r="BT1020" s="1120"/>
      <c r="BU1020" s="1120"/>
      <c r="BV1020" s="1120"/>
      <c r="BW1020" s="1120"/>
      <c r="BX1020" s="1120"/>
      <c r="BY1020" s="1120"/>
      <c r="BZ1020" s="1120"/>
      <c r="CA1020" s="1120"/>
      <c r="CB1020" s="1120"/>
      <c r="CC1020" s="1120"/>
      <c r="CD1020" s="1120"/>
      <c r="CE1020" s="1120"/>
      <c r="CF1020" s="1120"/>
      <c r="CG1020" s="1120"/>
      <c r="CH1020" s="1120"/>
      <c r="CI1020" s="1120"/>
      <c r="CJ1020" s="1120"/>
      <c r="CK1020" s="1120"/>
      <c r="CL1020" s="1120"/>
      <c r="CM1020" s="1120"/>
      <c r="CN1020" s="1120"/>
      <c r="CO1020" s="1120"/>
      <c r="CP1020" s="1120"/>
      <c r="CQ1020" s="1120"/>
      <c r="CR1020" s="1120"/>
      <c r="CS1020" s="1120"/>
      <c r="CT1020" s="1120"/>
      <c r="CU1020" s="1120"/>
      <c r="CV1020" s="1120"/>
      <c r="CW1020" s="1120"/>
      <c r="CX1020" s="1120"/>
      <c r="DF1020" s="1298">
        <f>DF1019/DF1014</f>
        <v>0</v>
      </c>
      <c r="DG1020" s="1120"/>
    </row>
    <row r="1021" spans="1:111">
      <c r="A1021" s="1125"/>
      <c r="B1021" s="1125"/>
      <c r="C1021" s="1125"/>
      <c r="D1021" s="1125"/>
      <c r="E1021" s="1125"/>
      <c r="F1021" s="1125"/>
      <c r="G1021" s="1125"/>
      <c r="H1021" s="1125"/>
      <c r="I1021" s="1126"/>
      <c r="J1021" s="1126"/>
      <c r="K1021" s="1127"/>
      <c r="L1021" s="1125"/>
      <c r="M1021" s="1125"/>
      <c r="N1021" s="1128"/>
      <c r="O1021" s="1128"/>
      <c r="P1021" s="1128"/>
      <c r="Q1021" s="1128"/>
      <c r="R1021" s="1128"/>
      <c r="S1021" s="1128"/>
      <c r="T1021" s="1128"/>
      <c r="U1021" s="1128"/>
      <c r="V1021" s="1128"/>
      <c r="W1021" s="1128"/>
      <c r="X1021" s="1128"/>
      <c r="Y1021" s="1128"/>
      <c r="Z1021" s="1128"/>
      <c r="AA1021" s="1128"/>
      <c r="AB1021" s="1128"/>
      <c r="AC1021" s="1128"/>
      <c r="AD1021" s="1128"/>
      <c r="AE1021" s="1128"/>
      <c r="AF1021" s="1128"/>
      <c r="AG1021" s="1128"/>
      <c r="AH1021" s="1128"/>
      <c r="AI1021" s="1128"/>
      <c r="AJ1021" s="1128"/>
      <c r="AK1021" s="1128"/>
      <c r="AL1021" s="1128"/>
      <c r="AM1021" s="1125"/>
      <c r="AN1021" s="1125"/>
      <c r="AO1021" s="1125"/>
      <c r="AP1021" s="1125"/>
      <c r="AQ1021" s="1125"/>
      <c r="AR1021" s="1125"/>
      <c r="AS1021" s="1125"/>
      <c r="AT1021" s="1125"/>
      <c r="AU1021" s="1125"/>
      <c r="AV1021" s="1125"/>
      <c r="AW1021" s="1125"/>
      <c r="AX1021" s="1125"/>
      <c r="AY1021" s="1125"/>
      <c r="AZ1021" s="1125"/>
      <c r="BA1021" s="1125"/>
      <c r="BB1021" s="1125"/>
      <c r="BC1021" s="1125"/>
      <c r="BD1021" s="1125"/>
      <c r="BE1021" s="1125"/>
      <c r="BF1021" s="1125"/>
      <c r="BG1021" s="1125"/>
      <c r="BH1021" s="1125"/>
      <c r="BI1021" s="1125"/>
      <c r="BJ1021" s="1125"/>
      <c r="BK1021" s="1125"/>
      <c r="BL1021" s="1125"/>
      <c r="BM1021" s="1125"/>
      <c r="BN1021" s="1125"/>
      <c r="BO1021" s="1125"/>
      <c r="BP1021" s="1125"/>
      <c r="BQ1021" s="1125"/>
      <c r="BR1021" s="1125"/>
      <c r="BS1021" s="1125"/>
      <c r="BT1021" s="1125"/>
      <c r="BU1021" s="1125"/>
      <c r="BV1021" s="1125"/>
      <c r="BW1021" s="1125"/>
      <c r="BX1021" s="1125"/>
      <c r="BY1021" s="1125"/>
      <c r="BZ1021" s="1125"/>
      <c r="CA1021" s="1125"/>
      <c r="CB1021" s="1125"/>
      <c r="CC1021" s="1125"/>
      <c r="CD1021" s="1125"/>
      <c r="CE1021" s="1125"/>
      <c r="CF1021" s="1125"/>
      <c r="CG1021" s="1125"/>
      <c r="CH1021" s="1125"/>
      <c r="CI1021" s="1125"/>
      <c r="CJ1021" s="1125"/>
      <c r="CK1021" s="1125"/>
      <c r="CL1021" s="1125"/>
      <c r="CM1021" s="1125"/>
      <c r="CN1021" s="1125"/>
      <c r="CO1021" s="1125"/>
      <c r="CP1021" s="1125"/>
      <c r="CQ1021" s="1125"/>
      <c r="CR1021" s="1125"/>
      <c r="CS1021" s="1125"/>
      <c r="CT1021" s="1125"/>
      <c r="CU1021" s="1125"/>
      <c r="CV1021" s="1125"/>
      <c r="CW1021" s="1125"/>
      <c r="CX1021" s="1125"/>
      <c r="DG1021" s="1125"/>
    </row>
    <row r="1022" spans="1:111">
      <c r="A1022" s="817"/>
      <c r="B1022" s="817"/>
      <c r="C1022" s="817"/>
      <c r="D1022" s="817"/>
      <c r="E1022" s="817"/>
      <c r="F1022" s="817"/>
      <c r="G1022" s="817"/>
      <c r="H1022" s="817"/>
      <c r="I1022" s="1130"/>
      <c r="J1022" s="1130"/>
      <c r="K1022" s="1131"/>
      <c r="L1022" s="817"/>
      <c r="M1022" s="817"/>
      <c r="N1022" s="1132"/>
      <c r="O1022" s="1132"/>
      <c r="P1022" s="1132"/>
      <c r="Q1022" s="1132"/>
      <c r="R1022" s="1132"/>
      <c r="S1022" s="1132"/>
      <c r="T1022" s="1132"/>
      <c r="U1022" s="1132"/>
      <c r="V1022" s="1132"/>
      <c r="W1022" s="1132"/>
      <c r="X1022" s="1132"/>
      <c r="Y1022" s="1132"/>
      <c r="Z1022" s="1132"/>
      <c r="AA1022" s="1132"/>
      <c r="AB1022" s="1132"/>
      <c r="AC1022" s="1132"/>
      <c r="AD1022" s="1132"/>
      <c r="AE1022" s="1132"/>
      <c r="AF1022" s="1132"/>
      <c r="AG1022" s="1132"/>
      <c r="AH1022" s="1132"/>
      <c r="AI1022" s="1132"/>
      <c r="AJ1022" s="1132"/>
      <c r="AK1022" s="1132"/>
      <c r="AL1022" s="1132"/>
      <c r="AM1022" s="817"/>
      <c r="AN1022" s="817"/>
      <c r="AO1022" s="817"/>
      <c r="AP1022" s="817"/>
      <c r="AQ1022" s="817"/>
      <c r="AR1022" s="817"/>
      <c r="AS1022" s="817"/>
      <c r="AT1022" s="817"/>
      <c r="AU1022" s="817"/>
      <c r="AV1022" s="817"/>
      <c r="AW1022" s="817"/>
      <c r="AX1022" s="817"/>
      <c r="AY1022" s="817"/>
      <c r="AZ1022" s="817"/>
      <c r="BA1022" s="817"/>
      <c r="BB1022" s="817"/>
      <c r="BC1022" s="817"/>
      <c r="BD1022" s="817"/>
      <c r="BE1022" s="817"/>
      <c r="BF1022" s="817"/>
      <c r="BG1022" s="817"/>
      <c r="BH1022" s="817"/>
      <c r="BI1022" s="817"/>
      <c r="BJ1022" s="817"/>
      <c r="BK1022" s="817"/>
      <c r="BL1022" s="817"/>
      <c r="BM1022" s="817"/>
      <c r="BN1022" s="817"/>
      <c r="BO1022" s="817"/>
      <c r="BP1022" s="817"/>
      <c r="BQ1022" s="817"/>
      <c r="BR1022" s="817"/>
      <c r="BS1022" s="817"/>
      <c r="BT1022" s="817"/>
      <c r="BU1022" s="817"/>
      <c r="BV1022" s="817"/>
      <c r="BW1022" s="817"/>
      <c r="BX1022" s="817"/>
      <c r="BY1022" s="817"/>
      <c r="BZ1022" s="817"/>
      <c r="CA1022" s="817"/>
      <c r="CB1022" s="817"/>
      <c r="CC1022" s="817"/>
      <c r="CD1022" s="817"/>
      <c r="CE1022" s="817"/>
      <c r="CF1022" s="817"/>
      <c r="CG1022" s="817"/>
      <c r="CH1022" s="817"/>
      <c r="CI1022" s="817"/>
      <c r="CJ1022" s="817"/>
      <c r="CK1022" s="817"/>
      <c r="CL1022" s="817"/>
      <c r="CM1022" s="817"/>
      <c r="CN1022" s="817"/>
      <c r="CO1022" s="817"/>
      <c r="CP1022" s="817"/>
      <c r="CQ1022" s="817"/>
      <c r="CR1022" s="817"/>
      <c r="CS1022" s="817"/>
      <c r="CT1022" s="817"/>
      <c r="CU1022" s="817"/>
      <c r="CV1022" s="817"/>
      <c r="CW1022" s="817"/>
      <c r="CX1022" s="817"/>
      <c r="DG1022" s="817"/>
    </row>
  </sheetData>
  <sortState ref="B3:DD1012">
    <sortCondition ref="B3:B1012"/>
  </sortState>
  <mergeCells count="1">
    <mergeCell ref="CY1:CZ1"/>
  </mergeCells>
  <conditionalFormatting sqref="DF3:DF1012">
    <cfRule type="cellIs" dxfId="2" priority="5" operator="equal">
      <formula>2</formula>
    </cfRule>
    <cfRule type="cellIs" dxfId="1" priority="4" operator="greaterThan">
      <formula>2</formula>
    </cfRule>
    <cfRule type="colorScale" priority="2">
      <colorScale>
        <cfvo type="min" val="0"/>
        <cfvo type="max" val="0"/>
        <color rgb="FFFF7128"/>
        <color rgb="FFFFEF9C"/>
      </colorScale>
    </cfRule>
    <cfRule type="colorScale" priority="1">
      <colorScale>
        <cfvo type="num" val="0"/>
        <cfvo type="num" val="1"/>
        <cfvo type="num" val="2"/>
        <color theme="0" tint="-0.249977111117893"/>
        <color rgb="FFFFC000"/>
        <color rgb="FFC00000"/>
      </colorScale>
    </cfRule>
  </conditionalFormatting>
  <conditionalFormatting sqref="DG3:DG1012">
    <cfRule type="cellIs" dxfId="0" priority="3" operator="greaterThan">
      <formula>0</formula>
    </cfRule>
  </conditionalFormatting>
  <pageMargins left="0.75" right="0.75" top="1" bottom="1" header="0.5" footer="0.5"/>
  <pageSetup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sheetPr codeName="Cost">
    <tabColor theme="1"/>
  </sheetPr>
  <dimension ref="A1:N80"/>
  <sheetViews>
    <sheetView workbookViewId="0"/>
  </sheetViews>
  <sheetFormatPr defaultRowHeight="15"/>
  <cols>
    <col min="1" max="1" width="3.7109375" style="503" customWidth="1"/>
    <col min="2" max="2" width="25.85546875" style="503" customWidth="1"/>
    <col min="3" max="3" width="12.28515625" style="503" customWidth="1"/>
    <col min="4" max="4" width="14.7109375" style="503" customWidth="1"/>
    <col min="5" max="5" width="14.5703125" style="503" customWidth="1"/>
    <col min="6" max="6" width="12.5703125" style="503" customWidth="1"/>
    <col min="7" max="7" width="14.5703125" style="503" customWidth="1"/>
    <col min="8" max="8" width="14.140625" style="503" customWidth="1"/>
    <col min="9" max="9" width="16.28515625" style="503" customWidth="1"/>
    <col min="10" max="10" width="3.5703125" style="505" customWidth="1"/>
    <col min="11" max="11" width="10.7109375" style="503" customWidth="1"/>
    <col min="12" max="12" width="11.140625" style="503" customWidth="1"/>
    <col min="13" max="13" width="9" style="503" customWidth="1"/>
    <col min="14" max="14" width="7.85546875" style="503" customWidth="1"/>
    <col min="15" max="16384" width="9.140625" style="503"/>
  </cols>
  <sheetData>
    <row r="1" spans="1:12" ht="24.75" customHeight="1">
      <c r="B1" s="562" t="s">
        <v>973</v>
      </c>
    </row>
    <row r="2" spans="1:12" ht="15.75" thickBot="1">
      <c r="B2" s="563" t="s">
        <v>4740</v>
      </c>
      <c r="I2" s="504"/>
    </row>
    <row r="3" spans="1:12" s="509" customFormat="1" ht="21.75" customHeight="1" thickBot="1">
      <c r="A3" s="506"/>
      <c r="B3" s="507"/>
      <c r="C3" s="2362" t="s">
        <v>515</v>
      </c>
      <c r="D3" s="2363"/>
      <c r="E3" s="2364"/>
      <c r="F3" s="2362" t="s">
        <v>858</v>
      </c>
      <c r="G3" s="2363"/>
      <c r="H3" s="2364"/>
      <c r="I3" s="508"/>
      <c r="J3" s="506"/>
    </row>
    <row r="4" spans="1:12" ht="26.45" customHeight="1">
      <c r="B4" s="507"/>
      <c r="C4" s="2356" t="s">
        <v>517</v>
      </c>
      <c r="D4" s="2356" t="s">
        <v>859</v>
      </c>
      <c r="E4" s="2356" t="s">
        <v>4774</v>
      </c>
      <c r="F4" s="2356" t="s">
        <v>517</v>
      </c>
      <c r="G4" s="2356" t="s">
        <v>859</v>
      </c>
      <c r="H4" s="2356" t="s">
        <v>4774</v>
      </c>
      <c r="I4" s="2353" t="s">
        <v>795</v>
      </c>
      <c r="J4" s="503"/>
      <c r="K4" s="2356" t="s">
        <v>796</v>
      </c>
      <c r="L4" s="2356" t="s">
        <v>797</v>
      </c>
    </row>
    <row r="5" spans="1:12" ht="13.15" customHeight="1">
      <c r="B5" s="507"/>
      <c r="C5" s="2365"/>
      <c r="D5" s="2365"/>
      <c r="E5" s="2365"/>
      <c r="F5" s="2365"/>
      <c r="G5" s="2357"/>
      <c r="H5" s="2365"/>
      <c r="I5" s="2354"/>
      <c r="J5" s="503"/>
      <c r="K5" s="2357"/>
      <c r="L5" s="2357"/>
    </row>
    <row r="6" spans="1:12" ht="15.75" thickBot="1">
      <c r="B6" s="510"/>
      <c r="C6" s="2366"/>
      <c r="D6" s="2366"/>
      <c r="E6" s="2366"/>
      <c r="F6" s="2366"/>
      <c r="G6" s="2358"/>
      <c r="H6" s="2366"/>
      <c r="I6" s="2355"/>
      <c r="J6" s="503"/>
      <c r="K6" s="2358"/>
      <c r="L6" s="2358"/>
    </row>
    <row r="7" spans="1:12" ht="21.75" customHeight="1" thickBot="1">
      <c r="B7" s="511" t="s">
        <v>798</v>
      </c>
      <c r="C7" s="512" t="s">
        <v>799</v>
      </c>
      <c r="D7" s="512" t="s">
        <v>799</v>
      </c>
      <c r="E7" s="512" t="s">
        <v>799</v>
      </c>
      <c r="F7" s="512" t="s">
        <v>800</v>
      </c>
      <c r="G7" s="512" t="s">
        <v>800</v>
      </c>
      <c r="H7" s="512" t="s">
        <v>800</v>
      </c>
      <c r="I7" s="512" t="s">
        <v>801</v>
      </c>
      <c r="J7" s="503"/>
      <c r="K7" s="513" t="s">
        <v>802</v>
      </c>
      <c r="L7" s="514" t="s">
        <v>803</v>
      </c>
    </row>
    <row r="8" spans="1:12" ht="15.75" customHeight="1" thickBot="1">
      <c r="B8" s="515" t="s">
        <v>804</v>
      </c>
      <c r="C8" s="516">
        <v>85</v>
      </c>
      <c r="D8" s="516">
        <v>53</v>
      </c>
      <c r="E8" s="516">
        <v>51</v>
      </c>
      <c r="F8" s="516">
        <v>85</v>
      </c>
      <c r="G8" s="516">
        <v>53</v>
      </c>
      <c r="H8" s="516">
        <v>35</v>
      </c>
      <c r="I8" s="517">
        <f>(C8-E8)*K$8+(F8-H8)*L$8</f>
        <v>64.42</v>
      </c>
      <c r="J8" s="503"/>
      <c r="K8" s="518">
        <v>0.13</v>
      </c>
      <c r="L8" s="518">
        <v>1.2</v>
      </c>
    </row>
    <row r="9" spans="1:12">
      <c r="B9" s="519" t="s">
        <v>805</v>
      </c>
      <c r="C9" s="520">
        <v>62</v>
      </c>
      <c r="D9" s="520">
        <v>30</v>
      </c>
      <c r="E9" s="520">
        <v>24</v>
      </c>
      <c r="F9" s="520">
        <v>62</v>
      </c>
      <c r="G9" s="520">
        <v>30</v>
      </c>
      <c r="H9" s="520">
        <v>24</v>
      </c>
      <c r="I9" s="521">
        <f t="shared" ref="I9:I16" si="0">(C9-E9)*K$8+(F9-H9)*L$8</f>
        <v>50.54</v>
      </c>
      <c r="J9" s="503"/>
    </row>
    <row r="10" spans="1:12">
      <c r="B10" s="519" t="s">
        <v>529</v>
      </c>
      <c r="C10" s="520">
        <v>37</v>
      </c>
      <c r="D10" s="520">
        <v>34</v>
      </c>
      <c r="E10" s="520">
        <v>26</v>
      </c>
      <c r="F10" s="520">
        <v>37</v>
      </c>
      <c r="G10" s="520">
        <v>34</v>
      </c>
      <c r="H10" s="520">
        <v>26</v>
      </c>
      <c r="I10" s="521">
        <f t="shared" si="0"/>
        <v>14.629999999999999</v>
      </c>
      <c r="J10" s="503"/>
    </row>
    <row r="11" spans="1:12">
      <c r="B11" s="519" t="s">
        <v>1046</v>
      </c>
      <c r="C11" s="520">
        <v>24</v>
      </c>
      <c r="D11" s="520">
        <v>25</v>
      </c>
      <c r="E11" s="520">
        <v>22</v>
      </c>
      <c r="F11" s="520">
        <v>24</v>
      </c>
      <c r="G11" s="520">
        <v>25</v>
      </c>
      <c r="H11" s="520">
        <v>22</v>
      </c>
      <c r="I11" s="521">
        <f t="shared" si="0"/>
        <v>2.66</v>
      </c>
      <c r="J11" s="503"/>
    </row>
    <row r="12" spans="1:12">
      <c r="B12" s="519" t="s">
        <v>806</v>
      </c>
      <c r="C12" s="520">
        <v>72</v>
      </c>
      <c r="D12" s="520">
        <v>72</v>
      </c>
      <c r="E12" s="520">
        <v>71</v>
      </c>
      <c r="F12" s="520">
        <v>72</v>
      </c>
      <c r="G12" s="520">
        <v>72</v>
      </c>
      <c r="H12" s="520">
        <v>71</v>
      </c>
      <c r="I12" s="521">
        <f t="shared" si="0"/>
        <v>1.33</v>
      </c>
      <c r="J12" s="503"/>
    </row>
    <row r="13" spans="1:12">
      <c r="B13" s="519" t="s">
        <v>807</v>
      </c>
      <c r="C13" s="520">
        <v>72</v>
      </c>
      <c r="D13" s="520">
        <v>72</v>
      </c>
      <c r="E13" s="520">
        <v>71</v>
      </c>
      <c r="F13" s="520">
        <v>72</v>
      </c>
      <c r="G13" s="520">
        <v>72</v>
      </c>
      <c r="H13" s="520">
        <v>40</v>
      </c>
      <c r="I13" s="521">
        <f t="shared" si="0"/>
        <v>38.53</v>
      </c>
      <c r="J13" s="503"/>
    </row>
    <row r="14" spans="1:12">
      <c r="B14" s="522" t="s">
        <v>0</v>
      </c>
      <c r="C14" s="523">
        <f t="shared" ref="C14:H14" si="1">SUM(C8:C13)</f>
        <v>352</v>
      </c>
      <c r="D14" s="523">
        <f t="shared" si="1"/>
        <v>286</v>
      </c>
      <c r="E14" s="523">
        <f t="shared" si="1"/>
        <v>265</v>
      </c>
      <c r="F14" s="523">
        <f t="shared" si="1"/>
        <v>352</v>
      </c>
      <c r="G14" s="523">
        <f t="shared" si="1"/>
        <v>286</v>
      </c>
      <c r="H14" s="523">
        <f t="shared" si="1"/>
        <v>218</v>
      </c>
      <c r="I14" s="524">
        <f t="shared" si="0"/>
        <v>172.10999999999999</v>
      </c>
      <c r="J14" s="503"/>
    </row>
    <row r="15" spans="1:12">
      <c r="B15" s="519" t="s">
        <v>1</v>
      </c>
      <c r="C15" s="520">
        <v>0</v>
      </c>
      <c r="D15" s="520">
        <v>0</v>
      </c>
      <c r="E15" s="520">
        <v>50</v>
      </c>
      <c r="F15" s="520">
        <v>0</v>
      </c>
      <c r="G15" s="520">
        <v>0</v>
      </c>
      <c r="H15" s="520">
        <v>0</v>
      </c>
      <c r="I15" s="521">
        <f>(E15)*K$8</f>
        <v>6.5</v>
      </c>
      <c r="J15" s="503"/>
    </row>
    <row r="16" spans="1:12" ht="15.75" thickBot="1">
      <c r="B16" s="525" t="s">
        <v>2</v>
      </c>
      <c r="C16" s="526">
        <f t="shared" ref="C16:H16" si="2">C14-C15</f>
        <v>352</v>
      </c>
      <c r="D16" s="526">
        <f t="shared" si="2"/>
        <v>286</v>
      </c>
      <c r="E16" s="526">
        <f t="shared" si="2"/>
        <v>215</v>
      </c>
      <c r="F16" s="526">
        <f t="shared" si="2"/>
        <v>352</v>
      </c>
      <c r="G16" s="526">
        <f t="shared" si="2"/>
        <v>286</v>
      </c>
      <c r="H16" s="526">
        <f t="shared" si="2"/>
        <v>218</v>
      </c>
      <c r="I16" s="527">
        <f t="shared" si="0"/>
        <v>178.60999999999999</v>
      </c>
      <c r="J16" s="503"/>
    </row>
    <row r="17" spans="2:14" ht="26.25">
      <c r="B17" s="528" t="s">
        <v>3</v>
      </c>
      <c r="C17" s="529"/>
      <c r="D17" s="529"/>
      <c r="E17" s="529"/>
      <c r="F17" s="529"/>
      <c r="G17" s="529"/>
      <c r="H17" s="529"/>
      <c r="I17" s="530">
        <f>G72</f>
        <v>52.69195761819126</v>
      </c>
      <c r="J17" s="503"/>
    </row>
    <row r="18" spans="2:14" ht="26.25">
      <c r="B18" s="522" t="s">
        <v>672</v>
      </c>
      <c r="C18" s="523"/>
      <c r="D18" s="523"/>
      <c r="E18" s="523"/>
      <c r="F18" s="523"/>
      <c r="G18" s="523"/>
      <c r="H18" s="523"/>
      <c r="I18" s="524">
        <f>I14-I17</f>
        <v>119.41804238180873</v>
      </c>
      <c r="J18" s="503"/>
    </row>
    <row r="19" spans="2:14" ht="27" thickBot="1">
      <c r="B19" s="522" t="s">
        <v>673</v>
      </c>
      <c r="C19" s="523"/>
      <c r="D19" s="523"/>
      <c r="E19" s="523"/>
      <c r="F19" s="523"/>
      <c r="G19" s="523"/>
      <c r="H19" s="523"/>
      <c r="I19" s="531">
        <f>G74</f>
        <v>52.69195761819126</v>
      </c>
      <c r="J19" s="503"/>
    </row>
    <row r="20" spans="2:14" ht="27" thickBot="1">
      <c r="B20" s="525" t="s">
        <v>674</v>
      </c>
      <c r="C20" s="532"/>
      <c r="D20" s="532"/>
      <c r="E20" s="532"/>
      <c r="F20" s="532"/>
      <c r="G20" s="532"/>
      <c r="H20" s="532"/>
      <c r="I20" s="533">
        <f>I16-I19</f>
        <v>125.91804238180873</v>
      </c>
      <c r="J20" s="503"/>
      <c r="K20" s="2359" t="s">
        <v>675</v>
      </c>
      <c r="L20" s="2360"/>
      <c r="M20" s="2361"/>
      <c r="N20" s="558" t="str">
        <f>(IF(I20&gt;0,"Yes","No"))</f>
        <v>Yes</v>
      </c>
    </row>
    <row r="21" spans="2:14" ht="15.75" thickBot="1"/>
    <row r="22" spans="2:14" ht="72" customHeight="1" thickBot="1">
      <c r="B22" s="534" t="s">
        <v>676</v>
      </c>
      <c r="C22" s="535" t="s">
        <v>859</v>
      </c>
      <c r="D22" s="535" t="s">
        <v>677</v>
      </c>
      <c r="E22" s="535" t="s">
        <v>4775</v>
      </c>
      <c r="F22" s="536" t="s">
        <v>678</v>
      </c>
      <c r="G22" s="536" t="s">
        <v>679</v>
      </c>
      <c r="H22" s="535" t="s">
        <v>680</v>
      </c>
      <c r="I22" s="503" t="s">
        <v>4776</v>
      </c>
      <c r="J22" s="503"/>
      <c r="K22" s="505"/>
    </row>
    <row r="23" spans="2:14">
      <c r="B23" s="559" t="s">
        <v>681</v>
      </c>
      <c r="C23" s="560">
        <f>SUM(C24,C29,C34,C38,C39)</f>
        <v>0</v>
      </c>
      <c r="D23" s="560">
        <f>SUM(D24,D29,D34,D38,D39)</f>
        <v>0</v>
      </c>
      <c r="E23" s="560">
        <f>SUM(E24,E29,E34,E38,E39)</f>
        <v>500</v>
      </c>
      <c r="F23" s="560">
        <f>(E23-D23)*1.1</f>
        <v>550</v>
      </c>
      <c r="G23" s="560">
        <f xml:space="preserve"> F23*( 0.07/12/(1 - (1 + 0.07/12) ^(-360)))*12</f>
        <v>43.909964681826054</v>
      </c>
      <c r="H23" s="561"/>
      <c r="J23" s="503"/>
      <c r="K23" s="505"/>
    </row>
    <row r="24" spans="2:14">
      <c r="B24" s="540" t="s">
        <v>682</v>
      </c>
      <c r="C24" s="541">
        <f>SUM(C25:C28)</f>
        <v>0</v>
      </c>
      <c r="D24" s="541">
        <f>SUM(D25:D28)</f>
        <v>0</v>
      </c>
      <c r="E24" s="541">
        <f>SUM(E25:E28)</f>
        <v>0</v>
      </c>
      <c r="F24" s="538">
        <f t="shared" ref="F24:F80" si="3">(E24-D24)*1.1</f>
        <v>0</v>
      </c>
      <c r="G24" s="538">
        <f t="shared" ref="G24:G80" si="4" xml:space="preserve"> F24*( 0.07/12/(1 - (1 + 0.07/12) ^(-360)))*12</f>
        <v>0</v>
      </c>
      <c r="H24" s="542"/>
      <c r="K24" s="505"/>
    </row>
    <row r="25" spans="2:14">
      <c r="B25" s="543" t="s">
        <v>683</v>
      </c>
      <c r="C25" s="544">
        <v>0</v>
      </c>
      <c r="D25" s="544">
        <v>0</v>
      </c>
      <c r="E25" s="544">
        <v>0</v>
      </c>
      <c r="F25" s="538">
        <f t="shared" si="3"/>
        <v>0</v>
      </c>
      <c r="G25" s="538">
        <f t="shared" si="4"/>
        <v>0</v>
      </c>
      <c r="H25" s="545"/>
      <c r="J25" s="503"/>
      <c r="K25" s="505"/>
    </row>
    <row r="26" spans="2:14">
      <c r="B26" s="543" t="s">
        <v>684</v>
      </c>
      <c r="C26" s="544">
        <v>0</v>
      </c>
      <c r="D26" s="544">
        <v>0</v>
      </c>
      <c r="E26" s="544">
        <v>0</v>
      </c>
      <c r="F26" s="538">
        <f t="shared" si="3"/>
        <v>0</v>
      </c>
      <c r="G26" s="538">
        <f t="shared" si="4"/>
        <v>0</v>
      </c>
      <c r="H26" s="545"/>
      <c r="J26" s="503"/>
      <c r="K26" s="505"/>
    </row>
    <row r="27" spans="2:14">
      <c r="B27" s="543" t="s">
        <v>356</v>
      </c>
      <c r="C27" s="544">
        <v>0</v>
      </c>
      <c r="D27" s="544">
        <v>0</v>
      </c>
      <c r="E27" s="544">
        <v>0</v>
      </c>
      <c r="F27" s="538">
        <f t="shared" si="3"/>
        <v>0</v>
      </c>
      <c r="G27" s="538">
        <f t="shared" si="4"/>
        <v>0</v>
      </c>
      <c r="H27" s="545"/>
      <c r="J27" s="503"/>
      <c r="K27" s="505"/>
    </row>
    <row r="28" spans="2:14">
      <c r="B28" s="543" t="s">
        <v>685</v>
      </c>
      <c r="C28" s="544">
        <v>0</v>
      </c>
      <c r="D28" s="544">
        <v>0</v>
      </c>
      <c r="E28" s="544">
        <v>0</v>
      </c>
      <c r="F28" s="538">
        <f t="shared" si="3"/>
        <v>0</v>
      </c>
      <c r="G28" s="538">
        <f t="shared" si="4"/>
        <v>0</v>
      </c>
      <c r="H28" s="545"/>
      <c r="J28" s="503"/>
      <c r="K28" s="505"/>
    </row>
    <row r="29" spans="2:14">
      <c r="B29" s="540" t="s">
        <v>686</v>
      </c>
      <c r="C29" s="541">
        <f>SUM(C30:C33)</f>
        <v>0</v>
      </c>
      <c r="D29" s="541">
        <f>SUM(D30:D33)</f>
        <v>0</v>
      </c>
      <c r="E29" s="541">
        <f>SUM(E30:E33)</f>
        <v>0</v>
      </c>
      <c r="F29" s="538">
        <f t="shared" si="3"/>
        <v>0</v>
      </c>
      <c r="G29" s="538">
        <f t="shared" si="4"/>
        <v>0</v>
      </c>
      <c r="H29" s="542"/>
      <c r="J29" s="503"/>
      <c r="K29" s="505"/>
    </row>
    <row r="30" spans="2:14">
      <c r="B30" s="543" t="s">
        <v>687</v>
      </c>
      <c r="C30" s="544">
        <v>0</v>
      </c>
      <c r="D30" s="544">
        <v>0</v>
      </c>
      <c r="E30" s="544">
        <v>0</v>
      </c>
      <c r="F30" s="538">
        <f t="shared" si="3"/>
        <v>0</v>
      </c>
      <c r="G30" s="538">
        <f t="shared" si="4"/>
        <v>0</v>
      </c>
      <c r="H30" s="545"/>
      <c r="J30" s="503"/>
      <c r="K30" s="505"/>
    </row>
    <row r="31" spans="2:14">
      <c r="B31" s="543" t="s">
        <v>688</v>
      </c>
      <c r="C31" s="544">
        <v>0</v>
      </c>
      <c r="D31" s="544">
        <v>0</v>
      </c>
      <c r="E31" s="544">
        <v>0</v>
      </c>
      <c r="F31" s="538">
        <f t="shared" si="3"/>
        <v>0</v>
      </c>
      <c r="G31" s="538">
        <f t="shared" si="4"/>
        <v>0</v>
      </c>
      <c r="H31" s="545"/>
      <c r="J31" s="503"/>
      <c r="K31" s="505"/>
    </row>
    <row r="32" spans="2:14">
      <c r="B32" s="543" t="s">
        <v>689</v>
      </c>
      <c r="C32" s="544">
        <v>0</v>
      </c>
      <c r="D32" s="544">
        <v>0</v>
      </c>
      <c r="E32" s="544">
        <v>0</v>
      </c>
      <c r="F32" s="538">
        <f t="shared" si="3"/>
        <v>0</v>
      </c>
      <c r="G32" s="538">
        <f t="shared" si="4"/>
        <v>0</v>
      </c>
      <c r="H32" s="545"/>
      <c r="J32" s="503"/>
      <c r="K32" s="505"/>
    </row>
    <row r="33" spans="2:11">
      <c r="B33" s="543" t="s">
        <v>690</v>
      </c>
      <c r="C33" s="544">
        <v>0</v>
      </c>
      <c r="D33" s="544">
        <v>0</v>
      </c>
      <c r="E33" s="544">
        <v>0</v>
      </c>
      <c r="F33" s="538">
        <f t="shared" si="3"/>
        <v>0</v>
      </c>
      <c r="G33" s="538">
        <f t="shared" si="4"/>
        <v>0</v>
      </c>
      <c r="H33" s="545"/>
      <c r="J33" s="503"/>
      <c r="K33" s="505"/>
    </row>
    <row r="34" spans="2:11">
      <c r="B34" s="546" t="s">
        <v>691</v>
      </c>
      <c r="C34" s="541">
        <f>SUM(C35:C37)</f>
        <v>0</v>
      </c>
      <c r="D34" s="541">
        <f>SUM(D35:D37)</f>
        <v>0</v>
      </c>
      <c r="E34" s="541">
        <f>SUM(E35:E37)</f>
        <v>500</v>
      </c>
      <c r="F34" s="538">
        <f t="shared" si="3"/>
        <v>550</v>
      </c>
      <c r="G34" s="538">
        <f t="shared" si="4"/>
        <v>43.909964681826054</v>
      </c>
      <c r="H34" s="542"/>
      <c r="J34" s="503"/>
      <c r="K34" s="505"/>
    </row>
    <row r="35" spans="2:11">
      <c r="B35" s="543" t="s">
        <v>1027</v>
      </c>
      <c r="C35" s="544">
        <v>0</v>
      </c>
      <c r="D35" s="544">
        <v>0</v>
      </c>
      <c r="E35" s="544">
        <v>500</v>
      </c>
      <c r="F35" s="538">
        <f t="shared" si="3"/>
        <v>550</v>
      </c>
      <c r="G35" s="538">
        <f t="shared" si="4"/>
        <v>43.909964681826054</v>
      </c>
      <c r="H35" s="545"/>
      <c r="J35" s="503"/>
      <c r="K35" s="505"/>
    </row>
    <row r="36" spans="2:11">
      <c r="B36" s="543" t="s">
        <v>239</v>
      </c>
      <c r="C36" s="544">
        <v>0</v>
      </c>
      <c r="D36" s="544">
        <v>0</v>
      </c>
      <c r="E36" s="544">
        <v>0</v>
      </c>
      <c r="F36" s="538">
        <f t="shared" si="3"/>
        <v>0</v>
      </c>
      <c r="G36" s="538">
        <f t="shared" si="4"/>
        <v>0</v>
      </c>
      <c r="H36" s="545"/>
      <c r="J36" s="503"/>
      <c r="K36" s="505"/>
    </row>
    <row r="37" spans="2:11">
      <c r="B37" s="543" t="s">
        <v>1140</v>
      </c>
      <c r="C37" s="544">
        <v>0</v>
      </c>
      <c r="D37" s="544">
        <v>0</v>
      </c>
      <c r="E37" s="544">
        <v>0</v>
      </c>
      <c r="F37" s="538">
        <f t="shared" si="3"/>
        <v>0</v>
      </c>
      <c r="G37" s="538">
        <f t="shared" si="4"/>
        <v>0</v>
      </c>
      <c r="H37" s="545"/>
      <c r="J37" s="503"/>
      <c r="K37" s="505"/>
    </row>
    <row r="38" spans="2:11">
      <c r="B38" s="546" t="s">
        <v>692</v>
      </c>
      <c r="C38" s="544">
        <v>0</v>
      </c>
      <c r="D38" s="544">
        <v>0</v>
      </c>
      <c r="E38" s="544">
        <v>0</v>
      </c>
      <c r="F38" s="538">
        <f t="shared" si="3"/>
        <v>0</v>
      </c>
      <c r="G38" s="538">
        <f t="shared" si="4"/>
        <v>0</v>
      </c>
      <c r="H38" s="545"/>
      <c r="J38" s="503"/>
      <c r="K38" s="505"/>
    </row>
    <row r="39" spans="2:11">
      <c r="B39" s="546" t="s">
        <v>693</v>
      </c>
      <c r="C39" s="544">
        <v>0</v>
      </c>
      <c r="D39" s="544">
        <v>0</v>
      </c>
      <c r="E39" s="544">
        <v>0</v>
      </c>
      <c r="F39" s="538">
        <f t="shared" si="3"/>
        <v>0</v>
      </c>
      <c r="G39" s="538">
        <f t="shared" si="4"/>
        <v>0</v>
      </c>
      <c r="H39" s="545"/>
      <c r="J39" s="503"/>
      <c r="K39" s="505"/>
    </row>
    <row r="40" spans="2:11">
      <c r="B40" s="537" t="s">
        <v>694</v>
      </c>
      <c r="C40" s="538">
        <f>SUM(C41:C47)</f>
        <v>0</v>
      </c>
      <c r="D40" s="538">
        <f>SUM(D41:D47)</f>
        <v>0</v>
      </c>
      <c r="E40" s="538">
        <f>SUM(E41:E47)</f>
        <v>0</v>
      </c>
      <c r="F40" s="538">
        <f t="shared" si="3"/>
        <v>0</v>
      </c>
      <c r="G40" s="538">
        <f t="shared" si="4"/>
        <v>0</v>
      </c>
      <c r="H40" s="539"/>
      <c r="J40" s="503"/>
      <c r="K40" s="505"/>
    </row>
    <row r="41" spans="2:11">
      <c r="B41" s="543" t="s">
        <v>695</v>
      </c>
      <c r="C41" s="544">
        <v>0</v>
      </c>
      <c r="D41" s="544">
        <v>0</v>
      </c>
      <c r="E41" s="544">
        <v>0</v>
      </c>
      <c r="F41" s="538">
        <f t="shared" si="3"/>
        <v>0</v>
      </c>
      <c r="G41" s="538">
        <f t="shared" si="4"/>
        <v>0</v>
      </c>
      <c r="H41" s="547"/>
      <c r="J41" s="503"/>
      <c r="K41" s="505"/>
    </row>
    <row r="42" spans="2:11">
      <c r="B42" s="543" t="s">
        <v>696</v>
      </c>
      <c r="C42" s="544">
        <v>0</v>
      </c>
      <c r="D42" s="544">
        <v>0</v>
      </c>
      <c r="E42" s="544">
        <v>0</v>
      </c>
      <c r="F42" s="538">
        <f t="shared" si="3"/>
        <v>0</v>
      </c>
      <c r="G42" s="538">
        <f t="shared" si="4"/>
        <v>0</v>
      </c>
      <c r="H42" s="545"/>
      <c r="J42" s="503"/>
      <c r="K42" s="505"/>
    </row>
    <row r="43" spans="2:11">
      <c r="B43" s="543" t="s">
        <v>697</v>
      </c>
      <c r="C43" s="544">
        <v>0</v>
      </c>
      <c r="D43" s="544">
        <v>0</v>
      </c>
      <c r="E43" s="544">
        <v>0</v>
      </c>
      <c r="F43" s="538">
        <f t="shared" si="3"/>
        <v>0</v>
      </c>
      <c r="G43" s="538">
        <f t="shared" si="4"/>
        <v>0</v>
      </c>
      <c r="H43" s="545"/>
      <c r="J43" s="503"/>
      <c r="K43" s="505"/>
    </row>
    <row r="44" spans="2:11">
      <c r="B44" s="543" t="s">
        <v>698</v>
      </c>
      <c r="C44" s="544">
        <v>0</v>
      </c>
      <c r="D44" s="544">
        <v>0</v>
      </c>
      <c r="E44" s="544">
        <v>0</v>
      </c>
      <c r="F44" s="538">
        <f t="shared" si="3"/>
        <v>0</v>
      </c>
      <c r="G44" s="538">
        <f t="shared" si="4"/>
        <v>0</v>
      </c>
      <c r="H44" s="545"/>
      <c r="J44" s="503"/>
      <c r="K44" s="505"/>
    </row>
    <row r="45" spans="2:11">
      <c r="B45" s="543" t="s">
        <v>699</v>
      </c>
      <c r="C45" s="544">
        <v>0</v>
      </c>
      <c r="D45" s="544">
        <v>0</v>
      </c>
      <c r="E45" s="544">
        <v>0</v>
      </c>
      <c r="F45" s="538">
        <f t="shared" si="3"/>
        <v>0</v>
      </c>
      <c r="G45" s="538">
        <f t="shared" si="4"/>
        <v>0</v>
      </c>
      <c r="H45" s="545"/>
      <c r="J45" s="503"/>
      <c r="K45" s="505"/>
    </row>
    <row r="46" spans="2:11">
      <c r="B46" s="543" t="s">
        <v>700</v>
      </c>
      <c r="C46" s="544">
        <v>0</v>
      </c>
      <c r="D46" s="544">
        <v>0</v>
      </c>
      <c r="E46" s="544">
        <v>0</v>
      </c>
      <c r="F46" s="538">
        <f t="shared" si="3"/>
        <v>0</v>
      </c>
      <c r="G46" s="538">
        <f t="shared" si="4"/>
        <v>0</v>
      </c>
      <c r="H46" s="545"/>
      <c r="J46" s="503"/>
      <c r="K46" s="505"/>
    </row>
    <row r="47" spans="2:11">
      <c r="B47" s="543" t="s">
        <v>701</v>
      </c>
      <c r="C47" s="544">
        <v>0</v>
      </c>
      <c r="D47" s="544">
        <v>0</v>
      </c>
      <c r="E47" s="544">
        <v>0</v>
      </c>
      <c r="F47" s="538">
        <f t="shared" si="3"/>
        <v>0</v>
      </c>
      <c r="G47" s="538">
        <f t="shared" si="4"/>
        <v>0</v>
      </c>
      <c r="H47" s="545"/>
      <c r="J47" s="503"/>
      <c r="K47" s="505"/>
    </row>
    <row r="48" spans="2:11">
      <c r="B48" s="548" t="s">
        <v>702</v>
      </c>
      <c r="C48" s="538">
        <f>SUM(C49:C53)</f>
        <v>0</v>
      </c>
      <c r="D48" s="538">
        <f>SUM(D49:D53)</f>
        <v>0</v>
      </c>
      <c r="E48" s="538">
        <f>SUM(E49:E53)</f>
        <v>100</v>
      </c>
      <c r="F48" s="538">
        <f t="shared" si="3"/>
        <v>110.00000000000001</v>
      </c>
      <c r="G48" s="538">
        <f t="shared" si="4"/>
        <v>8.7819929363652118</v>
      </c>
      <c r="H48" s="539"/>
      <c r="J48" s="503"/>
      <c r="K48" s="505"/>
    </row>
    <row r="49" spans="2:11">
      <c r="B49" s="543" t="s">
        <v>703</v>
      </c>
      <c r="C49" s="544">
        <v>0</v>
      </c>
      <c r="D49" s="544">
        <v>0</v>
      </c>
      <c r="E49" s="544">
        <v>0</v>
      </c>
      <c r="F49" s="538">
        <f t="shared" si="3"/>
        <v>0</v>
      </c>
      <c r="G49" s="538">
        <f t="shared" si="4"/>
        <v>0</v>
      </c>
      <c r="H49" s="545"/>
      <c r="J49" s="503"/>
      <c r="K49" s="505"/>
    </row>
    <row r="50" spans="2:11">
      <c r="B50" s="543" t="s">
        <v>704</v>
      </c>
      <c r="C50" s="544">
        <v>0</v>
      </c>
      <c r="D50" s="544">
        <v>0</v>
      </c>
      <c r="E50" s="544">
        <v>0</v>
      </c>
      <c r="F50" s="538">
        <f t="shared" si="3"/>
        <v>0</v>
      </c>
      <c r="G50" s="538">
        <f t="shared" si="4"/>
        <v>0</v>
      </c>
      <c r="H50" s="545"/>
      <c r="J50" s="503"/>
      <c r="K50" s="505"/>
    </row>
    <row r="51" spans="2:11">
      <c r="B51" s="543" t="s">
        <v>976</v>
      </c>
      <c r="C51" s="544">
        <v>0</v>
      </c>
      <c r="D51" s="544">
        <v>0</v>
      </c>
      <c r="E51" s="544">
        <v>100</v>
      </c>
      <c r="F51" s="538">
        <f t="shared" si="3"/>
        <v>110.00000000000001</v>
      </c>
      <c r="G51" s="538">
        <f t="shared" si="4"/>
        <v>8.7819929363652118</v>
      </c>
      <c r="H51" s="545"/>
      <c r="J51" s="503"/>
      <c r="K51" s="505"/>
    </row>
    <row r="52" spans="2:11">
      <c r="B52" s="543" t="s">
        <v>807</v>
      </c>
      <c r="C52" s="544">
        <v>0</v>
      </c>
      <c r="D52" s="544">
        <v>0</v>
      </c>
      <c r="E52" s="544">
        <v>0</v>
      </c>
      <c r="F52" s="538">
        <f t="shared" si="3"/>
        <v>0</v>
      </c>
      <c r="G52" s="538">
        <f t="shared" si="4"/>
        <v>0</v>
      </c>
      <c r="H52" s="545"/>
      <c r="J52" s="503"/>
      <c r="K52" s="505"/>
    </row>
    <row r="53" spans="2:11">
      <c r="B53" s="543" t="s">
        <v>705</v>
      </c>
      <c r="C53" s="544">
        <v>0</v>
      </c>
      <c r="D53" s="544">
        <v>0</v>
      </c>
      <c r="E53" s="544">
        <v>0</v>
      </c>
      <c r="F53" s="538">
        <f t="shared" si="3"/>
        <v>0</v>
      </c>
      <c r="G53" s="538">
        <f t="shared" si="4"/>
        <v>0</v>
      </c>
      <c r="H53" s="545"/>
      <c r="J53" s="503"/>
      <c r="K53" s="505"/>
    </row>
    <row r="54" spans="2:11">
      <c r="B54" s="548" t="s">
        <v>706</v>
      </c>
      <c r="C54" s="538">
        <f>SUM(C55:C59)</f>
        <v>0</v>
      </c>
      <c r="D54" s="538">
        <f>SUM(D55:D59)</f>
        <v>0</v>
      </c>
      <c r="E54" s="538">
        <f>SUM(E55:E59)</f>
        <v>0</v>
      </c>
      <c r="F54" s="538">
        <f t="shared" si="3"/>
        <v>0</v>
      </c>
      <c r="G54" s="538">
        <f t="shared" si="4"/>
        <v>0</v>
      </c>
      <c r="H54" s="539"/>
      <c r="J54" s="503"/>
      <c r="K54" s="505"/>
    </row>
    <row r="55" spans="2:11">
      <c r="B55" s="543" t="s">
        <v>707</v>
      </c>
      <c r="C55" s="544">
        <v>0</v>
      </c>
      <c r="D55" s="544">
        <v>0</v>
      </c>
      <c r="E55" s="544">
        <v>0</v>
      </c>
      <c r="F55" s="538">
        <f t="shared" si="3"/>
        <v>0</v>
      </c>
      <c r="G55" s="538">
        <f t="shared" si="4"/>
        <v>0</v>
      </c>
      <c r="H55" s="545"/>
      <c r="J55" s="503"/>
      <c r="K55" s="505"/>
    </row>
    <row r="56" spans="2:11">
      <c r="B56" s="543" t="s">
        <v>708</v>
      </c>
      <c r="C56" s="544">
        <v>0</v>
      </c>
      <c r="D56" s="544">
        <v>0</v>
      </c>
      <c r="E56" s="544">
        <v>0</v>
      </c>
      <c r="F56" s="538">
        <f t="shared" si="3"/>
        <v>0</v>
      </c>
      <c r="G56" s="538">
        <f t="shared" si="4"/>
        <v>0</v>
      </c>
      <c r="H56" s="545"/>
      <c r="J56" s="503"/>
      <c r="K56" s="505"/>
    </row>
    <row r="57" spans="2:11">
      <c r="B57" s="543" t="s">
        <v>452</v>
      </c>
      <c r="C57" s="544">
        <v>0</v>
      </c>
      <c r="D57" s="544">
        <v>0</v>
      </c>
      <c r="E57" s="544">
        <v>0</v>
      </c>
      <c r="F57" s="538">
        <f t="shared" si="3"/>
        <v>0</v>
      </c>
      <c r="G57" s="538">
        <f t="shared" si="4"/>
        <v>0</v>
      </c>
      <c r="H57" s="545"/>
      <c r="J57" s="503"/>
      <c r="K57" s="505"/>
    </row>
    <row r="58" spans="2:11">
      <c r="B58" s="543" t="s">
        <v>709</v>
      </c>
      <c r="C58" s="544">
        <v>0</v>
      </c>
      <c r="D58" s="544">
        <v>0</v>
      </c>
      <c r="E58" s="544">
        <v>0</v>
      </c>
      <c r="F58" s="538">
        <f t="shared" si="3"/>
        <v>0</v>
      </c>
      <c r="G58" s="538">
        <f t="shared" si="4"/>
        <v>0</v>
      </c>
      <c r="H58" s="545"/>
      <c r="J58" s="503"/>
      <c r="K58" s="505"/>
    </row>
    <row r="59" spans="2:11">
      <c r="B59" s="543" t="s">
        <v>710</v>
      </c>
      <c r="C59" s="544">
        <v>0</v>
      </c>
      <c r="D59" s="544">
        <v>0</v>
      </c>
      <c r="E59" s="544">
        <v>0</v>
      </c>
      <c r="F59" s="538">
        <f t="shared" si="3"/>
        <v>0</v>
      </c>
      <c r="G59" s="538">
        <f t="shared" si="4"/>
        <v>0</v>
      </c>
      <c r="H59" s="545"/>
      <c r="J59" s="503"/>
      <c r="K59" s="505"/>
    </row>
    <row r="60" spans="2:11">
      <c r="B60" s="548" t="s">
        <v>711</v>
      </c>
      <c r="C60" s="538">
        <f>SUM(C61:C63)</f>
        <v>0</v>
      </c>
      <c r="D60" s="538">
        <f>SUM(D61:D63)</f>
        <v>0</v>
      </c>
      <c r="E60" s="538">
        <f>SUM(E61:E63)</f>
        <v>0</v>
      </c>
      <c r="F60" s="538">
        <f t="shared" si="3"/>
        <v>0</v>
      </c>
      <c r="G60" s="538">
        <f t="shared" si="4"/>
        <v>0</v>
      </c>
      <c r="H60" s="539"/>
      <c r="J60" s="503"/>
      <c r="K60" s="505"/>
    </row>
    <row r="61" spans="2:11">
      <c r="B61" s="543" t="s">
        <v>712</v>
      </c>
      <c r="C61" s="544">
        <v>0</v>
      </c>
      <c r="D61" s="544">
        <v>0</v>
      </c>
      <c r="E61" s="544">
        <v>0</v>
      </c>
      <c r="F61" s="538">
        <f t="shared" si="3"/>
        <v>0</v>
      </c>
      <c r="G61" s="538">
        <f t="shared" si="4"/>
        <v>0</v>
      </c>
      <c r="H61" s="545"/>
      <c r="J61" s="503"/>
      <c r="K61" s="505"/>
    </row>
    <row r="62" spans="2:11">
      <c r="B62" s="543" t="s">
        <v>713</v>
      </c>
      <c r="C62" s="544">
        <v>0</v>
      </c>
      <c r="D62" s="544">
        <v>0</v>
      </c>
      <c r="E62" s="544">
        <v>0</v>
      </c>
      <c r="F62" s="538">
        <f t="shared" si="3"/>
        <v>0</v>
      </c>
      <c r="G62" s="538">
        <f t="shared" si="4"/>
        <v>0</v>
      </c>
      <c r="H62" s="545"/>
      <c r="J62" s="503"/>
      <c r="K62" s="505"/>
    </row>
    <row r="63" spans="2:11">
      <c r="B63" s="543" t="s">
        <v>714</v>
      </c>
      <c r="C63" s="544">
        <v>0</v>
      </c>
      <c r="D63" s="544">
        <v>0</v>
      </c>
      <c r="E63" s="544">
        <v>0</v>
      </c>
      <c r="F63" s="538">
        <f t="shared" si="3"/>
        <v>0</v>
      </c>
      <c r="G63" s="538">
        <f t="shared" si="4"/>
        <v>0</v>
      </c>
      <c r="H63" s="545"/>
      <c r="J63" s="503"/>
      <c r="K63" s="505"/>
    </row>
    <row r="64" spans="2:11">
      <c r="B64" s="548" t="s">
        <v>715</v>
      </c>
      <c r="C64" s="538">
        <f>SUM(C65:C66)</f>
        <v>0</v>
      </c>
      <c r="D64" s="538">
        <f>SUM(D65:D66)</f>
        <v>0</v>
      </c>
      <c r="E64" s="538">
        <f>SUM(E65:E66)</f>
        <v>0</v>
      </c>
      <c r="F64" s="538">
        <f t="shared" si="3"/>
        <v>0</v>
      </c>
      <c r="G64" s="538">
        <f t="shared" si="4"/>
        <v>0</v>
      </c>
      <c r="H64" s="539"/>
      <c r="J64" s="503"/>
      <c r="K64" s="505"/>
    </row>
    <row r="65" spans="2:11">
      <c r="B65" s="543" t="s">
        <v>716</v>
      </c>
      <c r="C65" s="544">
        <v>0</v>
      </c>
      <c r="D65" s="544">
        <v>0</v>
      </c>
      <c r="E65" s="544">
        <v>0</v>
      </c>
      <c r="F65" s="538">
        <f t="shared" si="3"/>
        <v>0</v>
      </c>
      <c r="G65" s="538">
        <f t="shared" si="4"/>
        <v>0</v>
      </c>
      <c r="H65" s="545"/>
      <c r="J65" s="503"/>
      <c r="K65" s="505"/>
    </row>
    <row r="66" spans="2:11">
      <c r="B66" s="543" t="s">
        <v>717</v>
      </c>
      <c r="C66" s="544">
        <v>0</v>
      </c>
      <c r="D66" s="544">
        <v>0</v>
      </c>
      <c r="E66" s="544">
        <v>0</v>
      </c>
      <c r="F66" s="538">
        <f t="shared" si="3"/>
        <v>0</v>
      </c>
      <c r="G66" s="538">
        <f t="shared" si="4"/>
        <v>0</v>
      </c>
      <c r="H66" s="545"/>
      <c r="J66" s="503"/>
      <c r="K66" s="505"/>
    </row>
    <row r="67" spans="2:11">
      <c r="B67" s="548" t="s">
        <v>718</v>
      </c>
      <c r="C67" s="538">
        <f>SUM(C68:C69)</f>
        <v>0</v>
      </c>
      <c r="D67" s="538">
        <f>SUM(D68:D69)</f>
        <v>0</v>
      </c>
      <c r="E67" s="538">
        <f>SUM(E68:E69)</f>
        <v>0</v>
      </c>
      <c r="F67" s="538">
        <f t="shared" si="3"/>
        <v>0</v>
      </c>
      <c r="G67" s="538">
        <f t="shared" si="4"/>
        <v>0</v>
      </c>
      <c r="H67" s="539"/>
      <c r="J67" s="503"/>
      <c r="K67" s="505"/>
    </row>
    <row r="68" spans="2:11">
      <c r="B68" s="543" t="s">
        <v>719</v>
      </c>
      <c r="C68" s="544">
        <v>0</v>
      </c>
      <c r="D68" s="544">
        <v>0</v>
      </c>
      <c r="E68" s="544">
        <v>0</v>
      </c>
      <c r="F68" s="538">
        <f t="shared" si="3"/>
        <v>0</v>
      </c>
      <c r="G68" s="538">
        <f t="shared" si="4"/>
        <v>0</v>
      </c>
      <c r="H68" s="545"/>
      <c r="J68" s="503"/>
      <c r="K68" s="505"/>
    </row>
    <row r="69" spans="2:11">
      <c r="B69" s="543" t="s">
        <v>720</v>
      </c>
      <c r="C69" s="544">
        <v>0</v>
      </c>
      <c r="D69" s="544">
        <v>0</v>
      </c>
      <c r="E69" s="544">
        <v>0</v>
      </c>
      <c r="F69" s="538">
        <f t="shared" si="3"/>
        <v>0</v>
      </c>
      <c r="G69" s="538">
        <f t="shared" si="4"/>
        <v>0</v>
      </c>
      <c r="H69" s="545"/>
      <c r="J69" s="503"/>
      <c r="K69" s="505"/>
    </row>
    <row r="70" spans="2:11">
      <c r="B70" s="548" t="s">
        <v>721</v>
      </c>
      <c r="C70" s="549">
        <v>0</v>
      </c>
      <c r="D70" s="549">
        <v>0</v>
      </c>
      <c r="E70" s="549">
        <v>0</v>
      </c>
      <c r="F70" s="538">
        <f t="shared" si="3"/>
        <v>0</v>
      </c>
      <c r="G70" s="538">
        <f t="shared" si="4"/>
        <v>0</v>
      </c>
      <c r="H70" s="547"/>
      <c r="J70" s="503"/>
      <c r="K70" s="505"/>
    </row>
    <row r="71" spans="2:11" ht="26.25">
      <c r="B71" s="548" t="s">
        <v>722</v>
      </c>
      <c r="C71" s="549">
        <v>0</v>
      </c>
      <c r="D71" s="549">
        <v>0</v>
      </c>
      <c r="E71" s="549">
        <v>0</v>
      </c>
      <c r="F71" s="538">
        <f t="shared" si="3"/>
        <v>0</v>
      </c>
      <c r="G71" s="538">
        <f t="shared" si="4"/>
        <v>0</v>
      </c>
      <c r="H71" s="547"/>
      <c r="J71" s="503"/>
      <c r="K71" s="505"/>
    </row>
    <row r="72" spans="2:11" ht="26.25">
      <c r="B72" s="550" t="s">
        <v>723</v>
      </c>
      <c r="C72" s="551">
        <f>SUM(C23,C40,C48,C54,C60,C64,C67,C70,C71)</f>
        <v>0</v>
      </c>
      <c r="D72" s="551">
        <f>SUM(D23,D40,D48,D54,D60,D64,D67,D70,D71)</f>
        <v>0</v>
      </c>
      <c r="E72" s="551">
        <f>SUM(E23,E40,E48,E54,E60,E64,E67,E70,E71)</f>
        <v>600</v>
      </c>
      <c r="F72" s="551">
        <f t="shared" si="3"/>
        <v>660</v>
      </c>
      <c r="G72" s="551">
        <f t="shared" si="4"/>
        <v>52.69195761819126</v>
      </c>
      <c r="H72" s="552"/>
      <c r="J72" s="503"/>
      <c r="K72" s="505"/>
    </row>
    <row r="73" spans="2:11">
      <c r="B73" s="548" t="s">
        <v>1</v>
      </c>
      <c r="C73" s="549">
        <v>0</v>
      </c>
      <c r="D73" s="549">
        <v>0</v>
      </c>
      <c r="E73" s="549">
        <v>0</v>
      </c>
      <c r="F73" s="538">
        <f>(E73-D73)*1.1</f>
        <v>0</v>
      </c>
      <c r="G73" s="538">
        <f t="shared" si="4"/>
        <v>0</v>
      </c>
      <c r="H73" s="547"/>
      <c r="J73" s="503"/>
      <c r="K73" s="505"/>
    </row>
    <row r="74" spans="2:11">
      <c r="B74" s="550" t="s">
        <v>724</v>
      </c>
      <c r="C74" s="551">
        <f>C72+C73</f>
        <v>0</v>
      </c>
      <c r="D74" s="551">
        <f>D72+D73</f>
        <v>0</v>
      </c>
      <c r="E74" s="551">
        <f>E72+E73</f>
        <v>600</v>
      </c>
      <c r="F74" s="551">
        <f t="shared" si="3"/>
        <v>660</v>
      </c>
      <c r="G74" s="551">
        <f t="shared" si="4"/>
        <v>52.69195761819126</v>
      </c>
      <c r="H74" s="552"/>
      <c r="J74" s="503"/>
      <c r="K74" s="505"/>
    </row>
    <row r="75" spans="2:11">
      <c r="B75" s="553" t="s">
        <v>725</v>
      </c>
      <c r="C75" s="538">
        <f>SUM(C76:C79)</f>
        <v>0</v>
      </c>
      <c r="D75" s="538">
        <f>SUM(D76:D79)</f>
        <v>0</v>
      </c>
      <c r="E75" s="538">
        <f>SUM(E76:E79)</f>
        <v>0</v>
      </c>
      <c r="F75" s="538">
        <f t="shared" si="3"/>
        <v>0</v>
      </c>
      <c r="G75" s="538">
        <f t="shared" si="4"/>
        <v>0</v>
      </c>
      <c r="H75" s="539"/>
      <c r="J75" s="503"/>
      <c r="K75" s="505"/>
    </row>
    <row r="76" spans="2:11" ht="26.25">
      <c r="B76" s="554" t="s">
        <v>726</v>
      </c>
      <c r="C76" s="544">
        <v>0</v>
      </c>
      <c r="D76" s="544">
        <v>0</v>
      </c>
      <c r="E76" s="544">
        <v>0</v>
      </c>
      <c r="F76" s="538">
        <f t="shared" si="3"/>
        <v>0</v>
      </c>
      <c r="G76" s="538">
        <f t="shared" si="4"/>
        <v>0</v>
      </c>
      <c r="H76" s="545"/>
      <c r="J76" s="503"/>
      <c r="K76" s="505"/>
    </row>
    <row r="77" spans="2:11" ht="26.25">
      <c r="B77" s="554" t="s">
        <v>727</v>
      </c>
      <c r="C77" s="544">
        <v>0</v>
      </c>
      <c r="D77" s="544">
        <v>0</v>
      </c>
      <c r="E77" s="544">
        <v>0</v>
      </c>
      <c r="F77" s="538">
        <f t="shared" si="3"/>
        <v>0</v>
      </c>
      <c r="G77" s="538">
        <f t="shared" si="4"/>
        <v>0</v>
      </c>
      <c r="H77" s="545"/>
      <c r="J77" s="503"/>
      <c r="K77" s="505"/>
    </row>
    <row r="78" spans="2:11">
      <c r="B78" s="554" t="s">
        <v>728</v>
      </c>
      <c r="C78" s="544">
        <v>0</v>
      </c>
      <c r="D78" s="544">
        <v>0</v>
      </c>
      <c r="E78" s="544">
        <v>0</v>
      </c>
      <c r="F78" s="538">
        <f t="shared" si="3"/>
        <v>0</v>
      </c>
      <c r="G78" s="538">
        <f t="shared" si="4"/>
        <v>0</v>
      </c>
      <c r="H78" s="545"/>
      <c r="J78" s="503"/>
      <c r="K78" s="505"/>
    </row>
    <row r="79" spans="2:11">
      <c r="B79" s="554" t="s">
        <v>1334</v>
      </c>
      <c r="C79" s="544">
        <v>0</v>
      </c>
      <c r="D79" s="544">
        <v>0</v>
      </c>
      <c r="E79" s="544">
        <v>0</v>
      </c>
      <c r="F79" s="538">
        <f t="shared" si="3"/>
        <v>0</v>
      </c>
      <c r="G79" s="538">
        <f t="shared" si="4"/>
        <v>0</v>
      </c>
      <c r="H79" s="545"/>
      <c r="J79" s="503"/>
      <c r="K79" s="505"/>
    </row>
    <row r="80" spans="2:11" ht="27" thickBot="1">
      <c r="B80" s="555" t="s">
        <v>729</v>
      </c>
      <c r="C80" s="556">
        <f>SUM(C74:C75)</f>
        <v>0</v>
      </c>
      <c r="D80" s="556">
        <f>SUM(D74:D75)</f>
        <v>0</v>
      </c>
      <c r="E80" s="556">
        <f>SUM(E74:E75)</f>
        <v>600</v>
      </c>
      <c r="F80" s="556">
        <f t="shared" si="3"/>
        <v>660</v>
      </c>
      <c r="G80" s="556">
        <f t="shared" si="4"/>
        <v>52.69195761819126</v>
      </c>
      <c r="H80" s="557"/>
      <c r="J80" s="503"/>
      <c r="K80" s="505"/>
    </row>
  </sheetData>
  <mergeCells count="12">
    <mergeCell ref="I4:I6"/>
    <mergeCell ref="K4:K6"/>
    <mergeCell ref="L4:L6"/>
    <mergeCell ref="K20:M20"/>
    <mergeCell ref="C3:E3"/>
    <mergeCell ref="F3:H3"/>
    <mergeCell ref="C4:C6"/>
    <mergeCell ref="D4:D6"/>
    <mergeCell ref="E4:E6"/>
    <mergeCell ref="F4:F6"/>
    <mergeCell ref="G4:G6"/>
    <mergeCell ref="H4:H6"/>
  </mergeCells>
  <phoneticPr fontId="60"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D82EED5C75DF641B9A3835DB4F87EC7" ma:contentTypeVersion="0" ma:contentTypeDescription="Create a new document." ma:contentTypeScope="" ma:versionID="c6cd524edfb35a9b7b57da79286f6e7f">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25F9984B-D041-430E-9F44-F8873992C220}">
  <ds:schemaRefs>
    <ds:schemaRef ds:uri="http://schemas.microsoft.com/sharepoint/v3/contenttype/forms"/>
  </ds:schemaRefs>
</ds:datastoreItem>
</file>

<file path=customXml/itemProps2.xml><?xml version="1.0" encoding="utf-8"?>
<ds:datastoreItem xmlns:ds="http://schemas.openxmlformats.org/officeDocument/2006/customXml" ds:itemID="{90F92509-469E-4075-9A8C-96918F3271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CA18C8F9-C7FC-47E2-BC04-01E93506D936}">
  <ds:schemaRef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61</vt:i4>
      </vt:variant>
    </vt:vector>
  </HeadingPairs>
  <TitlesOfParts>
    <vt:vector size="74" baseType="lpstr">
      <vt:lpstr>NewConst</vt:lpstr>
      <vt:lpstr>Hourly Profiles</vt:lpstr>
      <vt:lpstr>Monthly Profiles</vt:lpstr>
      <vt:lpstr>Detailed Lighting</vt:lpstr>
      <vt:lpstr>Detailed MEL</vt:lpstr>
      <vt:lpstr>LookupTables</vt:lpstr>
      <vt:lpstr>IntCalc</vt:lpstr>
      <vt:lpstr>DHW</vt:lpstr>
      <vt:lpstr>Appliances</vt:lpstr>
      <vt:lpstr>Lighting</vt:lpstr>
      <vt:lpstr>Sunrise Calc</vt:lpstr>
      <vt:lpstr>Locations</vt:lpstr>
      <vt:lpstr>Neutral Cost</vt:lpstr>
      <vt:lpstr>Appliances!_Ref248214679</vt:lpstr>
      <vt:lpstr>LookupTables!_Toc271277634</vt:lpstr>
      <vt:lpstr>A_ExWaBsm</vt:lpstr>
      <vt:lpstr>A_ExWaLiv</vt:lpstr>
      <vt:lpstr>AllElectric</vt:lpstr>
      <vt:lpstr>BOHomeType</vt:lpstr>
      <vt:lpstr>CFA_ag</vt:lpstr>
      <vt:lpstr>CFA_bsmt</vt:lpstr>
      <vt:lpstr>CFA_total</vt:lpstr>
      <vt:lpstr>ClimateZone</vt:lpstr>
      <vt:lpstr>ClimateZoneNum</vt:lpstr>
      <vt:lpstr>CZLetter</vt:lpstr>
      <vt:lpstr>CZNum</vt:lpstr>
      <vt:lpstr>FFA</vt:lpstr>
      <vt:lpstr>FndType</vt:lpstr>
      <vt:lpstr>H_FlrToFlr</vt:lpstr>
      <vt:lpstr>HomeType</vt:lpstr>
      <vt:lpstr>kWh_to_Btu</vt:lpstr>
      <vt:lpstr>kWh_to_therms</vt:lpstr>
      <vt:lpstr>M</vt:lpstr>
      <vt:lpstr>methLightingNCTH</vt:lpstr>
      <vt:lpstr>mf_ela_b1</vt:lpstr>
      <vt:lpstr>mf_ela_b2</vt:lpstr>
      <vt:lpstr>mf_ela_b3</vt:lpstr>
      <vt:lpstr>mf_ela_b4</vt:lpstr>
      <vt:lpstr>mf_ela_b5</vt:lpstr>
      <vt:lpstr>mf_ela_b6</vt:lpstr>
      <vt:lpstr>mf_ela_I</vt:lpstr>
      <vt:lpstr>mf_ela_J</vt:lpstr>
      <vt:lpstr>mf_ela1</vt:lpstr>
      <vt:lpstr>mf_ela2</vt:lpstr>
      <vt:lpstr>mf_ela3</vt:lpstr>
      <vt:lpstr>mf_ela4</vt:lpstr>
      <vt:lpstr>mf_ela5</vt:lpstr>
      <vt:lpstr>mf_ela6</vt:lpstr>
      <vt:lpstr>MultifamBlowerDoor</vt:lpstr>
      <vt:lpstr>N_br</vt:lpstr>
      <vt:lpstr>N_elev</vt:lpstr>
      <vt:lpstr>N_emp</vt:lpstr>
      <vt:lpstr>N_occ</vt:lpstr>
      <vt:lpstr>Nbath</vt:lpstr>
      <vt:lpstr>Nreturns</vt:lpstr>
      <vt:lpstr>Nstories</vt:lpstr>
      <vt:lpstr>Nunits</vt:lpstr>
      <vt:lpstr>R_ins</vt:lpstr>
      <vt:lpstr>selSchedule</vt:lpstr>
      <vt:lpstr>SiteName</vt:lpstr>
      <vt:lpstr>SLA_ag</vt:lpstr>
      <vt:lpstr>SLA_bsmt</vt:lpstr>
      <vt:lpstr>SRF_BM</vt:lpstr>
      <vt:lpstr>SRF_NCTH</vt:lpstr>
      <vt:lpstr>SRF_NCTH_Ext</vt:lpstr>
      <vt:lpstr>SRF_NCTH_Gar</vt:lpstr>
      <vt:lpstr>T</vt:lpstr>
      <vt:lpstr>TCFA</vt:lpstr>
      <vt:lpstr>Therms_to_Btu</vt:lpstr>
      <vt:lpstr>Therms_to_kWh</vt:lpstr>
      <vt:lpstr>UnitLoc</vt:lpstr>
      <vt:lpstr>V</vt:lpstr>
      <vt:lpstr>Volume</vt:lpstr>
      <vt:lpstr>W_test</vt:lpstr>
    </vt:vector>
  </TitlesOfParts>
  <Company>NREL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Building America Analysis Spreadsheet</dc:title>
  <dc:creator>R. Hendron, C. Engebrecht, S. Horowitz</dc:creator>
  <dc:description>This spreadsheet provides a means for which analysts can input information about prototype homes and get out the values that are required for full-year energy analysis programs such as BEopt or Energy Gauge.</dc:description>
  <cp:lastModifiedBy>Author</cp:lastModifiedBy>
  <cp:lastPrinted>2007-08-23T20:51:17Z</cp:lastPrinted>
  <dcterms:created xsi:type="dcterms:W3CDTF">2005-05-18T17:21:42Z</dcterms:created>
  <dcterms:modified xsi:type="dcterms:W3CDTF">2013-10-31T22:49:14Z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0x0101009D82EED5C75DF641B9A3835DB4F87EC7</vt:lpwstr>
  </property>
</Properties>
</file>